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hane\QuantLib\TempHoldingBay\"/>
    </mc:Choice>
  </mc:AlternateContent>
  <xr:revisionPtr revIDLastSave="0" documentId="13_ncr:1_{3A62E8FE-4DC5-48A0-9DFA-1C38BA0B4825}" xr6:coauthVersionLast="45" xr6:coauthVersionMax="45" xr10:uidLastSave="{00000000-0000-0000-0000-000000000000}"/>
  <bookViews>
    <workbookView xWindow="-120" yWindow="-120" windowWidth="29040" windowHeight="15840" firstSheet="5" activeTab="7" xr2:uid="{00000000-000D-0000-FFFF-FFFF00000000}"/>
  </bookViews>
  <sheets>
    <sheet name="Sheet12" sheetId="104" r:id="rId1"/>
    <sheet name="EUR TermStructures" sheetId="1" r:id="rId2"/>
    <sheet name="EO6M Swaps" sheetId="22" r:id="rId3"/>
    <sheet name="Sheet6" sheetId="62" r:id="rId4"/>
    <sheet name="For Code" sheetId="55" r:id="rId5"/>
    <sheet name="2016 Mkt Data" sheetId="42" r:id="rId6"/>
    <sheet name="2015 Mkt Data" sheetId="54" r:id="rId7"/>
    <sheet name="EURSwaptionVol" sheetId="106" r:id="rId8"/>
    <sheet name="EUR Bermudan HW" sheetId="117" r:id="rId9"/>
    <sheet name="Sheet1" sheetId="118" r:id="rId10"/>
    <sheet name="EUR RateHelpers" sheetId="12" r:id="rId11"/>
    <sheet name="Bootstrapping EONIA" sheetId="14" r:id="rId12"/>
    <sheet name="Bootstrapping EO6M" sheetId="11" r:id="rId13"/>
    <sheet name="Sheet9" sheetId="100" r:id="rId14"/>
    <sheet name="Passive Indexes" sheetId="13" r:id="rId15"/>
    <sheet name="BOND" sheetId="102" r:id="rId16"/>
    <sheet name="Active Indexes" sheetId="82" r:id="rId17"/>
    <sheet name="PricingEngines" sheetId="4" r:id="rId18"/>
    <sheet name="DateCalc" sheetId="2" r:id="rId19"/>
    <sheet name="Bootstrapping EO3M" sheetId="26" r:id="rId20"/>
    <sheet name="Bootstrapping EURIB" sheetId="15" r:id="rId21"/>
    <sheet name="EO3M Swaps" sheetId="27" r:id="rId22"/>
    <sheet name="Swaption" sheetId="5" r:id="rId23"/>
    <sheet name="EUR Swaps" sheetId="3" r:id="rId24"/>
    <sheet name="CapFloor" sheetId="6" r:id="rId25"/>
    <sheet name="CMS" sheetId="9" r:id="rId26"/>
    <sheet name="FixedLegFlowAnalysis" sheetId="8" r:id="rId27"/>
    <sheet name="CmsLegFlowAnalysis" sheetId="10" r:id="rId28"/>
    <sheet name="FloatingLegFlowAnalysis" sheetId="7" r:id="rId29"/>
  </sheets>
  <functionGroups builtInGroupCount="19"/>
  <externalReferences>
    <externalReference r:id="rId30"/>
  </externalReferences>
  <definedNames>
    <definedName name="Calendar">DateCalc!$B$1</definedName>
    <definedName name="EffectiveDate">DateCalc!$B$2</definedName>
    <definedName name="IborIndex6M">[1]Indexes!$B$1</definedName>
    <definedName name="Nominal">'EUR Swaps'!$B$13</definedName>
    <definedName name="ReferenceDate">'EUR TermStructures'!#REF!</definedName>
    <definedName name="TerminationDate">DateCalc!$B$3</definedName>
    <definedName name="Trigge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2" i="11" l="1" a="1"/>
  <c r="E32" i="11" s="1"/>
  <c r="AP19" i="106" a="1"/>
  <c r="AS19" i="106" a="1"/>
  <c r="AP26" i="106"/>
  <c r="AP24" i="106" a="1"/>
  <c r="AN24" i="106" a="1"/>
  <c r="AP19" i="106" l="1"/>
  <c r="AS19" i="106"/>
  <c r="AP24" i="106"/>
  <c r="AN24" i="106"/>
  <c r="C99" i="12"/>
  <c r="O48" i="12"/>
  <c r="C48" i="12"/>
  <c r="D3" i="104" l="1"/>
  <c r="AN22" i="106" a="1"/>
  <c r="AN22" i="106" l="1"/>
  <c r="E3" i="104"/>
  <c r="Y51" i="118"/>
  <c r="Y50" i="118"/>
  <c r="Y49" i="118"/>
  <c r="Y48" i="118"/>
  <c r="Y47" i="118"/>
  <c r="Y46" i="118"/>
  <c r="Y45" i="118"/>
  <c r="Y44" i="118"/>
  <c r="Y43" i="118"/>
  <c r="Y42" i="118"/>
  <c r="Y41" i="118"/>
  <c r="Y40" i="118"/>
  <c r="Y39" i="118"/>
  <c r="Y38" i="118"/>
  <c r="Y37" i="118"/>
  <c r="Y36" i="118"/>
  <c r="Y35" i="118"/>
  <c r="Y34" i="118"/>
  <c r="Y33" i="118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W32" i="1"/>
  <c r="V32" i="1"/>
  <c r="U32" i="1"/>
  <c r="T32" i="1"/>
  <c r="S32" i="1"/>
  <c r="R32" i="1"/>
  <c r="Q32" i="1"/>
  <c r="P32" i="1"/>
  <c r="O32" i="1"/>
  <c r="N32" i="1"/>
  <c r="M32" i="1"/>
  <c r="L32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F15" i="14"/>
  <c r="F15" i="11" s="1"/>
  <c r="F15" i="15"/>
  <c r="F14" i="15"/>
  <c r="F15" i="26"/>
  <c r="F14" i="26"/>
  <c r="Z33" i="118"/>
  <c r="Z34" i="118"/>
  <c r="Z40" i="118"/>
  <c r="Z35" i="118"/>
  <c r="Z51" i="118"/>
  <c r="Z42" i="118"/>
  <c r="Z45" i="118"/>
  <c r="Z37" i="118"/>
  <c r="Z49" i="118"/>
  <c r="Z36" i="118"/>
  <c r="Z48" i="118"/>
  <c r="Z38" i="118"/>
  <c r="D8" i="1"/>
  <c r="B8" i="1"/>
  <c r="Z47" i="118"/>
  <c r="Z43" i="118"/>
  <c r="Z50" i="118"/>
  <c r="Z41" i="118"/>
  <c r="Z46" i="118"/>
  <c r="Z44" i="118"/>
  <c r="Z39" i="118"/>
  <c r="D29" i="1" l="1"/>
  <c r="B29" i="1"/>
  <c r="Z31" i="118"/>
  <c r="V38" i="118"/>
  <c r="V48" i="118"/>
  <c r="V41" i="118"/>
  <c r="V49" i="118"/>
  <c r="V44" i="118"/>
  <c r="V36" i="118"/>
  <c r="V45" i="118"/>
  <c r="V37" i="118"/>
  <c r="V46" i="118"/>
  <c r="V39" i="118"/>
  <c r="V47" i="118"/>
  <c r="V40" i="118"/>
  <c r="V42" i="118"/>
  <c r="V50" i="118"/>
  <c r="V35" i="118"/>
  <c r="V34" i="118"/>
  <c r="V43" i="118"/>
  <c r="V51" i="118"/>
  <c r="V33" i="118"/>
  <c r="S124" i="12"/>
  <c r="S123" i="12"/>
  <c r="S122" i="12"/>
  <c r="S121" i="12"/>
  <c r="S120" i="12"/>
  <c r="S119" i="12"/>
  <c r="S118" i="12"/>
  <c r="S117" i="12"/>
  <c r="S16" i="12"/>
  <c r="S15" i="12"/>
  <c r="S14" i="12"/>
  <c r="S13" i="12"/>
  <c r="S12" i="12"/>
  <c r="S11" i="12"/>
  <c r="S10" i="12"/>
  <c r="H87" i="117" l="1"/>
  <c r="H86" i="117"/>
  <c r="H85" i="117"/>
  <c r="H84" i="117"/>
  <c r="H83" i="117"/>
  <c r="H82" i="117"/>
  <c r="H81" i="117"/>
  <c r="H80" i="117"/>
  <c r="S79" i="117"/>
  <c r="H79" i="117"/>
  <c r="I73" i="117"/>
  <c r="I83" i="117"/>
  <c r="I79" i="117"/>
  <c r="I57" i="117"/>
  <c r="C50" i="117"/>
  <c r="I86" i="117"/>
  <c r="I49" i="117"/>
  <c r="I85" i="117"/>
  <c r="I53" i="117"/>
  <c r="C74" i="117"/>
  <c r="R30" i="117" a="1"/>
  <c r="C78" i="117"/>
  <c r="D86" i="117"/>
  <c r="L73" i="117"/>
  <c r="I54" i="117"/>
  <c r="I55" i="117"/>
  <c r="O13" i="117"/>
  <c r="I52" i="117"/>
  <c r="I51" i="117"/>
  <c r="C49" i="117"/>
  <c r="D20" i="117"/>
  <c r="Q30" i="117" s="1" a="1"/>
  <c r="G73" i="117"/>
  <c r="D88" i="117"/>
  <c r="D90" i="117"/>
  <c r="C79" i="117"/>
  <c r="I80" i="117"/>
  <c r="C80" i="117"/>
  <c r="D47" i="117"/>
  <c r="G13" i="117"/>
  <c r="I87" i="117"/>
  <c r="D21" i="117"/>
  <c r="C47" i="117"/>
  <c r="K53" i="117"/>
  <c r="K52" i="117"/>
  <c r="K56" i="117"/>
  <c r="D87" i="117"/>
  <c r="I82" i="117"/>
  <c r="I81" i="117"/>
  <c r="C48" i="117"/>
  <c r="I50" i="117"/>
  <c r="N73" i="117"/>
  <c r="C77" i="117"/>
  <c r="D89" i="117"/>
  <c r="K80" i="117"/>
  <c r="I56" i="117"/>
  <c r="D3" i="117"/>
  <c r="I84" i="117"/>
  <c r="K87" i="117"/>
  <c r="G30" i="117" a="1"/>
  <c r="C58" i="117"/>
  <c r="K54" i="117"/>
  <c r="K55" i="117"/>
  <c r="K49" i="117"/>
  <c r="A51" i="117"/>
  <c r="K51" i="117"/>
  <c r="K50" i="117"/>
  <c r="C57" i="117"/>
  <c r="K57" i="117"/>
  <c r="K85" i="117"/>
  <c r="K84" i="117"/>
  <c r="K86" i="117"/>
  <c r="C83" i="117"/>
  <c r="K82" i="117"/>
  <c r="K81" i="117"/>
  <c r="K83" i="117"/>
  <c r="Q37" i="117" l="1"/>
  <c r="Q30" i="117"/>
  <c r="Q38" i="117"/>
  <c r="Q39" i="117"/>
  <c r="Q32" i="117"/>
  <c r="Q40" i="117"/>
  <c r="Q33" i="117"/>
  <c r="Q41" i="117"/>
  <c r="Q34" i="117"/>
  <c r="Q35" i="117"/>
  <c r="Q43" i="117"/>
  <c r="Q44" i="117"/>
  <c r="Q31" i="117"/>
  <c r="Q42" i="117"/>
  <c r="Q36" i="117"/>
  <c r="R36" i="117"/>
  <c r="R35" i="117"/>
  <c r="R34" i="117"/>
  <c r="R33" i="117"/>
  <c r="R32" i="117"/>
  <c r="R39" i="117"/>
  <c r="R31" i="117"/>
  <c r="R38" i="117"/>
  <c r="R30" i="117"/>
  <c r="R37" i="117"/>
  <c r="C99" i="117"/>
  <c r="G33" i="117"/>
  <c r="H33" i="117" s="1"/>
  <c r="G32" i="117"/>
  <c r="H32" i="117" s="1"/>
  <c r="G31" i="117"/>
  <c r="H31" i="117" s="1"/>
  <c r="G34" i="117"/>
  <c r="H34" i="117" s="1"/>
  <c r="G30" i="117"/>
  <c r="H30" i="117" s="1"/>
  <c r="G35" i="117"/>
  <c r="H35" i="117" s="1"/>
  <c r="D58" i="117"/>
  <c r="J82" i="117"/>
  <c r="S91" i="117"/>
  <c r="J83" i="117"/>
  <c r="D5" i="117"/>
  <c r="J52" i="117"/>
  <c r="J56" i="117"/>
  <c r="M56" i="117" s="1"/>
  <c r="J87" i="117"/>
  <c r="J80" i="117"/>
  <c r="J50" i="117"/>
  <c r="E33" i="117"/>
  <c r="J85" i="117"/>
  <c r="J53" i="117"/>
  <c r="J84" i="117"/>
  <c r="D59" i="117"/>
  <c r="D56" i="117"/>
  <c r="J51" i="117"/>
  <c r="J49" i="117"/>
  <c r="D22" i="117"/>
  <c r="L18" i="117"/>
  <c r="N37" i="117"/>
  <c r="K37" i="117"/>
  <c r="L37" i="117"/>
  <c r="J79" i="117"/>
  <c r="J55" i="117"/>
  <c r="J86" i="117"/>
  <c r="K79" i="117"/>
  <c r="J81" i="117"/>
  <c r="J54" i="117"/>
  <c r="J57" i="117"/>
  <c r="O37" i="117"/>
  <c r="L19" i="117"/>
  <c r="D57" i="117"/>
  <c r="S49" i="117"/>
  <c r="M37" i="117"/>
  <c r="J37" i="117"/>
  <c r="AT28" i="106" l="1"/>
  <c r="AU28" i="106" s="1"/>
  <c r="AV28" i="106" s="1"/>
  <c r="AW28" i="106" s="1"/>
  <c r="AX28" i="106" s="1"/>
  <c r="AY28" i="106" s="1"/>
  <c r="AZ28" i="106" s="1"/>
  <c r="BA28" i="106" s="1"/>
  <c r="BB28" i="106" s="1"/>
  <c r="BC28" i="106" s="1"/>
  <c r="BD28" i="106" s="1"/>
  <c r="L49" i="117"/>
  <c r="L50" i="117"/>
  <c r="L38" i="117"/>
  <c r="O38" i="117"/>
  <c r="L51" i="117"/>
  <c r="J38" i="117"/>
  <c r="N38" i="117"/>
  <c r="N56" i="117"/>
  <c r="N49" i="117"/>
  <c r="K38" i="117"/>
  <c r="M57" i="117"/>
  <c r="L82" i="117"/>
  <c r="M51" i="117"/>
  <c r="L83" i="117"/>
  <c r="L55" i="117"/>
  <c r="D23" i="117"/>
  <c r="L87" i="117"/>
  <c r="L84" i="117"/>
  <c r="F2" i="117"/>
  <c r="N8" i="13"/>
  <c r="L85" i="117"/>
  <c r="M53" i="117"/>
  <c r="L52" i="117"/>
  <c r="L53" i="117"/>
  <c r="M50" i="117"/>
  <c r="L80" i="117"/>
  <c r="J42" i="117"/>
  <c r="L20" i="117"/>
  <c r="M38" i="117"/>
  <c r="L56" i="117"/>
  <c r="L21" i="117"/>
  <c r="L79" i="117"/>
  <c r="M55" i="117"/>
  <c r="L57" i="117"/>
  <c r="L54" i="117"/>
  <c r="M49" i="117"/>
  <c r="K40" i="117"/>
  <c r="L86" i="117"/>
  <c r="K42" i="117"/>
  <c r="L81" i="117"/>
  <c r="N18" i="13"/>
  <c r="M52" i="117"/>
  <c r="M59" i="117"/>
  <c r="J76" i="117"/>
  <c r="N46" i="117"/>
  <c r="O49" i="117" l="1"/>
  <c r="O56" i="117"/>
  <c r="T3" i="106"/>
  <c r="U3" i="106"/>
  <c r="V3" i="106"/>
  <c r="W3" i="106"/>
  <c r="X3" i="106"/>
  <c r="Y3" i="106"/>
  <c r="Z3" i="106"/>
  <c r="AA3" i="106"/>
  <c r="AB3" i="106"/>
  <c r="AC3" i="106"/>
  <c r="AD3" i="106"/>
  <c r="AE3" i="106"/>
  <c r="AF3" i="106"/>
  <c r="AG3" i="106"/>
  <c r="T4" i="106"/>
  <c r="U4" i="106"/>
  <c r="V4" i="106"/>
  <c r="W4" i="106"/>
  <c r="X4" i="106"/>
  <c r="Y4" i="106"/>
  <c r="Z4" i="106"/>
  <c r="AA4" i="106"/>
  <c r="AB4" i="106"/>
  <c r="AC4" i="106"/>
  <c r="AD4" i="106"/>
  <c r="AE4" i="106"/>
  <c r="AF4" i="106"/>
  <c r="AG4" i="106"/>
  <c r="T5" i="106"/>
  <c r="U5" i="106"/>
  <c r="V5" i="106"/>
  <c r="W5" i="106"/>
  <c r="X5" i="106"/>
  <c r="Y5" i="106"/>
  <c r="Z5" i="106"/>
  <c r="AA5" i="106"/>
  <c r="AB5" i="106"/>
  <c r="AC5" i="106"/>
  <c r="AD5" i="106"/>
  <c r="AE5" i="106"/>
  <c r="AF5" i="106"/>
  <c r="AG5" i="106"/>
  <c r="T6" i="106"/>
  <c r="U6" i="106"/>
  <c r="V6" i="106"/>
  <c r="W6" i="106"/>
  <c r="X6" i="106"/>
  <c r="Y6" i="106"/>
  <c r="Z6" i="106"/>
  <c r="AA6" i="106"/>
  <c r="AB6" i="106"/>
  <c r="AC6" i="106"/>
  <c r="AD6" i="106"/>
  <c r="AE6" i="106"/>
  <c r="AF6" i="106"/>
  <c r="AG6" i="106"/>
  <c r="T7" i="106"/>
  <c r="U7" i="106"/>
  <c r="V7" i="106"/>
  <c r="W7" i="106"/>
  <c r="X7" i="106"/>
  <c r="Y7" i="106"/>
  <c r="Z7" i="106"/>
  <c r="AA7" i="106"/>
  <c r="AB7" i="106"/>
  <c r="AC7" i="106"/>
  <c r="AD7" i="106"/>
  <c r="AE7" i="106"/>
  <c r="AF7" i="106"/>
  <c r="AG7" i="106"/>
  <c r="T8" i="106"/>
  <c r="U8" i="106"/>
  <c r="V8" i="106"/>
  <c r="W8" i="106"/>
  <c r="X8" i="106"/>
  <c r="Y8" i="106"/>
  <c r="Z8" i="106"/>
  <c r="AA8" i="106"/>
  <c r="AB8" i="106"/>
  <c r="AC8" i="106"/>
  <c r="AD8" i="106"/>
  <c r="AE8" i="106"/>
  <c r="AF8" i="106"/>
  <c r="AG8" i="106"/>
  <c r="T9" i="106"/>
  <c r="U9" i="106"/>
  <c r="V9" i="106"/>
  <c r="W9" i="106"/>
  <c r="X9" i="106"/>
  <c r="Y9" i="106"/>
  <c r="Z9" i="106"/>
  <c r="AA9" i="106"/>
  <c r="AB9" i="106"/>
  <c r="AC9" i="106"/>
  <c r="AD9" i="106"/>
  <c r="AE9" i="106"/>
  <c r="AF9" i="106"/>
  <c r="AG9" i="106"/>
  <c r="T10" i="106"/>
  <c r="U10" i="106"/>
  <c r="V10" i="106"/>
  <c r="W10" i="106"/>
  <c r="X10" i="106"/>
  <c r="Y10" i="106"/>
  <c r="Z10" i="106"/>
  <c r="AA10" i="106"/>
  <c r="AB10" i="106"/>
  <c r="AC10" i="106"/>
  <c r="AD10" i="106"/>
  <c r="AE10" i="106"/>
  <c r="AF10" i="106"/>
  <c r="AG10" i="106"/>
  <c r="T11" i="106"/>
  <c r="U11" i="106"/>
  <c r="V11" i="106"/>
  <c r="W11" i="106"/>
  <c r="X11" i="106"/>
  <c r="Y11" i="106"/>
  <c r="Z11" i="106"/>
  <c r="AA11" i="106"/>
  <c r="AB11" i="106"/>
  <c r="AC11" i="106"/>
  <c r="AD11" i="106"/>
  <c r="AE11" i="106"/>
  <c r="AF11" i="106"/>
  <c r="AG11" i="106"/>
  <c r="T12" i="106"/>
  <c r="U12" i="106"/>
  <c r="V12" i="106"/>
  <c r="W12" i="106"/>
  <c r="X12" i="106"/>
  <c r="Y12" i="106"/>
  <c r="Z12" i="106"/>
  <c r="AA12" i="106"/>
  <c r="AB12" i="106"/>
  <c r="AC12" i="106"/>
  <c r="AD12" i="106"/>
  <c r="AE12" i="106"/>
  <c r="AF12" i="106"/>
  <c r="AG12" i="106"/>
  <c r="T13" i="106"/>
  <c r="U13" i="106"/>
  <c r="V13" i="106"/>
  <c r="W13" i="106"/>
  <c r="X13" i="106"/>
  <c r="Y13" i="106"/>
  <c r="Z13" i="106"/>
  <c r="AA13" i="106"/>
  <c r="AB13" i="106"/>
  <c r="AC13" i="106"/>
  <c r="AD13" i="106"/>
  <c r="AE13" i="106"/>
  <c r="AF13" i="106"/>
  <c r="AG13" i="106"/>
  <c r="T14" i="106"/>
  <c r="U14" i="106"/>
  <c r="V14" i="106"/>
  <c r="W14" i="106"/>
  <c r="X14" i="106"/>
  <c r="Y14" i="106"/>
  <c r="Z14" i="106"/>
  <c r="AA14" i="106"/>
  <c r="AB14" i="106"/>
  <c r="AC14" i="106"/>
  <c r="AD14" i="106"/>
  <c r="AE14" i="106"/>
  <c r="AF14" i="106"/>
  <c r="AG14" i="106"/>
  <c r="T15" i="106"/>
  <c r="U15" i="106"/>
  <c r="V15" i="106"/>
  <c r="W15" i="106"/>
  <c r="X15" i="106"/>
  <c r="Y15" i="106"/>
  <c r="Z15" i="106"/>
  <c r="AA15" i="106"/>
  <c r="AB15" i="106"/>
  <c r="AC15" i="106"/>
  <c r="AD15" i="106"/>
  <c r="AE15" i="106"/>
  <c r="AF15" i="106"/>
  <c r="AG15" i="106"/>
  <c r="T16" i="106"/>
  <c r="U16" i="106"/>
  <c r="V16" i="106"/>
  <c r="W16" i="106"/>
  <c r="X16" i="106"/>
  <c r="Y16" i="106"/>
  <c r="Z16" i="106"/>
  <c r="AA16" i="106"/>
  <c r="AB16" i="106"/>
  <c r="AC16" i="106"/>
  <c r="AD16" i="106"/>
  <c r="AE16" i="106"/>
  <c r="AF16" i="106"/>
  <c r="AG16" i="106"/>
  <c r="T17" i="106"/>
  <c r="U17" i="106"/>
  <c r="V17" i="106"/>
  <c r="W17" i="106"/>
  <c r="X17" i="106"/>
  <c r="Y17" i="106"/>
  <c r="Z17" i="106"/>
  <c r="AA17" i="106"/>
  <c r="AB17" i="106"/>
  <c r="AC17" i="106"/>
  <c r="AD17" i="106"/>
  <c r="AE17" i="106"/>
  <c r="AF17" i="106"/>
  <c r="AG17" i="106"/>
  <c r="T18" i="106"/>
  <c r="U18" i="106"/>
  <c r="V18" i="106"/>
  <c r="W18" i="106"/>
  <c r="X18" i="106"/>
  <c r="Y18" i="106"/>
  <c r="Z18" i="106"/>
  <c r="AA18" i="106"/>
  <c r="AB18" i="106"/>
  <c r="AC18" i="106"/>
  <c r="AD18" i="106"/>
  <c r="AE18" i="106"/>
  <c r="AF18" i="106"/>
  <c r="AG18" i="106"/>
  <c r="T19" i="106"/>
  <c r="U19" i="106"/>
  <c r="V19" i="106"/>
  <c r="W19" i="106"/>
  <c r="X19" i="106"/>
  <c r="Y19" i="106"/>
  <c r="Z19" i="106"/>
  <c r="AA19" i="106"/>
  <c r="AB19" i="106"/>
  <c r="AC19" i="106"/>
  <c r="AD19" i="106"/>
  <c r="AE19" i="106"/>
  <c r="AF19" i="106"/>
  <c r="AG19" i="106"/>
  <c r="T20" i="106"/>
  <c r="U20" i="106"/>
  <c r="V20" i="106"/>
  <c r="W20" i="106"/>
  <c r="X20" i="106"/>
  <c r="Y20" i="106"/>
  <c r="Z20" i="106"/>
  <c r="AA20" i="106"/>
  <c r="AB20" i="106"/>
  <c r="AC20" i="106"/>
  <c r="AD20" i="106"/>
  <c r="AE20" i="106"/>
  <c r="AF20" i="106"/>
  <c r="AG20" i="106"/>
  <c r="T21" i="106"/>
  <c r="U21" i="106"/>
  <c r="V21" i="106"/>
  <c r="W21" i="106"/>
  <c r="X21" i="106"/>
  <c r="Y21" i="106"/>
  <c r="Z21" i="106"/>
  <c r="AA21" i="106"/>
  <c r="AB21" i="106"/>
  <c r="AC21" i="106"/>
  <c r="AD21" i="106"/>
  <c r="AE21" i="106"/>
  <c r="AF21" i="106"/>
  <c r="AG21" i="106"/>
  <c r="T22" i="106"/>
  <c r="U22" i="106"/>
  <c r="V22" i="106"/>
  <c r="W22" i="106"/>
  <c r="X22" i="106"/>
  <c r="Y22" i="106"/>
  <c r="Z22" i="106"/>
  <c r="AA22" i="106"/>
  <c r="AB22" i="106"/>
  <c r="AC22" i="106"/>
  <c r="AD22" i="106"/>
  <c r="AE22" i="106"/>
  <c r="AF22" i="106"/>
  <c r="AG22" i="106"/>
  <c r="T23" i="106"/>
  <c r="U23" i="106"/>
  <c r="V23" i="106"/>
  <c r="W23" i="106"/>
  <c r="X23" i="106"/>
  <c r="Y23" i="106"/>
  <c r="Z23" i="106"/>
  <c r="AA23" i="106"/>
  <c r="AB23" i="106"/>
  <c r="AC23" i="106"/>
  <c r="AD23" i="106"/>
  <c r="AE23" i="106"/>
  <c r="AF23" i="106"/>
  <c r="AG23" i="106"/>
  <c r="D24" i="117"/>
  <c r="L22" i="117"/>
  <c r="N51" i="117"/>
  <c r="M54" i="117"/>
  <c r="N9" i="13"/>
  <c r="N52" i="117"/>
  <c r="L42" i="117"/>
  <c r="B2" i="22"/>
  <c r="N53" i="117"/>
  <c r="N50" i="117"/>
  <c r="C52" i="117"/>
  <c r="J39" i="117"/>
  <c r="C56" i="117"/>
  <c r="J40" i="117"/>
  <c r="L40" i="117"/>
  <c r="D29" i="117"/>
  <c r="N55" i="117"/>
  <c r="C59" i="117"/>
  <c r="N57" i="117"/>
  <c r="N19" i="13"/>
  <c r="C54" i="117"/>
  <c r="K39" i="117"/>
  <c r="D39" i="117"/>
  <c r="D44" i="117" s="1"/>
  <c r="O55" i="117" l="1"/>
  <c r="D30" i="117"/>
  <c r="D31" i="117" s="1"/>
  <c r="O52" i="117"/>
  <c r="O53" i="117"/>
  <c r="O57" i="117"/>
  <c r="O50" i="117"/>
  <c r="O51" i="117"/>
  <c r="AJ14" i="106"/>
  <c r="M58" i="117"/>
  <c r="BF37" i="1"/>
  <c r="L45" i="117"/>
  <c r="D33" i="117"/>
  <c r="D34" i="117"/>
  <c r="BF36" i="1"/>
  <c r="BF35" i="1"/>
  <c r="L23" i="117"/>
  <c r="AC40" i="106"/>
  <c r="N54" i="117"/>
  <c r="AK3" i="106"/>
  <c r="B3" i="22"/>
  <c r="D35" i="117"/>
  <c r="AD40" i="106"/>
  <c r="O54" i="117" l="1"/>
  <c r="C125" i="12"/>
  <c r="S125" i="12" s="1"/>
  <c r="C140" i="12"/>
  <c r="S140" i="12" s="1"/>
  <c r="C139" i="12"/>
  <c r="S139" i="12" s="1"/>
  <c r="C138" i="12"/>
  <c r="S138" i="12" s="1"/>
  <c r="C137" i="12"/>
  <c r="S137" i="12" s="1"/>
  <c r="C136" i="12"/>
  <c r="S136" i="12" s="1"/>
  <c r="C135" i="12"/>
  <c r="S135" i="12" s="1"/>
  <c r="C134" i="12"/>
  <c r="S134" i="12" s="1"/>
  <c r="C133" i="12"/>
  <c r="S133" i="12" s="1"/>
  <c r="C132" i="12"/>
  <c r="S132" i="12" s="1"/>
  <c r="C131" i="12"/>
  <c r="S131" i="12" s="1"/>
  <c r="C130" i="12"/>
  <c r="S130" i="12" s="1"/>
  <c r="C129" i="12"/>
  <c r="S129" i="12" s="1"/>
  <c r="C128" i="12"/>
  <c r="S128" i="12" s="1"/>
  <c r="C127" i="12"/>
  <c r="S127" i="12" s="1"/>
  <c r="C126" i="12"/>
  <c r="S126" i="12" s="1"/>
  <c r="AK6" i="106"/>
  <c r="AK10" i="106"/>
  <c r="AL10" i="106"/>
  <c r="L44" i="117"/>
  <c r="AK7" i="106"/>
  <c r="AK4" i="106"/>
  <c r="AK13" i="106"/>
  <c r="AD41" i="106"/>
  <c r="L24" i="117"/>
  <c r="AC41" i="106"/>
  <c r="AK30" i="106"/>
  <c r="AE186" i="1" l="1"/>
  <c r="AE185" i="1"/>
  <c r="AE184" i="1"/>
  <c r="AE183" i="1"/>
  <c r="AE182" i="1"/>
  <c r="AE181" i="1"/>
  <c r="AE180" i="1"/>
  <c r="AE179" i="1"/>
  <c r="AE178" i="1"/>
  <c r="AE177" i="1"/>
  <c r="AE176" i="1"/>
  <c r="AE175" i="1"/>
  <c r="AJ151" i="1"/>
  <c r="AJ150" i="1"/>
  <c r="AJ149" i="1"/>
  <c r="AH129" i="1"/>
  <c r="AH130" i="1"/>
  <c r="AE150" i="1"/>
  <c r="AH131" i="1"/>
  <c r="AE149" i="1"/>
  <c r="AK31" i="106"/>
  <c r="L39" i="117"/>
  <c r="AK24" i="106"/>
  <c r="AQ30" i="106"/>
  <c r="AE151" i="1"/>
  <c r="AK28" i="106"/>
  <c r="AP30" i="106"/>
  <c r="AS39" i="106"/>
  <c r="BC39" i="106"/>
  <c r="AQ35" i="106"/>
  <c r="AT39" i="106"/>
  <c r="AQ31" i="106"/>
  <c r="AV39" i="106"/>
  <c r="BD39" i="106"/>
  <c r="AO37" i="106"/>
  <c r="AP35" i="106"/>
  <c r="AZ39" i="106"/>
  <c r="AP36" i="106"/>
  <c r="AQ36" i="106"/>
  <c r="AO34" i="106"/>
  <c r="AQ33" i="106"/>
  <c r="AK25" i="106"/>
  <c r="AO31" i="106"/>
  <c r="AW39" i="106"/>
  <c r="AP32" i="106"/>
  <c r="AO36" i="106"/>
  <c r="AU39" i="106"/>
  <c r="AY39" i="106"/>
  <c r="AP37" i="106"/>
  <c r="AQ34" i="106"/>
  <c r="AQ32" i="106"/>
  <c r="AP31" i="106"/>
  <c r="AP29" i="106"/>
  <c r="AO30" i="106"/>
  <c r="AO29" i="106"/>
  <c r="AK26" i="106"/>
  <c r="AK27" i="106" s="1"/>
  <c r="BB39" i="106"/>
  <c r="AX39" i="106"/>
  <c r="AO33" i="106"/>
  <c r="AP34" i="106"/>
  <c r="AO35" i="106"/>
  <c r="AP33" i="106"/>
  <c r="AQ29" i="106"/>
  <c r="AO32" i="106"/>
  <c r="AQ37" i="106"/>
  <c r="BA39" i="106"/>
  <c r="AE174" i="1" l="1"/>
  <c r="AE173" i="1"/>
  <c r="AE172" i="1"/>
  <c r="AL174" i="1"/>
  <c r="AF149" i="1"/>
  <c r="AN173" i="1"/>
  <c r="AQ173" i="1"/>
  <c r="BW35" i="1"/>
  <c r="AI172" i="1"/>
  <c r="AO173" i="1"/>
  <c r="AP172" i="1"/>
  <c r="AF151" i="1"/>
  <c r="AN174" i="1"/>
  <c r="AJ172" i="1"/>
  <c r="AP174" i="1"/>
  <c r="AF150" i="1"/>
  <c r="AG173" i="1"/>
  <c r="AR174" i="1"/>
  <c r="AK173" i="1"/>
  <c r="AG172" i="1"/>
  <c r="AO172" i="1"/>
  <c r="AI130" i="1"/>
  <c r="BW37" i="1"/>
  <c r="AK174" i="1"/>
  <c r="AH174" i="1"/>
  <c r="AN172" i="1"/>
  <c r="AJ174" i="1"/>
  <c r="AI129" i="1"/>
  <c r="AO174" i="1"/>
  <c r="AH173" i="1"/>
  <c r="AM173" i="1"/>
  <c r="AI173" i="1"/>
  <c r="BW36" i="1"/>
  <c r="AF174" i="1"/>
  <c r="AF172" i="1"/>
  <c r="AF173" i="1"/>
  <c r="AJ173" i="1"/>
  <c r="AM174" i="1"/>
  <c r="AQ174" i="1"/>
  <c r="AR172" i="1"/>
  <c r="AP173" i="1"/>
  <c r="AQ172" i="1"/>
  <c r="AI131" i="1"/>
  <c r="AH172" i="1"/>
  <c r="AK172" i="1"/>
  <c r="AL173" i="1"/>
  <c r="AR173" i="1"/>
  <c r="AL172" i="1"/>
  <c r="AI174" i="1"/>
  <c r="AM172" i="1"/>
  <c r="AG174" i="1"/>
  <c r="AK16" i="106"/>
  <c r="BF40" i="1"/>
  <c r="E18" i="22" l="1"/>
  <c r="E12" i="22"/>
  <c r="F3" i="104"/>
  <c r="AR26" i="106" a="1"/>
  <c r="AP20" i="106" a="1"/>
  <c r="AE130" i="1"/>
  <c r="AK17" i="106"/>
  <c r="AE131" i="1"/>
  <c r="AG167" i="1"/>
  <c r="B1" i="104"/>
  <c r="AE129" i="1"/>
  <c r="AP25" i="106" a="1"/>
  <c r="AR26" i="106" l="1"/>
  <c r="AP20" i="106"/>
  <c r="AP25" i="106"/>
  <c r="G3" i="104"/>
  <c r="B24" i="22"/>
  <c r="B8" i="22"/>
  <c r="AF130" i="1"/>
  <c r="AF131" i="1"/>
  <c r="AF129" i="1"/>
  <c r="B2" i="104"/>
  <c r="B28" i="104"/>
  <c r="B14" i="104"/>
  <c r="B17" i="104"/>
  <c r="B32" i="104"/>
  <c r="B7" i="104"/>
  <c r="B40" i="104"/>
  <c r="B8" i="104"/>
  <c r="B20" i="104"/>
  <c r="B34" i="104"/>
  <c r="B44" i="104"/>
  <c r="B4" i="104"/>
  <c r="B12" i="104"/>
  <c r="B36" i="104"/>
  <c r="B11" i="104"/>
  <c r="B21" i="104"/>
  <c r="B22" i="104"/>
  <c r="B23" i="104"/>
  <c r="B27" i="104"/>
  <c r="B29" i="104"/>
  <c r="B43" i="104"/>
  <c r="B38" i="104"/>
  <c r="B35" i="104"/>
  <c r="B42" i="104"/>
  <c r="B10" i="104"/>
  <c r="B24" i="104"/>
  <c r="B18" i="104"/>
  <c r="B26" i="104"/>
  <c r="B25" i="104"/>
  <c r="B15" i="104"/>
  <c r="B31" i="104"/>
  <c r="B9" i="104"/>
  <c r="B33" i="104"/>
  <c r="B41" i="104"/>
  <c r="B30" i="104"/>
  <c r="B5" i="104"/>
  <c r="B6" i="104"/>
  <c r="B16" i="104"/>
  <c r="B39" i="104"/>
  <c r="B19" i="104"/>
  <c r="B13" i="104"/>
  <c r="H3" i="104" l="1"/>
  <c r="B25" i="22"/>
  <c r="B9" i="22"/>
  <c r="B5" i="22"/>
  <c r="B52" i="104"/>
  <c r="B37" i="104"/>
  <c r="B21" i="22"/>
  <c r="H13" i="22" l="1"/>
  <c r="N39" i="22"/>
  <c r="N22" i="22"/>
  <c r="E16" i="22"/>
  <c r="E13" i="22"/>
  <c r="H16" i="22"/>
  <c r="B6" i="22"/>
  <c r="B22" i="22"/>
  <c r="E8" i="22"/>
  <c r="G9" i="1" l="1"/>
  <c r="W8" i="22" a="1"/>
  <c r="E9" i="22"/>
  <c r="E1" i="22"/>
  <c r="AI8" i="22" l="1"/>
  <c r="AO10" i="22"/>
  <c r="AU12" i="22"/>
  <c r="X15" i="22"/>
  <c r="AD17" i="22"/>
  <c r="AJ19" i="22"/>
  <c r="AY9" i="22"/>
  <c r="AB12" i="22"/>
  <c r="AH14" i="22"/>
  <c r="AN16" i="22"/>
  <c r="AT18" i="22"/>
  <c r="AA11" i="22"/>
  <c r="AM15" i="22"/>
  <c r="AU19" i="22"/>
  <c r="X22" i="22"/>
  <c r="AD24" i="22"/>
  <c r="AV9" i="22"/>
  <c r="AE14" i="22"/>
  <c r="AQ18" i="22"/>
  <c r="AH21" i="22"/>
  <c r="W8" i="22"/>
  <c r="AC10" i="22"/>
  <c r="AI12" i="22"/>
  <c r="AO14" i="22"/>
  <c r="AU16" i="22"/>
  <c r="X19" i="22"/>
  <c r="AM9" i="22"/>
  <c r="AS11" i="22"/>
  <c r="AY13" i="22"/>
  <c r="AB16" i="22"/>
  <c r="AH18" i="22"/>
  <c r="AF10" i="22"/>
  <c r="AR14" i="22"/>
  <c r="AA19" i="22"/>
  <c r="AO21" i="22"/>
  <c r="AU23" i="22"/>
  <c r="AS8" i="22"/>
  <c r="AJ13" i="22"/>
  <c r="AV17" i="22"/>
  <c r="AY20" i="22"/>
  <c r="AB23" i="22"/>
  <c r="AX8" i="22"/>
  <c r="AT9" i="22"/>
  <c r="W12" i="22"/>
  <c r="AC14" i="22"/>
  <c r="AI16" i="22"/>
  <c r="AO18" i="22"/>
  <c r="AA9" i="22"/>
  <c r="AG11" i="22"/>
  <c r="AM13" i="22"/>
  <c r="AS15" i="22"/>
  <c r="AY17" i="22"/>
  <c r="AK9" i="22"/>
  <c r="AW13" i="22"/>
  <c r="AF18" i="22"/>
  <c r="AC21" i="22"/>
  <c r="AI23" i="22"/>
  <c r="AO25" i="22"/>
  <c r="AO12" i="22"/>
  <c r="X17" i="22"/>
  <c r="AM20" i="22"/>
  <c r="AS22" i="22"/>
  <c r="AH9" i="22"/>
  <c r="AC18" i="22"/>
  <c r="AG15" i="22"/>
  <c r="AK17" i="22"/>
  <c r="AT11" i="22"/>
  <c r="AJ23" i="22"/>
  <c r="AW8" i="22"/>
  <c r="AK13" i="22"/>
  <c r="AW17" i="22"/>
  <c r="W21" i="22"/>
  <c r="AC23" i="22"/>
  <c r="Z8" i="22"/>
  <c r="AY8" i="22"/>
  <c r="AB11" i="22"/>
  <c r="AH13" i="22"/>
  <c r="AN15" i="22"/>
  <c r="AT17" i="22"/>
  <c r="AF8" i="22"/>
  <c r="AL10" i="22"/>
  <c r="AR12" i="22"/>
  <c r="AX14" i="22"/>
  <c r="AA17" i="22"/>
  <c r="AG19" i="22"/>
  <c r="AD12" i="22"/>
  <c r="AP16" i="22"/>
  <c r="AH20" i="22"/>
  <c r="AN22" i="22"/>
  <c r="AT24" i="22"/>
  <c r="AY10" i="22"/>
  <c r="AH15" i="22"/>
  <c r="AR19" i="22"/>
  <c r="AX21" i="22"/>
  <c r="AM8" i="22"/>
  <c r="AS10" i="22"/>
  <c r="AY12" i="22"/>
  <c r="AB15" i="22"/>
  <c r="AH17" i="22"/>
  <c r="AN19" i="22"/>
  <c r="Z10" i="22"/>
  <c r="AF12" i="22"/>
  <c r="AL14" i="22"/>
  <c r="AR16" i="22"/>
  <c r="AX18" i="22"/>
  <c r="AI11" i="22"/>
  <c r="AU15" i="22"/>
  <c r="AY19" i="22"/>
  <c r="AB22" i="22"/>
  <c r="AH24" i="22"/>
  <c r="AA10" i="22"/>
  <c r="AM14" i="22"/>
  <c r="AY18" i="22"/>
  <c r="AL21" i="22"/>
  <c r="AR23" i="22"/>
  <c r="AA8" i="22"/>
  <c r="AG10" i="22"/>
  <c r="AM12" i="22"/>
  <c r="AS14" i="22"/>
  <c r="AY16" i="22"/>
  <c r="AB19" i="22"/>
  <c r="AQ9" i="22"/>
  <c r="AW11" i="22"/>
  <c r="Z14" i="22"/>
  <c r="AF16" i="22"/>
  <c r="AL18" i="22"/>
  <c r="AN10" i="22"/>
  <c r="W15" i="22"/>
  <c r="AI19" i="22"/>
  <c r="AS21" i="22"/>
  <c r="AY23" i="22"/>
  <c r="AF9" i="22"/>
  <c r="AR13" i="22"/>
  <c r="AA18" i="22"/>
  <c r="Z21" i="22"/>
  <c r="AF23" i="22"/>
  <c r="AN11" i="22"/>
  <c r="AR8" i="22"/>
  <c r="AM17" i="22"/>
  <c r="AT20" i="22"/>
  <c r="AC16" i="22"/>
  <c r="AI24" i="22"/>
  <c r="AB10" i="22"/>
  <c r="AN14" i="22"/>
  <c r="W19" i="22"/>
  <c r="AM21" i="22"/>
  <c r="AS23" i="22"/>
  <c r="X9" i="22"/>
  <c r="AN13" i="22"/>
  <c r="W18" i="22"/>
  <c r="X21" i="22"/>
  <c r="AD23" i="22"/>
  <c r="AJ25" i="22"/>
  <c r="AW28" i="22"/>
  <c r="AE27" i="22"/>
  <c r="AB30" i="22"/>
  <c r="AV27" i="22"/>
  <c r="AX9" i="22"/>
  <c r="AP8" i="22"/>
  <c r="AL9" i="22"/>
  <c r="AR11" i="22"/>
  <c r="AX13" i="22"/>
  <c r="AA16" i="22"/>
  <c r="AG18" i="22"/>
  <c r="AV8" i="22"/>
  <c r="Y11" i="22"/>
  <c r="AE13" i="22"/>
  <c r="AK15" i="22"/>
  <c r="AQ17" i="22"/>
  <c r="AO8" i="22"/>
  <c r="AG13" i="22"/>
  <c r="AS17" i="22"/>
  <c r="AX20" i="22"/>
  <c r="AA23" i="22"/>
  <c r="AG25" i="22"/>
  <c r="Y12" i="22"/>
  <c r="AK16" i="22"/>
  <c r="AE20" i="22"/>
  <c r="AD8" i="22"/>
  <c r="Z9" i="22"/>
  <c r="AF11" i="22"/>
  <c r="AL13" i="22"/>
  <c r="AR15" i="22"/>
  <c r="AX17" i="22"/>
  <c r="AJ8" i="22"/>
  <c r="AP10" i="22"/>
  <c r="AV12" i="22"/>
  <c r="Y15" i="22"/>
  <c r="AE17" i="22"/>
  <c r="AK19" i="22"/>
  <c r="AL12" i="22"/>
  <c r="AX16" i="22"/>
  <c r="AL20" i="22"/>
  <c r="AR22" i="22"/>
  <c r="AX24" i="22"/>
  <c r="AD11" i="22"/>
  <c r="AP15" i="22"/>
  <c r="AV19" i="22"/>
  <c r="Y22" i="22"/>
  <c r="AE24" i="22"/>
  <c r="AQ8" i="22"/>
  <c r="AW10" i="22"/>
  <c r="Z13" i="22"/>
  <c r="AF15" i="22"/>
  <c r="AL17" i="22"/>
  <c r="X8" i="22"/>
  <c r="AD10" i="22"/>
  <c r="AJ12" i="22"/>
  <c r="AP14" i="22"/>
  <c r="AV16" i="22"/>
  <c r="Y19" i="22"/>
  <c r="AQ11" i="22"/>
  <c r="Z16" i="22"/>
  <c r="Z20" i="22"/>
  <c r="AF22" i="22"/>
  <c r="AL24" i="22"/>
  <c r="AI10" i="22"/>
  <c r="AU14" i="22"/>
  <c r="AD19" i="22"/>
  <c r="AP21" i="22"/>
  <c r="AV23" i="22"/>
  <c r="AT13" i="22"/>
  <c r="AX10" i="22"/>
  <c r="Y8" i="22"/>
  <c r="W23" i="22"/>
  <c r="AA20" i="22"/>
  <c r="AY24" i="22"/>
  <c r="AE11" i="22"/>
  <c r="AQ15" i="22"/>
  <c r="AW19" i="22"/>
  <c r="Z22" i="22"/>
  <c r="AF24" i="22"/>
  <c r="AE10" i="22"/>
  <c r="AQ14" i="22"/>
  <c r="Z19" i="22"/>
  <c r="AN21" i="22"/>
  <c r="AT23" i="22"/>
  <c r="AU25" i="22"/>
  <c r="X30" i="22"/>
  <c r="AU27" i="22"/>
  <c r="AC26" i="22"/>
  <c r="AI28" i="22"/>
  <c r="AA12" i="22"/>
  <c r="AC9" i="22"/>
  <c r="AQ16" i="22"/>
  <c r="AU13" i="22"/>
  <c r="AJ14" i="22"/>
  <c r="AC8" i="22"/>
  <c r="AT8" i="22"/>
  <c r="AE16" i="22"/>
  <c r="AI13" i="22"/>
  <c r="AO13" i="22"/>
  <c r="AK25" i="22"/>
  <c r="AO22" i="22"/>
  <c r="AP13" i="22"/>
  <c r="AT10" i="22"/>
  <c r="AO19" i="22"/>
  <c r="AV22" i="22"/>
  <c r="W20" i="22"/>
  <c r="AA13" i="22"/>
  <c r="AL25" i="22"/>
  <c r="AP22" i="22"/>
  <c r="AK12" i="22"/>
  <c r="AK20" i="22"/>
  <c r="AW24" i="22"/>
  <c r="AR26" i="22"/>
  <c r="AF27" i="22"/>
  <c r="AM16" i="22"/>
  <c r="AQ13" i="22"/>
  <c r="AB14" i="22"/>
  <c r="AS25" i="22"/>
  <c r="AK22" i="22"/>
  <c r="AP25" i="22"/>
  <c r="AP12" i="22"/>
  <c r="Y17" i="22"/>
  <c r="AN20" i="22"/>
  <c r="AT22" i="22"/>
  <c r="W25" i="22"/>
  <c r="AP11" i="22"/>
  <c r="Y16" i="22"/>
  <c r="Y20" i="22"/>
  <c r="AE22" i="22"/>
  <c r="AK24" i="22"/>
  <c r="AM26" i="22"/>
  <c r="AE8" i="22"/>
  <c r="Z17" i="22"/>
  <c r="AD14" i="22"/>
  <c r="AE15" i="22"/>
  <c r="AN9" i="22"/>
  <c r="AW22" i="22"/>
  <c r="AT25" i="22"/>
  <c r="AX12" i="22"/>
  <c r="AG17" i="22"/>
  <c r="AR20" i="22"/>
  <c r="AX22" i="22"/>
  <c r="AA25" i="22"/>
  <c r="AX11" i="22"/>
  <c r="AG16" i="22"/>
  <c r="AC20" i="22"/>
  <c r="AI22" i="22"/>
  <c r="AO24" i="22"/>
  <c r="AH16" i="22"/>
  <c r="AC13" i="22"/>
  <c r="AE25" i="22"/>
  <c r="AM22" i="22"/>
  <c r="AQ30" i="22"/>
  <c r="AP28" i="22"/>
  <c r="AR27" i="22"/>
  <c r="AG30" i="22"/>
  <c r="AK29" i="22"/>
  <c r="AO27" i="22"/>
  <c r="AU29" i="22"/>
  <c r="AV29" i="22"/>
  <c r="AL16" i="22"/>
  <c r="AF26" i="22"/>
  <c r="AX27" i="22"/>
  <c r="AT30" i="22"/>
  <c r="W17" i="22"/>
  <c r="AW9" i="22"/>
  <c r="AO23" i="22"/>
  <c r="AW20" i="22"/>
  <c r="AT27" i="22"/>
  <c r="Z28" i="22"/>
  <c r="AB27" i="22"/>
  <c r="AX29" i="22"/>
  <c r="AA30" i="22"/>
  <c r="AC27" i="22"/>
  <c r="AI29" i="22"/>
  <c r="Y10" i="22"/>
  <c r="AW18" i="22"/>
  <c r="X16" i="22"/>
  <c r="AV18" i="22"/>
  <c r="AB13" i="22"/>
  <c r="AP9" i="22"/>
  <c r="AK18" i="22"/>
  <c r="AO15" i="22"/>
  <c r="X18" i="22"/>
  <c r="AG12" i="22"/>
  <c r="AH8" i="22"/>
  <c r="AV15" i="22"/>
  <c r="W13" i="22"/>
  <c r="AT12" i="22"/>
  <c r="Y25" i="22"/>
  <c r="AC22" i="22"/>
  <c r="Y13" i="22"/>
  <c r="AH12" i="22"/>
  <c r="AV24" i="22"/>
  <c r="AT15" i="22"/>
  <c r="AA22" i="22"/>
  <c r="AI26" i="22"/>
  <c r="AH28" i="22"/>
  <c r="AY28" i="22"/>
  <c r="AS18" i="22"/>
  <c r="AW15" i="22"/>
  <c r="AN18" i="22"/>
  <c r="AW12" i="22"/>
  <c r="AN23" i="22"/>
  <c r="AG9" i="22"/>
  <c r="AS13" i="22"/>
  <c r="AB18" i="22"/>
  <c r="AA21" i="22"/>
  <c r="AG23" i="22"/>
  <c r="AM25" i="22"/>
  <c r="AS12" i="22"/>
  <c r="AB17" i="22"/>
  <c r="AO20" i="22"/>
  <c r="AU22" i="22"/>
  <c r="X25" i="22"/>
  <c r="AH27" i="22"/>
  <c r="AK10" i="22"/>
  <c r="AF19" i="22"/>
  <c r="AJ16" i="22"/>
  <c r="AQ19" i="22"/>
  <c r="W14" i="22"/>
  <c r="W24" i="22"/>
  <c r="AO9" i="22"/>
  <c r="X14" i="22"/>
  <c r="AJ18" i="22"/>
  <c r="AE21" i="22"/>
  <c r="AK23" i="22"/>
  <c r="AQ25" i="22"/>
  <c r="X13" i="22"/>
  <c r="AJ17" i="22"/>
  <c r="AS20" i="22"/>
  <c r="AY22" i="22"/>
  <c r="AU8" i="22"/>
  <c r="AQ10" i="22"/>
  <c r="AO17" i="22"/>
  <c r="AC12" i="22"/>
  <c r="AS24" i="22"/>
  <c r="AJ26" i="22"/>
  <c r="AO29" i="22"/>
  <c r="AM28" i="22"/>
  <c r="AW30" i="22"/>
  <c r="AY25" i="22"/>
  <c r="AB28" i="22"/>
  <c r="AH30" i="22"/>
  <c r="AG29" i="22"/>
  <c r="AR24" i="22"/>
  <c r="AL28" i="22"/>
  <c r="AV30" i="22"/>
  <c r="AY30" i="22"/>
  <c r="AD20" i="22"/>
  <c r="AF14" i="22"/>
  <c r="AK8" i="22"/>
  <c r="Z23" i="22"/>
  <c r="AW25" i="22"/>
  <c r="AT28" i="22"/>
  <c r="W28" i="22"/>
  <c r="AK30" i="22"/>
  <c r="AW29" i="22"/>
  <c r="AS27" i="22"/>
  <c r="AY29" i="22"/>
  <c r="AE12" i="22"/>
  <c r="AI9" i="22"/>
  <c r="AD18" i="22"/>
  <c r="AK21" i="22"/>
  <c r="AN17" i="22"/>
  <c r="AV11" i="22"/>
  <c r="W9" i="22"/>
  <c r="AU17" i="22"/>
  <c r="Y21" i="22"/>
  <c r="AS16" i="22"/>
  <c r="AD9" i="22"/>
  <c r="Y18" i="22"/>
  <c r="AC15" i="22"/>
  <c r="AC17" i="22"/>
  <c r="AL11" i="22"/>
  <c r="AL8" i="22"/>
  <c r="AC25" i="22"/>
  <c r="AT16" i="22"/>
  <c r="AI25" i="22"/>
  <c r="AW16" i="22"/>
  <c r="AQ22" i="22"/>
  <c r="AD27" i="22"/>
  <c r="AX28" i="22"/>
  <c r="Y9" i="22"/>
  <c r="AE9" i="22"/>
  <c r="Z18" i="22"/>
  <c r="AG21" i="22"/>
  <c r="AF17" i="22"/>
  <c r="AM24" i="22"/>
  <c r="AJ10" i="22"/>
  <c r="AV14" i="22"/>
  <c r="AE19" i="22"/>
  <c r="AQ21" i="22"/>
  <c r="AW23" i="22"/>
  <c r="AJ9" i="22"/>
  <c r="AV13" i="22"/>
  <c r="AE18" i="22"/>
  <c r="AB21" i="22"/>
  <c r="AH23" i="22"/>
  <c r="AN25" i="22"/>
  <c r="AN29" i="22"/>
  <c r="AQ12" i="22"/>
  <c r="AU9" i="22"/>
  <c r="AP18" i="22"/>
  <c r="AW21" i="22"/>
  <c r="AI18" i="22"/>
  <c r="AQ24" i="22"/>
  <c r="AR10" i="22"/>
  <c r="AA15" i="22"/>
  <c r="AM19" i="22"/>
  <c r="AU21" i="22"/>
  <c r="X24" i="22"/>
  <c r="AR9" i="22"/>
  <c r="AA14" i="22"/>
  <c r="AM18" i="22"/>
  <c r="AF21" i="22"/>
  <c r="AL23" i="22"/>
  <c r="AP17" i="22"/>
  <c r="X23" i="22"/>
  <c r="AV20" i="22"/>
  <c r="AO16" i="22"/>
  <c r="AV25" i="22"/>
  <c r="AA27" i="22"/>
  <c r="AG26" i="22"/>
  <c r="AD29" i="22"/>
  <c r="AC28" i="22"/>
  <c r="AL26" i="22"/>
  <c r="AR28" i="22"/>
  <c r="AX30" i="22"/>
  <c r="AY11" i="22"/>
  <c r="AT19" i="22"/>
  <c r="AE28" i="22"/>
  <c r="X28" i="22"/>
  <c r="X11" i="22"/>
  <c r="Z15" i="22"/>
  <c r="AR18" i="22"/>
  <c r="AF13" i="22"/>
  <c r="AB25" i="22"/>
  <c r="AN26" i="22"/>
  <c r="AR30" i="22"/>
  <c r="AQ28" i="22"/>
  <c r="Z27" i="22"/>
  <c r="Z26" i="22"/>
  <c r="AF28" i="22"/>
  <c r="AL30" i="22"/>
  <c r="AK14" i="22"/>
  <c r="AU20" i="22"/>
  <c r="AE23" i="22"/>
  <c r="AI17" i="22"/>
  <c r="AG22" i="22"/>
  <c r="AG24" i="22"/>
  <c r="AK11" i="22"/>
  <c r="Z25" i="22"/>
  <c r="AD22" i="22"/>
  <c r="AH19" i="22"/>
  <c r="AN30" i="22"/>
  <c r="Z24" i="22"/>
  <c r="AD16" i="22"/>
  <c r="AU10" i="22"/>
  <c r="Y24" i="22"/>
  <c r="AG20" i="22"/>
  <c r="AT29" i="22"/>
  <c r="AG28" i="22"/>
  <c r="AQ29" i="22"/>
  <c r="AR17" i="22"/>
  <c r="AH29" i="22"/>
  <c r="AY26" i="22"/>
  <c r="AJ15" i="22"/>
  <c r="AL15" i="22"/>
  <c r="Y26" i="22"/>
  <c r="AU30" i="22"/>
  <c r="AF29" i="22"/>
  <c r="AJ22" i="22"/>
  <c r="AI15" i="22"/>
  <c r="W10" i="22"/>
  <c r="AP23" i="22"/>
  <c r="X26" i="22"/>
  <c r="Y29" i="22"/>
  <c r="AA28" i="22"/>
  <c r="AO30" i="22"/>
  <c r="AF30" i="22"/>
  <c r="AW27" i="22"/>
  <c r="Z30" i="22"/>
  <c r="AI30" i="22"/>
  <c r="AF20" i="22"/>
  <c r="W27" i="22"/>
  <c r="AJ29" i="22"/>
  <c r="Y28" i="22"/>
  <c r="AQ23" i="22"/>
  <c r="AB9" i="22"/>
  <c r="AN8" i="22"/>
  <c r="W16" i="22"/>
  <c r="AX19" i="22"/>
  <c r="AG14" i="22"/>
  <c r="AQ20" i="22"/>
  <c r="X20" i="22"/>
  <c r="AY14" i="22"/>
  <c r="W26" i="22"/>
  <c r="AV10" i="22"/>
  <c r="AU11" i="22"/>
  <c r="AN24" i="22"/>
  <c r="AV21" i="22"/>
  <c r="Y23" i="22"/>
  <c r="X27" i="22"/>
  <c r="AE29" i="22"/>
  <c r="AC30" i="22"/>
  <c r="AI21" i="22"/>
  <c r="AK26" i="22"/>
  <c r="AV28" i="22"/>
  <c r="AS29" i="22"/>
  <c r="AL22" i="22"/>
  <c r="AQ27" i="22"/>
  <c r="AS30" i="22"/>
  <c r="AD30" i="22"/>
  <c r="AC19" i="22"/>
  <c r="W11" i="22"/>
  <c r="AB24" i="22"/>
  <c r="AJ21" i="22"/>
  <c r="AK28" i="22"/>
  <c r="AD28" i="22"/>
  <c r="AJ27" i="22"/>
  <c r="AM30" i="22"/>
  <c r="AG27" i="22"/>
  <c r="X29" i="22"/>
  <c r="AP29" i="22"/>
  <c r="AO11" i="22"/>
  <c r="Y14" i="22"/>
  <c r="AI20" i="22"/>
  <c r="AP20" i="22"/>
  <c r="AJ20" i="22"/>
  <c r="AB26" i="22"/>
  <c r="AS9" i="22"/>
  <c r="AM11" i="22"/>
  <c r="AJ24" i="22"/>
  <c r="AR21" i="22"/>
  <c r="AW14" i="22"/>
  <c r="AD21" i="22"/>
  <c r="AB20" i="22"/>
  <c r="AD15" i="22"/>
  <c r="AT14" i="22"/>
  <c r="AU26" i="22"/>
  <c r="AR29" i="22"/>
  <c r="AH25" i="22"/>
  <c r="AB8" i="22"/>
  <c r="AA26" i="22"/>
  <c r="AS28" i="22"/>
  <c r="AO28" i="22"/>
  <c r="AP24" i="22"/>
  <c r="AC24" i="22"/>
  <c r="AW26" i="22"/>
  <c r="AX26" i="22"/>
  <c r="AD13" i="22"/>
  <c r="AL19" i="22"/>
  <c r="AS19" i="22"/>
  <c r="AI14" i="22"/>
  <c r="AF25" i="22"/>
  <c r="AV26" i="22"/>
  <c r="AX25" i="22"/>
  <c r="AU28" i="22"/>
  <c r="AP27" i="22"/>
  <c r="AD26" i="22"/>
  <c r="AJ28" i="22"/>
  <c r="AP30" i="22"/>
  <c r="AJ30" i="22"/>
  <c r="Z11" i="22"/>
  <c r="AC29" i="22"/>
  <c r="AH26" i="22"/>
  <c r="AR25" i="22"/>
  <c r="X10" i="22"/>
  <c r="AC11" i="22"/>
  <c r="AJ11" i="22"/>
  <c r="AX15" i="22"/>
  <c r="AH11" i="22"/>
  <c r="AS26" i="22"/>
  <c r="AM23" i="22"/>
  <c r="AY15" i="22"/>
  <c r="AM10" i="22"/>
  <c r="AX23" i="22"/>
  <c r="X12" i="22"/>
  <c r="AD25" i="22"/>
  <c r="AH22" i="22"/>
  <c r="AP19" i="22"/>
  <c r="AG8" i="22"/>
  <c r="AY27" i="22"/>
  <c r="Y27" i="22"/>
  <c r="AQ26" i="22"/>
  <c r="AA24" i="22"/>
  <c r="AI27" i="22"/>
  <c r="AP26" i="22"/>
  <c r="AE30" i="22"/>
  <c r="Z12" i="22"/>
  <c r="W30" i="22"/>
  <c r="Z29" i="22"/>
  <c r="AN28" i="22"/>
  <c r="AH10" i="22"/>
  <c r="AU24" i="22"/>
  <c r="AY21" i="22"/>
  <c r="AU18" i="22"/>
  <c r="AE26" i="22"/>
  <c r="AM27" i="22"/>
  <c r="AO26" i="22"/>
  <c r="AL29" i="22"/>
  <c r="AB29" i="22"/>
  <c r="AT26" i="22"/>
  <c r="W29" i="22"/>
  <c r="AL27" i="22"/>
  <c r="AN12" i="22"/>
  <c r="W22" i="22"/>
  <c r="AN27" i="22"/>
  <c r="AK27" i="22"/>
  <c r="Y30" i="22"/>
  <c r="AM29" i="22"/>
  <c r="AT21" i="22"/>
  <c r="AA29" i="22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T17" i="22"/>
  <c r="T30" i="22"/>
  <c r="T28" i="22"/>
  <c r="R15" i="22"/>
  <c r="T9" i="22"/>
  <c r="T13" i="22"/>
  <c r="R24" i="22"/>
  <c r="T24" i="22"/>
  <c r="R26" i="22"/>
  <c r="R28" i="22"/>
  <c r="R21" i="22"/>
  <c r="T19" i="22"/>
  <c r="T14" i="22"/>
  <c r="T10" i="22"/>
  <c r="R10" i="22"/>
  <c r="T22" i="22"/>
  <c r="T23" i="22"/>
  <c r="T27" i="22"/>
  <c r="T16" i="22"/>
  <c r="R14" i="22"/>
  <c r="T18" i="22"/>
  <c r="T15" i="22"/>
  <c r="T26" i="22"/>
  <c r="T21" i="22"/>
  <c r="T12" i="22"/>
  <c r="T11" i="22"/>
  <c r="R16" i="22"/>
  <c r="T20" i="22"/>
  <c r="T25" i="22"/>
  <c r="T29" i="22"/>
  <c r="R20" i="22"/>
  <c r="X32" i="1" l="1"/>
  <c r="B9" i="1"/>
  <c r="R27" i="22"/>
  <c r="R13" i="22"/>
  <c r="R12" i="22"/>
  <c r="R9" i="22"/>
  <c r="R17" i="22"/>
  <c r="R18" i="22"/>
  <c r="R22" i="22"/>
  <c r="R19" i="22"/>
  <c r="R23" i="22"/>
  <c r="R25" i="22"/>
  <c r="R11" i="22"/>
  <c r="AV94" i="1" l="1"/>
  <c r="F42" i="102"/>
  <c r="S1" i="12" l="1"/>
  <c r="Y1" i="12" s="1"/>
  <c r="A61" i="102" a="1"/>
  <c r="X64" i="102" a="1"/>
  <c r="Y9" i="102"/>
  <c r="E3" i="22"/>
  <c r="Y2" i="12"/>
  <c r="BG37" i="1"/>
  <c r="B61" i="102" a="1"/>
  <c r="F38" i="102"/>
  <c r="E2" i="22"/>
  <c r="BG35" i="1"/>
  <c r="C38" i="102"/>
  <c r="AJ1" i="104"/>
  <c r="BF41" i="1"/>
  <c r="X62" i="102"/>
  <c r="AD28" i="102"/>
  <c r="BG36" i="1"/>
  <c r="X1" i="12"/>
  <c r="BX35" i="1" l="1"/>
  <c r="Y34" i="102"/>
  <c r="A100" i="102"/>
  <c r="A78" i="102"/>
  <c r="A67" i="102"/>
  <c r="A63" i="102"/>
  <c r="A79" i="102"/>
  <c r="A75" i="102"/>
  <c r="A87" i="102"/>
  <c r="A97" i="102"/>
  <c r="A72" i="102"/>
  <c r="A101" i="102"/>
  <c r="A68" i="102"/>
  <c r="A93" i="102"/>
  <c r="A66" i="102"/>
  <c r="A61" i="102"/>
  <c r="A74" i="102"/>
  <c r="A77" i="102"/>
  <c r="A84" i="102"/>
  <c r="A98" i="102"/>
  <c r="A70" i="102"/>
  <c r="A65" i="102"/>
  <c r="A96" i="102"/>
  <c r="A86" i="102"/>
  <c r="A73" i="102"/>
  <c r="A83" i="102"/>
  <c r="A88" i="102"/>
  <c r="A91" i="102"/>
  <c r="A81" i="102"/>
  <c r="A94" i="102"/>
  <c r="A85" i="102"/>
  <c r="A95" i="102"/>
  <c r="A92" i="102"/>
  <c r="A80" i="102"/>
  <c r="A69" i="102"/>
  <c r="A71" i="102"/>
  <c r="A89" i="102"/>
  <c r="A62" i="102"/>
  <c r="A99" i="102"/>
  <c r="A82" i="102"/>
  <c r="A64" i="102"/>
  <c r="A76" i="102"/>
  <c r="A90" i="102"/>
  <c r="X76" i="102"/>
  <c r="Z68" i="102"/>
  <c r="AH70" i="102"/>
  <c r="AN64" i="102"/>
  <c r="Y78" i="102"/>
  <c r="AJ65" i="102"/>
  <c r="AE74" i="102"/>
  <c r="AM65" i="102"/>
  <c r="AC76" i="102"/>
  <c r="AJ70" i="102"/>
  <c r="AN70" i="102"/>
  <c r="AN73" i="102"/>
  <c r="AL64" i="102"/>
  <c r="Z70" i="102"/>
  <c r="AB78" i="102"/>
  <c r="AN74" i="102"/>
  <c r="Y67" i="102"/>
  <c r="AQ74" i="102"/>
  <c r="AN66" i="102"/>
  <c r="AN72" i="102"/>
  <c r="AO76" i="102"/>
  <c r="AL75" i="102"/>
  <c r="AG69" i="102"/>
  <c r="Z77" i="102"/>
  <c r="AO77" i="102"/>
  <c r="AO65" i="102"/>
  <c r="AA74" i="102"/>
  <c r="Z74" i="102"/>
  <c r="Z67" i="102"/>
  <c r="AH66" i="102"/>
  <c r="AA76" i="102"/>
  <c r="AG74" i="102"/>
  <c r="AN71" i="102"/>
  <c r="AH75" i="102"/>
  <c r="AQ78" i="102"/>
  <c r="AI76" i="102"/>
  <c r="AP73" i="102"/>
  <c r="Z78" i="102"/>
  <c r="AP74" i="102"/>
  <c r="AD75" i="102"/>
  <c r="AQ72" i="102"/>
  <c r="AG75" i="102"/>
  <c r="AD66" i="102"/>
  <c r="AF66" i="102"/>
  <c r="AJ73" i="102"/>
  <c r="AL66" i="102"/>
  <c r="AB64" i="102"/>
  <c r="AG78" i="102"/>
  <c r="AK69" i="102"/>
  <c r="AP71" i="102"/>
  <c r="AM75" i="102"/>
  <c r="AM73" i="102"/>
  <c r="AM68" i="102"/>
  <c r="AC77" i="102"/>
  <c r="AM74" i="102"/>
  <c r="AE64" i="102"/>
  <c r="AM78" i="102"/>
  <c r="AP70" i="102"/>
  <c r="AO73" i="102"/>
  <c r="AQ75" i="102"/>
  <c r="AC72" i="102"/>
  <c r="Y71" i="102"/>
  <c r="AQ76" i="102"/>
  <c r="X69" i="102"/>
  <c r="AQ64" i="102"/>
  <c r="AH73" i="102"/>
  <c r="Y64" i="102"/>
  <c r="AH71" i="102"/>
  <c r="AO66" i="102"/>
  <c r="AH64" i="102"/>
  <c r="AB67" i="102"/>
  <c r="AC74" i="102"/>
  <c r="AA71" i="102"/>
  <c r="AC64" i="102"/>
  <c r="AO67" i="102"/>
  <c r="AF77" i="102"/>
  <c r="AJ78" i="102"/>
  <c r="AI68" i="102"/>
  <c r="AE77" i="102"/>
  <c r="X65" i="102"/>
  <c r="X70" i="102"/>
  <c r="AN75" i="102"/>
  <c r="X78" i="102"/>
  <c r="AL68" i="102"/>
  <c r="Z66" i="102"/>
  <c r="AI71" i="102"/>
  <c r="AB68" i="102"/>
  <c r="AB73" i="102"/>
  <c r="Z71" i="102"/>
  <c r="AC68" i="102"/>
  <c r="AE73" i="102"/>
  <c r="Z76" i="102"/>
  <c r="AO78" i="102"/>
  <c r="AK77" i="102"/>
  <c r="AC71" i="102"/>
  <c r="AN68" i="102"/>
  <c r="AJ75" i="102"/>
  <c r="AH76" i="102"/>
  <c r="AD67" i="102"/>
  <c r="AM66" i="102"/>
  <c r="AO72" i="102"/>
  <c r="AG72" i="102"/>
  <c r="AP75" i="102"/>
  <c r="AI73" i="102"/>
  <c r="AP68" i="102"/>
  <c r="AO75" i="102"/>
  <c r="AF65" i="102"/>
  <c r="AP64" i="102"/>
  <c r="AA73" i="102"/>
  <c r="AB74" i="102"/>
  <c r="AM71" i="102"/>
  <c r="AN77" i="102"/>
  <c r="AM67" i="102"/>
  <c r="AH69" i="102"/>
  <c r="AB69" i="102"/>
  <c r="AQ69" i="102"/>
  <c r="AL70" i="102"/>
  <c r="AC73" i="102"/>
  <c r="AQ65" i="102"/>
  <c r="AK64" i="102"/>
  <c r="AI66" i="102"/>
  <c r="AK68" i="102"/>
  <c r="AG66" i="102"/>
  <c r="AE75" i="102"/>
  <c r="AK67" i="102"/>
  <c r="AL65" i="102"/>
  <c r="Z72" i="102"/>
  <c r="AO71" i="102"/>
  <c r="Z64" i="102"/>
  <c r="Y77" i="102"/>
  <c r="AD64" i="102"/>
  <c r="AF75" i="102"/>
  <c r="AB77" i="102"/>
  <c r="Y73" i="102"/>
  <c r="AI70" i="102"/>
  <c r="AD72" i="102"/>
  <c r="AI65" i="102"/>
  <c r="AM77" i="102"/>
  <c r="AL69" i="102"/>
  <c r="AJ64" i="102"/>
  <c r="AJ67" i="102"/>
  <c r="AG65" i="102"/>
  <c r="AO69" i="102"/>
  <c r="AE76" i="102"/>
  <c r="Y68" i="102"/>
  <c r="X72" i="102"/>
  <c r="AD70" i="102"/>
  <c r="AI78" i="102"/>
  <c r="AD68" i="102"/>
  <c r="AA65" i="102"/>
  <c r="AK76" i="102"/>
  <c r="AG67" i="102"/>
  <c r="AE68" i="102"/>
  <c r="X68" i="102"/>
  <c r="AB65" i="102"/>
  <c r="AE71" i="102"/>
  <c r="AO74" i="102"/>
  <c r="Z75" i="102"/>
  <c r="Y76" i="102"/>
  <c r="AL72" i="102"/>
  <c r="AD78" i="102"/>
  <c r="AP77" i="102"/>
  <c r="AK71" i="102"/>
  <c r="AP69" i="102"/>
  <c r="AC65" i="102"/>
  <c r="AC69" i="102"/>
  <c r="AN78" i="102"/>
  <c r="AG68" i="102"/>
  <c r="AE67" i="102"/>
  <c r="AP65" i="102"/>
  <c r="AF73" i="102"/>
  <c r="AO68" i="102"/>
  <c r="AF78" i="102"/>
  <c r="AB72" i="102"/>
  <c r="AE78" i="102"/>
  <c r="AJ68" i="102"/>
  <c r="AL77" i="102"/>
  <c r="AC67" i="102"/>
  <c r="Y69" i="102"/>
  <c r="AJ76" i="102"/>
  <c r="AK72" i="102"/>
  <c r="AD77" i="102"/>
  <c r="AF70" i="102"/>
  <c r="AI67" i="102"/>
  <c r="X71" i="102"/>
  <c r="AE65" i="102"/>
  <c r="X64" i="102"/>
  <c r="AJ77" i="102"/>
  <c r="AK65" i="102"/>
  <c r="Y70" i="102"/>
  <c r="AE66" i="102"/>
  <c r="AJ74" i="102"/>
  <c r="AQ71" i="102"/>
  <c r="AA67" i="102"/>
  <c r="AC75" i="102"/>
  <c r="AB76" i="102"/>
  <c r="AH78" i="102"/>
  <c r="AI64" i="102"/>
  <c r="AH68" i="102"/>
  <c r="AQ66" i="102"/>
  <c r="AN65" i="102"/>
  <c r="AH67" i="102"/>
  <c r="AF67" i="102"/>
  <c r="AI77" i="102"/>
  <c r="AC78" i="102"/>
  <c r="Z73" i="102"/>
  <c r="AJ72" i="102"/>
  <c r="AN69" i="102"/>
  <c r="AD69" i="102"/>
  <c r="AB70" i="102"/>
  <c r="AQ68" i="102"/>
  <c r="X77" i="102"/>
  <c r="AH77" i="102"/>
  <c r="AH72" i="102"/>
  <c r="AN76" i="102"/>
  <c r="AC66" i="102"/>
  <c r="AQ70" i="102"/>
  <c r="AE72" i="102"/>
  <c r="AG73" i="102"/>
  <c r="X73" i="102"/>
  <c r="AD71" i="102"/>
  <c r="AK74" i="102"/>
  <c r="AA64" i="102"/>
  <c r="AG71" i="102"/>
  <c r="AN67" i="102"/>
  <c r="AF64" i="102"/>
  <c r="AA69" i="102"/>
  <c r="AP66" i="102"/>
  <c r="AI72" i="102"/>
  <c r="AE70" i="102"/>
  <c r="AA78" i="102"/>
  <c r="AE69" i="102"/>
  <c r="AI74" i="102"/>
  <c r="AD65" i="102"/>
  <c r="AK66" i="102"/>
  <c r="AA66" i="102"/>
  <c r="AQ67" i="102"/>
  <c r="AG64" i="102"/>
  <c r="AF71" i="102"/>
  <c r="AF76" i="102"/>
  <c r="AI69" i="102"/>
  <c r="AJ71" i="102"/>
  <c r="X66" i="102"/>
  <c r="AP67" i="102"/>
  <c r="AA70" i="102"/>
  <c r="AL78" i="102"/>
  <c r="AD74" i="102"/>
  <c r="AO70" i="102"/>
  <c r="AK70" i="102"/>
  <c r="AL76" i="102"/>
  <c r="AF74" i="102"/>
  <c r="AG77" i="102"/>
  <c r="AA75" i="102"/>
  <c r="AD73" i="102"/>
  <c r="AL74" i="102"/>
  <c r="X75" i="102"/>
  <c r="Y72" i="102"/>
  <c r="AG76" i="102"/>
  <c r="AM64" i="102"/>
  <c r="AL67" i="102"/>
  <c r="AM69" i="102"/>
  <c r="AK73" i="102"/>
  <c r="AH74" i="102"/>
  <c r="Y65" i="102"/>
  <c r="AF72" i="102"/>
  <c r="AM76" i="102"/>
  <c r="AH65" i="102"/>
  <c r="Y66" i="102"/>
  <c r="AP78" i="102"/>
  <c r="Z69" i="102"/>
  <c r="AO64" i="102"/>
  <c r="AD76" i="102"/>
  <c r="Y75" i="102"/>
  <c r="AP76" i="102"/>
  <c r="AL71" i="102"/>
  <c r="AQ73" i="102"/>
  <c r="AA68" i="102"/>
  <c r="AA77" i="102"/>
  <c r="AA72" i="102"/>
  <c r="AJ69" i="102"/>
  <c r="AG70" i="102"/>
  <c r="X67" i="102"/>
  <c r="AQ77" i="102"/>
  <c r="AP72" i="102"/>
  <c r="AF69" i="102"/>
  <c r="Z65" i="102"/>
  <c r="AI75" i="102"/>
  <c r="AJ66" i="102"/>
  <c r="Y74" i="102"/>
  <c r="AB71" i="102"/>
  <c r="AC70" i="102"/>
  <c r="AB75" i="102"/>
  <c r="X74" i="102"/>
  <c r="AF68" i="102"/>
  <c r="AK75" i="102"/>
  <c r="AB66" i="102"/>
  <c r="AM70" i="102"/>
  <c r="AK78" i="102"/>
  <c r="AM72" i="102"/>
  <c r="AL73" i="102"/>
  <c r="BX36" i="1"/>
  <c r="B64" i="102"/>
  <c r="B93" i="102"/>
  <c r="B78" i="102"/>
  <c r="B73" i="102"/>
  <c r="B65" i="102"/>
  <c r="B87" i="102"/>
  <c r="B79" i="102"/>
  <c r="B100" i="102"/>
  <c r="B86" i="102"/>
  <c r="B68" i="102"/>
  <c r="B94" i="102"/>
  <c r="B85" i="102"/>
  <c r="B83" i="102"/>
  <c r="B62" i="102"/>
  <c r="B101" i="102"/>
  <c r="B72" i="102"/>
  <c r="B61" i="102"/>
  <c r="B96" i="102"/>
  <c r="B77" i="102"/>
  <c r="B90" i="102"/>
  <c r="B99" i="102"/>
  <c r="B88" i="102"/>
  <c r="B95" i="102"/>
  <c r="B71" i="102"/>
  <c r="B67" i="102"/>
  <c r="B82" i="102"/>
  <c r="B75" i="102"/>
  <c r="B81" i="102"/>
  <c r="B74" i="102"/>
  <c r="B84" i="102"/>
  <c r="B66" i="102"/>
  <c r="B80" i="102"/>
  <c r="B76" i="102"/>
  <c r="B89" i="102"/>
  <c r="B97" i="102"/>
  <c r="B98" i="102"/>
  <c r="B63" i="102"/>
  <c r="B92" i="102"/>
  <c r="B69" i="102"/>
  <c r="B70" i="102"/>
  <c r="B91" i="102"/>
  <c r="BX37" i="1"/>
  <c r="C11" i="102"/>
  <c r="F18" i="15"/>
  <c r="F18" i="11"/>
  <c r="F18" i="26"/>
  <c r="F18" i="14"/>
  <c r="T78" i="102"/>
  <c r="T76" i="102"/>
  <c r="BT36" i="1"/>
  <c r="F39" i="102"/>
  <c r="C39" i="102"/>
  <c r="AJ2" i="104"/>
  <c r="Y29" i="102"/>
  <c r="C4" i="102"/>
  <c r="AJ22" i="104"/>
  <c r="BT37" i="1"/>
  <c r="AJ23" i="104"/>
  <c r="AJ34" i="104"/>
  <c r="T75" i="102"/>
  <c r="AJ29" i="104"/>
  <c r="AJ44" i="104"/>
  <c r="AJ20" i="104"/>
  <c r="AJ36" i="104"/>
  <c r="AJ28" i="104"/>
  <c r="AJ27" i="104"/>
  <c r="BC37" i="1"/>
  <c r="AJ24" i="104"/>
  <c r="AJ12" i="104"/>
  <c r="AJ32" i="104"/>
  <c r="Y10" i="102"/>
  <c r="T70" i="102"/>
  <c r="T68" i="102"/>
  <c r="AJ17" i="104"/>
  <c r="T73" i="102"/>
  <c r="T71" i="102"/>
  <c r="T77" i="102"/>
  <c r="AJ19" i="104"/>
  <c r="AJ38" i="104"/>
  <c r="T66" i="102"/>
  <c r="BT35" i="1"/>
  <c r="BC35" i="1"/>
  <c r="T74" i="102"/>
  <c r="AJ15" i="104"/>
  <c r="AJ37" i="104"/>
  <c r="AK37" i="104" s="1"/>
  <c r="BC36" i="1"/>
  <c r="AJ10" i="104"/>
  <c r="AJ13" i="104"/>
  <c r="AJ39" i="104"/>
  <c r="AJ18" i="104"/>
  <c r="AJ35" i="104"/>
  <c r="AJ14" i="104"/>
  <c r="AJ42" i="104"/>
  <c r="AJ30" i="104"/>
  <c r="AJ43" i="104"/>
  <c r="E6" i="22"/>
  <c r="AJ25" i="104"/>
  <c r="AJ33" i="104"/>
  <c r="AJ21" i="104"/>
  <c r="AJ41" i="104"/>
  <c r="AJ11" i="104"/>
  <c r="AJ31" i="104"/>
  <c r="AJ26" i="104"/>
  <c r="AJ16" i="104"/>
  <c r="AJ40" i="104"/>
  <c r="C61" i="102" l="1"/>
  <c r="C86" i="102"/>
  <c r="C91" i="102"/>
  <c r="C67" i="102"/>
  <c r="C64" i="102"/>
  <c r="C74" i="102"/>
  <c r="C88" i="102"/>
  <c r="W76" i="102"/>
  <c r="S76" i="102" s="1"/>
  <c r="W73" i="102"/>
  <c r="S73" i="102" s="1"/>
  <c r="C99" i="102"/>
  <c r="C75" i="102"/>
  <c r="W66" i="102"/>
  <c r="S66" i="102" s="1"/>
  <c r="C94" i="102"/>
  <c r="W69" i="102"/>
  <c r="C63" i="102"/>
  <c r="C76" i="102"/>
  <c r="C83" i="102"/>
  <c r="C65" i="102"/>
  <c r="W72" i="102"/>
  <c r="W70" i="102"/>
  <c r="S70" i="102" s="1"/>
  <c r="C71" i="102"/>
  <c r="C95" i="102"/>
  <c r="C73" i="102"/>
  <c r="C81" i="102"/>
  <c r="C70" i="102"/>
  <c r="C98" i="102"/>
  <c r="C80" i="102"/>
  <c r="C90" i="102"/>
  <c r="C72" i="102"/>
  <c r="C100" i="102"/>
  <c r="C84" i="102"/>
  <c r="C69" i="102"/>
  <c r="C97" i="102"/>
  <c r="C77" i="102"/>
  <c r="C101" i="102"/>
  <c r="C79" i="102"/>
  <c r="C78" i="102"/>
  <c r="C66" i="102"/>
  <c r="C89" i="102"/>
  <c r="C82" i="102"/>
  <c r="C96" i="102"/>
  <c r="C62" i="102"/>
  <c r="C68" i="102"/>
  <c r="C87" i="102"/>
  <c r="C93" i="102"/>
  <c r="W78" i="102"/>
  <c r="S78" i="102" s="1"/>
  <c r="BY31" i="1"/>
  <c r="BH30" i="1"/>
  <c r="BY29" i="1"/>
  <c r="BH31" i="1"/>
  <c r="BH29" i="1"/>
  <c r="C29" i="102"/>
  <c r="BY30" i="1"/>
  <c r="W71" i="102"/>
  <c r="S71" i="102" s="1"/>
  <c r="W65" i="102"/>
  <c r="S65" i="102" s="1"/>
  <c r="W67" i="102"/>
  <c r="W75" i="102"/>
  <c r="S75" i="102" s="1"/>
  <c r="W74" i="102"/>
  <c r="S74" i="102" s="1"/>
  <c r="W77" i="102"/>
  <c r="S77" i="102" s="1"/>
  <c r="C85" i="102"/>
  <c r="W68" i="102"/>
  <c r="S68" i="102" s="1"/>
  <c r="C92" i="102"/>
  <c r="F14" i="14"/>
  <c r="F14" i="11" s="1"/>
  <c r="AK43" i="104"/>
  <c r="AK32" i="104"/>
  <c r="AG37" i="104"/>
  <c r="AK22" i="104"/>
  <c r="AK11" i="104"/>
  <c r="AG43" i="104"/>
  <c r="AK16" i="104"/>
  <c r="AK29" i="104"/>
  <c r="C31" i="102"/>
  <c r="AH37" i="104"/>
  <c r="BU37" i="1"/>
  <c r="AK13" i="104"/>
  <c r="AK27" i="104"/>
  <c r="AK28" i="104"/>
  <c r="AG28" i="104" s="1"/>
  <c r="AF28" i="104" s="1"/>
  <c r="AJ4" i="104"/>
  <c r="T69" i="102"/>
  <c r="BD37" i="1"/>
  <c r="AK14" i="104"/>
  <c r="AK36" i="104"/>
  <c r="C5" i="102"/>
  <c r="AF37" i="104"/>
  <c r="C30" i="102"/>
  <c r="AJ7" i="104"/>
  <c r="AK18" i="104"/>
  <c r="AJ6" i="104"/>
  <c r="J26" i="102"/>
  <c r="T72" i="102"/>
  <c r="AH28" i="104"/>
  <c r="AK25" i="104"/>
  <c r="AK21" i="104"/>
  <c r="AK20" i="104"/>
  <c r="Y30" i="102"/>
  <c r="AK31" i="104"/>
  <c r="T67" i="102"/>
  <c r="AJ5" i="104"/>
  <c r="BD36" i="1"/>
  <c r="AK42" i="104"/>
  <c r="BU35" i="1"/>
  <c r="AK26" i="104"/>
  <c r="BU36" i="1"/>
  <c r="AH43" i="104"/>
  <c r="C33" i="102"/>
  <c r="AG31" i="104"/>
  <c r="AH31" i="104" s="1"/>
  <c r="AK15" i="104"/>
  <c r="AK38" i="104"/>
  <c r="BD35" i="1"/>
  <c r="C32" i="102"/>
  <c r="AK30" i="104"/>
  <c r="AK33" i="104"/>
  <c r="AK17" i="104"/>
  <c r="AK23" i="104"/>
  <c r="AK40" i="104"/>
  <c r="AG27" i="104"/>
  <c r="AG42" i="104"/>
  <c r="AJ9" i="104"/>
  <c r="AK24" i="104"/>
  <c r="AK35" i="104"/>
  <c r="AK39" i="104"/>
  <c r="AJ8" i="104"/>
  <c r="AK12" i="104"/>
  <c r="AK34" i="104"/>
  <c r="AG29" i="104"/>
  <c r="AF29" i="104" s="1"/>
  <c r="AK10" i="104"/>
  <c r="AK19" i="104"/>
  <c r="AK44" i="104"/>
  <c r="AG22" i="104"/>
  <c r="AK41" i="104"/>
  <c r="AH27" i="104"/>
  <c r="V43" i="104" l="1"/>
  <c r="V29" i="104"/>
  <c r="V37" i="104"/>
  <c r="V31" i="104"/>
  <c r="V27" i="104"/>
  <c r="V28" i="104"/>
  <c r="V42" i="104"/>
  <c r="V22" i="104"/>
  <c r="AC30" i="102"/>
  <c r="S69" i="102"/>
  <c r="S72" i="102"/>
  <c r="S67" i="102"/>
  <c r="AG35" i="104"/>
  <c r="AG15" i="104"/>
  <c r="AG39" i="104"/>
  <c r="Q42" i="104"/>
  <c r="AG32" i="104"/>
  <c r="AG24" i="104"/>
  <c r="Q31" i="104"/>
  <c r="AF39" i="104"/>
  <c r="AG16" i="104"/>
  <c r="AK4" i="104"/>
  <c r="AK6" i="104"/>
  <c r="AG10" i="104"/>
  <c r="O42" i="104"/>
  <c r="AF32" i="104"/>
  <c r="Q28" i="104"/>
  <c r="F27" i="102"/>
  <c r="AF42" i="104"/>
  <c r="AG34" i="104"/>
  <c r="AG38" i="104"/>
  <c r="AF38" i="104" s="1"/>
  <c r="AG21" i="104"/>
  <c r="AF21" i="104" s="1"/>
  <c r="AF15" i="104"/>
  <c r="AK5" i="104"/>
  <c r="Q37" i="104"/>
  <c r="AH38" i="104"/>
  <c r="AH16" i="104"/>
  <c r="AG40" i="104"/>
  <c r="AK9" i="104"/>
  <c r="AG36" i="104"/>
  <c r="AG26" i="104"/>
  <c r="AH34" i="104"/>
  <c r="AH24" i="104"/>
  <c r="AH40" i="104"/>
  <c r="O37" i="104"/>
  <c r="AF27" i="104"/>
  <c r="AH22" i="104"/>
  <c r="AH42" i="104"/>
  <c r="Q29" i="104"/>
  <c r="R29" i="104" s="1"/>
  <c r="AG14" i="104"/>
  <c r="AG11" i="104"/>
  <c r="AH21" i="104"/>
  <c r="AK8" i="104"/>
  <c r="AG13" i="104"/>
  <c r="AG30" i="104"/>
  <c r="AG18" i="104"/>
  <c r="AF34" i="104"/>
  <c r="J27" i="102"/>
  <c r="AG12" i="104"/>
  <c r="AF12" i="104" s="1"/>
  <c r="AG19" i="104"/>
  <c r="AH19" i="104" s="1"/>
  <c r="AG41" i="104"/>
  <c r="R31" i="104"/>
  <c r="AH12" i="104"/>
  <c r="AG20" i="104"/>
  <c r="AF31" i="104"/>
  <c r="J29" i="102"/>
  <c r="J33" i="102" a="1"/>
  <c r="AG33" i="104"/>
  <c r="AF22" i="104"/>
  <c r="AG17" i="104"/>
  <c r="AF17" i="104" s="1"/>
  <c r="AF43" i="104"/>
  <c r="AF11" i="104"/>
  <c r="AF20" i="104"/>
  <c r="AG44" i="104"/>
  <c r="AH44" i="104" s="1"/>
  <c r="AG25" i="104"/>
  <c r="AF24" i="104"/>
  <c r="AH15" i="104"/>
  <c r="AH39" i="104"/>
  <c r="AG23" i="104"/>
  <c r="AK7" i="104"/>
  <c r="Q43" i="104"/>
  <c r="AH29" i="104"/>
  <c r="AF33" i="104"/>
  <c r="AF10" i="104"/>
  <c r="AF13" i="104"/>
  <c r="AH26" i="104"/>
  <c r="AF19" i="104"/>
  <c r="AF16" i="104"/>
  <c r="AF44" i="104"/>
  <c r="AH13" i="104"/>
  <c r="AF26" i="104"/>
  <c r="AH35" i="104"/>
  <c r="AH14" i="104"/>
  <c r="AF14" i="104"/>
  <c r="AH30" i="104"/>
  <c r="AF30" i="104"/>
  <c r="AH25" i="104"/>
  <c r="AF25" i="104"/>
  <c r="V20" i="104" l="1"/>
  <c r="V35" i="104"/>
  <c r="V26" i="104"/>
  <c r="V13" i="104"/>
  <c r="V21" i="104"/>
  <c r="V10" i="104"/>
  <c r="V38" i="104"/>
  <c r="V39" i="104"/>
  <c r="V41" i="104"/>
  <c r="V25" i="104"/>
  <c r="V19" i="104"/>
  <c r="V44" i="104"/>
  <c r="V11" i="104"/>
  <c r="V33" i="104"/>
  <c r="V12" i="104"/>
  <c r="V14" i="104"/>
  <c r="V18" i="104"/>
  <c r="V17" i="104"/>
  <c r="V30" i="104"/>
  <c r="V36" i="104"/>
  <c r="V40" i="104"/>
  <c r="V32" i="104"/>
  <c r="V34" i="104"/>
  <c r="V15" i="104"/>
  <c r="V24" i="104"/>
  <c r="V16" i="104"/>
  <c r="V23" i="104"/>
  <c r="R56" i="102"/>
  <c r="Q58" i="102"/>
  <c r="J59" i="102"/>
  <c r="P58" i="102"/>
  <c r="O34" i="102"/>
  <c r="T46" i="102"/>
  <c r="Q39" i="102"/>
  <c r="S37" i="102"/>
  <c r="P57" i="102"/>
  <c r="L38" i="102"/>
  <c r="P47" i="102"/>
  <c r="R36" i="102"/>
  <c r="J60" i="102"/>
  <c r="O55" i="102"/>
  <c r="R34" i="102"/>
  <c r="Q50" i="102"/>
  <c r="P42" i="102"/>
  <c r="K52" i="102"/>
  <c r="M46" i="102"/>
  <c r="Q34" i="102"/>
  <c r="J39" i="102"/>
  <c r="T48" i="102"/>
  <c r="P46" i="102"/>
  <c r="N49" i="102"/>
  <c r="M50" i="102"/>
  <c r="L48" i="102"/>
  <c r="M41" i="102"/>
  <c r="L58" i="102"/>
  <c r="S39" i="102"/>
  <c r="R44" i="102"/>
  <c r="M34" i="102"/>
  <c r="R55" i="102"/>
  <c r="S59" i="102"/>
  <c r="M59" i="102"/>
  <c r="R58" i="102"/>
  <c r="M54" i="102"/>
  <c r="N57" i="102"/>
  <c r="N45" i="102"/>
  <c r="M35" i="102"/>
  <c r="L39" i="102"/>
  <c r="O58" i="102"/>
  <c r="K36" i="102"/>
  <c r="L44" i="102"/>
  <c r="O45" i="102"/>
  <c r="T36" i="102"/>
  <c r="L49" i="102"/>
  <c r="S50" i="102"/>
  <c r="N59" i="102"/>
  <c r="S54" i="102"/>
  <c r="L50" i="102"/>
  <c r="T55" i="102"/>
  <c r="T57" i="102"/>
  <c r="K51" i="102"/>
  <c r="T42" i="102"/>
  <c r="S42" i="102"/>
  <c r="R39" i="102"/>
  <c r="M57" i="102"/>
  <c r="S52" i="102"/>
  <c r="P38" i="102"/>
  <c r="R48" i="102"/>
  <c r="J57" i="102"/>
  <c r="K43" i="102"/>
  <c r="Q59" i="102"/>
  <c r="U41" i="102"/>
  <c r="M58" i="102"/>
  <c r="K59" i="102"/>
  <c r="J35" i="102"/>
  <c r="U50" i="102"/>
  <c r="U35" i="102"/>
  <c r="T41" i="102"/>
  <c r="N38" i="102"/>
  <c r="Q52" i="102"/>
  <c r="J53" i="102"/>
  <c r="K60" i="102"/>
  <c r="N58" i="102"/>
  <c r="L59" i="102"/>
  <c r="K55" i="102"/>
  <c r="O48" i="102"/>
  <c r="J48" i="102"/>
  <c r="M52" i="102"/>
  <c r="S53" i="102"/>
  <c r="P51" i="102"/>
  <c r="Q33" i="102"/>
  <c r="P37" i="102"/>
  <c r="J33" i="102"/>
  <c r="S34" i="102"/>
  <c r="N52" i="102"/>
  <c r="P53" i="102"/>
  <c r="K49" i="102"/>
  <c r="K42" i="102"/>
  <c r="L57" i="102"/>
  <c r="P45" i="102"/>
  <c r="R43" i="102"/>
  <c r="P33" i="102"/>
  <c r="K53" i="102"/>
  <c r="R50" i="102"/>
  <c r="Q40" i="102"/>
  <c r="N53" i="102"/>
  <c r="L42" i="102"/>
  <c r="N60" i="102"/>
  <c r="U44" i="102"/>
  <c r="M45" i="102"/>
  <c r="M42" i="102"/>
  <c r="U59" i="102"/>
  <c r="S40" i="102"/>
  <c r="O44" i="102"/>
  <c r="L55" i="102"/>
  <c r="T43" i="102"/>
  <c r="U40" i="102"/>
  <c r="U37" i="102"/>
  <c r="K46" i="102"/>
  <c r="L41" i="102"/>
  <c r="L33" i="102"/>
  <c r="S58" i="102"/>
  <c r="N35" i="102"/>
  <c r="Q44" i="102"/>
  <c r="O36" i="102"/>
  <c r="T52" i="102"/>
  <c r="U39" i="102"/>
  <c r="Q47" i="102"/>
  <c r="P39" i="102"/>
  <c r="N42" i="102"/>
  <c r="Q42" i="102"/>
  <c r="S35" i="102"/>
  <c r="S57" i="102"/>
  <c r="S56" i="102"/>
  <c r="O50" i="102"/>
  <c r="P35" i="102"/>
  <c r="S38" i="102"/>
  <c r="R41" i="102"/>
  <c r="K38" i="102"/>
  <c r="M55" i="102"/>
  <c r="J42" i="102"/>
  <c r="L37" i="102"/>
  <c r="J54" i="102"/>
  <c r="N51" i="102"/>
  <c r="L34" i="102"/>
  <c r="P41" i="102"/>
  <c r="N44" i="102"/>
  <c r="O47" i="102"/>
  <c r="L47" i="102"/>
  <c r="P52" i="102"/>
  <c r="N41" i="102"/>
  <c r="Q36" i="102"/>
  <c r="R45" i="102"/>
  <c r="S48" i="102"/>
  <c r="J34" i="102"/>
  <c r="T49" i="102"/>
  <c r="S45" i="102"/>
  <c r="L60" i="102"/>
  <c r="O37" i="102"/>
  <c r="L45" i="102"/>
  <c r="U48" i="102"/>
  <c r="N56" i="102"/>
  <c r="T47" i="102"/>
  <c r="K44" i="102"/>
  <c r="K35" i="102"/>
  <c r="M44" i="102"/>
  <c r="O41" i="102"/>
  <c r="J55" i="102"/>
  <c r="U34" i="102"/>
  <c r="S47" i="102"/>
  <c r="T51" i="102"/>
  <c r="U36" i="102"/>
  <c r="R46" i="102"/>
  <c r="O52" i="102"/>
  <c r="M53" i="102"/>
  <c r="L53" i="102"/>
  <c r="M39" i="102"/>
  <c r="J58" i="102"/>
  <c r="R42" i="102"/>
  <c r="R52" i="102"/>
  <c r="K48" i="102"/>
  <c r="M56" i="102"/>
  <c r="M51" i="102"/>
  <c r="N47" i="102"/>
  <c r="O42" i="102"/>
  <c r="L43" i="102"/>
  <c r="N43" i="102"/>
  <c r="U58" i="102"/>
  <c r="J37" i="102"/>
  <c r="T38" i="102"/>
  <c r="P50" i="102"/>
  <c r="M47" i="102"/>
  <c r="T60" i="102"/>
  <c r="O43" i="102"/>
  <c r="J45" i="102"/>
  <c r="N34" i="102"/>
  <c r="O40" i="102"/>
  <c r="K56" i="102"/>
  <c r="U53" i="102"/>
  <c r="M48" i="102"/>
  <c r="S46" i="102"/>
  <c r="P44" i="102"/>
  <c r="M37" i="102"/>
  <c r="L46" i="102"/>
  <c r="U45" i="102"/>
  <c r="T40" i="102"/>
  <c r="L35" i="102"/>
  <c r="K50" i="102"/>
  <c r="U46" i="102"/>
  <c r="U47" i="102"/>
  <c r="Q56" i="102"/>
  <c r="K58" i="102"/>
  <c r="R47" i="102"/>
  <c r="L36" i="102"/>
  <c r="M40" i="102"/>
  <c r="L40" i="102"/>
  <c r="M33" i="102"/>
  <c r="T59" i="102"/>
  <c r="Q57" i="102"/>
  <c r="Q55" i="102"/>
  <c r="R60" i="102"/>
  <c r="J47" i="102"/>
  <c r="K57" i="102"/>
  <c r="J56" i="102"/>
  <c r="T34" i="102"/>
  <c r="K47" i="102"/>
  <c r="R40" i="102"/>
  <c r="J38" i="102"/>
  <c r="S51" i="102"/>
  <c r="J46" i="102"/>
  <c r="N55" i="102"/>
  <c r="M38" i="102"/>
  <c r="Q35" i="102"/>
  <c r="O38" i="102"/>
  <c r="U49" i="102"/>
  <c r="N48" i="102"/>
  <c r="K39" i="102"/>
  <c r="O51" i="102"/>
  <c r="U42" i="102"/>
  <c r="S43" i="102"/>
  <c r="T37" i="102"/>
  <c r="O35" i="102"/>
  <c r="T44" i="102"/>
  <c r="Q60" i="102"/>
  <c r="Q53" i="102"/>
  <c r="P40" i="102"/>
  <c r="S60" i="102"/>
  <c r="N50" i="102"/>
  <c r="O54" i="102"/>
  <c r="J50" i="102"/>
  <c r="O53" i="102"/>
  <c r="R49" i="102"/>
  <c r="R53" i="102"/>
  <c r="Q43" i="102"/>
  <c r="U38" i="102"/>
  <c r="U43" i="102"/>
  <c r="K34" i="102"/>
  <c r="K33" i="102"/>
  <c r="J49" i="102"/>
  <c r="Q41" i="102"/>
  <c r="Q54" i="102"/>
  <c r="K41" i="102"/>
  <c r="Q48" i="102"/>
  <c r="R57" i="102"/>
  <c r="T53" i="102"/>
  <c r="O33" i="102"/>
  <c r="M49" i="102"/>
  <c r="M36" i="102"/>
  <c r="T56" i="102"/>
  <c r="U60" i="102"/>
  <c r="P43" i="102"/>
  <c r="K54" i="102"/>
  <c r="S36" i="102"/>
  <c r="K40" i="102"/>
  <c r="N33" i="102"/>
  <c r="N39" i="102"/>
  <c r="R59" i="102"/>
  <c r="L56" i="102"/>
  <c r="P59" i="102"/>
  <c r="S33" i="102"/>
  <c r="T45" i="102"/>
  <c r="Q49" i="102"/>
  <c r="J36" i="102"/>
  <c r="Q46" i="102"/>
  <c r="U51" i="102"/>
  <c r="R35" i="102"/>
  <c r="P55" i="102"/>
  <c r="Q51" i="102"/>
  <c r="P34" i="102"/>
  <c r="U56" i="102"/>
  <c r="T39" i="102"/>
  <c r="T58" i="102"/>
  <c r="O60" i="102"/>
  <c r="R37" i="102"/>
  <c r="N36" i="102"/>
  <c r="O39" i="102"/>
  <c r="O49" i="102"/>
  <c r="M43" i="102"/>
  <c r="S44" i="102"/>
  <c r="O57" i="102"/>
  <c r="P48" i="102"/>
  <c r="S41" i="102"/>
  <c r="K45" i="102"/>
  <c r="P56" i="102"/>
  <c r="U52" i="102"/>
  <c r="M60" i="102"/>
  <c r="J51" i="102"/>
  <c r="U57" i="102"/>
  <c r="P49" i="102"/>
  <c r="R54" i="102"/>
  <c r="Q45" i="102"/>
  <c r="L52" i="102"/>
  <c r="N40" i="102"/>
  <c r="L54" i="102"/>
  <c r="O59" i="102"/>
  <c r="T50" i="102"/>
  <c r="U33" i="102"/>
  <c r="P36" i="102"/>
  <c r="Q37" i="102"/>
  <c r="U54" i="102"/>
  <c r="R51" i="102"/>
  <c r="J52" i="102"/>
  <c r="S55" i="102"/>
  <c r="S49" i="102"/>
  <c r="P54" i="102"/>
  <c r="L51" i="102"/>
  <c r="U55" i="102"/>
  <c r="O56" i="102"/>
  <c r="N46" i="102"/>
  <c r="O46" i="102"/>
  <c r="K37" i="102"/>
  <c r="T35" i="102"/>
  <c r="R38" i="102"/>
  <c r="J41" i="102"/>
  <c r="J40" i="102"/>
  <c r="J43" i="102"/>
  <c r="Q38" i="102"/>
  <c r="J44" i="102"/>
  <c r="N54" i="102"/>
  <c r="P60" i="102"/>
  <c r="R33" i="102"/>
  <c r="T33" i="102"/>
  <c r="T54" i="102"/>
  <c r="N37" i="102"/>
  <c r="R43" i="104"/>
  <c r="AF41" i="104"/>
  <c r="AH10" i="104"/>
  <c r="Q24" i="104"/>
  <c r="Q26" i="104"/>
  <c r="Q15" i="104"/>
  <c r="Q40" i="104"/>
  <c r="R26" i="104"/>
  <c r="Q21" i="104"/>
  <c r="O43" i="104"/>
  <c r="Q36" i="104"/>
  <c r="Q30" i="104"/>
  <c r="R21" i="104"/>
  <c r="AF23" i="104"/>
  <c r="AH11" i="104"/>
  <c r="O31" i="104"/>
  <c r="Q27" i="104"/>
  <c r="AG8" i="104"/>
  <c r="R42" i="104"/>
  <c r="Q44" i="104"/>
  <c r="Q22" i="104"/>
  <c r="Q32" i="104"/>
  <c r="O32" i="104" s="1"/>
  <c r="Q38" i="104"/>
  <c r="Q33" i="104"/>
  <c r="R38" i="104"/>
  <c r="R37" i="104"/>
  <c r="Q41" i="104"/>
  <c r="J53" i="104" s="1"/>
  <c r="H53" i="104"/>
  <c r="O29" i="104"/>
  <c r="R32" i="104"/>
  <c r="R30" i="104"/>
  <c r="Q25" i="104"/>
  <c r="C53" i="104"/>
  <c r="O21" i="104"/>
  <c r="R41" i="104"/>
  <c r="F53" i="104"/>
  <c r="AH20" i="104"/>
  <c r="AF36" i="104"/>
  <c r="Q19" i="104" s="1"/>
  <c r="AF35" i="104"/>
  <c r="AH17" i="104"/>
  <c r="O27" i="104"/>
  <c r="Q17" i="104"/>
  <c r="Q16" i="104"/>
  <c r="Q10" i="104"/>
  <c r="AG4" i="104"/>
  <c r="AG5" i="104"/>
  <c r="R44" i="104"/>
  <c r="O22" i="104"/>
  <c r="AH41" i="104"/>
  <c r="R24" i="104"/>
  <c r="O41" i="104"/>
  <c r="AH36" i="104"/>
  <c r="AF40" i="104"/>
  <c r="AH33" i="104"/>
  <c r="AG9" i="104"/>
  <c r="R10" i="104"/>
  <c r="R25" i="104"/>
  <c r="Q20" i="104"/>
  <c r="R28" i="104"/>
  <c r="Q35" i="104"/>
  <c r="Q39" i="104"/>
  <c r="O39" i="104" s="1"/>
  <c r="AH32" i="104"/>
  <c r="Q18" i="104"/>
  <c r="AH23" i="104"/>
  <c r="O28" i="104"/>
  <c r="Q14" i="104"/>
  <c r="R14" i="104" s="1"/>
  <c r="AF18" i="104"/>
  <c r="R39" i="104"/>
  <c r="O44" i="104"/>
  <c r="Q11" i="104"/>
  <c r="Q13" i="104"/>
  <c r="O13" i="104" s="1"/>
  <c r="AG6" i="104"/>
  <c r="O14" i="104"/>
  <c r="AH18" i="104"/>
  <c r="Q12" i="104"/>
  <c r="R12" i="104" s="1"/>
  <c r="Q34" i="104"/>
  <c r="R15" i="104"/>
  <c r="AG7" i="104"/>
  <c r="R40" i="104"/>
  <c r="R33" i="104"/>
  <c r="E53" i="104"/>
  <c r="O12" i="104"/>
  <c r="D53" i="104"/>
  <c r="G53" i="104"/>
  <c r="J28" i="102"/>
  <c r="J30" i="102"/>
  <c r="O19" i="104"/>
  <c r="O17" i="104"/>
  <c r="R17" i="104"/>
  <c r="R20" i="104"/>
  <c r="O20" i="104"/>
  <c r="R35" i="104"/>
  <c r="O35" i="104"/>
  <c r="O18" i="104"/>
  <c r="R18" i="104"/>
  <c r="R11" i="104"/>
  <c r="V8" i="104" l="1"/>
  <c r="V6" i="104"/>
  <c r="V4" i="104"/>
  <c r="V9" i="104"/>
  <c r="V7" i="104"/>
  <c r="V5" i="104"/>
  <c r="O34" i="104"/>
  <c r="R19" i="104"/>
  <c r="R27" i="104"/>
  <c r="AF5" i="104"/>
  <c r="Q9" i="104"/>
  <c r="Q8" i="104"/>
  <c r="R13" i="104"/>
  <c r="AH6" i="104"/>
  <c r="R16" i="104"/>
  <c r="AH9" i="104"/>
  <c r="O11" i="104"/>
  <c r="O25" i="104"/>
  <c r="O30" i="104"/>
  <c r="AH5" i="104"/>
  <c r="B60" i="104"/>
  <c r="O16" i="104"/>
  <c r="O33" i="104"/>
  <c r="Q6" i="104"/>
  <c r="AF8" i="104"/>
  <c r="AF7" i="104"/>
  <c r="AH8" i="104"/>
  <c r="Q23" i="104"/>
  <c r="O23" i="104" s="1"/>
  <c r="O38" i="104"/>
  <c r="R36" i="104"/>
  <c r="R23" i="104"/>
  <c r="R34" i="104"/>
  <c r="AH7" i="104"/>
  <c r="K8" i="13"/>
  <c r="AF4" i="104"/>
  <c r="O36" i="104"/>
  <c r="AF6" i="104"/>
  <c r="Q7" i="104"/>
  <c r="O10" i="104"/>
  <c r="R22" i="104"/>
  <c r="O26" i="104"/>
  <c r="O15" i="104"/>
  <c r="K18" i="13"/>
  <c r="O40" i="104"/>
  <c r="AH4" i="104"/>
  <c r="Q4" i="104"/>
  <c r="O24" i="104"/>
  <c r="AF9" i="104"/>
  <c r="Q5" i="104"/>
  <c r="AT16" i="12" l="1"/>
  <c r="AT15" i="12"/>
  <c r="AT14" i="12"/>
  <c r="AJ16" i="12"/>
  <c r="AH16" i="12" s="1"/>
  <c r="AJ15" i="12"/>
  <c r="AH15" i="12" s="1"/>
  <c r="AJ14" i="12"/>
  <c r="AH14" i="12" s="1"/>
  <c r="AJ13" i="12"/>
  <c r="AJ12" i="12"/>
  <c r="AJ11" i="12"/>
  <c r="AJ10" i="12"/>
  <c r="AJ9" i="12"/>
  <c r="AJ8" i="12"/>
  <c r="AJ7" i="12"/>
  <c r="AJ6" i="12"/>
  <c r="AJ5" i="12"/>
  <c r="AJ4" i="12"/>
  <c r="AJ3" i="12"/>
  <c r="AJ2" i="12"/>
  <c r="Y12" i="12"/>
  <c r="Y8" i="12"/>
  <c r="R6" i="104"/>
  <c r="K19" i="13"/>
  <c r="M5" i="2"/>
  <c r="R7" i="104"/>
  <c r="T119" i="12"/>
  <c r="H8" i="13"/>
  <c r="T14" i="12"/>
  <c r="O6" i="104"/>
  <c r="T123" i="12"/>
  <c r="O5" i="104"/>
  <c r="T122" i="12"/>
  <c r="T124" i="12"/>
  <c r="R9" i="104"/>
  <c r="R8" i="104"/>
  <c r="T117" i="12"/>
  <c r="T15" i="12"/>
  <c r="K9" i="13"/>
  <c r="O4" i="104"/>
  <c r="M21" i="2"/>
  <c r="T12" i="12"/>
  <c r="O7" i="104"/>
  <c r="T120" i="12"/>
  <c r="O9" i="104"/>
  <c r="T13" i="12"/>
  <c r="H18" i="13"/>
  <c r="T118" i="12"/>
  <c r="R5" i="104"/>
  <c r="T121" i="12"/>
  <c r="R4" i="104"/>
  <c r="T11" i="12"/>
  <c r="T16" i="12"/>
  <c r="O8" i="104"/>
  <c r="T10" i="12"/>
  <c r="AC14" i="12" l="1"/>
  <c r="BU14" i="12" s="1"/>
  <c r="AC15" i="12"/>
  <c r="BU15" i="12" s="1"/>
  <c r="AC16" i="12"/>
  <c r="BU16" i="12" s="1"/>
  <c r="M6" i="2"/>
  <c r="D121" i="12"/>
  <c r="D119" i="12"/>
  <c r="H19" i="13"/>
  <c r="AD16" i="12"/>
  <c r="D124" i="12"/>
  <c r="H9" i="13"/>
  <c r="D12" i="12"/>
  <c r="D120" i="12"/>
  <c r="AD14" i="12"/>
  <c r="F74" i="2"/>
  <c r="D117" i="12"/>
  <c r="D123" i="12"/>
  <c r="M22" i="2"/>
  <c r="AD15" i="12"/>
  <c r="F38" i="2"/>
  <c r="D11" i="12"/>
  <c r="D14" i="12"/>
  <c r="D15" i="12"/>
  <c r="D13" i="12"/>
  <c r="D118" i="12"/>
  <c r="D16" i="12"/>
  <c r="D122" i="12"/>
  <c r="D10" i="12"/>
  <c r="T98" i="62" l="1"/>
  <c r="T97" i="62"/>
  <c r="T96" i="62"/>
  <c r="T95" i="62"/>
  <c r="T94" i="62"/>
  <c r="T93" i="62"/>
  <c r="T92" i="62"/>
  <c r="T91" i="62"/>
  <c r="T90" i="62"/>
  <c r="T89" i="62"/>
  <c r="T88" i="62"/>
  <c r="T87" i="62"/>
  <c r="T86" i="62"/>
  <c r="T82" i="62"/>
  <c r="T81" i="62"/>
  <c r="T80" i="62"/>
  <c r="T79" i="62"/>
  <c r="T78" i="62"/>
  <c r="T77" i="62"/>
  <c r="T76" i="62"/>
  <c r="T75" i="62"/>
  <c r="T74" i="62"/>
  <c r="T73" i="62"/>
  <c r="T72" i="62"/>
  <c r="T71" i="62"/>
  <c r="T70" i="62"/>
  <c r="T66" i="62"/>
  <c r="T65" i="62"/>
  <c r="T64" i="62"/>
  <c r="T63" i="62"/>
  <c r="T62" i="62"/>
  <c r="T61" i="62"/>
  <c r="T60" i="62"/>
  <c r="T59" i="62"/>
  <c r="T58" i="62"/>
  <c r="T57" i="62"/>
  <c r="T56" i="62"/>
  <c r="T55" i="62"/>
  <c r="T54" i="62"/>
  <c r="T50" i="62"/>
  <c r="T49" i="62"/>
  <c r="T48" i="62"/>
  <c r="T47" i="62"/>
  <c r="T46" i="62"/>
  <c r="T45" i="62"/>
  <c r="T44" i="62"/>
  <c r="T43" i="62"/>
  <c r="T42" i="62"/>
  <c r="T41" i="62"/>
  <c r="T40" i="62"/>
  <c r="T39" i="62"/>
  <c r="T38" i="62"/>
  <c r="T34" i="62"/>
  <c r="T33" i="62"/>
  <c r="T32" i="62"/>
  <c r="T31" i="62"/>
  <c r="T30" i="62"/>
  <c r="T29" i="62"/>
  <c r="T28" i="62"/>
  <c r="T27" i="62"/>
  <c r="T26" i="62"/>
  <c r="T25" i="62"/>
  <c r="T24" i="62"/>
  <c r="T23" i="62"/>
  <c r="T22" i="62"/>
  <c r="N16" i="62"/>
  <c r="C175" i="62" s="1"/>
  <c r="M16" i="62"/>
  <c r="C162" i="62" s="1"/>
  <c r="L16" i="62"/>
  <c r="C149" i="62" s="1"/>
  <c r="K16" i="62"/>
  <c r="C136" i="62" s="1"/>
  <c r="J16" i="62"/>
  <c r="C123" i="62" s="1"/>
  <c r="I16" i="62"/>
  <c r="C110" i="62" s="1"/>
  <c r="N15" i="62"/>
  <c r="C174" i="62" s="1"/>
  <c r="M15" i="62"/>
  <c r="C161" i="62" s="1"/>
  <c r="L15" i="62"/>
  <c r="C148" i="62" s="1"/>
  <c r="K15" i="62"/>
  <c r="C135" i="62" s="1"/>
  <c r="J15" i="62"/>
  <c r="C122" i="62" s="1"/>
  <c r="I15" i="62"/>
  <c r="C109" i="62" s="1"/>
  <c r="N14" i="62"/>
  <c r="C173" i="62" s="1"/>
  <c r="M14" i="62"/>
  <c r="C160" i="62" s="1"/>
  <c r="L14" i="62"/>
  <c r="C147" i="62" s="1"/>
  <c r="K14" i="62"/>
  <c r="C134" i="62" s="1"/>
  <c r="J14" i="62"/>
  <c r="C121" i="62" s="1"/>
  <c r="I14" i="62"/>
  <c r="C108" i="62" s="1"/>
  <c r="N13" i="62"/>
  <c r="C172" i="62" s="1"/>
  <c r="M13" i="62"/>
  <c r="C159" i="62" s="1"/>
  <c r="L13" i="62"/>
  <c r="C146" i="62" s="1"/>
  <c r="K13" i="62"/>
  <c r="C133" i="62" s="1"/>
  <c r="J13" i="62"/>
  <c r="C120" i="62" s="1"/>
  <c r="I13" i="62"/>
  <c r="C107" i="62" s="1"/>
  <c r="N12" i="62"/>
  <c r="C171" i="62" s="1"/>
  <c r="M12" i="62"/>
  <c r="C158" i="62" s="1"/>
  <c r="L12" i="62"/>
  <c r="C145" i="62" s="1"/>
  <c r="K12" i="62"/>
  <c r="C132" i="62" s="1"/>
  <c r="J12" i="62"/>
  <c r="C119" i="62" s="1"/>
  <c r="I12" i="62"/>
  <c r="C106" i="62" s="1"/>
  <c r="N11" i="62"/>
  <c r="C170" i="62" s="1"/>
  <c r="M11" i="62"/>
  <c r="C157" i="62" s="1"/>
  <c r="L11" i="62"/>
  <c r="C144" i="62" s="1"/>
  <c r="K11" i="62"/>
  <c r="C131" i="62" s="1"/>
  <c r="J11" i="62"/>
  <c r="C118" i="62" s="1"/>
  <c r="I11" i="62"/>
  <c r="C105" i="62" s="1"/>
  <c r="N10" i="62"/>
  <c r="C169" i="62" s="1"/>
  <c r="M10" i="62"/>
  <c r="C156" i="62" s="1"/>
  <c r="L10" i="62"/>
  <c r="C143" i="62" s="1"/>
  <c r="K10" i="62"/>
  <c r="C130" i="62" s="1"/>
  <c r="J10" i="62"/>
  <c r="C117" i="62" s="1"/>
  <c r="I10" i="62"/>
  <c r="C104" i="62" s="1"/>
  <c r="N9" i="62"/>
  <c r="C168" i="62" s="1"/>
  <c r="M9" i="62"/>
  <c r="C155" i="62" s="1"/>
  <c r="L9" i="62"/>
  <c r="C142" i="62" s="1"/>
  <c r="K9" i="62"/>
  <c r="C129" i="62" s="1"/>
  <c r="J9" i="62"/>
  <c r="C116" i="62" s="1"/>
  <c r="I9" i="62"/>
  <c r="C103" i="62" s="1"/>
  <c r="N8" i="62"/>
  <c r="C167" i="62" s="1"/>
  <c r="M8" i="62"/>
  <c r="C154" i="62" s="1"/>
  <c r="L8" i="62"/>
  <c r="C141" i="62" s="1"/>
  <c r="K8" i="62"/>
  <c r="C128" i="62" s="1"/>
  <c r="J8" i="62"/>
  <c r="C115" i="62" s="1"/>
  <c r="I8" i="62"/>
  <c r="C102" i="62" s="1"/>
  <c r="N7" i="62"/>
  <c r="C166" i="62" s="1"/>
  <c r="M7" i="62"/>
  <c r="C153" i="62" s="1"/>
  <c r="L7" i="62"/>
  <c r="C140" i="62" s="1"/>
  <c r="K7" i="62"/>
  <c r="C127" i="62" s="1"/>
  <c r="J7" i="62"/>
  <c r="C114" i="62" s="1"/>
  <c r="I7" i="62"/>
  <c r="C101" i="62" s="1"/>
  <c r="N6" i="62"/>
  <c r="C165" i="62" s="1"/>
  <c r="M6" i="62"/>
  <c r="C152" i="62" s="1"/>
  <c r="L6" i="62"/>
  <c r="C139" i="62" s="1"/>
  <c r="K6" i="62"/>
  <c r="C126" i="62" s="1"/>
  <c r="J6" i="62"/>
  <c r="C113" i="62" s="1"/>
  <c r="I6" i="62"/>
  <c r="C100" i="62" s="1"/>
  <c r="N5" i="62"/>
  <c r="C164" i="62" s="1"/>
  <c r="M5" i="62"/>
  <c r="C151" i="62" s="1"/>
  <c r="L5" i="62"/>
  <c r="C138" i="62" s="1"/>
  <c r="K5" i="62"/>
  <c r="C125" i="62" s="1"/>
  <c r="J5" i="62"/>
  <c r="C112" i="62" s="1"/>
  <c r="I5" i="62"/>
  <c r="C99" i="62" s="1"/>
  <c r="N4" i="62"/>
  <c r="C163" i="62" s="1"/>
  <c r="M4" i="62"/>
  <c r="C150" i="62" s="1"/>
  <c r="L4" i="62"/>
  <c r="C137" i="62" s="1"/>
  <c r="K4" i="62"/>
  <c r="C124" i="62" s="1"/>
  <c r="J4" i="62"/>
  <c r="C111" i="62" s="1"/>
  <c r="I4" i="62"/>
  <c r="C98" i="62" s="1"/>
  <c r="A16" i="62"/>
  <c r="G16" i="62" s="1"/>
  <c r="C84" i="62" s="1"/>
  <c r="A15" i="62"/>
  <c r="G15" i="62" s="1"/>
  <c r="C83" i="62" s="1"/>
  <c r="A14" i="62"/>
  <c r="E14" i="62" s="1"/>
  <c r="C56" i="62" s="1"/>
  <c r="A13" i="62"/>
  <c r="E13" i="62" s="1"/>
  <c r="C55" i="62" s="1"/>
  <c r="A12" i="62"/>
  <c r="G12" i="62" s="1"/>
  <c r="C80" i="62" s="1"/>
  <c r="A11" i="62"/>
  <c r="H11" i="62" s="1"/>
  <c r="C92" i="62" s="1"/>
  <c r="A10" i="62"/>
  <c r="G10" i="62" s="1"/>
  <c r="C78" i="62" s="1"/>
  <c r="A9" i="62"/>
  <c r="D9" i="62" s="1"/>
  <c r="C38" i="62" s="1"/>
  <c r="A8" i="62"/>
  <c r="G8" i="62" s="1"/>
  <c r="C76" i="62" s="1"/>
  <c r="A7" i="62"/>
  <c r="G7" i="62" s="1"/>
  <c r="C75" i="62" s="1"/>
  <c r="A6" i="62"/>
  <c r="E6" i="62" s="1"/>
  <c r="C48" i="62" s="1"/>
  <c r="A5" i="62"/>
  <c r="E5" i="62" s="1"/>
  <c r="C47" i="62" s="1"/>
  <c r="A4" i="62"/>
  <c r="F4" i="62" s="1"/>
  <c r="C59" i="62" s="1"/>
  <c r="D3" i="62"/>
  <c r="E3" i="62" s="1"/>
  <c r="F3" i="62" s="1"/>
  <c r="G3" i="62" s="1"/>
  <c r="H3" i="62" s="1"/>
  <c r="I3" i="62" s="1"/>
  <c r="AE16" i="12"/>
  <c r="AE14" i="12"/>
  <c r="F39" i="2"/>
  <c r="AE15" i="12"/>
  <c r="F75" i="2"/>
  <c r="F13" i="62" l="1"/>
  <c r="C68" i="62" s="1"/>
  <c r="C8" i="62"/>
  <c r="C24" i="62" s="1"/>
  <c r="G14" i="62"/>
  <c r="C82" i="62" s="1"/>
  <c r="H16" i="62"/>
  <c r="C97" i="62" s="1"/>
  <c r="C15" i="62"/>
  <c r="C31" i="62" s="1"/>
  <c r="H7" i="62"/>
  <c r="C88" i="62" s="1"/>
  <c r="D15" i="62"/>
  <c r="C44" i="62" s="1"/>
  <c r="C4" i="62"/>
  <c r="C20" i="62" s="1"/>
  <c r="G4" i="62"/>
  <c r="C72" i="62" s="1"/>
  <c r="C16" i="62"/>
  <c r="C32" i="62" s="1"/>
  <c r="C7" i="62"/>
  <c r="C23" i="62" s="1"/>
  <c r="F5" i="62"/>
  <c r="C60" i="62" s="1"/>
  <c r="C12" i="62"/>
  <c r="C28" i="62" s="1"/>
  <c r="D7" i="62"/>
  <c r="C36" i="62" s="1"/>
  <c r="F7" i="62"/>
  <c r="C62" i="62" s="1"/>
  <c r="D4" i="62"/>
  <c r="C33" i="62" s="1"/>
  <c r="D12" i="62"/>
  <c r="C41" i="62" s="1"/>
  <c r="E4" i="62"/>
  <c r="C46" i="62" s="1"/>
  <c r="E12" i="62"/>
  <c r="C54" i="62" s="1"/>
  <c r="G6" i="62"/>
  <c r="C74" i="62" s="1"/>
  <c r="F15" i="62"/>
  <c r="C70" i="62" s="1"/>
  <c r="F9" i="62"/>
  <c r="C64" i="62" s="1"/>
  <c r="G9" i="62"/>
  <c r="C77" i="62" s="1"/>
  <c r="H8" i="62"/>
  <c r="C89" i="62" s="1"/>
  <c r="H4" i="62"/>
  <c r="C85" i="62" s="1"/>
  <c r="D8" i="62"/>
  <c r="C37" i="62" s="1"/>
  <c r="D16" i="62"/>
  <c r="C45" i="62" s="1"/>
  <c r="F12" i="62"/>
  <c r="C67" i="62" s="1"/>
  <c r="H12" i="62"/>
  <c r="C93" i="62" s="1"/>
  <c r="E9" i="62"/>
  <c r="C51" i="62" s="1"/>
  <c r="H15" i="62"/>
  <c r="C96" i="62" s="1"/>
  <c r="C10" i="62"/>
  <c r="C26" i="62" s="1"/>
  <c r="G5" i="62"/>
  <c r="C73" i="62" s="1"/>
  <c r="G13" i="62"/>
  <c r="C81" i="62" s="1"/>
  <c r="H5" i="62"/>
  <c r="C86" i="62" s="1"/>
  <c r="H13" i="62"/>
  <c r="C94" i="62" s="1"/>
  <c r="C5" i="62"/>
  <c r="C21" i="62" s="1"/>
  <c r="E7" i="62"/>
  <c r="C49" i="62" s="1"/>
  <c r="D10" i="62"/>
  <c r="C39" i="62" s="1"/>
  <c r="C13" i="62"/>
  <c r="C29" i="62" s="1"/>
  <c r="E15" i="62"/>
  <c r="C57" i="62" s="1"/>
  <c r="F6" i="62"/>
  <c r="C61" i="62" s="1"/>
  <c r="F10" i="62"/>
  <c r="C65" i="62" s="1"/>
  <c r="F14" i="62"/>
  <c r="C69" i="62" s="1"/>
  <c r="H6" i="62"/>
  <c r="C87" i="62" s="1"/>
  <c r="H14" i="62"/>
  <c r="C95" i="62" s="1"/>
  <c r="D5" i="62"/>
  <c r="C34" i="62" s="1"/>
  <c r="D13" i="62"/>
  <c r="C42" i="62" s="1"/>
  <c r="C6" i="62"/>
  <c r="C22" i="62" s="1"/>
  <c r="E8" i="62"/>
  <c r="C50" i="62" s="1"/>
  <c r="D11" i="62"/>
  <c r="C40" i="62" s="1"/>
  <c r="C14" i="62"/>
  <c r="C30" i="62" s="1"/>
  <c r="E16" i="62"/>
  <c r="C58" i="62" s="1"/>
  <c r="G11" i="62"/>
  <c r="C79" i="62" s="1"/>
  <c r="H9" i="62"/>
  <c r="C90" i="62" s="1"/>
  <c r="E10" i="62"/>
  <c r="C52" i="62" s="1"/>
  <c r="D6" i="62"/>
  <c r="C35" i="62" s="1"/>
  <c r="C9" i="62"/>
  <c r="C25" i="62" s="1"/>
  <c r="E11" i="62"/>
  <c r="C53" i="62" s="1"/>
  <c r="D14" i="62"/>
  <c r="C43" i="62" s="1"/>
  <c r="F8" i="62"/>
  <c r="C63" i="62" s="1"/>
  <c r="F16" i="62"/>
  <c r="C71" i="62" s="1"/>
  <c r="H10" i="62"/>
  <c r="C91" i="62" s="1"/>
  <c r="C11" i="62"/>
  <c r="C27" i="62" s="1"/>
  <c r="F11" i="62"/>
  <c r="C66" i="62" s="1"/>
  <c r="BC590" i="42" l="1"/>
  <c r="BD590" i="42"/>
  <c r="BE590" i="42"/>
  <c r="BF590" i="42"/>
  <c r="BH590" i="42"/>
  <c r="BC591" i="42"/>
  <c r="BD591" i="42"/>
  <c r="BE591" i="42"/>
  <c r="BF591" i="42"/>
  <c r="BH591" i="42"/>
  <c r="BC592" i="42"/>
  <c r="BD592" i="42"/>
  <c r="BE592" i="42"/>
  <c r="BF592" i="42"/>
  <c r="BH592" i="42"/>
  <c r="BC593" i="42"/>
  <c r="BD593" i="42"/>
  <c r="BE593" i="42"/>
  <c r="BF593" i="42"/>
  <c r="BH593" i="42"/>
  <c r="BC594" i="42"/>
  <c r="BD594" i="42"/>
  <c r="BE594" i="42"/>
  <c r="BF594" i="42"/>
  <c r="BH594" i="42"/>
  <c r="BC595" i="42"/>
  <c r="BD595" i="42"/>
  <c r="BE595" i="42"/>
  <c r="BF595" i="42"/>
  <c r="BH595" i="42"/>
  <c r="BC596" i="42"/>
  <c r="BD596" i="42"/>
  <c r="BE596" i="42"/>
  <c r="BF596" i="42"/>
  <c r="BH596" i="42"/>
  <c r="BC597" i="42"/>
  <c r="BD597" i="42"/>
  <c r="BE597" i="42"/>
  <c r="BF597" i="42"/>
  <c r="BH597" i="42"/>
  <c r="BC598" i="42"/>
  <c r="BD598" i="42"/>
  <c r="BE598" i="42"/>
  <c r="BF598" i="42"/>
  <c r="BH598" i="42"/>
  <c r="BC599" i="42"/>
  <c r="BD599" i="42"/>
  <c r="BE599" i="42"/>
  <c r="BF599" i="42"/>
  <c r="BH599" i="42"/>
  <c r="BC600" i="42"/>
  <c r="BD600" i="42"/>
  <c r="BE600" i="42"/>
  <c r="BF600" i="42"/>
  <c r="BH600" i="42"/>
  <c r="BC601" i="42"/>
  <c r="BD601" i="42"/>
  <c r="BE601" i="42"/>
  <c r="BF601" i="42"/>
  <c r="BH601" i="42"/>
  <c r="BC602" i="42"/>
  <c r="BD602" i="42"/>
  <c r="BE602" i="42"/>
  <c r="BF602" i="42"/>
  <c r="BH602" i="42"/>
  <c r="BO602" i="42"/>
  <c r="BN602" i="42"/>
  <c r="BM602" i="42"/>
  <c r="BL602" i="42"/>
  <c r="BK602" i="42"/>
  <c r="BJ602" i="42"/>
  <c r="BI602" i="42"/>
  <c r="AS602" i="42"/>
  <c r="BO601" i="42"/>
  <c r="BN601" i="42"/>
  <c r="BM601" i="42"/>
  <c r="BL601" i="42"/>
  <c r="BK601" i="42"/>
  <c r="BJ601" i="42"/>
  <c r="BI601" i="42"/>
  <c r="AS601" i="42"/>
  <c r="BO600" i="42"/>
  <c r="BN600" i="42"/>
  <c r="BM600" i="42"/>
  <c r="BL600" i="42"/>
  <c r="BK600" i="42"/>
  <c r="BJ600" i="42"/>
  <c r="BI600" i="42"/>
  <c r="AS600" i="42"/>
  <c r="BO599" i="42"/>
  <c r="BN599" i="42"/>
  <c r="BM599" i="42"/>
  <c r="BL599" i="42"/>
  <c r="BK599" i="42"/>
  <c r="BJ599" i="42"/>
  <c r="BI599" i="42"/>
  <c r="AS599" i="42"/>
  <c r="BO598" i="42"/>
  <c r="BN598" i="42"/>
  <c r="BM598" i="42"/>
  <c r="BL598" i="42"/>
  <c r="BK598" i="42"/>
  <c r="BJ598" i="42"/>
  <c r="BI598" i="42"/>
  <c r="AS598" i="42"/>
  <c r="BO597" i="42"/>
  <c r="BN597" i="42"/>
  <c r="BM597" i="42"/>
  <c r="BL597" i="42"/>
  <c r="BK597" i="42"/>
  <c r="BJ597" i="42"/>
  <c r="BI597" i="42"/>
  <c r="AS597" i="42"/>
  <c r="BO596" i="42"/>
  <c r="BN596" i="42"/>
  <c r="BM596" i="42"/>
  <c r="BL596" i="42"/>
  <c r="BK596" i="42"/>
  <c r="BJ596" i="42"/>
  <c r="BI596" i="42"/>
  <c r="AS596" i="42"/>
  <c r="BO595" i="42"/>
  <c r="BN595" i="42"/>
  <c r="BM595" i="42"/>
  <c r="BL595" i="42"/>
  <c r="BK595" i="42"/>
  <c r="BJ595" i="42"/>
  <c r="BI595" i="42"/>
  <c r="AS595" i="42"/>
  <c r="BO594" i="42"/>
  <c r="BN594" i="42"/>
  <c r="BM594" i="42"/>
  <c r="BL594" i="42"/>
  <c r="BK594" i="42"/>
  <c r="BJ594" i="42"/>
  <c r="BI594" i="42"/>
  <c r="AS594" i="42"/>
  <c r="BO593" i="42"/>
  <c r="BN593" i="42"/>
  <c r="BM593" i="42"/>
  <c r="BL593" i="42"/>
  <c r="BK593" i="42"/>
  <c r="BJ593" i="42"/>
  <c r="BI593" i="42"/>
  <c r="AS593" i="42"/>
  <c r="BO592" i="42"/>
  <c r="BN592" i="42"/>
  <c r="BM592" i="42"/>
  <c r="BL592" i="42"/>
  <c r="BK592" i="42"/>
  <c r="BJ592" i="42"/>
  <c r="BI592" i="42"/>
  <c r="AS592" i="42"/>
  <c r="BO591" i="42"/>
  <c r="BN591" i="42"/>
  <c r="BM591" i="42"/>
  <c r="BL591" i="42"/>
  <c r="BK591" i="42"/>
  <c r="BJ591" i="42"/>
  <c r="BI591" i="42"/>
  <c r="AS591" i="42"/>
  <c r="BO590" i="42"/>
  <c r="BN590" i="42"/>
  <c r="BM590" i="42"/>
  <c r="BL590" i="42"/>
  <c r="BK590" i="42"/>
  <c r="BJ590" i="42"/>
  <c r="BI590" i="42"/>
  <c r="AS590" i="42"/>
  <c r="BO589" i="42"/>
  <c r="BN589" i="42"/>
  <c r="BM589" i="42"/>
  <c r="BL589" i="42"/>
  <c r="BK589" i="42"/>
  <c r="BJ589" i="42"/>
  <c r="BI589" i="42"/>
  <c r="BH589" i="42"/>
  <c r="BF589" i="42"/>
  <c r="BE589" i="42"/>
  <c r="BD589" i="42"/>
  <c r="BC589" i="42"/>
  <c r="AS589" i="42"/>
  <c r="BO588" i="42"/>
  <c r="BN588" i="42"/>
  <c r="BM588" i="42"/>
  <c r="BL588" i="42"/>
  <c r="BK588" i="42"/>
  <c r="BJ588" i="42"/>
  <c r="BI588" i="42"/>
  <c r="BH588" i="42"/>
  <c r="BF588" i="42"/>
  <c r="BE588" i="42"/>
  <c r="BD588" i="42"/>
  <c r="BC588" i="42"/>
  <c r="AS588" i="42"/>
  <c r="AN314" i="55"/>
  <c r="AN313" i="55"/>
  <c r="AN312" i="55"/>
  <c r="AN311" i="55"/>
  <c r="AN310" i="55"/>
  <c r="AN309" i="55"/>
  <c r="AN308" i="55"/>
  <c r="AN307" i="55"/>
  <c r="AN306" i="55"/>
  <c r="AN305" i="55"/>
  <c r="AN304" i="55"/>
  <c r="AN303" i="55"/>
  <c r="AN302" i="55"/>
  <c r="AN301" i="55"/>
  <c r="AN300" i="55"/>
  <c r="AN299" i="55"/>
  <c r="AN298" i="55"/>
  <c r="AN297" i="55"/>
  <c r="AN296" i="55"/>
  <c r="AN295" i="55"/>
  <c r="AN294" i="55"/>
  <c r="AN293" i="55"/>
  <c r="AN292" i="55"/>
  <c r="AN291" i="55"/>
  <c r="AN290" i="55"/>
  <c r="AN289" i="55"/>
  <c r="AN288" i="55"/>
  <c r="AN287" i="55"/>
  <c r="AN286" i="55"/>
  <c r="AN285" i="55"/>
  <c r="AN284" i="55"/>
  <c r="AN283" i="55"/>
  <c r="AN282" i="55"/>
  <c r="AN281" i="55"/>
  <c r="AN280" i="55"/>
  <c r="AN279" i="55"/>
  <c r="AN278" i="55"/>
  <c r="AN277" i="55"/>
  <c r="AN276" i="55"/>
  <c r="AN275" i="55"/>
  <c r="AN274" i="55"/>
  <c r="AN273" i="55"/>
  <c r="AN272" i="55"/>
  <c r="AN271" i="55"/>
  <c r="AN270" i="55"/>
  <c r="AN269" i="55"/>
  <c r="AN268" i="55"/>
  <c r="AN267" i="55"/>
  <c r="AN266" i="55"/>
  <c r="AN265" i="55"/>
  <c r="AN264" i="55"/>
  <c r="AN263" i="55"/>
  <c r="AN262" i="55"/>
  <c r="AN261" i="55"/>
  <c r="AN260" i="55"/>
  <c r="AN259" i="55"/>
  <c r="AN258" i="55"/>
  <c r="AN257" i="55"/>
  <c r="AN256" i="55"/>
  <c r="AN255" i="55"/>
  <c r="AN254" i="55"/>
  <c r="AN253" i="55"/>
  <c r="AN252" i="55"/>
  <c r="AN251" i="55"/>
  <c r="AN250" i="55"/>
  <c r="AN249" i="55"/>
  <c r="AN248" i="55"/>
  <c r="AN247" i="55"/>
  <c r="AN246" i="55"/>
  <c r="AN245" i="55"/>
  <c r="AN244" i="55"/>
  <c r="AN243" i="55"/>
  <c r="AN242" i="55"/>
  <c r="AN241" i="55"/>
  <c r="AN240" i="55"/>
  <c r="AN239" i="55"/>
  <c r="AN238" i="55"/>
  <c r="AN237" i="55"/>
  <c r="AN236" i="55"/>
  <c r="AN235" i="55"/>
  <c r="AN234" i="55"/>
  <c r="AN233" i="55"/>
  <c r="AN232" i="55"/>
  <c r="AN231" i="55"/>
  <c r="AN230" i="55"/>
  <c r="AN229" i="55"/>
  <c r="AN228" i="55"/>
  <c r="AN227" i="55"/>
  <c r="AN226" i="55"/>
  <c r="AN225" i="55"/>
  <c r="AN224" i="55"/>
  <c r="AN223" i="55"/>
  <c r="AN222" i="55"/>
  <c r="AN221" i="55"/>
  <c r="AN220" i="55"/>
  <c r="AN219" i="55"/>
  <c r="AN218" i="55"/>
  <c r="AN217" i="55"/>
  <c r="AN216" i="55"/>
  <c r="AN215" i="55"/>
  <c r="AN214" i="55"/>
  <c r="AN213" i="55"/>
  <c r="AN212" i="55"/>
  <c r="AN211" i="55"/>
  <c r="AN210" i="55"/>
  <c r="AN209" i="55"/>
  <c r="AN208" i="55"/>
  <c r="AN207" i="55"/>
  <c r="AN206" i="55"/>
  <c r="AN205" i="55"/>
  <c r="AN204" i="55"/>
  <c r="AN203" i="55"/>
  <c r="AN202" i="55"/>
  <c r="AN201" i="55"/>
  <c r="AN200" i="55"/>
  <c r="AN199" i="55"/>
  <c r="AN198" i="55"/>
  <c r="AN197" i="55"/>
  <c r="AN196" i="55"/>
  <c r="AN195" i="55"/>
  <c r="AN194" i="55"/>
  <c r="AN193" i="55"/>
  <c r="AN192" i="55"/>
  <c r="AN191" i="55"/>
  <c r="AN190" i="55"/>
  <c r="AN189" i="55"/>
  <c r="AN188" i="55"/>
  <c r="AN187" i="55"/>
  <c r="AN186" i="55"/>
  <c r="AN185" i="55"/>
  <c r="AN184" i="55"/>
  <c r="AN183" i="55"/>
  <c r="AN182" i="55"/>
  <c r="AN181" i="55"/>
  <c r="AN180" i="55"/>
  <c r="AN179" i="55"/>
  <c r="AN178" i="55"/>
  <c r="AN177" i="55"/>
  <c r="AN176" i="55"/>
  <c r="AN175" i="55"/>
  <c r="AN174" i="55"/>
  <c r="AN173" i="55"/>
  <c r="AN172" i="55"/>
  <c r="AN171" i="55"/>
  <c r="AN170" i="55"/>
  <c r="AN169" i="55"/>
  <c r="AN168" i="55"/>
  <c r="AN167" i="55"/>
  <c r="AN166" i="55"/>
  <c r="AN165" i="55"/>
  <c r="AN164" i="55"/>
  <c r="AN163" i="55"/>
  <c r="AN162" i="55"/>
  <c r="AN161" i="55"/>
  <c r="AN160" i="55"/>
  <c r="AN159" i="55"/>
  <c r="AN158" i="55"/>
  <c r="AN157" i="55"/>
  <c r="AN156" i="55"/>
  <c r="AN155" i="55"/>
  <c r="AN154" i="55"/>
  <c r="AN153" i="55"/>
  <c r="AN152" i="55"/>
  <c r="AN151" i="55"/>
  <c r="AN150" i="55"/>
  <c r="AN149" i="55"/>
  <c r="AN148" i="55"/>
  <c r="AN147" i="55"/>
  <c r="AN146" i="55"/>
  <c r="AN145" i="55"/>
  <c r="AN144" i="55"/>
  <c r="AN143" i="55"/>
  <c r="AN142" i="55"/>
  <c r="AN141" i="55"/>
  <c r="AN140" i="55"/>
  <c r="AN139" i="55"/>
  <c r="AN138" i="55"/>
  <c r="AN137" i="55"/>
  <c r="AN136" i="55"/>
  <c r="AN135" i="55"/>
  <c r="AN134" i="55"/>
  <c r="AN133" i="55"/>
  <c r="AN132" i="55"/>
  <c r="AN131" i="55"/>
  <c r="AN130" i="55"/>
  <c r="AN129" i="55"/>
  <c r="AN128" i="55"/>
  <c r="AN127" i="55"/>
  <c r="AN126" i="55"/>
  <c r="AN125" i="55"/>
  <c r="AN124" i="55"/>
  <c r="AN123" i="55"/>
  <c r="AN122" i="55"/>
  <c r="AN121" i="55"/>
  <c r="AN120" i="55"/>
  <c r="AN119" i="55"/>
  <c r="AN118" i="55"/>
  <c r="AN117" i="55"/>
  <c r="AN116" i="55"/>
  <c r="AN115" i="55"/>
  <c r="AN114" i="55"/>
  <c r="AN113" i="55"/>
  <c r="AN112" i="55"/>
  <c r="AN111" i="55"/>
  <c r="AN110" i="55"/>
  <c r="AN109" i="55"/>
  <c r="AN108" i="55"/>
  <c r="AN107" i="55"/>
  <c r="AN106" i="55"/>
  <c r="AN105" i="55"/>
  <c r="AN104" i="55"/>
  <c r="AN103" i="55"/>
  <c r="AN102" i="55"/>
  <c r="AN101" i="55"/>
  <c r="AN100" i="55"/>
  <c r="AN99" i="55"/>
  <c r="AN98" i="55"/>
  <c r="AN97" i="55"/>
  <c r="AN96" i="55"/>
  <c r="AN95" i="55"/>
  <c r="AN94" i="55"/>
  <c r="AN93" i="55"/>
  <c r="AN92" i="55"/>
  <c r="AN91" i="55"/>
  <c r="AN90" i="55"/>
  <c r="AN89" i="55"/>
  <c r="AN88" i="55"/>
  <c r="AN87" i="55"/>
  <c r="AN86" i="55"/>
  <c r="AN85" i="55"/>
  <c r="AN84" i="55"/>
  <c r="AN83" i="55"/>
  <c r="AN82" i="55"/>
  <c r="AN81" i="55"/>
  <c r="AN80" i="55"/>
  <c r="AN79" i="55"/>
  <c r="AN78" i="55"/>
  <c r="AN77" i="55"/>
  <c r="AN76" i="55"/>
  <c r="AN75" i="55"/>
  <c r="AN74" i="55"/>
  <c r="AN73" i="55"/>
  <c r="AN72" i="55"/>
  <c r="AN71" i="55"/>
  <c r="AN70" i="55"/>
  <c r="AN69" i="55"/>
  <c r="AN68" i="55"/>
  <c r="AN67" i="55"/>
  <c r="AN66" i="55"/>
  <c r="AN65" i="55"/>
  <c r="AN64" i="55"/>
  <c r="AN63" i="55"/>
  <c r="AN62" i="55"/>
  <c r="AN61" i="55"/>
  <c r="AN60" i="55"/>
  <c r="AN59" i="55"/>
  <c r="AN58" i="55"/>
  <c r="AN57" i="55"/>
  <c r="AN56" i="55"/>
  <c r="AN55" i="55"/>
  <c r="AN54" i="55"/>
  <c r="AN53" i="55"/>
  <c r="AN52" i="55"/>
  <c r="AN51" i="55"/>
  <c r="AN50" i="55"/>
  <c r="AN49" i="55"/>
  <c r="AN48" i="55"/>
  <c r="AN47" i="55"/>
  <c r="AN46" i="55"/>
  <c r="AN45" i="55"/>
  <c r="AN44" i="55"/>
  <c r="AN43" i="55"/>
  <c r="AN42" i="55"/>
  <c r="AN41" i="55"/>
  <c r="AN40" i="55"/>
  <c r="AN39" i="55"/>
  <c r="AN38" i="55"/>
  <c r="AN37" i="55"/>
  <c r="AN36" i="55"/>
  <c r="AN35" i="55"/>
  <c r="AN34" i="55"/>
  <c r="AN33" i="55"/>
  <c r="AN32" i="55"/>
  <c r="AN31" i="55"/>
  <c r="AN30" i="55"/>
  <c r="AN29" i="55"/>
  <c r="AN28" i="55"/>
  <c r="AN27" i="55"/>
  <c r="AN26" i="55"/>
  <c r="AN25" i="55"/>
  <c r="AN24" i="55"/>
  <c r="AN23" i="55"/>
  <c r="AN22" i="55"/>
  <c r="AN21" i="55"/>
  <c r="AE37" i="55"/>
  <c r="BO585" i="42"/>
  <c r="BN585" i="42"/>
  <c r="BM585" i="42"/>
  <c r="BL585" i="42"/>
  <c r="BK585" i="42"/>
  <c r="BJ585" i="42"/>
  <c r="BI585" i="42"/>
  <c r="BH585" i="42"/>
  <c r="BF585" i="42"/>
  <c r="BE585" i="42"/>
  <c r="BD585" i="42"/>
  <c r="BC585" i="42"/>
  <c r="AS585" i="42"/>
  <c r="BO584" i="42"/>
  <c r="BN584" i="42"/>
  <c r="BM584" i="42"/>
  <c r="BL584" i="42"/>
  <c r="BK584" i="42"/>
  <c r="BJ584" i="42"/>
  <c r="BI584" i="42"/>
  <c r="BH584" i="42"/>
  <c r="BF584" i="42"/>
  <c r="BE584" i="42"/>
  <c r="BD584" i="42"/>
  <c r="BC584" i="42"/>
  <c r="AS584" i="42"/>
  <c r="BO583" i="42"/>
  <c r="BN583" i="42"/>
  <c r="BM583" i="42"/>
  <c r="BL583" i="42"/>
  <c r="BK583" i="42"/>
  <c r="BJ583" i="42"/>
  <c r="BI583" i="42"/>
  <c r="BH583" i="42"/>
  <c r="BF583" i="42"/>
  <c r="BE583" i="42"/>
  <c r="BD583" i="42"/>
  <c r="BC583" i="42"/>
  <c r="AS583" i="42"/>
  <c r="BO582" i="42"/>
  <c r="BN582" i="42"/>
  <c r="BM582" i="42"/>
  <c r="BL582" i="42"/>
  <c r="BK582" i="42"/>
  <c r="BJ582" i="42"/>
  <c r="BI582" i="42"/>
  <c r="BH582" i="42"/>
  <c r="BF582" i="42"/>
  <c r="BE582" i="42"/>
  <c r="BD582" i="42"/>
  <c r="BC582" i="42"/>
  <c r="AS582" i="42"/>
  <c r="BO581" i="42"/>
  <c r="BN581" i="42"/>
  <c r="BM581" i="42"/>
  <c r="BL581" i="42"/>
  <c r="BK581" i="42"/>
  <c r="BJ581" i="42"/>
  <c r="BI581" i="42"/>
  <c r="BH581" i="42"/>
  <c r="BF581" i="42"/>
  <c r="BE581" i="42"/>
  <c r="BD581" i="42"/>
  <c r="BC581" i="42"/>
  <c r="AS581" i="42"/>
  <c r="BO580" i="42"/>
  <c r="BN580" i="42"/>
  <c r="BM580" i="42"/>
  <c r="BL580" i="42"/>
  <c r="BK580" i="42"/>
  <c r="BJ580" i="42"/>
  <c r="BI580" i="42"/>
  <c r="BH580" i="42"/>
  <c r="BF580" i="42"/>
  <c r="BE580" i="42"/>
  <c r="BD580" i="42"/>
  <c r="BC580" i="42"/>
  <c r="AS580" i="42"/>
  <c r="BO579" i="42"/>
  <c r="BN579" i="42"/>
  <c r="BM579" i="42"/>
  <c r="BL579" i="42"/>
  <c r="BK579" i="42"/>
  <c r="BJ579" i="42"/>
  <c r="BI579" i="42"/>
  <c r="BH579" i="42"/>
  <c r="BF579" i="42"/>
  <c r="BE579" i="42"/>
  <c r="BD579" i="42"/>
  <c r="BC579" i="42"/>
  <c r="AS579" i="42"/>
  <c r="BO578" i="42"/>
  <c r="BN578" i="42"/>
  <c r="BM578" i="42"/>
  <c r="BL578" i="42"/>
  <c r="BK578" i="42"/>
  <c r="BJ578" i="42"/>
  <c r="BI578" i="42"/>
  <c r="BH578" i="42"/>
  <c r="BF578" i="42"/>
  <c r="BE578" i="42"/>
  <c r="BD578" i="42"/>
  <c r="BC578" i="42"/>
  <c r="AS578" i="42"/>
  <c r="BO577" i="42"/>
  <c r="BN577" i="42"/>
  <c r="BM577" i="42"/>
  <c r="BL577" i="42"/>
  <c r="BK577" i="42"/>
  <c r="BJ577" i="42"/>
  <c r="BI577" i="42"/>
  <c r="BH577" i="42"/>
  <c r="BF577" i="42"/>
  <c r="BE577" i="42"/>
  <c r="BD577" i="42"/>
  <c r="BC577" i="42"/>
  <c r="AS577" i="42"/>
  <c r="BO576" i="42"/>
  <c r="BN576" i="42"/>
  <c r="BM576" i="42"/>
  <c r="BL576" i="42"/>
  <c r="BK576" i="42"/>
  <c r="BJ576" i="42"/>
  <c r="BI576" i="42"/>
  <c r="BH576" i="42"/>
  <c r="BF576" i="42"/>
  <c r="BE576" i="42"/>
  <c r="BD576" i="42"/>
  <c r="BC576" i="42"/>
  <c r="AS576" i="42"/>
  <c r="BO575" i="42"/>
  <c r="BN575" i="42"/>
  <c r="BM575" i="42"/>
  <c r="BL575" i="42"/>
  <c r="BK575" i="42"/>
  <c r="BJ575" i="42"/>
  <c r="BI575" i="42"/>
  <c r="BH575" i="42"/>
  <c r="BF575" i="42"/>
  <c r="BE575" i="42"/>
  <c r="BD575" i="42"/>
  <c r="BC575" i="42"/>
  <c r="AS575" i="42"/>
  <c r="BO574" i="42"/>
  <c r="BN574" i="42"/>
  <c r="BM574" i="42"/>
  <c r="BL574" i="42"/>
  <c r="BK574" i="42"/>
  <c r="BJ574" i="42"/>
  <c r="BI574" i="42"/>
  <c r="BH574" i="42"/>
  <c r="BF574" i="42"/>
  <c r="BE574" i="42"/>
  <c r="BD574" i="42"/>
  <c r="BC574" i="42"/>
  <c r="AS574" i="42"/>
  <c r="BO573" i="42"/>
  <c r="BN573" i="42"/>
  <c r="BM573" i="42"/>
  <c r="BL573" i="42"/>
  <c r="BK573" i="42"/>
  <c r="BJ573" i="42"/>
  <c r="BI573" i="42"/>
  <c r="BH573" i="42"/>
  <c r="BF573" i="42"/>
  <c r="BE573" i="42"/>
  <c r="BD573" i="42"/>
  <c r="BC573" i="42"/>
  <c r="AS573" i="42"/>
  <c r="BO572" i="42"/>
  <c r="BN572" i="42"/>
  <c r="BM572" i="42"/>
  <c r="BL572" i="42"/>
  <c r="BK572" i="42"/>
  <c r="BJ572" i="42"/>
  <c r="BI572" i="42"/>
  <c r="BH572" i="42"/>
  <c r="BF572" i="42"/>
  <c r="BE572" i="42"/>
  <c r="BD572" i="42"/>
  <c r="BC572" i="42"/>
  <c r="AS572" i="42"/>
  <c r="BO571" i="42"/>
  <c r="BN571" i="42"/>
  <c r="BM571" i="42"/>
  <c r="BL571" i="42"/>
  <c r="BK571" i="42"/>
  <c r="BJ571" i="42"/>
  <c r="BI571" i="42"/>
  <c r="BH571" i="42"/>
  <c r="BF571" i="42"/>
  <c r="BE571" i="42"/>
  <c r="BD571" i="42"/>
  <c r="BC571" i="42"/>
  <c r="AS571" i="42"/>
  <c r="BG591" i="42" l="1"/>
  <c r="BG592" i="42"/>
  <c r="BG593" i="42"/>
  <c r="BG594" i="42"/>
  <c r="BG595" i="42"/>
  <c r="BG597" i="42"/>
  <c r="BG599" i="42"/>
  <c r="BG600" i="42"/>
  <c r="BG601" i="42"/>
  <c r="BG602" i="42"/>
  <c r="U70" i="55"/>
  <c r="BG596" i="42"/>
  <c r="BG598" i="42"/>
  <c r="S66" i="55"/>
  <c r="BG590" i="42"/>
  <c r="Q57" i="55"/>
  <c r="AA57" i="55" s="1"/>
  <c r="Q61" i="55"/>
  <c r="AA61" i="55" s="1"/>
  <c r="Q65" i="55"/>
  <c r="AA65" i="55" s="1"/>
  <c r="Q69" i="55"/>
  <c r="AA69" i="55" s="1"/>
  <c r="U57" i="55"/>
  <c r="T60" i="55"/>
  <c r="S63" i="55"/>
  <c r="U65" i="55"/>
  <c r="T68" i="55"/>
  <c r="BG588" i="42"/>
  <c r="P66" i="55"/>
  <c r="S58" i="55"/>
  <c r="T63" i="55"/>
  <c r="U68" i="55"/>
  <c r="Q58" i="55"/>
  <c r="Q62" i="55"/>
  <c r="Q66" i="55"/>
  <c r="Q70" i="55"/>
  <c r="T58" i="55"/>
  <c r="S61" i="55"/>
  <c r="U63" i="55"/>
  <c r="T66" i="55"/>
  <c r="S69" i="55"/>
  <c r="P58" i="55"/>
  <c r="P62" i="55"/>
  <c r="P70" i="55"/>
  <c r="U60" i="55"/>
  <c r="P59" i="55"/>
  <c r="P63" i="55"/>
  <c r="P67" i="55"/>
  <c r="S56" i="55"/>
  <c r="U58" i="55"/>
  <c r="T61" i="55"/>
  <c r="S64" i="55"/>
  <c r="U66" i="55"/>
  <c r="T69" i="55"/>
  <c r="Q59" i="55"/>
  <c r="Q63" i="55"/>
  <c r="Q67" i="55"/>
  <c r="T56" i="55"/>
  <c r="S59" i="55"/>
  <c r="U61" i="55"/>
  <c r="T64" i="55"/>
  <c r="S67" i="55"/>
  <c r="U69" i="55"/>
  <c r="P56" i="55"/>
  <c r="P60" i="55"/>
  <c r="P64" i="55"/>
  <c r="P68" i="55"/>
  <c r="U56" i="55"/>
  <c r="T59" i="55"/>
  <c r="S62" i="55"/>
  <c r="U64" i="55"/>
  <c r="T67" i="55"/>
  <c r="S70" i="55"/>
  <c r="BG589" i="42"/>
  <c r="Q56" i="55"/>
  <c r="Q60" i="55"/>
  <c r="Q64" i="55"/>
  <c r="Q68" i="55"/>
  <c r="S57" i="55"/>
  <c r="U59" i="55"/>
  <c r="T62" i="55"/>
  <c r="S65" i="55"/>
  <c r="U67" i="55"/>
  <c r="T70" i="55"/>
  <c r="P57" i="55"/>
  <c r="P61" i="55"/>
  <c r="P65" i="55"/>
  <c r="P69" i="55"/>
  <c r="T57" i="55"/>
  <c r="S60" i="55"/>
  <c r="U62" i="55"/>
  <c r="T65" i="55"/>
  <c r="S68" i="55"/>
  <c r="AS568" i="42"/>
  <c r="BG585" i="42" s="1"/>
  <c r="AS567" i="42"/>
  <c r="BG584" i="42" s="1"/>
  <c r="AS566" i="42"/>
  <c r="BG583" i="42" s="1"/>
  <c r="AS565" i="42"/>
  <c r="BG582" i="42" s="1"/>
  <c r="AS564" i="42"/>
  <c r="BG581" i="42" s="1"/>
  <c r="AS563" i="42"/>
  <c r="BG580" i="42" s="1"/>
  <c r="AS562" i="42"/>
  <c r="BG579" i="42" s="1"/>
  <c r="AS561" i="42"/>
  <c r="BG578" i="42" s="1"/>
  <c r="AS560" i="42"/>
  <c r="BG577" i="42" s="1"/>
  <c r="AS559" i="42"/>
  <c r="BG576" i="42" s="1"/>
  <c r="AS558" i="42"/>
  <c r="BG575" i="42" s="1"/>
  <c r="AS557" i="42"/>
  <c r="BG574" i="42" s="1"/>
  <c r="AS556" i="42"/>
  <c r="BG573" i="42" s="1"/>
  <c r="AS555" i="42"/>
  <c r="BG572" i="42" s="1"/>
  <c r="AS554" i="42"/>
  <c r="BG571" i="42" s="1"/>
  <c r="BO568" i="42"/>
  <c r="BN568" i="42"/>
  <c r="BM568" i="42"/>
  <c r="BL568" i="42"/>
  <c r="BK568" i="42"/>
  <c r="BJ568" i="42"/>
  <c r="BI568" i="42"/>
  <c r="BH568" i="42"/>
  <c r="BF568" i="42"/>
  <c r="BE568" i="42"/>
  <c r="BD568" i="42"/>
  <c r="BC568" i="42"/>
  <c r="BO567" i="42"/>
  <c r="BN567" i="42"/>
  <c r="BM567" i="42"/>
  <c r="BL567" i="42"/>
  <c r="BK567" i="42"/>
  <c r="BJ567" i="42"/>
  <c r="BI567" i="42"/>
  <c r="BH567" i="42"/>
  <c r="BF567" i="42"/>
  <c r="BE567" i="42"/>
  <c r="BD567" i="42"/>
  <c r="BC567" i="42"/>
  <c r="BO566" i="42"/>
  <c r="BN566" i="42"/>
  <c r="BM566" i="42"/>
  <c r="BL566" i="42"/>
  <c r="BK566" i="42"/>
  <c r="BJ566" i="42"/>
  <c r="BI566" i="42"/>
  <c r="BH566" i="42"/>
  <c r="BF566" i="42"/>
  <c r="BE566" i="42"/>
  <c r="BD566" i="42"/>
  <c r="BC566" i="42"/>
  <c r="BO565" i="42"/>
  <c r="BN565" i="42"/>
  <c r="BM565" i="42"/>
  <c r="BL565" i="42"/>
  <c r="BK565" i="42"/>
  <c r="BJ565" i="42"/>
  <c r="BI565" i="42"/>
  <c r="BH565" i="42"/>
  <c r="BF565" i="42"/>
  <c r="BE565" i="42"/>
  <c r="BD565" i="42"/>
  <c r="BC565" i="42"/>
  <c r="BO564" i="42"/>
  <c r="BN564" i="42"/>
  <c r="BM564" i="42"/>
  <c r="BL564" i="42"/>
  <c r="BK564" i="42"/>
  <c r="BJ564" i="42"/>
  <c r="BI564" i="42"/>
  <c r="BH564" i="42"/>
  <c r="BF564" i="42"/>
  <c r="BE564" i="42"/>
  <c r="BD564" i="42"/>
  <c r="BC564" i="42"/>
  <c r="BO563" i="42"/>
  <c r="BN563" i="42"/>
  <c r="BM563" i="42"/>
  <c r="BL563" i="42"/>
  <c r="BK563" i="42"/>
  <c r="BJ563" i="42"/>
  <c r="BI563" i="42"/>
  <c r="BH563" i="42"/>
  <c r="BF563" i="42"/>
  <c r="BE563" i="42"/>
  <c r="BD563" i="42"/>
  <c r="BC563" i="42"/>
  <c r="BO562" i="42"/>
  <c r="BN562" i="42"/>
  <c r="BM562" i="42"/>
  <c r="BL562" i="42"/>
  <c r="BK562" i="42"/>
  <c r="BJ562" i="42"/>
  <c r="BI562" i="42"/>
  <c r="BH562" i="42"/>
  <c r="BF562" i="42"/>
  <c r="BE562" i="42"/>
  <c r="BD562" i="42"/>
  <c r="BC562" i="42"/>
  <c r="BO561" i="42"/>
  <c r="BN561" i="42"/>
  <c r="BM561" i="42"/>
  <c r="BL561" i="42"/>
  <c r="BK561" i="42"/>
  <c r="BJ561" i="42"/>
  <c r="BI561" i="42"/>
  <c r="BH561" i="42"/>
  <c r="BF561" i="42"/>
  <c r="BE561" i="42"/>
  <c r="BD561" i="42"/>
  <c r="BC561" i="42"/>
  <c r="BO560" i="42"/>
  <c r="BN560" i="42"/>
  <c r="BM560" i="42"/>
  <c r="BL560" i="42"/>
  <c r="BK560" i="42"/>
  <c r="BJ560" i="42"/>
  <c r="BI560" i="42"/>
  <c r="BH560" i="42"/>
  <c r="BF560" i="42"/>
  <c r="BE560" i="42"/>
  <c r="BD560" i="42"/>
  <c r="BC560" i="42"/>
  <c r="BO559" i="42"/>
  <c r="BN559" i="42"/>
  <c r="BM559" i="42"/>
  <c r="BL559" i="42"/>
  <c r="BK559" i="42"/>
  <c r="BJ559" i="42"/>
  <c r="BI559" i="42"/>
  <c r="BH559" i="42"/>
  <c r="BF559" i="42"/>
  <c r="BE559" i="42"/>
  <c r="BD559" i="42"/>
  <c r="BC559" i="42"/>
  <c r="BO558" i="42"/>
  <c r="BN558" i="42"/>
  <c r="BM558" i="42"/>
  <c r="BL558" i="42"/>
  <c r="BK558" i="42"/>
  <c r="BJ558" i="42"/>
  <c r="BI558" i="42"/>
  <c r="BH558" i="42"/>
  <c r="BF558" i="42"/>
  <c r="BE558" i="42"/>
  <c r="BD558" i="42"/>
  <c r="BC558" i="42"/>
  <c r="BO557" i="42"/>
  <c r="BN557" i="42"/>
  <c r="BM557" i="42"/>
  <c r="BL557" i="42"/>
  <c r="BK557" i="42"/>
  <c r="BJ557" i="42"/>
  <c r="BI557" i="42"/>
  <c r="BH557" i="42"/>
  <c r="BF557" i="42"/>
  <c r="BE557" i="42"/>
  <c r="BD557" i="42"/>
  <c r="BC557" i="42"/>
  <c r="BO556" i="42"/>
  <c r="BN556" i="42"/>
  <c r="BM556" i="42"/>
  <c r="BL556" i="42"/>
  <c r="BK556" i="42"/>
  <c r="BJ556" i="42"/>
  <c r="BI556" i="42"/>
  <c r="BH556" i="42"/>
  <c r="BF556" i="42"/>
  <c r="BE556" i="42"/>
  <c r="BD556" i="42"/>
  <c r="BC556" i="42"/>
  <c r="BO555" i="42"/>
  <c r="BN555" i="42"/>
  <c r="BM555" i="42"/>
  <c r="BL555" i="42"/>
  <c r="BK555" i="42"/>
  <c r="BJ555" i="42"/>
  <c r="BI555" i="42"/>
  <c r="BH555" i="42"/>
  <c r="BF555" i="42"/>
  <c r="BE555" i="42"/>
  <c r="BD555" i="42"/>
  <c r="BC555" i="42"/>
  <c r="BO554" i="42"/>
  <c r="BN554" i="42"/>
  <c r="BM554" i="42"/>
  <c r="BL554" i="42"/>
  <c r="BK554" i="42"/>
  <c r="BJ554" i="42"/>
  <c r="BI554" i="42"/>
  <c r="BH554" i="42"/>
  <c r="BF554" i="42"/>
  <c r="BE554" i="42"/>
  <c r="BD554" i="42"/>
  <c r="BC554" i="42"/>
  <c r="X61" i="55" l="1"/>
  <c r="X65" i="55"/>
  <c r="X57" i="55"/>
  <c r="Z65" i="55"/>
  <c r="W65" i="55"/>
  <c r="W64" i="55"/>
  <c r="Z64" i="55"/>
  <c r="W58" i="55"/>
  <c r="Z58" i="55"/>
  <c r="X62" i="55"/>
  <c r="AA62" i="55"/>
  <c r="X69" i="55"/>
  <c r="W60" i="55"/>
  <c r="Z60" i="55"/>
  <c r="X67" i="55"/>
  <c r="AA67" i="55"/>
  <c r="X58" i="55"/>
  <c r="AA58" i="55"/>
  <c r="Z56" i="55"/>
  <c r="W56" i="55"/>
  <c r="X63" i="55"/>
  <c r="AA63" i="55"/>
  <c r="W67" i="55"/>
  <c r="Z67" i="55"/>
  <c r="Z61" i="55"/>
  <c r="W61" i="55"/>
  <c r="W59" i="55"/>
  <c r="Z59" i="55"/>
  <c r="Z57" i="55"/>
  <c r="W57" i="55"/>
  <c r="X64" i="55"/>
  <c r="AA64" i="55"/>
  <c r="W66" i="55"/>
  <c r="Z66" i="55"/>
  <c r="Z69" i="55"/>
  <c r="W69" i="55"/>
  <c r="AA68" i="55"/>
  <c r="X68" i="55"/>
  <c r="X60" i="55"/>
  <c r="AA60" i="55"/>
  <c r="X59" i="55"/>
  <c r="AA59" i="55"/>
  <c r="W63" i="55"/>
  <c r="Z63" i="55"/>
  <c r="AA56" i="55"/>
  <c r="X56" i="55"/>
  <c r="Z68" i="55"/>
  <c r="W68" i="55"/>
  <c r="W62" i="55"/>
  <c r="Z62" i="55"/>
  <c r="X66" i="55"/>
  <c r="AA66" i="55"/>
  <c r="AS500" i="42" l="1"/>
  <c r="AS499" i="42"/>
  <c r="AS498" i="42"/>
  <c r="AS497" i="42"/>
  <c r="AS496" i="42"/>
  <c r="AS495" i="42"/>
  <c r="AS494" i="42"/>
  <c r="AS493" i="42"/>
  <c r="AS492" i="42"/>
  <c r="AS491" i="42"/>
  <c r="AS490" i="42"/>
  <c r="AS489" i="42"/>
  <c r="AS488" i="42"/>
  <c r="AS487" i="42"/>
  <c r="AS486" i="42"/>
  <c r="BC486" i="42"/>
  <c r="BD486" i="42"/>
  <c r="BE486" i="42"/>
  <c r="BF486" i="42"/>
  <c r="BC487" i="42"/>
  <c r="BD487" i="42"/>
  <c r="BE487" i="42"/>
  <c r="BF487" i="42"/>
  <c r="BC488" i="42"/>
  <c r="BD488" i="42"/>
  <c r="BE488" i="42"/>
  <c r="BF488" i="42"/>
  <c r="BC489" i="42"/>
  <c r="BD489" i="42"/>
  <c r="BE489" i="42"/>
  <c r="BF489" i="42"/>
  <c r="BC490" i="42"/>
  <c r="BD490" i="42"/>
  <c r="BE490" i="42"/>
  <c r="BF490" i="42"/>
  <c r="BC491" i="42"/>
  <c r="BD491" i="42"/>
  <c r="BE491" i="42"/>
  <c r="BF491" i="42"/>
  <c r="BC492" i="42"/>
  <c r="BD492" i="42"/>
  <c r="BE492" i="42"/>
  <c r="BF492" i="42"/>
  <c r="BC493" i="42"/>
  <c r="BD493" i="42"/>
  <c r="BE493" i="42"/>
  <c r="BF493" i="42"/>
  <c r="BC494" i="42"/>
  <c r="BD494" i="42"/>
  <c r="BE494" i="42"/>
  <c r="BF494" i="42"/>
  <c r="BC495" i="42"/>
  <c r="BD495" i="42"/>
  <c r="BE495" i="42"/>
  <c r="BF495" i="42"/>
  <c r="BC496" i="42"/>
  <c r="BD496" i="42"/>
  <c r="BE496" i="42"/>
  <c r="BF496" i="42"/>
  <c r="BC497" i="42"/>
  <c r="BD497" i="42"/>
  <c r="BE497" i="42"/>
  <c r="BF497" i="42"/>
  <c r="BC498" i="42"/>
  <c r="BD498" i="42"/>
  <c r="BE498" i="42"/>
  <c r="BF498" i="42"/>
  <c r="BC499" i="42"/>
  <c r="BD499" i="42"/>
  <c r="BE499" i="42"/>
  <c r="BF499" i="42"/>
  <c r="BC500" i="42"/>
  <c r="BD500" i="42"/>
  <c r="BE500" i="42"/>
  <c r="BF500" i="42"/>
  <c r="AS503" i="42"/>
  <c r="BC503" i="42"/>
  <c r="BD503" i="42"/>
  <c r="BE503" i="42"/>
  <c r="BF503" i="42"/>
  <c r="BH503" i="42"/>
  <c r="BI503" i="42"/>
  <c r="BJ503" i="42"/>
  <c r="BK503" i="42"/>
  <c r="BL503" i="42"/>
  <c r="BM503" i="42"/>
  <c r="BN503" i="42"/>
  <c r="BO503" i="42"/>
  <c r="AS504" i="42"/>
  <c r="BC504" i="42"/>
  <c r="BD504" i="42"/>
  <c r="BE504" i="42"/>
  <c r="BF504" i="42"/>
  <c r="BH504" i="42"/>
  <c r="BI504" i="42"/>
  <c r="BJ504" i="42"/>
  <c r="BK504" i="42"/>
  <c r="BL504" i="42"/>
  <c r="BM504" i="42"/>
  <c r="BN504" i="42"/>
  <c r="BO504" i="42"/>
  <c r="AS505" i="42"/>
  <c r="BC505" i="42"/>
  <c r="BD505" i="42"/>
  <c r="BE505" i="42"/>
  <c r="BF505" i="42"/>
  <c r="BH505" i="42"/>
  <c r="BI505" i="42"/>
  <c r="BJ505" i="42"/>
  <c r="BK505" i="42"/>
  <c r="BL505" i="42"/>
  <c r="BM505" i="42"/>
  <c r="BN505" i="42"/>
  <c r="BO505" i="42"/>
  <c r="AS506" i="42"/>
  <c r="BC506" i="42"/>
  <c r="BD506" i="42"/>
  <c r="BE506" i="42"/>
  <c r="BF506" i="42"/>
  <c r="BH506" i="42"/>
  <c r="BI506" i="42"/>
  <c r="BJ506" i="42"/>
  <c r="BK506" i="42"/>
  <c r="BL506" i="42"/>
  <c r="BM506" i="42"/>
  <c r="BN506" i="42"/>
  <c r="BO506" i="42"/>
  <c r="AS507" i="42"/>
  <c r="BC507" i="42"/>
  <c r="BD507" i="42"/>
  <c r="BE507" i="42"/>
  <c r="BF507" i="42"/>
  <c r="BH507" i="42"/>
  <c r="BI507" i="42"/>
  <c r="BJ507" i="42"/>
  <c r="BK507" i="42"/>
  <c r="BL507" i="42"/>
  <c r="BM507" i="42"/>
  <c r="BN507" i="42"/>
  <c r="BO507" i="42"/>
  <c r="AS508" i="42"/>
  <c r="BC508" i="42"/>
  <c r="BD508" i="42"/>
  <c r="BE508" i="42"/>
  <c r="BF508" i="42"/>
  <c r="BH508" i="42"/>
  <c r="BI508" i="42"/>
  <c r="BJ508" i="42"/>
  <c r="BK508" i="42"/>
  <c r="BL508" i="42"/>
  <c r="BM508" i="42"/>
  <c r="BN508" i="42"/>
  <c r="BO508" i="42"/>
  <c r="AS509" i="42"/>
  <c r="BC509" i="42"/>
  <c r="BD509" i="42"/>
  <c r="BE509" i="42"/>
  <c r="BF509" i="42"/>
  <c r="BH509" i="42"/>
  <c r="BI509" i="42"/>
  <c r="BJ509" i="42"/>
  <c r="BK509" i="42"/>
  <c r="BL509" i="42"/>
  <c r="BM509" i="42"/>
  <c r="BN509" i="42"/>
  <c r="BO509" i="42"/>
  <c r="AS510" i="42"/>
  <c r="BC510" i="42"/>
  <c r="BD510" i="42"/>
  <c r="BE510" i="42"/>
  <c r="BF510" i="42"/>
  <c r="BH510" i="42"/>
  <c r="BI510" i="42"/>
  <c r="BJ510" i="42"/>
  <c r="BK510" i="42"/>
  <c r="BL510" i="42"/>
  <c r="BM510" i="42"/>
  <c r="BN510" i="42"/>
  <c r="BO510" i="42"/>
  <c r="AS511" i="42"/>
  <c r="BC511" i="42"/>
  <c r="BD511" i="42"/>
  <c r="BE511" i="42"/>
  <c r="BF511" i="42"/>
  <c r="BH511" i="42"/>
  <c r="BI511" i="42"/>
  <c r="BJ511" i="42"/>
  <c r="BK511" i="42"/>
  <c r="BL511" i="42"/>
  <c r="BM511" i="42"/>
  <c r="BN511" i="42"/>
  <c r="BO511" i="42"/>
  <c r="AS512" i="42"/>
  <c r="BC512" i="42"/>
  <c r="BD512" i="42"/>
  <c r="BE512" i="42"/>
  <c r="BF512" i="42"/>
  <c r="BH512" i="42"/>
  <c r="BI512" i="42"/>
  <c r="BJ512" i="42"/>
  <c r="BK512" i="42"/>
  <c r="BL512" i="42"/>
  <c r="BM512" i="42"/>
  <c r="BN512" i="42"/>
  <c r="BO512" i="42"/>
  <c r="AS513" i="42"/>
  <c r="BC513" i="42"/>
  <c r="BD513" i="42"/>
  <c r="BE513" i="42"/>
  <c r="BF513" i="42"/>
  <c r="BH513" i="42"/>
  <c r="BI513" i="42"/>
  <c r="BJ513" i="42"/>
  <c r="BK513" i="42"/>
  <c r="BL513" i="42"/>
  <c r="BM513" i="42"/>
  <c r="BN513" i="42"/>
  <c r="BO513" i="42"/>
  <c r="AS514" i="42"/>
  <c r="BC514" i="42"/>
  <c r="BD514" i="42"/>
  <c r="BE514" i="42"/>
  <c r="BF514" i="42"/>
  <c r="BH514" i="42"/>
  <c r="BI514" i="42"/>
  <c r="BJ514" i="42"/>
  <c r="BK514" i="42"/>
  <c r="BL514" i="42"/>
  <c r="BM514" i="42"/>
  <c r="BN514" i="42"/>
  <c r="BO514" i="42"/>
  <c r="AS515" i="42"/>
  <c r="BC515" i="42"/>
  <c r="BD515" i="42"/>
  <c r="BE515" i="42"/>
  <c r="BF515" i="42"/>
  <c r="BH515" i="42"/>
  <c r="BI515" i="42"/>
  <c r="BJ515" i="42"/>
  <c r="BK515" i="42"/>
  <c r="BL515" i="42"/>
  <c r="BM515" i="42"/>
  <c r="BN515" i="42"/>
  <c r="BO515" i="42"/>
  <c r="AS516" i="42"/>
  <c r="BC516" i="42"/>
  <c r="BD516" i="42"/>
  <c r="BE516" i="42"/>
  <c r="BF516" i="42"/>
  <c r="BH516" i="42"/>
  <c r="BI516" i="42"/>
  <c r="BJ516" i="42"/>
  <c r="BK516" i="42"/>
  <c r="BL516" i="42"/>
  <c r="BM516" i="42"/>
  <c r="BN516" i="42"/>
  <c r="BO516" i="42"/>
  <c r="AS517" i="42"/>
  <c r="BC517" i="42"/>
  <c r="BD517" i="42"/>
  <c r="BE517" i="42"/>
  <c r="BF517" i="42"/>
  <c r="BH517" i="42"/>
  <c r="BI517" i="42"/>
  <c r="BJ517" i="42"/>
  <c r="BK517" i="42"/>
  <c r="BL517" i="42"/>
  <c r="BM517" i="42"/>
  <c r="BN517" i="42"/>
  <c r="BO517" i="42"/>
  <c r="AS520" i="42"/>
  <c r="BC520" i="42"/>
  <c r="BD520" i="42"/>
  <c r="BE520" i="42"/>
  <c r="BF520" i="42"/>
  <c r="BH520" i="42"/>
  <c r="BI520" i="42"/>
  <c r="BJ520" i="42"/>
  <c r="BK520" i="42"/>
  <c r="BL520" i="42"/>
  <c r="BM520" i="42"/>
  <c r="BN520" i="42"/>
  <c r="BO520" i="42"/>
  <c r="AS521" i="42"/>
  <c r="BC521" i="42"/>
  <c r="BD521" i="42"/>
  <c r="BE521" i="42"/>
  <c r="BF521" i="42"/>
  <c r="BH521" i="42"/>
  <c r="BI521" i="42"/>
  <c r="BJ521" i="42"/>
  <c r="BK521" i="42"/>
  <c r="BL521" i="42"/>
  <c r="BM521" i="42"/>
  <c r="BN521" i="42"/>
  <c r="BO521" i="42"/>
  <c r="AS522" i="42"/>
  <c r="BC522" i="42"/>
  <c r="BD522" i="42"/>
  <c r="BE522" i="42"/>
  <c r="BF522" i="42"/>
  <c r="BH522" i="42"/>
  <c r="BI522" i="42"/>
  <c r="BJ522" i="42"/>
  <c r="BK522" i="42"/>
  <c r="BL522" i="42"/>
  <c r="BM522" i="42"/>
  <c r="BN522" i="42"/>
  <c r="BO522" i="42"/>
  <c r="AS523" i="42"/>
  <c r="BC523" i="42"/>
  <c r="BD523" i="42"/>
  <c r="BE523" i="42"/>
  <c r="BF523" i="42"/>
  <c r="BH523" i="42"/>
  <c r="BI523" i="42"/>
  <c r="BJ523" i="42"/>
  <c r="BK523" i="42"/>
  <c r="BL523" i="42"/>
  <c r="BM523" i="42"/>
  <c r="BN523" i="42"/>
  <c r="BO523" i="42"/>
  <c r="AS524" i="42"/>
  <c r="BC524" i="42"/>
  <c r="BD524" i="42"/>
  <c r="BE524" i="42"/>
  <c r="BF524" i="42"/>
  <c r="BH524" i="42"/>
  <c r="BI524" i="42"/>
  <c r="BJ524" i="42"/>
  <c r="BK524" i="42"/>
  <c r="BL524" i="42"/>
  <c r="BM524" i="42"/>
  <c r="BN524" i="42"/>
  <c r="BO524" i="42"/>
  <c r="AS525" i="42"/>
  <c r="BC525" i="42"/>
  <c r="BD525" i="42"/>
  <c r="BE525" i="42"/>
  <c r="BF525" i="42"/>
  <c r="BH525" i="42"/>
  <c r="BI525" i="42"/>
  <c r="BJ525" i="42"/>
  <c r="BK525" i="42"/>
  <c r="BL525" i="42"/>
  <c r="BM525" i="42"/>
  <c r="BN525" i="42"/>
  <c r="BO525" i="42"/>
  <c r="AS526" i="42"/>
  <c r="BC526" i="42"/>
  <c r="BD526" i="42"/>
  <c r="BE526" i="42"/>
  <c r="BF526" i="42"/>
  <c r="BH526" i="42"/>
  <c r="BI526" i="42"/>
  <c r="BJ526" i="42"/>
  <c r="BK526" i="42"/>
  <c r="BL526" i="42"/>
  <c r="BM526" i="42"/>
  <c r="BN526" i="42"/>
  <c r="BO526" i="42"/>
  <c r="AS527" i="42"/>
  <c r="BC527" i="42"/>
  <c r="BD527" i="42"/>
  <c r="BE527" i="42"/>
  <c r="BF527" i="42"/>
  <c r="BH527" i="42"/>
  <c r="BI527" i="42"/>
  <c r="BJ527" i="42"/>
  <c r="BK527" i="42"/>
  <c r="BL527" i="42"/>
  <c r="BM527" i="42"/>
  <c r="BN527" i="42"/>
  <c r="BO527" i="42"/>
  <c r="AS528" i="42"/>
  <c r="BC528" i="42"/>
  <c r="BD528" i="42"/>
  <c r="BE528" i="42"/>
  <c r="BF528" i="42"/>
  <c r="BH528" i="42"/>
  <c r="BI528" i="42"/>
  <c r="BJ528" i="42"/>
  <c r="BK528" i="42"/>
  <c r="BL528" i="42"/>
  <c r="BM528" i="42"/>
  <c r="BN528" i="42"/>
  <c r="BO528" i="42"/>
  <c r="AS529" i="42"/>
  <c r="BC529" i="42"/>
  <c r="BD529" i="42"/>
  <c r="BE529" i="42"/>
  <c r="BF529" i="42"/>
  <c r="BH529" i="42"/>
  <c r="BI529" i="42"/>
  <c r="BJ529" i="42"/>
  <c r="BK529" i="42"/>
  <c r="BL529" i="42"/>
  <c r="BM529" i="42"/>
  <c r="BN529" i="42"/>
  <c r="BO529" i="42"/>
  <c r="AS530" i="42"/>
  <c r="BC530" i="42"/>
  <c r="BD530" i="42"/>
  <c r="BE530" i="42"/>
  <c r="BF530" i="42"/>
  <c r="BH530" i="42"/>
  <c r="BI530" i="42"/>
  <c r="BJ530" i="42"/>
  <c r="BK530" i="42"/>
  <c r="BL530" i="42"/>
  <c r="BM530" i="42"/>
  <c r="BN530" i="42"/>
  <c r="BO530" i="42"/>
  <c r="AS531" i="42"/>
  <c r="BC531" i="42"/>
  <c r="BD531" i="42"/>
  <c r="BE531" i="42"/>
  <c r="BF531" i="42"/>
  <c r="BH531" i="42"/>
  <c r="BI531" i="42"/>
  <c r="BJ531" i="42"/>
  <c r="BK531" i="42"/>
  <c r="BL531" i="42"/>
  <c r="BM531" i="42"/>
  <c r="BN531" i="42"/>
  <c r="BO531" i="42"/>
  <c r="AS532" i="42"/>
  <c r="BC532" i="42"/>
  <c r="BD532" i="42"/>
  <c r="BE532" i="42"/>
  <c r="BF532" i="42"/>
  <c r="BH532" i="42"/>
  <c r="BI532" i="42"/>
  <c r="BJ532" i="42"/>
  <c r="BK532" i="42"/>
  <c r="BL532" i="42"/>
  <c r="BM532" i="42"/>
  <c r="BN532" i="42"/>
  <c r="BO532" i="42"/>
  <c r="AS533" i="42"/>
  <c r="BC533" i="42"/>
  <c r="BD533" i="42"/>
  <c r="BE533" i="42"/>
  <c r="BF533" i="42"/>
  <c r="BH533" i="42"/>
  <c r="BI533" i="42"/>
  <c r="BJ533" i="42"/>
  <c r="BK533" i="42"/>
  <c r="BL533" i="42"/>
  <c r="BM533" i="42"/>
  <c r="BN533" i="42"/>
  <c r="BO533" i="42"/>
  <c r="AS534" i="42"/>
  <c r="BC534" i="42"/>
  <c r="BD534" i="42"/>
  <c r="BE534" i="42"/>
  <c r="BF534" i="42"/>
  <c r="BH534" i="42"/>
  <c r="BI534" i="42"/>
  <c r="BJ534" i="42"/>
  <c r="BK534" i="42"/>
  <c r="BL534" i="42"/>
  <c r="BM534" i="42"/>
  <c r="BN534" i="42"/>
  <c r="BO534" i="42"/>
  <c r="AS537" i="42"/>
  <c r="BG554" i="42" s="1"/>
  <c r="BC537" i="42"/>
  <c r="BD537" i="42"/>
  <c r="BE537" i="42"/>
  <c r="BF537" i="42"/>
  <c r="BH537" i="42"/>
  <c r="BI537" i="42"/>
  <c r="BJ537" i="42"/>
  <c r="BK537" i="42"/>
  <c r="BL537" i="42"/>
  <c r="BM537" i="42"/>
  <c r="BN537" i="42"/>
  <c r="BO537" i="42"/>
  <c r="AS538" i="42"/>
  <c r="BG555" i="42" s="1"/>
  <c r="BC538" i="42"/>
  <c r="BD538" i="42"/>
  <c r="BE538" i="42"/>
  <c r="BF538" i="42"/>
  <c r="BH538" i="42"/>
  <c r="BI538" i="42"/>
  <c r="BJ538" i="42"/>
  <c r="BK538" i="42"/>
  <c r="BL538" i="42"/>
  <c r="BM538" i="42"/>
  <c r="BN538" i="42"/>
  <c r="BO538" i="42"/>
  <c r="AS539" i="42"/>
  <c r="BG556" i="42" s="1"/>
  <c r="BC539" i="42"/>
  <c r="BD539" i="42"/>
  <c r="BE539" i="42"/>
  <c r="BF539" i="42"/>
  <c r="BH539" i="42"/>
  <c r="BI539" i="42"/>
  <c r="BJ539" i="42"/>
  <c r="BK539" i="42"/>
  <c r="BL539" i="42"/>
  <c r="BM539" i="42"/>
  <c r="BN539" i="42"/>
  <c r="BO539" i="42"/>
  <c r="AS540" i="42"/>
  <c r="BG557" i="42" s="1"/>
  <c r="BC540" i="42"/>
  <c r="BD540" i="42"/>
  <c r="BE540" i="42"/>
  <c r="BF540" i="42"/>
  <c r="BH540" i="42"/>
  <c r="BI540" i="42"/>
  <c r="BJ540" i="42"/>
  <c r="BK540" i="42"/>
  <c r="BL540" i="42"/>
  <c r="BM540" i="42"/>
  <c r="BN540" i="42"/>
  <c r="BO540" i="42"/>
  <c r="AS541" i="42"/>
  <c r="BG558" i="42" s="1"/>
  <c r="BC541" i="42"/>
  <c r="BD541" i="42"/>
  <c r="BE541" i="42"/>
  <c r="BF541" i="42"/>
  <c r="BH541" i="42"/>
  <c r="BI541" i="42"/>
  <c r="BJ541" i="42"/>
  <c r="BK541" i="42"/>
  <c r="BL541" i="42"/>
  <c r="BM541" i="42"/>
  <c r="BN541" i="42"/>
  <c r="BO541" i="42"/>
  <c r="AS542" i="42"/>
  <c r="BG559" i="42" s="1"/>
  <c r="BC542" i="42"/>
  <c r="BD542" i="42"/>
  <c r="BE542" i="42"/>
  <c r="BF542" i="42"/>
  <c r="BH542" i="42"/>
  <c r="BI542" i="42"/>
  <c r="BJ542" i="42"/>
  <c r="BK542" i="42"/>
  <c r="BL542" i="42"/>
  <c r="BM542" i="42"/>
  <c r="BN542" i="42"/>
  <c r="BO542" i="42"/>
  <c r="AS543" i="42"/>
  <c r="BG560" i="42" s="1"/>
  <c r="BC543" i="42"/>
  <c r="BD543" i="42"/>
  <c r="BE543" i="42"/>
  <c r="BF543" i="42"/>
  <c r="BH543" i="42"/>
  <c r="BI543" i="42"/>
  <c r="BJ543" i="42"/>
  <c r="BK543" i="42"/>
  <c r="BL543" i="42"/>
  <c r="BM543" i="42"/>
  <c r="BN543" i="42"/>
  <c r="BO543" i="42"/>
  <c r="AS544" i="42"/>
  <c r="BG561" i="42" s="1"/>
  <c r="BC544" i="42"/>
  <c r="BD544" i="42"/>
  <c r="BE544" i="42"/>
  <c r="BF544" i="42"/>
  <c r="BH544" i="42"/>
  <c r="BI544" i="42"/>
  <c r="BJ544" i="42"/>
  <c r="BK544" i="42"/>
  <c r="BL544" i="42"/>
  <c r="BM544" i="42"/>
  <c r="BN544" i="42"/>
  <c r="BO544" i="42"/>
  <c r="AS545" i="42"/>
  <c r="BG562" i="42" s="1"/>
  <c r="BC545" i="42"/>
  <c r="BD545" i="42"/>
  <c r="BE545" i="42"/>
  <c r="BF545" i="42"/>
  <c r="BH545" i="42"/>
  <c r="BI545" i="42"/>
  <c r="BJ545" i="42"/>
  <c r="BK545" i="42"/>
  <c r="BL545" i="42"/>
  <c r="BM545" i="42"/>
  <c r="BN545" i="42"/>
  <c r="BO545" i="42"/>
  <c r="AS546" i="42"/>
  <c r="BG563" i="42" s="1"/>
  <c r="BC546" i="42"/>
  <c r="BD546" i="42"/>
  <c r="BE546" i="42"/>
  <c r="BF546" i="42"/>
  <c r="BH546" i="42"/>
  <c r="BI546" i="42"/>
  <c r="BJ546" i="42"/>
  <c r="BK546" i="42"/>
  <c r="BL546" i="42"/>
  <c r="BM546" i="42"/>
  <c r="BN546" i="42"/>
  <c r="BO546" i="42"/>
  <c r="AS547" i="42"/>
  <c r="BG564" i="42" s="1"/>
  <c r="BC547" i="42"/>
  <c r="BD547" i="42"/>
  <c r="BE547" i="42"/>
  <c r="BF547" i="42"/>
  <c r="BH547" i="42"/>
  <c r="BI547" i="42"/>
  <c r="BJ547" i="42"/>
  <c r="BK547" i="42"/>
  <c r="BL547" i="42"/>
  <c r="BM547" i="42"/>
  <c r="BN547" i="42"/>
  <c r="BO547" i="42"/>
  <c r="AS548" i="42"/>
  <c r="BG565" i="42" s="1"/>
  <c r="BC548" i="42"/>
  <c r="BD548" i="42"/>
  <c r="BE548" i="42"/>
  <c r="BF548" i="42"/>
  <c r="BH548" i="42"/>
  <c r="BI548" i="42"/>
  <c r="BJ548" i="42"/>
  <c r="BK548" i="42"/>
  <c r="BL548" i="42"/>
  <c r="BM548" i="42"/>
  <c r="BN548" i="42"/>
  <c r="BO548" i="42"/>
  <c r="AS549" i="42"/>
  <c r="BG566" i="42" s="1"/>
  <c r="BC549" i="42"/>
  <c r="BD549" i="42"/>
  <c r="BE549" i="42"/>
  <c r="BF549" i="42"/>
  <c r="BH549" i="42"/>
  <c r="BI549" i="42"/>
  <c r="BJ549" i="42"/>
  <c r="BK549" i="42"/>
  <c r="BL549" i="42"/>
  <c r="BM549" i="42"/>
  <c r="BN549" i="42"/>
  <c r="BO549" i="42"/>
  <c r="AS550" i="42"/>
  <c r="BG567" i="42" s="1"/>
  <c r="BC550" i="42"/>
  <c r="BD550" i="42"/>
  <c r="BE550" i="42"/>
  <c r="BF550" i="42"/>
  <c r="BH550" i="42"/>
  <c r="BI550" i="42"/>
  <c r="BJ550" i="42"/>
  <c r="BK550" i="42"/>
  <c r="BL550" i="42"/>
  <c r="BM550" i="42"/>
  <c r="BN550" i="42"/>
  <c r="BO550" i="42"/>
  <c r="AS551" i="42"/>
  <c r="BG568" i="42" s="1"/>
  <c r="BC551" i="42"/>
  <c r="BD551" i="42"/>
  <c r="BE551" i="42"/>
  <c r="BF551" i="42"/>
  <c r="BH551" i="42"/>
  <c r="BI551" i="42"/>
  <c r="BJ551" i="42"/>
  <c r="BK551" i="42"/>
  <c r="BL551" i="42"/>
  <c r="BM551" i="42"/>
  <c r="BN551" i="42"/>
  <c r="BO551" i="42"/>
  <c r="BG529" i="42" l="1"/>
  <c r="BG521" i="42"/>
  <c r="BG517" i="42"/>
  <c r="BG509" i="42"/>
  <c r="BG531" i="42"/>
  <c r="BG523" i="42"/>
  <c r="BG534" i="42"/>
  <c r="BG508" i="42"/>
  <c r="BG528" i="42"/>
  <c r="BG551" i="42"/>
  <c r="BG525" i="42"/>
  <c r="BG514" i="42"/>
  <c r="BG532" i="42"/>
  <c r="BG524" i="42"/>
  <c r="BG545" i="42"/>
  <c r="BG548" i="42"/>
  <c r="BG530" i="42"/>
  <c r="BG527" i="42"/>
  <c r="BG533" i="42"/>
  <c r="BG550" i="42"/>
  <c r="BG520" i="42"/>
  <c r="BG510" i="42"/>
  <c r="BG541" i="42"/>
  <c r="BG542" i="42"/>
  <c r="BG522" i="42"/>
  <c r="BG506" i="42"/>
  <c r="BG507" i="42"/>
  <c r="BG538" i="42"/>
  <c r="BG503" i="42"/>
  <c r="BG547" i="42"/>
  <c r="BG543" i="42"/>
  <c r="BG546" i="42"/>
  <c r="BG511" i="42"/>
  <c r="BG516" i="42"/>
  <c r="BG513" i="42"/>
  <c r="BG549" i="42"/>
  <c r="BG515" i="42"/>
  <c r="BG540" i="42"/>
  <c r="BG539" i="42"/>
  <c r="BG537" i="42"/>
  <c r="BG505" i="42"/>
  <c r="BG512" i="42"/>
  <c r="BG504" i="42"/>
  <c r="BG544" i="42"/>
  <c r="BG526" i="42"/>
  <c r="BO500" i="42" l="1"/>
  <c r="BN500" i="42"/>
  <c r="BM500" i="42"/>
  <c r="BL500" i="42"/>
  <c r="BK500" i="42"/>
  <c r="BJ500" i="42"/>
  <c r="BI500" i="42"/>
  <c r="BH500" i="42"/>
  <c r="BO499" i="42"/>
  <c r="BN499" i="42"/>
  <c r="BM499" i="42"/>
  <c r="BL499" i="42"/>
  <c r="BK499" i="42"/>
  <c r="BJ499" i="42"/>
  <c r="BI499" i="42"/>
  <c r="BH499" i="42"/>
  <c r="BO498" i="42"/>
  <c r="BN498" i="42"/>
  <c r="BM498" i="42"/>
  <c r="BL498" i="42"/>
  <c r="BK498" i="42"/>
  <c r="BJ498" i="42"/>
  <c r="BI498" i="42"/>
  <c r="BH498" i="42"/>
  <c r="BO497" i="42"/>
  <c r="BN497" i="42"/>
  <c r="BM497" i="42"/>
  <c r="BL497" i="42"/>
  <c r="BK497" i="42"/>
  <c r="BJ497" i="42"/>
  <c r="BI497" i="42"/>
  <c r="BH497" i="42"/>
  <c r="BO496" i="42"/>
  <c r="BN496" i="42"/>
  <c r="BM496" i="42"/>
  <c r="BL496" i="42"/>
  <c r="BK496" i="42"/>
  <c r="BJ496" i="42"/>
  <c r="BI496" i="42"/>
  <c r="BH496" i="42"/>
  <c r="BO495" i="42"/>
  <c r="BN495" i="42"/>
  <c r="BM495" i="42"/>
  <c r="BL495" i="42"/>
  <c r="BK495" i="42"/>
  <c r="BJ495" i="42"/>
  <c r="BI495" i="42"/>
  <c r="BH495" i="42"/>
  <c r="BO494" i="42"/>
  <c r="BN494" i="42"/>
  <c r="BM494" i="42"/>
  <c r="BL494" i="42"/>
  <c r="BK494" i="42"/>
  <c r="BJ494" i="42"/>
  <c r="BI494" i="42"/>
  <c r="BH494" i="42"/>
  <c r="BO493" i="42"/>
  <c r="BN493" i="42"/>
  <c r="BM493" i="42"/>
  <c r="BL493" i="42"/>
  <c r="BK493" i="42"/>
  <c r="BJ493" i="42"/>
  <c r="BI493" i="42"/>
  <c r="BH493" i="42"/>
  <c r="BO492" i="42"/>
  <c r="BN492" i="42"/>
  <c r="BM492" i="42"/>
  <c r="BL492" i="42"/>
  <c r="BK492" i="42"/>
  <c r="BJ492" i="42"/>
  <c r="BI492" i="42"/>
  <c r="BH492" i="42"/>
  <c r="BO491" i="42"/>
  <c r="BN491" i="42"/>
  <c r="BM491" i="42"/>
  <c r="BL491" i="42"/>
  <c r="BK491" i="42"/>
  <c r="BJ491" i="42"/>
  <c r="BI491" i="42"/>
  <c r="BH491" i="42"/>
  <c r="BO490" i="42"/>
  <c r="BN490" i="42"/>
  <c r="BM490" i="42"/>
  <c r="BL490" i="42"/>
  <c r="BK490" i="42"/>
  <c r="BJ490" i="42"/>
  <c r="BI490" i="42"/>
  <c r="BH490" i="42"/>
  <c r="BO489" i="42"/>
  <c r="BN489" i="42"/>
  <c r="BM489" i="42"/>
  <c r="BL489" i="42"/>
  <c r="BK489" i="42"/>
  <c r="BJ489" i="42"/>
  <c r="BI489" i="42"/>
  <c r="BH489" i="42"/>
  <c r="BO488" i="42"/>
  <c r="BN488" i="42"/>
  <c r="BM488" i="42"/>
  <c r="BL488" i="42"/>
  <c r="BK488" i="42"/>
  <c r="BJ488" i="42"/>
  <c r="BI488" i="42"/>
  <c r="BH488" i="42"/>
  <c r="BO487" i="42"/>
  <c r="BN487" i="42"/>
  <c r="BM487" i="42"/>
  <c r="BL487" i="42"/>
  <c r="BK487" i="42"/>
  <c r="BJ487" i="42"/>
  <c r="BI487" i="42"/>
  <c r="BH487" i="42"/>
  <c r="BO486" i="42"/>
  <c r="BN486" i="42"/>
  <c r="BM486" i="42"/>
  <c r="BL486" i="42"/>
  <c r="BK486" i="42"/>
  <c r="BJ486" i="42"/>
  <c r="BI486" i="42"/>
  <c r="BH486" i="42"/>
  <c r="BO483" i="42" l="1"/>
  <c r="BN483" i="42"/>
  <c r="BM483" i="42"/>
  <c r="BL483" i="42"/>
  <c r="BK483" i="42"/>
  <c r="BJ483" i="42"/>
  <c r="BI483" i="42"/>
  <c r="BH483" i="42"/>
  <c r="BF483" i="42"/>
  <c r="BE483" i="42"/>
  <c r="BD483" i="42"/>
  <c r="BC483" i="42"/>
  <c r="BO482" i="42"/>
  <c r="BN482" i="42"/>
  <c r="BM482" i="42"/>
  <c r="BL482" i="42"/>
  <c r="BK482" i="42"/>
  <c r="BJ482" i="42"/>
  <c r="BI482" i="42"/>
  <c r="BH482" i="42"/>
  <c r="BF482" i="42"/>
  <c r="BE482" i="42"/>
  <c r="BD482" i="42"/>
  <c r="BC482" i="42"/>
  <c r="BO481" i="42"/>
  <c r="BN481" i="42"/>
  <c r="BM481" i="42"/>
  <c r="BL481" i="42"/>
  <c r="BK481" i="42"/>
  <c r="BJ481" i="42"/>
  <c r="BI481" i="42"/>
  <c r="BH481" i="42"/>
  <c r="BF481" i="42"/>
  <c r="BE481" i="42"/>
  <c r="BD481" i="42"/>
  <c r="BC481" i="42"/>
  <c r="BO480" i="42"/>
  <c r="BN480" i="42"/>
  <c r="BM480" i="42"/>
  <c r="BL480" i="42"/>
  <c r="BK480" i="42"/>
  <c r="BJ480" i="42"/>
  <c r="BI480" i="42"/>
  <c r="BH480" i="42"/>
  <c r="BF480" i="42"/>
  <c r="BE480" i="42"/>
  <c r="BD480" i="42"/>
  <c r="BC480" i="42"/>
  <c r="BO479" i="42"/>
  <c r="BN479" i="42"/>
  <c r="BM479" i="42"/>
  <c r="BL479" i="42"/>
  <c r="BK479" i="42"/>
  <c r="BJ479" i="42"/>
  <c r="BI479" i="42"/>
  <c r="BH479" i="42"/>
  <c r="BF479" i="42"/>
  <c r="BE479" i="42"/>
  <c r="BD479" i="42"/>
  <c r="BC479" i="42"/>
  <c r="BO478" i="42"/>
  <c r="BN478" i="42"/>
  <c r="BM478" i="42"/>
  <c r="BL478" i="42"/>
  <c r="BK478" i="42"/>
  <c r="BJ478" i="42"/>
  <c r="BI478" i="42"/>
  <c r="BH478" i="42"/>
  <c r="BF478" i="42"/>
  <c r="BE478" i="42"/>
  <c r="BD478" i="42"/>
  <c r="BC478" i="42"/>
  <c r="BO477" i="42"/>
  <c r="BN477" i="42"/>
  <c r="BM477" i="42"/>
  <c r="BL477" i="42"/>
  <c r="BK477" i="42"/>
  <c r="BJ477" i="42"/>
  <c r="BI477" i="42"/>
  <c r="BH477" i="42"/>
  <c r="BF477" i="42"/>
  <c r="BE477" i="42"/>
  <c r="BD477" i="42"/>
  <c r="BC477" i="42"/>
  <c r="BO476" i="42"/>
  <c r="BN476" i="42"/>
  <c r="BM476" i="42"/>
  <c r="BL476" i="42"/>
  <c r="BK476" i="42"/>
  <c r="BJ476" i="42"/>
  <c r="BI476" i="42"/>
  <c r="BH476" i="42"/>
  <c r="BF476" i="42"/>
  <c r="BE476" i="42"/>
  <c r="BD476" i="42"/>
  <c r="BC476" i="42"/>
  <c r="BO475" i="42"/>
  <c r="BN475" i="42"/>
  <c r="BM475" i="42"/>
  <c r="BL475" i="42"/>
  <c r="BK475" i="42"/>
  <c r="BJ475" i="42"/>
  <c r="BI475" i="42"/>
  <c r="BH475" i="42"/>
  <c r="BF475" i="42"/>
  <c r="BE475" i="42"/>
  <c r="BD475" i="42"/>
  <c r="BC475" i="42"/>
  <c r="BO474" i="42"/>
  <c r="BN474" i="42"/>
  <c r="BM474" i="42"/>
  <c r="BL474" i="42"/>
  <c r="BK474" i="42"/>
  <c r="BJ474" i="42"/>
  <c r="BI474" i="42"/>
  <c r="BH474" i="42"/>
  <c r="BF474" i="42"/>
  <c r="BE474" i="42"/>
  <c r="BD474" i="42"/>
  <c r="BC474" i="42"/>
  <c r="BO473" i="42"/>
  <c r="BN473" i="42"/>
  <c r="BM473" i="42"/>
  <c r="BL473" i="42"/>
  <c r="BK473" i="42"/>
  <c r="BJ473" i="42"/>
  <c r="BI473" i="42"/>
  <c r="BH473" i="42"/>
  <c r="BF473" i="42"/>
  <c r="BE473" i="42"/>
  <c r="BD473" i="42"/>
  <c r="BC473" i="42"/>
  <c r="BO472" i="42"/>
  <c r="BN472" i="42"/>
  <c r="BM472" i="42"/>
  <c r="BL472" i="42"/>
  <c r="BK472" i="42"/>
  <c r="BJ472" i="42"/>
  <c r="BI472" i="42"/>
  <c r="BH472" i="42"/>
  <c r="BF472" i="42"/>
  <c r="BE472" i="42"/>
  <c r="BD472" i="42"/>
  <c r="BC472" i="42"/>
  <c r="BO471" i="42"/>
  <c r="BN471" i="42"/>
  <c r="BM471" i="42"/>
  <c r="BL471" i="42"/>
  <c r="BK471" i="42"/>
  <c r="BJ471" i="42"/>
  <c r="BI471" i="42"/>
  <c r="BH471" i="42"/>
  <c r="BF471" i="42"/>
  <c r="BE471" i="42"/>
  <c r="BD471" i="42"/>
  <c r="BC471" i="42"/>
  <c r="BO470" i="42"/>
  <c r="BN470" i="42"/>
  <c r="BM470" i="42"/>
  <c r="BL470" i="42"/>
  <c r="BK470" i="42"/>
  <c r="BJ470" i="42"/>
  <c r="BI470" i="42"/>
  <c r="BH470" i="42"/>
  <c r="BF470" i="42"/>
  <c r="BE470" i="42"/>
  <c r="BD470" i="42"/>
  <c r="BC470" i="42"/>
  <c r="BO469" i="42"/>
  <c r="BN469" i="42"/>
  <c r="BM469" i="42"/>
  <c r="BL469" i="42"/>
  <c r="BK469" i="42"/>
  <c r="BJ469" i="42"/>
  <c r="BI469" i="42"/>
  <c r="BH469" i="42"/>
  <c r="BF469" i="42"/>
  <c r="BE469" i="42"/>
  <c r="BD469" i="42"/>
  <c r="BC469" i="42"/>
  <c r="AS483" i="42"/>
  <c r="BG500" i="42" s="1"/>
  <c r="AS482" i="42"/>
  <c r="BG499" i="42" s="1"/>
  <c r="AS481" i="42"/>
  <c r="BG498" i="42" s="1"/>
  <c r="AS480" i="42"/>
  <c r="BG497" i="42" s="1"/>
  <c r="AS479" i="42"/>
  <c r="BG496" i="42" s="1"/>
  <c r="AS478" i="42"/>
  <c r="BG495" i="42" s="1"/>
  <c r="AS477" i="42"/>
  <c r="BG494" i="42" s="1"/>
  <c r="AS476" i="42"/>
  <c r="BG493" i="42" s="1"/>
  <c r="AS475" i="42"/>
  <c r="BG492" i="42" s="1"/>
  <c r="AS474" i="42"/>
  <c r="BG491" i="42" s="1"/>
  <c r="AS473" i="42"/>
  <c r="BG490" i="42" s="1"/>
  <c r="AS472" i="42"/>
  <c r="BG489" i="42" s="1"/>
  <c r="AS471" i="42"/>
  <c r="BG488" i="42" s="1"/>
  <c r="AS470" i="42"/>
  <c r="BG487" i="42" s="1"/>
  <c r="AS469" i="42"/>
  <c r="BG486" i="42" s="1"/>
  <c r="A153" i="55" l="1"/>
  <c r="A152" i="55"/>
  <c r="A151" i="55"/>
  <c r="A150" i="55"/>
  <c r="A149" i="55"/>
  <c r="A148" i="55"/>
  <c r="A147" i="55"/>
  <c r="A146" i="55"/>
  <c r="A145" i="55"/>
  <c r="A144" i="55"/>
  <c r="A143" i="55"/>
  <c r="A142" i="55"/>
  <c r="A141" i="55"/>
  <c r="A140" i="55"/>
  <c r="A139" i="55"/>
  <c r="A138" i="55"/>
  <c r="A137" i="55"/>
  <c r="A136" i="55"/>
  <c r="A135" i="55"/>
  <c r="A134" i="55"/>
  <c r="A133" i="55"/>
  <c r="A132" i="55"/>
  <c r="A131" i="55"/>
  <c r="A130" i="55"/>
  <c r="A129" i="55"/>
  <c r="A128" i="55"/>
  <c r="A127" i="55"/>
  <c r="A126" i="55"/>
  <c r="A121" i="55"/>
  <c r="A120" i="55"/>
  <c r="A119" i="55"/>
  <c r="A118" i="55"/>
  <c r="A117" i="55"/>
  <c r="A116" i="55"/>
  <c r="A115" i="55"/>
  <c r="A114" i="55"/>
  <c r="A113" i="55"/>
  <c r="A112" i="55"/>
  <c r="A111" i="55"/>
  <c r="A110" i="55"/>
  <c r="A109" i="55"/>
  <c r="A108" i="55"/>
  <c r="A107" i="55"/>
  <c r="A106" i="55"/>
  <c r="A105" i="55"/>
  <c r="A104" i="55"/>
  <c r="A103" i="55"/>
  <c r="A102" i="55"/>
  <c r="A101" i="55"/>
  <c r="A100" i="55"/>
  <c r="A99" i="55"/>
  <c r="A98" i="55"/>
  <c r="A97" i="55"/>
  <c r="A96" i="55"/>
  <c r="A95" i="55"/>
  <c r="A94" i="55"/>
  <c r="A93" i="55"/>
  <c r="A92" i="55"/>
  <c r="A91" i="55"/>
  <c r="A90" i="55"/>
  <c r="A89" i="55"/>
  <c r="A88" i="55"/>
  <c r="A87" i="55"/>
  <c r="A82" i="55"/>
  <c r="A81" i="55"/>
  <c r="A80" i="55"/>
  <c r="A79" i="55"/>
  <c r="A78" i="55"/>
  <c r="A77" i="55"/>
  <c r="A76" i="55"/>
  <c r="A75" i="55"/>
  <c r="A74" i="55"/>
  <c r="A73" i="55"/>
  <c r="A72" i="55"/>
  <c r="A71" i="55"/>
  <c r="A70" i="55"/>
  <c r="A69" i="55"/>
  <c r="A68" i="55"/>
  <c r="A66" i="55"/>
  <c r="A65" i="55"/>
  <c r="A64" i="55"/>
  <c r="A63" i="55"/>
  <c r="A62" i="55"/>
  <c r="A61" i="55"/>
  <c r="A60" i="55"/>
  <c r="A59" i="55"/>
  <c r="A58" i="55"/>
  <c r="A57" i="55"/>
  <c r="A56" i="55"/>
  <c r="A55" i="55"/>
  <c r="A54" i="55"/>
  <c r="A53" i="55"/>
  <c r="A52" i="55"/>
  <c r="A50" i="55"/>
  <c r="A49" i="55"/>
  <c r="A48" i="55"/>
  <c r="A47" i="55"/>
  <c r="A46" i="55"/>
  <c r="A45" i="55"/>
  <c r="A44" i="55"/>
  <c r="A43" i="55"/>
  <c r="A42" i="55"/>
  <c r="A41" i="55"/>
  <c r="A40" i="55"/>
  <c r="A39" i="55"/>
  <c r="A38" i="55"/>
  <c r="A37" i="55"/>
  <c r="A36" i="55"/>
  <c r="A34" i="55"/>
  <c r="A33" i="55"/>
  <c r="A32" i="55"/>
  <c r="A31" i="55"/>
  <c r="A30" i="55"/>
  <c r="A29" i="55"/>
  <c r="A28" i="55"/>
  <c r="A27" i="55"/>
  <c r="A26" i="55"/>
  <c r="A25" i="55"/>
  <c r="A24" i="55"/>
  <c r="A23" i="55"/>
  <c r="A22" i="55"/>
  <c r="A21" i="55"/>
  <c r="A20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T17" i="55"/>
  <c r="T16" i="55"/>
  <c r="T15" i="55"/>
  <c r="T14" i="55"/>
  <c r="T13" i="55"/>
  <c r="T12" i="55"/>
  <c r="T11" i="55"/>
  <c r="T10" i="55"/>
  <c r="T9" i="55"/>
  <c r="T8" i="55"/>
  <c r="T7" i="55"/>
  <c r="T6" i="55"/>
  <c r="T5" i="55"/>
  <c r="T4" i="55"/>
  <c r="T3" i="55"/>
  <c r="AS466" i="42" l="1"/>
  <c r="BG483" i="42" s="1"/>
  <c r="AS465" i="42"/>
  <c r="BG482" i="42" s="1"/>
  <c r="AS464" i="42"/>
  <c r="BG481" i="42" s="1"/>
  <c r="AS463" i="42"/>
  <c r="BG480" i="42" s="1"/>
  <c r="AS462" i="42"/>
  <c r="BG479" i="42" s="1"/>
  <c r="AS461" i="42"/>
  <c r="BG478" i="42" s="1"/>
  <c r="AS460" i="42"/>
  <c r="BG477" i="42" s="1"/>
  <c r="AS459" i="42"/>
  <c r="BG476" i="42" s="1"/>
  <c r="AS458" i="42"/>
  <c r="BG475" i="42" s="1"/>
  <c r="AS457" i="42"/>
  <c r="BG474" i="42" s="1"/>
  <c r="AS456" i="42"/>
  <c r="BG473" i="42" s="1"/>
  <c r="AS455" i="42"/>
  <c r="BG472" i="42" s="1"/>
  <c r="AS454" i="42"/>
  <c r="BG471" i="42" s="1"/>
  <c r="AS453" i="42"/>
  <c r="BG470" i="42" s="1"/>
  <c r="AS452" i="42"/>
  <c r="BG469" i="42" s="1"/>
  <c r="BO466" i="42"/>
  <c r="BN466" i="42"/>
  <c r="BM466" i="42"/>
  <c r="BL466" i="42"/>
  <c r="BK466" i="42"/>
  <c r="BJ466" i="42"/>
  <c r="BI466" i="42"/>
  <c r="BH466" i="42"/>
  <c r="BF466" i="42"/>
  <c r="BE466" i="42"/>
  <c r="BD466" i="42"/>
  <c r="BC466" i="42"/>
  <c r="BO465" i="42"/>
  <c r="BN465" i="42"/>
  <c r="BM465" i="42"/>
  <c r="BL465" i="42"/>
  <c r="BK465" i="42"/>
  <c r="BJ465" i="42"/>
  <c r="BI465" i="42"/>
  <c r="BH465" i="42"/>
  <c r="BF465" i="42"/>
  <c r="BE465" i="42"/>
  <c r="BD465" i="42"/>
  <c r="BC465" i="42"/>
  <c r="BO464" i="42"/>
  <c r="BN464" i="42"/>
  <c r="BM464" i="42"/>
  <c r="BL464" i="42"/>
  <c r="BK464" i="42"/>
  <c r="BJ464" i="42"/>
  <c r="BI464" i="42"/>
  <c r="BH464" i="42"/>
  <c r="BF464" i="42"/>
  <c r="BE464" i="42"/>
  <c r="BD464" i="42"/>
  <c r="BC464" i="42"/>
  <c r="BO463" i="42"/>
  <c r="BN463" i="42"/>
  <c r="BM463" i="42"/>
  <c r="BL463" i="42"/>
  <c r="BK463" i="42"/>
  <c r="BJ463" i="42"/>
  <c r="BI463" i="42"/>
  <c r="BH463" i="42"/>
  <c r="BF463" i="42"/>
  <c r="BE463" i="42"/>
  <c r="BD463" i="42"/>
  <c r="BC463" i="42"/>
  <c r="BO462" i="42"/>
  <c r="BN462" i="42"/>
  <c r="BM462" i="42"/>
  <c r="BL462" i="42"/>
  <c r="BK462" i="42"/>
  <c r="BJ462" i="42"/>
  <c r="BI462" i="42"/>
  <c r="BH462" i="42"/>
  <c r="BF462" i="42"/>
  <c r="BE462" i="42"/>
  <c r="BD462" i="42"/>
  <c r="BC462" i="42"/>
  <c r="BO461" i="42"/>
  <c r="BN461" i="42"/>
  <c r="BM461" i="42"/>
  <c r="BL461" i="42"/>
  <c r="BK461" i="42"/>
  <c r="BJ461" i="42"/>
  <c r="BI461" i="42"/>
  <c r="BH461" i="42"/>
  <c r="BF461" i="42"/>
  <c r="BE461" i="42"/>
  <c r="BD461" i="42"/>
  <c r="BO460" i="42"/>
  <c r="BN460" i="42"/>
  <c r="BM460" i="42"/>
  <c r="BL460" i="42"/>
  <c r="BK460" i="42"/>
  <c r="BJ460" i="42"/>
  <c r="BI460" i="42"/>
  <c r="BH460" i="42"/>
  <c r="BF460" i="42"/>
  <c r="BE460" i="42"/>
  <c r="BD460" i="42"/>
  <c r="BO459" i="42"/>
  <c r="BN459" i="42"/>
  <c r="BM459" i="42"/>
  <c r="BL459" i="42"/>
  <c r="BK459" i="42"/>
  <c r="BJ459" i="42"/>
  <c r="BI459" i="42"/>
  <c r="BH459" i="42"/>
  <c r="BF459" i="42"/>
  <c r="BE459" i="42"/>
  <c r="BD459" i="42"/>
  <c r="BO458" i="42"/>
  <c r="BN458" i="42"/>
  <c r="BM458" i="42"/>
  <c r="BL458" i="42"/>
  <c r="BK458" i="42"/>
  <c r="BJ458" i="42"/>
  <c r="BI458" i="42"/>
  <c r="BH458" i="42"/>
  <c r="BF458" i="42"/>
  <c r="BE458" i="42"/>
  <c r="BD458" i="42"/>
  <c r="BO457" i="42"/>
  <c r="BN457" i="42"/>
  <c r="BM457" i="42"/>
  <c r="BL457" i="42"/>
  <c r="BK457" i="42"/>
  <c r="BJ457" i="42"/>
  <c r="BI457" i="42"/>
  <c r="BH457" i="42"/>
  <c r="BF457" i="42"/>
  <c r="BE457" i="42"/>
  <c r="BD457" i="42"/>
  <c r="BC457" i="42"/>
  <c r="BO456" i="42"/>
  <c r="BN456" i="42"/>
  <c r="BM456" i="42"/>
  <c r="BL456" i="42"/>
  <c r="BK456" i="42"/>
  <c r="BJ456" i="42"/>
  <c r="BI456" i="42"/>
  <c r="BH456" i="42"/>
  <c r="BF456" i="42"/>
  <c r="BE456" i="42"/>
  <c r="BD456" i="42"/>
  <c r="BC456" i="42"/>
  <c r="BO455" i="42"/>
  <c r="BN455" i="42"/>
  <c r="BM455" i="42"/>
  <c r="BL455" i="42"/>
  <c r="BK455" i="42"/>
  <c r="BJ455" i="42"/>
  <c r="BI455" i="42"/>
  <c r="BH455" i="42"/>
  <c r="BF455" i="42"/>
  <c r="BE455" i="42"/>
  <c r="BD455" i="42"/>
  <c r="BC455" i="42"/>
  <c r="BO454" i="42"/>
  <c r="BN454" i="42"/>
  <c r="BM454" i="42"/>
  <c r="BL454" i="42"/>
  <c r="BK454" i="42"/>
  <c r="BJ454" i="42"/>
  <c r="BI454" i="42"/>
  <c r="BH454" i="42"/>
  <c r="BF454" i="42"/>
  <c r="BE454" i="42"/>
  <c r="BD454" i="42"/>
  <c r="BC454" i="42"/>
  <c r="BO453" i="42"/>
  <c r="BN453" i="42"/>
  <c r="BM453" i="42"/>
  <c r="BL453" i="42"/>
  <c r="BK453" i="42"/>
  <c r="BJ453" i="42"/>
  <c r="BI453" i="42"/>
  <c r="BH453" i="42"/>
  <c r="BF453" i="42"/>
  <c r="BE453" i="42"/>
  <c r="BD453" i="42"/>
  <c r="BC453" i="42"/>
  <c r="BO452" i="42"/>
  <c r="BN452" i="42"/>
  <c r="BM452" i="42"/>
  <c r="BL452" i="42"/>
  <c r="BK452" i="42"/>
  <c r="BJ452" i="42"/>
  <c r="BI452" i="42"/>
  <c r="BH452" i="42"/>
  <c r="BF452" i="42"/>
  <c r="BE452" i="42"/>
  <c r="BD452" i="42"/>
  <c r="BC452" i="42"/>
  <c r="Z91" i="54" l="1"/>
  <c r="Z90" i="54"/>
  <c r="Z88" i="54"/>
  <c r="Z87" i="54"/>
  <c r="Z86" i="54"/>
  <c r="Z85" i="54"/>
  <c r="Z84" i="54"/>
  <c r="Z83" i="54"/>
  <c r="Z80" i="54"/>
  <c r="Z79" i="54"/>
  <c r="Z78" i="54"/>
  <c r="Z77" i="54"/>
  <c r="BO449" i="42" l="1"/>
  <c r="BN449" i="42"/>
  <c r="BM449" i="42"/>
  <c r="BL449" i="42"/>
  <c r="BK449" i="42"/>
  <c r="BJ449" i="42"/>
  <c r="BI449" i="42"/>
  <c r="BH449" i="42"/>
  <c r="BF449" i="42"/>
  <c r="BE449" i="42"/>
  <c r="BD449" i="42"/>
  <c r="BC449" i="42"/>
  <c r="BO448" i="42"/>
  <c r="BN448" i="42"/>
  <c r="BM448" i="42"/>
  <c r="BL448" i="42"/>
  <c r="BK448" i="42"/>
  <c r="BJ448" i="42"/>
  <c r="BI448" i="42"/>
  <c r="BH448" i="42"/>
  <c r="BF448" i="42"/>
  <c r="BE448" i="42"/>
  <c r="BD448" i="42"/>
  <c r="BC448" i="42"/>
  <c r="BO447" i="42"/>
  <c r="BN447" i="42"/>
  <c r="BM447" i="42"/>
  <c r="BL447" i="42"/>
  <c r="BK447" i="42"/>
  <c r="BJ447" i="42"/>
  <c r="BI447" i="42"/>
  <c r="BH447" i="42"/>
  <c r="BF447" i="42"/>
  <c r="BE447" i="42"/>
  <c r="BD447" i="42"/>
  <c r="BC447" i="42"/>
  <c r="BO446" i="42"/>
  <c r="BN446" i="42"/>
  <c r="BM446" i="42"/>
  <c r="BL446" i="42"/>
  <c r="BK446" i="42"/>
  <c r="BJ446" i="42"/>
  <c r="BI446" i="42"/>
  <c r="BH446" i="42"/>
  <c r="BF446" i="42"/>
  <c r="BE446" i="42"/>
  <c r="BD446" i="42"/>
  <c r="BC446" i="42"/>
  <c r="BO445" i="42"/>
  <c r="BN445" i="42"/>
  <c r="BM445" i="42"/>
  <c r="BL445" i="42"/>
  <c r="BK445" i="42"/>
  <c r="BJ445" i="42"/>
  <c r="BI445" i="42"/>
  <c r="BH445" i="42"/>
  <c r="BF445" i="42"/>
  <c r="BE445" i="42"/>
  <c r="BD445" i="42"/>
  <c r="BC445" i="42"/>
  <c r="BO444" i="42"/>
  <c r="BN444" i="42"/>
  <c r="BM444" i="42"/>
  <c r="BL444" i="42"/>
  <c r="BK444" i="42"/>
  <c r="BJ444" i="42"/>
  <c r="BI444" i="42"/>
  <c r="BH444" i="42"/>
  <c r="BF444" i="42"/>
  <c r="BE444" i="42"/>
  <c r="BD444" i="42"/>
  <c r="BO443" i="42"/>
  <c r="BN443" i="42"/>
  <c r="BM443" i="42"/>
  <c r="BL443" i="42"/>
  <c r="BK443" i="42"/>
  <c r="BJ443" i="42"/>
  <c r="BI443" i="42"/>
  <c r="BH443" i="42"/>
  <c r="BF443" i="42"/>
  <c r="BE443" i="42"/>
  <c r="BD443" i="42"/>
  <c r="BO442" i="42"/>
  <c r="BN442" i="42"/>
  <c r="BM442" i="42"/>
  <c r="BL442" i="42"/>
  <c r="BK442" i="42"/>
  <c r="BJ442" i="42"/>
  <c r="BI442" i="42"/>
  <c r="BH442" i="42"/>
  <c r="BF442" i="42"/>
  <c r="BE442" i="42"/>
  <c r="BD442" i="42"/>
  <c r="BO441" i="42"/>
  <c r="BN441" i="42"/>
  <c r="BM441" i="42"/>
  <c r="BL441" i="42"/>
  <c r="BK441" i="42"/>
  <c r="BJ441" i="42"/>
  <c r="BI441" i="42"/>
  <c r="BH441" i="42"/>
  <c r="BF441" i="42"/>
  <c r="BE441" i="42"/>
  <c r="BD441" i="42"/>
  <c r="BO440" i="42"/>
  <c r="BN440" i="42"/>
  <c r="BM440" i="42"/>
  <c r="BL440" i="42"/>
  <c r="BK440" i="42"/>
  <c r="BJ440" i="42"/>
  <c r="BI440" i="42"/>
  <c r="BH440" i="42"/>
  <c r="BF440" i="42"/>
  <c r="BE440" i="42"/>
  <c r="BD440" i="42"/>
  <c r="BC440" i="42"/>
  <c r="BO439" i="42"/>
  <c r="BN439" i="42"/>
  <c r="BM439" i="42"/>
  <c r="BL439" i="42"/>
  <c r="BK439" i="42"/>
  <c r="BJ439" i="42"/>
  <c r="BI439" i="42"/>
  <c r="BH439" i="42"/>
  <c r="BF439" i="42"/>
  <c r="BE439" i="42"/>
  <c r="BD439" i="42"/>
  <c r="BC439" i="42"/>
  <c r="BO438" i="42"/>
  <c r="BN438" i="42"/>
  <c r="BM438" i="42"/>
  <c r="BL438" i="42"/>
  <c r="BK438" i="42"/>
  <c r="BJ438" i="42"/>
  <c r="BI438" i="42"/>
  <c r="BH438" i="42"/>
  <c r="BF438" i="42"/>
  <c r="BE438" i="42"/>
  <c r="BD438" i="42"/>
  <c r="BC438" i="42"/>
  <c r="BO437" i="42"/>
  <c r="BN437" i="42"/>
  <c r="BM437" i="42"/>
  <c r="BL437" i="42"/>
  <c r="BK437" i="42"/>
  <c r="BJ437" i="42"/>
  <c r="BI437" i="42"/>
  <c r="BH437" i="42"/>
  <c r="BF437" i="42"/>
  <c r="BD437" i="42"/>
  <c r="BC437" i="42"/>
  <c r="BO436" i="42"/>
  <c r="BN436" i="42"/>
  <c r="BM436" i="42"/>
  <c r="BL436" i="42"/>
  <c r="BK436" i="42"/>
  <c r="BJ436" i="42"/>
  <c r="BI436" i="42"/>
  <c r="BH436" i="42"/>
  <c r="BF436" i="42"/>
  <c r="BE436" i="42"/>
  <c r="BD436" i="42"/>
  <c r="BC436" i="42"/>
  <c r="BO435" i="42"/>
  <c r="BN435" i="42"/>
  <c r="BM435" i="42"/>
  <c r="BL435" i="42"/>
  <c r="BJ435" i="42"/>
  <c r="BC435" i="42"/>
  <c r="BO432" i="42"/>
  <c r="BN432" i="42"/>
  <c r="BM432" i="42"/>
  <c r="BL432" i="42"/>
  <c r="BK432" i="42"/>
  <c r="BJ432" i="42"/>
  <c r="BI432" i="42"/>
  <c r="BH432" i="42"/>
  <c r="BF432" i="42"/>
  <c r="BE432" i="42"/>
  <c r="BD432" i="42"/>
  <c r="BC432" i="42"/>
  <c r="BO431" i="42"/>
  <c r="BN431" i="42"/>
  <c r="BM431" i="42"/>
  <c r="BL431" i="42"/>
  <c r="BK431" i="42"/>
  <c r="BJ431" i="42"/>
  <c r="BI431" i="42"/>
  <c r="BH431" i="42"/>
  <c r="BF431" i="42"/>
  <c r="BE431" i="42"/>
  <c r="BD431" i="42"/>
  <c r="BC431" i="42"/>
  <c r="BO430" i="42"/>
  <c r="BN430" i="42"/>
  <c r="BM430" i="42"/>
  <c r="BL430" i="42"/>
  <c r="BK430" i="42"/>
  <c r="BJ430" i="42"/>
  <c r="BI430" i="42"/>
  <c r="BH430" i="42"/>
  <c r="BF430" i="42"/>
  <c r="BE430" i="42"/>
  <c r="BD430" i="42"/>
  <c r="BC430" i="42"/>
  <c r="BO429" i="42"/>
  <c r="BN429" i="42"/>
  <c r="BM429" i="42"/>
  <c r="BL429" i="42"/>
  <c r="BK429" i="42"/>
  <c r="BJ429" i="42"/>
  <c r="BI429" i="42"/>
  <c r="BH429" i="42"/>
  <c r="BF429" i="42"/>
  <c r="BE429" i="42"/>
  <c r="BC429" i="42"/>
  <c r="BO428" i="42"/>
  <c r="BN428" i="42"/>
  <c r="BM428" i="42"/>
  <c r="BL428" i="42"/>
  <c r="BK428" i="42"/>
  <c r="BJ428" i="42"/>
  <c r="BI428" i="42"/>
  <c r="BH428" i="42"/>
  <c r="BF428" i="42"/>
  <c r="BE428" i="42"/>
  <c r="BD428" i="42"/>
  <c r="BC428" i="42"/>
  <c r="BO427" i="42"/>
  <c r="BN427" i="42"/>
  <c r="BM427" i="42"/>
  <c r="BL427" i="42"/>
  <c r="BK427" i="42"/>
  <c r="BJ427" i="42"/>
  <c r="BI427" i="42"/>
  <c r="BH427" i="42"/>
  <c r="BF427" i="42"/>
  <c r="BE427" i="42"/>
  <c r="BD427" i="42"/>
  <c r="BC427" i="42"/>
  <c r="BO426" i="42"/>
  <c r="BN426" i="42"/>
  <c r="BM426" i="42"/>
  <c r="BL426" i="42"/>
  <c r="BK426" i="42"/>
  <c r="BJ426" i="42"/>
  <c r="BI426" i="42"/>
  <c r="BH426" i="42"/>
  <c r="BF426" i="42"/>
  <c r="BD426" i="42"/>
  <c r="BC426" i="42"/>
  <c r="BO425" i="42"/>
  <c r="BN425" i="42"/>
  <c r="BM425" i="42"/>
  <c r="BL425" i="42"/>
  <c r="BK425" i="42"/>
  <c r="BJ425" i="42"/>
  <c r="BI425" i="42"/>
  <c r="BH425" i="42"/>
  <c r="BF425" i="42"/>
  <c r="BE425" i="42"/>
  <c r="BD425" i="42"/>
  <c r="BC425" i="42"/>
  <c r="BO424" i="42"/>
  <c r="BN424" i="42"/>
  <c r="BM424" i="42"/>
  <c r="BL424" i="42"/>
  <c r="BK424" i="42"/>
  <c r="BJ424" i="42"/>
  <c r="BI424" i="42"/>
  <c r="BH424" i="42"/>
  <c r="BF424" i="42"/>
  <c r="BE424" i="42"/>
  <c r="BD424" i="42"/>
  <c r="BC424" i="42"/>
  <c r="BO423" i="42"/>
  <c r="BN423" i="42"/>
  <c r="BM423" i="42"/>
  <c r="BL423" i="42"/>
  <c r="BK423" i="42"/>
  <c r="BJ423" i="42"/>
  <c r="BI423" i="42"/>
  <c r="BF423" i="42"/>
  <c r="BE423" i="42"/>
  <c r="BC423" i="42"/>
  <c r="BO422" i="42"/>
  <c r="BN422" i="42"/>
  <c r="BM422" i="42"/>
  <c r="BL422" i="42"/>
  <c r="BK422" i="42"/>
  <c r="BJ422" i="42"/>
  <c r="BI422" i="42"/>
  <c r="BF422" i="42"/>
  <c r="BE422" i="42"/>
  <c r="BC422" i="42"/>
  <c r="BO421" i="42"/>
  <c r="BN421" i="42"/>
  <c r="BM421" i="42"/>
  <c r="BL421" i="42"/>
  <c r="BK421" i="42"/>
  <c r="BJ421" i="42"/>
  <c r="BI421" i="42"/>
  <c r="BH421" i="42"/>
  <c r="BF421" i="42"/>
  <c r="BE421" i="42"/>
  <c r="BD421" i="42"/>
  <c r="BC421" i="42"/>
  <c r="BO420" i="42"/>
  <c r="BN420" i="42"/>
  <c r="BM420" i="42"/>
  <c r="BL420" i="42"/>
  <c r="BK420" i="42"/>
  <c r="BJ420" i="42"/>
  <c r="BI420" i="42"/>
  <c r="BH420" i="42"/>
  <c r="BF420" i="42"/>
  <c r="BD420" i="42"/>
  <c r="BC420" i="42"/>
  <c r="BM419" i="42"/>
  <c r="BL419" i="42"/>
  <c r="BK419" i="42"/>
  <c r="BJ419" i="42"/>
  <c r="BI419" i="42"/>
  <c r="BH419" i="42"/>
  <c r="BF419" i="42"/>
  <c r="BE419" i="42"/>
  <c r="BD419" i="42"/>
  <c r="BC419" i="42"/>
  <c r="BO418" i="42"/>
  <c r="BN418" i="42"/>
  <c r="BM418" i="42"/>
  <c r="BL418" i="42"/>
  <c r="BJ418" i="42"/>
  <c r="BC418" i="42"/>
  <c r="BO415" i="42"/>
  <c r="BN415" i="42"/>
  <c r="BM415" i="42"/>
  <c r="BL415" i="42"/>
  <c r="BK415" i="42"/>
  <c r="BJ415" i="42"/>
  <c r="BI415" i="42"/>
  <c r="BH415" i="42"/>
  <c r="BF415" i="42"/>
  <c r="BE415" i="42"/>
  <c r="BD415" i="42"/>
  <c r="BC415" i="42"/>
  <c r="BO414" i="42"/>
  <c r="BN414" i="42"/>
  <c r="BM414" i="42"/>
  <c r="BL414" i="42"/>
  <c r="BK414" i="42"/>
  <c r="BJ414" i="42"/>
  <c r="BI414" i="42"/>
  <c r="BH414" i="42"/>
  <c r="BF414" i="42"/>
  <c r="BE414" i="42"/>
  <c r="BD414" i="42"/>
  <c r="BC414" i="42"/>
  <c r="BO413" i="42"/>
  <c r="BN413" i="42"/>
  <c r="BM413" i="42"/>
  <c r="BL413" i="42"/>
  <c r="BK413" i="42"/>
  <c r="BJ413" i="42"/>
  <c r="BI413" i="42"/>
  <c r="BH413" i="42"/>
  <c r="BF413" i="42"/>
  <c r="BE413" i="42"/>
  <c r="BD413" i="42"/>
  <c r="BC413" i="42"/>
  <c r="BO412" i="42"/>
  <c r="BN412" i="42"/>
  <c r="BM412" i="42"/>
  <c r="BL412" i="42"/>
  <c r="BK412" i="42"/>
  <c r="BJ412" i="42"/>
  <c r="BI412" i="42"/>
  <c r="BH412" i="42"/>
  <c r="BF412" i="42"/>
  <c r="BE412" i="42"/>
  <c r="BC412" i="42"/>
  <c r="BO411" i="42"/>
  <c r="BN411" i="42"/>
  <c r="BM411" i="42"/>
  <c r="BL411" i="42"/>
  <c r="BK411" i="42"/>
  <c r="BJ411" i="42"/>
  <c r="BI411" i="42"/>
  <c r="BH411" i="42"/>
  <c r="BF411" i="42"/>
  <c r="BE411" i="42"/>
  <c r="BD411" i="42"/>
  <c r="BC411" i="42"/>
  <c r="BO410" i="42"/>
  <c r="BN410" i="42"/>
  <c r="BM410" i="42"/>
  <c r="BL410" i="42"/>
  <c r="BK410" i="42"/>
  <c r="BJ410" i="42"/>
  <c r="BI410" i="42"/>
  <c r="BH410" i="42"/>
  <c r="BF410" i="42"/>
  <c r="BE410" i="42"/>
  <c r="BD410" i="42"/>
  <c r="BC410" i="42"/>
  <c r="BO409" i="42"/>
  <c r="BN409" i="42"/>
  <c r="BM409" i="42"/>
  <c r="BL409" i="42"/>
  <c r="BK409" i="42"/>
  <c r="BJ409" i="42"/>
  <c r="BI409" i="42"/>
  <c r="BH409" i="42"/>
  <c r="BF409" i="42"/>
  <c r="BD409" i="42"/>
  <c r="BC409" i="42"/>
  <c r="BO408" i="42"/>
  <c r="BN408" i="42"/>
  <c r="BM408" i="42"/>
  <c r="BL408" i="42"/>
  <c r="BK408" i="42"/>
  <c r="BJ408" i="42"/>
  <c r="BI408" i="42"/>
  <c r="BH408" i="42"/>
  <c r="BF408" i="42"/>
  <c r="BE408" i="42"/>
  <c r="BD408" i="42"/>
  <c r="BC408" i="42"/>
  <c r="BO407" i="42"/>
  <c r="BN407" i="42"/>
  <c r="BM407" i="42"/>
  <c r="BL407" i="42"/>
  <c r="BK407" i="42"/>
  <c r="BJ407" i="42"/>
  <c r="BI407" i="42"/>
  <c r="BH407" i="42"/>
  <c r="BF407" i="42"/>
  <c r="BE407" i="42"/>
  <c r="BD407" i="42"/>
  <c r="BC407" i="42"/>
  <c r="BO406" i="42"/>
  <c r="BN406" i="42"/>
  <c r="BM406" i="42"/>
  <c r="BL406" i="42"/>
  <c r="BK406" i="42"/>
  <c r="BJ406" i="42"/>
  <c r="BI406" i="42"/>
  <c r="BF406" i="42"/>
  <c r="BE406" i="42"/>
  <c r="BC406" i="42"/>
  <c r="BO405" i="42"/>
  <c r="BN405" i="42"/>
  <c r="BM405" i="42"/>
  <c r="BL405" i="42"/>
  <c r="BK405" i="42"/>
  <c r="BJ405" i="42"/>
  <c r="BI405" i="42"/>
  <c r="BF405" i="42"/>
  <c r="BE405" i="42"/>
  <c r="BC405" i="42"/>
  <c r="BO404" i="42"/>
  <c r="BN404" i="42"/>
  <c r="BM404" i="42"/>
  <c r="BL404" i="42"/>
  <c r="BK404" i="42"/>
  <c r="BJ404" i="42"/>
  <c r="BI404" i="42"/>
  <c r="BH404" i="42"/>
  <c r="BF404" i="42"/>
  <c r="BE404" i="42"/>
  <c r="BD404" i="42"/>
  <c r="BC404" i="42"/>
  <c r="BO403" i="42"/>
  <c r="BN403" i="42"/>
  <c r="BM403" i="42"/>
  <c r="BL403" i="42"/>
  <c r="BK403" i="42"/>
  <c r="BJ403" i="42"/>
  <c r="BI403" i="42"/>
  <c r="BH403" i="42"/>
  <c r="BF403" i="42"/>
  <c r="BE403" i="42"/>
  <c r="BD403" i="42"/>
  <c r="BC403" i="42"/>
  <c r="BM402" i="42"/>
  <c r="BL402" i="42"/>
  <c r="BK402" i="42"/>
  <c r="BJ402" i="42"/>
  <c r="BI402" i="42"/>
  <c r="BH402" i="42"/>
  <c r="BF402" i="42"/>
  <c r="BE402" i="42"/>
  <c r="BD402" i="42"/>
  <c r="BC402" i="42"/>
  <c r="BO401" i="42"/>
  <c r="BN401" i="42"/>
  <c r="BM401" i="42"/>
  <c r="BL401" i="42"/>
  <c r="BK401" i="42"/>
  <c r="BJ401" i="42"/>
  <c r="BI401" i="42"/>
  <c r="BH401" i="42"/>
  <c r="BF401" i="42"/>
  <c r="BE401" i="42"/>
  <c r="BD401" i="42"/>
  <c r="BC401" i="42"/>
  <c r="AO444" i="42"/>
  <c r="AO443" i="42"/>
  <c r="AO442" i="42"/>
  <c r="AO441" i="42"/>
  <c r="AS449" i="42"/>
  <c r="BG466" i="42" s="1"/>
  <c r="AS448" i="42"/>
  <c r="BG465" i="42" s="1"/>
  <c r="AS447" i="42"/>
  <c r="BG464" i="42" s="1"/>
  <c r="AS446" i="42"/>
  <c r="BG463" i="42" s="1"/>
  <c r="AS445" i="42"/>
  <c r="BG462" i="42" s="1"/>
  <c r="AS444" i="42"/>
  <c r="BG461" i="42" s="1"/>
  <c r="AS443" i="42"/>
  <c r="BG460" i="42" s="1"/>
  <c r="AS442" i="42"/>
  <c r="BG459" i="42" s="1"/>
  <c r="AS441" i="42"/>
  <c r="BG458" i="42" s="1"/>
  <c r="AS440" i="42"/>
  <c r="BG457" i="42" s="1"/>
  <c r="AS439" i="42"/>
  <c r="BG456" i="42" s="1"/>
  <c r="AS438" i="42"/>
  <c r="BG455" i="42" s="1"/>
  <c r="AS437" i="42"/>
  <c r="BG454" i="42" s="1"/>
  <c r="AS436" i="42"/>
  <c r="BG453" i="42" s="1"/>
  <c r="AS435" i="42"/>
  <c r="BG452" i="42" s="1"/>
  <c r="BC442" i="42" l="1"/>
  <c r="BC459" i="42"/>
  <c r="BC443" i="42"/>
  <c r="BC460" i="42"/>
  <c r="BC441" i="42"/>
  <c r="BC458" i="42"/>
  <c r="BC444" i="42"/>
  <c r="BC461" i="42"/>
  <c r="AS432" i="42" l="1"/>
  <c r="AS431" i="42"/>
  <c r="AS430" i="42"/>
  <c r="AS429" i="42"/>
  <c r="AS428" i="42"/>
  <c r="AS427" i="42"/>
  <c r="AS426" i="42"/>
  <c r="AS425" i="42"/>
  <c r="AS424" i="42"/>
  <c r="AS423" i="42"/>
  <c r="AS422" i="42"/>
  <c r="AS421" i="42"/>
  <c r="AS420" i="42"/>
  <c r="AS419" i="42"/>
  <c r="AW418" i="42"/>
  <c r="AU418" i="42"/>
  <c r="AT418" i="42"/>
  <c r="AQ420" i="42"/>
  <c r="AR418" i="42"/>
  <c r="AQ418" i="42"/>
  <c r="AP418" i="42"/>
  <c r="BA402" i="42"/>
  <c r="AZ402" i="42"/>
  <c r="AT405" i="42"/>
  <c r="AT406" i="42"/>
  <c r="AQ409" i="42"/>
  <c r="AP412" i="42"/>
  <c r="AP406" i="42"/>
  <c r="AP405" i="42"/>
  <c r="AS415" i="42"/>
  <c r="AS414" i="42"/>
  <c r="AS413" i="42"/>
  <c r="AS412" i="42"/>
  <c r="AS411" i="42"/>
  <c r="AS410" i="42"/>
  <c r="AS409" i="42"/>
  <c r="AS408" i="42"/>
  <c r="AS407" i="42"/>
  <c r="AS404" i="42"/>
  <c r="AS403" i="42"/>
  <c r="AS402" i="42"/>
  <c r="AS401" i="42"/>
  <c r="AS405" i="42" l="1"/>
  <c r="BH405" i="42"/>
  <c r="BH422" i="42"/>
  <c r="BG425" i="42"/>
  <c r="BG442" i="42"/>
  <c r="BN402" i="42"/>
  <c r="BN419" i="42"/>
  <c r="BO402" i="42"/>
  <c r="BO419" i="42"/>
  <c r="BG427" i="42"/>
  <c r="BG444" i="42"/>
  <c r="BD422" i="42"/>
  <c r="BD405" i="42"/>
  <c r="BG421" i="42"/>
  <c r="BG438" i="42"/>
  <c r="BD412" i="42"/>
  <c r="BD429" i="42"/>
  <c r="BF435" i="42"/>
  <c r="BF418" i="42"/>
  <c r="BG439" i="42"/>
  <c r="BG447" i="42"/>
  <c r="BG430" i="42"/>
  <c r="BG426" i="42"/>
  <c r="BG443" i="42"/>
  <c r="BG428" i="42"/>
  <c r="BG445" i="42"/>
  <c r="BI418" i="42"/>
  <c r="BI435" i="42"/>
  <c r="BK435" i="42"/>
  <c r="BK418" i="42"/>
  <c r="BG419" i="42"/>
  <c r="BG436" i="42"/>
  <c r="BD435" i="42"/>
  <c r="BD418" i="42"/>
  <c r="BG420" i="42"/>
  <c r="BG437" i="42"/>
  <c r="BD423" i="42"/>
  <c r="BD406" i="42"/>
  <c r="BE435" i="42"/>
  <c r="BE418" i="42"/>
  <c r="BG429" i="42"/>
  <c r="BG446" i="42"/>
  <c r="BE409" i="42"/>
  <c r="BE426" i="42"/>
  <c r="BE437" i="42"/>
  <c r="BE420" i="42"/>
  <c r="BG440" i="42"/>
  <c r="BG431" i="42"/>
  <c r="BG448" i="42"/>
  <c r="AS406" i="42"/>
  <c r="BG423" i="42" s="1"/>
  <c r="BH423" i="42"/>
  <c r="BH406" i="42"/>
  <c r="BH418" i="42"/>
  <c r="BH435" i="42"/>
  <c r="BG424" i="42"/>
  <c r="BG441" i="42"/>
  <c r="BG432" i="42"/>
  <c r="BG449" i="42"/>
  <c r="AS418" i="42"/>
  <c r="AS398" i="42"/>
  <c r="BG415" i="42" s="1"/>
  <c r="AS397" i="42"/>
  <c r="BG414" i="42" s="1"/>
  <c r="AS396" i="42"/>
  <c r="BG413" i="42" s="1"/>
  <c r="AS395" i="42"/>
  <c r="BG412" i="42" s="1"/>
  <c r="AS394" i="42"/>
  <c r="BG411" i="42" s="1"/>
  <c r="AS393" i="42"/>
  <c r="BG410" i="42" s="1"/>
  <c r="AS392" i="42"/>
  <c r="BG409" i="42" s="1"/>
  <c r="AS391" i="42"/>
  <c r="BG408" i="42" s="1"/>
  <c r="AS390" i="42"/>
  <c r="BG407" i="42" s="1"/>
  <c r="AS389" i="42"/>
  <c r="AS388" i="42"/>
  <c r="AS387" i="42"/>
  <c r="BG404" i="42" s="1"/>
  <c r="AS386" i="42"/>
  <c r="BG403" i="42" s="1"/>
  <c r="AS385" i="42"/>
  <c r="BG402" i="42" s="1"/>
  <c r="AS384" i="42"/>
  <c r="BG401" i="42" s="1"/>
  <c r="BO398" i="42"/>
  <c r="BN398" i="42"/>
  <c r="BM398" i="42"/>
  <c r="BL398" i="42"/>
  <c r="BK398" i="42"/>
  <c r="BJ398" i="42"/>
  <c r="BI398" i="42"/>
  <c r="BH398" i="42"/>
  <c r="BF398" i="42"/>
  <c r="BE398" i="42"/>
  <c r="BD398" i="42"/>
  <c r="BC398" i="42"/>
  <c r="BO397" i="42"/>
  <c r="BN397" i="42"/>
  <c r="BM397" i="42"/>
  <c r="BL397" i="42"/>
  <c r="BK397" i="42"/>
  <c r="BJ397" i="42"/>
  <c r="BI397" i="42"/>
  <c r="BH397" i="42"/>
  <c r="BF397" i="42"/>
  <c r="BE397" i="42"/>
  <c r="BD397" i="42"/>
  <c r="BC397" i="42"/>
  <c r="BO396" i="42"/>
  <c r="BN396" i="42"/>
  <c r="BM396" i="42"/>
  <c r="BL396" i="42"/>
  <c r="BK396" i="42"/>
  <c r="BJ396" i="42"/>
  <c r="BI396" i="42"/>
  <c r="BH396" i="42"/>
  <c r="BF396" i="42"/>
  <c r="BE396" i="42"/>
  <c r="BD396" i="42"/>
  <c r="BC396" i="42"/>
  <c r="BO395" i="42"/>
  <c r="BN395" i="42"/>
  <c r="BM395" i="42"/>
  <c r="BL395" i="42"/>
  <c r="BK395" i="42"/>
  <c r="BJ395" i="42"/>
  <c r="BI395" i="42"/>
  <c r="BH395" i="42"/>
  <c r="BF395" i="42"/>
  <c r="BE395" i="42"/>
  <c r="BD395" i="42"/>
  <c r="BC395" i="42"/>
  <c r="BO394" i="42"/>
  <c r="BN394" i="42"/>
  <c r="BM394" i="42"/>
  <c r="BL394" i="42"/>
  <c r="BK394" i="42"/>
  <c r="BJ394" i="42"/>
  <c r="BI394" i="42"/>
  <c r="BH394" i="42"/>
  <c r="BF394" i="42"/>
  <c r="BE394" i="42"/>
  <c r="BD394" i="42"/>
  <c r="BC394" i="42"/>
  <c r="BO393" i="42"/>
  <c r="BN393" i="42"/>
  <c r="BM393" i="42"/>
  <c r="BL393" i="42"/>
  <c r="BK393" i="42"/>
  <c r="BJ393" i="42"/>
  <c r="BI393" i="42"/>
  <c r="BH393" i="42"/>
  <c r="BF393" i="42"/>
  <c r="BE393" i="42"/>
  <c r="BD393" i="42"/>
  <c r="BC393" i="42"/>
  <c r="BO392" i="42"/>
  <c r="BN392" i="42"/>
  <c r="BM392" i="42"/>
  <c r="BL392" i="42"/>
  <c r="BK392" i="42"/>
  <c r="BJ392" i="42"/>
  <c r="BI392" i="42"/>
  <c r="BH392" i="42"/>
  <c r="BF392" i="42"/>
  <c r="BE392" i="42"/>
  <c r="BD392" i="42"/>
  <c r="BC392" i="42"/>
  <c r="BO391" i="42"/>
  <c r="BN391" i="42"/>
  <c r="BM391" i="42"/>
  <c r="BL391" i="42"/>
  <c r="BK391" i="42"/>
  <c r="BJ391" i="42"/>
  <c r="BI391" i="42"/>
  <c r="BH391" i="42"/>
  <c r="BF391" i="42"/>
  <c r="BE391" i="42"/>
  <c r="BD391" i="42"/>
  <c r="BC391" i="42"/>
  <c r="BO390" i="42"/>
  <c r="BN390" i="42"/>
  <c r="BM390" i="42"/>
  <c r="BL390" i="42"/>
  <c r="BK390" i="42"/>
  <c r="BJ390" i="42"/>
  <c r="BI390" i="42"/>
  <c r="BH390" i="42"/>
  <c r="BF390" i="42"/>
  <c r="BE390" i="42"/>
  <c r="BD390" i="42"/>
  <c r="BC390" i="42"/>
  <c r="BO389" i="42"/>
  <c r="BN389" i="42"/>
  <c r="BM389" i="42"/>
  <c r="BL389" i="42"/>
  <c r="BK389" i="42"/>
  <c r="BJ389" i="42"/>
  <c r="BI389" i="42"/>
  <c r="BH389" i="42"/>
  <c r="BF389" i="42"/>
  <c r="BE389" i="42"/>
  <c r="BD389" i="42"/>
  <c r="BC389" i="42"/>
  <c r="BO388" i="42"/>
  <c r="BN388" i="42"/>
  <c r="BM388" i="42"/>
  <c r="BL388" i="42"/>
  <c r="BK388" i="42"/>
  <c r="BJ388" i="42"/>
  <c r="BI388" i="42"/>
  <c r="BH388" i="42"/>
  <c r="BF388" i="42"/>
  <c r="BE388" i="42"/>
  <c r="BD388" i="42"/>
  <c r="BC388" i="42"/>
  <c r="BO387" i="42"/>
  <c r="BN387" i="42"/>
  <c r="BM387" i="42"/>
  <c r="BL387" i="42"/>
  <c r="BK387" i="42"/>
  <c r="BJ387" i="42"/>
  <c r="BI387" i="42"/>
  <c r="BH387" i="42"/>
  <c r="BF387" i="42"/>
  <c r="BE387" i="42"/>
  <c r="BD387" i="42"/>
  <c r="BC387" i="42"/>
  <c r="BO386" i="42"/>
  <c r="BN386" i="42"/>
  <c r="BM386" i="42"/>
  <c r="BL386" i="42"/>
  <c r="BK386" i="42"/>
  <c r="BJ386" i="42"/>
  <c r="BI386" i="42"/>
  <c r="BH386" i="42"/>
  <c r="BF386" i="42"/>
  <c r="BE386" i="42"/>
  <c r="BD386" i="42"/>
  <c r="BC386" i="42"/>
  <c r="BO385" i="42"/>
  <c r="BN385" i="42"/>
  <c r="BM385" i="42"/>
  <c r="BL385" i="42"/>
  <c r="BK385" i="42"/>
  <c r="BJ385" i="42"/>
  <c r="BI385" i="42"/>
  <c r="BH385" i="42"/>
  <c r="BF385" i="42"/>
  <c r="BE385" i="42"/>
  <c r="BD385" i="42"/>
  <c r="BC385" i="42"/>
  <c r="BO384" i="42"/>
  <c r="BN384" i="42"/>
  <c r="BM384" i="42"/>
  <c r="BL384" i="42"/>
  <c r="BK384" i="42"/>
  <c r="BJ384" i="42"/>
  <c r="BI384" i="42"/>
  <c r="BH384" i="42"/>
  <c r="BF384" i="42"/>
  <c r="BE384" i="42"/>
  <c r="BD384" i="42"/>
  <c r="BC384" i="42"/>
  <c r="BG435" i="42" l="1"/>
  <c r="BG418" i="42"/>
  <c r="BG405" i="42"/>
  <c r="BG406" i="42"/>
  <c r="BG422" i="42"/>
  <c r="W141" i="42"/>
  <c r="W140" i="42"/>
  <c r="W139" i="42"/>
  <c r="W138" i="42"/>
  <c r="W137" i="42"/>
  <c r="W136" i="42"/>
  <c r="W135" i="42"/>
  <c r="W134" i="42"/>
  <c r="W133" i="42"/>
  <c r="W132" i="42"/>
  <c r="W131" i="42"/>
  <c r="W130" i="42"/>
  <c r="W129" i="42"/>
  <c r="W128" i="42"/>
  <c r="W127" i="42"/>
  <c r="W126" i="42"/>
  <c r="W125" i="42"/>
  <c r="W124" i="42"/>
  <c r="W123" i="42"/>
  <c r="W122" i="42"/>
  <c r="W121" i="42"/>
  <c r="W120" i="42"/>
  <c r="W119" i="42"/>
  <c r="W118" i="42"/>
  <c r="W117" i="42"/>
  <c r="W116" i="42"/>
  <c r="W115" i="42"/>
  <c r="W114" i="42"/>
  <c r="W113" i="42"/>
  <c r="W112" i="42"/>
  <c r="W111" i="42"/>
  <c r="W98" i="42"/>
  <c r="W97" i="42"/>
  <c r="W96" i="42"/>
  <c r="W95" i="42"/>
  <c r="W94" i="42"/>
  <c r="W93" i="42"/>
  <c r="W92" i="42"/>
  <c r="W91" i="42"/>
  <c r="W90" i="42"/>
  <c r="W89" i="42"/>
  <c r="W88" i="42"/>
  <c r="W87" i="42"/>
  <c r="W86" i="42"/>
  <c r="W85" i="42"/>
  <c r="W84" i="42"/>
  <c r="W83" i="42"/>
  <c r="W82" i="42"/>
  <c r="W81" i="42"/>
  <c r="W80" i="42"/>
  <c r="W79" i="42"/>
  <c r="W78" i="42"/>
  <c r="W77" i="42"/>
  <c r="W76" i="42"/>
  <c r="W75" i="42"/>
  <c r="W74" i="42"/>
  <c r="W73" i="42"/>
  <c r="W72" i="42"/>
  <c r="W71" i="42"/>
  <c r="W70" i="42"/>
  <c r="W69" i="42"/>
  <c r="W68" i="42"/>
  <c r="W67" i="42"/>
  <c r="W66" i="42"/>
  <c r="W65" i="42"/>
  <c r="W64" i="42"/>
  <c r="W63" i="42"/>
  <c r="W62" i="42"/>
  <c r="W47" i="42"/>
  <c r="W46" i="42"/>
  <c r="W45" i="42"/>
  <c r="W44" i="42"/>
  <c r="W43" i="42"/>
  <c r="W42" i="42"/>
  <c r="W41" i="42"/>
  <c r="W40" i="42"/>
  <c r="W39" i="42"/>
  <c r="W38" i="42"/>
  <c r="W37" i="42"/>
  <c r="W36" i="42"/>
  <c r="W35" i="42"/>
  <c r="W34" i="42"/>
  <c r="W33" i="42"/>
  <c r="W32" i="42"/>
  <c r="W31" i="42"/>
  <c r="W30" i="42"/>
  <c r="W29" i="42"/>
  <c r="W28" i="42"/>
  <c r="W27" i="42"/>
  <c r="W26" i="42"/>
  <c r="W25" i="42"/>
  <c r="W24" i="42"/>
  <c r="W23" i="42"/>
  <c r="W22" i="42"/>
  <c r="W21" i="42"/>
  <c r="W20" i="42"/>
  <c r="W19" i="42"/>
  <c r="W18" i="42"/>
  <c r="W17" i="42"/>
  <c r="W16" i="42"/>
  <c r="W15" i="42"/>
  <c r="W14" i="42"/>
  <c r="W13" i="42"/>
  <c r="W12" i="42"/>
  <c r="W11" i="42"/>
  <c r="W10" i="42"/>
  <c r="W9" i="42"/>
  <c r="W8" i="42"/>
  <c r="W7" i="42"/>
  <c r="W6" i="42"/>
  <c r="W5" i="42"/>
  <c r="W4" i="42"/>
  <c r="W3" i="42"/>
  <c r="W2" i="42"/>
  <c r="V141" i="42"/>
  <c r="V140" i="42"/>
  <c r="V139" i="42"/>
  <c r="V138" i="42"/>
  <c r="V137" i="42"/>
  <c r="V136" i="42"/>
  <c r="V135" i="42"/>
  <c r="V134" i="42"/>
  <c r="V133" i="42"/>
  <c r="V132" i="42"/>
  <c r="V131" i="42"/>
  <c r="V130" i="42"/>
  <c r="V129" i="42"/>
  <c r="V128" i="42"/>
  <c r="V127" i="42"/>
  <c r="V126" i="42"/>
  <c r="V125" i="42"/>
  <c r="V124" i="42"/>
  <c r="V123" i="42"/>
  <c r="V122" i="42"/>
  <c r="V121" i="42"/>
  <c r="V120" i="42"/>
  <c r="V119" i="42"/>
  <c r="V118" i="42"/>
  <c r="V117" i="42"/>
  <c r="V116" i="42"/>
  <c r="V115" i="42"/>
  <c r="V114" i="42"/>
  <c r="V113" i="42"/>
  <c r="V112" i="42"/>
  <c r="V111" i="42"/>
  <c r="V98" i="42"/>
  <c r="V97" i="42"/>
  <c r="V96" i="42"/>
  <c r="V95" i="42"/>
  <c r="V94" i="42"/>
  <c r="V93" i="42"/>
  <c r="V92" i="42"/>
  <c r="V91" i="42"/>
  <c r="V90" i="42"/>
  <c r="V89" i="42"/>
  <c r="V88" i="42"/>
  <c r="V87" i="42"/>
  <c r="V86" i="42"/>
  <c r="V85" i="42"/>
  <c r="V84" i="42"/>
  <c r="V83" i="42"/>
  <c r="V82" i="42"/>
  <c r="V81" i="42"/>
  <c r="V80" i="42"/>
  <c r="V79" i="42"/>
  <c r="V78" i="42"/>
  <c r="V77" i="42"/>
  <c r="V76" i="42"/>
  <c r="V75" i="42"/>
  <c r="V74" i="42"/>
  <c r="V73" i="42"/>
  <c r="V72" i="42"/>
  <c r="V71" i="42"/>
  <c r="V70" i="42"/>
  <c r="V69" i="42"/>
  <c r="V68" i="42"/>
  <c r="V67" i="42"/>
  <c r="V66" i="42"/>
  <c r="V65" i="42"/>
  <c r="V64" i="42"/>
  <c r="V63" i="42"/>
  <c r="V62" i="42"/>
  <c r="V47" i="42"/>
  <c r="V46" i="42"/>
  <c r="V45" i="42"/>
  <c r="V44" i="42"/>
  <c r="V43" i="42"/>
  <c r="V42" i="42"/>
  <c r="V41" i="42"/>
  <c r="V40" i="42"/>
  <c r="V39" i="42"/>
  <c r="V38" i="42"/>
  <c r="V37" i="42"/>
  <c r="V36" i="42"/>
  <c r="V35" i="42"/>
  <c r="V34" i="42"/>
  <c r="V33" i="42"/>
  <c r="V32" i="42"/>
  <c r="V31" i="42"/>
  <c r="V30" i="42"/>
  <c r="V29" i="42"/>
  <c r="V28" i="42"/>
  <c r="V27" i="42"/>
  <c r="V26" i="42"/>
  <c r="V25" i="42"/>
  <c r="V24" i="42"/>
  <c r="V23" i="42"/>
  <c r="V22" i="42"/>
  <c r="V21" i="42"/>
  <c r="V20" i="42"/>
  <c r="V19" i="42"/>
  <c r="V18" i="42"/>
  <c r="V17" i="42"/>
  <c r="V16" i="42"/>
  <c r="V15" i="42"/>
  <c r="V14" i="42"/>
  <c r="V13" i="42"/>
  <c r="V12" i="42"/>
  <c r="V11" i="42"/>
  <c r="V10" i="42"/>
  <c r="V9" i="42"/>
  <c r="V8" i="42"/>
  <c r="V7" i="42"/>
  <c r="V6" i="42"/>
  <c r="V5" i="42"/>
  <c r="V4" i="42"/>
  <c r="V3" i="42"/>
  <c r="V2" i="42"/>
  <c r="BO381" i="42" l="1"/>
  <c r="BN381" i="42"/>
  <c r="BM381" i="42"/>
  <c r="BL381" i="42"/>
  <c r="BK381" i="42"/>
  <c r="BJ381" i="42"/>
  <c r="BI381" i="42"/>
  <c r="BH381" i="42"/>
  <c r="BF381" i="42"/>
  <c r="BE381" i="42"/>
  <c r="BD381" i="42"/>
  <c r="BC381" i="42"/>
  <c r="BO380" i="42"/>
  <c r="BN380" i="42"/>
  <c r="BM380" i="42"/>
  <c r="BL380" i="42"/>
  <c r="BK380" i="42"/>
  <c r="BJ380" i="42"/>
  <c r="BI380" i="42"/>
  <c r="BH380" i="42"/>
  <c r="BF380" i="42"/>
  <c r="BE380" i="42"/>
  <c r="BD380" i="42"/>
  <c r="BC380" i="42"/>
  <c r="BO379" i="42"/>
  <c r="BN379" i="42"/>
  <c r="BM379" i="42"/>
  <c r="BL379" i="42"/>
  <c r="BK379" i="42"/>
  <c r="BJ379" i="42"/>
  <c r="BI379" i="42"/>
  <c r="BH379" i="42"/>
  <c r="BF379" i="42"/>
  <c r="BE379" i="42"/>
  <c r="BD379" i="42"/>
  <c r="BC379" i="42"/>
  <c r="BO378" i="42"/>
  <c r="BN378" i="42"/>
  <c r="BM378" i="42"/>
  <c r="BL378" i="42"/>
  <c r="BK378" i="42"/>
  <c r="BJ378" i="42"/>
  <c r="BI378" i="42"/>
  <c r="BH378" i="42"/>
  <c r="BF378" i="42"/>
  <c r="BE378" i="42"/>
  <c r="BD378" i="42"/>
  <c r="BC378" i="42"/>
  <c r="BO377" i="42"/>
  <c r="BN377" i="42"/>
  <c r="BM377" i="42"/>
  <c r="BL377" i="42"/>
  <c r="BK377" i="42"/>
  <c r="BJ377" i="42"/>
  <c r="BI377" i="42"/>
  <c r="BH377" i="42"/>
  <c r="BF377" i="42"/>
  <c r="BE377" i="42"/>
  <c r="BD377" i="42"/>
  <c r="BC377" i="42"/>
  <c r="BO376" i="42"/>
  <c r="BN376" i="42"/>
  <c r="BM376" i="42"/>
  <c r="BL376" i="42"/>
  <c r="BK376" i="42"/>
  <c r="BJ376" i="42"/>
  <c r="BI376" i="42"/>
  <c r="BH376" i="42"/>
  <c r="BF376" i="42"/>
  <c r="BE376" i="42"/>
  <c r="BD376" i="42"/>
  <c r="BC376" i="42"/>
  <c r="BO375" i="42"/>
  <c r="BN375" i="42"/>
  <c r="BM375" i="42"/>
  <c r="BL375" i="42"/>
  <c r="BK375" i="42"/>
  <c r="BJ375" i="42"/>
  <c r="BI375" i="42"/>
  <c r="BH375" i="42"/>
  <c r="BF375" i="42"/>
  <c r="BE375" i="42"/>
  <c r="BD375" i="42"/>
  <c r="BC375" i="42"/>
  <c r="BO374" i="42"/>
  <c r="BN374" i="42"/>
  <c r="BM374" i="42"/>
  <c r="BL374" i="42"/>
  <c r="BK374" i="42"/>
  <c r="BJ374" i="42"/>
  <c r="BI374" i="42"/>
  <c r="BH374" i="42"/>
  <c r="BF374" i="42"/>
  <c r="BE374" i="42"/>
  <c r="BD374" i="42"/>
  <c r="BC374" i="42"/>
  <c r="BO373" i="42"/>
  <c r="BN373" i="42"/>
  <c r="BM373" i="42"/>
  <c r="BL373" i="42"/>
  <c r="BK373" i="42"/>
  <c r="BJ373" i="42"/>
  <c r="BI373" i="42"/>
  <c r="BH373" i="42"/>
  <c r="BF373" i="42"/>
  <c r="BE373" i="42"/>
  <c r="BD373" i="42"/>
  <c r="BC373" i="42"/>
  <c r="BO372" i="42"/>
  <c r="BN372" i="42"/>
  <c r="BM372" i="42"/>
  <c r="BL372" i="42"/>
  <c r="BK372" i="42"/>
  <c r="BJ372" i="42"/>
  <c r="BI372" i="42"/>
  <c r="BH372" i="42"/>
  <c r="BF372" i="42"/>
  <c r="BE372" i="42"/>
  <c r="BD372" i="42"/>
  <c r="BC372" i="42"/>
  <c r="BO371" i="42"/>
  <c r="BN371" i="42"/>
  <c r="BM371" i="42"/>
  <c r="BL371" i="42"/>
  <c r="BK371" i="42"/>
  <c r="BJ371" i="42"/>
  <c r="BI371" i="42"/>
  <c r="BH371" i="42"/>
  <c r="BF371" i="42"/>
  <c r="BE371" i="42"/>
  <c r="BD371" i="42"/>
  <c r="BC371" i="42"/>
  <c r="BO370" i="42"/>
  <c r="BN370" i="42"/>
  <c r="BM370" i="42"/>
  <c r="BL370" i="42"/>
  <c r="BK370" i="42"/>
  <c r="BJ370" i="42"/>
  <c r="BI370" i="42"/>
  <c r="BH370" i="42"/>
  <c r="BF370" i="42"/>
  <c r="BD370" i="42"/>
  <c r="BC370" i="42"/>
  <c r="BO369" i="42"/>
  <c r="BN369" i="42"/>
  <c r="BM369" i="42"/>
  <c r="BL369" i="42"/>
  <c r="BK369" i="42"/>
  <c r="BJ369" i="42"/>
  <c r="BI369" i="42"/>
  <c r="BH369" i="42"/>
  <c r="BF369" i="42"/>
  <c r="BE369" i="42"/>
  <c r="BD369" i="42"/>
  <c r="BC369" i="42"/>
  <c r="BO368" i="42"/>
  <c r="BN368" i="42"/>
  <c r="BM368" i="42"/>
  <c r="BL368" i="42"/>
  <c r="BK368" i="42"/>
  <c r="BJ368" i="42"/>
  <c r="BI368" i="42"/>
  <c r="BH368" i="42"/>
  <c r="BF368" i="42"/>
  <c r="BE368" i="42"/>
  <c r="BD368" i="42"/>
  <c r="BC368" i="42"/>
  <c r="BO367" i="42"/>
  <c r="BN367" i="42"/>
  <c r="BM367" i="42"/>
  <c r="BL367" i="42"/>
  <c r="BK367" i="42"/>
  <c r="BJ367" i="42"/>
  <c r="BI367" i="42"/>
  <c r="BH367" i="42"/>
  <c r="BF367" i="42"/>
  <c r="BE367" i="42"/>
  <c r="BD367" i="42"/>
  <c r="BC367" i="42"/>
  <c r="AS381" i="42"/>
  <c r="BG398" i="42" s="1"/>
  <c r="AS380" i="42"/>
  <c r="BG397" i="42" s="1"/>
  <c r="AS379" i="42"/>
  <c r="BG396" i="42" s="1"/>
  <c r="AS378" i="42"/>
  <c r="BG395" i="42" s="1"/>
  <c r="AS377" i="42"/>
  <c r="BG394" i="42" s="1"/>
  <c r="AS376" i="42"/>
  <c r="BG393" i="42" s="1"/>
  <c r="AS375" i="42"/>
  <c r="BG392" i="42" s="1"/>
  <c r="AS374" i="42"/>
  <c r="BG391" i="42" s="1"/>
  <c r="AS373" i="42"/>
  <c r="BG390" i="42" s="1"/>
  <c r="AS372" i="42"/>
  <c r="BG389" i="42" s="1"/>
  <c r="AS371" i="42"/>
  <c r="BG388" i="42" s="1"/>
  <c r="AS370" i="42"/>
  <c r="BG387" i="42" s="1"/>
  <c r="AS369" i="42"/>
  <c r="BG386" i="42" s="1"/>
  <c r="AS368" i="42"/>
  <c r="BG385" i="42" s="1"/>
  <c r="AS367" i="42"/>
  <c r="BG384" i="42" s="1"/>
  <c r="AQ353" i="42" l="1"/>
  <c r="BO364" i="42"/>
  <c r="BN364" i="42"/>
  <c r="BM364" i="42"/>
  <c r="BL364" i="42"/>
  <c r="BK364" i="42"/>
  <c r="BJ364" i="42"/>
  <c r="BI364" i="42"/>
  <c r="BH364" i="42"/>
  <c r="BF364" i="42"/>
  <c r="BE364" i="42"/>
  <c r="BD364" i="42"/>
  <c r="BC364" i="42"/>
  <c r="AS364" i="42"/>
  <c r="BG381" i="42" s="1"/>
  <c r="BO363" i="42"/>
  <c r="BN363" i="42"/>
  <c r="BM363" i="42"/>
  <c r="BL363" i="42"/>
  <c r="BK363" i="42"/>
  <c r="BJ363" i="42"/>
  <c r="BI363" i="42"/>
  <c r="BH363" i="42"/>
  <c r="BF363" i="42"/>
  <c r="BE363" i="42"/>
  <c r="BD363" i="42"/>
  <c r="BC363" i="42"/>
  <c r="AS363" i="42"/>
  <c r="BG380" i="42" s="1"/>
  <c r="BO362" i="42"/>
  <c r="BN362" i="42"/>
  <c r="BM362" i="42"/>
  <c r="BL362" i="42"/>
  <c r="BK362" i="42"/>
  <c r="BJ362" i="42"/>
  <c r="BI362" i="42"/>
  <c r="BH362" i="42"/>
  <c r="BF362" i="42"/>
  <c r="BE362" i="42"/>
  <c r="BD362" i="42"/>
  <c r="BC362" i="42"/>
  <c r="AS362" i="42"/>
  <c r="BG379" i="42" s="1"/>
  <c r="BO361" i="42"/>
  <c r="BN361" i="42"/>
  <c r="BM361" i="42"/>
  <c r="BL361" i="42"/>
  <c r="BK361" i="42"/>
  <c r="BJ361" i="42"/>
  <c r="BI361" i="42"/>
  <c r="BH361" i="42"/>
  <c r="BF361" i="42"/>
  <c r="BE361" i="42"/>
  <c r="BD361" i="42"/>
  <c r="BC361" i="42"/>
  <c r="AS361" i="42"/>
  <c r="BG378" i="42" s="1"/>
  <c r="BO360" i="42"/>
  <c r="BN360" i="42"/>
  <c r="BM360" i="42"/>
  <c r="BL360" i="42"/>
  <c r="BK360" i="42"/>
  <c r="BJ360" i="42"/>
  <c r="BI360" i="42"/>
  <c r="BH360" i="42"/>
  <c r="BF360" i="42"/>
  <c r="BE360" i="42"/>
  <c r="BD360" i="42"/>
  <c r="BC360" i="42"/>
  <c r="AS360" i="42"/>
  <c r="BG377" i="42" s="1"/>
  <c r="BO359" i="42"/>
  <c r="BN359" i="42"/>
  <c r="BM359" i="42"/>
  <c r="BL359" i="42"/>
  <c r="BK359" i="42"/>
  <c r="BJ359" i="42"/>
  <c r="BI359" i="42"/>
  <c r="BH359" i="42"/>
  <c r="BF359" i="42"/>
  <c r="BE359" i="42"/>
  <c r="BD359" i="42"/>
  <c r="BC359" i="42"/>
  <c r="AS359" i="42"/>
  <c r="BG376" i="42" s="1"/>
  <c r="BO358" i="42"/>
  <c r="BN358" i="42"/>
  <c r="BM358" i="42"/>
  <c r="BL358" i="42"/>
  <c r="BK358" i="42"/>
  <c r="BJ358" i="42"/>
  <c r="BI358" i="42"/>
  <c r="BH358" i="42"/>
  <c r="BF358" i="42"/>
  <c r="BE358" i="42"/>
  <c r="BD358" i="42"/>
  <c r="BC358" i="42"/>
  <c r="AS358" i="42"/>
  <c r="BG375" i="42" s="1"/>
  <c r="BO357" i="42"/>
  <c r="BN357" i="42"/>
  <c r="BM357" i="42"/>
  <c r="BL357" i="42"/>
  <c r="BK357" i="42"/>
  <c r="BJ357" i="42"/>
  <c r="BI357" i="42"/>
  <c r="BH357" i="42"/>
  <c r="BF357" i="42"/>
  <c r="BE357" i="42"/>
  <c r="BD357" i="42"/>
  <c r="BC357" i="42"/>
  <c r="AS357" i="42"/>
  <c r="BG374" i="42" s="1"/>
  <c r="BO356" i="42"/>
  <c r="BN356" i="42"/>
  <c r="BM356" i="42"/>
  <c r="BL356" i="42"/>
  <c r="BK356" i="42"/>
  <c r="BJ356" i="42"/>
  <c r="BI356" i="42"/>
  <c r="BH356" i="42"/>
  <c r="BF356" i="42"/>
  <c r="BE356" i="42"/>
  <c r="BD356" i="42"/>
  <c r="BC356" i="42"/>
  <c r="AS356" i="42"/>
  <c r="BG373" i="42" s="1"/>
  <c r="BO355" i="42"/>
  <c r="BN355" i="42"/>
  <c r="BM355" i="42"/>
  <c r="BL355" i="42"/>
  <c r="BK355" i="42"/>
  <c r="BJ355" i="42"/>
  <c r="BI355" i="42"/>
  <c r="BH355" i="42"/>
  <c r="BF355" i="42"/>
  <c r="BE355" i="42"/>
  <c r="BD355" i="42"/>
  <c r="BC355" i="42"/>
  <c r="AS355" i="42"/>
  <c r="BG372" i="42" s="1"/>
  <c r="BO354" i="42"/>
  <c r="BN354" i="42"/>
  <c r="BM354" i="42"/>
  <c r="BL354" i="42"/>
  <c r="BK354" i="42"/>
  <c r="BJ354" i="42"/>
  <c r="BI354" i="42"/>
  <c r="BH354" i="42"/>
  <c r="BF354" i="42"/>
  <c r="BE354" i="42"/>
  <c r="BD354" i="42"/>
  <c r="BC354" i="42"/>
  <c r="AS354" i="42"/>
  <c r="BG371" i="42" s="1"/>
  <c r="BO353" i="42"/>
  <c r="BN353" i="42"/>
  <c r="BM353" i="42"/>
  <c r="BL353" i="42"/>
  <c r="BK353" i="42"/>
  <c r="BJ353" i="42"/>
  <c r="BI353" i="42"/>
  <c r="BH353" i="42"/>
  <c r="BF353" i="42"/>
  <c r="BD353" i="42"/>
  <c r="BC353" i="42"/>
  <c r="AS353" i="42"/>
  <c r="BG370" i="42" s="1"/>
  <c r="BO352" i="42"/>
  <c r="BN352" i="42"/>
  <c r="BM352" i="42"/>
  <c r="BL352" i="42"/>
  <c r="BK352" i="42"/>
  <c r="BJ352" i="42"/>
  <c r="BI352" i="42"/>
  <c r="BH352" i="42"/>
  <c r="BF352" i="42"/>
  <c r="BE352" i="42"/>
  <c r="BD352" i="42"/>
  <c r="BC352" i="42"/>
  <c r="AS352" i="42"/>
  <c r="BG369" i="42" s="1"/>
  <c r="BO351" i="42"/>
  <c r="BN351" i="42"/>
  <c r="BM351" i="42"/>
  <c r="BL351" i="42"/>
  <c r="BK351" i="42"/>
  <c r="BJ351" i="42"/>
  <c r="BI351" i="42"/>
  <c r="BH351" i="42"/>
  <c r="BF351" i="42"/>
  <c r="BE351" i="42"/>
  <c r="BD351" i="42"/>
  <c r="BC351" i="42"/>
  <c r="AS351" i="42"/>
  <c r="BG368" i="42" s="1"/>
  <c r="BO350" i="42"/>
  <c r="BN350" i="42"/>
  <c r="BM350" i="42"/>
  <c r="BL350" i="42"/>
  <c r="BK350" i="42"/>
  <c r="BJ350" i="42"/>
  <c r="BI350" i="42"/>
  <c r="BH350" i="42"/>
  <c r="BF350" i="42"/>
  <c r="BE350" i="42"/>
  <c r="BD350" i="42"/>
  <c r="BC350" i="42"/>
  <c r="AS350" i="42"/>
  <c r="BG367" i="42" s="1"/>
  <c r="BE353" i="42" l="1"/>
  <c r="BE370" i="42"/>
  <c r="BO347" i="42"/>
  <c r="BN347" i="42"/>
  <c r="BM347" i="42"/>
  <c r="BL347" i="42"/>
  <c r="BK347" i="42"/>
  <c r="BJ347" i="42"/>
  <c r="BI347" i="42"/>
  <c r="BH347" i="42"/>
  <c r="BF347" i="42"/>
  <c r="BE347" i="42"/>
  <c r="BD347" i="42"/>
  <c r="BC347" i="42"/>
  <c r="BO346" i="42"/>
  <c r="BN346" i="42"/>
  <c r="BM346" i="42"/>
  <c r="BL346" i="42"/>
  <c r="BK346" i="42"/>
  <c r="BJ346" i="42"/>
  <c r="BI346" i="42"/>
  <c r="BH346" i="42"/>
  <c r="BF346" i="42"/>
  <c r="BE346" i="42"/>
  <c r="BD346" i="42"/>
  <c r="BC346" i="42"/>
  <c r="BO345" i="42"/>
  <c r="BN345" i="42"/>
  <c r="BM345" i="42"/>
  <c r="BL345" i="42"/>
  <c r="BK345" i="42"/>
  <c r="BJ345" i="42"/>
  <c r="BI345" i="42"/>
  <c r="BH345" i="42"/>
  <c r="BF345" i="42"/>
  <c r="BE345" i="42"/>
  <c r="BD345" i="42"/>
  <c r="BC345" i="42"/>
  <c r="BO344" i="42"/>
  <c r="BN344" i="42"/>
  <c r="BM344" i="42"/>
  <c r="BL344" i="42"/>
  <c r="BK344" i="42"/>
  <c r="BJ344" i="42"/>
  <c r="BI344" i="42"/>
  <c r="BH344" i="42"/>
  <c r="BF344" i="42"/>
  <c r="BE344" i="42"/>
  <c r="BD344" i="42"/>
  <c r="BC344" i="42"/>
  <c r="BO343" i="42"/>
  <c r="BN343" i="42"/>
  <c r="BM343" i="42"/>
  <c r="BL343" i="42"/>
  <c r="BK343" i="42"/>
  <c r="BJ343" i="42"/>
  <c r="BI343" i="42"/>
  <c r="BH343" i="42"/>
  <c r="BF343" i="42"/>
  <c r="BE343" i="42"/>
  <c r="BD343" i="42"/>
  <c r="BC343" i="42"/>
  <c r="BO342" i="42"/>
  <c r="BN342" i="42"/>
  <c r="BM342" i="42"/>
  <c r="BL342" i="42"/>
  <c r="BK342" i="42"/>
  <c r="BJ342" i="42"/>
  <c r="BI342" i="42"/>
  <c r="BH342" i="42"/>
  <c r="BF342" i="42"/>
  <c r="BE342" i="42"/>
  <c r="BD342" i="42"/>
  <c r="BC342" i="42"/>
  <c r="BO341" i="42"/>
  <c r="BN341" i="42"/>
  <c r="BM341" i="42"/>
  <c r="BL341" i="42"/>
  <c r="BK341" i="42"/>
  <c r="BJ341" i="42"/>
  <c r="BI341" i="42"/>
  <c r="BH341" i="42"/>
  <c r="BF341" i="42"/>
  <c r="BE341" i="42"/>
  <c r="BD341" i="42"/>
  <c r="BC341" i="42"/>
  <c r="BO340" i="42"/>
  <c r="BN340" i="42"/>
  <c r="BM340" i="42"/>
  <c r="BL340" i="42"/>
  <c r="BK340" i="42"/>
  <c r="BJ340" i="42"/>
  <c r="BI340" i="42"/>
  <c r="BH340" i="42"/>
  <c r="BF340" i="42"/>
  <c r="BE340" i="42"/>
  <c r="BD340" i="42"/>
  <c r="BC340" i="42"/>
  <c r="BO339" i="42"/>
  <c r="BN339" i="42"/>
  <c r="BM339" i="42"/>
  <c r="BL339" i="42"/>
  <c r="BK339" i="42"/>
  <c r="BJ339" i="42"/>
  <c r="BI339" i="42"/>
  <c r="BH339" i="42"/>
  <c r="BF339" i="42"/>
  <c r="BE339" i="42"/>
  <c r="BD339" i="42"/>
  <c r="BC339" i="42"/>
  <c r="BO338" i="42"/>
  <c r="BN338" i="42"/>
  <c r="BM338" i="42"/>
  <c r="BL338" i="42"/>
  <c r="BK338" i="42"/>
  <c r="BJ338" i="42"/>
  <c r="BI338" i="42"/>
  <c r="BH338" i="42"/>
  <c r="BF338" i="42"/>
  <c r="BE338" i="42"/>
  <c r="BD338" i="42"/>
  <c r="BC338" i="42"/>
  <c r="BO337" i="42"/>
  <c r="BN337" i="42"/>
  <c r="BM337" i="42"/>
  <c r="BL337" i="42"/>
  <c r="BK337" i="42"/>
  <c r="BJ337" i="42"/>
  <c r="BI337" i="42"/>
  <c r="BH337" i="42"/>
  <c r="BF337" i="42"/>
  <c r="BE337" i="42"/>
  <c r="BD337" i="42"/>
  <c r="BC337" i="42"/>
  <c r="BO336" i="42"/>
  <c r="BN336" i="42"/>
  <c r="BM336" i="42"/>
  <c r="BL336" i="42"/>
  <c r="BK336" i="42"/>
  <c r="BJ336" i="42"/>
  <c r="BI336" i="42"/>
  <c r="BH336" i="42"/>
  <c r="BF336" i="42"/>
  <c r="BE336" i="42"/>
  <c r="BD336" i="42"/>
  <c r="BC336" i="42"/>
  <c r="BO335" i="42"/>
  <c r="BN335" i="42"/>
  <c r="BM335" i="42"/>
  <c r="BL335" i="42"/>
  <c r="BK335" i="42"/>
  <c r="BJ335" i="42"/>
  <c r="BI335" i="42"/>
  <c r="BH335" i="42"/>
  <c r="BF335" i="42"/>
  <c r="BE335" i="42"/>
  <c r="BD335" i="42"/>
  <c r="BC335" i="42"/>
  <c r="BO334" i="42"/>
  <c r="BN334" i="42"/>
  <c r="BM334" i="42"/>
  <c r="BL334" i="42"/>
  <c r="BK334" i="42"/>
  <c r="BJ334" i="42"/>
  <c r="BI334" i="42"/>
  <c r="BH334" i="42"/>
  <c r="BF334" i="42"/>
  <c r="BE334" i="42"/>
  <c r="BD334" i="42"/>
  <c r="BC334" i="42"/>
  <c r="BO333" i="42"/>
  <c r="BN333" i="42"/>
  <c r="BM333" i="42"/>
  <c r="BL333" i="42"/>
  <c r="BK333" i="42"/>
  <c r="BJ333" i="42"/>
  <c r="BI333" i="42"/>
  <c r="BH333" i="42"/>
  <c r="BF333" i="42"/>
  <c r="BE333" i="42"/>
  <c r="BD333" i="42"/>
  <c r="BC333" i="42"/>
  <c r="AS347" i="42"/>
  <c r="BG364" i="42" s="1"/>
  <c r="AS346" i="42"/>
  <c r="BG363" i="42" s="1"/>
  <c r="AS345" i="42"/>
  <c r="BG362" i="42" s="1"/>
  <c r="AS344" i="42"/>
  <c r="BG361" i="42" s="1"/>
  <c r="AS343" i="42"/>
  <c r="BG360" i="42" s="1"/>
  <c r="AS342" i="42"/>
  <c r="BG359" i="42" s="1"/>
  <c r="AS341" i="42"/>
  <c r="BG358" i="42" s="1"/>
  <c r="AS340" i="42"/>
  <c r="BG357" i="42" s="1"/>
  <c r="AS339" i="42"/>
  <c r="BG356" i="42" s="1"/>
  <c r="AS338" i="42"/>
  <c r="BG355" i="42" s="1"/>
  <c r="AS337" i="42"/>
  <c r="BG354" i="42" s="1"/>
  <c r="AS336" i="42"/>
  <c r="BG353" i="42" s="1"/>
  <c r="AS335" i="42"/>
  <c r="BG352" i="42" s="1"/>
  <c r="AS334" i="42"/>
  <c r="BG351" i="42" s="1"/>
  <c r="AS333" i="42"/>
  <c r="BG350" i="42" s="1"/>
  <c r="AS330" i="42" l="1"/>
  <c r="BG347" i="42" s="1"/>
  <c r="AS329" i="42"/>
  <c r="BG346" i="42" s="1"/>
  <c r="AS328" i="42"/>
  <c r="BG345" i="42" s="1"/>
  <c r="AS327" i="42"/>
  <c r="BG344" i="42" s="1"/>
  <c r="AS326" i="42"/>
  <c r="BG343" i="42" s="1"/>
  <c r="AS325" i="42"/>
  <c r="BG342" i="42" s="1"/>
  <c r="AS324" i="42"/>
  <c r="BG341" i="42" s="1"/>
  <c r="AS323" i="42"/>
  <c r="BG340" i="42" s="1"/>
  <c r="AS322" i="42"/>
  <c r="BG339" i="42" s="1"/>
  <c r="AS321" i="42"/>
  <c r="BG338" i="42" s="1"/>
  <c r="AS320" i="42"/>
  <c r="BG337" i="42" s="1"/>
  <c r="AS319" i="42"/>
  <c r="BG336" i="42" s="1"/>
  <c r="AS318" i="42"/>
  <c r="BG335" i="42" s="1"/>
  <c r="AS317" i="42"/>
  <c r="BG334" i="42" s="1"/>
  <c r="AS316" i="42"/>
  <c r="BG333" i="42" s="1"/>
  <c r="BH316" i="42"/>
  <c r="BD303" i="42"/>
  <c r="AS313" i="42"/>
  <c r="AS312" i="42"/>
  <c r="AS311" i="42"/>
  <c r="AS310" i="42"/>
  <c r="AS309" i="42"/>
  <c r="AS308" i="42"/>
  <c r="AS307" i="42"/>
  <c r="AS306" i="42"/>
  <c r="AS305" i="42"/>
  <c r="AS304" i="42"/>
  <c r="AS303" i="42"/>
  <c r="AS302" i="42"/>
  <c r="AS301" i="42"/>
  <c r="AS300" i="42"/>
  <c r="AS299" i="42"/>
  <c r="BO330" i="42"/>
  <c r="BN330" i="42"/>
  <c r="BM330" i="42"/>
  <c r="BL330" i="42"/>
  <c r="BK330" i="42"/>
  <c r="BJ330" i="42"/>
  <c r="BI330" i="42"/>
  <c r="BH330" i="42"/>
  <c r="BF330" i="42"/>
  <c r="BE330" i="42"/>
  <c r="BD330" i="42"/>
  <c r="BC330" i="42"/>
  <c r="BO329" i="42"/>
  <c r="BN329" i="42"/>
  <c r="BM329" i="42"/>
  <c r="BL329" i="42"/>
  <c r="BK329" i="42"/>
  <c r="BJ329" i="42"/>
  <c r="BI329" i="42"/>
  <c r="BH329" i="42"/>
  <c r="BF329" i="42"/>
  <c r="BE329" i="42"/>
  <c r="BD329" i="42"/>
  <c r="BC329" i="42"/>
  <c r="BO328" i="42"/>
  <c r="BN328" i="42"/>
  <c r="BM328" i="42"/>
  <c r="BL328" i="42"/>
  <c r="BK328" i="42"/>
  <c r="BJ328" i="42"/>
  <c r="BI328" i="42"/>
  <c r="BH328" i="42"/>
  <c r="BF328" i="42"/>
  <c r="BE328" i="42"/>
  <c r="BD328" i="42"/>
  <c r="BC328" i="42"/>
  <c r="BO327" i="42"/>
  <c r="BN327" i="42"/>
  <c r="BM327" i="42"/>
  <c r="BL327" i="42"/>
  <c r="BK327" i="42"/>
  <c r="BJ327" i="42"/>
  <c r="BI327" i="42"/>
  <c r="BH327" i="42"/>
  <c r="BF327" i="42"/>
  <c r="BE327" i="42"/>
  <c r="BD327" i="42"/>
  <c r="BC327" i="42"/>
  <c r="BO326" i="42"/>
  <c r="BN326" i="42"/>
  <c r="BM326" i="42"/>
  <c r="BL326" i="42"/>
  <c r="BK326" i="42"/>
  <c r="BJ326" i="42"/>
  <c r="BI326" i="42"/>
  <c r="BH326" i="42"/>
  <c r="BF326" i="42"/>
  <c r="BE326" i="42"/>
  <c r="BD326" i="42"/>
  <c r="BC326" i="42"/>
  <c r="BO325" i="42"/>
  <c r="BN325" i="42"/>
  <c r="BM325" i="42"/>
  <c r="BL325" i="42"/>
  <c r="BK325" i="42"/>
  <c r="BJ325" i="42"/>
  <c r="BI325" i="42"/>
  <c r="BH325" i="42"/>
  <c r="BF325" i="42"/>
  <c r="BE325" i="42"/>
  <c r="BD325" i="42"/>
  <c r="BC325" i="42"/>
  <c r="BO324" i="42"/>
  <c r="BN324" i="42"/>
  <c r="BM324" i="42"/>
  <c r="BL324" i="42"/>
  <c r="BK324" i="42"/>
  <c r="BJ324" i="42"/>
  <c r="BI324" i="42"/>
  <c r="BH324" i="42"/>
  <c r="BF324" i="42"/>
  <c r="BE324" i="42"/>
  <c r="BD324" i="42"/>
  <c r="BC324" i="42"/>
  <c r="BO323" i="42"/>
  <c r="BN323" i="42"/>
  <c r="BM323" i="42"/>
  <c r="BL323" i="42"/>
  <c r="BK323" i="42"/>
  <c r="BJ323" i="42"/>
  <c r="BI323" i="42"/>
  <c r="BH323" i="42"/>
  <c r="BF323" i="42"/>
  <c r="BE323" i="42"/>
  <c r="BD323" i="42"/>
  <c r="BC323" i="42"/>
  <c r="BO322" i="42"/>
  <c r="BN322" i="42"/>
  <c r="BM322" i="42"/>
  <c r="BL322" i="42"/>
  <c r="BK322" i="42"/>
  <c r="BJ322" i="42"/>
  <c r="BI322" i="42"/>
  <c r="BH322" i="42"/>
  <c r="BF322" i="42"/>
  <c r="BE322" i="42"/>
  <c r="BD322" i="42"/>
  <c r="BC322" i="42"/>
  <c r="BO321" i="42"/>
  <c r="BN321" i="42"/>
  <c r="BM321" i="42"/>
  <c r="BL321" i="42"/>
  <c r="BK321" i="42"/>
  <c r="BJ321" i="42"/>
  <c r="BI321" i="42"/>
  <c r="BH321" i="42"/>
  <c r="BF321" i="42"/>
  <c r="BE321" i="42"/>
  <c r="BD321" i="42"/>
  <c r="BC321" i="42"/>
  <c r="BO320" i="42"/>
  <c r="BN320" i="42"/>
  <c r="BM320" i="42"/>
  <c r="BL320" i="42"/>
  <c r="BK320" i="42"/>
  <c r="BJ320" i="42"/>
  <c r="BI320" i="42"/>
  <c r="BH320" i="42"/>
  <c r="BF320" i="42"/>
  <c r="BE320" i="42"/>
  <c r="BD320" i="42"/>
  <c r="BC320" i="42"/>
  <c r="BO319" i="42"/>
  <c r="BN319" i="42"/>
  <c r="BM319" i="42"/>
  <c r="BL319" i="42"/>
  <c r="BK319" i="42"/>
  <c r="BJ319" i="42"/>
  <c r="BI319" i="42"/>
  <c r="BH319" i="42"/>
  <c r="BF319" i="42"/>
  <c r="BE319" i="42"/>
  <c r="BD319" i="42"/>
  <c r="BC319" i="42"/>
  <c r="BO318" i="42"/>
  <c r="BN318" i="42"/>
  <c r="BM318" i="42"/>
  <c r="BL318" i="42"/>
  <c r="BK318" i="42"/>
  <c r="BJ318" i="42"/>
  <c r="BI318" i="42"/>
  <c r="BH318" i="42"/>
  <c r="BF318" i="42"/>
  <c r="BE318" i="42"/>
  <c r="BD318" i="42"/>
  <c r="BC318" i="42"/>
  <c r="BO317" i="42"/>
  <c r="BN317" i="42"/>
  <c r="BM317" i="42"/>
  <c r="BL317" i="42"/>
  <c r="BK317" i="42"/>
  <c r="BJ317" i="42"/>
  <c r="BI317" i="42"/>
  <c r="BH317" i="42"/>
  <c r="BF317" i="42"/>
  <c r="BE317" i="42"/>
  <c r="BD317" i="42"/>
  <c r="BC317" i="42"/>
  <c r="BO316" i="42"/>
  <c r="BN316" i="42"/>
  <c r="BM316" i="42"/>
  <c r="BL316" i="42"/>
  <c r="BK316" i="42"/>
  <c r="BJ316" i="42"/>
  <c r="BI316" i="42"/>
  <c r="BF316" i="42"/>
  <c r="BE316" i="42"/>
  <c r="BD316" i="42"/>
  <c r="BC316" i="42"/>
  <c r="BO313" i="42"/>
  <c r="BN313" i="42"/>
  <c r="BM313" i="42"/>
  <c r="BL313" i="42"/>
  <c r="BK313" i="42"/>
  <c r="BJ313" i="42"/>
  <c r="BI313" i="42"/>
  <c r="BH313" i="42"/>
  <c r="BF313" i="42"/>
  <c r="BE313" i="42"/>
  <c r="BD313" i="42"/>
  <c r="BC313" i="42"/>
  <c r="BO312" i="42"/>
  <c r="BN312" i="42"/>
  <c r="BM312" i="42"/>
  <c r="BL312" i="42"/>
  <c r="BK312" i="42"/>
  <c r="BJ312" i="42"/>
  <c r="BI312" i="42"/>
  <c r="BH312" i="42"/>
  <c r="BF312" i="42"/>
  <c r="BE312" i="42"/>
  <c r="BD312" i="42"/>
  <c r="BC312" i="42"/>
  <c r="BO311" i="42"/>
  <c r="BN311" i="42"/>
  <c r="BM311" i="42"/>
  <c r="BL311" i="42"/>
  <c r="BK311" i="42"/>
  <c r="BJ311" i="42"/>
  <c r="BI311" i="42"/>
  <c r="BH311" i="42"/>
  <c r="BF311" i="42"/>
  <c r="BE311" i="42"/>
  <c r="BD311" i="42"/>
  <c r="BC311" i="42"/>
  <c r="BO310" i="42"/>
  <c r="BN310" i="42"/>
  <c r="BM310" i="42"/>
  <c r="BL310" i="42"/>
  <c r="BK310" i="42"/>
  <c r="BJ310" i="42"/>
  <c r="BI310" i="42"/>
  <c r="BH310" i="42"/>
  <c r="BF310" i="42"/>
  <c r="BE310" i="42"/>
  <c r="BD310" i="42"/>
  <c r="BC310" i="42"/>
  <c r="BO309" i="42"/>
  <c r="BN309" i="42"/>
  <c r="BM309" i="42"/>
  <c r="BL309" i="42"/>
  <c r="BK309" i="42"/>
  <c r="BJ309" i="42"/>
  <c r="BI309" i="42"/>
  <c r="BH309" i="42"/>
  <c r="BF309" i="42"/>
  <c r="BE309" i="42"/>
  <c r="BD309" i="42"/>
  <c r="BC309" i="42"/>
  <c r="BO308" i="42"/>
  <c r="BN308" i="42"/>
  <c r="BM308" i="42"/>
  <c r="BL308" i="42"/>
  <c r="BK308" i="42"/>
  <c r="BJ308" i="42"/>
  <c r="BI308" i="42"/>
  <c r="BH308" i="42"/>
  <c r="BF308" i="42"/>
  <c r="BE308" i="42"/>
  <c r="BD308" i="42"/>
  <c r="BC308" i="42"/>
  <c r="BO307" i="42"/>
  <c r="BN307" i="42"/>
  <c r="BM307" i="42"/>
  <c r="BL307" i="42"/>
  <c r="BK307" i="42"/>
  <c r="BJ307" i="42"/>
  <c r="BI307" i="42"/>
  <c r="BH307" i="42"/>
  <c r="BF307" i="42"/>
  <c r="BE307" i="42"/>
  <c r="BD307" i="42"/>
  <c r="BC307" i="42"/>
  <c r="BO306" i="42"/>
  <c r="BN306" i="42"/>
  <c r="BM306" i="42"/>
  <c r="BL306" i="42"/>
  <c r="BK306" i="42"/>
  <c r="BJ306" i="42"/>
  <c r="BI306" i="42"/>
  <c r="BH306" i="42"/>
  <c r="BF306" i="42"/>
  <c r="BE306" i="42"/>
  <c r="BD306" i="42"/>
  <c r="BC306" i="42"/>
  <c r="BO305" i="42"/>
  <c r="BN305" i="42"/>
  <c r="BM305" i="42"/>
  <c r="BL305" i="42"/>
  <c r="BK305" i="42"/>
  <c r="BJ305" i="42"/>
  <c r="BI305" i="42"/>
  <c r="BH305" i="42"/>
  <c r="BF305" i="42"/>
  <c r="BE305" i="42"/>
  <c r="BD305" i="42"/>
  <c r="BC305" i="42"/>
  <c r="BO304" i="42"/>
  <c r="BN304" i="42"/>
  <c r="BM304" i="42"/>
  <c r="BL304" i="42"/>
  <c r="BK304" i="42"/>
  <c r="BJ304" i="42"/>
  <c r="BI304" i="42"/>
  <c r="BH304" i="42"/>
  <c r="BF304" i="42"/>
  <c r="BE304" i="42"/>
  <c r="BD304" i="42"/>
  <c r="BC304" i="42"/>
  <c r="BO303" i="42"/>
  <c r="BN303" i="42"/>
  <c r="BM303" i="42"/>
  <c r="BL303" i="42"/>
  <c r="BK303" i="42"/>
  <c r="BJ303" i="42"/>
  <c r="BI303" i="42"/>
  <c r="BH303" i="42"/>
  <c r="BF303" i="42"/>
  <c r="BE303" i="42"/>
  <c r="BC303" i="42"/>
  <c r="BO302" i="42"/>
  <c r="BN302" i="42"/>
  <c r="BM302" i="42"/>
  <c r="BL302" i="42"/>
  <c r="BK302" i="42"/>
  <c r="BJ302" i="42"/>
  <c r="BI302" i="42"/>
  <c r="BH302" i="42"/>
  <c r="BF302" i="42"/>
  <c r="BE302" i="42"/>
  <c r="BD302" i="42"/>
  <c r="BC302" i="42"/>
  <c r="BO301" i="42"/>
  <c r="BN301" i="42"/>
  <c r="BM301" i="42"/>
  <c r="BL301" i="42"/>
  <c r="BK301" i="42"/>
  <c r="BJ301" i="42"/>
  <c r="BI301" i="42"/>
  <c r="BH301" i="42"/>
  <c r="BF301" i="42"/>
  <c r="BE301" i="42"/>
  <c r="BD301" i="42"/>
  <c r="BC301" i="42"/>
  <c r="BO300" i="42"/>
  <c r="BN300" i="42"/>
  <c r="BM300" i="42"/>
  <c r="BL300" i="42"/>
  <c r="BK300" i="42"/>
  <c r="BJ300" i="42"/>
  <c r="BI300" i="42"/>
  <c r="BH300" i="42"/>
  <c r="BF300" i="42"/>
  <c r="BE300" i="42"/>
  <c r="BD300" i="42"/>
  <c r="BC300" i="42"/>
  <c r="BO299" i="42"/>
  <c r="BN299" i="42"/>
  <c r="BM299" i="42"/>
  <c r="BL299" i="42"/>
  <c r="BK299" i="42"/>
  <c r="BJ299" i="42"/>
  <c r="BI299" i="42"/>
  <c r="BH299" i="42"/>
  <c r="BF299" i="42"/>
  <c r="BE299" i="42"/>
  <c r="BD299" i="42"/>
  <c r="BC299" i="42"/>
  <c r="BG322" i="42" l="1"/>
  <c r="BG330" i="42"/>
  <c r="BG317" i="42"/>
  <c r="BG325" i="42"/>
  <c r="BG318" i="42"/>
  <c r="BG326" i="42"/>
  <c r="BG321" i="42"/>
  <c r="BG329" i="42"/>
  <c r="BG320" i="42"/>
  <c r="BG328" i="42"/>
  <c r="BG316" i="42"/>
  <c r="BG324" i="42"/>
  <c r="BG327" i="42"/>
  <c r="BG323" i="42"/>
  <c r="BG319" i="42"/>
  <c r="AS296" i="42"/>
  <c r="BG313" i="42" s="1"/>
  <c r="AS295" i="42"/>
  <c r="BG312" i="42" s="1"/>
  <c r="AS294" i="42"/>
  <c r="BG311" i="42" s="1"/>
  <c r="AS293" i="42"/>
  <c r="BG310" i="42" s="1"/>
  <c r="AS292" i="42"/>
  <c r="BG309" i="42" s="1"/>
  <c r="AS291" i="42"/>
  <c r="BG308" i="42" s="1"/>
  <c r="AS290" i="42"/>
  <c r="BG307" i="42" s="1"/>
  <c r="AS289" i="42"/>
  <c r="BG306" i="42" s="1"/>
  <c r="AS288" i="42"/>
  <c r="BG305" i="42" s="1"/>
  <c r="AS287" i="42"/>
  <c r="BG304" i="42" s="1"/>
  <c r="AS286" i="42"/>
  <c r="BG303" i="42" s="1"/>
  <c r="AS285" i="42"/>
  <c r="BG302" i="42" s="1"/>
  <c r="AS284" i="42"/>
  <c r="BG301" i="42" s="1"/>
  <c r="AS283" i="42"/>
  <c r="BG300" i="42" s="1"/>
  <c r="AS282" i="42"/>
  <c r="BG299" i="42" s="1"/>
  <c r="BO296" i="42"/>
  <c r="BM296" i="42"/>
  <c r="BL296" i="42"/>
  <c r="BK296" i="42"/>
  <c r="BJ296" i="42"/>
  <c r="BI296" i="42"/>
  <c r="BH296" i="42"/>
  <c r="BF296" i="42"/>
  <c r="BE296" i="42"/>
  <c r="BD296" i="42"/>
  <c r="BC296" i="42"/>
  <c r="BO295" i="42"/>
  <c r="BN295" i="42"/>
  <c r="BK295" i="42"/>
  <c r="BJ295" i="42"/>
  <c r="BI295" i="42"/>
  <c r="BH295" i="42"/>
  <c r="BF295" i="42"/>
  <c r="BE295" i="42"/>
  <c r="BD295" i="42"/>
  <c r="BC295" i="42"/>
  <c r="BO294" i="42"/>
  <c r="BN294" i="42"/>
  <c r="BM294" i="42"/>
  <c r="BL294" i="42"/>
  <c r="BK294" i="42"/>
  <c r="BJ294" i="42"/>
  <c r="BI294" i="42"/>
  <c r="BF294" i="42"/>
  <c r="BE294" i="42"/>
  <c r="BD294" i="42"/>
  <c r="BC294" i="42"/>
  <c r="BO293" i="42"/>
  <c r="BN293" i="42"/>
  <c r="BM293" i="42"/>
  <c r="BL293" i="42"/>
  <c r="BK293" i="42"/>
  <c r="BJ293" i="42"/>
  <c r="BI293" i="42"/>
  <c r="BH293" i="42"/>
  <c r="BF293" i="42"/>
  <c r="BE293" i="42"/>
  <c r="BD293" i="42"/>
  <c r="BC293" i="42"/>
  <c r="BO292" i="42"/>
  <c r="BN292" i="42"/>
  <c r="BM292" i="42"/>
  <c r="BL292" i="42"/>
  <c r="BK292" i="42"/>
  <c r="BJ292" i="42"/>
  <c r="BI292" i="42"/>
  <c r="BH292" i="42"/>
  <c r="BF292" i="42"/>
  <c r="BE292" i="42"/>
  <c r="BD292" i="42"/>
  <c r="BO291" i="42"/>
  <c r="BN291" i="42"/>
  <c r="BM291" i="42"/>
  <c r="BL291" i="42"/>
  <c r="BK291" i="42"/>
  <c r="BJ291" i="42"/>
  <c r="BI291" i="42"/>
  <c r="BH291" i="42"/>
  <c r="BF291" i="42"/>
  <c r="BE291" i="42"/>
  <c r="BO290" i="42"/>
  <c r="BN290" i="42"/>
  <c r="BM290" i="42"/>
  <c r="BL290" i="42"/>
  <c r="BK290" i="42"/>
  <c r="BJ290" i="42"/>
  <c r="BI290" i="42"/>
  <c r="BH290" i="42"/>
  <c r="BF290" i="42"/>
  <c r="BE290" i="42"/>
  <c r="BD290" i="42"/>
  <c r="BC290" i="42"/>
  <c r="BO289" i="42"/>
  <c r="BN289" i="42"/>
  <c r="BM289" i="42"/>
  <c r="BL289" i="42"/>
  <c r="BK289" i="42"/>
  <c r="BJ289" i="42"/>
  <c r="BI289" i="42"/>
  <c r="BH289" i="42"/>
  <c r="BF289" i="42"/>
  <c r="BE289" i="42"/>
  <c r="BD289" i="42"/>
  <c r="BC289" i="42"/>
  <c r="BO288" i="42"/>
  <c r="BN288" i="42"/>
  <c r="BM288" i="42"/>
  <c r="BL288" i="42"/>
  <c r="BK288" i="42"/>
  <c r="BJ288" i="42"/>
  <c r="BI288" i="42"/>
  <c r="BH288" i="42"/>
  <c r="BF288" i="42"/>
  <c r="BE288" i="42"/>
  <c r="BD288" i="42"/>
  <c r="BC288" i="42"/>
  <c r="BO287" i="42"/>
  <c r="BN287" i="42"/>
  <c r="BM287" i="42"/>
  <c r="BL287" i="42"/>
  <c r="BK287" i="42"/>
  <c r="BJ287" i="42"/>
  <c r="BI287" i="42"/>
  <c r="BH287" i="42"/>
  <c r="BF287" i="42"/>
  <c r="BE287" i="42"/>
  <c r="BD287" i="42"/>
  <c r="BC287" i="42"/>
  <c r="BO286" i="42"/>
  <c r="BN286" i="42"/>
  <c r="BM286" i="42"/>
  <c r="BL286" i="42"/>
  <c r="BK286" i="42"/>
  <c r="BJ286" i="42"/>
  <c r="BI286" i="42"/>
  <c r="BH286" i="42"/>
  <c r="BF286" i="42"/>
  <c r="BE286" i="42"/>
  <c r="BD286" i="42"/>
  <c r="BC286" i="42"/>
  <c r="BO285" i="42"/>
  <c r="BN285" i="42"/>
  <c r="BM285" i="42"/>
  <c r="BL285" i="42"/>
  <c r="BK285" i="42"/>
  <c r="BJ285" i="42"/>
  <c r="BI285" i="42"/>
  <c r="BH285" i="42"/>
  <c r="BF285" i="42"/>
  <c r="BE285" i="42"/>
  <c r="BD285" i="42"/>
  <c r="BC285" i="42"/>
  <c r="BO284" i="42"/>
  <c r="BN284" i="42"/>
  <c r="BM284" i="42"/>
  <c r="BL284" i="42"/>
  <c r="BK284" i="42"/>
  <c r="BJ284" i="42"/>
  <c r="BI284" i="42"/>
  <c r="BH284" i="42"/>
  <c r="BF284" i="42"/>
  <c r="BE284" i="42"/>
  <c r="BO283" i="42"/>
  <c r="BN283" i="42"/>
  <c r="BM283" i="42"/>
  <c r="BL283" i="42"/>
  <c r="BK283" i="42"/>
  <c r="BJ283" i="42"/>
  <c r="BI283" i="42"/>
  <c r="BH283" i="42"/>
  <c r="BF283" i="42"/>
  <c r="BC283" i="42"/>
  <c r="BO282" i="42"/>
  <c r="BL282" i="42"/>
  <c r="BK282" i="42"/>
  <c r="BJ282" i="42"/>
  <c r="BI282" i="42"/>
  <c r="BE282" i="42"/>
  <c r="BC282" i="42"/>
  <c r="AS125" i="42" l="1"/>
  <c r="AS124" i="42"/>
  <c r="AS123" i="42"/>
  <c r="AS122" i="42"/>
  <c r="AS121" i="42"/>
  <c r="AS120" i="42"/>
  <c r="AS119" i="42"/>
  <c r="AS118" i="42"/>
  <c r="AS117" i="42"/>
  <c r="AS116" i="42"/>
  <c r="AS115" i="42"/>
  <c r="AS114" i="42"/>
  <c r="AS113" i="42"/>
  <c r="AS112" i="42"/>
  <c r="AS111" i="42"/>
  <c r="BC111" i="42"/>
  <c r="BD111" i="42"/>
  <c r="BE111" i="42"/>
  <c r="BF111" i="42"/>
  <c r="BH111" i="42"/>
  <c r="BI111" i="42"/>
  <c r="BJ111" i="42"/>
  <c r="BK111" i="42"/>
  <c r="BL111" i="42"/>
  <c r="BM111" i="42"/>
  <c r="BN111" i="42"/>
  <c r="BO111" i="42"/>
  <c r="BC112" i="42"/>
  <c r="BD112" i="42"/>
  <c r="BE112" i="42"/>
  <c r="BF112" i="42"/>
  <c r="BH112" i="42"/>
  <c r="BI112" i="42"/>
  <c r="BJ112" i="42"/>
  <c r="BK112" i="42"/>
  <c r="BL112" i="42"/>
  <c r="BM112" i="42"/>
  <c r="BN112" i="42"/>
  <c r="BO112" i="42"/>
  <c r="BC113" i="42"/>
  <c r="BD113" i="42"/>
  <c r="BE113" i="42"/>
  <c r="BF113" i="42"/>
  <c r="BH113" i="42"/>
  <c r="BI113" i="42"/>
  <c r="BJ113" i="42"/>
  <c r="BK113" i="42"/>
  <c r="BL113" i="42"/>
  <c r="BM113" i="42"/>
  <c r="BN113" i="42"/>
  <c r="BO113" i="42"/>
  <c r="BC114" i="42"/>
  <c r="BD114" i="42"/>
  <c r="BE114" i="42"/>
  <c r="BF114" i="42"/>
  <c r="BH114" i="42"/>
  <c r="BI114" i="42"/>
  <c r="BJ114" i="42"/>
  <c r="BK114" i="42"/>
  <c r="BL114" i="42"/>
  <c r="BM114" i="42"/>
  <c r="BN114" i="42"/>
  <c r="BO114" i="42"/>
  <c r="BC115" i="42"/>
  <c r="BD115" i="42"/>
  <c r="BE115" i="42"/>
  <c r="BF115" i="42"/>
  <c r="BH115" i="42"/>
  <c r="BI115" i="42"/>
  <c r="BJ115" i="42"/>
  <c r="BK115" i="42"/>
  <c r="BL115" i="42"/>
  <c r="BM115" i="42"/>
  <c r="BN115" i="42"/>
  <c r="BO115" i="42"/>
  <c r="BC116" i="42"/>
  <c r="BD116" i="42"/>
  <c r="BE116" i="42"/>
  <c r="BF116" i="42"/>
  <c r="BH116" i="42"/>
  <c r="BI116" i="42"/>
  <c r="BJ116" i="42"/>
  <c r="BK116" i="42"/>
  <c r="BL116" i="42"/>
  <c r="BM116" i="42"/>
  <c r="BN116" i="42"/>
  <c r="BO116" i="42"/>
  <c r="BC117" i="42"/>
  <c r="BD117" i="42"/>
  <c r="BE117" i="42"/>
  <c r="BF117" i="42"/>
  <c r="BH117" i="42"/>
  <c r="BI117" i="42"/>
  <c r="BJ117" i="42"/>
  <c r="BK117" i="42"/>
  <c r="BL117" i="42"/>
  <c r="BM117" i="42"/>
  <c r="BN117" i="42"/>
  <c r="BO117" i="42"/>
  <c r="BC118" i="42"/>
  <c r="BD118" i="42"/>
  <c r="BE118" i="42"/>
  <c r="BF118" i="42"/>
  <c r="BH118" i="42"/>
  <c r="BI118" i="42"/>
  <c r="BJ118" i="42"/>
  <c r="BK118" i="42"/>
  <c r="BL118" i="42"/>
  <c r="BM118" i="42"/>
  <c r="BN118" i="42"/>
  <c r="BO118" i="42"/>
  <c r="BC119" i="42"/>
  <c r="BD119" i="42"/>
  <c r="BE119" i="42"/>
  <c r="BF119" i="42"/>
  <c r="BH119" i="42"/>
  <c r="BI119" i="42"/>
  <c r="BJ119" i="42"/>
  <c r="BK119" i="42"/>
  <c r="BL119" i="42"/>
  <c r="BM119" i="42"/>
  <c r="BN119" i="42"/>
  <c r="BO119" i="42"/>
  <c r="BC120" i="42"/>
  <c r="BD120" i="42"/>
  <c r="BE120" i="42"/>
  <c r="BF120" i="42"/>
  <c r="BH120" i="42"/>
  <c r="BI120" i="42"/>
  <c r="BJ120" i="42"/>
  <c r="BK120" i="42"/>
  <c r="BL120" i="42"/>
  <c r="BM120" i="42"/>
  <c r="BN120" i="42"/>
  <c r="BO120" i="42"/>
  <c r="BC121" i="42"/>
  <c r="BD121" i="42"/>
  <c r="BE121" i="42"/>
  <c r="BF121" i="42"/>
  <c r="BH121" i="42"/>
  <c r="BI121" i="42"/>
  <c r="BJ121" i="42"/>
  <c r="BK121" i="42"/>
  <c r="BL121" i="42"/>
  <c r="BM121" i="42"/>
  <c r="BN121" i="42"/>
  <c r="BO121" i="42"/>
  <c r="BC122" i="42"/>
  <c r="BD122" i="42"/>
  <c r="BE122" i="42"/>
  <c r="BF122" i="42"/>
  <c r="BH122" i="42"/>
  <c r="BI122" i="42"/>
  <c r="BJ122" i="42"/>
  <c r="BK122" i="42"/>
  <c r="BL122" i="42"/>
  <c r="BM122" i="42"/>
  <c r="BN122" i="42"/>
  <c r="BO122" i="42"/>
  <c r="BC123" i="42"/>
  <c r="BD123" i="42"/>
  <c r="BE123" i="42"/>
  <c r="BF123" i="42"/>
  <c r="BH123" i="42"/>
  <c r="BI123" i="42"/>
  <c r="BJ123" i="42"/>
  <c r="BK123" i="42"/>
  <c r="BL123" i="42"/>
  <c r="BM123" i="42"/>
  <c r="BN123" i="42"/>
  <c r="BO123" i="42"/>
  <c r="BC124" i="42"/>
  <c r="BD124" i="42"/>
  <c r="BE124" i="42"/>
  <c r="BF124" i="42"/>
  <c r="BH124" i="42"/>
  <c r="BI124" i="42"/>
  <c r="BJ124" i="42"/>
  <c r="BK124" i="42"/>
  <c r="BL124" i="42"/>
  <c r="BM124" i="42"/>
  <c r="BN124" i="42"/>
  <c r="BO124" i="42"/>
  <c r="BC125" i="42"/>
  <c r="BD125" i="42"/>
  <c r="BE125" i="42"/>
  <c r="BF125" i="42"/>
  <c r="BH125" i="42"/>
  <c r="BI125" i="42"/>
  <c r="BJ125" i="42"/>
  <c r="BK125" i="42"/>
  <c r="BL125" i="42"/>
  <c r="BM125" i="42"/>
  <c r="BN125" i="42"/>
  <c r="BO125" i="42"/>
  <c r="AS128" i="42"/>
  <c r="BC128" i="42"/>
  <c r="BD128" i="42"/>
  <c r="BE128" i="42"/>
  <c r="BF128" i="42"/>
  <c r="BH128" i="42"/>
  <c r="BI128" i="42"/>
  <c r="BJ128" i="42"/>
  <c r="BK128" i="42"/>
  <c r="BL128" i="42"/>
  <c r="BM128" i="42"/>
  <c r="BN128" i="42"/>
  <c r="BO128" i="42"/>
  <c r="AS129" i="42"/>
  <c r="BC129" i="42"/>
  <c r="BD129" i="42"/>
  <c r="BE129" i="42"/>
  <c r="BF129" i="42"/>
  <c r="BH129" i="42"/>
  <c r="BI129" i="42"/>
  <c r="BJ129" i="42"/>
  <c r="BK129" i="42"/>
  <c r="BL129" i="42"/>
  <c r="BM129" i="42"/>
  <c r="BN129" i="42"/>
  <c r="BO129" i="42"/>
  <c r="AS130" i="42"/>
  <c r="BC130" i="42"/>
  <c r="BD130" i="42"/>
  <c r="BE130" i="42"/>
  <c r="BF130" i="42"/>
  <c r="BH130" i="42"/>
  <c r="BI130" i="42"/>
  <c r="BJ130" i="42"/>
  <c r="BK130" i="42"/>
  <c r="BL130" i="42"/>
  <c r="BM130" i="42"/>
  <c r="BN130" i="42"/>
  <c r="BO130" i="42"/>
  <c r="AS131" i="42"/>
  <c r="BC131" i="42"/>
  <c r="BD131" i="42"/>
  <c r="BE131" i="42"/>
  <c r="BF131" i="42"/>
  <c r="BH131" i="42"/>
  <c r="BI131" i="42"/>
  <c r="BJ131" i="42"/>
  <c r="BK131" i="42"/>
  <c r="BL131" i="42"/>
  <c r="BM131" i="42"/>
  <c r="BN131" i="42"/>
  <c r="BO131" i="42"/>
  <c r="AS132" i="42"/>
  <c r="BC132" i="42"/>
  <c r="BD132" i="42"/>
  <c r="BE132" i="42"/>
  <c r="BF132" i="42"/>
  <c r="BH132" i="42"/>
  <c r="BI132" i="42"/>
  <c r="BJ132" i="42"/>
  <c r="BK132" i="42"/>
  <c r="BL132" i="42"/>
  <c r="BM132" i="42"/>
  <c r="BN132" i="42"/>
  <c r="BO132" i="42"/>
  <c r="AS133" i="42"/>
  <c r="BC133" i="42"/>
  <c r="BD133" i="42"/>
  <c r="BE133" i="42"/>
  <c r="BF133" i="42"/>
  <c r="BH133" i="42"/>
  <c r="BI133" i="42"/>
  <c r="BJ133" i="42"/>
  <c r="BK133" i="42"/>
  <c r="BL133" i="42"/>
  <c r="BM133" i="42"/>
  <c r="BN133" i="42"/>
  <c r="BO133" i="42"/>
  <c r="AS134" i="42"/>
  <c r="BC134" i="42"/>
  <c r="BD134" i="42"/>
  <c r="BE134" i="42"/>
  <c r="BF134" i="42"/>
  <c r="BH134" i="42"/>
  <c r="BI134" i="42"/>
  <c r="BJ134" i="42"/>
  <c r="BK134" i="42"/>
  <c r="BL134" i="42"/>
  <c r="BM134" i="42"/>
  <c r="BN134" i="42"/>
  <c r="BO134" i="42"/>
  <c r="AS135" i="42"/>
  <c r="BC135" i="42"/>
  <c r="BD135" i="42"/>
  <c r="BE135" i="42"/>
  <c r="BF135" i="42"/>
  <c r="BH135" i="42"/>
  <c r="BI135" i="42"/>
  <c r="BJ135" i="42"/>
  <c r="BK135" i="42"/>
  <c r="BL135" i="42"/>
  <c r="BM135" i="42"/>
  <c r="BN135" i="42"/>
  <c r="BO135" i="42"/>
  <c r="AS136" i="42"/>
  <c r="BC136" i="42"/>
  <c r="BD136" i="42"/>
  <c r="BE136" i="42"/>
  <c r="BF136" i="42"/>
  <c r="BH136" i="42"/>
  <c r="BI136" i="42"/>
  <c r="BJ136" i="42"/>
  <c r="BK136" i="42"/>
  <c r="BL136" i="42"/>
  <c r="BM136" i="42"/>
  <c r="BN136" i="42"/>
  <c r="BO136" i="42"/>
  <c r="AS137" i="42"/>
  <c r="BC137" i="42"/>
  <c r="BD137" i="42"/>
  <c r="BE137" i="42"/>
  <c r="BF137" i="42"/>
  <c r="BH137" i="42"/>
  <c r="BI137" i="42"/>
  <c r="BJ137" i="42"/>
  <c r="BK137" i="42"/>
  <c r="BL137" i="42"/>
  <c r="BM137" i="42"/>
  <c r="BN137" i="42"/>
  <c r="BO137" i="42"/>
  <c r="AS138" i="42"/>
  <c r="AZ138" i="42"/>
  <c r="BN138" i="42" s="1"/>
  <c r="BC138" i="42"/>
  <c r="BD138" i="42"/>
  <c r="BE138" i="42"/>
  <c r="BF138" i="42"/>
  <c r="BH138" i="42"/>
  <c r="BI138" i="42"/>
  <c r="BJ138" i="42"/>
  <c r="BK138" i="42"/>
  <c r="BL138" i="42"/>
  <c r="BM138" i="42"/>
  <c r="BO138" i="42"/>
  <c r="AS139" i="42"/>
  <c r="BC139" i="42"/>
  <c r="BD139" i="42"/>
  <c r="BE139" i="42"/>
  <c r="BF139" i="42"/>
  <c r="BH139" i="42"/>
  <c r="BI139" i="42"/>
  <c r="BJ139" i="42"/>
  <c r="BK139" i="42"/>
  <c r="BL139" i="42"/>
  <c r="BM139" i="42"/>
  <c r="BN139" i="42"/>
  <c r="BO139" i="42"/>
  <c r="AS140" i="42"/>
  <c r="BC140" i="42"/>
  <c r="BD140" i="42"/>
  <c r="BE140" i="42"/>
  <c r="BF140" i="42"/>
  <c r="BH140" i="42"/>
  <c r="BI140" i="42"/>
  <c r="BJ140" i="42"/>
  <c r="BK140" i="42"/>
  <c r="BL140" i="42"/>
  <c r="BM140" i="42"/>
  <c r="BN140" i="42"/>
  <c r="BO140" i="42"/>
  <c r="AS141" i="42"/>
  <c r="BC141" i="42"/>
  <c r="BD141" i="42"/>
  <c r="BE141" i="42"/>
  <c r="BF141" i="42"/>
  <c r="BH141" i="42"/>
  <c r="BI141" i="42"/>
  <c r="BJ141" i="42"/>
  <c r="BK141" i="42"/>
  <c r="BL141" i="42"/>
  <c r="BM141" i="42"/>
  <c r="BN141" i="42"/>
  <c r="BO141" i="42"/>
  <c r="AS142" i="42"/>
  <c r="BC142" i="42"/>
  <c r="BD142" i="42"/>
  <c r="BE142" i="42"/>
  <c r="BF142" i="42"/>
  <c r="BH142" i="42"/>
  <c r="BI142" i="42"/>
  <c r="BJ142" i="42"/>
  <c r="BK142" i="42"/>
  <c r="BL142" i="42"/>
  <c r="BM142" i="42"/>
  <c r="BN142" i="42"/>
  <c r="BO142" i="42"/>
  <c r="AS145" i="42"/>
  <c r="BC145" i="42"/>
  <c r="BD145" i="42"/>
  <c r="BE145" i="42"/>
  <c r="BF145" i="42"/>
  <c r="BH145" i="42"/>
  <c r="BI145" i="42"/>
  <c r="BJ145" i="42"/>
  <c r="BK145" i="42"/>
  <c r="BL145" i="42"/>
  <c r="BM145" i="42"/>
  <c r="BN145" i="42"/>
  <c r="BO145" i="42"/>
  <c r="AS146" i="42"/>
  <c r="BC146" i="42"/>
  <c r="BD146" i="42"/>
  <c r="BE146" i="42"/>
  <c r="BF146" i="42"/>
  <c r="BH146" i="42"/>
  <c r="BI146" i="42"/>
  <c r="BJ146" i="42"/>
  <c r="BK146" i="42"/>
  <c r="BL146" i="42"/>
  <c r="BM146" i="42"/>
  <c r="BN146" i="42"/>
  <c r="BO146" i="42"/>
  <c r="AS147" i="42"/>
  <c r="BC147" i="42"/>
  <c r="BD147" i="42"/>
  <c r="BE147" i="42"/>
  <c r="BF147" i="42"/>
  <c r="BH147" i="42"/>
  <c r="BI147" i="42"/>
  <c r="BJ147" i="42"/>
  <c r="BK147" i="42"/>
  <c r="BL147" i="42"/>
  <c r="BM147" i="42"/>
  <c r="BN147" i="42"/>
  <c r="BO147" i="42"/>
  <c r="AS148" i="42"/>
  <c r="AZ148" i="42"/>
  <c r="BN148" i="42" s="1"/>
  <c r="BC148" i="42"/>
  <c r="BD148" i="42"/>
  <c r="BE148" i="42"/>
  <c r="BF148" i="42"/>
  <c r="BH148" i="42"/>
  <c r="BI148" i="42"/>
  <c r="BJ148" i="42"/>
  <c r="BK148" i="42"/>
  <c r="BL148" i="42"/>
  <c r="BM148" i="42"/>
  <c r="BO148" i="42"/>
  <c r="AS149" i="42"/>
  <c r="BC149" i="42"/>
  <c r="BD149" i="42"/>
  <c r="BE149" i="42"/>
  <c r="BF149" i="42"/>
  <c r="BH149" i="42"/>
  <c r="BI149" i="42"/>
  <c r="BJ149" i="42"/>
  <c r="BK149" i="42"/>
  <c r="BL149" i="42"/>
  <c r="BM149" i="42"/>
  <c r="BN149" i="42"/>
  <c r="BO149" i="42"/>
  <c r="AS150" i="42"/>
  <c r="BC150" i="42"/>
  <c r="BD150" i="42"/>
  <c r="BE150" i="42"/>
  <c r="BF150" i="42"/>
  <c r="BH150" i="42"/>
  <c r="BI150" i="42"/>
  <c r="BJ150" i="42"/>
  <c r="BK150" i="42"/>
  <c r="BL150" i="42"/>
  <c r="BM150" i="42"/>
  <c r="BN150" i="42"/>
  <c r="BO150" i="42"/>
  <c r="AS151" i="42"/>
  <c r="BC151" i="42"/>
  <c r="BD151" i="42"/>
  <c r="BE151" i="42"/>
  <c r="BF151" i="42"/>
  <c r="BH151" i="42"/>
  <c r="BI151" i="42"/>
  <c r="BJ151" i="42"/>
  <c r="BK151" i="42"/>
  <c r="BL151" i="42"/>
  <c r="BM151" i="42"/>
  <c r="BN151" i="42"/>
  <c r="BO151" i="42"/>
  <c r="AS152" i="42"/>
  <c r="BC152" i="42"/>
  <c r="BD152" i="42"/>
  <c r="BE152" i="42"/>
  <c r="BF152" i="42"/>
  <c r="BH152" i="42"/>
  <c r="BI152" i="42"/>
  <c r="BJ152" i="42"/>
  <c r="BK152" i="42"/>
  <c r="BL152" i="42"/>
  <c r="BM152" i="42"/>
  <c r="BN152" i="42"/>
  <c r="BO152" i="42"/>
  <c r="AS153" i="42"/>
  <c r="BC153" i="42"/>
  <c r="BD153" i="42"/>
  <c r="BE153" i="42"/>
  <c r="BF153" i="42"/>
  <c r="BH153" i="42"/>
  <c r="BI153" i="42"/>
  <c r="BJ153" i="42"/>
  <c r="BK153" i="42"/>
  <c r="BL153" i="42"/>
  <c r="BM153" i="42"/>
  <c r="BN153" i="42"/>
  <c r="BO153" i="42"/>
  <c r="AS154" i="42"/>
  <c r="BC154" i="42"/>
  <c r="BD154" i="42"/>
  <c r="BE154" i="42"/>
  <c r="BF154" i="42"/>
  <c r="BH154" i="42"/>
  <c r="BI154" i="42"/>
  <c r="BJ154" i="42"/>
  <c r="BK154" i="42"/>
  <c r="BL154" i="42"/>
  <c r="BM154" i="42"/>
  <c r="BN154" i="42"/>
  <c r="BO154" i="42"/>
  <c r="AS155" i="42"/>
  <c r="BC155" i="42"/>
  <c r="BD155" i="42"/>
  <c r="BE155" i="42"/>
  <c r="BF155" i="42"/>
  <c r="BH155" i="42"/>
  <c r="BI155" i="42"/>
  <c r="BJ155" i="42"/>
  <c r="BK155" i="42"/>
  <c r="BL155" i="42"/>
  <c r="BM155" i="42"/>
  <c r="BO155" i="42"/>
  <c r="AS156" i="42"/>
  <c r="BC156" i="42"/>
  <c r="BD156" i="42"/>
  <c r="BE156" i="42"/>
  <c r="BF156" i="42"/>
  <c r="BH156" i="42"/>
  <c r="BI156" i="42"/>
  <c r="BJ156" i="42"/>
  <c r="BK156" i="42"/>
  <c r="BL156" i="42"/>
  <c r="BM156" i="42"/>
  <c r="BN156" i="42"/>
  <c r="BO156" i="42"/>
  <c r="AS157" i="42"/>
  <c r="BC157" i="42"/>
  <c r="BD157" i="42"/>
  <c r="BE157" i="42"/>
  <c r="BF157" i="42"/>
  <c r="BH157" i="42"/>
  <c r="BI157" i="42"/>
  <c r="BJ157" i="42"/>
  <c r="BK157" i="42"/>
  <c r="BL157" i="42"/>
  <c r="BM157" i="42"/>
  <c r="BN157" i="42"/>
  <c r="BO157" i="42"/>
  <c r="AS158" i="42"/>
  <c r="BC158" i="42"/>
  <c r="BD158" i="42"/>
  <c r="BE158" i="42"/>
  <c r="BF158" i="42"/>
  <c r="BH158" i="42"/>
  <c r="BI158" i="42"/>
  <c r="BJ158" i="42"/>
  <c r="BK158" i="42"/>
  <c r="BL158" i="42"/>
  <c r="BM158" i="42"/>
  <c r="BN158" i="42"/>
  <c r="BO158" i="42"/>
  <c r="AS159" i="42"/>
  <c r="BC159" i="42"/>
  <c r="BD159" i="42"/>
  <c r="BE159" i="42"/>
  <c r="BF159" i="42"/>
  <c r="BH159" i="42"/>
  <c r="BI159" i="42"/>
  <c r="BJ159" i="42"/>
  <c r="BK159" i="42"/>
  <c r="BL159" i="42"/>
  <c r="BM159" i="42"/>
  <c r="BN159" i="42"/>
  <c r="BO159" i="42"/>
  <c r="AS162" i="42"/>
  <c r="BC162" i="42"/>
  <c r="BD162" i="42"/>
  <c r="BE162" i="42"/>
  <c r="BF162" i="42"/>
  <c r="BH162" i="42"/>
  <c r="BI162" i="42"/>
  <c r="BJ162" i="42"/>
  <c r="BK162" i="42"/>
  <c r="BL162" i="42"/>
  <c r="BM162" i="42"/>
  <c r="BN162" i="42"/>
  <c r="BO162" i="42"/>
  <c r="AS163" i="42"/>
  <c r="BC163" i="42"/>
  <c r="BD163" i="42"/>
  <c r="BE163" i="42"/>
  <c r="BF163" i="42"/>
  <c r="BH163" i="42"/>
  <c r="BI163" i="42"/>
  <c r="BJ163" i="42"/>
  <c r="BK163" i="42"/>
  <c r="BL163" i="42"/>
  <c r="BM163" i="42"/>
  <c r="BN163" i="42"/>
  <c r="BO163" i="42"/>
  <c r="AS164" i="42"/>
  <c r="BC164" i="42"/>
  <c r="BD164" i="42"/>
  <c r="BE164" i="42"/>
  <c r="BF164" i="42"/>
  <c r="BH164" i="42"/>
  <c r="BI164" i="42"/>
  <c r="BJ164" i="42"/>
  <c r="BK164" i="42"/>
  <c r="BL164" i="42"/>
  <c r="BM164" i="42"/>
  <c r="BN164" i="42"/>
  <c r="BO164" i="42"/>
  <c r="AS165" i="42"/>
  <c r="BC165" i="42"/>
  <c r="BD165" i="42"/>
  <c r="BE165" i="42"/>
  <c r="BF165" i="42"/>
  <c r="BH165" i="42"/>
  <c r="BI165" i="42"/>
  <c r="BJ165" i="42"/>
  <c r="BK165" i="42"/>
  <c r="BL165" i="42"/>
  <c r="BM165" i="42"/>
  <c r="BO165" i="42"/>
  <c r="AS166" i="42"/>
  <c r="BC166" i="42"/>
  <c r="BD166" i="42"/>
  <c r="BE166" i="42"/>
  <c r="BF166" i="42"/>
  <c r="BH166" i="42"/>
  <c r="BI166" i="42"/>
  <c r="BJ166" i="42"/>
  <c r="BK166" i="42"/>
  <c r="BL166" i="42"/>
  <c r="BM166" i="42"/>
  <c r="BN166" i="42"/>
  <c r="BO166" i="42"/>
  <c r="AS167" i="42"/>
  <c r="BC167" i="42"/>
  <c r="BD167" i="42"/>
  <c r="BE167" i="42"/>
  <c r="BF167" i="42"/>
  <c r="BH167" i="42"/>
  <c r="BI167" i="42"/>
  <c r="BJ167" i="42"/>
  <c r="BK167" i="42"/>
  <c r="BL167" i="42"/>
  <c r="BM167" i="42"/>
  <c r="BN167" i="42"/>
  <c r="BO167" i="42"/>
  <c r="AS168" i="42"/>
  <c r="BC168" i="42"/>
  <c r="BD168" i="42"/>
  <c r="BE168" i="42"/>
  <c r="BF168" i="42"/>
  <c r="BH168" i="42"/>
  <c r="BI168" i="42"/>
  <c r="BJ168" i="42"/>
  <c r="BK168" i="42"/>
  <c r="BL168" i="42"/>
  <c r="BM168" i="42"/>
  <c r="BN168" i="42"/>
  <c r="BO168" i="42"/>
  <c r="AS169" i="42"/>
  <c r="BC169" i="42"/>
  <c r="BD169" i="42"/>
  <c r="BE169" i="42"/>
  <c r="BF169" i="42"/>
  <c r="BH169" i="42"/>
  <c r="BI169" i="42"/>
  <c r="BJ169" i="42"/>
  <c r="BK169" i="42"/>
  <c r="BL169" i="42"/>
  <c r="BM169" i="42"/>
  <c r="BN169" i="42"/>
  <c r="BO169" i="42"/>
  <c r="AS170" i="42"/>
  <c r="BC170" i="42"/>
  <c r="BD170" i="42"/>
  <c r="BE170" i="42"/>
  <c r="BF170" i="42"/>
  <c r="BH170" i="42"/>
  <c r="BI170" i="42"/>
  <c r="BJ170" i="42"/>
  <c r="BK170" i="42"/>
  <c r="BL170" i="42"/>
  <c r="BM170" i="42"/>
  <c r="BN170" i="42"/>
  <c r="BO170" i="42"/>
  <c r="AS171" i="42"/>
  <c r="BC171" i="42"/>
  <c r="BD171" i="42"/>
  <c r="BE171" i="42"/>
  <c r="BF171" i="42"/>
  <c r="BH171" i="42"/>
  <c r="BI171" i="42"/>
  <c r="BJ171" i="42"/>
  <c r="BK171" i="42"/>
  <c r="BL171" i="42"/>
  <c r="BM171" i="42"/>
  <c r="BN171" i="42"/>
  <c r="BO171" i="42"/>
  <c r="AS172" i="42"/>
  <c r="BC172" i="42"/>
  <c r="BD172" i="42"/>
  <c r="BE172" i="42"/>
  <c r="BF172" i="42"/>
  <c r="BH172" i="42"/>
  <c r="BI172" i="42"/>
  <c r="BJ172" i="42"/>
  <c r="BK172" i="42"/>
  <c r="BL172" i="42"/>
  <c r="BM172" i="42"/>
  <c r="BN172" i="42"/>
  <c r="BO172" i="42"/>
  <c r="AS173" i="42"/>
  <c r="BC173" i="42"/>
  <c r="BD173" i="42"/>
  <c r="BE173" i="42"/>
  <c r="BF173" i="42"/>
  <c r="BH173" i="42"/>
  <c r="BI173" i="42"/>
  <c r="BJ173" i="42"/>
  <c r="BK173" i="42"/>
  <c r="BL173" i="42"/>
  <c r="BM173" i="42"/>
  <c r="BN173" i="42"/>
  <c r="BO173" i="42"/>
  <c r="AS174" i="42"/>
  <c r="BC174" i="42"/>
  <c r="BD174" i="42"/>
  <c r="BE174" i="42"/>
  <c r="BF174" i="42"/>
  <c r="BH174" i="42"/>
  <c r="BI174" i="42"/>
  <c r="BJ174" i="42"/>
  <c r="BK174" i="42"/>
  <c r="BL174" i="42"/>
  <c r="BM174" i="42"/>
  <c r="BN174" i="42"/>
  <c r="BO174" i="42"/>
  <c r="AS175" i="42"/>
  <c r="BC175" i="42"/>
  <c r="BD175" i="42"/>
  <c r="BE175" i="42"/>
  <c r="BF175" i="42"/>
  <c r="BH175" i="42"/>
  <c r="BI175" i="42"/>
  <c r="BJ175" i="42"/>
  <c r="BK175" i="42"/>
  <c r="BL175" i="42"/>
  <c r="BM175" i="42"/>
  <c r="BN175" i="42"/>
  <c r="BO175" i="42"/>
  <c r="AS176" i="42"/>
  <c r="BC176" i="42"/>
  <c r="BD176" i="42"/>
  <c r="BE176" i="42"/>
  <c r="BF176" i="42"/>
  <c r="BH176" i="42"/>
  <c r="BI176" i="42"/>
  <c r="BJ176" i="42"/>
  <c r="BK176" i="42"/>
  <c r="BL176" i="42"/>
  <c r="BM176" i="42"/>
  <c r="BN176" i="42"/>
  <c r="BO176" i="42"/>
  <c r="AS179" i="42"/>
  <c r="BC179" i="42"/>
  <c r="BD179" i="42"/>
  <c r="BE179" i="42"/>
  <c r="BF179" i="42"/>
  <c r="BH179" i="42"/>
  <c r="BI179" i="42"/>
  <c r="BJ179" i="42"/>
  <c r="BK179" i="42"/>
  <c r="BL179" i="42"/>
  <c r="BM179" i="42"/>
  <c r="BN179" i="42"/>
  <c r="BO179" i="42"/>
  <c r="AS180" i="42"/>
  <c r="BC180" i="42"/>
  <c r="BD180" i="42"/>
  <c r="BE180" i="42"/>
  <c r="BF180" i="42"/>
  <c r="BH180" i="42"/>
  <c r="BI180" i="42"/>
  <c r="BJ180" i="42"/>
  <c r="BK180" i="42"/>
  <c r="BL180" i="42"/>
  <c r="BM180" i="42"/>
  <c r="BN180" i="42"/>
  <c r="BO180" i="42"/>
  <c r="AS181" i="42"/>
  <c r="BC181" i="42"/>
  <c r="BD181" i="42"/>
  <c r="BE181" i="42"/>
  <c r="BF181" i="42"/>
  <c r="BH181" i="42"/>
  <c r="BI181" i="42"/>
  <c r="BJ181" i="42"/>
  <c r="BK181" i="42"/>
  <c r="BL181" i="42"/>
  <c r="BM181" i="42"/>
  <c r="BN181" i="42"/>
  <c r="BO181" i="42"/>
  <c r="AS182" i="42"/>
  <c r="BC182" i="42"/>
  <c r="BD182" i="42"/>
  <c r="BE182" i="42"/>
  <c r="BF182" i="42"/>
  <c r="BH182" i="42"/>
  <c r="BI182" i="42"/>
  <c r="BJ182" i="42"/>
  <c r="BK182" i="42"/>
  <c r="BL182" i="42"/>
  <c r="BM182" i="42"/>
  <c r="BN182" i="42"/>
  <c r="BO182" i="42"/>
  <c r="AS183" i="42"/>
  <c r="BC183" i="42"/>
  <c r="BD183" i="42"/>
  <c r="BE183" i="42"/>
  <c r="BF183" i="42"/>
  <c r="BH183" i="42"/>
  <c r="BI183" i="42"/>
  <c r="BJ183" i="42"/>
  <c r="BK183" i="42"/>
  <c r="BL183" i="42"/>
  <c r="BM183" i="42"/>
  <c r="BN183" i="42"/>
  <c r="BO183" i="42"/>
  <c r="AS184" i="42"/>
  <c r="BC184" i="42"/>
  <c r="BD184" i="42"/>
  <c r="BE184" i="42"/>
  <c r="BF184" i="42"/>
  <c r="BH184" i="42"/>
  <c r="BI184" i="42"/>
  <c r="BJ184" i="42"/>
  <c r="BK184" i="42"/>
  <c r="BL184" i="42"/>
  <c r="BM184" i="42"/>
  <c r="BN184" i="42"/>
  <c r="BO184" i="42"/>
  <c r="AS185" i="42"/>
  <c r="BC185" i="42"/>
  <c r="BD185" i="42"/>
  <c r="BE185" i="42"/>
  <c r="BF185" i="42"/>
  <c r="BH185" i="42"/>
  <c r="BI185" i="42"/>
  <c r="BJ185" i="42"/>
  <c r="BK185" i="42"/>
  <c r="BL185" i="42"/>
  <c r="BM185" i="42"/>
  <c r="BN185" i="42"/>
  <c r="BO185" i="42"/>
  <c r="AS186" i="42"/>
  <c r="BC186" i="42"/>
  <c r="BD186" i="42"/>
  <c r="BE186" i="42"/>
  <c r="BF186" i="42"/>
  <c r="BH186" i="42"/>
  <c r="BI186" i="42"/>
  <c r="BJ186" i="42"/>
  <c r="BK186" i="42"/>
  <c r="BL186" i="42"/>
  <c r="BM186" i="42"/>
  <c r="BN186" i="42"/>
  <c r="BO186" i="42"/>
  <c r="AS187" i="42"/>
  <c r="BC187" i="42"/>
  <c r="BD187" i="42"/>
  <c r="BE187" i="42"/>
  <c r="BF187" i="42"/>
  <c r="BH187" i="42"/>
  <c r="BI187" i="42"/>
  <c r="BJ187" i="42"/>
  <c r="BK187" i="42"/>
  <c r="BL187" i="42"/>
  <c r="BM187" i="42"/>
  <c r="BN187" i="42"/>
  <c r="BO187" i="42"/>
  <c r="AS188" i="42"/>
  <c r="BC188" i="42"/>
  <c r="BD188" i="42"/>
  <c r="BE188" i="42"/>
  <c r="BF188" i="42"/>
  <c r="BH188" i="42"/>
  <c r="BI188" i="42"/>
  <c r="BJ188" i="42"/>
  <c r="BK188" i="42"/>
  <c r="BL188" i="42"/>
  <c r="BM188" i="42"/>
  <c r="BN188" i="42"/>
  <c r="BO188" i="42"/>
  <c r="AS189" i="42"/>
  <c r="BC189" i="42"/>
  <c r="BD189" i="42"/>
  <c r="BE189" i="42"/>
  <c r="BF189" i="42"/>
  <c r="BH189" i="42"/>
  <c r="BI189" i="42"/>
  <c r="BJ189" i="42"/>
  <c r="BK189" i="42"/>
  <c r="BL189" i="42"/>
  <c r="BM189" i="42"/>
  <c r="BN189" i="42"/>
  <c r="BO189" i="42"/>
  <c r="AS190" i="42"/>
  <c r="BC190" i="42"/>
  <c r="BD190" i="42"/>
  <c r="BE190" i="42"/>
  <c r="BF190" i="42"/>
  <c r="BH190" i="42"/>
  <c r="BI190" i="42"/>
  <c r="BJ190" i="42"/>
  <c r="BK190" i="42"/>
  <c r="BL190" i="42"/>
  <c r="BM190" i="42"/>
  <c r="BN190" i="42"/>
  <c r="BO190" i="42"/>
  <c r="AS191" i="42"/>
  <c r="BC191" i="42"/>
  <c r="BD191" i="42"/>
  <c r="BE191" i="42"/>
  <c r="BF191" i="42"/>
  <c r="BH191" i="42"/>
  <c r="BI191" i="42"/>
  <c r="BJ191" i="42"/>
  <c r="BK191" i="42"/>
  <c r="BL191" i="42"/>
  <c r="BM191" i="42"/>
  <c r="BN191" i="42"/>
  <c r="BO191" i="42"/>
  <c r="AS192" i="42"/>
  <c r="BC192" i="42"/>
  <c r="BD192" i="42"/>
  <c r="BE192" i="42"/>
  <c r="BF192" i="42"/>
  <c r="BH192" i="42"/>
  <c r="BI192" i="42"/>
  <c r="BJ192" i="42"/>
  <c r="BK192" i="42"/>
  <c r="BL192" i="42"/>
  <c r="BM192" i="42"/>
  <c r="BN192" i="42"/>
  <c r="BO192" i="42"/>
  <c r="AS193" i="42"/>
  <c r="BC193" i="42"/>
  <c r="BD193" i="42"/>
  <c r="BE193" i="42"/>
  <c r="BF193" i="42"/>
  <c r="BH193" i="42"/>
  <c r="BI193" i="42"/>
  <c r="BJ193" i="42"/>
  <c r="BK193" i="42"/>
  <c r="BL193" i="42"/>
  <c r="BM193" i="42"/>
  <c r="BN193" i="42"/>
  <c r="BO193" i="42"/>
  <c r="AS197" i="42"/>
  <c r="BC197" i="42"/>
  <c r="BD197" i="42"/>
  <c r="BE197" i="42"/>
  <c r="BF197" i="42"/>
  <c r="BH197" i="42"/>
  <c r="BI197" i="42"/>
  <c r="BJ197" i="42"/>
  <c r="BK197" i="42"/>
  <c r="BL197" i="42"/>
  <c r="BM197" i="42"/>
  <c r="BN197" i="42"/>
  <c r="BO197" i="42"/>
  <c r="AS198" i="42"/>
  <c r="BC198" i="42"/>
  <c r="BD198" i="42"/>
  <c r="BE198" i="42"/>
  <c r="BF198" i="42"/>
  <c r="BH198" i="42"/>
  <c r="BI198" i="42"/>
  <c r="BJ198" i="42"/>
  <c r="BK198" i="42"/>
  <c r="BL198" i="42"/>
  <c r="BM198" i="42"/>
  <c r="BN198" i="42"/>
  <c r="BO198" i="42"/>
  <c r="AS199" i="42"/>
  <c r="BC199" i="42"/>
  <c r="BD199" i="42"/>
  <c r="BE199" i="42"/>
  <c r="BF199" i="42"/>
  <c r="BH199" i="42"/>
  <c r="BI199" i="42"/>
  <c r="BJ199" i="42"/>
  <c r="BK199" i="42"/>
  <c r="BL199" i="42"/>
  <c r="BM199" i="42"/>
  <c r="BN199" i="42"/>
  <c r="BO199" i="42"/>
  <c r="AS200" i="42"/>
  <c r="BC200" i="42"/>
  <c r="BD200" i="42"/>
  <c r="BE200" i="42"/>
  <c r="BF200" i="42"/>
  <c r="BH200" i="42"/>
  <c r="BI200" i="42"/>
  <c r="BJ200" i="42"/>
  <c r="BK200" i="42"/>
  <c r="BL200" i="42"/>
  <c r="BM200" i="42"/>
  <c r="BN200" i="42"/>
  <c r="BO200" i="42"/>
  <c r="AS201" i="42"/>
  <c r="BC201" i="42"/>
  <c r="BD201" i="42"/>
  <c r="BE201" i="42"/>
  <c r="BF201" i="42"/>
  <c r="BH201" i="42"/>
  <c r="BI201" i="42"/>
  <c r="BJ201" i="42"/>
  <c r="BK201" i="42"/>
  <c r="BL201" i="42"/>
  <c r="BM201" i="42"/>
  <c r="BN201" i="42"/>
  <c r="BO201" i="42"/>
  <c r="AS202" i="42"/>
  <c r="BC202" i="42"/>
  <c r="BD202" i="42"/>
  <c r="BE202" i="42"/>
  <c r="BF202" i="42"/>
  <c r="BH202" i="42"/>
  <c r="BI202" i="42"/>
  <c r="BJ202" i="42"/>
  <c r="BK202" i="42"/>
  <c r="BL202" i="42"/>
  <c r="BM202" i="42"/>
  <c r="BN202" i="42"/>
  <c r="BO202" i="42"/>
  <c r="AS203" i="42"/>
  <c r="BC203" i="42"/>
  <c r="BD203" i="42"/>
  <c r="BE203" i="42"/>
  <c r="BF203" i="42"/>
  <c r="BH203" i="42"/>
  <c r="BI203" i="42"/>
  <c r="BJ203" i="42"/>
  <c r="BK203" i="42"/>
  <c r="BL203" i="42"/>
  <c r="BM203" i="42"/>
  <c r="BN203" i="42"/>
  <c r="BO203" i="42"/>
  <c r="AS204" i="42"/>
  <c r="BC204" i="42"/>
  <c r="BD204" i="42"/>
  <c r="BE204" i="42"/>
  <c r="BF204" i="42"/>
  <c r="BH204" i="42"/>
  <c r="BI204" i="42"/>
  <c r="BJ204" i="42"/>
  <c r="BK204" i="42"/>
  <c r="BL204" i="42"/>
  <c r="BM204" i="42"/>
  <c r="BN204" i="42"/>
  <c r="BO204" i="42"/>
  <c r="AS205" i="42"/>
  <c r="BC205" i="42"/>
  <c r="BD205" i="42"/>
  <c r="BE205" i="42"/>
  <c r="BF205" i="42"/>
  <c r="BH205" i="42"/>
  <c r="BI205" i="42"/>
  <c r="BJ205" i="42"/>
  <c r="BK205" i="42"/>
  <c r="BL205" i="42"/>
  <c r="BM205" i="42"/>
  <c r="BN205" i="42"/>
  <c r="BO205" i="42"/>
  <c r="AS206" i="42"/>
  <c r="BC206" i="42"/>
  <c r="BD206" i="42"/>
  <c r="BE206" i="42"/>
  <c r="BF206" i="42"/>
  <c r="BH206" i="42"/>
  <c r="BI206" i="42"/>
  <c r="BJ206" i="42"/>
  <c r="BK206" i="42"/>
  <c r="BL206" i="42"/>
  <c r="BM206" i="42"/>
  <c r="BN206" i="42"/>
  <c r="BO206" i="42"/>
  <c r="AS207" i="42"/>
  <c r="BC207" i="42"/>
  <c r="BD207" i="42"/>
  <c r="BE207" i="42"/>
  <c r="BF207" i="42"/>
  <c r="BH207" i="42"/>
  <c r="BI207" i="42"/>
  <c r="BJ207" i="42"/>
  <c r="BK207" i="42"/>
  <c r="BL207" i="42"/>
  <c r="BM207" i="42"/>
  <c r="BN207" i="42"/>
  <c r="BO207" i="42"/>
  <c r="AS208" i="42"/>
  <c r="BC208" i="42"/>
  <c r="BD208" i="42"/>
  <c r="BE208" i="42"/>
  <c r="BF208" i="42"/>
  <c r="BH208" i="42"/>
  <c r="BI208" i="42"/>
  <c r="BJ208" i="42"/>
  <c r="BK208" i="42"/>
  <c r="BL208" i="42"/>
  <c r="BM208" i="42"/>
  <c r="BN208" i="42"/>
  <c r="BO208" i="42"/>
  <c r="AS209" i="42"/>
  <c r="BC209" i="42"/>
  <c r="BD209" i="42"/>
  <c r="BE209" i="42"/>
  <c r="BF209" i="42"/>
  <c r="BH209" i="42"/>
  <c r="BI209" i="42"/>
  <c r="BJ209" i="42"/>
  <c r="BK209" i="42"/>
  <c r="BL209" i="42"/>
  <c r="BM209" i="42"/>
  <c r="BN209" i="42"/>
  <c r="BO209" i="42"/>
  <c r="AS210" i="42"/>
  <c r="BC210" i="42"/>
  <c r="BD210" i="42"/>
  <c r="BE210" i="42"/>
  <c r="BF210" i="42"/>
  <c r="BH210" i="42"/>
  <c r="BI210" i="42"/>
  <c r="BJ210" i="42"/>
  <c r="BK210" i="42"/>
  <c r="BL210" i="42"/>
  <c r="BM210" i="42"/>
  <c r="BN210" i="42"/>
  <c r="BO210" i="42"/>
  <c r="AS211" i="42"/>
  <c r="BG211" i="42" s="1"/>
  <c r="BC211" i="42"/>
  <c r="BD211" i="42"/>
  <c r="BE211" i="42"/>
  <c r="BF211" i="42"/>
  <c r="BH211" i="42"/>
  <c r="BI211" i="42"/>
  <c r="BJ211" i="42"/>
  <c r="BK211" i="42"/>
  <c r="BL211" i="42"/>
  <c r="BM211" i="42"/>
  <c r="BN211" i="42"/>
  <c r="BO211" i="42"/>
  <c r="AS214" i="42"/>
  <c r="BC214" i="42"/>
  <c r="BD214" i="42"/>
  <c r="BE214" i="42"/>
  <c r="BF214" i="42"/>
  <c r="BH214" i="42"/>
  <c r="BI214" i="42"/>
  <c r="BJ214" i="42"/>
  <c r="BK214" i="42"/>
  <c r="BL214" i="42"/>
  <c r="BM214" i="42"/>
  <c r="BN214" i="42"/>
  <c r="BO214" i="42"/>
  <c r="AS215" i="42"/>
  <c r="BC215" i="42"/>
  <c r="BD215" i="42"/>
  <c r="BE215" i="42"/>
  <c r="BF215" i="42"/>
  <c r="BH215" i="42"/>
  <c r="BI215" i="42"/>
  <c r="BJ215" i="42"/>
  <c r="BK215" i="42"/>
  <c r="BL215" i="42"/>
  <c r="BM215" i="42"/>
  <c r="BN215" i="42"/>
  <c r="BO215" i="42"/>
  <c r="AS216" i="42"/>
  <c r="BC216" i="42"/>
  <c r="BD216" i="42"/>
  <c r="BE216" i="42"/>
  <c r="BF216" i="42"/>
  <c r="BH216" i="42"/>
  <c r="BI216" i="42"/>
  <c r="BJ216" i="42"/>
  <c r="BK216" i="42"/>
  <c r="BL216" i="42"/>
  <c r="BM216" i="42"/>
  <c r="BN216" i="42"/>
  <c r="BO216" i="42"/>
  <c r="AS217" i="42"/>
  <c r="BC217" i="42"/>
  <c r="BD217" i="42"/>
  <c r="BE217" i="42"/>
  <c r="BF217" i="42"/>
  <c r="BH217" i="42"/>
  <c r="BI217" i="42"/>
  <c r="BJ217" i="42"/>
  <c r="BK217" i="42"/>
  <c r="BL217" i="42"/>
  <c r="BM217" i="42"/>
  <c r="BN217" i="42"/>
  <c r="BO217" i="42"/>
  <c r="AS218" i="42"/>
  <c r="BC218" i="42"/>
  <c r="BD218" i="42"/>
  <c r="BE218" i="42"/>
  <c r="BF218" i="42"/>
  <c r="BH218" i="42"/>
  <c r="BI218" i="42"/>
  <c r="BJ218" i="42"/>
  <c r="BK218" i="42"/>
  <c r="BL218" i="42"/>
  <c r="BM218" i="42"/>
  <c r="BN218" i="42"/>
  <c r="BO218" i="42"/>
  <c r="AS219" i="42"/>
  <c r="BC219" i="42"/>
  <c r="BD219" i="42"/>
  <c r="BE219" i="42"/>
  <c r="BF219" i="42"/>
  <c r="BH219" i="42"/>
  <c r="BI219" i="42"/>
  <c r="BJ219" i="42"/>
  <c r="BK219" i="42"/>
  <c r="BL219" i="42"/>
  <c r="BM219" i="42"/>
  <c r="BN219" i="42"/>
  <c r="BO219" i="42"/>
  <c r="AS220" i="42"/>
  <c r="BC220" i="42"/>
  <c r="BD220" i="42"/>
  <c r="BE220" i="42"/>
  <c r="BF220" i="42"/>
  <c r="BH220" i="42"/>
  <c r="BI220" i="42"/>
  <c r="BJ220" i="42"/>
  <c r="BK220" i="42"/>
  <c r="BL220" i="42"/>
  <c r="BM220" i="42"/>
  <c r="BN220" i="42"/>
  <c r="BO220" i="42"/>
  <c r="AS221" i="42"/>
  <c r="BC221" i="42"/>
  <c r="BD221" i="42"/>
  <c r="BE221" i="42"/>
  <c r="BF221" i="42"/>
  <c r="BH221" i="42"/>
  <c r="BI221" i="42"/>
  <c r="BJ221" i="42"/>
  <c r="BK221" i="42"/>
  <c r="BL221" i="42"/>
  <c r="BM221" i="42"/>
  <c r="BN221" i="42"/>
  <c r="BO221" i="42"/>
  <c r="AS222" i="42"/>
  <c r="BC222" i="42"/>
  <c r="BD222" i="42"/>
  <c r="BE222" i="42"/>
  <c r="BF222" i="42"/>
  <c r="BH222" i="42"/>
  <c r="BI222" i="42"/>
  <c r="BJ222" i="42"/>
  <c r="BK222" i="42"/>
  <c r="BL222" i="42"/>
  <c r="BM222" i="42"/>
  <c r="BN222" i="42"/>
  <c r="BO222" i="42"/>
  <c r="AS223" i="42"/>
  <c r="BC223" i="42"/>
  <c r="BD223" i="42"/>
  <c r="BE223" i="42"/>
  <c r="BF223" i="42"/>
  <c r="BH223" i="42"/>
  <c r="BI223" i="42"/>
  <c r="BJ223" i="42"/>
  <c r="BK223" i="42"/>
  <c r="BL223" i="42"/>
  <c r="BM223" i="42"/>
  <c r="BN223" i="42"/>
  <c r="BO223" i="42"/>
  <c r="AS224" i="42"/>
  <c r="BC224" i="42"/>
  <c r="BD224" i="42"/>
  <c r="BE224" i="42"/>
  <c r="BF224" i="42"/>
  <c r="BH224" i="42"/>
  <c r="BI224" i="42"/>
  <c r="BJ224" i="42"/>
  <c r="BK224" i="42"/>
  <c r="BL224" i="42"/>
  <c r="BM224" i="42"/>
  <c r="BN224" i="42"/>
  <c r="BO224" i="42"/>
  <c r="AS225" i="42"/>
  <c r="BC225" i="42"/>
  <c r="BD225" i="42"/>
  <c r="BE225" i="42"/>
  <c r="BF225" i="42"/>
  <c r="BH225" i="42"/>
  <c r="BI225" i="42"/>
  <c r="BJ225" i="42"/>
  <c r="BK225" i="42"/>
  <c r="BL225" i="42"/>
  <c r="BM225" i="42"/>
  <c r="BN225" i="42"/>
  <c r="BO225" i="42"/>
  <c r="AS226" i="42"/>
  <c r="BC226" i="42"/>
  <c r="BD226" i="42"/>
  <c r="BE226" i="42"/>
  <c r="BF226" i="42"/>
  <c r="BH226" i="42"/>
  <c r="BI226" i="42"/>
  <c r="BJ226" i="42"/>
  <c r="BK226" i="42"/>
  <c r="BL226" i="42"/>
  <c r="BM226" i="42"/>
  <c r="BN226" i="42"/>
  <c r="BO226" i="42"/>
  <c r="AS227" i="42"/>
  <c r="BC227" i="42"/>
  <c r="BD227" i="42"/>
  <c r="BE227" i="42"/>
  <c r="BF227" i="42"/>
  <c r="BH227" i="42"/>
  <c r="BI227" i="42"/>
  <c r="BJ227" i="42"/>
  <c r="BK227" i="42"/>
  <c r="BL227" i="42"/>
  <c r="BM227" i="42"/>
  <c r="BN227" i="42"/>
  <c r="BO227" i="42"/>
  <c r="AS228" i="42"/>
  <c r="BC228" i="42"/>
  <c r="BD228" i="42"/>
  <c r="BE228" i="42"/>
  <c r="BF228" i="42"/>
  <c r="BH228" i="42"/>
  <c r="BI228" i="42"/>
  <c r="BJ228" i="42"/>
  <c r="BK228" i="42"/>
  <c r="BL228" i="42"/>
  <c r="BM228" i="42"/>
  <c r="BN228" i="42"/>
  <c r="BO228" i="42"/>
  <c r="AP231" i="42"/>
  <c r="BD248" i="42" s="1"/>
  <c r="AQ231" i="42"/>
  <c r="BE248" i="42" s="1"/>
  <c r="AR231" i="42"/>
  <c r="BF231" i="42" s="1"/>
  <c r="AT231" i="42"/>
  <c r="BH231" i="42" s="1"/>
  <c r="AU231" i="42"/>
  <c r="BI231" i="42" s="1"/>
  <c r="AV231" i="42"/>
  <c r="BJ248" i="42" s="1"/>
  <c r="AW231" i="42"/>
  <c r="BK231" i="42" s="1"/>
  <c r="AX231" i="42"/>
  <c r="BL248" i="42" s="1"/>
  <c r="AZ231" i="42"/>
  <c r="BN231" i="42" s="1"/>
  <c r="BA231" i="42"/>
  <c r="BO231" i="42" s="1"/>
  <c r="BC231" i="42"/>
  <c r="BM231" i="42"/>
  <c r="AP232" i="42"/>
  <c r="BD249" i="42" s="1"/>
  <c r="AS232" i="42"/>
  <c r="AV232" i="42"/>
  <c r="BJ232" i="42" s="1"/>
  <c r="BC232" i="42"/>
  <c r="BE232" i="42"/>
  <c r="BF232" i="42"/>
  <c r="BH232" i="42"/>
  <c r="BI232" i="42"/>
  <c r="BK232" i="42"/>
  <c r="BL232" i="42"/>
  <c r="BM232" i="42"/>
  <c r="BN232" i="42"/>
  <c r="BO232" i="42"/>
  <c r="AS233" i="42"/>
  <c r="BC233" i="42"/>
  <c r="BD233" i="42"/>
  <c r="BE233" i="42"/>
  <c r="BF233" i="42"/>
  <c r="BH233" i="42"/>
  <c r="BI233" i="42"/>
  <c r="BJ233" i="42"/>
  <c r="BK233" i="42"/>
  <c r="BL233" i="42"/>
  <c r="BM233" i="42"/>
  <c r="BN233" i="42"/>
  <c r="BO233" i="42"/>
  <c r="AS234" i="42"/>
  <c r="BC234" i="42"/>
  <c r="BD234" i="42"/>
  <c r="BE234" i="42"/>
  <c r="BF234" i="42"/>
  <c r="BH234" i="42"/>
  <c r="BI234" i="42"/>
  <c r="BJ234" i="42"/>
  <c r="BK234" i="42"/>
  <c r="BL234" i="42"/>
  <c r="BM234" i="42"/>
  <c r="BN234" i="42"/>
  <c r="BO234" i="42"/>
  <c r="AS235" i="42"/>
  <c r="BC235" i="42"/>
  <c r="BD235" i="42"/>
  <c r="BE235" i="42"/>
  <c r="BF235" i="42"/>
  <c r="BH235" i="42"/>
  <c r="BI235" i="42"/>
  <c r="BJ235" i="42"/>
  <c r="BK235" i="42"/>
  <c r="BL235" i="42"/>
  <c r="BM235" i="42"/>
  <c r="BN235" i="42"/>
  <c r="BO235" i="42"/>
  <c r="AO236" i="42"/>
  <c r="BC236" i="42" s="1"/>
  <c r="AS236" i="42"/>
  <c r="BD236" i="42"/>
  <c r="BE236" i="42"/>
  <c r="BF236" i="42"/>
  <c r="BH236" i="42"/>
  <c r="BI236" i="42"/>
  <c r="BJ236" i="42"/>
  <c r="BK236" i="42"/>
  <c r="BL236" i="42"/>
  <c r="BM236" i="42"/>
  <c r="BN236" i="42"/>
  <c r="BO236" i="42"/>
  <c r="AS237" i="42"/>
  <c r="BC237" i="42"/>
  <c r="BD237" i="42"/>
  <c r="BE237" i="42"/>
  <c r="BF237" i="42"/>
  <c r="BH237" i="42"/>
  <c r="BI237" i="42"/>
  <c r="BJ237" i="42"/>
  <c r="BK237" i="42"/>
  <c r="BL237" i="42"/>
  <c r="BM237" i="42"/>
  <c r="BN237" i="42"/>
  <c r="BO237" i="42"/>
  <c r="AS238" i="42"/>
  <c r="BC238" i="42"/>
  <c r="BD238" i="42"/>
  <c r="BE238" i="42"/>
  <c r="BF238" i="42"/>
  <c r="BH238" i="42"/>
  <c r="BI238" i="42"/>
  <c r="BJ238" i="42"/>
  <c r="BK238" i="42"/>
  <c r="BL238" i="42"/>
  <c r="BM238" i="42"/>
  <c r="BN238" i="42"/>
  <c r="BO238" i="42"/>
  <c r="AS239" i="42"/>
  <c r="BC239" i="42"/>
  <c r="BD239" i="42"/>
  <c r="BE239" i="42"/>
  <c r="BF239" i="42"/>
  <c r="BH239" i="42"/>
  <c r="BI239" i="42"/>
  <c r="BJ239" i="42"/>
  <c r="BK239" i="42"/>
  <c r="BL239" i="42"/>
  <c r="BM239" i="42"/>
  <c r="BN239" i="42"/>
  <c r="BO239" i="42"/>
  <c r="AS240" i="42"/>
  <c r="BC240" i="42"/>
  <c r="BD240" i="42"/>
  <c r="BE240" i="42"/>
  <c r="BF240" i="42"/>
  <c r="BH240" i="42"/>
  <c r="BI240" i="42"/>
  <c r="BJ240" i="42"/>
  <c r="BK240" i="42"/>
  <c r="BL240" i="42"/>
  <c r="BM240" i="42"/>
  <c r="BN240" i="42"/>
  <c r="BO240" i="42"/>
  <c r="AS241" i="42"/>
  <c r="BC241" i="42"/>
  <c r="BD241" i="42"/>
  <c r="BE241" i="42"/>
  <c r="BF241" i="42"/>
  <c r="BH241" i="42"/>
  <c r="BI241" i="42"/>
  <c r="BJ241" i="42"/>
  <c r="BK241" i="42"/>
  <c r="BL241" i="42"/>
  <c r="BM241" i="42"/>
  <c r="BN241" i="42"/>
  <c r="BO241" i="42"/>
  <c r="AS242" i="42"/>
  <c r="BC242" i="42"/>
  <c r="BD242" i="42"/>
  <c r="BE242" i="42"/>
  <c r="BF242" i="42"/>
  <c r="BH242" i="42"/>
  <c r="BI242" i="42"/>
  <c r="BJ242" i="42"/>
  <c r="BK242" i="42"/>
  <c r="BL242" i="42"/>
  <c r="BM242" i="42"/>
  <c r="BN242" i="42"/>
  <c r="BO242" i="42"/>
  <c r="AS243" i="42"/>
  <c r="BC243" i="42"/>
  <c r="BD243" i="42"/>
  <c r="BE243" i="42"/>
  <c r="BF243" i="42"/>
  <c r="BH243" i="42"/>
  <c r="BI243" i="42"/>
  <c r="BJ243" i="42"/>
  <c r="BK243" i="42"/>
  <c r="BL243" i="42"/>
  <c r="BM243" i="42"/>
  <c r="BN243" i="42"/>
  <c r="BO243" i="42"/>
  <c r="AS244" i="42"/>
  <c r="BA244" i="42"/>
  <c r="BO244" i="42" s="1"/>
  <c r="BC244" i="42"/>
  <c r="BD244" i="42"/>
  <c r="BE244" i="42"/>
  <c r="BF244" i="42"/>
  <c r="BH244" i="42"/>
  <c r="BI244" i="42"/>
  <c r="BJ244" i="42"/>
  <c r="BK244" i="42"/>
  <c r="BL244" i="42"/>
  <c r="BM244" i="42"/>
  <c r="BN244" i="42"/>
  <c r="AS245" i="42"/>
  <c r="BC245" i="42"/>
  <c r="BD245" i="42"/>
  <c r="BE245" i="42"/>
  <c r="BF245" i="42"/>
  <c r="BH245" i="42"/>
  <c r="BI245" i="42"/>
  <c r="BJ245" i="42"/>
  <c r="BK245" i="42"/>
  <c r="BL245" i="42"/>
  <c r="BM245" i="42"/>
  <c r="BN245" i="42"/>
  <c r="BO245" i="42"/>
  <c r="AS248" i="42"/>
  <c r="BC248" i="42"/>
  <c r="BM248" i="42"/>
  <c r="AS249" i="42"/>
  <c r="BC249" i="42"/>
  <c r="BE249" i="42"/>
  <c r="BF249" i="42"/>
  <c r="BH249" i="42"/>
  <c r="BI249" i="42"/>
  <c r="BK249" i="42"/>
  <c r="BL249" i="42"/>
  <c r="BM249" i="42"/>
  <c r="BN249" i="42"/>
  <c r="BO249" i="42"/>
  <c r="AS250" i="42"/>
  <c r="BC250" i="42"/>
  <c r="BD250" i="42"/>
  <c r="BE250" i="42"/>
  <c r="BF250" i="42"/>
  <c r="BH250" i="42"/>
  <c r="BI250" i="42"/>
  <c r="BJ250" i="42"/>
  <c r="BK250" i="42"/>
  <c r="BL250" i="42"/>
  <c r="BM250" i="42"/>
  <c r="BN250" i="42"/>
  <c r="BO250" i="42"/>
  <c r="AS251" i="42"/>
  <c r="BC251" i="42"/>
  <c r="BD251" i="42"/>
  <c r="BE251" i="42"/>
  <c r="BF251" i="42"/>
  <c r="BH251" i="42"/>
  <c r="BI251" i="42"/>
  <c r="BJ251" i="42"/>
  <c r="BK251" i="42"/>
  <c r="BL251" i="42"/>
  <c r="BM251" i="42"/>
  <c r="BN251" i="42"/>
  <c r="BO251" i="42"/>
  <c r="AS252" i="42"/>
  <c r="BC252" i="42"/>
  <c r="BD252" i="42"/>
  <c r="BE252" i="42"/>
  <c r="BF252" i="42"/>
  <c r="BH252" i="42"/>
  <c r="BI252" i="42"/>
  <c r="BJ252" i="42"/>
  <c r="BK252" i="42"/>
  <c r="BL252" i="42"/>
  <c r="BM252" i="42"/>
  <c r="BN252" i="42"/>
  <c r="BO252" i="42"/>
  <c r="AS253" i="42"/>
  <c r="BD253" i="42"/>
  <c r="BE253" i="42"/>
  <c r="BF253" i="42"/>
  <c r="BH253" i="42"/>
  <c r="BI253" i="42"/>
  <c r="BJ253" i="42"/>
  <c r="BK253" i="42"/>
  <c r="BL253" i="42"/>
  <c r="BM253" i="42"/>
  <c r="BN253" i="42"/>
  <c r="BO253" i="42"/>
  <c r="AS254" i="42"/>
  <c r="BC254" i="42"/>
  <c r="BD254" i="42"/>
  <c r="BE254" i="42"/>
  <c r="BF254" i="42"/>
  <c r="BH254" i="42"/>
  <c r="BI254" i="42"/>
  <c r="BJ254" i="42"/>
  <c r="BK254" i="42"/>
  <c r="BL254" i="42"/>
  <c r="BM254" i="42"/>
  <c r="BN254" i="42"/>
  <c r="BO254" i="42"/>
  <c r="AS255" i="42"/>
  <c r="BC255" i="42"/>
  <c r="BD255" i="42"/>
  <c r="BE255" i="42"/>
  <c r="BF255" i="42"/>
  <c r="BH255" i="42"/>
  <c r="BI255" i="42"/>
  <c r="BJ255" i="42"/>
  <c r="BK255" i="42"/>
  <c r="BL255" i="42"/>
  <c r="BM255" i="42"/>
  <c r="BN255" i="42"/>
  <c r="BO255" i="42"/>
  <c r="AS256" i="42"/>
  <c r="BC256" i="42"/>
  <c r="BD256" i="42"/>
  <c r="BE256" i="42"/>
  <c r="BF256" i="42"/>
  <c r="BH256" i="42"/>
  <c r="BI256" i="42"/>
  <c r="BJ256" i="42"/>
  <c r="BK256" i="42"/>
  <c r="BL256" i="42"/>
  <c r="BM256" i="42"/>
  <c r="BN256" i="42"/>
  <c r="BO256" i="42"/>
  <c r="AS257" i="42"/>
  <c r="BC257" i="42"/>
  <c r="BD257" i="42"/>
  <c r="BE257" i="42"/>
  <c r="BF257" i="42"/>
  <c r="BH257" i="42"/>
  <c r="BI257" i="42"/>
  <c r="BJ257" i="42"/>
  <c r="BK257" i="42"/>
  <c r="BL257" i="42"/>
  <c r="BM257" i="42"/>
  <c r="BN257" i="42"/>
  <c r="BO257" i="42"/>
  <c r="AS258" i="42"/>
  <c r="BC258" i="42"/>
  <c r="BD258" i="42"/>
  <c r="BE258" i="42"/>
  <c r="BF258" i="42"/>
  <c r="BH258" i="42"/>
  <c r="BI258" i="42"/>
  <c r="BJ258" i="42"/>
  <c r="BK258" i="42"/>
  <c r="BL258" i="42"/>
  <c r="BM258" i="42"/>
  <c r="BN258" i="42"/>
  <c r="BO258" i="42"/>
  <c r="AS259" i="42"/>
  <c r="BC259" i="42"/>
  <c r="BD259" i="42"/>
  <c r="BE259" i="42"/>
  <c r="BF259" i="42"/>
  <c r="BH259" i="42"/>
  <c r="BI259" i="42"/>
  <c r="BJ259" i="42"/>
  <c r="BK259" i="42"/>
  <c r="BL259" i="42"/>
  <c r="BM259" i="42"/>
  <c r="BN259" i="42"/>
  <c r="BO259" i="42"/>
  <c r="AS260" i="42"/>
  <c r="BC260" i="42"/>
  <c r="BD260" i="42"/>
  <c r="BE260" i="42"/>
  <c r="BF260" i="42"/>
  <c r="BH260" i="42"/>
  <c r="BI260" i="42"/>
  <c r="BJ260" i="42"/>
  <c r="BK260" i="42"/>
  <c r="BL260" i="42"/>
  <c r="BM260" i="42"/>
  <c r="BN260" i="42"/>
  <c r="BO260" i="42"/>
  <c r="AS261" i="42"/>
  <c r="BC261" i="42"/>
  <c r="BD261" i="42"/>
  <c r="BE261" i="42"/>
  <c r="BF261" i="42"/>
  <c r="BH261" i="42"/>
  <c r="BI261" i="42"/>
  <c r="BJ261" i="42"/>
  <c r="BK261" i="42"/>
  <c r="BL261" i="42"/>
  <c r="BM261" i="42"/>
  <c r="BN261" i="42"/>
  <c r="AS262" i="42"/>
  <c r="BC262" i="42"/>
  <c r="BD262" i="42"/>
  <c r="BE262" i="42"/>
  <c r="BF262" i="42"/>
  <c r="BH262" i="42"/>
  <c r="BI262" i="42"/>
  <c r="BJ262" i="42"/>
  <c r="BK262" i="42"/>
  <c r="BL262" i="42"/>
  <c r="BM262" i="42"/>
  <c r="BN262" i="42"/>
  <c r="BO262" i="42"/>
  <c r="AP265" i="42"/>
  <c r="AR265" i="42"/>
  <c r="AT265" i="42"/>
  <c r="BH282" i="42" s="1"/>
  <c r="AY265" i="42"/>
  <c r="BM282" i="42" s="1"/>
  <c r="AZ265" i="42"/>
  <c r="BC265" i="42"/>
  <c r="BE265" i="42"/>
  <c r="BI265" i="42"/>
  <c r="BJ265" i="42"/>
  <c r="BK265" i="42"/>
  <c r="BL265" i="42"/>
  <c r="BO265" i="42"/>
  <c r="AP266" i="42"/>
  <c r="AQ266" i="42"/>
  <c r="AS266" i="42"/>
  <c r="BG283" i="42" s="1"/>
  <c r="BC266" i="42"/>
  <c r="BF266" i="42"/>
  <c r="BH266" i="42"/>
  <c r="BI266" i="42"/>
  <c r="BJ266" i="42"/>
  <c r="BK266" i="42"/>
  <c r="BL266" i="42"/>
  <c r="BM266" i="42"/>
  <c r="BN266" i="42"/>
  <c r="BO266" i="42"/>
  <c r="AO267" i="42"/>
  <c r="AP267" i="42"/>
  <c r="AS267" i="42"/>
  <c r="BG284" i="42" s="1"/>
  <c r="BE267" i="42"/>
  <c r="BF267" i="42"/>
  <c r="BH267" i="42"/>
  <c r="BI267" i="42"/>
  <c r="BJ267" i="42"/>
  <c r="BK267" i="42"/>
  <c r="BL267" i="42"/>
  <c r="BM267" i="42"/>
  <c r="BN267" i="42"/>
  <c r="BO267" i="42"/>
  <c r="AS268" i="42"/>
  <c r="BG285" i="42" s="1"/>
  <c r="BC268" i="42"/>
  <c r="BD268" i="42"/>
  <c r="BE268" i="42"/>
  <c r="BF268" i="42"/>
  <c r="BH268" i="42"/>
  <c r="BI268" i="42"/>
  <c r="BJ268" i="42"/>
  <c r="BK268" i="42"/>
  <c r="BL268" i="42"/>
  <c r="BM268" i="42"/>
  <c r="BN268" i="42"/>
  <c r="BO268" i="42"/>
  <c r="AS269" i="42"/>
  <c r="BG286" i="42" s="1"/>
  <c r="BC269" i="42"/>
  <c r="BD269" i="42"/>
  <c r="BE269" i="42"/>
  <c r="BF269" i="42"/>
  <c r="BH269" i="42"/>
  <c r="BI269" i="42"/>
  <c r="BJ269" i="42"/>
  <c r="BK269" i="42"/>
  <c r="BL269" i="42"/>
  <c r="BM269" i="42"/>
  <c r="BN269" i="42"/>
  <c r="BO269" i="42"/>
  <c r="AS270" i="42"/>
  <c r="BG287" i="42" s="1"/>
  <c r="BC270" i="42"/>
  <c r="BD270" i="42"/>
  <c r="BE270" i="42"/>
  <c r="BF270" i="42"/>
  <c r="BH270" i="42"/>
  <c r="BI270" i="42"/>
  <c r="BJ270" i="42"/>
  <c r="BK270" i="42"/>
  <c r="BL270" i="42"/>
  <c r="BM270" i="42"/>
  <c r="BN270" i="42"/>
  <c r="BO270" i="42"/>
  <c r="AS271" i="42"/>
  <c r="BG288" i="42" s="1"/>
  <c r="BC271" i="42"/>
  <c r="BD271" i="42"/>
  <c r="BE271" i="42"/>
  <c r="BF271" i="42"/>
  <c r="BH271" i="42"/>
  <c r="BI271" i="42"/>
  <c r="BJ271" i="42"/>
  <c r="BK271" i="42"/>
  <c r="BL271" i="42"/>
  <c r="BM271" i="42"/>
  <c r="BN271" i="42"/>
  <c r="BO271" i="42"/>
  <c r="AS272" i="42"/>
  <c r="BG289" i="42" s="1"/>
  <c r="BC272" i="42"/>
  <c r="BD272" i="42"/>
  <c r="BE272" i="42"/>
  <c r="BF272" i="42"/>
  <c r="BH272" i="42"/>
  <c r="BI272" i="42"/>
  <c r="BJ272" i="42"/>
  <c r="BK272" i="42"/>
  <c r="BL272" i="42"/>
  <c r="BM272" i="42"/>
  <c r="BN272" i="42"/>
  <c r="BO272" i="42"/>
  <c r="AS273" i="42"/>
  <c r="BG290" i="42" s="1"/>
  <c r="BC273" i="42"/>
  <c r="BD273" i="42"/>
  <c r="BE273" i="42"/>
  <c r="BF273" i="42"/>
  <c r="BH273" i="42"/>
  <c r="BI273" i="42"/>
  <c r="BJ273" i="42"/>
  <c r="BK273" i="42"/>
  <c r="BL273" i="42"/>
  <c r="BM273" i="42"/>
  <c r="BN273" i="42"/>
  <c r="BO273" i="42"/>
  <c r="AO274" i="42"/>
  <c r="AP274" i="42"/>
  <c r="AS274" i="42"/>
  <c r="BG291" i="42" s="1"/>
  <c r="BE274" i="42"/>
  <c r="BF274" i="42"/>
  <c r="BH274" i="42"/>
  <c r="BI274" i="42"/>
  <c r="BJ274" i="42"/>
  <c r="BK274" i="42"/>
  <c r="BL274" i="42"/>
  <c r="BM274" i="42"/>
  <c r="BN274" i="42"/>
  <c r="BO274" i="42"/>
  <c r="AO275" i="42"/>
  <c r="AS275" i="42"/>
  <c r="BG292" i="42" s="1"/>
  <c r="BD275" i="42"/>
  <c r="BE275" i="42"/>
  <c r="BF275" i="42"/>
  <c r="BH275" i="42"/>
  <c r="BI275" i="42"/>
  <c r="BJ275" i="42"/>
  <c r="BK275" i="42"/>
  <c r="BL275" i="42"/>
  <c r="BM275" i="42"/>
  <c r="BN275" i="42"/>
  <c r="BO275" i="42"/>
  <c r="AS276" i="42"/>
  <c r="BG293" i="42" s="1"/>
  <c r="BC276" i="42"/>
  <c r="BD276" i="42"/>
  <c r="BE276" i="42"/>
  <c r="BF276" i="42"/>
  <c r="BH276" i="42"/>
  <c r="BI276" i="42"/>
  <c r="BJ276" i="42"/>
  <c r="BK276" i="42"/>
  <c r="BL276" i="42"/>
  <c r="BM276" i="42"/>
  <c r="BN276" i="42"/>
  <c r="BO276" i="42"/>
  <c r="AT277" i="42"/>
  <c r="BC277" i="42"/>
  <c r="BD277" i="42"/>
  <c r="BE277" i="42"/>
  <c r="BF277" i="42"/>
  <c r="BI277" i="42"/>
  <c r="BJ277" i="42"/>
  <c r="BK277" i="42"/>
  <c r="BL277" i="42"/>
  <c r="BM277" i="42"/>
  <c r="BN277" i="42"/>
  <c r="BO277" i="42"/>
  <c r="AS278" i="42"/>
  <c r="BG295" i="42" s="1"/>
  <c r="AX278" i="42"/>
  <c r="AY278" i="42"/>
  <c r="BC278" i="42"/>
  <c r="BD278" i="42"/>
  <c r="BE278" i="42"/>
  <c r="BF278" i="42"/>
  <c r="BH278" i="42"/>
  <c r="BI278" i="42"/>
  <c r="BJ278" i="42"/>
  <c r="BK278" i="42"/>
  <c r="BN278" i="42"/>
  <c r="BO278" i="42"/>
  <c r="AS279" i="42"/>
  <c r="BG296" i="42" s="1"/>
  <c r="AZ279" i="42"/>
  <c r="BC279" i="42"/>
  <c r="BD279" i="42"/>
  <c r="BE279" i="42"/>
  <c r="BF279" i="42"/>
  <c r="BH279" i="42"/>
  <c r="BI279" i="42"/>
  <c r="BJ279" i="42"/>
  <c r="BK279" i="42"/>
  <c r="BL279" i="42"/>
  <c r="BM279" i="42"/>
  <c r="BO279" i="42"/>
  <c r="BC40" i="42"/>
  <c r="BD40" i="42"/>
  <c r="BE40" i="42"/>
  <c r="BF40" i="42"/>
  <c r="BG40" i="42"/>
  <c r="BH40" i="42"/>
  <c r="BI40" i="42"/>
  <c r="BJ40" i="42"/>
  <c r="BK40" i="42"/>
  <c r="BL40" i="42"/>
  <c r="BM40" i="42"/>
  <c r="BN40" i="42"/>
  <c r="BO40" i="42"/>
  <c r="BC41" i="42"/>
  <c r="BD41" i="42"/>
  <c r="BE41" i="42"/>
  <c r="BF41" i="42"/>
  <c r="BG41" i="42"/>
  <c r="BH41" i="42"/>
  <c r="BI41" i="42"/>
  <c r="BJ41" i="42"/>
  <c r="BK41" i="42"/>
  <c r="BL41" i="42"/>
  <c r="BM41" i="42"/>
  <c r="BN41" i="42"/>
  <c r="BO41" i="42"/>
  <c r="BC42" i="42"/>
  <c r="BD42" i="42"/>
  <c r="BE42" i="42"/>
  <c r="BF42" i="42"/>
  <c r="BG42" i="42"/>
  <c r="BH42" i="42"/>
  <c r="BI42" i="42"/>
  <c r="BJ42" i="42"/>
  <c r="BK42" i="42"/>
  <c r="BL42" i="42"/>
  <c r="BM42" i="42"/>
  <c r="BN42" i="42"/>
  <c r="BO42" i="42"/>
  <c r="BC43" i="42"/>
  <c r="BD43" i="42"/>
  <c r="BE43" i="42"/>
  <c r="BF43" i="42"/>
  <c r="BG43" i="42"/>
  <c r="BH43" i="42"/>
  <c r="BI43" i="42"/>
  <c r="BJ43" i="42"/>
  <c r="BK43" i="42"/>
  <c r="BL43" i="42"/>
  <c r="BM43" i="42"/>
  <c r="BN43" i="42"/>
  <c r="BO43" i="42"/>
  <c r="BC44" i="42"/>
  <c r="BD44" i="42"/>
  <c r="BE44" i="42"/>
  <c r="BF44" i="42"/>
  <c r="BG44" i="42"/>
  <c r="BH44" i="42"/>
  <c r="BI44" i="42"/>
  <c r="BJ44" i="42"/>
  <c r="BK44" i="42"/>
  <c r="BL44" i="42"/>
  <c r="BM44" i="42"/>
  <c r="BN44" i="42"/>
  <c r="BO44" i="42"/>
  <c r="BC45" i="42"/>
  <c r="BD45" i="42"/>
  <c r="BE45" i="42"/>
  <c r="BF45" i="42"/>
  <c r="BG45" i="42"/>
  <c r="BH45" i="42"/>
  <c r="BI45" i="42"/>
  <c r="BJ45" i="42"/>
  <c r="BK45" i="42"/>
  <c r="BL45" i="42"/>
  <c r="BM45" i="42"/>
  <c r="BN45" i="42"/>
  <c r="BO45" i="42"/>
  <c r="BC46" i="42"/>
  <c r="BD46" i="42"/>
  <c r="BE46" i="42"/>
  <c r="BF46" i="42"/>
  <c r="BG46" i="42"/>
  <c r="BH46" i="42"/>
  <c r="BI46" i="42"/>
  <c r="BJ46" i="42"/>
  <c r="BK46" i="42"/>
  <c r="BL46" i="42"/>
  <c r="BM46" i="42"/>
  <c r="BN46" i="42"/>
  <c r="BO46" i="42"/>
  <c r="BC47" i="42"/>
  <c r="BD47" i="42"/>
  <c r="BE47" i="42"/>
  <c r="BF47" i="42"/>
  <c r="BG47" i="42"/>
  <c r="BH47" i="42"/>
  <c r="BI47" i="42"/>
  <c r="BJ47" i="42"/>
  <c r="BK47" i="42"/>
  <c r="BL47" i="42"/>
  <c r="BM47" i="42"/>
  <c r="BN47" i="42"/>
  <c r="BO47" i="42"/>
  <c r="BC48" i="42"/>
  <c r="BD48" i="42"/>
  <c r="BE48" i="42"/>
  <c r="BF48" i="42"/>
  <c r="BG48" i="42"/>
  <c r="BH48" i="42"/>
  <c r="BI48" i="42"/>
  <c r="BJ48" i="42"/>
  <c r="BK48" i="42"/>
  <c r="BL48" i="42"/>
  <c r="BM48" i="42"/>
  <c r="BN48" i="42"/>
  <c r="BO48" i="42"/>
  <c r="BC49" i="42"/>
  <c r="BD49" i="42"/>
  <c r="BE49" i="42"/>
  <c r="BF49" i="42"/>
  <c r="BG49" i="42"/>
  <c r="BH49" i="42"/>
  <c r="BI49" i="42"/>
  <c r="BJ49" i="42"/>
  <c r="BK49" i="42"/>
  <c r="BL49" i="42"/>
  <c r="BM49" i="42"/>
  <c r="BN49" i="42"/>
  <c r="BO49" i="42"/>
  <c r="BC50" i="42"/>
  <c r="BD50" i="42"/>
  <c r="BE50" i="42"/>
  <c r="BF50" i="42"/>
  <c r="BG50" i="42"/>
  <c r="BH50" i="42"/>
  <c r="BI50" i="42"/>
  <c r="BJ50" i="42"/>
  <c r="BK50" i="42"/>
  <c r="BL50" i="42"/>
  <c r="BM50" i="42"/>
  <c r="BN50" i="42"/>
  <c r="BO50" i="42"/>
  <c r="BC51" i="42"/>
  <c r="BD51" i="42"/>
  <c r="BE51" i="42"/>
  <c r="BF51" i="42"/>
  <c r="BG51" i="42"/>
  <c r="BH51" i="42"/>
  <c r="BI51" i="42"/>
  <c r="BJ51" i="42"/>
  <c r="BK51" i="42"/>
  <c r="BL51" i="42"/>
  <c r="BM51" i="42"/>
  <c r="BN51" i="42"/>
  <c r="BO51" i="42"/>
  <c r="BC52" i="42"/>
  <c r="BD52" i="42"/>
  <c r="BE52" i="42"/>
  <c r="BF52" i="42"/>
  <c r="BG52" i="42"/>
  <c r="BH52" i="42"/>
  <c r="BI52" i="42"/>
  <c r="BJ52" i="42"/>
  <c r="BK52" i="42"/>
  <c r="BL52" i="42"/>
  <c r="BM52" i="42"/>
  <c r="BN52" i="42"/>
  <c r="BO52" i="42"/>
  <c r="BC53" i="42"/>
  <c r="BD53" i="42"/>
  <c r="BE53" i="42"/>
  <c r="BF53" i="42"/>
  <c r="BG53" i="42"/>
  <c r="BH53" i="42"/>
  <c r="BI53" i="42"/>
  <c r="BJ53" i="42"/>
  <c r="BK53" i="42"/>
  <c r="BL53" i="42"/>
  <c r="BM53" i="42"/>
  <c r="BN53" i="42"/>
  <c r="BO53" i="42"/>
  <c r="BC54" i="42"/>
  <c r="BD54" i="42"/>
  <c r="BE54" i="42"/>
  <c r="BF54" i="42"/>
  <c r="BG54" i="42"/>
  <c r="BH54" i="42"/>
  <c r="BI54" i="42"/>
  <c r="BJ54" i="42"/>
  <c r="BK54" i="42"/>
  <c r="BL54" i="42"/>
  <c r="BM54" i="42"/>
  <c r="BN54" i="42"/>
  <c r="BO54" i="42"/>
  <c r="BC55" i="42"/>
  <c r="BD55" i="42"/>
  <c r="BE55" i="42"/>
  <c r="BF55" i="42"/>
  <c r="BG55" i="42"/>
  <c r="BH55" i="42"/>
  <c r="BI55" i="42"/>
  <c r="BJ55" i="42"/>
  <c r="BK55" i="42"/>
  <c r="BL55" i="42"/>
  <c r="BM55" i="42"/>
  <c r="BN55" i="42"/>
  <c r="BO55" i="42"/>
  <c r="BC58" i="42"/>
  <c r="BD58" i="42"/>
  <c r="BE58" i="42"/>
  <c r="BF58" i="42"/>
  <c r="BG58" i="42"/>
  <c r="BH58" i="42"/>
  <c r="BI58" i="42"/>
  <c r="BJ58" i="42"/>
  <c r="BK58" i="42"/>
  <c r="BL58" i="42"/>
  <c r="BM58" i="42"/>
  <c r="BN58" i="42"/>
  <c r="BO58" i="42"/>
  <c r="BC59" i="42"/>
  <c r="BD59" i="42"/>
  <c r="BE59" i="42"/>
  <c r="BF59" i="42"/>
  <c r="BG59" i="42"/>
  <c r="BH59" i="42"/>
  <c r="BI59" i="42"/>
  <c r="BJ59" i="42"/>
  <c r="BK59" i="42"/>
  <c r="BL59" i="42"/>
  <c r="BM59" i="42"/>
  <c r="BN59" i="42"/>
  <c r="BO59" i="42"/>
  <c r="BC60" i="42"/>
  <c r="BD60" i="42"/>
  <c r="BE60" i="42"/>
  <c r="BF60" i="42"/>
  <c r="BG60" i="42"/>
  <c r="BH60" i="42"/>
  <c r="BI60" i="42"/>
  <c r="BJ60" i="42"/>
  <c r="BK60" i="42"/>
  <c r="BL60" i="42"/>
  <c r="BM60" i="42"/>
  <c r="BN60" i="42"/>
  <c r="BO60" i="42"/>
  <c r="BC61" i="42"/>
  <c r="BD61" i="42"/>
  <c r="BE61" i="42"/>
  <c r="BF61" i="42"/>
  <c r="BG61" i="42"/>
  <c r="BH61" i="42"/>
  <c r="BI61" i="42"/>
  <c r="BJ61" i="42"/>
  <c r="BK61" i="42"/>
  <c r="BL61" i="42"/>
  <c r="BM61" i="42"/>
  <c r="BN61" i="42"/>
  <c r="BO61" i="42"/>
  <c r="BC62" i="42"/>
  <c r="BD62" i="42"/>
  <c r="BE62" i="42"/>
  <c r="BF62" i="42"/>
  <c r="BG62" i="42"/>
  <c r="BH62" i="42"/>
  <c r="BI62" i="42"/>
  <c r="BJ62" i="42"/>
  <c r="BK62" i="42"/>
  <c r="BL62" i="42"/>
  <c r="BM62" i="42"/>
  <c r="BN62" i="42"/>
  <c r="BO62" i="42"/>
  <c r="BC63" i="42"/>
  <c r="BD63" i="42"/>
  <c r="BE63" i="42"/>
  <c r="BF63" i="42"/>
  <c r="BG63" i="42"/>
  <c r="BH63" i="42"/>
  <c r="BI63" i="42"/>
  <c r="BJ63" i="42"/>
  <c r="BK63" i="42"/>
  <c r="BL63" i="42"/>
  <c r="BM63" i="42"/>
  <c r="BN63" i="42"/>
  <c r="BO63" i="42"/>
  <c r="BC64" i="42"/>
  <c r="BD64" i="42"/>
  <c r="BE64" i="42"/>
  <c r="BF64" i="42"/>
  <c r="BG64" i="42"/>
  <c r="BH64" i="42"/>
  <c r="BI64" i="42"/>
  <c r="BJ64" i="42"/>
  <c r="BK64" i="42"/>
  <c r="BL64" i="42"/>
  <c r="BM64" i="42"/>
  <c r="BN64" i="42"/>
  <c r="BO64" i="42"/>
  <c r="BC65" i="42"/>
  <c r="BD65" i="42"/>
  <c r="BE65" i="42"/>
  <c r="BF65" i="42"/>
  <c r="BG65" i="42"/>
  <c r="BH65" i="42"/>
  <c r="BI65" i="42"/>
  <c r="BJ65" i="42"/>
  <c r="BK65" i="42"/>
  <c r="BL65" i="42"/>
  <c r="BM65" i="42"/>
  <c r="BN65" i="42"/>
  <c r="BO65" i="42"/>
  <c r="BC66" i="42"/>
  <c r="BD66" i="42"/>
  <c r="BE66" i="42"/>
  <c r="BF66" i="42"/>
  <c r="BG66" i="42"/>
  <c r="BH66" i="42"/>
  <c r="BI66" i="42"/>
  <c r="BJ66" i="42"/>
  <c r="BK66" i="42"/>
  <c r="BL66" i="42"/>
  <c r="BM66" i="42"/>
  <c r="BN66" i="42"/>
  <c r="BO66" i="42"/>
  <c r="BC67" i="42"/>
  <c r="BD67" i="42"/>
  <c r="BE67" i="42"/>
  <c r="BF67" i="42"/>
  <c r="BG67" i="42"/>
  <c r="BH67" i="42"/>
  <c r="BI67" i="42"/>
  <c r="BJ67" i="42"/>
  <c r="BK67" i="42"/>
  <c r="BL67" i="42"/>
  <c r="BM67" i="42"/>
  <c r="BN67" i="42"/>
  <c r="BO67" i="42"/>
  <c r="BC68" i="42"/>
  <c r="BD68" i="42"/>
  <c r="BE68" i="42"/>
  <c r="BF68" i="42"/>
  <c r="BG68" i="42"/>
  <c r="BH68" i="42"/>
  <c r="BI68" i="42"/>
  <c r="BJ68" i="42"/>
  <c r="BK68" i="42"/>
  <c r="BL68" i="42"/>
  <c r="BM68" i="42"/>
  <c r="BN68" i="42"/>
  <c r="BO68" i="42"/>
  <c r="BC69" i="42"/>
  <c r="BD69" i="42"/>
  <c r="BE69" i="42"/>
  <c r="BF69" i="42"/>
  <c r="BG69" i="42"/>
  <c r="BH69" i="42"/>
  <c r="BI69" i="42"/>
  <c r="BJ69" i="42"/>
  <c r="BK69" i="42"/>
  <c r="BL69" i="42"/>
  <c r="BM69" i="42"/>
  <c r="BN69" i="42"/>
  <c r="BO69" i="42"/>
  <c r="BC70" i="42"/>
  <c r="BD70" i="42"/>
  <c r="BE70" i="42"/>
  <c r="BF70" i="42"/>
  <c r="BG70" i="42"/>
  <c r="BH70" i="42"/>
  <c r="BI70" i="42"/>
  <c r="BJ70" i="42"/>
  <c r="BK70" i="42"/>
  <c r="BL70" i="42"/>
  <c r="BM70" i="42"/>
  <c r="BN70" i="42"/>
  <c r="BO70" i="42"/>
  <c r="BC71" i="42"/>
  <c r="BD71" i="42"/>
  <c r="BE71" i="42"/>
  <c r="BF71" i="42"/>
  <c r="BG71" i="42"/>
  <c r="BH71" i="42"/>
  <c r="BI71" i="42"/>
  <c r="BJ71" i="42"/>
  <c r="BK71" i="42"/>
  <c r="BL71" i="42"/>
  <c r="BM71" i="42"/>
  <c r="BN71" i="42"/>
  <c r="BO71" i="42"/>
  <c r="BC72" i="42"/>
  <c r="BD72" i="42"/>
  <c r="BE72" i="42"/>
  <c r="BF72" i="42"/>
  <c r="BG72" i="42"/>
  <c r="BH72" i="42"/>
  <c r="BI72" i="42"/>
  <c r="BJ72" i="42"/>
  <c r="BK72" i="42"/>
  <c r="BL72" i="42"/>
  <c r="BM72" i="42"/>
  <c r="BN72" i="42"/>
  <c r="BO72" i="42"/>
  <c r="BC73" i="42"/>
  <c r="BD73" i="42"/>
  <c r="BE73" i="42"/>
  <c r="BF73" i="42"/>
  <c r="BG73" i="42"/>
  <c r="BH73" i="42"/>
  <c r="BI73" i="42"/>
  <c r="BJ73" i="42"/>
  <c r="BK73" i="42"/>
  <c r="BL73" i="42"/>
  <c r="BM73" i="42"/>
  <c r="BN73" i="42"/>
  <c r="BO73" i="42"/>
  <c r="BC76" i="42"/>
  <c r="BD76" i="42"/>
  <c r="BE76" i="42"/>
  <c r="BF76" i="42"/>
  <c r="BG76" i="42"/>
  <c r="BH76" i="42"/>
  <c r="BI76" i="42"/>
  <c r="BJ76" i="42"/>
  <c r="BK76" i="42"/>
  <c r="BL76" i="42"/>
  <c r="BM76" i="42"/>
  <c r="BN76" i="42"/>
  <c r="BO76" i="42"/>
  <c r="BC77" i="42"/>
  <c r="BD77" i="42"/>
  <c r="BE77" i="42"/>
  <c r="BF77" i="42"/>
  <c r="BG77" i="42"/>
  <c r="BH77" i="42"/>
  <c r="BI77" i="42"/>
  <c r="BJ77" i="42"/>
  <c r="BK77" i="42"/>
  <c r="BL77" i="42"/>
  <c r="BM77" i="42"/>
  <c r="BN77" i="42"/>
  <c r="BO77" i="42"/>
  <c r="BC78" i="42"/>
  <c r="BD78" i="42"/>
  <c r="BE78" i="42"/>
  <c r="BF78" i="42"/>
  <c r="BG78" i="42"/>
  <c r="BH78" i="42"/>
  <c r="BI78" i="42"/>
  <c r="BJ78" i="42"/>
  <c r="BK78" i="42"/>
  <c r="BL78" i="42"/>
  <c r="BM78" i="42"/>
  <c r="BN78" i="42"/>
  <c r="BO78" i="42"/>
  <c r="BC79" i="42"/>
  <c r="BD79" i="42"/>
  <c r="BE79" i="42"/>
  <c r="BF79" i="42"/>
  <c r="BG79" i="42"/>
  <c r="BH79" i="42"/>
  <c r="BI79" i="42"/>
  <c r="BJ79" i="42"/>
  <c r="BK79" i="42"/>
  <c r="BL79" i="42"/>
  <c r="BM79" i="42"/>
  <c r="BN79" i="42"/>
  <c r="BO79" i="42"/>
  <c r="BC80" i="42"/>
  <c r="BD80" i="42"/>
  <c r="BE80" i="42"/>
  <c r="BF80" i="42"/>
  <c r="BG80" i="42"/>
  <c r="BH80" i="42"/>
  <c r="BI80" i="42"/>
  <c r="BJ80" i="42"/>
  <c r="BK80" i="42"/>
  <c r="BL80" i="42"/>
  <c r="BM80" i="42"/>
  <c r="BN80" i="42"/>
  <c r="BO80" i="42"/>
  <c r="BC81" i="42"/>
  <c r="BD81" i="42"/>
  <c r="BE81" i="42"/>
  <c r="BF81" i="42"/>
  <c r="BG81" i="42"/>
  <c r="BH81" i="42"/>
  <c r="BI81" i="42"/>
  <c r="BJ81" i="42"/>
  <c r="BK81" i="42"/>
  <c r="BL81" i="42"/>
  <c r="BM81" i="42"/>
  <c r="BN81" i="42"/>
  <c r="BO81" i="42"/>
  <c r="BC82" i="42"/>
  <c r="BD82" i="42"/>
  <c r="BE82" i="42"/>
  <c r="BF82" i="42"/>
  <c r="BG82" i="42"/>
  <c r="BH82" i="42"/>
  <c r="BI82" i="42"/>
  <c r="BJ82" i="42"/>
  <c r="BK82" i="42"/>
  <c r="BL82" i="42"/>
  <c r="BM82" i="42"/>
  <c r="BN82" i="42"/>
  <c r="BO82" i="42"/>
  <c r="BC83" i="42"/>
  <c r="BD83" i="42"/>
  <c r="BE83" i="42"/>
  <c r="BF83" i="42"/>
  <c r="BG83" i="42"/>
  <c r="BH83" i="42"/>
  <c r="BI83" i="42"/>
  <c r="BJ83" i="42"/>
  <c r="BK83" i="42"/>
  <c r="BL83" i="42"/>
  <c r="BM83" i="42"/>
  <c r="BN83" i="42"/>
  <c r="BO83" i="42"/>
  <c r="BC84" i="42"/>
  <c r="BD84" i="42"/>
  <c r="BE84" i="42"/>
  <c r="BF84" i="42"/>
  <c r="BG84" i="42"/>
  <c r="BH84" i="42"/>
  <c r="BI84" i="42"/>
  <c r="BJ84" i="42"/>
  <c r="BK84" i="42"/>
  <c r="BL84" i="42"/>
  <c r="BM84" i="42"/>
  <c r="BN84" i="42"/>
  <c r="BO84" i="42"/>
  <c r="BC85" i="42"/>
  <c r="BD85" i="42"/>
  <c r="BE85" i="42"/>
  <c r="BF85" i="42"/>
  <c r="BG85" i="42"/>
  <c r="BH85" i="42"/>
  <c r="BI85" i="42"/>
  <c r="BJ85" i="42"/>
  <c r="BK85" i="42"/>
  <c r="BL85" i="42"/>
  <c r="BM85" i="42"/>
  <c r="BN85" i="42"/>
  <c r="BO85" i="42"/>
  <c r="BC86" i="42"/>
  <c r="BD86" i="42"/>
  <c r="BE86" i="42"/>
  <c r="BF86" i="42"/>
  <c r="BG86" i="42"/>
  <c r="BH86" i="42"/>
  <c r="BI86" i="42"/>
  <c r="BJ86" i="42"/>
  <c r="BK86" i="42"/>
  <c r="BL86" i="42"/>
  <c r="BM86" i="42"/>
  <c r="BN86" i="42"/>
  <c r="BO86" i="42"/>
  <c r="BC87" i="42"/>
  <c r="BD87" i="42"/>
  <c r="BE87" i="42"/>
  <c r="BF87" i="42"/>
  <c r="BG87" i="42"/>
  <c r="BH87" i="42"/>
  <c r="BI87" i="42"/>
  <c r="BJ87" i="42"/>
  <c r="BK87" i="42"/>
  <c r="BL87" i="42"/>
  <c r="BM87" i="42"/>
  <c r="BN87" i="42"/>
  <c r="BO87" i="42"/>
  <c r="BC88" i="42"/>
  <c r="BD88" i="42"/>
  <c r="BE88" i="42"/>
  <c r="BF88" i="42"/>
  <c r="BG88" i="42"/>
  <c r="BH88" i="42"/>
  <c r="BI88" i="42"/>
  <c r="BJ88" i="42"/>
  <c r="BK88" i="42"/>
  <c r="BL88" i="42"/>
  <c r="BM88" i="42"/>
  <c r="BN88" i="42"/>
  <c r="BO88" i="42"/>
  <c r="BC89" i="42"/>
  <c r="BD89" i="42"/>
  <c r="BE89" i="42"/>
  <c r="BF89" i="42"/>
  <c r="BG89" i="42"/>
  <c r="BH89" i="42"/>
  <c r="BI89" i="42"/>
  <c r="BJ89" i="42"/>
  <c r="BK89" i="42"/>
  <c r="BL89" i="42"/>
  <c r="BM89" i="42"/>
  <c r="BN89" i="42"/>
  <c r="BO89" i="42"/>
  <c r="BC90" i="42"/>
  <c r="BD90" i="42"/>
  <c r="BE90" i="42"/>
  <c r="BF90" i="42"/>
  <c r="BG90" i="42"/>
  <c r="BH90" i="42"/>
  <c r="BI90" i="42"/>
  <c r="BJ90" i="42"/>
  <c r="BK90" i="42"/>
  <c r="BL90" i="42"/>
  <c r="BM90" i="42"/>
  <c r="BN90" i="42"/>
  <c r="BO90" i="42"/>
  <c r="BC91" i="42"/>
  <c r="BD91" i="42"/>
  <c r="BE91" i="42"/>
  <c r="BF91" i="42"/>
  <c r="BG91" i="42"/>
  <c r="BH91" i="42"/>
  <c r="BI91" i="42"/>
  <c r="BJ91" i="42"/>
  <c r="BK91" i="42"/>
  <c r="BL91" i="42"/>
  <c r="BM91" i="42"/>
  <c r="BN91" i="42"/>
  <c r="BO91" i="42"/>
  <c r="AS94" i="42"/>
  <c r="BG94" i="42" s="1"/>
  <c r="BC94" i="42"/>
  <c r="BD94" i="42"/>
  <c r="BE94" i="42"/>
  <c r="BF94" i="42"/>
  <c r="BH94" i="42"/>
  <c r="BI94" i="42"/>
  <c r="BJ94" i="42"/>
  <c r="BK94" i="42"/>
  <c r="BL94" i="42"/>
  <c r="BM94" i="42"/>
  <c r="BN94" i="42"/>
  <c r="BO94" i="42"/>
  <c r="AS95" i="42"/>
  <c r="BG95" i="42" s="1"/>
  <c r="BC95" i="42"/>
  <c r="BD95" i="42"/>
  <c r="BE95" i="42"/>
  <c r="BF95" i="42"/>
  <c r="BH95" i="42"/>
  <c r="BI95" i="42"/>
  <c r="BJ95" i="42"/>
  <c r="BK95" i="42"/>
  <c r="BL95" i="42"/>
  <c r="BM95" i="42"/>
  <c r="BN95" i="42"/>
  <c r="BO95" i="42"/>
  <c r="AS96" i="42"/>
  <c r="BG96" i="42" s="1"/>
  <c r="BC96" i="42"/>
  <c r="BD96" i="42"/>
  <c r="BE96" i="42"/>
  <c r="BF96" i="42"/>
  <c r="BH96" i="42"/>
  <c r="BI96" i="42"/>
  <c r="BJ96" i="42"/>
  <c r="BK96" i="42"/>
  <c r="BL96" i="42"/>
  <c r="BM96" i="42"/>
  <c r="BN96" i="42"/>
  <c r="BO96" i="42"/>
  <c r="AS97" i="42"/>
  <c r="BG97" i="42" s="1"/>
  <c r="BC97" i="42"/>
  <c r="BD97" i="42"/>
  <c r="BE97" i="42"/>
  <c r="BF97" i="42"/>
  <c r="BH97" i="42"/>
  <c r="BI97" i="42"/>
  <c r="BJ97" i="42"/>
  <c r="BK97" i="42"/>
  <c r="BL97" i="42"/>
  <c r="BM97" i="42"/>
  <c r="BN97" i="42"/>
  <c r="BO97" i="42"/>
  <c r="AS98" i="42"/>
  <c r="BG98" i="42" s="1"/>
  <c r="BC98" i="42"/>
  <c r="BD98" i="42"/>
  <c r="BE98" i="42"/>
  <c r="BF98" i="42"/>
  <c r="BH98" i="42"/>
  <c r="BI98" i="42"/>
  <c r="BJ98" i="42"/>
  <c r="BK98" i="42"/>
  <c r="BL98" i="42"/>
  <c r="BM98" i="42"/>
  <c r="BN98" i="42"/>
  <c r="BO98" i="42"/>
  <c r="AS99" i="42"/>
  <c r="BC99" i="42"/>
  <c r="BD99" i="42"/>
  <c r="BE99" i="42"/>
  <c r="BF99" i="42"/>
  <c r="BH99" i="42"/>
  <c r="BI99" i="42"/>
  <c r="BJ99" i="42"/>
  <c r="BK99" i="42"/>
  <c r="BL99" i="42"/>
  <c r="BM99" i="42"/>
  <c r="BN99" i="42"/>
  <c r="BO99" i="42"/>
  <c r="AS100" i="42"/>
  <c r="BG100" i="42" s="1"/>
  <c r="BC100" i="42"/>
  <c r="BD100" i="42"/>
  <c r="BE100" i="42"/>
  <c r="BF100" i="42"/>
  <c r="BH100" i="42"/>
  <c r="BI100" i="42"/>
  <c r="BJ100" i="42"/>
  <c r="BK100" i="42"/>
  <c r="BL100" i="42"/>
  <c r="BM100" i="42"/>
  <c r="BN100" i="42"/>
  <c r="BO100" i="42"/>
  <c r="AS101" i="42"/>
  <c r="BG101" i="42" s="1"/>
  <c r="BC101" i="42"/>
  <c r="BD101" i="42"/>
  <c r="BE101" i="42"/>
  <c r="BF101" i="42"/>
  <c r="BH101" i="42"/>
  <c r="BI101" i="42"/>
  <c r="BJ101" i="42"/>
  <c r="BK101" i="42"/>
  <c r="BL101" i="42"/>
  <c r="BM101" i="42"/>
  <c r="BN101" i="42"/>
  <c r="BO101" i="42"/>
  <c r="AS102" i="42"/>
  <c r="BG102" i="42" s="1"/>
  <c r="BC102" i="42"/>
  <c r="BD102" i="42"/>
  <c r="BE102" i="42"/>
  <c r="BF102" i="42"/>
  <c r="BH102" i="42"/>
  <c r="BI102" i="42"/>
  <c r="BJ102" i="42"/>
  <c r="BK102" i="42"/>
  <c r="BL102" i="42"/>
  <c r="BM102" i="42"/>
  <c r="BN102" i="42"/>
  <c r="BO102" i="42"/>
  <c r="AS103" i="42"/>
  <c r="BG103" i="42" s="1"/>
  <c r="BC103" i="42"/>
  <c r="BD103" i="42"/>
  <c r="BE103" i="42"/>
  <c r="BF103" i="42"/>
  <c r="BH103" i="42"/>
  <c r="BI103" i="42"/>
  <c r="BJ103" i="42"/>
  <c r="BK103" i="42"/>
  <c r="BL103" i="42"/>
  <c r="BM103" i="42"/>
  <c r="BN103" i="42"/>
  <c r="BO103" i="42"/>
  <c r="AS104" i="42"/>
  <c r="BG104" i="42" s="1"/>
  <c r="BC104" i="42"/>
  <c r="BD104" i="42"/>
  <c r="BE104" i="42"/>
  <c r="BF104" i="42"/>
  <c r="BH104" i="42"/>
  <c r="BI104" i="42"/>
  <c r="BJ104" i="42"/>
  <c r="BK104" i="42"/>
  <c r="BL104" i="42"/>
  <c r="BM104" i="42"/>
  <c r="BN104" i="42"/>
  <c r="BO104" i="42"/>
  <c r="AS105" i="42"/>
  <c r="BG105" i="42" s="1"/>
  <c r="BC105" i="42"/>
  <c r="BD105" i="42"/>
  <c r="BE105" i="42"/>
  <c r="BF105" i="42"/>
  <c r="BH105" i="42"/>
  <c r="BI105" i="42"/>
  <c r="BJ105" i="42"/>
  <c r="BK105" i="42"/>
  <c r="BL105" i="42"/>
  <c r="BM105" i="42"/>
  <c r="BN105" i="42"/>
  <c r="BO105" i="42"/>
  <c r="AS106" i="42"/>
  <c r="BG106" i="42" s="1"/>
  <c r="BC106" i="42"/>
  <c r="BD106" i="42"/>
  <c r="BE106" i="42"/>
  <c r="BF106" i="42"/>
  <c r="BH106" i="42"/>
  <c r="BI106" i="42"/>
  <c r="BJ106" i="42"/>
  <c r="BK106" i="42"/>
  <c r="BL106" i="42"/>
  <c r="BM106" i="42"/>
  <c r="BN106" i="42"/>
  <c r="BO106" i="42"/>
  <c r="AS107" i="42"/>
  <c r="BG107" i="42" s="1"/>
  <c r="BC107" i="42"/>
  <c r="BD107" i="42"/>
  <c r="BE107" i="42"/>
  <c r="BF107" i="42"/>
  <c r="BH107" i="42"/>
  <c r="BI107" i="42"/>
  <c r="BJ107" i="42"/>
  <c r="BK107" i="42"/>
  <c r="BL107" i="42"/>
  <c r="BM107" i="42"/>
  <c r="BN107" i="42"/>
  <c r="BO107" i="42"/>
  <c r="AS108" i="42"/>
  <c r="BG108" i="42" s="1"/>
  <c r="BC108" i="42"/>
  <c r="BD108" i="42"/>
  <c r="BE108" i="42"/>
  <c r="BF108" i="42"/>
  <c r="BH108" i="42"/>
  <c r="BI108" i="42"/>
  <c r="BJ108" i="42"/>
  <c r="BK108" i="42"/>
  <c r="BL108" i="42"/>
  <c r="BM108" i="42"/>
  <c r="BN108" i="42"/>
  <c r="BO108" i="42"/>
  <c r="BM265" i="42" l="1"/>
  <c r="BG169" i="42"/>
  <c r="BL278" i="42"/>
  <c r="BL295" i="42"/>
  <c r="BD265" i="42"/>
  <c r="BD282" i="42"/>
  <c r="BD274" i="42"/>
  <c r="BD291" i="42"/>
  <c r="BE266" i="42"/>
  <c r="BE283" i="42"/>
  <c r="BD266" i="42"/>
  <c r="BD283" i="42"/>
  <c r="AS277" i="42"/>
  <c r="BG294" i="42" s="1"/>
  <c r="BH294" i="42"/>
  <c r="BN265" i="42"/>
  <c r="BN282" i="42"/>
  <c r="BN279" i="42"/>
  <c r="BN296" i="42"/>
  <c r="BD267" i="42"/>
  <c r="BD284" i="42"/>
  <c r="BF265" i="42"/>
  <c r="BF282" i="42"/>
  <c r="BC274" i="42"/>
  <c r="BC291" i="42"/>
  <c r="BM278" i="42"/>
  <c r="BM295" i="42"/>
  <c r="BC275" i="42"/>
  <c r="BC292" i="42"/>
  <c r="BC267" i="42"/>
  <c r="BC284" i="42"/>
  <c r="BG179" i="42"/>
  <c r="BG164" i="42"/>
  <c r="BG142" i="42"/>
  <c r="BG182" i="42"/>
  <c r="BG252" i="42"/>
  <c r="BG203" i="42"/>
  <c r="BG269" i="42"/>
  <c r="BG267" i="42"/>
  <c r="BG192" i="42"/>
  <c r="BG166" i="42"/>
  <c r="BG159" i="42"/>
  <c r="BG133" i="42"/>
  <c r="BG116" i="42"/>
  <c r="BG210" i="42"/>
  <c r="BG259" i="42"/>
  <c r="BN248" i="42"/>
  <c r="BG235" i="42"/>
  <c r="BG225" i="42"/>
  <c r="BD231" i="42"/>
  <c r="BG153" i="42"/>
  <c r="BG145" i="42"/>
  <c r="BG118" i="42"/>
  <c r="BG148" i="42"/>
  <c r="BG158" i="42"/>
  <c r="BD232" i="42"/>
  <c r="BG163" i="42"/>
  <c r="BG271" i="42"/>
  <c r="BG256" i="42"/>
  <c r="BG249" i="42"/>
  <c r="BG208" i="42"/>
  <c r="BG200" i="42"/>
  <c r="BG156" i="42"/>
  <c r="BG151" i="42"/>
  <c r="BG218" i="42"/>
  <c r="BG131" i="42"/>
  <c r="BG204" i="42"/>
  <c r="BG209" i="42"/>
  <c r="BG233" i="42"/>
  <c r="BG228" i="42"/>
  <c r="BG207" i="42"/>
  <c r="BG184" i="42"/>
  <c r="BG149" i="42"/>
  <c r="BG136" i="42"/>
  <c r="BG239" i="42"/>
  <c r="BN165" i="42"/>
  <c r="BG255" i="42"/>
  <c r="BF248" i="42"/>
  <c r="BG245" i="42"/>
  <c r="BG237" i="42"/>
  <c r="BG216" i="42"/>
  <c r="BG188" i="42"/>
  <c r="BG180" i="42"/>
  <c r="BG162" i="42"/>
  <c r="BG157" i="42"/>
  <c r="BG152" i="42"/>
  <c r="BG115" i="42"/>
  <c r="BG198" i="42"/>
  <c r="BG220" i="42"/>
  <c r="BG138" i="42"/>
  <c r="BG242" i="42"/>
  <c r="BG234" i="42"/>
  <c r="BG223" i="42"/>
  <c r="BG258" i="42"/>
  <c r="BG253" i="42"/>
  <c r="BG250" i="42"/>
  <c r="BG240" i="42"/>
  <c r="BG221" i="42"/>
  <c r="BG191" i="42"/>
  <c r="BG155" i="42"/>
  <c r="BG217" i="42"/>
  <c r="BG266" i="42"/>
  <c r="BG261" i="42"/>
  <c r="BG243" i="42"/>
  <c r="BG224" i="42"/>
  <c r="BG176" i="42"/>
  <c r="BG129" i="42"/>
  <c r="BG276" i="42"/>
  <c r="BG238" i="42"/>
  <c r="BG279" i="42"/>
  <c r="BG273" i="42"/>
  <c r="BG270" i="42"/>
  <c r="BG257" i="42"/>
  <c r="BG219" i="42"/>
  <c r="BG202" i="42"/>
  <c r="BG128" i="42"/>
  <c r="BG112" i="42"/>
  <c r="BG120" i="42"/>
  <c r="BG187" i="42"/>
  <c r="BG113" i="42"/>
  <c r="BG268" i="42"/>
  <c r="BG183" i="42"/>
  <c r="BG173" i="42"/>
  <c r="BG140" i="42"/>
  <c r="BJ249" i="42"/>
  <c r="BG241" i="42"/>
  <c r="BG206" i="42"/>
  <c r="BG165" i="42"/>
  <c r="BG132" i="42"/>
  <c r="BG197" i="42"/>
  <c r="BG272" i="42"/>
  <c r="BC253" i="42"/>
  <c r="BG227" i="42"/>
  <c r="BG174" i="42"/>
  <c r="BG146" i="42"/>
  <c r="BG124" i="42"/>
  <c r="BG117" i="42"/>
  <c r="BG125" i="42"/>
  <c r="BG251" i="42"/>
  <c r="BG154" i="42"/>
  <c r="BG119" i="42"/>
  <c r="BO248" i="42"/>
  <c r="BG199" i="42"/>
  <c r="BG147" i="42"/>
  <c r="BG254" i="42"/>
  <c r="BL231" i="42"/>
  <c r="BJ231" i="42"/>
  <c r="BG122" i="42"/>
  <c r="BG99" i="42"/>
  <c r="BG274" i="42"/>
  <c r="BG244" i="42"/>
  <c r="BE231" i="42"/>
  <c r="BG186" i="42"/>
  <c r="BG170" i="42"/>
  <c r="BG185" i="42"/>
  <c r="BG205" i="42"/>
  <c r="BG260" i="42"/>
  <c r="BG114" i="42"/>
  <c r="BG262" i="42"/>
  <c r="BG215" i="42"/>
  <c r="BG111" i="42"/>
  <c r="BG278" i="42"/>
  <c r="BH277" i="42"/>
  <c r="AS265" i="42"/>
  <c r="BG236" i="42"/>
  <c r="BG190" i="42"/>
  <c r="BG172" i="42"/>
  <c r="BG150" i="42"/>
  <c r="BG123" i="42"/>
  <c r="BG141" i="42"/>
  <c r="BG137" i="42"/>
  <c r="BG135" i="42"/>
  <c r="BG121" i="42"/>
  <c r="BG139" i="42"/>
  <c r="BH265" i="42"/>
  <c r="BG275" i="42"/>
  <c r="BI248" i="42"/>
  <c r="BG232" i="42"/>
  <c r="BH248" i="42"/>
  <c r="BN155" i="42"/>
  <c r="AS231" i="42"/>
  <c r="BG226" i="42"/>
  <c r="BG222" i="42"/>
  <c r="BG214" i="42"/>
  <c r="BG181" i="42"/>
  <c r="BG175" i="42"/>
  <c r="BG134" i="42"/>
  <c r="BG130" i="42"/>
  <c r="BO261" i="42"/>
  <c r="BG193" i="42"/>
  <c r="BG189" i="42"/>
  <c r="BG171" i="42"/>
  <c r="BG167" i="42"/>
  <c r="BK248" i="42"/>
  <c r="BG201" i="42"/>
  <c r="BG168" i="42"/>
  <c r="BG277" i="42" l="1"/>
  <c r="BG265" i="42"/>
  <c r="BG282" i="42"/>
  <c r="BG248" i="42"/>
  <c r="BG231" i="42"/>
  <c r="AH10" i="12" l="1"/>
  <c r="AC10" i="12" s="1"/>
  <c r="AH11" i="12"/>
  <c r="AC11" i="12" s="1"/>
  <c r="AH12" i="12"/>
  <c r="AC12" i="12" s="1"/>
  <c r="AH13" i="12"/>
  <c r="AC13" i="12" s="1"/>
  <c r="B8" i="13"/>
  <c r="J99" i="12" l="1"/>
  <c r="J48" i="12"/>
  <c r="J79" i="12"/>
  <c r="AD13" i="12"/>
  <c r="AD11" i="12"/>
  <c r="AD10" i="12"/>
  <c r="AD12" i="12"/>
  <c r="AD7" i="7" l="1"/>
  <c r="AE13" i="12"/>
  <c r="AE12" i="12"/>
  <c r="AE11" i="12"/>
  <c r="AE10" i="12"/>
  <c r="AT13" i="12" l="1"/>
  <c r="AT12" i="12"/>
  <c r="AT11" i="12"/>
  <c r="AT10" i="12"/>
  <c r="AT9" i="12"/>
  <c r="AT8" i="12"/>
  <c r="AT7" i="12"/>
  <c r="AT6" i="12"/>
  <c r="AT5" i="12"/>
  <c r="AT4" i="12"/>
  <c r="AT3" i="12"/>
  <c r="AT2" i="12"/>
  <c r="BU13" i="12"/>
  <c r="BU12" i="12"/>
  <c r="BU11" i="12"/>
  <c r="BU10" i="12"/>
  <c r="AW21" i="12"/>
  <c r="A1" i="7"/>
  <c r="I9" i="7" a="1"/>
  <c r="I9" i="7" l="1"/>
  <c r="AH9" i="12"/>
  <c r="AH8" i="12"/>
  <c r="AH7" i="12"/>
  <c r="AH6" i="12"/>
  <c r="AH5" i="12"/>
  <c r="AH4" i="12"/>
  <c r="AH3" i="12"/>
  <c r="AH2" i="12"/>
  <c r="W9" i="7"/>
  <c r="AC7" i="12" l="1"/>
  <c r="BU7" i="12" s="1"/>
  <c r="AC9" i="12"/>
  <c r="BU9" i="12" s="1"/>
  <c r="AC3" i="12"/>
  <c r="BU3" i="12" s="1"/>
  <c r="AC4" i="12"/>
  <c r="BU4" i="12" s="1"/>
  <c r="AC5" i="12"/>
  <c r="BU5" i="12" s="1"/>
  <c r="AC6" i="12"/>
  <c r="BU6" i="12" s="1"/>
  <c r="AC8" i="12"/>
  <c r="BU8" i="12" s="1"/>
  <c r="AC2" i="12"/>
  <c r="BU2" i="12" s="1"/>
  <c r="E9" i="27"/>
  <c r="B14" i="27"/>
  <c r="B30" i="27"/>
  <c r="E12" i="27"/>
  <c r="E11" i="27"/>
  <c r="E5" i="27"/>
  <c r="B4" i="26"/>
  <c r="B5" i="26" s="1"/>
  <c r="B6" i="26" s="1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AD9" i="12"/>
  <c r="T4" i="26"/>
  <c r="AD3" i="12"/>
  <c r="B9" i="27"/>
  <c r="S9" i="26"/>
  <c r="AD5" i="12"/>
  <c r="S7" i="26"/>
  <c r="T12" i="26"/>
  <c r="S8" i="26"/>
  <c r="T10" i="26"/>
  <c r="T9" i="26"/>
  <c r="T5" i="26"/>
  <c r="AD8" i="12"/>
  <c r="T7" i="26"/>
  <c r="AD4" i="12"/>
  <c r="S13" i="26"/>
  <c r="T8" i="26"/>
  <c r="T3" i="26"/>
  <c r="T2" i="26"/>
  <c r="AD2" i="12"/>
  <c r="T6" i="26"/>
  <c r="S2" i="26"/>
  <c r="T13" i="26"/>
  <c r="T11" i="26"/>
  <c r="AD6" i="12"/>
  <c r="S4" i="26"/>
  <c r="S3" i="26"/>
  <c r="S5" i="26"/>
  <c r="S12" i="26"/>
  <c r="AD7" i="12"/>
  <c r="S6" i="26"/>
  <c r="S11" i="26"/>
  <c r="S10" i="26"/>
  <c r="C116" i="12" l="1"/>
  <c r="S116" i="12" s="1"/>
  <c r="C115" i="12"/>
  <c r="S115" i="12" s="1"/>
  <c r="C114" i="12"/>
  <c r="S114" i="12" s="1"/>
  <c r="C113" i="12"/>
  <c r="S113" i="12" s="1"/>
  <c r="C112" i="12"/>
  <c r="S112" i="12" s="1"/>
  <c r="C111" i="12"/>
  <c r="S111" i="12" s="1"/>
  <c r="A123" i="12"/>
  <c r="AE9" i="12"/>
  <c r="A120" i="12"/>
  <c r="AE7" i="12"/>
  <c r="AE2" i="12"/>
  <c r="AE5" i="12"/>
  <c r="AE4" i="12"/>
  <c r="A119" i="12"/>
  <c r="AE8" i="12"/>
  <c r="AE6" i="12"/>
  <c r="A121" i="12"/>
  <c r="A124" i="12"/>
  <c r="AE3" i="12"/>
  <c r="A118" i="12"/>
  <c r="A122" i="12"/>
  <c r="A117" i="12"/>
  <c r="F19" i="27" l="1"/>
  <c r="T128" i="12"/>
  <c r="T111" i="12"/>
  <c r="T112" i="12"/>
  <c r="T139" i="12"/>
  <c r="B121" i="12"/>
  <c r="B122" i="12"/>
  <c r="T138" i="12"/>
  <c r="B124" i="12"/>
  <c r="T114" i="12"/>
  <c r="T132" i="12"/>
  <c r="B123" i="12"/>
  <c r="T113" i="12"/>
  <c r="T134" i="12"/>
  <c r="T116" i="12"/>
  <c r="T126" i="12"/>
  <c r="T115" i="12"/>
  <c r="T129" i="12"/>
  <c r="T137" i="12"/>
  <c r="T136" i="12"/>
  <c r="B119" i="12"/>
  <c r="B117" i="12"/>
  <c r="T125" i="12"/>
  <c r="T127" i="12"/>
  <c r="T135" i="12"/>
  <c r="T140" i="12"/>
  <c r="T131" i="12"/>
  <c r="T130" i="12"/>
  <c r="T133" i="12"/>
  <c r="B120" i="12"/>
  <c r="B118" i="12"/>
  <c r="B10" i="27"/>
  <c r="B4" i="11" l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D138" i="12"/>
  <c r="D116" i="12"/>
  <c r="D126" i="12"/>
  <c r="D133" i="12"/>
  <c r="D135" i="12"/>
  <c r="D128" i="12"/>
  <c r="D129" i="12"/>
  <c r="A116" i="12"/>
  <c r="D112" i="12"/>
  <c r="D113" i="12"/>
  <c r="E28" i="13"/>
  <c r="D127" i="12"/>
  <c r="D139" i="12"/>
  <c r="D137" i="12"/>
  <c r="D140" i="12"/>
  <c r="D114" i="12"/>
  <c r="D131" i="12"/>
  <c r="D115" i="12"/>
  <c r="B18" i="13"/>
  <c r="D130" i="12"/>
  <c r="D132" i="12"/>
  <c r="D136" i="12"/>
  <c r="E18" i="13"/>
  <c r="D125" i="12"/>
  <c r="D134" i="12"/>
  <c r="D111" i="12"/>
  <c r="J127" i="12" l="1"/>
  <c r="J140" i="12"/>
  <c r="J138" i="12"/>
  <c r="J136" i="12"/>
  <c r="J134" i="12"/>
  <c r="J132" i="12"/>
  <c r="J130" i="12"/>
  <c r="J128" i="12"/>
  <c r="J126" i="12"/>
  <c r="J137" i="12"/>
  <c r="J135" i="12"/>
  <c r="J133" i="12"/>
  <c r="J131" i="12"/>
  <c r="J125" i="12"/>
  <c r="J139" i="12"/>
  <c r="J129" i="12"/>
  <c r="AO16" i="12"/>
  <c r="AO12" i="12"/>
  <c r="AO8" i="12"/>
  <c r="AO4" i="12"/>
  <c r="AO15" i="12"/>
  <c r="AO11" i="12"/>
  <c r="AO7" i="12"/>
  <c r="AO3" i="12"/>
  <c r="AO14" i="12"/>
  <c r="AO10" i="12"/>
  <c r="AO6" i="12"/>
  <c r="AO2" i="12"/>
  <c r="AO13" i="12"/>
  <c r="AO9" i="12"/>
  <c r="AO5" i="12"/>
  <c r="N38" i="22"/>
  <c r="H18" i="22"/>
  <c r="H12" i="22"/>
  <c r="A114" i="12"/>
  <c r="AS15" i="12"/>
  <c r="AS14" i="12"/>
  <c r="AF10" i="12"/>
  <c r="B116" i="12"/>
  <c r="A111" i="12"/>
  <c r="E29" i="13"/>
  <c r="AF11" i="12"/>
  <c r="A115" i="12"/>
  <c r="B19" i="13"/>
  <c r="AF13" i="12"/>
  <c r="AS16" i="12"/>
  <c r="A113" i="12"/>
  <c r="AF12" i="12"/>
  <c r="AF16" i="12"/>
  <c r="A112" i="12"/>
  <c r="AF15" i="12"/>
  <c r="AF14" i="12"/>
  <c r="B32" i="13" l="1"/>
  <c r="CU10" i="12"/>
  <c r="AW16" i="12"/>
  <c r="AG15" i="12"/>
  <c r="AX16" i="12"/>
  <c r="CT15" i="12"/>
  <c r="AG13" i="12"/>
  <c r="CU14" i="12"/>
  <c r="AX11" i="12"/>
  <c r="AW12" i="12"/>
  <c r="AX10" i="12"/>
  <c r="CT14" i="12"/>
  <c r="CU11" i="12"/>
  <c r="CU16" i="12"/>
  <c r="AX15" i="12"/>
  <c r="AW14" i="12"/>
  <c r="AG16" i="12"/>
  <c r="AW10" i="12"/>
  <c r="AX12" i="12"/>
  <c r="CT16" i="12"/>
  <c r="B113" i="12"/>
  <c r="AG11" i="12"/>
  <c r="B114" i="12"/>
  <c r="CU12" i="12"/>
  <c r="CU13" i="12"/>
  <c r="B112" i="12"/>
  <c r="AW11" i="12"/>
  <c r="AG14" i="12"/>
  <c r="AG10" i="12"/>
  <c r="AX14" i="12"/>
  <c r="AW13" i="12"/>
  <c r="B115" i="12"/>
  <c r="CU15" i="12"/>
  <c r="B111" i="12"/>
  <c r="AX13" i="12"/>
  <c r="AG12" i="12"/>
  <c r="AW15" i="12"/>
  <c r="DJ15" i="12" l="1"/>
  <c r="DK15" i="12"/>
  <c r="DJ14" i="12"/>
  <c r="DJ16" i="12"/>
  <c r="DK14" i="12"/>
  <c r="DK16" i="12"/>
  <c r="AW36" i="12"/>
  <c r="AM36" i="12" s="1"/>
  <c r="AW35" i="12"/>
  <c r="AM35" i="12" s="1"/>
  <c r="AW37" i="12"/>
  <c r="AM37" i="12" s="1"/>
  <c r="CQ16" i="12"/>
  <c r="DG15" i="12"/>
  <c r="DG14" i="12"/>
  <c r="DG16" i="12"/>
  <c r="E19" i="13"/>
  <c r="CQ14" i="12"/>
  <c r="CQ15" i="12"/>
  <c r="BN15" i="12" l="1"/>
  <c r="CE15" i="12"/>
  <c r="BN14" i="12"/>
  <c r="BN16" i="12"/>
  <c r="CE16" i="12"/>
  <c r="CE14" i="12"/>
  <c r="BI14" i="12"/>
  <c r="BZ16" i="12"/>
  <c r="BI16" i="12"/>
  <c r="BI15" i="12"/>
  <c r="DH16" i="12"/>
  <c r="DH14" i="12"/>
  <c r="BZ15" i="12"/>
  <c r="DH15" i="12"/>
  <c r="BZ14" i="12"/>
  <c r="CR16" i="12"/>
  <c r="CR15" i="12"/>
  <c r="CR14" i="12"/>
  <c r="O2" i="12" l="1"/>
  <c r="AZ14" i="12"/>
  <c r="BA15" i="12"/>
  <c r="AZ16" i="12"/>
  <c r="BJ14" i="12"/>
  <c r="BA16" i="12"/>
  <c r="AZ15" i="12"/>
  <c r="BJ16" i="12"/>
  <c r="BA14" i="12"/>
  <c r="BJ15" i="12"/>
  <c r="CA16" i="12"/>
  <c r="CA14" i="12"/>
  <c r="CA15" i="12"/>
  <c r="BJ19" i="12" l="1"/>
  <c r="O3" i="12"/>
  <c r="O4" i="12"/>
  <c r="O5" i="12"/>
  <c r="O6" i="12"/>
  <c r="O7" i="12"/>
  <c r="O8" i="12"/>
  <c r="O9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S10" i="15"/>
  <c r="S9" i="15"/>
  <c r="S11" i="15"/>
  <c r="S4" i="15"/>
  <c r="T8" i="15"/>
  <c r="S2" i="15"/>
  <c r="T9" i="15"/>
  <c r="T5" i="15"/>
  <c r="S12" i="15"/>
  <c r="T11" i="15"/>
  <c r="T7" i="15"/>
  <c r="S3" i="15"/>
  <c r="S8" i="15"/>
  <c r="T12" i="15"/>
  <c r="S6" i="15"/>
  <c r="T6" i="15"/>
  <c r="T4" i="15"/>
  <c r="S7" i="15"/>
  <c r="S13" i="15"/>
  <c r="T10" i="15"/>
  <c r="T3" i="15"/>
  <c r="S5" i="15"/>
  <c r="T13" i="15"/>
  <c r="T2" i="15"/>
  <c r="A3" i="15" l="1" a="1"/>
  <c r="A3" i="15" s="1"/>
  <c r="C47" i="12"/>
  <c r="S47" i="12" s="1"/>
  <c r="S48" i="12" s="1"/>
  <c r="C46" i="12"/>
  <c r="S46" i="12" s="1"/>
  <c r="C45" i="12"/>
  <c r="S45" i="12" s="1"/>
  <c r="C44" i="12"/>
  <c r="S44" i="12" s="1"/>
  <c r="C43" i="12"/>
  <c r="S43" i="12" s="1"/>
  <c r="C42" i="12"/>
  <c r="S42" i="12" s="1"/>
  <c r="C41" i="12"/>
  <c r="S41" i="12" s="1"/>
  <c r="C40" i="12"/>
  <c r="S40" i="12" s="1"/>
  <c r="C39" i="12"/>
  <c r="S39" i="12" s="1"/>
  <c r="C38" i="12"/>
  <c r="S38" i="12" s="1"/>
  <c r="C37" i="12"/>
  <c r="S37" i="12" s="1"/>
  <c r="C36" i="12"/>
  <c r="S36" i="12" s="1"/>
  <c r="C35" i="12"/>
  <c r="S35" i="12" s="1"/>
  <c r="C34" i="12"/>
  <c r="S34" i="12" s="1"/>
  <c r="C33" i="12"/>
  <c r="S33" i="12" s="1"/>
  <c r="C32" i="12"/>
  <c r="S32" i="12" s="1"/>
  <c r="C31" i="12"/>
  <c r="S31" i="12" s="1"/>
  <c r="C30" i="12"/>
  <c r="S30" i="12" s="1"/>
  <c r="C29" i="12"/>
  <c r="S29" i="12" s="1"/>
  <c r="C28" i="12"/>
  <c r="S28" i="12" s="1"/>
  <c r="C27" i="12"/>
  <c r="S27" i="12" s="1"/>
  <c r="C26" i="12"/>
  <c r="S26" i="12" s="1"/>
  <c r="C25" i="12"/>
  <c r="S25" i="12" s="1"/>
  <c r="C24" i="12"/>
  <c r="S24" i="12" s="1"/>
  <c r="C23" i="12"/>
  <c r="S23" i="12" s="1"/>
  <c r="C22" i="12"/>
  <c r="S22" i="12" s="1"/>
  <c r="C21" i="12"/>
  <c r="S21" i="12" s="1"/>
  <c r="C20" i="12"/>
  <c r="S20" i="12" s="1"/>
  <c r="C19" i="12"/>
  <c r="S19" i="12" s="1"/>
  <c r="C18" i="12"/>
  <c r="S18" i="12" s="1"/>
  <c r="C17" i="12"/>
  <c r="S17" i="12" s="1"/>
  <c r="C9" i="12"/>
  <c r="S9" i="12" s="1"/>
  <c r="C8" i="12"/>
  <c r="S8" i="12" s="1"/>
  <c r="C7" i="12"/>
  <c r="S7" i="12" s="1"/>
  <c r="C6" i="12"/>
  <c r="S6" i="12" s="1"/>
  <c r="C5" i="12"/>
  <c r="S5" i="12" s="1"/>
  <c r="C4" i="12"/>
  <c r="S4" i="12" s="1"/>
  <c r="C3" i="12"/>
  <c r="S3" i="12" s="1"/>
  <c r="C2" i="12"/>
  <c r="S2" i="12" s="1"/>
  <c r="T41" i="12"/>
  <c r="T22" i="12"/>
  <c r="T40" i="12"/>
  <c r="T17" i="12"/>
  <c r="T25" i="12"/>
  <c r="T26" i="12"/>
  <c r="T2" i="12"/>
  <c r="T39" i="12"/>
  <c r="T31" i="12"/>
  <c r="T32" i="12"/>
  <c r="T29" i="12"/>
  <c r="T4" i="12"/>
  <c r="T47" i="12"/>
  <c r="T38" i="12"/>
  <c r="T42" i="12"/>
  <c r="T7" i="12"/>
  <c r="T19" i="12"/>
  <c r="T33" i="12"/>
  <c r="T45" i="12"/>
  <c r="T35" i="12"/>
  <c r="T43" i="12"/>
  <c r="T34" i="12"/>
  <c r="T30" i="12"/>
  <c r="T8" i="12"/>
  <c r="T27" i="12"/>
  <c r="T46" i="12"/>
  <c r="T44" i="12"/>
  <c r="T21" i="12"/>
  <c r="T48" i="12"/>
  <c r="T6" i="12"/>
  <c r="T36" i="12"/>
  <c r="T23" i="12"/>
  <c r="T37" i="12"/>
  <c r="T24" i="12"/>
  <c r="T18" i="12"/>
  <c r="T3" i="12"/>
  <c r="T9" i="12"/>
  <c r="T28" i="12"/>
  <c r="T20" i="12"/>
  <c r="T5" i="12"/>
  <c r="A49" i="3" l="1"/>
  <c r="A9" i="15"/>
  <c r="A4" i="15"/>
  <c r="A42" i="15"/>
  <c r="A18" i="15"/>
  <c r="A26" i="15"/>
  <c r="A21" i="15"/>
  <c r="A44" i="15"/>
  <c r="A30" i="15"/>
  <c r="A43" i="15"/>
  <c r="A41" i="15"/>
  <c r="A17" i="15"/>
  <c r="A45" i="15"/>
  <c r="A35" i="15"/>
  <c r="A33" i="15"/>
  <c r="A31" i="15"/>
  <c r="A8" i="15"/>
  <c r="A7" i="15"/>
  <c r="A36" i="15"/>
  <c r="A40" i="15"/>
  <c r="A48" i="15"/>
  <c r="A15" i="15"/>
  <c r="A22" i="15"/>
  <c r="A27" i="15"/>
  <c r="A37" i="15"/>
  <c r="A32" i="15"/>
  <c r="A39" i="15"/>
  <c r="A46" i="15"/>
  <c r="A28" i="15"/>
  <c r="A11" i="15"/>
  <c r="A16" i="15"/>
  <c r="A13" i="15"/>
  <c r="A14" i="15"/>
  <c r="A47" i="15"/>
  <c r="A34" i="15"/>
  <c r="A38" i="15"/>
  <c r="A5" i="15"/>
  <c r="A6" i="15"/>
  <c r="A12" i="15"/>
  <c r="A20" i="15"/>
  <c r="A24" i="15"/>
  <c r="A19" i="15"/>
  <c r="A25" i="15"/>
  <c r="A23" i="15"/>
  <c r="A29" i="15"/>
  <c r="A10" i="15"/>
  <c r="C98" i="12"/>
  <c r="S98" i="12" s="1"/>
  <c r="S99" i="12" s="1"/>
  <c r="C97" i="12"/>
  <c r="S97" i="12" s="1"/>
  <c r="C96" i="12"/>
  <c r="S96" i="12" s="1"/>
  <c r="C95" i="12"/>
  <c r="S95" i="12" s="1"/>
  <c r="C94" i="12"/>
  <c r="S94" i="12" s="1"/>
  <c r="C93" i="12"/>
  <c r="S93" i="12" s="1"/>
  <c r="C92" i="12"/>
  <c r="S92" i="12" s="1"/>
  <c r="C91" i="12"/>
  <c r="S91" i="12" s="1"/>
  <c r="C90" i="12"/>
  <c r="S90" i="12" s="1"/>
  <c r="C89" i="12"/>
  <c r="S89" i="12" s="1"/>
  <c r="C88" i="12"/>
  <c r="S88" i="12" s="1"/>
  <c r="C87" i="12"/>
  <c r="S87" i="12" s="1"/>
  <c r="C86" i="12"/>
  <c r="S86" i="12" s="1"/>
  <c r="C85" i="12"/>
  <c r="S85" i="12" s="1"/>
  <c r="C84" i="12"/>
  <c r="S84" i="12" s="1"/>
  <c r="C83" i="12"/>
  <c r="S83" i="12" s="1"/>
  <c r="C82" i="12"/>
  <c r="S82" i="12" s="1"/>
  <c r="C81" i="12"/>
  <c r="S81" i="12" s="1"/>
  <c r="C80" i="12"/>
  <c r="S80" i="12" s="1"/>
  <c r="C79" i="12"/>
  <c r="S79" i="12" s="1"/>
  <c r="C78" i="12"/>
  <c r="S78" i="12" s="1"/>
  <c r="C77" i="12"/>
  <c r="S77" i="12" s="1"/>
  <c r="C76" i="12"/>
  <c r="S76" i="12" s="1"/>
  <c r="C75" i="12"/>
  <c r="S75" i="12" s="1"/>
  <c r="C74" i="12"/>
  <c r="S74" i="12" s="1"/>
  <c r="C73" i="12"/>
  <c r="S73" i="12" s="1"/>
  <c r="C72" i="12"/>
  <c r="S72" i="12" s="1"/>
  <c r="C71" i="12"/>
  <c r="S71" i="12" s="1"/>
  <c r="C70" i="12"/>
  <c r="S70" i="12" s="1"/>
  <c r="C69" i="12"/>
  <c r="S69" i="12" s="1"/>
  <c r="C68" i="12"/>
  <c r="S68" i="12" s="1"/>
  <c r="C67" i="12"/>
  <c r="S67" i="12" s="1"/>
  <c r="C66" i="12"/>
  <c r="S66" i="12" s="1"/>
  <c r="C65" i="12"/>
  <c r="S65" i="12" s="1"/>
  <c r="C64" i="12"/>
  <c r="S64" i="12" s="1"/>
  <c r="C63" i="12"/>
  <c r="S63" i="12" s="1"/>
  <c r="C62" i="12"/>
  <c r="S62" i="12" s="1"/>
  <c r="D47" i="12"/>
  <c r="S5" i="11"/>
  <c r="D9" i="12"/>
  <c r="A10" i="12"/>
  <c r="D29" i="12"/>
  <c r="A11" i="12"/>
  <c r="T11" i="11"/>
  <c r="D30" i="12"/>
  <c r="S4" i="14"/>
  <c r="S5" i="14"/>
  <c r="D2" i="12"/>
  <c r="S9" i="14"/>
  <c r="D8" i="12"/>
  <c r="T9" i="14"/>
  <c r="T11" i="14"/>
  <c r="N13" i="12"/>
  <c r="N11" i="12"/>
  <c r="D39" i="12"/>
  <c r="T2" i="11"/>
  <c r="D4" i="12"/>
  <c r="D19" i="12"/>
  <c r="A12" i="12"/>
  <c r="S11" i="14"/>
  <c r="D27" i="12"/>
  <c r="D31" i="12"/>
  <c r="D43" i="12"/>
  <c r="D41" i="12"/>
  <c r="T10" i="11"/>
  <c r="D37" i="12"/>
  <c r="T96" i="12"/>
  <c r="A15" i="12"/>
  <c r="D24" i="12"/>
  <c r="N10" i="12"/>
  <c r="S3" i="11"/>
  <c r="D5" i="12"/>
  <c r="T13" i="11"/>
  <c r="N15" i="12"/>
  <c r="D28" i="12"/>
  <c r="T3" i="14"/>
  <c r="D21" i="12"/>
  <c r="D42" i="12"/>
  <c r="S3" i="14"/>
  <c r="N12" i="12"/>
  <c r="S9" i="11"/>
  <c r="N16" i="12"/>
  <c r="S7" i="11"/>
  <c r="T13" i="14"/>
  <c r="T6" i="11"/>
  <c r="D44" i="12"/>
  <c r="T9" i="11"/>
  <c r="T3" i="11"/>
  <c r="T8" i="11"/>
  <c r="S12" i="14"/>
  <c r="A16" i="12"/>
  <c r="S10" i="14"/>
  <c r="D26" i="12"/>
  <c r="D23" i="12"/>
  <c r="D33" i="12"/>
  <c r="D48" i="12"/>
  <c r="T4" i="14"/>
  <c r="S11" i="11"/>
  <c r="D35" i="12"/>
  <c r="D7" i="12"/>
  <c r="D18" i="12"/>
  <c r="A14" i="12"/>
  <c r="T99" i="12"/>
  <c r="D40" i="12"/>
  <c r="T5" i="14"/>
  <c r="D32" i="12"/>
  <c r="D36" i="12"/>
  <c r="S2" i="11"/>
  <c r="D45" i="12"/>
  <c r="A13" i="12"/>
  <c r="D46" i="12"/>
  <c r="T10" i="14"/>
  <c r="D6" i="12"/>
  <c r="N14" i="12"/>
  <c r="S13" i="14"/>
  <c r="D34" i="12"/>
  <c r="S13" i="11"/>
  <c r="S4" i="11"/>
  <c r="S2" i="14"/>
  <c r="D20" i="12"/>
  <c r="S12" i="11"/>
  <c r="D38" i="12"/>
  <c r="T12" i="14"/>
  <c r="T4" i="11"/>
  <c r="S6" i="11"/>
  <c r="S10" i="11"/>
  <c r="D22" i="12"/>
  <c r="T5" i="11"/>
  <c r="S8" i="14"/>
  <c r="D17" i="12"/>
  <c r="S7" i="14"/>
  <c r="T7" i="11"/>
  <c r="D25" i="12"/>
  <c r="T8" i="14"/>
  <c r="T6" i="14"/>
  <c r="S8" i="11"/>
  <c r="D3" i="12"/>
  <c r="T12" i="11"/>
  <c r="S6" i="14"/>
  <c r="T2" i="14"/>
  <c r="T7" i="14"/>
  <c r="B24" i="9" l="1"/>
  <c r="B30" i="3"/>
  <c r="E5" i="3"/>
  <c r="E11" i="3"/>
  <c r="E12" i="3"/>
  <c r="N3" i="12"/>
  <c r="T94" i="12"/>
  <c r="A4" i="12"/>
  <c r="T63" i="12"/>
  <c r="T70" i="12"/>
  <c r="T92" i="12"/>
  <c r="A2" i="12"/>
  <c r="A9" i="12"/>
  <c r="T81" i="12"/>
  <c r="T87" i="12"/>
  <c r="T71" i="12"/>
  <c r="T83" i="12"/>
  <c r="T73" i="12"/>
  <c r="T62" i="12"/>
  <c r="B14" i="12"/>
  <c r="A5" i="12"/>
  <c r="T91" i="12"/>
  <c r="T85" i="12"/>
  <c r="N4" i="12"/>
  <c r="T68" i="12"/>
  <c r="T77" i="12"/>
  <c r="T76" i="12"/>
  <c r="A3" i="12"/>
  <c r="T95" i="12"/>
  <c r="T84" i="12"/>
  <c r="T74" i="12"/>
  <c r="A8" i="12"/>
  <c r="T64" i="12"/>
  <c r="T97" i="12"/>
  <c r="T67" i="12"/>
  <c r="T79" i="12"/>
  <c r="T66" i="12"/>
  <c r="D99" i="12"/>
  <c r="T80" i="12"/>
  <c r="T78" i="12"/>
  <c r="T65" i="12"/>
  <c r="T90" i="12"/>
  <c r="N5" i="12"/>
  <c r="T98" i="12"/>
  <c r="N8" i="12"/>
  <c r="B13" i="12"/>
  <c r="A7" i="12"/>
  <c r="N6" i="12"/>
  <c r="N7" i="12"/>
  <c r="T75" i="12"/>
  <c r="T88" i="12"/>
  <c r="T72" i="12"/>
  <c r="T93" i="12"/>
  <c r="T86" i="12"/>
  <c r="T82" i="12"/>
  <c r="D96" i="12"/>
  <c r="N2" i="12"/>
  <c r="T89" i="12"/>
  <c r="N48" i="12"/>
  <c r="B15" i="12"/>
  <c r="T69" i="12"/>
  <c r="N9" i="12"/>
  <c r="A6" i="12"/>
  <c r="B1" i="5"/>
  <c r="J92" i="12" l="1"/>
  <c r="J84" i="12"/>
  <c r="J91" i="12"/>
  <c r="J83" i="12"/>
  <c r="J81" i="12"/>
  <c r="J88" i="12"/>
  <c r="J89" i="12"/>
  <c r="J98" i="12"/>
  <c r="J90" i="12"/>
  <c r="J82" i="12"/>
  <c r="J97" i="12"/>
  <c r="J96" i="12"/>
  <c r="J95" i="12"/>
  <c r="J87" i="12"/>
  <c r="J94" i="12"/>
  <c r="J86" i="12"/>
  <c r="J93" i="12"/>
  <c r="J85" i="12"/>
  <c r="J80" i="12"/>
  <c r="J40" i="12"/>
  <c r="J34" i="12"/>
  <c r="J45" i="12"/>
  <c r="J47" i="12"/>
  <c r="J29" i="12"/>
  <c r="J37" i="12"/>
  <c r="J44" i="12"/>
  <c r="J30" i="12"/>
  <c r="J42" i="12"/>
  <c r="J32" i="12"/>
  <c r="J39" i="12"/>
  <c r="J35" i="12"/>
  <c r="J41" i="12"/>
  <c r="J33" i="12"/>
  <c r="J46" i="12"/>
  <c r="J38" i="12"/>
  <c r="J28" i="12"/>
  <c r="J36" i="12"/>
  <c r="J43" i="12"/>
  <c r="J31" i="12"/>
  <c r="J23" i="12"/>
  <c r="J22" i="12"/>
  <c r="J21" i="12"/>
  <c r="J20" i="12"/>
  <c r="J27" i="12"/>
  <c r="J19" i="12"/>
  <c r="J26" i="12"/>
  <c r="J18" i="12"/>
  <c r="J25" i="12"/>
  <c r="J17" i="12"/>
  <c r="J24" i="12"/>
  <c r="B21" i="4"/>
  <c r="B13" i="9"/>
  <c r="B6" i="9"/>
  <c r="B5" i="9"/>
  <c r="B12" i="5"/>
  <c r="D87" i="12"/>
  <c r="B4" i="12"/>
  <c r="D77" i="12"/>
  <c r="D85" i="12"/>
  <c r="D68" i="12"/>
  <c r="D76" i="12"/>
  <c r="N29" i="12"/>
  <c r="B5" i="12"/>
  <c r="N36" i="12"/>
  <c r="N31" i="12"/>
  <c r="B9" i="12"/>
  <c r="D64" i="12"/>
  <c r="N44" i="12"/>
  <c r="D72" i="12"/>
  <c r="AF3" i="12"/>
  <c r="D86" i="12"/>
  <c r="N42" i="12"/>
  <c r="B2" i="5"/>
  <c r="D70" i="12"/>
  <c r="N41" i="12"/>
  <c r="N45" i="12"/>
  <c r="N30" i="12"/>
  <c r="D69" i="12"/>
  <c r="D67" i="12"/>
  <c r="D94" i="12"/>
  <c r="D95" i="12"/>
  <c r="D82" i="12"/>
  <c r="N46" i="12"/>
  <c r="N27" i="12"/>
  <c r="AS10" i="12"/>
  <c r="N38" i="12"/>
  <c r="B7" i="12"/>
  <c r="N18" i="12"/>
  <c r="N19" i="12"/>
  <c r="N17" i="12"/>
  <c r="D91" i="12"/>
  <c r="N20" i="12"/>
  <c r="A96" i="12"/>
  <c r="Q2" i="2"/>
  <c r="D84" i="12"/>
  <c r="N24" i="12"/>
  <c r="B16" i="12"/>
  <c r="AF6" i="12"/>
  <c r="D78" i="12"/>
  <c r="N22" i="12"/>
  <c r="D62" i="12"/>
  <c r="N37" i="12"/>
  <c r="D81" i="12"/>
  <c r="D88" i="12"/>
  <c r="B10" i="9"/>
  <c r="AS13" i="12"/>
  <c r="N43" i="12"/>
  <c r="D90" i="12"/>
  <c r="B10" i="12"/>
  <c r="F2" i="2"/>
  <c r="B2" i="12"/>
  <c r="B12" i="12"/>
  <c r="AF7" i="12"/>
  <c r="D98" i="12"/>
  <c r="N32" i="12"/>
  <c r="A99" i="12"/>
  <c r="AF9" i="12"/>
  <c r="AF8" i="12"/>
  <c r="AS11" i="12"/>
  <c r="D97" i="12"/>
  <c r="B1" i="9"/>
  <c r="D80" i="12"/>
  <c r="AS8" i="12"/>
  <c r="D75" i="12"/>
  <c r="N34" i="12"/>
  <c r="N26" i="12"/>
  <c r="N28" i="12"/>
  <c r="AS2" i="12"/>
  <c r="N35" i="12"/>
  <c r="D65" i="12"/>
  <c r="D71" i="12"/>
  <c r="N47" i="12"/>
  <c r="D79" i="12"/>
  <c r="D93" i="12"/>
  <c r="AF5" i="12"/>
  <c r="D63" i="12"/>
  <c r="D73" i="12"/>
  <c r="B9" i="13"/>
  <c r="N40" i="12"/>
  <c r="AS9" i="12"/>
  <c r="AS5" i="12"/>
  <c r="D74" i="12"/>
  <c r="AS6" i="12"/>
  <c r="AS3" i="12"/>
  <c r="N39" i="12"/>
  <c r="D89" i="12"/>
  <c r="B11" i="12"/>
  <c r="D92" i="12"/>
  <c r="AS12" i="12"/>
  <c r="N33" i="12"/>
  <c r="B6" i="12"/>
  <c r="N21" i="12"/>
  <c r="B8" i="12"/>
  <c r="AS4" i="12"/>
  <c r="AS7" i="12"/>
  <c r="N23" i="12"/>
  <c r="AF4" i="12"/>
  <c r="AF2" i="12"/>
  <c r="D83" i="12"/>
  <c r="B3" i="12"/>
  <c r="D66" i="12"/>
  <c r="N25" i="12"/>
  <c r="Q8" i="2" l="1"/>
  <c r="Q24" i="2" s="1"/>
  <c r="AW32" i="12"/>
  <c r="AM32" i="12" s="1"/>
  <c r="DK12" i="12"/>
  <c r="DK11" i="12"/>
  <c r="B2" i="2"/>
  <c r="B41" i="22" s="1"/>
  <c r="B31" i="9"/>
  <c r="A66" i="12"/>
  <c r="B99" i="12"/>
  <c r="A78" i="12"/>
  <c r="A80" i="12"/>
  <c r="A81" i="12"/>
  <c r="A63" i="12"/>
  <c r="A68" i="12"/>
  <c r="A90" i="12"/>
  <c r="A86" i="12"/>
  <c r="A95" i="12"/>
  <c r="A89" i="12"/>
  <c r="A84" i="12"/>
  <c r="A94" i="12"/>
  <c r="A64" i="12"/>
  <c r="A71" i="12"/>
  <c r="A93" i="12"/>
  <c r="A91" i="12"/>
  <c r="A73" i="12"/>
  <c r="A65" i="12"/>
  <c r="A88" i="12"/>
  <c r="A97" i="12"/>
  <c r="AW34" i="12" l="1"/>
  <c r="AM34" i="12" s="1"/>
  <c r="DK10" i="12"/>
  <c r="DK13" i="12"/>
  <c r="AW31" i="12"/>
  <c r="AM31" i="12" s="1"/>
  <c r="B41" i="2"/>
  <c r="C8" i="2"/>
  <c r="AW33" i="12"/>
  <c r="AM33" i="12" s="1"/>
  <c r="I8" i="2"/>
  <c r="I24" i="2"/>
  <c r="B24" i="2"/>
  <c r="F24" i="2"/>
  <c r="F8" i="2"/>
  <c r="B3" i="2"/>
  <c r="B42" i="22" s="1"/>
  <c r="B8" i="2"/>
  <c r="B38" i="22"/>
  <c r="F61" i="2" l="1"/>
  <c r="B42" i="2"/>
  <c r="C9" i="2"/>
  <c r="I25" i="2"/>
  <c r="I9" i="2"/>
  <c r="B9" i="2"/>
  <c r="F9" i="2"/>
  <c r="F25" i="2"/>
  <c r="B25" i="2"/>
  <c r="B39" i="22"/>
  <c r="T59" i="12" l="1"/>
  <c r="B12" i="4" l="1"/>
  <c r="Z31" i="1" l="1"/>
  <c r="Z30" i="1"/>
  <c r="Z29" i="1"/>
  <c r="AG5" i="12"/>
  <c r="B63" i="12"/>
  <c r="C56" i="102"/>
  <c r="A92" i="12"/>
  <c r="B68" i="12"/>
  <c r="J29" i="1" a="1"/>
  <c r="A77" i="12"/>
  <c r="CT10" i="12"/>
  <c r="CU4" i="12"/>
  <c r="A76" i="12"/>
  <c r="AX9" i="12"/>
  <c r="B93" i="12"/>
  <c r="AG4" i="12"/>
  <c r="AW9" i="12"/>
  <c r="AX2" i="12"/>
  <c r="A62" i="12"/>
  <c r="AG2" i="12"/>
  <c r="N34" i="22"/>
  <c r="A69" i="12"/>
  <c r="H8" i="22"/>
  <c r="CT13" i="12"/>
  <c r="B8" i="4"/>
  <c r="AW3" i="12"/>
  <c r="N8" i="22"/>
  <c r="B88" i="12"/>
  <c r="CT6" i="12"/>
  <c r="A74" i="12"/>
  <c r="AW6" i="12"/>
  <c r="B94" i="12"/>
  <c r="AW5" i="12"/>
  <c r="B95" i="12"/>
  <c r="CT4" i="12"/>
  <c r="B10" i="1"/>
  <c r="B80" i="12"/>
  <c r="A82" i="12"/>
  <c r="A83" i="12"/>
  <c r="Q3" i="2"/>
  <c r="B65" i="12"/>
  <c r="CT11" i="12"/>
  <c r="A67" i="12"/>
  <c r="CU2" i="12"/>
  <c r="F5" i="2"/>
  <c r="AG6" i="12"/>
  <c r="CT8" i="12"/>
  <c r="AX7" i="12"/>
  <c r="I21" i="2"/>
  <c r="A70" i="12"/>
  <c r="N17" i="22"/>
  <c r="B73" i="12"/>
  <c r="AX5" i="12"/>
  <c r="AW7" i="12"/>
  <c r="A72" i="12"/>
  <c r="B84" i="12"/>
  <c r="CU8" i="12"/>
  <c r="C5" i="2"/>
  <c r="L27" i="1" a="1"/>
  <c r="CU7" i="12"/>
  <c r="AW2" i="12"/>
  <c r="B97" i="12"/>
  <c r="AG7" i="12"/>
  <c r="CT9" i="12"/>
  <c r="B91" i="12"/>
  <c r="B21" i="2"/>
  <c r="B38" i="2"/>
  <c r="A87" i="12"/>
  <c r="F21" i="2"/>
  <c r="B64" i="12"/>
  <c r="CU6" i="12"/>
  <c r="CT12" i="12"/>
  <c r="B90" i="12"/>
  <c r="AW4" i="12"/>
  <c r="B89" i="12"/>
  <c r="A98" i="12"/>
  <c r="B78" i="12"/>
  <c r="B66" i="12"/>
  <c r="CT3" i="12"/>
  <c r="CT5" i="12"/>
  <c r="I5" i="2"/>
  <c r="AX3" i="12"/>
  <c r="CU9" i="12"/>
  <c r="AG8" i="12"/>
  <c r="B96" i="12"/>
  <c r="B81" i="12"/>
  <c r="A79" i="12"/>
  <c r="AW8" i="12"/>
  <c r="B5" i="2"/>
  <c r="AX8" i="12"/>
  <c r="AG3" i="12"/>
  <c r="AG9" i="12"/>
  <c r="C3" i="15" a="1"/>
  <c r="CU5" i="12"/>
  <c r="CT2" i="12"/>
  <c r="A85" i="12"/>
  <c r="CT7" i="12"/>
  <c r="AX4" i="12"/>
  <c r="F57" i="2"/>
  <c r="AS76" i="1"/>
  <c r="B71" i="12"/>
  <c r="B86" i="12"/>
  <c r="CU3" i="12"/>
  <c r="AX6" i="12"/>
  <c r="A75" i="12"/>
  <c r="B23" i="1"/>
  <c r="B22" i="2"/>
  <c r="I6" i="2"/>
  <c r="B11" i="9"/>
  <c r="B2" i="9"/>
  <c r="B6" i="2"/>
  <c r="B9" i="4"/>
  <c r="N9" i="22"/>
  <c r="A3" i="14" l="1" a="1"/>
  <c r="A3" i="14" s="1"/>
  <c r="N11" i="22"/>
  <c r="J31" i="1"/>
  <c r="J33" i="1"/>
  <c r="J30" i="1"/>
  <c r="J44" i="1"/>
  <c r="J43" i="1"/>
  <c r="J39" i="1"/>
  <c r="J29" i="1"/>
  <c r="J40" i="1"/>
  <c r="J41" i="1"/>
  <c r="J36" i="1"/>
  <c r="J38" i="1"/>
  <c r="J35" i="1"/>
  <c r="J34" i="1"/>
  <c r="J42" i="1"/>
  <c r="J32" i="1"/>
  <c r="J37" i="1"/>
  <c r="Y11" i="12"/>
  <c r="Y13" i="12" s="1"/>
  <c r="AW26" i="12"/>
  <c r="AM26" i="12" s="1"/>
  <c r="DK3" i="12"/>
  <c r="E6" i="3"/>
  <c r="B25" i="9"/>
  <c r="B31" i="3"/>
  <c r="E6" i="27"/>
  <c r="B31" i="27"/>
  <c r="AW28" i="12"/>
  <c r="AM28" i="12" s="1"/>
  <c r="Y7" i="12"/>
  <c r="Y9" i="12" s="1"/>
  <c r="U27" i="1"/>
  <c r="W27" i="1"/>
  <c r="L27" i="1"/>
  <c r="N27" i="1"/>
  <c r="O27" i="1"/>
  <c r="V27" i="1"/>
  <c r="Q27" i="1"/>
  <c r="X27" i="1"/>
  <c r="S27" i="1"/>
  <c r="T27" i="1"/>
  <c r="M27" i="1"/>
  <c r="P27" i="1"/>
  <c r="R27" i="1"/>
  <c r="B20" i="1"/>
  <c r="O10" i="22"/>
  <c r="DK8" i="12"/>
  <c r="DJ12" i="12"/>
  <c r="DJ9" i="12"/>
  <c r="DJ10" i="12"/>
  <c r="DJ2" i="12"/>
  <c r="DJ11" i="12"/>
  <c r="DJ13" i="12"/>
  <c r="AW29" i="12"/>
  <c r="AM29" i="12" s="1"/>
  <c r="DK2" i="12"/>
  <c r="AX1" i="12"/>
  <c r="DJ6" i="12"/>
  <c r="DK9" i="12"/>
  <c r="DK4" i="12"/>
  <c r="AW23" i="12"/>
  <c r="AM23" i="12" s="1"/>
  <c r="DJ8" i="12"/>
  <c r="DJ5" i="12"/>
  <c r="C38" i="15"/>
  <c r="C7" i="15"/>
  <c r="C30" i="15"/>
  <c r="C12" i="15"/>
  <c r="C40" i="15"/>
  <c r="C33" i="15"/>
  <c r="C26" i="15"/>
  <c r="C44" i="15"/>
  <c r="C22" i="15"/>
  <c r="C8" i="15"/>
  <c r="C29" i="15"/>
  <c r="C35" i="15"/>
  <c r="C27" i="15"/>
  <c r="C47" i="15"/>
  <c r="C43" i="15"/>
  <c r="C13" i="15"/>
  <c r="C18" i="15"/>
  <c r="C36" i="15"/>
  <c r="C28" i="15"/>
  <c r="C14" i="15"/>
  <c r="C37" i="15"/>
  <c r="C9" i="15"/>
  <c r="C19" i="15"/>
  <c r="C24" i="15"/>
  <c r="C31" i="15"/>
  <c r="C5" i="15"/>
  <c r="C45" i="15"/>
  <c r="C39" i="15"/>
  <c r="C4" i="15"/>
  <c r="C3" i="15"/>
  <c r="C11" i="15"/>
  <c r="C10" i="15"/>
  <c r="C17" i="15"/>
  <c r="C15" i="15"/>
  <c r="C46" i="15"/>
  <c r="C20" i="15"/>
  <c r="C6" i="15"/>
  <c r="C16" i="15"/>
  <c r="C32" i="15"/>
  <c r="C34" i="15"/>
  <c r="C23" i="15"/>
  <c r="C41" i="15"/>
  <c r="C21" i="15"/>
  <c r="C25" i="15"/>
  <c r="C42" i="15"/>
  <c r="C48" i="15"/>
  <c r="DJ7" i="12"/>
  <c r="AW27" i="12"/>
  <c r="AM27" i="12" s="1"/>
  <c r="DK7" i="12"/>
  <c r="DJ4" i="12"/>
  <c r="AW24" i="12"/>
  <c r="AM24" i="12" s="1"/>
  <c r="Q9" i="2"/>
  <c r="B14" i="3"/>
  <c r="E9" i="3"/>
  <c r="AW25" i="12"/>
  <c r="AM25" i="12" s="1"/>
  <c r="DJ3" i="12"/>
  <c r="C23" i="102"/>
  <c r="AW30" i="12"/>
  <c r="AM30" i="12" s="1"/>
  <c r="DK6" i="12"/>
  <c r="DK5" i="12"/>
  <c r="CQ10" i="12"/>
  <c r="B67" i="12"/>
  <c r="V65" i="102" a="1"/>
  <c r="DG8" i="12"/>
  <c r="E1" i="27"/>
  <c r="CQ5" i="12"/>
  <c r="DG2" i="12"/>
  <c r="Q5" i="2"/>
  <c r="B26" i="27"/>
  <c r="I4" i="27"/>
  <c r="H9" i="22"/>
  <c r="DG5" i="12"/>
  <c r="DG11" i="12"/>
  <c r="CQ6" i="12"/>
  <c r="N35" i="22"/>
  <c r="CQ9" i="12"/>
  <c r="DG12" i="12"/>
  <c r="CQ8" i="12"/>
  <c r="N1" i="22"/>
  <c r="CQ7" i="12"/>
  <c r="B70" i="12"/>
  <c r="B79" i="12"/>
  <c r="B26" i="3"/>
  <c r="B92" i="12"/>
  <c r="B9" i="3"/>
  <c r="B75" i="12"/>
  <c r="B76" i="12"/>
  <c r="N2" i="22"/>
  <c r="DG4" i="12"/>
  <c r="N18" i="22"/>
  <c r="B98" i="12"/>
  <c r="DG9" i="12"/>
  <c r="DG7" i="12"/>
  <c r="CQ11" i="12"/>
  <c r="CQ13" i="12"/>
  <c r="B77" i="12"/>
  <c r="B82" i="12"/>
  <c r="C20" i="102"/>
  <c r="DG3" i="12"/>
  <c r="H1" i="22"/>
  <c r="B62" i="12"/>
  <c r="B85" i="12"/>
  <c r="CQ4" i="12"/>
  <c r="E1" i="3"/>
  <c r="F58" i="2"/>
  <c r="B47" i="3"/>
  <c r="I29" i="1" a="1"/>
  <c r="B74" i="12"/>
  <c r="A1" i="8" a="1"/>
  <c r="B69" i="12"/>
  <c r="DG10" i="12"/>
  <c r="B20" i="9"/>
  <c r="B72" i="12"/>
  <c r="CQ12" i="12"/>
  <c r="DG6" i="12"/>
  <c r="CQ3" i="12"/>
  <c r="I2" i="3"/>
  <c r="CQ2" i="12"/>
  <c r="B87" i="12"/>
  <c r="DG13" i="12"/>
  <c r="B83" i="12"/>
  <c r="B27" i="3"/>
  <c r="B21" i="9"/>
  <c r="B39" i="2"/>
  <c r="I22" i="2"/>
  <c r="C6" i="2"/>
  <c r="F22" i="2"/>
  <c r="E2" i="3"/>
  <c r="F6" i="2"/>
  <c r="B27" i="27"/>
  <c r="E2" i="27"/>
  <c r="D50" i="3" a="1"/>
  <c r="B49" i="3" a="1"/>
  <c r="B46" i="3"/>
  <c r="I4" i="3"/>
  <c r="I1" i="3"/>
  <c r="I3" i="3"/>
  <c r="B48" i="3"/>
  <c r="H2" i="22"/>
  <c r="H6" i="22" s="1"/>
  <c r="H4" i="22"/>
  <c r="H3" i="22"/>
  <c r="E4" i="22"/>
  <c r="A32" i="14" l="1"/>
  <c r="A43" i="14"/>
  <c r="A44" i="14"/>
  <c r="A6" i="14"/>
  <c r="A48" i="14"/>
  <c r="A9" i="14"/>
  <c r="A4" i="14"/>
  <c r="A25" i="14"/>
  <c r="A23" i="14"/>
  <c r="A29" i="14"/>
  <c r="A21" i="14"/>
  <c r="A38" i="14"/>
  <c r="A34" i="14"/>
  <c r="A15" i="14"/>
  <c r="A5" i="14"/>
  <c r="A19" i="14"/>
  <c r="A20" i="14"/>
  <c r="A41" i="14"/>
  <c r="A39" i="14"/>
  <c r="A40" i="14"/>
  <c r="A45" i="14"/>
  <c r="A24" i="14"/>
  <c r="A31" i="14"/>
  <c r="A11" i="14"/>
  <c r="A12" i="14"/>
  <c r="A17" i="14"/>
  <c r="A47" i="14"/>
  <c r="A37" i="14"/>
  <c r="A35" i="14"/>
  <c r="A36" i="14"/>
  <c r="A30" i="14"/>
  <c r="A26" i="14"/>
  <c r="A22" i="14"/>
  <c r="A46" i="14"/>
  <c r="A42" i="14"/>
  <c r="A27" i="14"/>
  <c r="A28" i="14"/>
  <c r="A33" i="14"/>
  <c r="A16" i="14"/>
  <c r="A18" i="14"/>
  <c r="A14" i="14"/>
  <c r="A10" i="14"/>
  <c r="A7" i="14"/>
  <c r="A8" i="14"/>
  <c r="A13" i="14"/>
  <c r="V66" i="102"/>
  <c r="V68" i="102"/>
  <c r="V74" i="102"/>
  <c r="V78" i="102"/>
  <c r="V73" i="102"/>
  <c r="V71" i="102"/>
  <c r="V77" i="102"/>
  <c r="V70" i="102"/>
  <c r="V67" i="102"/>
  <c r="V65" i="102"/>
  <c r="V72" i="102"/>
  <c r="V76" i="102"/>
  <c r="V75" i="102"/>
  <c r="V69" i="102"/>
  <c r="BN8" i="12"/>
  <c r="I33" i="1"/>
  <c r="I40" i="1"/>
  <c r="I38" i="1"/>
  <c r="I41" i="1"/>
  <c r="I43" i="1"/>
  <c r="I42" i="1"/>
  <c r="I29" i="1"/>
  <c r="I36" i="1"/>
  <c r="I30" i="1"/>
  <c r="I31" i="1"/>
  <c r="I34" i="1"/>
  <c r="I44" i="1"/>
  <c r="I32" i="1"/>
  <c r="I35" i="1"/>
  <c r="I39" i="1"/>
  <c r="I37" i="1"/>
  <c r="BN5" i="12"/>
  <c r="BN12" i="12"/>
  <c r="BN11" i="12"/>
  <c r="BN10" i="12"/>
  <c r="BN7" i="12"/>
  <c r="BN3" i="12"/>
  <c r="BN6" i="12"/>
  <c r="BN9" i="12"/>
  <c r="BN4" i="12"/>
  <c r="BN2" i="12"/>
  <c r="B102" i="12"/>
  <c r="BN13" i="12"/>
  <c r="B54" i="3"/>
  <c r="B60" i="3"/>
  <c r="B63" i="3"/>
  <c r="B64" i="3"/>
  <c r="B67" i="3"/>
  <c r="B52" i="3"/>
  <c r="B66" i="3"/>
  <c r="B59" i="3"/>
  <c r="B50" i="3"/>
  <c r="B62" i="3"/>
  <c r="B61" i="3"/>
  <c r="B49" i="3"/>
  <c r="B70" i="3"/>
  <c r="B53" i="3"/>
  <c r="B58" i="3"/>
  <c r="B71" i="3"/>
  <c r="B57" i="3"/>
  <c r="B69" i="3"/>
  <c r="B51" i="3"/>
  <c r="B55" i="3"/>
  <c r="B56" i="3"/>
  <c r="B68" i="3"/>
  <c r="B65" i="3"/>
  <c r="A21" i="8"/>
  <c r="C10" i="8"/>
  <c r="N17" i="8"/>
  <c r="O18" i="8"/>
  <c r="A17" i="8"/>
  <c r="T9" i="8"/>
  <c r="T17" i="8"/>
  <c r="F19" i="8"/>
  <c r="D10" i="8"/>
  <c r="H20" i="8"/>
  <c r="L9" i="8"/>
  <c r="I21" i="8"/>
  <c r="O13" i="8"/>
  <c r="I2" i="8"/>
  <c r="L18" i="8"/>
  <c r="K15" i="8"/>
  <c r="L23" i="8"/>
  <c r="L2" i="8"/>
  <c r="F5" i="8"/>
  <c r="S13" i="8"/>
  <c r="L10" i="8"/>
  <c r="K8" i="8"/>
  <c r="S18" i="8"/>
  <c r="G11" i="8"/>
  <c r="L19" i="8"/>
  <c r="S10" i="8"/>
  <c r="P23" i="8"/>
  <c r="F6" i="8"/>
  <c r="J21" i="8"/>
  <c r="N4" i="8"/>
  <c r="H1" i="8"/>
  <c r="B19" i="8"/>
  <c r="F1" i="8"/>
  <c r="J23" i="8"/>
  <c r="T16" i="8"/>
  <c r="I23" i="8"/>
  <c r="D21" i="8"/>
  <c r="A24" i="8"/>
  <c r="H18" i="8"/>
  <c r="A18" i="8"/>
  <c r="G16" i="8"/>
  <c r="P7" i="8"/>
  <c r="K2" i="8"/>
  <c r="I17" i="8"/>
  <c r="D14" i="8"/>
  <c r="I10" i="8"/>
  <c r="I19" i="8"/>
  <c r="K11" i="8"/>
  <c r="S1" i="8"/>
  <c r="O5" i="8"/>
  <c r="N22" i="8"/>
  <c r="P6" i="8"/>
  <c r="T5" i="8"/>
  <c r="R21" i="8"/>
  <c r="A12" i="8"/>
  <c r="U10" i="8"/>
  <c r="S11" i="8"/>
  <c r="H17" i="8"/>
  <c r="K24" i="8"/>
  <c r="K10" i="8"/>
  <c r="B11" i="8"/>
  <c r="R12" i="8"/>
  <c r="L14" i="8"/>
  <c r="U21" i="8"/>
  <c r="Q15" i="8"/>
  <c r="G12" i="8"/>
  <c r="R18" i="8"/>
  <c r="S12" i="8"/>
  <c r="M8" i="8"/>
  <c r="F15" i="8"/>
  <c r="D2" i="8"/>
  <c r="K20" i="8"/>
  <c r="D3" i="8"/>
  <c r="B23" i="8"/>
  <c r="C20" i="8"/>
  <c r="G4" i="8"/>
  <c r="S8" i="8"/>
  <c r="G24" i="8"/>
  <c r="R24" i="8"/>
  <c r="E24" i="8"/>
  <c r="O1" i="8"/>
  <c r="Q19" i="8"/>
  <c r="L7" i="8"/>
  <c r="K21" i="8"/>
  <c r="H19" i="8"/>
  <c r="E4" i="8"/>
  <c r="E6" i="8"/>
  <c r="Q7" i="8"/>
  <c r="T14" i="8"/>
  <c r="N24" i="8"/>
  <c r="O16" i="8"/>
  <c r="H8" i="8"/>
  <c r="N18" i="8"/>
  <c r="J4" i="8"/>
  <c r="A4" i="8"/>
  <c r="M15" i="8"/>
  <c r="T4" i="8"/>
  <c r="N20" i="8"/>
  <c r="H15" i="8"/>
  <c r="J20" i="8"/>
  <c r="B21" i="8"/>
  <c r="B16" i="8"/>
  <c r="C17" i="8"/>
  <c r="U22" i="8"/>
  <c r="S15" i="8"/>
  <c r="B24" i="8"/>
  <c r="K19" i="8"/>
  <c r="B20" i="8"/>
  <c r="N10" i="8"/>
  <c r="J17" i="8"/>
  <c r="S21" i="8"/>
  <c r="R3" i="8"/>
  <c r="D19" i="8"/>
  <c r="P14" i="8"/>
  <c r="A7" i="8"/>
  <c r="P12" i="8"/>
  <c r="B10" i="8"/>
  <c r="L13" i="8"/>
  <c r="D4" i="8"/>
  <c r="Q1" i="8"/>
  <c r="U8" i="8"/>
  <c r="T10" i="8"/>
  <c r="U3" i="8"/>
  <c r="J2" i="8"/>
  <c r="Q21" i="8"/>
  <c r="O11" i="8"/>
  <c r="D9" i="8"/>
  <c r="A3" i="8"/>
  <c r="S22" i="8"/>
  <c r="A9" i="8"/>
  <c r="L8" i="8"/>
  <c r="N16" i="8"/>
  <c r="D18" i="8"/>
  <c r="E19" i="8"/>
  <c r="A19" i="8"/>
  <c r="O2" i="8"/>
  <c r="H7" i="8"/>
  <c r="J7" i="8"/>
  <c r="R20" i="8"/>
  <c r="O4" i="8"/>
  <c r="T23" i="8"/>
  <c r="M9" i="8"/>
  <c r="T24" i="8"/>
  <c r="A5" i="8"/>
  <c r="P20" i="8"/>
  <c r="A8" i="8"/>
  <c r="G14" i="8"/>
  <c r="F16" i="8"/>
  <c r="U4" i="8"/>
  <c r="O7" i="8"/>
  <c r="Q5" i="8"/>
  <c r="R23" i="8"/>
  <c r="N1" i="8"/>
  <c r="J1" i="8"/>
  <c r="T1" i="8"/>
  <c r="B4" i="8"/>
  <c r="Q17" i="8"/>
  <c r="F22" i="8"/>
  <c r="E22" i="8"/>
  <c r="M11" i="8"/>
  <c r="B15" i="8"/>
  <c r="P4" i="8"/>
  <c r="D11" i="8"/>
  <c r="R13" i="8"/>
  <c r="S4" i="8"/>
  <c r="S19" i="8"/>
  <c r="S20" i="8"/>
  <c r="C24" i="8"/>
  <c r="M24" i="8"/>
  <c r="C1" i="8"/>
  <c r="N23" i="8"/>
  <c r="G21" i="8"/>
  <c r="S7" i="8"/>
  <c r="G10" i="8"/>
  <c r="B7" i="8"/>
  <c r="A14" i="8"/>
  <c r="P3" i="8"/>
  <c r="J22" i="8"/>
  <c r="F24" i="8"/>
  <c r="A20" i="8"/>
  <c r="G19" i="8"/>
  <c r="P16" i="8"/>
  <c r="U18" i="8"/>
  <c r="S16" i="8"/>
  <c r="M5" i="8"/>
  <c r="I6" i="8"/>
  <c r="J8" i="8"/>
  <c r="A6" i="8"/>
  <c r="M1" i="8"/>
  <c r="I14" i="8"/>
  <c r="B18" i="8"/>
  <c r="J5" i="8"/>
  <c r="P15" i="8"/>
  <c r="R6" i="8"/>
  <c r="R5" i="8"/>
  <c r="H16" i="8"/>
  <c r="J24" i="8"/>
  <c r="H4" i="8"/>
  <c r="R17" i="8"/>
  <c r="O10" i="8"/>
  <c r="G3" i="8"/>
  <c r="G9" i="8"/>
  <c r="P1" i="8"/>
  <c r="S24" i="8"/>
  <c r="N21" i="8"/>
  <c r="B14" i="8"/>
  <c r="U15" i="8"/>
  <c r="Q6" i="8"/>
  <c r="L4" i="8"/>
  <c r="K16" i="8"/>
  <c r="K6" i="8"/>
  <c r="F7" i="8"/>
  <c r="T13" i="8"/>
  <c r="K13" i="8"/>
  <c r="U24" i="8"/>
  <c r="O3" i="8"/>
  <c r="C16" i="8"/>
  <c r="B9" i="8"/>
  <c r="E9" i="8"/>
  <c r="F14" i="8"/>
  <c r="N9" i="8"/>
  <c r="Q18" i="8"/>
  <c r="Q23" i="8"/>
  <c r="O9" i="8"/>
  <c r="C5" i="8"/>
  <c r="F18" i="8"/>
  <c r="E14" i="8"/>
  <c r="O17" i="8"/>
  <c r="E2" i="8"/>
  <c r="M3" i="8"/>
  <c r="L3" i="8"/>
  <c r="D15" i="8"/>
  <c r="D7" i="8"/>
  <c r="N6" i="8"/>
  <c r="S5" i="8"/>
  <c r="C11" i="8"/>
  <c r="M18" i="8"/>
  <c r="I24" i="8"/>
  <c r="C22" i="8"/>
  <c r="N12" i="8"/>
  <c r="D5" i="8"/>
  <c r="G7" i="8"/>
  <c r="C2" i="8"/>
  <c r="M10" i="8"/>
  <c r="G6" i="8"/>
  <c r="N15" i="8"/>
  <c r="R19" i="8"/>
  <c r="N5" i="8"/>
  <c r="T15" i="8"/>
  <c r="P5" i="8"/>
  <c r="F17" i="8"/>
  <c r="A23" i="8"/>
  <c r="O8" i="8"/>
  <c r="L24" i="8"/>
  <c r="J12" i="8"/>
  <c r="G1" i="8"/>
  <c r="T8" i="8"/>
  <c r="S23" i="8"/>
  <c r="Q24" i="8"/>
  <c r="H10" i="8"/>
  <c r="F11" i="8"/>
  <c r="L17" i="8"/>
  <c r="T19" i="8"/>
  <c r="U14" i="8"/>
  <c r="B6" i="8"/>
  <c r="U2" i="8"/>
  <c r="B8" i="8"/>
  <c r="H11" i="8"/>
  <c r="R8" i="8"/>
  <c r="O24" i="8"/>
  <c r="A1" i="8"/>
  <c r="L11" i="8"/>
  <c r="J10" i="8"/>
  <c r="C9" i="8"/>
  <c r="U23" i="8"/>
  <c r="R16" i="8"/>
  <c r="N14" i="8"/>
  <c r="A13" i="8"/>
  <c r="T11" i="8"/>
  <c r="F9" i="8"/>
  <c r="P13" i="8"/>
  <c r="D6" i="8"/>
  <c r="M17" i="8"/>
  <c r="O15" i="8"/>
  <c r="U6" i="8"/>
  <c r="C7" i="8"/>
  <c r="L20" i="8"/>
  <c r="M14" i="8"/>
  <c r="J6" i="8"/>
  <c r="Q2" i="8"/>
  <c r="K7" i="8"/>
  <c r="B3" i="8"/>
  <c r="C21" i="8"/>
  <c r="E20" i="8"/>
  <c r="R14" i="8"/>
  <c r="F13" i="8"/>
  <c r="M19" i="8"/>
  <c r="J9" i="8"/>
  <c r="P9" i="8"/>
  <c r="E11" i="8"/>
  <c r="E13" i="8"/>
  <c r="U19" i="8"/>
  <c r="I20" i="8"/>
  <c r="L1" i="8"/>
  <c r="P8" i="8"/>
  <c r="I5" i="8"/>
  <c r="H14" i="8"/>
  <c r="G22" i="8"/>
  <c r="M21" i="8"/>
  <c r="J14" i="8"/>
  <c r="T6" i="8"/>
  <c r="D20" i="8"/>
  <c r="D12" i="8"/>
  <c r="I7" i="8"/>
  <c r="C6" i="8"/>
  <c r="M22" i="8"/>
  <c r="O6" i="8"/>
  <c r="I3" i="8"/>
  <c r="J16" i="8"/>
  <c r="S9" i="8"/>
  <c r="Q8" i="8"/>
  <c r="C8" i="8"/>
  <c r="I15" i="8"/>
  <c r="K17" i="8"/>
  <c r="I4" i="8"/>
  <c r="C19" i="8"/>
  <c r="C23" i="8"/>
  <c r="O14" i="8"/>
  <c r="P19" i="8"/>
  <c r="U20" i="8"/>
  <c r="A16" i="8"/>
  <c r="B12" i="8"/>
  <c r="K12" i="8"/>
  <c r="U9" i="8"/>
  <c r="E3" i="8"/>
  <c r="P2" i="8"/>
  <c r="R1" i="8"/>
  <c r="C4" i="8"/>
  <c r="L15" i="8"/>
  <c r="L12" i="8"/>
  <c r="K1" i="8"/>
  <c r="N7" i="8"/>
  <c r="Q13" i="8"/>
  <c r="E15" i="8"/>
  <c r="Q22" i="8"/>
  <c r="E7" i="8"/>
  <c r="P10" i="8"/>
  <c r="I16" i="8"/>
  <c r="B17" i="8"/>
  <c r="Q16" i="8"/>
  <c r="I11" i="8"/>
  <c r="F2" i="8"/>
  <c r="F12" i="8"/>
  <c r="Q3" i="8"/>
  <c r="D16" i="8"/>
  <c r="R4" i="8"/>
  <c r="H23" i="8"/>
  <c r="A11" i="8"/>
  <c r="O20" i="8"/>
  <c r="R9" i="8"/>
  <c r="O21" i="8"/>
  <c r="D17" i="8"/>
  <c r="M23" i="8"/>
  <c r="U7" i="8"/>
  <c r="K18" i="8"/>
  <c r="M13" i="8"/>
  <c r="G5" i="8"/>
  <c r="H22" i="8"/>
  <c r="C13" i="8"/>
  <c r="P24" i="8"/>
  <c r="T12" i="8"/>
  <c r="J3" i="8"/>
  <c r="C15" i="8"/>
  <c r="J19" i="8"/>
  <c r="H9" i="8"/>
  <c r="O22" i="8"/>
  <c r="M12" i="8"/>
  <c r="U12" i="8"/>
  <c r="F3" i="8"/>
  <c r="E8" i="8"/>
  <c r="H3" i="8"/>
  <c r="Q14" i="8"/>
  <c r="Q10" i="8"/>
  <c r="P17" i="8"/>
  <c r="F8" i="8"/>
  <c r="T20" i="8"/>
  <c r="S6" i="8"/>
  <c r="T21" i="8"/>
  <c r="E5" i="8"/>
  <c r="C12" i="8"/>
  <c r="B13" i="8"/>
  <c r="Q9" i="8"/>
  <c r="N11" i="8"/>
  <c r="K9" i="8"/>
  <c r="H12" i="8"/>
  <c r="Q4" i="8"/>
  <c r="A22" i="8"/>
  <c r="U1" i="8"/>
  <c r="H13" i="8"/>
  <c r="S17" i="8"/>
  <c r="Q12" i="8"/>
  <c r="D24" i="8"/>
  <c r="C18" i="8"/>
  <c r="R10" i="8"/>
  <c r="U16" i="8"/>
  <c r="J13" i="8"/>
  <c r="G20" i="8"/>
  <c r="A2" i="8"/>
  <c r="O23" i="8"/>
  <c r="R7" i="8"/>
  <c r="D23" i="8"/>
  <c r="G13" i="8"/>
  <c r="K3" i="8"/>
  <c r="A10" i="8"/>
  <c r="J15" i="8"/>
  <c r="L22" i="8"/>
  <c r="E1" i="8"/>
  <c r="E16" i="8"/>
  <c r="R11" i="8"/>
  <c r="P21" i="8"/>
  <c r="B22" i="8"/>
  <c r="B5" i="8"/>
  <c r="R2" i="8"/>
  <c r="T18" i="8"/>
  <c r="D13" i="8"/>
  <c r="I8" i="8"/>
  <c r="E10" i="8"/>
  <c r="O12" i="8"/>
  <c r="I1" i="8"/>
  <c r="J18" i="8"/>
  <c r="E18" i="8"/>
  <c r="G8" i="8"/>
  <c r="B2" i="8"/>
  <c r="K14" i="8"/>
  <c r="D1" i="8"/>
  <c r="E21" i="8"/>
  <c r="E12" i="8"/>
  <c r="G23" i="8"/>
  <c r="M6" i="8"/>
  <c r="K4" i="8"/>
  <c r="H6" i="8"/>
  <c r="E17" i="8"/>
  <c r="L21" i="8"/>
  <c r="Q20" i="8"/>
  <c r="L6" i="8"/>
  <c r="M16" i="8"/>
  <c r="H5" i="8"/>
  <c r="G17" i="8"/>
  <c r="P22" i="8"/>
  <c r="N19" i="8"/>
  <c r="D8" i="8"/>
  <c r="F23" i="8"/>
  <c r="S14" i="8"/>
  <c r="F20" i="8"/>
  <c r="F10" i="8"/>
  <c r="P18" i="8"/>
  <c r="U17" i="8"/>
  <c r="M7" i="8"/>
  <c r="M2" i="8"/>
  <c r="B1" i="8"/>
  <c r="O19" i="8"/>
  <c r="F21" i="8"/>
  <c r="R15" i="8"/>
  <c r="D22" i="8"/>
  <c r="K5" i="8"/>
  <c r="U13" i="8"/>
  <c r="G15" i="8"/>
  <c r="I18" i="8"/>
  <c r="K23" i="8"/>
  <c r="I12" i="8"/>
  <c r="G18" i="8"/>
  <c r="I13" i="8"/>
  <c r="F4" i="8"/>
  <c r="S3" i="8"/>
  <c r="G2" i="8"/>
  <c r="H2" i="8"/>
  <c r="L5" i="8"/>
  <c r="C3" i="8"/>
  <c r="J11" i="8"/>
  <c r="H21" i="8"/>
  <c r="N13" i="8"/>
  <c r="I22" i="8"/>
  <c r="T2" i="8"/>
  <c r="C14" i="8"/>
  <c r="T22" i="8"/>
  <c r="M4" i="8"/>
  <c r="N2" i="8"/>
  <c r="U11" i="8"/>
  <c r="N3" i="8"/>
  <c r="M20" i="8"/>
  <c r="I9" i="8"/>
  <c r="R22" i="8"/>
  <c r="Q11" i="8"/>
  <c r="S2" i="8"/>
  <c r="P11" i="8"/>
  <c r="K22" i="8"/>
  <c r="A15" i="8"/>
  <c r="H24" i="8"/>
  <c r="L16" i="8"/>
  <c r="T7" i="8"/>
  <c r="T3" i="8"/>
  <c r="N8" i="8"/>
  <c r="U5" i="8"/>
  <c r="E23" i="8"/>
  <c r="G3" i="2"/>
  <c r="N52" i="12"/>
  <c r="N53" i="12" s="1"/>
  <c r="E51" i="3"/>
  <c r="E50" i="3"/>
  <c r="E52" i="3"/>
  <c r="F54" i="3"/>
  <c r="F53" i="3"/>
  <c r="D53" i="3"/>
  <c r="E54" i="3"/>
  <c r="D50" i="3"/>
  <c r="D54" i="3"/>
  <c r="D51" i="3"/>
  <c r="F52" i="3"/>
  <c r="F50" i="3"/>
  <c r="D52" i="3"/>
  <c r="E53" i="3"/>
  <c r="F51" i="3"/>
  <c r="F4" i="9"/>
  <c r="B14" i="6"/>
  <c r="B5" i="6"/>
  <c r="F19" i="3"/>
  <c r="CE5" i="12"/>
  <c r="CE8" i="12"/>
  <c r="CE13" i="12"/>
  <c r="CE10" i="12"/>
  <c r="E19" i="3"/>
  <c r="CE3" i="12"/>
  <c r="CE11" i="12"/>
  <c r="CE9" i="12"/>
  <c r="CE12" i="12"/>
  <c r="E4" i="9"/>
  <c r="CE4" i="12"/>
  <c r="CE7" i="12"/>
  <c r="CE6" i="12"/>
  <c r="CE2" i="12"/>
  <c r="E19" i="27"/>
  <c r="B11" i="5"/>
  <c r="AW22" i="12"/>
  <c r="AM22" i="12" s="1"/>
  <c r="Q25" i="2"/>
  <c r="CR12" i="12"/>
  <c r="I3" i="27"/>
  <c r="BZ4" i="12"/>
  <c r="BZ12" i="12"/>
  <c r="BZ7" i="12"/>
  <c r="DH10" i="12"/>
  <c r="I1" i="27"/>
  <c r="B10" i="6"/>
  <c r="BI2" i="12"/>
  <c r="BI11" i="12"/>
  <c r="BZ3" i="12"/>
  <c r="BI5" i="12"/>
  <c r="B8" i="5"/>
  <c r="DH7" i="12"/>
  <c r="E10" i="5"/>
  <c r="A12" i="7" a="1"/>
  <c r="C34" i="102"/>
  <c r="B1" i="6"/>
  <c r="DH4" i="12"/>
  <c r="DH13" i="12"/>
  <c r="B37" i="9"/>
  <c r="BZ11" i="12"/>
  <c r="E12" i="6"/>
  <c r="DH9" i="12"/>
  <c r="BZ9" i="12"/>
  <c r="BZ10" i="12"/>
  <c r="E10" i="6"/>
  <c r="DH3" i="12"/>
  <c r="BZ6" i="12"/>
  <c r="CR11" i="12"/>
  <c r="E2" i="6"/>
  <c r="DH5" i="12"/>
  <c r="BJ5" i="12"/>
  <c r="BI10" i="12"/>
  <c r="I2" i="27"/>
  <c r="CR3" i="12"/>
  <c r="BI6" i="12"/>
  <c r="BZ13" i="12"/>
  <c r="BA12" i="12"/>
  <c r="DH8" i="12"/>
  <c r="CR5" i="12"/>
  <c r="BZ2" i="12"/>
  <c r="CR7" i="12"/>
  <c r="CR6" i="12"/>
  <c r="DH2" i="12"/>
  <c r="BI7" i="12"/>
  <c r="E13" i="6"/>
  <c r="CR8" i="12"/>
  <c r="BI13" i="12"/>
  <c r="BI12" i="12"/>
  <c r="BI4" i="12"/>
  <c r="E11" i="6"/>
  <c r="CR9" i="12"/>
  <c r="DH6" i="12"/>
  <c r="E16" i="27"/>
  <c r="BI3" i="12"/>
  <c r="C27" i="102"/>
  <c r="BI9" i="12"/>
  <c r="CR2" i="12"/>
  <c r="DH11" i="12"/>
  <c r="BI8" i="12"/>
  <c r="DH12" i="12"/>
  <c r="Q21" i="2"/>
  <c r="CR4" i="12"/>
  <c r="C21" i="102"/>
  <c r="CR10" i="12"/>
  <c r="BZ8" i="12"/>
  <c r="CR13" i="12"/>
  <c r="E3" i="6"/>
  <c r="E9" i="5"/>
  <c r="BZ5" i="12"/>
  <c r="C46" i="3"/>
  <c r="CA4" i="12"/>
  <c r="Q22" i="2"/>
  <c r="B11" i="6"/>
  <c r="C49" i="3"/>
  <c r="C48" i="3"/>
  <c r="B9" i="5"/>
  <c r="CA5" i="12"/>
  <c r="B10" i="3"/>
  <c r="B2" i="6"/>
  <c r="CA7" i="12"/>
  <c r="CA2" i="12"/>
  <c r="CA13" i="12"/>
  <c r="C47" i="3"/>
  <c r="Q6" i="2"/>
  <c r="W62" i="102" l="1"/>
  <c r="S62" i="102"/>
  <c r="J17" i="7"/>
  <c r="E33" i="7"/>
  <c r="R21" i="7"/>
  <c r="G23" i="7"/>
  <c r="M29" i="7"/>
  <c r="P35" i="7"/>
  <c r="C34" i="7"/>
  <c r="S32" i="7"/>
  <c r="F22" i="7"/>
  <c r="L21" i="7"/>
  <c r="G20" i="7"/>
  <c r="H15" i="7"/>
  <c r="N32" i="7"/>
  <c r="K22" i="7"/>
  <c r="K25" i="7"/>
  <c r="A29" i="7"/>
  <c r="L33" i="7"/>
  <c r="N17" i="7"/>
  <c r="O15" i="7"/>
  <c r="O35" i="7"/>
  <c r="O34" i="7"/>
  <c r="C15" i="7"/>
  <c r="P29" i="7"/>
  <c r="P30" i="7"/>
  <c r="M27" i="7"/>
  <c r="D26" i="7"/>
  <c r="F33" i="7"/>
  <c r="G31" i="7"/>
  <c r="T32" i="7"/>
  <c r="H32" i="7"/>
  <c r="C19" i="7"/>
  <c r="G18" i="7"/>
  <c r="G12" i="7"/>
  <c r="E15" i="7"/>
  <c r="L30" i="7"/>
  <c r="K14" i="7"/>
  <c r="S20" i="7"/>
  <c r="M26" i="7"/>
  <c r="I29" i="7"/>
  <c r="L20" i="7"/>
  <c r="T30" i="7"/>
  <c r="O28" i="7"/>
  <c r="D33" i="7"/>
  <c r="L26" i="7"/>
  <c r="R34" i="7"/>
  <c r="C28" i="7"/>
  <c r="H34" i="7"/>
  <c r="Q29" i="7"/>
  <c r="T23" i="7"/>
  <c r="N33" i="7"/>
  <c r="A15" i="7"/>
  <c r="I18" i="7"/>
  <c r="G35" i="7"/>
  <c r="F31" i="7"/>
  <c r="O17" i="7"/>
  <c r="P12" i="7"/>
  <c r="N15" i="7"/>
  <c r="N35" i="7"/>
  <c r="H28" i="7"/>
  <c r="A17" i="7"/>
  <c r="K17" i="7"/>
  <c r="S29" i="7"/>
  <c r="C20" i="7"/>
  <c r="B31" i="7"/>
  <c r="K35" i="7"/>
  <c r="J16" i="7"/>
  <c r="O14" i="7"/>
  <c r="G15" i="7"/>
  <c r="Q12" i="7"/>
  <c r="P20" i="7"/>
  <c r="B24" i="7"/>
  <c r="H35" i="7"/>
  <c r="K19" i="7"/>
  <c r="K32" i="7"/>
  <c r="P13" i="7"/>
  <c r="T20" i="7"/>
  <c r="K31" i="7"/>
  <c r="J30" i="7"/>
  <c r="I22" i="7"/>
  <c r="M20" i="7"/>
  <c r="F34" i="7"/>
  <c r="L22" i="7"/>
  <c r="E35" i="7"/>
  <c r="G34" i="7"/>
  <c r="I17" i="7"/>
  <c r="F28" i="7"/>
  <c r="D16" i="7"/>
  <c r="L29" i="7"/>
  <c r="O16" i="7"/>
  <c r="N30" i="7"/>
  <c r="D35" i="7"/>
  <c r="M16" i="7"/>
  <c r="U32" i="7"/>
  <c r="D15" i="7"/>
  <c r="T13" i="7"/>
  <c r="E21" i="7"/>
  <c r="B16" i="7"/>
  <c r="L23" i="7"/>
  <c r="I16" i="7"/>
  <c r="G27" i="7"/>
  <c r="R29" i="7"/>
  <c r="J31" i="7"/>
  <c r="T24" i="7"/>
  <c r="D20" i="7"/>
  <c r="L13" i="7"/>
  <c r="Q14" i="7"/>
  <c r="R25" i="7"/>
  <c r="A16" i="7"/>
  <c r="F26" i="7"/>
  <c r="E30" i="7"/>
  <c r="E24" i="7"/>
  <c r="C30" i="7"/>
  <c r="A24" i="7"/>
  <c r="A23" i="7"/>
  <c r="B34" i="7"/>
  <c r="S27" i="7"/>
  <c r="G29" i="7"/>
  <c r="F30" i="7"/>
  <c r="D13" i="7"/>
  <c r="A30" i="7"/>
  <c r="A26" i="7"/>
  <c r="O31" i="7"/>
  <c r="G19" i="7"/>
  <c r="M15" i="7"/>
  <c r="U26" i="7"/>
  <c r="U17" i="7"/>
  <c r="A34" i="7"/>
  <c r="E26" i="7"/>
  <c r="E13" i="7"/>
  <c r="G30" i="7"/>
  <c r="Q23" i="7"/>
  <c r="Q28" i="7"/>
  <c r="C29" i="7"/>
  <c r="R18" i="7"/>
  <c r="M31" i="7"/>
  <c r="R32" i="7"/>
  <c r="O30" i="7"/>
  <c r="T18" i="7"/>
  <c r="E17" i="7"/>
  <c r="S30" i="7"/>
  <c r="U31" i="7"/>
  <c r="O24" i="7"/>
  <c r="B27" i="7"/>
  <c r="C33" i="7"/>
  <c r="S25" i="7"/>
  <c r="B25" i="7"/>
  <c r="A20" i="7"/>
  <c r="U35" i="7"/>
  <c r="P24" i="7"/>
  <c r="I30" i="7"/>
  <c r="E31" i="7"/>
  <c r="P14" i="7"/>
  <c r="B33" i="7"/>
  <c r="N19" i="7"/>
  <c r="K13" i="7"/>
  <c r="H30" i="7"/>
  <c r="E16" i="7"/>
  <c r="G33" i="7"/>
  <c r="S24" i="7"/>
  <c r="N28" i="7"/>
  <c r="Q13" i="7"/>
  <c r="D29" i="7"/>
  <c r="E25" i="7"/>
  <c r="Q21" i="7"/>
  <c r="C32" i="7"/>
  <c r="D25" i="7"/>
  <c r="N25" i="7"/>
  <c r="J25" i="7"/>
  <c r="B15" i="7"/>
  <c r="K12" i="7"/>
  <c r="K27" i="7"/>
  <c r="I28" i="7"/>
  <c r="F17" i="7"/>
  <c r="U33" i="7"/>
  <c r="T14" i="7"/>
  <c r="M12" i="7"/>
  <c r="T34" i="7"/>
  <c r="A31" i="7"/>
  <c r="U12" i="7"/>
  <c r="O19" i="7"/>
  <c r="K29" i="7"/>
  <c r="C21" i="7"/>
  <c r="U34" i="7"/>
  <c r="R27" i="7"/>
  <c r="S12" i="7"/>
  <c r="R30" i="7"/>
  <c r="U13" i="7"/>
  <c r="O13" i="7"/>
  <c r="D18" i="7"/>
  <c r="B20" i="7"/>
  <c r="U23" i="7"/>
  <c r="P17" i="7"/>
  <c r="F29" i="7"/>
  <c r="P26" i="7"/>
  <c r="D19" i="7"/>
  <c r="S28" i="7"/>
  <c r="I33" i="7"/>
  <c r="E27" i="7"/>
  <c r="M14" i="7"/>
  <c r="E18" i="7"/>
  <c r="L19" i="7"/>
  <c r="T29" i="7"/>
  <c r="P15" i="7"/>
  <c r="U22" i="7"/>
  <c r="O32" i="7"/>
  <c r="F21" i="7"/>
  <c r="F27" i="7"/>
  <c r="Q20" i="7"/>
  <c r="B32" i="7"/>
  <c r="J15" i="7"/>
  <c r="P33" i="7"/>
  <c r="H18" i="7"/>
  <c r="F32" i="7"/>
  <c r="O27" i="7"/>
  <c r="C17" i="7"/>
  <c r="R24" i="7"/>
  <c r="Q18" i="7"/>
  <c r="R23" i="7"/>
  <c r="J32" i="7"/>
  <c r="P28" i="7"/>
  <c r="I25" i="7"/>
  <c r="P21" i="7"/>
  <c r="Q32" i="7"/>
  <c r="N26" i="7"/>
  <c r="J29" i="7"/>
  <c r="Q19" i="7"/>
  <c r="B17" i="7"/>
  <c r="U19" i="7"/>
  <c r="F23" i="7"/>
  <c r="H13" i="7"/>
  <c r="I26" i="7"/>
  <c r="P32" i="7"/>
  <c r="E23" i="7"/>
  <c r="T25" i="7"/>
  <c r="G25" i="7"/>
  <c r="S16" i="7"/>
  <c r="J35" i="7"/>
  <c r="R20" i="7"/>
  <c r="C25" i="7"/>
  <c r="L27" i="7"/>
  <c r="G17" i="7"/>
  <c r="M22" i="7"/>
  <c r="F25" i="7"/>
  <c r="I15" i="7"/>
  <c r="H16" i="7"/>
  <c r="T26" i="7"/>
  <c r="I35" i="7"/>
  <c r="T28" i="7"/>
  <c r="M17" i="7"/>
  <c r="O25" i="7"/>
  <c r="O23" i="7"/>
  <c r="O22" i="7"/>
  <c r="D27" i="7"/>
  <c r="L32" i="7"/>
  <c r="B23" i="7"/>
  <c r="S26" i="7"/>
  <c r="B35" i="7"/>
  <c r="M30" i="7"/>
  <c r="A28" i="7"/>
  <c r="D17" i="7"/>
  <c r="Q35" i="7"/>
  <c r="B21" i="7"/>
  <c r="N13" i="7"/>
  <c r="F14" i="7"/>
  <c r="K21" i="7"/>
  <c r="Q34" i="7"/>
  <c r="H17" i="7"/>
  <c r="D28" i="7"/>
  <c r="L12" i="7"/>
  <c r="S13" i="7"/>
  <c r="B14" i="7"/>
  <c r="A19" i="7"/>
  <c r="N34" i="7"/>
  <c r="L24" i="7"/>
  <c r="M34" i="7"/>
  <c r="L17" i="7"/>
  <c r="J27" i="7"/>
  <c r="C31" i="7"/>
  <c r="O26" i="7"/>
  <c r="N27" i="7"/>
  <c r="L16" i="7"/>
  <c r="C26" i="7"/>
  <c r="Q30" i="7"/>
  <c r="T12" i="7"/>
  <c r="E32" i="7"/>
  <c r="N24" i="7"/>
  <c r="P16" i="7"/>
  <c r="S14" i="7"/>
  <c r="I21" i="7"/>
  <c r="T33" i="7"/>
  <c r="U16" i="7"/>
  <c r="H20" i="7"/>
  <c r="T22" i="7"/>
  <c r="T15" i="7"/>
  <c r="F24" i="7"/>
  <c r="S15" i="7"/>
  <c r="U27" i="7"/>
  <c r="O33" i="7"/>
  <c r="R12" i="7"/>
  <c r="F35" i="7"/>
  <c r="F18" i="7"/>
  <c r="E22" i="7"/>
  <c r="C24" i="7"/>
  <c r="J26" i="7"/>
  <c r="F16" i="7"/>
  <c r="M28" i="7"/>
  <c r="N12" i="7"/>
  <c r="T27" i="7"/>
  <c r="R13" i="7"/>
  <c r="J18" i="7"/>
  <c r="R35" i="7"/>
  <c r="M18" i="7"/>
  <c r="P27" i="7"/>
  <c r="E29" i="7"/>
  <c r="M25" i="7"/>
  <c r="A27" i="7"/>
  <c r="E19" i="7"/>
  <c r="T17" i="7"/>
  <c r="H25" i="7"/>
  <c r="Q17" i="7"/>
  <c r="E34" i="7"/>
  <c r="C18" i="7"/>
  <c r="K23" i="7"/>
  <c r="E14" i="7"/>
  <c r="M32" i="7"/>
  <c r="L34" i="7"/>
  <c r="P34" i="7"/>
  <c r="K26" i="7"/>
  <c r="H23" i="7"/>
  <c r="R19" i="7"/>
  <c r="C27" i="7"/>
  <c r="A18" i="7"/>
  <c r="D23" i="7"/>
  <c r="S33" i="7"/>
  <c r="J19" i="7"/>
  <c r="T35" i="7"/>
  <c r="G22" i="7"/>
  <c r="O29" i="7"/>
  <c r="A35" i="7"/>
  <c r="R31" i="7"/>
  <c r="P18" i="7"/>
  <c r="G14" i="7"/>
  <c r="Q16" i="7"/>
  <c r="A25" i="7"/>
  <c r="U28" i="7"/>
  <c r="C13" i="7"/>
  <c r="B28" i="7"/>
  <c r="N23" i="7"/>
  <c r="J22" i="7"/>
  <c r="K20" i="7"/>
  <c r="B13" i="7"/>
  <c r="R26" i="7"/>
  <c r="H31" i="7"/>
  <c r="J20" i="7"/>
  <c r="N31" i="7"/>
  <c r="S31" i="7"/>
  <c r="I34" i="7"/>
  <c r="M23" i="7"/>
  <c r="S34" i="7"/>
  <c r="K16" i="7"/>
  <c r="L15" i="7"/>
  <c r="H27" i="7"/>
  <c r="L25" i="7"/>
  <c r="M13" i="7"/>
  <c r="D24" i="7"/>
  <c r="E28" i="7"/>
  <c r="R33" i="7"/>
  <c r="M21" i="7"/>
  <c r="E12" i="7"/>
  <c r="G24" i="7"/>
  <c r="M33" i="7"/>
  <c r="S18" i="7"/>
  <c r="O12" i="7"/>
  <c r="O21" i="7"/>
  <c r="H24" i="7"/>
  <c r="F20" i="7"/>
  <c r="K24" i="7"/>
  <c r="T16" i="7"/>
  <c r="H21" i="7"/>
  <c r="F15" i="7"/>
  <c r="B18" i="7"/>
  <c r="J12" i="7"/>
  <c r="H19" i="7"/>
  <c r="C16" i="7"/>
  <c r="C12" i="7"/>
  <c r="Q33" i="7"/>
  <c r="H26" i="7"/>
  <c r="S17" i="7"/>
  <c r="P25" i="7"/>
  <c r="Q22" i="7"/>
  <c r="D30" i="7"/>
  <c r="P22" i="7"/>
  <c r="I31" i="7"/>
  <c r="C14" i="7"/>
  <c r="A13" i="7"/>
  <c r="A32" i="7"/>
  <c r="R16" i="7"/>
  <c r="B12" i="7"/>
  <c r="D14" i="7"/>
  <c r="H29" i="7"/>
  <c r="I13" i="7"/>
  <c r="K33" i="7"/>
  <c r="L31" i="7"/>
  <c r="H14" i="7"/>
  <c r="I12" i="7"/>
  <c r="N29" i="7"/>
  <c r="D12" i="7"/>
  <c r="A33" i="7"/>
  <c r="Q15" i="7"/>
  <c r="U21" i="7"/>
  <c r="M19" i="7"/>
  <c r="S35" i="7"/>
  <c r="J21" i="7"/>
  <c r="H12" i="7"/>
  <c r="N14" i="7"/>
  <c r="R22" i="7"/>
  <c r="K30" i="7"/>
  <c r="Q24" i="7"/>
  <c r="O18" i="7"/>
  <c r="I23" i="7"/>
  <c r="T21" i="7"/>
  <c r="S19" i="7"/>
  <c r="R14" i="7"/>
  <c r="G32" i="7"/>
  <c r="K15" i="7"/>
  <c r="I20" i="7"/>
  <c r="Q31" i="7"/>
  <c r="G26" i="7"/>
  <c r="R15" i="7"/>
  <c r="N22" i="7"/>
  <c r="J14" i="7"/>
  <c r="L35" i="7"/>
  <c r="I24" i="7"/>
  <c r="K34" i="7"/>
  <c r="D34" i="7"/>
  <c r="J23" i="7"/>
  <c r="P31" i="7"/>
  <c r="R28" i="7"/>
  <c r="Q26" i="7"/>
  <c r="D32" i="7"/>
  <c r="P19" i="7"/>
  <c r="G21" i="7"/>
  <c r="F13" i="7"/>
  <c r="A21" i="7"/>
  <c r="J34" i="7"/>
  <c r="K18" i="7"/>
  <c r="U18" i="7"/>
  <c r="L18" i="7"/>
  <c r="N18" i="7"/>
  <c r="T31" i="7"/>
  <c r="F19" i="7"/>
  <c r="H33" i="7"/>
  <c r="C22" i="7"/>
  <c r="J28" i="7"/>
  <c r="U14" i="7"/>
  <c r="G16" i="7"/>
  <c r="L28" i="7"/>
  <c r="K28" i="7"/>
  <c r="E20" i="7"/>
  <c r="I14" i="7"/>
  <c r="U15" i="7"/>
  <c r="O20" i="7"/>
  <c r="H22" i="7"/>
  <c r="J33" i="7"/>
  <c r="D31" i="7"/>
  <c r="M24" i="7"/>
  <c r="A12" i="7"/>
  <c r="S23" i="7"/>
  <c r="S21" i="7"/>
  <c r="R17" i="7"/>
  <c r="B22" i="7"/>
  <c r="Q25" i="7"/>
  <c r="G13" i="7"/>
  <c r="C23" i="7"/>
  <c r="L14" i="7"/>
  <c r="D21" i="7"/>
  <c r="U20" i="7"/>
  <c r="T19" i="7"/>
  <c r="B19" i="7"/>
  <c r="N20" i="7"/>
  <c r="B26" i="7"/>
  <c r="U24" i="7"/>
  <c r="I32" i="7"/>
  <c r="S22" i="7"/>
  <c r="B29" i="7"/>
  <c r="F12" i="7"/>
  <c r="A14" i="7"/>
  <c r="D22" i="7"/>
  <c r="U25" i="7"/>
  <c r="G28" i="7"/>
  <c r="J13" i="7"/>
  <c r="I27" i="7"/>
  <c r="C35" i="7"/>
  <c r="U29" i="7"/>
  <c r="N16" i="7"/>
  <c r="J24" i="7"/>
  <c r="M35" i="7"/>
  <c r="U30" i="7"/>
  <c r="A22" i="7"/>
  <c r="P23" i="7"/>
  <c r="B30" i="7"/>
  <c r="N21" i="7"/>
  <c r="I19" i="7"/>
  <c r="Q27" i="7"/>
  <c r="W17" i="7"/>
  <c r="W22" i="7"/>
  <c r="E1" i="6"/>
  <c r="AZ2" i="12"/>
  <c r="Z18" i="7"/>
  <c r="BA2" i="12"/>
  <c r="G11" i="6"/>
  <c r="AC13" i="7"/>
  <c r="BA3" i="12"/>
  <c r="BJ7" i="12"/>
  <c r="E4" i="6"/>
  <c r="AC20" i="7"/>
  <c r="BJ11" i="12"/>
  <c r="I17" i="27"/>
  <c r="W15" i="7"/>
  <c r="BA10" i="12"/>
  <c r="BA5" i="12"/>
  <c r="BA6" i="12"/>
  <c r="AC16" i="7"/>
  <c r="AZ9" i="12"/>
  <c r="AZ3" i="12"/>
  <c r="W16" i="7"/>
  <c r="BJ10" i="12"/>
  <c r="BJ4" i="12"/>
  <c r="AC21" i="7"/>
  <c r="Z15" i="7"/>
  <c r="BJ12" i="12"/>
  <c r="BJ2" i="12"/>
  <c r="AZ6" i="12"/>
  <c r="BA7" i="12"/>
  <c r="BJ6" i="12"/>
  <c r="W21" i="7"/>
  <c r="W18" i="7"/>
  <c r="AZ10" i="12"/>
  <c r="I16" i="27"/>
  <c r="AZ5" i="12"/>
  <c r="AZ7" i="12"/>
  <c r="BA11" i="12"/>
  <c r="AZ4" i="12"/>
  <c r="BI48" i="12" a="1"/>
  <c r="AZ11" i="12"/>
  <c r="BJ13" i="12"/>
  <c r="E8" i="5"/>
  <c r="W13" i="7"/>
  <c r="BJ3" i="12"/>
  <c r="BA4" i="12"/>
  <c r="Z20" i="7"/>
  <c r="BA9" i="12"/>
  <c r="AC14" i="7"/>
  <c r="BA8" i="12"/>
  <c r="AZ12" i="12"/>
  <c r="AC19" i="7"/>
  <c r="BJ8" i="12"/>
  <c r="Z14" i="7"/>
  <c r="AZ13" i="12"/>
  <c r="AZ8" i="12"/>
  <c r="BJ9" i="12"/>
  <c r="BA13" i="12"/>
  <c r="CA12" i="12"/>
  <c r="CA10" i="12"/>
  <c r="CA3" i="12"/>
  <c r="E17" i="27"/>
  <c r="CA9" i="12"/>
  <c r="CA11" i="12"/>
  <c r="CA8" i="12"/>
  <c r="CA6" i="12"/>
  <c r="BV48" i="12" l="1"/>
  <c r="BL50" i="12"/>
  <c r="BS51" i="12"/>
  <c r="BR59" i="12"/>
  <c r="BK59" i="12"/>
  <c r="BV49" i="12"/>
  <c r="BU48" i="12"/>
  <c r="BS48" i="12"/>
  <c r="BI56" i="12"/>
  <c r="BR51" i="12"/>
  <c r="BV57" i="12"/>
  <c r="CA62" i="12"/>
  <c r="BO48" i="12"/>
  <c r="BZ48" i="12"/>
  <c r="BN63" i="12"/>
  <c r="CA63" i="12"/>
  <c r="BL52" i="12"/>
  <c r="BU58" i="12"/>
  <c r="BK56" i="12"/>
  <c r="BK63" i="12"/>
  <c r="CA55" i="12"/>
  <c r="BP63" i="12"/>
  <c r="BI54" i="12"/>
  <c r="BN50" i="12"/>
  <c r="BT52" i="12"/>
  <c r="BR55" i="12"/>
  <c r="BX63" i="12"/>
  <c r="BI58" i="12"/>
  <c r="BK48" i="12"/>
  <c r="BT63" i="12"/>
  <c r="BT51" i="12"/>
  <c r="BY50" i="12"/>
  <c r="BY60" i="12"/>
  <c r="BY52" i="12"/>
  <c r="BY54" i="12"/>
  <c r="BV61" i="12"/>
  <c r="BM64" i="12"/>
  <c r="BR62" i="12"/>
  <c r="BP51" i="12"/>
  <c r="BQ52" i="12"/>
  <c r="BX56" i="12"/>
  <c r="BP50" i="12"/>
  <c r="BN55" i="12"/>
  <c r="BI49" i="12"/>
  <c r="BV59" i="12"/>
  <c r="BN64" i="12"/>
  <c r="BR56" i="12"/>
  <c r="BN48" i="12"/>
  <c r="BM49" i="12"/>
  <c r="BS62" i="12"/>
  <c r="BW61" i="12"/>
  <c r="BN57" i="12"/>
  <c r="BU57" i="12"/>
  <c r="BU54" i="12"/>
  <c r="BJ62" i="12"/>
  <c r="BO59" i="12"/>
  <c r="BM56" i="12"/>
  <c r="BL63" i="12"/>
  <c r="BR57" i="12"/>
  <c r="BR61" i="12"/>
  <c r="BW51" i="12"/>
  <c r="BO63" i="12"/>
  <c r="BW59" i="12"/>
  <c r="BW52" i="12"/>
  <c r="BZ61" i="12"/>
  <c r="BL60" i="12"/>
  <c r="BT58" i="12"/>
  <c r="BM55" i="12"/>
  <c r="BQ59" i="12"/>
  <c r="BM57" i="12"/>
  <c r="BS53" i="12"/>
  <c r="BK60" i="12"/>
  <c r="BL57" i="12"/>
  <c r="BX59" i="12"/>
  <c r="BZ62" i="12"/>
  <c r="BS52" i="12"/>
  <c r="BQ58" i="12"/>
  <c r="BN56" i="12"/>
  <c r="BS64" i="12"/>
  <c r="BL55" i="12"/>
  <c r="BW53" i="12"/>
  <c r="BR53" i="12"/>
  <c r="BL53" i="12"/>
  <c r="BL51" i="12"/>
  <c r="BZ55" i="12"/>
  <c r="BS55" i="12"/>
  <c r="BY49" i="12"/>
  <c r="BV56" i="12"/>
  <c r="BS60" i="12"/>
  <c r="BX48" i="12"/>
  <c r="BL56" i="12"/>
  <c r="CA59" i="12"/>
  <c r="BM59" i="12"/>
  <c r="BP62" i="12"/>
  <c r="BQ61" i="12"/>
  <c r="BW56" i="12"/>
  <c r="BM62" i="12"/>
  <c r="BP61" i="12"/>
  <c r="BU51" i="12"/>
  <c r="CA64" i="12"/>
  <c r="BJ51" i="12"/>
  <c r="BT48" i="12"/>
  <c r="BZ50" i="12"/>
  <c r="BQ60" i="12"/>
  <c r="BN61" i="12"/>
  <c r="BM53" i="12"/>
  <c r="BJ54" i="12"/>
  <c r="BI53" i="12"/>
  <c r="BJ60" i="12"/>
  <c r="BM60" i="12"/>
  <c r="BU49" i="12"/>
  <c r="BY62" i="12"/>
  <c r="BR49" i="12"/>
  <c r="BY61" i="12"/>
  <c r="BX54" i="12"/>
  <c r="BV55" i="12"/>
  <c r="CA49" i="12"/>
  <c r="BM54" i="12"/>
  <c r="BJ58" i="12"/>
  <c r="BW58" i="12"/>
  <c r="BI60" i="12"/>
  <c r="BK51" i="12"/>
  <c r="BO61" i="12"/>
  <c r="BP58" i="12"/>
  <c r="BM50" i="12"/>
  <c r="BU63" i="12"/>
  <c r="BX51" i="12"/>
  <c r="BS63" i="12"/>
  <c r="BQ50" i="12"/>
  <c r="BP59" i="12"/>
  <c r="BN58" i="12"/>
  <c r="BN60" i="12"/>
  <c r="BO58" i="12"/>
  <c r="BS61" i="12"/>
  <c r="BW63" i="12"/>
  <c r="BR60" i="12"/>
  <c r="BZ49" i="12"/>
  <c r="BQ49" i="12"/>
  <c r="BR64" i="12"/>
  <c r="BT62" i="12"/>
  <c r="BW54" i="12"/>
  <c r="BP48" i="12"/>
  <c r="BM63" i="12"/>
  <c r="BU55" i="12"/>
  <c r="BL58" i="12"/>
  <c r="BK58" i="12"/>
  <c r="BK52" i="12"/>
  <c r="BW62" i="12"/>
  <c r="BY58" i="12"/>
  <c r="BI51" i="12"/>
  <c r="BL64" i="12"/>
  <c r="CA61" i="12"/>
  <c r="BY51" i="12"/>
  <c r="BT60" i="12"/>
  <c r="BV50" i="12"/>
  <c r="BS57" i="12"/>
  <c r="BO55" i="12"/>
  <c r="BU60" i="12"/>
  <c r="BP64" i="12"/>
  <c r="BJ64" i="12"/>
  <c r="BJ61" i="12"/>
  <c r="BI61" i="12"/>
  <c r="BJ63" i="12"/>
  <c r="BP49" i="12"/>
  <c r="BJ49" i="12"/>
  <c r="BN51" i="12"/>
  <c r="BL59" i="12"/>
  <c r="BR48" i="12"/>
  <c r="BV52" i="12"/>
  <c r="BT50" i="12"/>
  <c r="BK57" i="12"/>
  <c r="BQ56" i="12"/>
  <c r="BP52" i="12"/>
  <c r="CA51" i="12"/>
  <c r="BL54" i="12"/>
  <c r="BV53" i="12"/>
  <c r="CA58" i="12"/>
  <c r="BK62" i="12"/>
  <c r="BJ52" i="12"/>
  <c r="BR58" i="12"/>
  <c r="BU52" i="12"/>
  <c r="BK54" i="12"/>
  <c r="BM61" i="12"/>
  <c r="BP53" i="12"/>
  <c r="BQ57" i="12"/>
  <c r="BW48" i="12"/>
  <c r="BQ62" i="12"/>
  <c r="BI48" i="12"/>
  <c r="BS58" i="12"/>
  <c r="BZ57" i="12"/>
  <c r="BX62" i="12"/>
  <c r="BX52" i="12"/>
  <c r="BQ54" i="12"/>
  <c r="BL48" i="12"/>
  <c r="BX61" i="12"/>
  <c r="BS50" i="12"/>
  <c r="BX49" i="12"/>
  <c r="BT57" i="12"/>
  <c r="BY48" i="12"/>
  <c r="CA54" i="12"/>
  <c r="BJ57" i="12"/>
  <c r="BQ64" i="12"/>
  <c r="BI55" i="12"/>
  <c r="BO56" i="12"/>
  <c r="BL49" i="12"/>
  <c r="BR54" i="12"/>
  <c r="BQ55" i="12"/>
  <c r="BV60" i="12"/>
  <c r="BV51" i="12"/>
  <c r="BW55" i="12"/>
  <c r="CA60" i="12"/>
  <c r="CA50" i="12"/>
  <c r="BZ56" i="12"/>
  <c r="CA56" i="12"/>
  <c r="BP54" i="12"/>
  <c r="BT54" i="12"/>
  <c r="BK50" i="12"/>
  <c r="BN52" i="12"/>
  <c r="BK61" i="12"/>
  <c r="BR50" i="12"/>
  <c r="BP56" i="12"/>
  <c r="BT49" i="12"/>
  <c r="BO49" i="12"/>
  <c r="BT64" i="12"/>
  <c r="BY59" i="12"/>
  <c r="BT56" i="12"/>
  <c r="BM58" i="12"/>
  <c r="BY57" i="12"/>
  <c r="BI64" i="12"/>
  <c r="BZ63" i="12"/>
  <c r="BY53" i="12"/>
  <c r="BK64" i="12"/>
  <c r="BP55" i="12"/>
  <c r="BK49" i="12"/>
  <c r="BJ50" i="12"/>
  <c r="BO53" i="12"/>
  <c r="BV58" i="12"/>
  <c r="BX64" i="12"/>
  <c r="BU59" i="12"/>
  <c r="BJ56" i="12"/>
  <c r="BU50" i="12"/>
  <c r="BW50" i="12"/>
  <c r="BL61" i="12"/>
  <c r="BO54" i="12"/>
  <c r="BZ58" i="12"/>
  <c r="BS59" i="12"/>
  <c r="BV64" i="12"/>
  <c r="BO60" i="12"/>
  <c r="BZ54" i="12"/>
  <c r="BX50" i="12"/>
  <c r="BT55" i="12"/>
  <c r="BM51" i="12"/>
  <c r="BO50" i="12"/>
  <c r="BQ48" i="12"/>
  <c r="CA57" i="12"/>
  <c r="BO52" i="12"/>
  <c r="BQ63" i="12"/>
  <c r="BK53" i="12"/>
  <c r="BO64" i="12"/>
  <c r="BJ59" i="12"/>
  <c r="BS49" i="12"/>
  <c r="BI57" i="12"/>
  <c r="BO57" i="12"/>
  <c r="BK55" i="12"/>
  <c r="BW64" i="12"/>
  <c r="BI62" i="12"/>
  <c r="BT59" i="12"/>
  <c r="BV54" i="12"/>
  <c r="BI63" i="12"/>
  <c r="BZ52" i="12"/>
  <c r="BV62" i="12"/>
  <c r="BZ51" i="12"/>
  <c r="BU62" i="12"/>
  <c r="BN62" i="12"/>
  <c r="BR52" i="12"/>
  <c r="BY56" i="12"/>
  <c r="BI59" i="12"/>
  <c r="BW49" i="12"/>
  <c r="BN49" i="12"/>
  <c r="BX60" i="12"/>
  <c r="BZ59" i="12"/>
  <c r="BP60" i="12"/>
  <c r="BW57" i="12"/>
  <c r="BN59" i="12"/>
  <c r="BX58" i="12"/>
  <c r="BW60" i="12"/>
  <c r="BY64" i="12"/>
  <c r="CA48" i="12"/>
  <c r="BT61" i="12"/>
  <c r="BJ48" i="12"/>
  <c r="BQ53" i="12"/>
  <c r="BN54" i="12"/>
  <c r="BX53" i="12"/>
  <c r="BZ60" i="12"/>
  <c r="BS56" i="12"/>
  <c r="BL62" i="12"/>
  <c r="BX57" i="12"/>
  <c r="BT53" i="12"/>
  <c r="BU53" i="12"/>
  <c r="BZ64" i="12"/>
  <c r="BY63" i="12"/>
  <c r="BM52" i="12"/>
  <c r="BX55" i="12"/>
  <c r="BU56" i="12"/>
  <c r="BU61" i="12"/>
  <c r="BM48" i="12"/>
  <c r="BO62" i="12"/>
  <c r="BN53" i="12"/>
  <c r="BI50" i="12"/>
  <c r="BJ53" i="12"/>
  <c r="BO51" i="12"/>
  <c r="BV63" i="12"/>
  <c r="BY55" i="12"/>
  <c r="BS54" i="12"/>
  <c r="CA52" i="12"/>
  <c r="BR63" i="12"/>
  <c r="BQ51" i="12"/>
  <c r="BI52" i="12"/>
  <c r="BZ53" i="12"/>
  <c r="BU64" i="12"/>
  <c r="CA53" i="12"/>
  <c r="BP57" i="12"/>
  <c r="BJ55" i="12"/>
  <c r="CD51" i="12"/>
  <c r="X21" i="7"/>
  <c r="AA18" i="7"/>
  <c r="AA15" i="7"/>
  <c r="X22" i="7"/>
  <c r="AA14" i="7"/>
  <c r="AA7" i="7" s="1"/>
  <c r="X18" i="7"/>
  <c r="X15" i="7"/>
  <c r="X17" i="7"/>
  <c r="X16" i="7"/>
  <c r="Z16" i="7"/>
  <c r="W14" i="7"/>
  <c r="W20" i="7"/>
  <c r="Z22" i="7"/>
  <c r="Z19" i="7"/>
  <c r="Z17" i="7"/>
  <c r="BI69" i="12"/>
  <c r="Z13" i="7"/>
  <c r="AC18" i="7"/>
  <c r="W19" i="7"/>
  <c r="AC17" i="7"/>
  <c r="Z21" i="7"/>
  <c r="AC22" i="7"/>
  <c r="AC15" i="7"/>
  <c r="BI70" i="12"/>
  <c r="CD49" i="12" l="1"/>
  <c r="CD52" i="12"/>
  <c r="CD50" i="12"/>
  <c r="AA17" i="7"/>
  <c r="AA16" i="7"/>
  <c r="X19" i="7"/>
  <c r="X14" i="7"/>
  <c r="X7" i="7" s="1"/>
  <c r="X20" i="7"/>
  <c r="AO54" i="12"/>
  <c r="I3" i="2"/>
  <c r="F8" i="4"/>
  <c r="K15" i="82" l="1"/>
  <c r="L26" i="4"/>
  <c r="E36" i="82" l="1"/>
  <c r="I8" i="4"/>
  <c r="F8" i="15"/>
  <c r="B35" i="82" l="1"/>
  <c r="L1" i="4"/>
  <c r="K8" i="82"/>
  <c r="F23" i="15"/>
  <c r="I2" i="15" a="1"/>
  <c r="F9" i="15"/>
  <c r="I28" i="15" l="1"/>
  <c r="I41" i="15"/>
  <c r="I22" i="15"/>
  <c r="I10" i="15"/>
  <c r="I7" i="15"/>
  <c r="I40" i="15"/>
  <c r="I14" i="15"/>
  <c r="I33" i="15"/>
  <c r="I18" i="15"/>
  <c r="I17" i="15"/>
  <c r="I42" i="15"/>
  <c r="I30" i="15"/>
  <c r="I4" i="15"/>
  <c r="I15" i="15"/>
  <c r="I19" i="15"/>
  <c r="I31" i="15"/>
  <c r="I37" i="15"/>
  <c r="I13" i="15"/>
  <c r="I32" i="15"/>
  <c r="I26" i="15"/>
  <c r="I38" i="15"/>
  <c r="I6" i="15"/>
  <c r="I34" i="15"/>
  <c r="I12" i="15"/>
  <c r="I39" i="15"/>
  <c r="I23" i="15"/>
  <c r="I16" i="15"/>
  <c r="I3" i="15"/>
  <c r="I27" i="15"/>
  <c r="I11" i="15"/>
  <c r="I9" i="15"/>
  <c r="I35" i="15"/>
  <c r="I8" i="15"/>
  <c r="I20" i="15"/>
  <c r="I29" i="15"/>
  <c r="I24" i="15"/>
  <c r="I36" i="15"/>
  <c r="I2" i="15"/>
  <c r="I21" i="15"/>
  <c r="I5" i="15"/>
  <c r="I25" i="15"/>
  <c r="Q9" i="15"/>
  <c r="B26" i="4"/>
  <c r="F21" i="15"/>
  <c r="H2" i="15" a="1"/>
  <c r="H15" i="15" l="1"/>
  <c r="H26" i="15"/>
  <c r="H41" i="15"/>
  <c r="H11" i="15"/>
  <c r="H28" i="15"/>
  <c r="H16" i="15"/>
  <c r="H35" i="15"/>
  <c r="H30" i="15"/>
  <c r="H18" i="15"/>
  <c r="H23" i="15"/>
  <c r="H39" i="15"/>
  <c r="H27" i="15"/>
  <c r="H3" i="15"/>
  <c r="H17" i="15"/>
  <c r="H32" i="15"/>
  <c r="H31" i="15"/>
  <c r="H13" i="15"/>
  <c r="H25" i="15"/>
  <c r="H7" i="15"/>
  <c r="H21" i="15"/>
  <c r="H14" i="15"/>
  <c r="H9" i="15"/>
  <c r="H12" i="15"/>
  <c r="H33" i="15"/>
  <c r="H22" i="15"/>
  <c r="H34" i="15"/>
  <c r="H10" i="15"/>
  <c r="H2" i="15"/>
  <c r="H4" i="15"/>
  <c r="H38" i="15"/>
  <c r="H37" i="15"/>
  <c r="H8" i="15"/>
  <c r="H20" i="15"/>
  <c r="H6" i="15"/>
  <c r="H24" i="15"/>
  <c r="H19" i="15"/>
  <c r="H5" i="15"/>
  <c r="H40" i="15"/>
  <c r="H42" i="15"/>
  <c r="H29" i="15"/>
  <c r="H36" i="15"/>
  <c r="E29" i="82"/>
  <c r="F1" i="4"/>
  <c r="O26" i="4"/>
  <c r="E1" i="9"/>
  <c r="O1" i="4"/>
  <c r="E16" i="3"/>
  <c r="K25" i="15"/>
  <c r="K14" i="15"/>
  <c r="K37" i="15"/>
  <c r="K27" i="15"/>
  <c r="L2" i="15"/>
  <c r="L8" i="15"/>
  <c r="K23" i="15"/>
  <c r="K29" i="15"/>
  <c r="F9" i="4"/>
  <c r="L39" i="15"/>
  <c r="L22" i="15"/>
  <c r="K35" i="15"/>
  <c r="L27" i="4"/>
  <c r="L18" i="15"/>
  <c r="L14" i="15"/>
  <c r="K24" i="15"/>
  <c r="F24" i="15"/>
  <c r="L26" i="15"/>
  <c r="L7" i="15"/>
  <c r="J2" i="15" a="1"/>
  <c r="K41" i="15"/>
  <c r="L37" i="15"/>
  <c r="K42" i="15"/>
  <c r="K10" i="15"/>
  <c r="L19" i="15"/>
  <c r="K11" i="15"/>
  <c r="L21" i="15"/>
  <c r="L10" i="15"/>
  <c r="K22" i="15"/>
  <c r="L2" i="4"/>
  <c r="L38" i="15"/>
  <c r="L41" i="15"/>
  <c r="F20" i="15"/>
  <c r="L36" i="15"/>
  <c r="L31" i="15"/>
  <c r="L9" i="15"/>
  <c r="L30" i="15"/>
  <c r="L24" i="15"/>
  <c r="L15" i="15"/>
  <c r="L16" i="15"/>
  <c r="K17" i="15"/>
  <c r="K36" i="15"/>
  <c r="K7" i="15"/>
  <c r="L32" i="15"/>
  <c r="I9" i="4"/>
  <c r="K18" i="15"/>
  <c r="K4" i="15"/>
  <c r="L40" i="15"/>
  <c r="L11" i="15"/>
  <c r="K39" i="15"/>
  <c r="K26" i="15"/>
  <c r="K38" i="15"/>
  <c r="L27" i="15"/>
  <c r="K21" i="15"/>
  <c r="K34" i="15"/>
  <c r="L6" i="15"/>
  <c r="K5" i="15"/>
  <c r="K31" i="15"/>
  <c r="L28" i="15"/>
  <c r="K12" i="15"/>
  <c r="L5" i="15"/>
  <c r="K2" i="15"/>
  <c r="L4" i="15"/>
  <c r="E2" i="9"/>
  <c r="L17" i="15"/>
  <c r="L34" i="15"/>
  <c r="K20" i="15"/>
  <c r="L42" i="15"/>
  <c r="L3" i="15"/>
  <c r="F22" i="15"/>
  <c r="K28" i="15"/>
  <c r="K32" i="15"/>
  <c r="K15" i="15"/>
  <c r="B1" i="4"/>
  <c r="J15" i="15" l="1"/>
  <c r="J34" i="15"/>
  <c r="J20" i="15"/>
  <c r="J35" i="15"/>
  <c r="J7" i="15"/>
  <c r="J28" i="15"/>
  <c r="J40" i="15"/>
  <c r="J31" i="15"/>
  <c r="J19" i="15"/>
  <c r="J14" i="15"/>
  <c r="J2" i="15"/>
  <c r="J4" i="15"/>
  <c r="J18" i="15"/>
  <c r="J13" i="15"/>
  <c r="J11" i="15"/>
  <c r="J6" i="15"/>
  <c r="J41" i="15"/>
  <c r="J16" i="15"/>
  <c r="J23" i="15"/>
  <c r="J8" i="15"/>
  <c r="J3" i="15"/>
  <c r="J30" i="15"/>
  <c r="J32" i="15"/>
  <c r="J33" i="15"/>
  <c r="J5" i="15"/>
  <c r="J39" i="15"/>
  <c r="J37" i="15"/>
  <c r="J10" i="15"/>
  <c r="J27" i="15"/>
  <c r="J25" i="15"/>
  <c r="J42" i="15"/>
  <c r="J36" i="15"/>
  <c r="J17" i="15"/>
  <c r="J9" i="15"/>
  <c r="J22" i="15"/>
  <c r="J26" i="15"/>
  <c r="J29" i="15"/>
  <c r="J38" i="15"/>
  <c r="J21" i="15"/>
  <c r="J24" i="15"/>
  <c r="J12" i="15"/>
  <c r="X22" i="12"/>
  <c r="I26" i="4"/>
  <c r="I1" i="9"/>
  <c r="A1" i="10" a="1"/>
  <c r="I17" i="3"/>
  <c r="I2" i="9"/>
  <c r="I16" i="3"/>
  <c r="I1" i="4"/>
  <c r="F2" i="4"/>
  <c r="K30" i="15"/>
  <c r="B29" i="82"/>
  <c r="K19" i="15"/>
  <c r="O27" i="4"/>
  <c r="E17" i="3"/>
  <c r="L12" i="15"/>
  <c r="L35" i="15"/>
  <c r="E30" i="82"/>
  <c r="F27" i="15"/>
  <c r="F25" i="15"/>
  <c r="K33" i="15"/>
  <c r="L29" i="15"/>
  <c r="L33" i="15"/>
  <c r="F26" i="15"/>
  <c r="K8" i="15"/>
  <c r="B27" i="4"/>
  <c r="K40" i="15"/>
  <c r="L25" i="15"/>
  <c r="K9" i="15"/>
  <c r="K16" i="15"/>
  <c r="I27" i="4"/>
  <c r="K9" i="82"/>
  <c r="K6" i="15"/>
  <c r="L20" i="15"/>
  <c r="O2" i="4"/>
  <c r="K13" i="15"/>
  <c r="L23" i="15"/>
  <c r="B2" i="4"/>
  <c r="K3" i="15"/>
  <c r="L13" i="15"/>
  <c r="U3" i="10" l="1"/>
  <c r="L3" i="10"/>
  <c r="I8" i="10"/>
  <c r="O12" i="10"/>
  <c r="H21" i="10"/>
  <c r="K5" i="10"/>
  <c r="N10" i="10"/>
  <c r="O20" i="10"/>
  <c r="O5" i="10"/>
  <c r="G10" i="10"/>
  <c r="R19" i="10"/>
  <c r="S8" i="10"/>
  <c r="T5" i="10"/>
  <c r="H16" i="10"/>
  <c r="H18" i="10"/>
  <c r="H2" i="10"/>
  <c r="L20" i="10"/>
  <c r="D11" i="10"/>
  <c r="N1" i="10"/>
  <c r="E21" i="10"/>
  <c r="J1" i="10"/>
  <c r="U13" i="10"/>
  <c r="N16" i="10"/>
  <c r="Q11" i="10"/>
  <c r="T17" i="10"/>
  <c r="D8" i="10"/>
  <c r="O3" i="10"/>
  <c r="U6" i="10"/>
  <c r="P12" i="10"/>
  <c r="F8" i="10"/>
  <c r="S21" i="10"/>
  <c r="F1" i="10"/>
  <c r="C18" i="10"/>
  <c r="N15" i="10"/>
  <c r="A16" i="10"/>
  <c r="G18" i="10"/>
  <c r="R13" i="10"/>
  <c r="B6" i="10"/>
  <c r="C6" i="10"/>
  <c r="B4" i="10"/>
  <c r="B14" i="10"/>
  <c r="M7" i="10"/>
  <c r="B12" i="10"/>
  <c r="E16" i="10"/>
  <c r="E12" i="10"/>
  <c r="S4" i="10"/>
  <c r="H13" i="10"/>
  <c r="F15" i="10"/>
  <c r="S20" i="10"/>
  <c r="F5" i="10"/>
  <c r="T8" i="10"/>
  <c r="T1" i="10"/>
  <c r="U16" i="10"/>
  <c r="T4" i="10"/>
  <c r="B23" i="10"/>
  <c r="L9" i="10"/>
  <c r="M21" i="10"/>
  <c r="C19" i="10"/>
  <c r="B24" i="10"/>
  <c r="N20" i="10"/>
  <c r="N22" i="10"/>
  <c r="P14" i="10"/>
  <c r="O13" i="10"/>
  <c r="U23" i="10"/>
  <c r="U18" i="10"/>
  <c r="L21" i="10"/>
  <c r="F19" i="10"/>
  <c r="N4" i="10"/>
  <c r="E8" i="10"/>
  <c r="D15" i="10"/>
  <c r="T23" i="10"/>
  <c r="E22" i="10"/>
  <c r="J3" i="10"/>
  <c r="H7" i="10"/>
  <c r="F3" i="10"/>
  <c r="H9" i="10"/>
  <c r="O17" i="10"/>
  <c r="P6" i="10"/>
  <c r="S23" i="10"/>
  <c r="N14" i="10"/>
  <c r="S11" i="10"/>
  <c r="L16" i="10"/>
  <c r="C22" i="10"/>
  <c r="K3" i="10"/>
  <c r="F6" i="10"/>
  <c r="U8" i="10"/>
  <c r="N5" i="10"/>
  <c r="O14" i="10"/>
  <c r="J16" i="10"/>
  <c r="Q14" i="10"/>
  <c r="D20" i="10"/>
  <c r="I5" i="10"/>
  <c r="J18" i="10"/>
  <c r="D17" i="10"/>
  <c r="L14" i="10"/>
  <c r="O9" i="10"/>
  <c r="O10" i="10"/>
  <c r="T24" i="10"/>
  <c r="C3" i="10"/>
  <c r="U10" i="10"/>
  <c r="N21" i="10"/>
  <c r="R8" i="10"/>
  <c r="C7" i="10"/>
  <c r="B18" i="10"/>
  <c r="D14" i="10"/>
  <c r="L2" i="10"/>
  <c r="I11" i="10"/>
  <c r="N7" i="10"/>
  <c r="G23" i="10"/>
  <c r="E4" i="10"/>
  <c r="B3" i="10"/>
  <c r="I21" i="10"/>
  <c r="C9" i="10"/>
  <c r="I12" i="10"/>
  <c r="I19" i="10"/>
  <c r="C10" i="10"/>
  <c r="B21" i="10"/>
  <c r="L17" i="10"/>
  <c r="L6" i="10"/>
  <c r="S18" i="10"/>
  <c r="K8" i="10"/>
  <c r="H14" i="10"/>
  <c r="I4" i="10"/>
  <c r="N12" i="10"/>
  <c r="D4" i="10"/>
  <c r="N8" i="10"/>
  <c r="I3" i="10"/>
  <c r="P5" i="10"/>
  <c r="R23" i="10"/>
  <c r="L15" i="10"/>
  <c r="D13" i="10"/>
  <c r="J14" i="10"/>
  <c r="M4" i="10"/>
  <c r="P9" i="10"/>
  <c r="F13" i="10"/>
  <c r="Q12" i="10"/>
  <c r="R6" i="10"/>
  <c r="J11" i="10"/>
  <c r="T2" i="10"/>
  <c r="L11" i="10"/>
  <c r="T7" i="10"/>
  <c r="L4" i="10"/>
  <c r="J24" i="10"/>
  <c r="F20" i="10"/>
  <c r="B15" i="10"/>
  <c r="P4" i="10"/>
  <c r="E17" i="10"/>
  <c r="P11" i="10"/>
  <c r="O7" i="10"/>
  <c r="D23" i="10"/>
  <c r="U1" i="10"/>
  <c r="J8" i="10"/>
  <c r="B2" i="10"/>
  <c r="U5" i="10"/>
  <c r="F21" i="10"/>
  <c r="C23" i="10"/>
  <c r="A4" i="10"/>
  <c r="M23" i="10"/>
  <c r="Q8" i="10"/>
  <c r="H10" i="10"/>
  <c r="A7" i="10"/>
  <c r="T12" i="10"/>
  <c r="P16" i="10"/>
  <c r="P8" i="10"/>
  <c r="M18" i="10"/>
  <c r="D16" i="10"/>
  <c r="R24" i="10"/>
  <c r="L12" i="10"/>
  <c r="I22" i="10"/>
  <c r="M2" i="10"/>
  <c r="U2" i="10"/>
  <c r="E19" i="10"/>
  <c r="A12" i="10"/>
  <c r="T19" i="10"/>
  <c r="U21" i="10"/>
  <c r="F16" i="10"/>
  <c r="I24" i="10"/>
  <c r="H3" i="10"/>
  <c r="M1" i="10"/>
  <c r="I23" i="10"/>
  <c r="Q3" i="10"/>
  <c r="A2" i="10"/>
  <c r="G8" i="10"/>
  <c r="H6" i="10"/>
  <c r="A5" i="10"/>
  <c r="I17" i="10"/>
  <c r="M15" i="10"/>
  <c r="I1" i="10"/>
  <c r="D12" i="10"/>
  <c r="Q6" i="10"/>
  <c r="M19" i="10"/>
  <c r="C12" i="10"/>
  <c r="H12" i="10"/>
  <c r="M3" i="10"/>
  <c r="L1" i="10"/>
  <c r="P22" i="10"/>
  <c r="F7" i="10"/>
  <c r="P24" i="10"/>
  <c r="S16" i="10"/>
  <c r="R2" i="10"/>
  <c r="Q1" i="10"/>
  <c r="K20" i="10"/>
  <c r="A14" i="10"/>
  <c r="P23" i="10"/>
  <c r="U4" i="10"/>
  <c r="E23" i="10"/>
  <c r="G5" i="10"/>
  <c r="G7" i="10"/>
  <c r="K23" i="10"/>
  <c r="O24" i="10"/>
  <c r="H19" i="10"/>
  <c r="J2" i="10"/>
  <c r="D1" i="10"/>
  <c r="I14" i="10"/>
  <c r="E10" i="10"/>
  <c r="J13" i="10"/>
  <c r="M6" i="10"/>
  <c r="O21" i="10"/>
  <c r="D2" i="10"/>
  <c r="I13" i="10"/>
  <c r="O22" i="10"/>
  <c r="S5" i="10"/>
  <c r="J7" i="10"/>
  <c r="P13" i="10"/>
  <c r="H24" i="10"/>
  <c r="B9" i="10"/>
  <c r="G17" i="10"/>
  <c r="R18" i="10"/>
  <c r="E7" i="10"/>
  <c r="I10" i="10"/>
  <c r="C11" i="10"/>
  <c r="R4" i="10"/>
  <c r="O8" i="10"/>
  <c r="M22" i="10"/>
  <c r="J15" i="10"/>
  <c r="A10" i="10"/>
  <c r="J23" i="10"/>
  <c r="R15" i="10"/>
  <c r="K4" i="10"/>
  <c r="R12" i="10"/>
  <c r="S13" i="10"/>
  <c r="I2" i="10"/>
  <c r="C17" i="10"/>
  <c r="P7" i="10"/>
  <c r="E18" i="10"/>
  <c r="N2" i="10"/>
  <c r="S24" i="10"/>
  <c r="G13" i="10"/>
  <c r="Q19" i="10"/>
  <c r="A8" i="10"/>
  <c r="K9" i="10"/>
  <c r="E11" i="10"/>
  <c r="U22" i="10"/>
  <c r="A6" i="10"/>
  <c r="H23" i="10"/>
  <c r="F10" i="10"/>
  <c r="J17" i="10"/>
  <c r="U9" i="10"/>
  <c r="N11" i="10"/>
  <c r="K10" i="10"/>
  <c r="B16" i="10"/>
  <c r="K2" i="10"/>
  <c r="E5" i="10"/>
  <c r="B13" i="10"/>
  <c r="J4" i="10"/>
  <c r="R22" i="10"/>
  <c r="G12" i="10"/>
  <c r="D24" i="10"/>
  <c r="M17" i="10"/>
  <c r="R10" i="10"/>
  <c r="L23" i="10"/>
  <c r="A19" i="10"/>
  <c r="G14" i="10"/>
  <c r="I7" i="10"/>
  <c r="A21" i="10"/>
  <c r="A24" i="10"/>
  <c r="D6" i="10"/>
  <c r="T18" i="10"/>
  <c r="M14" i="10"/>
  <c r="A18" i="10"/>
  <c r="K21" i="10"/>
  <c r="P20" i="10"/>
  <c r="Q13" i="10"/>
  <c r="N18" i="10"/>
  <c r="S12" i="10"/>
  <c r="L8" i="10"/>
  <c r="O6" i="10"/>
  <c r="J5" i="10"/>
  <c r="Q18" i="10"/>
  <c r="N6" i="10"/>
  <c r="A22" i="10"/>
  <c r="J10" i="10"/>
  <c r="G1" i="10"/>
  <c r="G19" i="10"/>
  <c r="T21" i="10"/>
  <c r="P2" i="10"/>
  <c r="T9" i="10"/>
  <c r="Q16" i="10"/>
  <c r="E1" i="10"/>
  <c r="L19" i="10"/>
  <c r="P17" i="10"/>
  <c r="S6" i="10"/>
  <c r="J19" i="10"/>
  <c r="N13" i="10"/>
  <c r="N23" i="10"/>
  <c r="Q23" i="10"/>
  <c r="A20" i="10"/>
  <c r="K7" i="10"/>
  <c r="H5" i="10"/>
  <c r="P19" i="10"/>
  <c r="H11" i="10"/>
  <c r="J21" i="10"/>
  <c r="G11" i="10"/>
  <c r="D5" i="10"/>
  <c r="P18" i="10"/>
  <c r="C2" i="10"/>
  <c r="E14" i="10"/>
  <c r="H17" i="10"/>
  <c r="R3" i="10"/>
  <c r="H1" i="10"/>
  <c r="Q17" i="10"/>
  <c r="J22" i="10"/>
  <c r="S7" i="10"/>
  <c r="K15" i="10"/>
  <c r="F14" i="10"/>
  <c r="U15" i="10"/>
  <c r="G20" i="10"/>
  <c r="O1" i="10"/>
  <c r="C16" i="10"/>
  <c r="O15" i="10"/>
  <c r="K11" i="10"/>
  <c r="G3" i="10"/>
  <c r="B20" i="10"/>
  <c r="Q22" i="10"/>
  <c r="J9" i="10"/>
  <c r="C13" i="10"/>
  <c r="U17" i="10"/>
  <c r="S10" i="10"/>
  <c r="R11" i="10"/>
  <c r="L7" i="10"/>
  <c r="K12" i="10"/>
  <c r="D22" i="10"/>
  <c r="T15" i="10"/>
  <c r="L22" i="10"/>
  <c r="D19" i="10"/>
  <c r="B11" i="10"/>
  <c r="F11" i="10"/>
  <c r="F23" i="10"/>
  <c r="G6" i="10"/>
  <c r="G2" i="10"/>
  <c r="F24" i="10"/>
  <c r="F2" i="10"/>
  <c r="I16" i="10"/>
  <c r="S2" i="10"/>
  <c r="T6" i="10"/>
  <c r="M12" i="10"/>
  <c r="I15" i="10"/>
  <c r="B19" i="10"/>
  <c r="S17" i="10"/>
  <c r="N3" i="10"/>
  <c r="D9" i="10"/>
  <c r="C21" i="10"/>
  <c r="E2" i="10"/>
  <c r="N19" i="10"/>
  <c r="R20" i="10"/>
  <c r="K13" i="10"/>
  <c r="G15" i="10"/>
  <c r="M10" i="10"/>
  <c r="N24" i="10"/>
  <c r="G24" i="10"/>
  <c r="G21" i="10"/>
  <c r="B7" i="10"/>
  <c r="R17" i="10"/>
  <c r="M13" i="10"/>
  <c r="O2" i="10"/>
  <c r="K19" i="10"/>
  <c r="E9" i="10"/>
  <c r="E6" i="10"/>
  <c r="Q21" i="10"/>
  <c r="J6" i="10"/>
  <c r="Q2" i="10"/>
  <c r="E15" i="10"/>
  <c r="G22" i="10"/>
  <c r="N9" i="10"/>
  <c r="L5" i="10"/>
  <c r="P1" i="10"/>
  <c r="S22" i="10"/>
  <c r="G16" i="10"/>
  <c r="R21" i="10"/>
  <c r="T14" i="10"/>
  <c r="P3" i="10"/>
  <c r="N17" i="10"/>
  <c r="D10" i="10"/>
  <c r="Q4" i="10"/>
  <c r="Q24" i="10"/>
  <c r="A15" i="10"/>
  <c r="U7" i="10"/>
  <c r="L10" i="10"/>
  <c r="P10" i="10"/>
  <c r="M8" i="10"/>
  <c r="C14" i="10"/>
  <c r="P21" i="10"/>
  <c r="A11" i="10"/>
  <c r="K1" i="10"/>
  <c r="F4" i="10"/>
  <c r="E13" i="10"/>
  <c r="K22" i="10"/>
  <c r="B8" i="10"/>
  <c r="S19" i="10"/>
  <c r="C24" i="10"/>
  <c r="M24" i="10"/>
  <c r="U11" i="10"/>
  <c r="H22" i="10"/>
  <c r="E24" i="10"/>
  <c r="Q5" i="10"/>
  <c r="U19" i="10"/>
  <c r="C4" i="10"/>
  <c r="R5" i="10"/>
  <c r="B17" i="10"/>
  <c r="O23" i="10"/>
  <c r="I18" i="10"/>
  <c r="A9" i="10"/>
  <c r="K14" i="10"/>
  <c r="G9" i="10"/>
  <c r="L24" i="10"/>
  <c r="R1" i="10"/>
  <c r="D21" i="10"/>
  <c r="K6" i="10"/>
  <c r="R16" i="10"/>
  <c r="T22" i="10"/>
  <c r="M16" i="10"/>
  <c r="B1" i="10"/>
  <c r="S14" i="10"/>
  <c r="K18" i="10"/>
  <c r="H20" i="10"/>
  <c r="I6" i="10"/>
  <c r="B22" i="10"/>
  <c r="U14" i="10"/>
  <c r="Q20" i="10"/>
  <c r="O16" i="10"/>
  <c r="F17" i="10"/>
  <c r="E3" i="10"/>
  <c r="Q7" i="10"/>
  <c r="M11" i="10"/>
  <c r="I9" i="10"/>
  <c r="R7" i="10"/>
  <c r="B10" i="10"/>
  <c r="C8" i="10"/>
  <c r="K16" i="10"/>
  <c r="F12" i="10"/>
  <c r="C20" i="10"/>
  <c r="T20" i="10"/>
  <c r="S9" i="10"/>
  <c r="A13" i="10"/>
  <c r="I20" i="10"/>
  <c r="M9" i="10"/>
  <c r="D18" i="10"/>
  <c r="Q15" i="10"/>
  <c r="E20" i="10"/>
  <c r="T10" i="10"/>
  <c r="D7" i="10"/>
  <c r="F18" i="10"/>
  <c r="U24" i="10"/>
  <c r="K24" i="10"/>
  <c r="O4" i="10"/>
  <c r="A3" i="10"/>
  <c r="T16" i="10"/>
  <c r="A23" i="10"/>
  <c r="G4" i="10"/>
  <c r="C15" i="10"/>
  <c r="O19" i="10"/>
  <c r="H4" i="10"/>
  <c r="D3" i="10"/>
  <c r="C1" i="10"/>
  <c r="S3" i="10"/>
  <c r="A17" i="10"/>
  <c r="M20" i="10"/>
  <c r="Q10" i="10"/>
  <c r="L18" i="10"/>
  <c r="K17" i="10"/>
  <c r="U12" i="10"/>
  <c r="O11" i="10"/>
  <c r="O18" i="10"/>
  <c r="H15" i="10"/>
  <c r="C5" i="10"/>
  <c r="U20" i="10"/>
  <c r="J20" i="10"/>
  <c r="R9" i="10"/>
  <c r="P15" i="10"/>
  <c r="Q9" i="10"/>
  <c r="B5" i="10"/>
  <c r="R14" i="10"/>
  <c r="S15" i="10"/>
  <c r="J12" i="10"/>
  <c r="T3" i="10"/>
  <c r="S1" i="10"/>
  <c r="A1" i="10"/>
  <c r="F9" i="10"/>
  <c r="L13" i="10"/>
  <c r="T13" i="10"/>
  <c r="T11" i="10"/>
  <c r="M5" i="10"/>
  <c r="H8" i="10"/>
  <c r="F22" i="10"/>
  <c r="I2" i="4"/>
  <c r="B30" i="82"/>
  <c r="L18" i="4"/>
  <c r="B34" i="4"/>
  <c r="O18" i="4"/>
  <c r="I18" i="4"/>
  <c r="R1" i="4"/>
  <c r="E25" i="82" l="1"/>
  <c r="BD1" i="12" a="1"/>
  <c r="BC1" i="12" a="1"/>
  <c r="L34" i="4"/>
  <c r="F34" i="4"/>
  <c r="E18" i="82"/>
  <c r="O19" i="4"/>
  <c r="B35" i="4"/>
  <c r="L19" i="4"/>
  <c r="F35" i="4"/>
  <c r="R2" i="4"/>
  <c r="I19" i="4"/>
  <c r="BC1" i="12" l="1"/>
  <c r="BC14" i="12"/>
  <c r="AX35" i="12" s="1"/>
  <c r="BC16" i="12"/>
  <c r="AX37" i="12" s="1"/>
  <c r="BC15" i="12"/>
  <c r="AX36" i="12" s="1"/>
  <c r="BC2" i="12"/>
  <c r="AX23" i="12" s="1"/>
  <c r="BC12" i="12"/>
  <c r="AX33" i="12" s="1"/>
  <c r="BC11" i="12"/>
  <c r="AX32" i="12" s="1"/>
  <c r="BC13" i="12"/>
  <c r="AX34" i="12" s="1"/>
  <c r="BC4" i="12"/>
  <c r="AX25" i="12" s="1"/>
  <c r="BC5" i="12"/>
  <c r="AX26" i="12" s="1"/>
  <c r="BC6" i="12"/>
  <c r="AX27" i="12" s="1"/>
  <c r="BC10" i="12"/>
  <c r="AX31" i="12" s="1"/>
  <c r="BC9" i="12"/>
  <c r="AX30" i="12" s="1"/>
  <c r="BC8" i="12"/>
  <c r="AX29" i="12" s="1"/>
  <c r="BC7" i="12"/>
  <c r="AX28" i="12" s="1"/>
  <c r="BC3" i="12"/>
  <c r="AX24" i="12" s="1"/>
  <c r="BD14" i="12"/>
  <c r="AY35" i="12" s="1"/>
  <c r="BD16" i="12"/>
  <c r="AY37" i="12" s="1"/>
  <c r="BD15" i="12"/>
  <c r="AY36" i="12" s="1"/>
  <c r="BD2" i="12"/>
  <c r="AY23" i="12" s="1"/>
  <c r="BD8" i="12"/>
  <c r="AY29" i="12" s="1"/>
  <c r="BD6" i="12"/>
  <c r="AY27" i="12" s="1"/>
  <c r="BD10" i="12"/>
  <c r="AY31" i="12" s="1"/>
  <c r="BD9" i="12"/>
  <c r="AY30" i="12" s="1"/>
  <c r="BD5" i="12"/>
  <c r="AY26" i="12" s="1"/>
  <c r="BD3" i="12"/>
  <c r="AY24" i="12" s="1"/>
  <c r="BD12" i="12"/>
  <c r="AY33" i="12" s="1"/>
  <c r="BD11" i="12"/>
  <c r="AY32" i="12" s="1"/>
  <c r="BD13" i="12"/>
  <c r="AY34" i="12" s="1"/>
  <c r="BD1" i="12"/>
  <c r="AY22" i="12" s="1"/>
  <c r="BD4" i="12"/>
  <c r="AY25" i="12" s="1"/>
  <c r="BD7" i="12"/>
  <c r="AY28" i="12" s="1"/>
  <c r="E19" i="82"/>
  <c r="L35" i="4"/>
  <c r="AS32" i="12" l="1"/>
  <c r="AS40" i="12" s="1"/>
  <c r="AX22" i="12"/>
  <c r="AQ34" i="12" s="1"/>
  <c r="AR34" i="12" s="1"/>
  <c r="AV16" i="12"/>
  <c r="AV14" i="12"/>
  <c r="AV15" i="12"/>
  <c r="AV11" i="12"/>
  <c r="AV8" i="12"/>
  <c r="AV7" i="12"/>
  <c r="AV4" i="12"/>
  <c r="AV13" i="12"/>
  <c r="AV2" i="12"/>
  <c r="AV9" i="12"/>
  <c r="AV5" i="12"/>
  <c r="AV3" i="12"/>
  <c r="AV10" i="12"/>
  <c r="AV6" i="12"/>
  <c r="AV12" i="12"/>
  <c r="N25" i="82"/>
  <c r="N18" i="82"/>
  <c r="AQ24" i="12" l="1"/>
  <c r="AR24" i="12" s="1"/>
  <c r="AQ25" i="12"/>
  <c r="AR25" i="12" s="1"/>
  <c r="AQ32" i="12"/>
  <c r="AR32" i="12" s="1"/>
  <c r="AQ37" i="12"/>
  <c r="AR37" i="12" s="1"/>
  <c r="AQ28" i="12"/>
  <c r="AR28" i="12" s="1"/>
  <c r="AQ27" i="12"/>
  <c r="AR27" i="12" s="1"/>
  <c r="AQ26" i="12"/>
  <c r="AR26" i="12" s="1"/>
  <c r="AQ30" i="12"/>
  <c r="AR30" i="12" s="1"/>
  <c r="AQ31" i="12"/>
  <c r="AR31" i="12" s="1"/>
  <c r="AQ23" i="12"/>
  <c r="AR23" i="12" s="1"/>
  <c r="AQ36" i="12"/>
  <c r="AR36" i="12" s="1"/>
  <c r="AQ29" i="12"/>
  <c r="AR29" i="12" s="1"/>
  <c r="AQ35" i="12"/>
  <c r="AR35" i="12" s="1"/>
  <c r="AQ33" i="12"/>
  <c r="AR33" i="12" s="1"/>
  <c r="N19" i="82"/>
  <c r="H15" i="82" l="1"/>
  <c r="H8" i="82"/>
  <c r="I34" i="4"/>
  <c r="I35" i="4"/>
  <c r="Q25" i="82" l="1"/>
  <c r="E15" i="82"/>
  <c r="E8" i="82"/>
  <c r="Q18" i="82"/>
  <c r="H9" i="82"/>
  <c r="N15" i="82" l="1"/>
  <c r="Q15" i="82"/>
  <c r="O40" i="117"/>
  <c r="O42" i="117"/>
  <c r="D37" i="117"/>
  <c r="Q8" i="82"/>
  <c r="M42" i="117"/>
  <c r="N40" i="117"/>
  <c r="N8" i="82"/>
  <c r="C82" i="117"/>
  <c r="M83" i="117"/>
  <c r="S93" i="117"/>
  <c r="M85" i="117"/>
  <c r="M81" i="117"/>
  <c r="N39" i="117"/>
  <c r="C88" i="117"/>
  <c r="C86" i="117"/>
  <c r="M45" i="117"/>
  <c r="C84" i="117"/>
  <c r="Q19" i="82"/>
  <c r="E9" i="82"/>
  <c r="Q9" i="82"/>
  <c r="N9" i="82"/>
  <c r="M79" i="117"/>
  <c r="M87" i="117"/>
  <c r="M82" i="117"/>
  <c r="M88" i="117"/>
  <c r="M84" i="117"/>
  <c r="M80" i="117"/>
  <c r="M86" i="117"/>
  <c r="C87" i="117"/>
  <c r="E39" i="117"/>
  <c r="M39" i="117"/>
  <c r="C90" i="117"/>
  <c r="O39" i="117"/>
  <c r="C89" i="117"/>
  <c r="H25" i="82" l="1"/>
  <c r="N80" i="117"/>
  <c r="N84" i="117"/>
  <c r="N83" i="117"/>
  <c r="M40" i="117"/>
  <c r="D38" i="117"/>
  <c r="N79" i="117"/>
  <c r="N82" i="117"/>
  <c r="N86" i="117"/>
  <c r="E38" i="117"/>
  <c r="N85" i="117"/>
  <c r="H18" i="82"/>
  <c r="N42" i="117"/>
  <c r="N87" i="117"/>
  <c r="N81" i="117"/>
  <c r="N45" i="117"/>
  <c r="E44" i="117"/>
  <c r="M91" i="117"/>
  <c r="O84" i="117" l="1"/>
  <c r="O87" i="117"/>
  <c r="O85" i="117"/>
  <c r="O81" i="117"/>
  <c r="O83" i="117"/>
  <c r="O80" i="117"/>
  <c r="O79" i="117"/>
  <c r="O86" i="117"/>
  <c r="O82" i="117"/>
  <c r="C26" i="4"/>
  <c r="E40" i="117"/>
  <c r="D40" i="117"/>
  <c r="C27" i="4"/>
  <c r="H19" i="82"/>
  <c r="D42" i="117"/>
  <c r="E42" i="117"/>
  <c r="D9" i="1"/>
  <c r="AD29" i="1" a="1"/>
  <c r="D10" i="1"/>
  <c r="D23" i="1"/>
  <c r="E45" i="117"/>
  <c r="D45" i="117"/>
  <c r="AF27" i="1" a="1"/>
  <c r="AC29" i="1" a="1"/>
  <c r="AC39" i="1" l="1"/>
  <c r="AC29" i="1"/>
  <c r="AC35" i="1"/>
  <c r="AC43" i="1"/>
  <c r="AC30" i="1"/>
  <c r="AC38" i="1"/>
  <c r="AC32" i="1"/>
  <c r="AC31" i="1"/>
  <c r="AC37" i="1"/>
  <c r="AC40" i="1"/>
  <c r="AC44" i="1"/>
  <c r="AC42" i="1"/>
  <c r="AC33" i="1"/>
  <c r="AC34" i="1"/>
  <c r="AC36" i="1"/>
  <c r="AC41" i="1"/>
  <c r="AD41" i="1"/>
  <c r="AD32" i="1"/>
  <c r="AD34" i="1"/>
  <c r="AD39" i="1"/>
  <c r="AD43" i="1"/>
  <c r="AD42" i="1"/>
  <c r="AD33" i="1"/>
  <c r="AD31" i="1"/>
  <c r="AD35" i="1"/>
  <c r="AD44" i="1"/>
  <c r="AD30" i="1"/>
  <c r="AD38" i="1"/>
  <c r="AD29" i="1"/>
  <c r="AD36" i="1"/>
  <c r="AD37" i="1"/>
  <c r="AD40" i="1"/>
  <c r="D16" i="1"/>
  <c r="AQ27" i="1"/>
  <c r="AL27" i="1"/>
  <c r="AF27" i="1"/>
  <c r="AP27" i="1"/>
  <c r="AR27" i="1"/>
  <c r="AG27" i="1"/>
  <c r="AJ27" i="1"/>
  <c r="AN27" i="1"/>
  <c r="AM27" i="1"/>
  <c r="AO27" i="1"/>
  <c r="AK27" i="1"/>
  <c r="AH27" i="1"/>
  <c r="AI27" i="1"/>
  <c r="C3" i="14" l="1" a="1"/>
  <c r="C34" i="14"/>
  <c r="C22" i="14"/>
  <c r="C6" i="14"/>
  <c r="C45" i="14"/>
  <c r="C41" i="14"/>
  <c r="C37" i="14"/>
  <c r="C33" i="14"/>
  <c r="C29" i="14"/>
  <c r="C25" i="14"/>
  <c r="C21" i="14"/>
  <c r="C17" i="14"/>
  <c r="C13" i="14"/>
  <c r="C9" i="14"/>
  <c r="C5" i="14"/>
  <c r="C46" i="14"/>
  <c r="C42" i="14"/>
  <c r="C30" i="14"/>
  <c r="C18" i="14"/>
  <c r="C10" i="14"/>
  <c r="C48" i="14"/>
  <c r="C44" i="14"/>
  <c r="C40" i="14"/>
  <c r="C36" i="14"/>
  <c r="C32" i="14"/>
  <c r="C28" i="14"/>
  <c r="C24" i="14"/>
  <c r="C20" i="14"/>
  <c r="C16" i="14"/>
  <c r="C12" i="14"/>
  <c r="C8" i="14"/>
  <c r="C4" i="14"/>
  <c r="C38" i="14"/>
  <c r="C26" i="14"/>
  <c r="C14" i="14"/>
  <c r="C47" i="14"/>
  <c r="C43" i="14"/>
  <c r="C39" i="14"/>
  <c r="C35" i="14"/>
  <c r="C31" i="14"/>
  <c r="C27" i="14"/>
  <c r="C23" i="14"/>
  <c r="C19" i="14"/>
  <c r="C15" i="14"/>
  <c r="C11" i="14"/>
  <c r="C7" i="14"/>
  <c r="C3" i="14"/>
  <c r="F8" i="14"/>
  <c r="A48" i="12"/>
  <c r="C6" i="4"/>
  <c r="B48" i="12"/>
  <c r="A131" i="12"/>
  <c r="H2" i="14" a="1"/>
  <c r="A138" i="12"/>
  <c r="A130" i="12"/>
  <c r="A132" i="12"/>
  <c r="A125" i="12"/>
  <c r="A127" i="12"/>
  <c r="A133" i="12"/>
  <c r="A137" i="12"/>
  <c r="A129" i="12"/>
  <c r="A136" i="12"/>
  <c r="A128" i="12"/>
  <c r="A126" i="12"/>
  <c r="A135" i="12"/>
  <c r="A140" i="12"/>
  <c r="A134" i="12"/>
  <c r="A139" i="12"/>
  <c r="H23" i="14"/>
  <c r="H12" i="14"/>
  <c r="H13" i="14"/>
  <c r="A3" i="26" a="1"/>
  <c r="A24" i="26" s="1"/>
  <c r="K12" i="14"/>
  <c r="K13" i="14"/>
  <c r="K23" i="14"/>
  <c r="F21" i="14"/>
  <c r="A10" i="26"/>
  <c r="A45" i="26"/>
  <c r="A44" i="26"/>
  <c r="A21" i="26"/>
  <c r="A25" i="26"/>
  <c r="A28" i="26"/>
  <c r="A26" i="26"/>
  <c r="A22" i="26"/>
  <c r="A48" i="26"/>
  <c r="A20" i="26"/>
  <c r="A38" i="26"/>
  <c r="A41" i="26"/>
  <c r="H19" i="14"/>
  <c r="H22" i="14"/>
  <c r="H39" i="14"/>
  <c r="H29" i="14"/>
  <c r="H24" i="14"/>
  <c r="H30" i="14"/>
  <c r="H32" i="14"/>
  <c r="H8" i="14"/>
  <c r="H28" i="14"/>
  <c r="A12" i="26"/>
  <c r="A14" i="26"/>
  <c r="A4" i="26"/>
  <c r="A23" i="26"/>
  <c r="A39" i="26"/>
  <c r="A17" i="26"/>
  <c r="A32" i="26"/>
  <c r="A34" i="26"/>
  <c r="A27" i="26"/>
  <c r="A6" i="26"/>
  <c r="A30" i="26"/>
  <c r="H41" i="14"/>
  <c r="H16" i="14"/>
  <c r="H33" i="14"/>
  <c r="H6" i="14"/>
  <c r="H42" i="14"/>
  <c r="H26" i="14"/>
  <c r="H37" i="14"/>
  <c r="H15" i="14"/>
  <c r="H31" i="14"/>
  <c r="H20" i="14"/>
  <c r="A42" i="26"/>
  <c r="A43" i="26"/>
  <c r="A15" i="26"/>
  <c r="A3" i="26"/>
  <c r="A37" i="26"/>
  <c r="A8" i="26"/>
  <c r="A19" i="26"/>
  <c r="A36" i="26"/>
  <c r="A16" i="26"/>
  <c r="A7" i="26"/>
  <c r="A40" i="26"/>
  <c r="H11" i="14"/>
  <c r="H38" i="14"/>
  <c r="H35" i="14"/>
  <c r="H40" i="14"/>
  <c r="H17" i="14"/>
  <c r="H7" i="14"/>
  <c r="H27" i="14"/>
  <c r="H21" i="14"/>
  <c r="H18" i="14"/>
  <c r="H9" i="14"/>
  <c r="A18" i="26"/>
  <c r="A47" i="26"/>
  <c r="A35" i="26"/>
  <c r="A31" i="26"/>
  <c r="A5" i="26"/>
  <c r="A11" i="26"/>
  <c r="A29" i="26"/>
  <c r="A9" i="26"/>
  <c r="A13" i="26"/>
  <c r="A33" i="26"/>
  <c r="A46" i="26"/>
  <c r="H36" i="14"/>
  <c r="H10" i="14"/>
  <c r="H5" i="14"/>
  <c r="H2" i="14"/>
  <c r="H25" i="14"/>
  <c r="H4" i="14"/>
  <c r="H34" i="14"/>
  <c r="H14" i="14"/>
  <c r="H3" i="14"/>
  <c r="L11" i="14"/>
  <c r="A46" i="12"/>
  <c r="K22" i="14"/>
  <c r="A30" i="12"/>
  <c r="A25" i="12"/>
  <c r="L41" i="14"/>
  <c r="E46" i="14"/>
  <c r="A38" i="12"/>
  <c r="A32" i="12"/>
  <c r="A45" i="12"/>
  <c r="A36" i="12"/>
  <c r="K19" i="14"/>
  <c r="L31" i="14"/>
  <c r="A44" i="12"/>
  <c r="A17" i="12"/>
  <c r="K10" i="14"/>
  <c r="A39" i="12"/>
  <c r="L12" i="14"/>
  <c r="A19" i="12"/>
  <c r="A42" i="12"/>
  <c r="A18" i="12"/>
  <c r="K36" i="14"/>
  <c r="A34" i="12"/>
  <c r="A31" i="12"/>
  <c r="K8" i="14"/>
  <c r="K33" i="14"/>
  <c r="A20" i="12"/>
  <c r="A28" i="12"/>
  <c r="A33" i="12"/>
  <c r="A22" i="12"/>
  <c r="A21" i="12"/>
  <c r="A47" i="12"/>
  <c r="A27" i="12"/>
  <c r="A24" i="12"/>
  <c r="A26" i="12"/>
  <c r="L39" i="14"/>
  <c r="A35" i="12"/>
  <c r="A23" i="12"/>
  <c r="J2" i="14" a="1"/>
  <c r="A29" i="12"/>
  <c r="A40" i="12"/>
  <c r="K5" i="14"/>
  <c r="A37" i="12"/>
  <c r="K18" i="14"/>
  <c r="L18" i="14"/>
  <c r="A43" i="12"/>
  <c r="L38" i="14"/>
  <c r="K16" i="14"/>
  <c r="L35" i="14"/>
  <c r="A41" i="12"/>
  <c r="A3" i="11" a="1"/>
  <c r="J15" i="14"/>
  <c r="J30" i="14"/>
  <c r="J42" i="14"/>
  <c r="J12" i="14"/>
  <c r="J20" i="14"/>
  <c r="J39" i="14"/>
  <c r="J29" i="14"/>
  <c r="J16" i="14"/>
  <c r="J18" i="14"/>
  <c r="J3" i="14"/>
  <c r="J13" i="14"/>
  <c r="J31" i="14"/>
  <c r="J6" i="14"/>
  <c r="J34" i="14"/>
  <c r="J7" i="14"/>
  <c r="J10" i="14"/>
  <c r="J35" i="14"/>
  <c r="J19" i="14"/>
  <c r="J14" i="14"/>
  <c r="J2" i="14"/>
  <c r="J21" i="14"/>
  <c r="J24" i="14"/>
  <c r="J32" i="14"/>
  <c r="J37" i="14"/>
  <c r="J23" i="14"/>
  <c r="J11" i="14"/>
  <c r="J33" i="14"/>
  <c r="J27" i="14"/>
  <c r="J36" i="14"/>
  <c r="J28" i="14"/>
  <c r="J8" i="14"/>
  <c r="J40" i="14"/>
  <c r="J22" i="14"/>
  <c r="J25" i="14"/>
  <c r="J5" i="14"/>
  <c r="J9" i="14"/>
  <c r="J38" i="14"/>
  <c r="J17" i="14"/>
  <c r="J26" i="14"/>
  <c r="J4" i="14"/>
  <c r="J41" i="14"/>
  <c r="B38" i="12"/>
  <c r="K9" i="14"/>
  <c r="L7" i="14"/>
  <c r="B138" i="12"/>
  <c r="F24" i="14"/>
  <c r="B39" i="12"/>
  <c r="B24" i="12"/>
  <c r="K38" i="14"/>
  <c r="B135" i="12"/>
  <c r="K4" i="14"/>
  <c r="B44" i="12"/>
  <c r="B134" i="12"/>
  <c r="F9" i="14"/>
  <c r="K2" i="14"/>
  <c r="L26" i="14"/>
  <c r="L8" i="14"/>
  <c r="K11" i="14"/>
  <c r="B46" i="12"/>
  <c r="B47" i="12"/>
  <c r="L4" i="14"/>
  <c r="K28" i="14"/>
  <c r="K21" i="14"/>
  <c r="B33" i="12"/>
  <c r="K39" i="14"/>
  <c r="B45" i="12"/>
  <c r="K20" i="14"/>
  <c r="B26" i="12"/>
  <c r="B133" i="12"/>
  <c r="L42" i="14"/>
  <c r="K26" i="14"/>
  <c r="K37" i="14"/>
  <c r="B22" i="12"/>
  <c r="L14" i="14"/>
  <c r="B42" i="12"/>
  <c r="B137" i="12"/>
  <c r="B32" i="12"/>
  <c r="L22" i="14"/>
  <c r="B29" i="12"/>
  <c r="K7" i="14"/>
  <c r="L34" i="14"/>
  <c r="K32" i="14"/>
  <c r="C3" i="26" a="1"/>
  <c r="L28" i="14"/>
  <c r="K27" i="14"/>
  <c r="B139" i="12"/>
  <c r="B41" i="12"/>
  <c r="L30" i="14"/>
  <c r="K42" i="14"/>
  <c r="B18" i="12"/>
  <c r="B34" i="12"/>
  <c r="B31" i="12"/>
  <c r="L21" i="14"/>
  <c r="L23" i="14"/>
  <c r="L10" i="14"/>
  <c r="K35" i="14"/>
  <c r="L37" i="14"/>
  <c r="B25" i="12"/>
  <c r="K40" i="14"/>
  <c r="B125" i="12"/>
  <c r="L16" i="14"/>
  <c r="L40" i="14"/>
  <c r="B35" i="12"/>
  <c r="B126" i="12"/>
  <c r="B27" i="12"/>
  <c r="B30" i="12"/>
  <c r="B17" i="12"/>
  <c r="B136" i="12"/>
  <c r="K17" i="14"/>
  <c r="L27" i="14"/>
  <c r="L3" i="14"/>
  <c r="B131" i="12"/>
  <c r="K34" i="14"/>
  <c r="K14" i="14"/>
  <c r="I2" i="14" a="1"/>
  <c r="K6" i="14"/>
  <c r="B127" i="12"/>
  <c r="L6" i="14"/>
  <c r="L25" i="14"/>
  <c r="L19" i="14"/>
  <c r="B128" i="12"/>
  <c r="K41" i="14"/>
  <c r="L17" i="14"/>
  <c r="F22" i="14"/>
  <c r="K15" i="14"/>
  <c r="F23" i="14"/>
  <c r="B37" i="12"/>
  <c r="K25" i="14"/>
  <c r="B23" i="12"/>
  <c r="B140" i="12"/>
  <c r="L13" i="14"/>
  <c r="B19" i="12"/>
  <c r="L29" i="14"/>
  <c r="K24" i="14"/>
  <c r="L24" i="14"/>
  <c r="L2" i="14"/>
  <c r="C1" i="4"/>
  <c r="B43" i="12"/>
  <c r="B40" i="12"/>
  <c r="L20" i="14"/>
  <c r="B36" i="12"/>
  <c r="K31" i="14"/>
  <c r="B130" i="12"/>
  <c r="K29" i="14"/>
  <c r="B28" i="12"/>
  <c r="L32" i="14"/>
  <c r="B20" i="12"/>
  <c r="K3" i="14"/>
  <c r="B21" i="12"/>
  <c r="B129" i="12"/>
  <c r="L15" i="14"/>
  <c r="F20" i="14"/>
  <c r="L5" i="14"/>
  <c r="L36" i="14"/>
  <c r="L9" i="14"/>
  <c r="L33" i="14"/>
  <c r="B132" i="12"/>
  <c r="K30" i="14"/>
  <c r="A3" i="11"/>
  <c r="A19" i="11"/>
  <c r="A35" i="11"/>
  <c r="A6" i="11"/>
  <c r="A38" i="11"/>
  <c r="A16" i="11"/>
  <c r="A32" i="11"/>
  <c r="A48" i="11"/>
  <c r="A5" i="11"/>
  <c r="A21" i="11"/>
  <c r="A37" i="11"/>
  <c r="A10" i="11"/>
  <c r="F47" i="14"/>
  <c r="C22" i="26"/>
  <c r="C32" i="26"/>
  <c r="C35" i="26"/>
  <c r="C8" i="26"/>
  <c r="C7" i="26"/>
  <c r="C11" i="26"/>
  <c r="C28" i="26"/>
  <c r="C17" i="26"/>
  <c r="C40" i="26"/>
  <c r="C39" i="26"/>
  <c r="C34" i="26"/>
  <c r="I42" i="14"/>
  <c r="I34" i="14"/>
  <c r="I40" i="14"/>
  <c r="I39" i="14"/>
  <c r="I14" i="14"/>
  <c r="I17" i="14"/>
  <c r="I20" i="14"/>
  <c r="I25" i="14"/>
  <c r="I5" i="14"/>
  <c r="I29" i="14"/>
  <c r="I8" i="14"/>
  <c r="A7" i="11"/>
  <c r="A23" i="11"/>
  <c r="A39" i="11"/>
  <c r="A18" i="11"/>
  <c r="A4" i="11"/>
  <c r="A20" i="11"/>
  <c r="A36" i="11"/>
  <c r="A14" i="11"/>
  <c r="A9" i="11"/>
  <c r="A25" i="11"/>
  <c r="A41" i="11"/>
  <c r="A26" i="11"/>
  <c r="C13" i="26"/>
  <c r="C42" i="26"/>
  <c r="C38" i="26"/>
  <c r="C16" i="26"/>
  <c r="C21" i="26"/>
  <c r="C9" i="26"/>
  <c r="C37" i="26"/>
  <c r="C29" i="26"/>
  <c r="C45" i="26"/>
  <c r="C26" i="26"/>
  <c r="C48" i="26"/>
  <c r="I2" i="14"/>
  <c r="I13" i="14"/>
  <c r="I21" i="14"/>
  <c r="I11" i="14"/>
  <c r="I10" i="14"/>
  <c r="I4" i="14"/>
  <c r="I22" i="14"/>
  <c r="I33" i="14"/>
  <c r="I38" i="14"/>
  <c r="I24" i="14"/>
  <c r="Q9" i="14"/>
  <c r="A11" i="11"/>
  <c r="A27" i="11"/>
  <c r="A43" i="11"/>
  <c r="A22" i="11"/>
  <c r="A8" i="11"/>
  <c r="A24" i="11"/>
  <c r="A40" i="11"/>
  <c r="A30" i="11"/>
  <c r="A13" i="11"/>
  <c r="A29" i="11"/>
  <c r="A45" i="11"/>
  <c r="A46" i="11"/>
  <c r="C23" i="26"/>
  <c r="C41" i="26"/>
  <c r="C33" i="26"/>
  <c r="C25" i="26"/>
  <c r="C47" i="26"/>
  <c r="C6" i="26"/>
  <c r="C5" i="26"/>
  <c r="C14" i="26"/>
  <c r="C12" i="26"/>
  <c r="C15" i="26"/>
  <c r="C4" i="26"/>
  <c r="C43" i="26"/>
  <c r="I37" i="14"/>
  <c r="I31" i="14"/>
  <c r="I26" i="14"/>
  <c r="I19" i="14"/>
  <c r="I23" i="14"/>
  <c r="I7" i="14"/>
  <c r="I30" i="14"/>
  <c r="I36" i="14"/>
  <c r="I15" i="14"/>
  <c r="I16" i="14"/>
  <c r="A15" i="11"/>
  <c r="A31" i="11"/>
  <c r="A47" i="11"/>
  <c r="A34" i="11"/>
  <c r="A12" i="11"/>
  <c r="A28" i="11"/>
  <c r="A44" i="11"/>
  <c r="A42" i="11"/>
  <c r="A17" i="11"/>
  <c r="A33" i="11"/>
  <c r="A49" i="11"/>
  <c r="X41" i="12"/>
  <c r="C24" i="26"/>
  <c r="C20" i="26"/>
  <c r="C10" i="26"/>
  <c r="C18" i="26"/>
  <c r="C44" i="26"/>
  <c r="C30" i="26"/>
  <c r="C46" i="26"/>
  <c r="C27" i="26"/>
  <c r="C3" i="26"/>
  <c r="C31" i="26"/>
  <c r="C36" i="26"/>
  <c r="C19" i="26"/>
  <c r="I6" i="14"/>
  <c r="I28" i="14"/>
  <c r="I32" i="14"/>
  <c r="I18" i="14"/>
  <c r="I3" i="14"/>
  <c r="I27" i="14"/>
  <c r="I35" i="14"/>
  <c r="I41" i="14"/>
  <c r="I9" i="14"/>
  <c r="I12" i="14"/>
  <c r="C3" i="11" a="1"/>
  <c r="C2" i="4"/>
  <c r="F27" i="14"/>
  <c r="F26" i="14"/>
  <c r="F25" i="14"/>
  <c r="AU22" i="12" a="1"/>
  <c r="C3" i="11"/>
  <c r="C19" i="11"/>
  <c r="C35" i="11"/>
  <c r="C13" i="11"/>
  <c r="C10" i="11"/>
  <c r="C8" i="11"/>
  <c r="C24" i="11"/>
  <c r="C40" i="11"/>
  <c r="C17" i="11"/>
  <c r="C6" i="11"/>
  <c r="C46" i="11"/>
  <c r="C30" i="11"/>
  <c r="AU34" i="12"/>
  <c r="AU31" i="12"/>
  <c r="AU22" i="12"/>
  <c r="AU32" i="12"/>
  <c r="AV32" i="12" s="1"/>
  <c r="C7" i="11"/>
  <c r="C23" i="11"/>
  <c r="C39" i="11"/>
  <c r="C21" i="11"/>
  <c r="C22" i="11"/>
  <c r="C12" i="11"/>
  <c r="C28" i="11"/>
  <c r="C44" i="11"/>
  <c r="C25" i="11"/>
  <c r="C18" i="11"/>
  <c r="C5" i="11"/>
  <c r="C42" i="11"/>
  <c r="AU33" i="12"/>
  <c r="AU26" i="12"/>
  <c r="AU23" i="12"/>
  <c r="AU25" i="12"/>
  <c r="AV25" i="12" s="1"/>
  <c r="C11" i="11"/>
  <c r="C27" i="11"/>
  <c r="C43" i="11"/>
  <c r="C29" i="11"/>
  <c r="C38" i="11"/>
  <c r="C16" i="11"/>
  <c r="C32" i="11"/>
  <c r="C48" i="11"/>
  <c r="C33" i="11"/>
  <c r="C26" i="11"/>
  <c r="C45" i="11"/>
  <c r="AU35" i="12"/>
  <c r="AV35" i="12" s="1"/>
  <c r="AU36" i="12"/>
  <c r="AU30" i="12"/>
  <c r="AU37" i="12"/>
  <c r="C15" i="11"/>
  <c r="C31" i="11"/>
  <c r="C47" i="11"/>
  <c r="C41" i="11"/>
  <c r="C4" i="11"/>
  <c r="C20" i="11"/>
  <c r="C36" i="11"/>
  <c r="C9" i="11"/>
  <c r="C37" i="11"/>
  <c r="C34" i="11"/>
  <c r="C14" i="11"/>
  <c r="AU28" i="12"/>
  <c r="AU27" i="12"/>
  <c r="AV27" i="12" s="1"/>
  <c r="AU29" i="12"/>
  <c r="AV29" i="12" s="1"/>
  <c r="AU24" i="12"/>
  <c r="AV31" i="12"/>
  <c r="AV30" i="12"/>
  <c r="AV36" i="12"/>
  <c r="AV24" i="12"/>
  <c r="AV28" i="12"/>
  <c r="AV26" i="12"/>
  <c r="AV33" i="12"/>
  <c r="AV37" i="12"/>
  <c r="AV23" i="12"/>
  <c r="AV34" i="12"/>
  <c r="AV22" i="12"/>
  <c r="AN37" i="12" s="1"/>
  <c r="AO37" i="12" s="1"/>
  <c r="AV19" i="12"/>
  <c r="AN26" i="12"/>
  <c r="AO26" i="12" s="1"/>
  <c r="AN23" i="12"/>
  <c r="AO23" i="12" s="1"/>
  <c r="AN24" i="12"/>
  <c r="AO24" i="12" s="1"/>
  <c r="AN32" i="12"/>
  <c r="AO32" i="12" s="1"/>
  <c r="AN30" i="12"/>
  <c r="AO30" i="12" s="1"/>
  <c r="AN36" i="12"/>
  <c r="AO36" i="12" s="1"/>
  <c r="AN28" i="12"/>
  <c r="AO28" i="12" s="1"/>
  <c r="AN35" i="12"/>
  <c r="AO35" i="12" s="1"/>
  <c r="AN34" i="12"/>
  <c r="AO34" i="12" s="1"/>
  <c r="AN27" i="12"/>
  <c r="AO27" i="12" s="1"/>
  <c r="AN31" i="12"/>
  <c r="AO31" i="12" s="1"/>
  <c r="AN25" i="12"/>
  <c r="AO25" i="12" s="1"/>
  <c r="AN33" i="12"/>
  <c r="AO33" i="12" s="1"/>
  <c r="AN29" i="12"/>
  <c r="AO29" i="12" s="1"/>
  <c r="AW59" i="12"/>
  <c r="F18" i="4"/>
  <c r="F8" i="26"/>
  <c r="F19" i="4"/>
  <c r="F25" i="4"/>
  <c r="B24" i="82"/>
  <c r="B18" i="82"/>
  <c r="BC29" i="1"/>
  <c r="BD29" i="1"/>
  <c r="F22" i="26"/>
  <c r="F23" i="26"/>
  <c r="BC30" i="1"/>
  <c r="BC31" i="1"/>
  <c r="H2" i="26" a="1"/>
  <c r="B19" i="82"/>
  <c r="I2" i="26" a="1"/>
  <c r="BD31" i="1"/>
  <c r="D25" i="1"/>
  <c r="F20" i="26"/>
  <c r="F24" i="26"/>
  <c r="F9" i="26"/>
  <c r="J2" i="26" a="1"/>
  <c r="D26" i="1"/>
  <c r="F21" i="26"/>
  <c r="AU31" i="1"/>
  <c r="H32" i="26"/>
  <c r="H2" i="26"/>
  <c r="H35" i="26"/>
  <c r="H21" i="26"/>
  <c r="H13" i="26"/>
  <c r="H41" i="26"/>
  <c r="H40" i="26"/>
  <c r="H26" i="26"/>
  <c r="H27" i="26"/>
  <c r="H19" i="26"/>
  <c r="I17" i="26"/>
  <c r="I41" i="26"/>
  <c r="I34" i="26"/>
  <c r="I42" i="26"/>
  <c r="I33" i="26"/>
  <c r="I36" i="26"/>
  <c r="I29" i="26"/>
  <c r="I13" i="26"/>
  <c r="I20" i="26"/>
  <c r="I12" i="26"/>
  <c r="I27" i="26"/>
  <c r="J15" i="26"/>
  <c r="J10" i="26"/>
  <c r="J20" i="26"/>
  <c r="J22" i="26"/>
  <c r="J24" i="26"/>
  <c r="J12" i="26"/>
  <c r="J41" i="26"/>
  <c r="J23" i="26"/>
  <c r="J27" i="26"/>
  <c r="J17" i="26"/>
  <c r="H10" i="26"/>
  <c r="H29" i="26"/>
  <c r="H30" i="26"/>
  <c r="H9" i="26"/>
  <c r="H14" i="26"/>
  <c r="H38" i="26"/>
  <c r="H11" i="26"/>
  <c r="H12" i="26"/>
  <c r="H36" i="26"/>
  <c r="H37" i="26"/>
  <c r="H24" i="26"/>
  <c r="I31" i="26"/>
  <c r="I11" i="26"/>
  <c r="I6" i="26"/>
  <c r="I16" i="26"/>
  <c r="I32" i="26"/>
  <c r="I26" i="26"/>
  <c r="I37" i="26"/>
  <c r="I10" i="26"/>
  <c r="I21" i="26"/>
  <c r="I25" i="26"/>
  <c r="Q9" i="26"/>
  <c r="J7" i="26"/>
  <c r="J33" i="26"/>
  <c r="J16" i="26"/>
  <c r="J11" i="26"/>
  <c r="J5" i="26"/>
  <c r="J26" i="26"/>
  <c r="J37" i="26"/>
  <c r="J21" i="26"/>
  <c r="J39" i="26"/>
  <c r="J28" i="26"/>
  <c r="H22" i="26"/>
  <c r="H5" i="26"/>
  <c r="H18" i="26"/>
  <c r="H31" i="26"/>
  <c r="H23" i="26"/>
  <c r="H42" i="26"/>
  <c r="H7" i="26"/>
  <c r="H34" i="26"/>
  <c r="H20" i="26"/>
  <c r="H33" i="26"/>
  <c r="AU29" i="1"/>
  <c r="I28" i="26"/>
  <c r="I30" i="26"/>
  <c r="I39" i="26"/>
  <c r="I23" i="26"/>
  <c r="I19" i="26"/>
  <c r="I18" i="26"/>
  <c r="I35" i="26"/>
  <c r="I4" i="26"/>
  <c r="I14" i="26"/>
  <c r="I40" i="26"/>
  <c r="J13" i="26"/>
  <c r="J42" i="26"/>
  <c r="J19" i="26"/>
  <c r="J34" i="26"/>
  <c r="J35" i="26"/>
  <c r="J3" i="26"/>
  <c r="J2" i="26"/>
  <c r="J9" i="26"/>
  <c r="J36" i="26"/>
  <c r="J38" i="26"/>
  <c r="J32" i="26"/>
  <c r="H8" i="26"/>
  <c r="H16" i="26"/>
  <c r="H3" i="26"/>
  <c r="H6" i="26"/>
  <c r="H28" i="26"/>
  <c r="H39" i="26"/>
  <c r="H4" i="26"/>
  <c r="H25" i="26"/>
  <c r="H17" i="26"/>
  <c r="H15" i="26"/>
  <c r="AU30" i="1"/>
  <c r="I24" i="26"/>
  <c r="I15" i="26"/>
  <c r="I3" i="26"/>
  <c r="I8" i="26"/>
  <c r="I38" i="26"/>
  <c r="I2" i="26"/>
  <c r="I7" i="26"/>
  <c r="I5" i="26"/>
  <c r="I9" i="26"/>
  <c r="I22" i="26"/>
  <c r="J6" i="26"/>
  <c r="J40" i="26"/>
  <c r="J30" i="26"/>
  <c r="J8" i="26"/>
  <c r="J14" i="26"/>
  <c r="J29" i="26"/>
  <c r="J18" i="26"/>
  <c r="J31" i="26"/>
  <c r="J4" i="26"/>
  <c r="J25" i="26"/>
  <c r="BD24" i="1"/>
  <c r="BD30" i="1"/>
  <c r="L41" i="26"/>
  <c r="K9" i="26"/>
  <c r="K22" i="26"/>
  <c r="K20" i="26"/>
  <c r="K25" i="26"/>
  <c r="K41" i="26"/>
  <c r="L30" i="26"/>
  <c r="L24" i="26"/>
  <c r="K34" i="26"/>
  <c r="K39" i="26"/>
  <c r="L32" i="26"/>
  <c r="K27" i="26"/>
  <c r="K11" i="26"/>
  <c r="K31" i="26"/>
  <c r="L8" i="26"/>
  <c r="L17" i="26"/>
  <c r="L35" i="26"/>
  <c r="L29" i="26"/>
  <c r="K37" i="26"/>
  <c r="K7" i="26"/>
  <c r="K28" i="26"/>
  <c r="F26" i="26"/>
  <c r="D40" i="1"/>
  <c r="K38" i="26"/>
  <c r="L15" i="26"/>
  <c r="L5" i="26"/>
  <c r="K35" i="26"/>
  <c r="L36" i="26"/>
  <c r="K13" i="26"/>
  <c r="L9" i="26"/>
  <c r="K4" i="26"/>
  <c r="F25" i="26"/>
  <c r="K2" i="26"/>
  <c r="L19" i="26"/>
  <c r="L12" i="26"/>
  <c r="K23" i="26"/>
  <c r="K6" i="26"/>
  <c r="L2" i="26"/>
  <c r="K19" i="26"/>
  <c r="L11" i="26"/>
  <c r="L31" i="26"/>
  <c r="L16" i="26"/>
  <c r="K15" i="26"/>
  <c r="L13" i="26"/>
  <c r="K30" i="26"/>
  <c r="K24" i="26"/>
  <c r="L34" i="26"/>
  <c r="L28" i="26"/>
  <c r="K40" i="26"/>
  <c r="L38" i="26"/>
  <c r="L18" i="26"/>
  <c r="K8" i="26"/>
  <c r="K17" i="26"/>
  <c r="K18" i="26"/>
  <c r="K14" i="26"/>
  <c r="L33" i="26"/>
  <c r="L10" i="26"/>
  <c r="L3" i="26"/>
  <c r="L22" i="26"/>
  <c r="L21" i="26"/>
  <c r="K29" i="26"/>
  <c r="L37" i="26"/>
  <c r="L7" i="26"/>
  <c r="L39" i="26"/>
  <c r="K21" i="26"/>
  <c r="K10" i="26"/>
  <c r="K36" i="26"/>
  <c r="L42" i="26"/>
  <c r="L6" i="26"/>
  <c r="L40" i="26"/>
  <c r="L14" i="26"/>
  <c r="K5" i="26"/>
  <c r="K33" i="26"/>
  <c r="L4" i="26"/>
  <c r="K32" i="26"/>
  <c r="L27" i="26"/>
  <c r="K12" i="26"/>
  <c r="L23" i="26"/>
  <c r="K3" i="26"/>
  <c r="K26" i="26"/>
  <c r="K16" i="26"/>
  <c r="L26" i="26"/>
  <c r="L25" i="26"/>
  <c r="K42" i="26"/>
  <c r="F27" i="26"/>
  <c r="L20" i="26"/>
  <c r="D41" i="1"/>
  <c r="D42" i="1"/>
  <c r="AG95" i="1"/>
  <c r="AM192" i="1"/>
  <c r="AP63" i="1"/>
  <c r="AN192" i="1"/>
  <c r="AI62" i="1"/>
  <c r="AM191" i="1"/>
  <c r="AQ191" i="1"/>
  <c r="AG61" i="1"/>
  <c r="AG62" i="1"/>
  <c r="AN191" i="1"/>
  <c r="AO192" i="1"/>
  <c r="AH192" i="1"/>
  <c r="AL190" i="1"/>
  <c r="AK192" i="1"/>
  <c r="AK61" i="1"/>
  <c r="AN61" i="1"/>
  <c r="AH191" i="1"/>
  <c r="AG190" i="1"/>
  <c r="AJ191" i="1"/>
  <c r="AI190" i="1"/>
  <c r="AO191" i="1"/>
  <c r="AN190" i="1"/>
  <c r="AN62" i="1"/>
  <c r="AJ62" i="1"/>
  <c r="AN63" i="1"/>
  <c r="AJ192" i="1"/>
  <c r="AG191" i="1"/>
  <c r="AF61" i="1"/>
  <c r="AR191" i="1"/>
  <c r="AL192" i="1"/>
  <c r="AR190" i="1"/>
  <c r="AF62" i="1"/>
  <c r="AO190" i="1"/>
  <c r="AR192" i="1"/>
  <c r="AM61" i="1"/>
  <c r="AI192" i="1"/>
  <c r="AH62" i="1"/>
  <c r="AM63" i="1"/>
  <c r="AM50" i="1"/>
  <c r="AP192" i="1"/>
  <c r="AQ192" i="1"/>
  <c r="AK191" i="1"/>
  <c r="AL63" i="1"/>
  <c r="AR61" i="1"/>
  <c r="AJ190" i="1"/>
  <c r="AO61" i="1"/>
  <c r="AL191" i="1"/>
  <c r="AL61" i="1"/>
  <c r="AI63" i="1"/>
  <c r="AM190" i="1"/>
  <c r="AG63" i="1"/>
  <c r="AP61" i="1"/>
  <c r="AM62" i="1"/>
  <c r="AR62" i="1"/>
  <c r="AF63" i="1"/>
  <c r="AF192" i="1"/>
  <c r="AH190" i="1"/>
  <c r="AO62" i="1"/>
  <c r="AQ61" i="1"/>
  <c r="AL62" i="1"/>
  <c r="AH63" i="1"/>
  <c r="AQ63" i="1"/>
  <c r="AK62" i="1"/>
  <c r="AJ61" i="1"/>
  <c r="AP62" i="1"/>
  <c r="AF190" i="1"/>
  <c r="AI61" i="1"/>
  <c r="AH61" i="1"/>
  <c r="AI191" i="1"/>
  <c r="AQ190" i="1"/>
  <c r="AG192" i="1"/>
  <c r="AK190" i="1"/>
  <c r="AO63" i="1"/>
  <c r="AP190" i="1"/>
  <c r="AJ63" i="1"/>
  <c r="AR63" i="1"/>
  <c r="AP191" i="1"/>
  <c r="AQ62" i="1"/>
  <c r="AF191" i="1"/>
  <c r="AK63" i="1"/>
  <c r="AC48" i="1"/>
  <c r="AG48" i="1"/>
  <c r="AG49" i="1"/>
  <c r="AC49" i="1"/>
  <c r="AC50" i="1"/>
  <c r="AG50" i="1"/>
  <c r="AG5" i="1"/>
  <c r="AQ49" i="1"/>
  <c r="AH48" i="1"/>
  <c r="AK49" i="1"/>
  <c r="AQ48" i="1"/>
  <c r="AM49" i="1"/>
  <c r="AO48" i="1"/>
  <c r="AM48" i="1"/>
  <c r="AJ49" i="1"/>
  <c r="AI49" i="1"/>
  <c r="AM5" i="1"/>
  <c r="AG4" i="1"/>
  <c r="AR50" i="1"/>
  <c r="AI48" i="1"/>
  <c r="AQ50" i="1"/>
  <c r="AO49" i="1"/>
  <c r="AP48" i="1"/>
  <c r="AR48" i="1"/>
  <c r="AF49" i="1"/>
  <c r="AN49" i="1"/>
  <c r="AP50" i="1"/>
  <c r="AG3" i="1"/>
  <c r="AJ50" i="1"/>
  <c r="AP49" i="1"/>
  <c r="AH50" i="1"/>
  <c r="AF50" i="1"/>
  <c r="AI50" i="1"/>
  <c r="AL50" i="1"/>
  <c r="AF48" i="1"/>
  <c r="AN48" i="1"/>
  <c r="AK50" i="1"/>
  <c r="AO50" i="1"/>
  <c r="AJ48" i="1"/>
  <c r="AL49" i="1"/>
  <c r="AR49" i="1"/>
  <c r="AL48" i="1"/>
  <c r="AH49" i="1"/>
  <c r="AN50" i="1"/>
  <c r="AK48" i="1"/>
  <c r="AK3" i="1"/>
  <c r="AR4" i="1"/>
  <c r="AK5" i="1"/>
  <c r="AI5" i="1"/>
  <c r="AP4" i="1"/>
  <c r="AF4" i="1"/>
  <c r="AQ5" i="1"/>
  <c r="AJ4" i="1"/>
  <c r="AQ3" i="1"/>
  <c r="AO5" i="1"/>
  <c r="AH5" i="1"/>
  <c r="AM4" i="1"/>
  <c r="AN5" i="1"/>
  <c r="AL4" i="1"/>
  <c r="AN3" i="1"/>
  <c r="AF5" i="1"/>
  <c r="AJ5" i="1"/>
  <c r="AR3" i="1"/>
  <c r="AS3" i="1"/>
  <c r="AI3" i="1"/>
  <c r="AM3" i="1"/>
  <c r="AK4" i="1"/>
  <c r="AL5" i="1"/>
  <c r="AO4" i="1"/>
  <c r="AI4" i="1"/>
  <c r="AH4" i="1"/>
  <c r="AJ3" i="1"/>
  <c r="AF3" i="1"/>
  <c r="AH195" i="1"/>
  <c r="AH196" i="1"/>
  <c r="AP5" i="1"/>
  <c r="AP3" i="1"/>
  <c r="AR5" i="1"/>
  <c r="AO3" i="1"/>
  <c r="AH3" i="1"/>
  <c r="AL3" i="1"/>
  <c r="AN4" i="1"/>
  <c r="AQ4" i="1"/>
  <c r="AH1" i="1"/>
  <c r="F8" i="11"/>
  <c r="O128" i="11"/>
  <c r="O24" i="11"/>
  <c r="O64" i="11"/>
  <c r="O92" i="11"/>
  <c r="O59" i="11"/>
  <c r="O63" i="11"/>
  <c r="F21" i="11"/>
  <c r="F22" i="11"/>
  <c r="H2" i="11" a="1"/>
  <c r="O122" i="11"/>
  <c r="O88" i="11"/>
  <c r="O83" i="11"/>
  <c r="O57" i="11"/>
  <c r="O94" i="11"/>
  <c r="O29" i="11"/>
  <c r="O79" i="11"/>
  <c r="O114" i="11"/>
  <c r="O99" i="11"/>
  <c r="O39" i="11"/>
  <c r="O70" i="11"/>
  <c r="O47" i="11"/>
  <c r="O93" i="11"/>
  <c r="O44" i="11"/>
  <c r="O77" i="11"/>
  <c r="O48" i="11"/>
  <c r="O110" i="11"/>
  <c r="O74" i="11"/>
  <c r="O33" i="11"/>
  <c r="O91" i="11"/>
  <c r="O41" i="11"/>
  <c r="O109" i="11"/>
  <c r="O95" i="11"/>
  <c r="O117" i="11"/>
  <c r="O125" i="11"/>
  <c r="O104" i="11"/>
  <c r="I2" i="11" a="1"/>
  <c r="O115" i="11"/>
  <c r="O73" i="11"/>
  <c r="O120" i="11"/>
  <c r="O96" i="11"/>
  <c r="O105" i="11"/>
  <c r="O28" i="11"/>
  <c r="O55" i="11"/>
  <c r="O101" i="11"/>
  <c r="O51" i="11"/>
  <c r="O35" i="11"/>
  <c r="O54" i="11"/>
  <c r="O89" i="11"/>
  <c r="O85" i="11"/>
  <c r="O90" i="11"/>
  <c r="O25" i="11"/>
  <c r="O121" i="11"/>
  <c r="O69" i="11"/>
  <c r="O58" i="11"/>
  <c r="O68" i="11"/>
  <c r="O123" i="11"/>
  <c r="O46" i="11"/>
  <c r="O118" i="11"/>
  <c r="O26" i="11"/>
  <c r="O22" i="11"/>
  <c r="O56" i="11"/>
  <c r="O111" i="11"/>
  <c r="O116" i="11"/>
  <c r="O107" i="11"/>
  <c r="O32" i="11"/>
  <c r="O82" i="11"/>
  <c r="O45" i="11"/>
  <c r="O78" i="11"/>
  <c r="O124" i="11"/>
  <c r="O72" i="11"/>
  <c r="O43" i="11"/>
  <c r="O42" i="11"/>
  <c r="O67" i="11"/>
  <c r="O50" i="11"/>
  <c r="O38" i="11"/>
  <c r="O76" i="11"/>
  <c r="O65" i="11"/>
  <c r="O84" i="11"/>
  <c r="O40" i="11"/>
  <c r="O126" i="11"/>
  <c r="O36" i="11"/>
  <c r="F20" i="11"/>
  <c r="O103" i="11"/>
  <c r="O31" i="11"/>
  <c r="O37" i="11"/>
  <c r="O102" i="11"/>
  <c r="O34" i="11"/>
  <c r="O30" i="11"/>
  <c r="F24" i="11"/>
  <c r="O98" i="11"/>
  <c r="O81" i="11"/>
  <c r="O87" i="11"/>
  <c r="O113" i="11"/>
  <c r="O62" i="11"/>
  <c r="O27" i="11"/>
  <c r="O23" i="11"/>
  <c r="O49" i="11"/>
  <c r="O75" i="11"/>
  <c r="O86" i="11"/>
  <c r="O71" i="11"/>
  <c r="O66" i="11"/>
  <c r="O52" i="11"/>
  <c r="O53" i="11"/>
  <c r="O119" i="11"/>
  <c r="J2" i="11" a="1"/>
  <c r="O61" i="11"/>
  <c r="O100" i="11"/>
  <c r="O106" i="11"/>
  <c r="O112" i="11"/>
  <c r="O80" i="11"/>
  <c r="O60" i="11"/>
  <c r="F9" i="11"/>
  <c r="O97" i="11"/>
  <c r="F23" i="11"/>
  <c r="O127" i="11"/>
  <c r="O108" i="11"/>
  <c r="N46" i="11"/>
  <c r="N110" i="11"/>
  <c r="N51" i="11"/>
  <c r="N109" i="11"/>
  <c r="N103" i="11"/>
  <c r="N45" i="11"/>
  <c r="N99" i="11"/>
  <c r="N85" i="11"/>
  <c r="N119" i="11"/>
  <c r="N122" i="11"/>
  <c r="N55" i="11"/>
  <c r="N90" i="11"/>
  <c r="N102" i="11"/>
  <c r="N82" i="11"/>
  <c r="N73" i="11"/>
  <c r="N31" i="11"/>
  <c r="N33" i="11"/>
  <c r="N96" i="11"/>
  <c r="N28" i="11"/>
  <c r="N127" i="11"/>
  <c r="N67" i="11"/>
  <c r="N80" i="11"/>
  <c r="N92" i="11"/>
  <c r="N88" i="11"/>
  <c r="N69" i="11"/>
  <c r="N66" i="11"/>
  <c r="N61" i="11"/>
  <c r="N24" i="11"/>
  <c r="N49" i="11"/>
  <c r="N78" i="11"/>
  <c r="N104" i="11"/>
  <c r="N68" i="11"/>
  <c r="N93" i="11"/>
  <c r="N32" i="11"/>
  <c r="N97" i="11"/>
  <c r="N62" i="11"/>
  <c r="N75" i="11"/>
  <c r="N38" i="11"/>
  <c r="N118" i="11"/>
  <c r="N101" i="11"/>
  <c r="N116" i="11"/>
  <c r="N121" i="11"/>
  <c r="N60" i="11"/>
  <c r="N40" i="11"/>
  <c r="N53" i="11"/>
  <c r="N36" i="11"/>
  <c r="N117" i="11"/>
  <c r="N65" i="11"/>
  <c r="N43" i="11"/>
  <c r="N52" i="11"/>
  <c r="N114" i="11"/>
  <c r="N39" i="11"/>
  <c r="N71" i="11"/>
  <c r="N123" i="11"/>
  <c r="N106" i="11"/>
  <c r="N72" i="11"/>
  <c r="N63" i="11"/>
  <c r="N87" i="11"/>
  <c r="N95" i="11"/>
  <c r="N86" i="11"/>
  <c r="N94" i="11"/>
  <c r="N59" i="11"/>
  <c r="N41" i="11"/>
  <c r="N50" i="11"/>
  <c r="N37" i="11"/>
  <c r="N64" i="11"/>
  <c r="N124" i="11"/>
  <c r="N76" i="11"/>
  <c r="N89" i="11"/>
  <c r="N57" i="11"/>
  <c r="N107" i="11"/>
  <c r="N30" i="11"/>
  <c r="N58" i="11"/>
  <c r="N25" i="11"/>
  <c r="N128" i="11"/>
  <c r="N91" i="11"/>
  <c r="N48" i="11"/>
  <c r="N34" i="11"/>
  <c r="N29" i="11"/>
  <c r="N105" i="11"/>
  <c r="N70" i="11"/>
  <c r="N35" i="11"/>
  <c r="N113" i="11"/>
  <c r="N79" i="11"/>
  <c r="N42" i="11"/>
  <c r="N98" i="11"/>
  <c r="N112" i="11"/>
  <c r="N125" i="11"/>
  <c r="N100" i="11"/>
  <c r="N115" i="11"/>
  <c r="N54" i="11"/>
  <c r="N44" i="11"/>
  <c r="N74" i="11"/>
  <c r="N47" i="11"/>
  <c r="N108" i="11"/>
  <c r="N120" i="11"/>
  <c r="N83" i="11"/>
  <c r="N81" i="11"/>
  <c r="N111" i="11"/>
  <c r="N26" i="11"/>
  <c r="N126" i="11"/>
  <c r="N27" i="11"/>
  <c r="N56" i="11"/>
  <c r="N84" i="11"/>
  <c r="N77" i="11"/>
  <c r="F25" i="11"/>
  <c r="F27" i="11"/>
  <c r="F26" i="11"/>
  <c r="Q9" i="11"/>
  <c r="J12" i="11"/>
  <c r="J28" i="11"/>
  <c r="J30" i="11"/>
  <c r="J32" i="11"/>
  <c r="J34" i="11"/>
  <c r="J26" i="11"/>
  <c r="J38" i="11"/>
  <c r="J25" i="11"/>
  <c r="J42" i="11"/>
  <c r="J23" i="11"/>
  <c r="I21" i="11"/>
  <c r="I25" i="11"/>
  <c r="I20" i="11"/>
  <c r="I30" i="11"/>
  <c r="I10" i="11"/>
  <c r="I39" i="11"/>
  <c r="I11" i="11"/>
  <c r="I7" i="11"/>
  <c r="I26" i="11"/>
  <c r="I9" i="11"/>
  <c r="H22" i="11"/>
  <c r="H12" i="11"/>
  <c r="H9" i="11"/>
  <c r="H41" i="11"/>
  <c r="H29" i="11"/>
  <c r="H8" i="11"/>
  <c r="H42" i="11"/>
  <c r="H31" i="11"/>
  <c r="H2" i="11"/>
  <c r="H25" i="11"/>
  <c r="H4" i="11"/>
  <c r="P17" i="11"/>
  <c r="J8" i="11"/>
  <c r="J41" i="11"/>
  <c r="J21" i="11"/>
  <c r="J33" i="11"/>
  <c r="J36" i="11"/>
  <c r="J20" i="11"/>
  <c r="J37" i="11"/>
  <c r="J15" i="11"/>
  <c r="J19" i="11"/>
  <c r="J40" i="11"/>
  <c r="I3" i="11"/>
  <c r="I38" i="11"/>
  <c r="I13" i="11"/>
  <c r="I42" i="11"/>
  <c r="I40" i="11"/>
  <c r="I2" i="11"/>
  <c r="I22" i="11"/>
  <c r="I5" i="11"/>
  <c r="I35" i="11"/>
  <c r="I31" i="11"/>
  <c r="H40" i="11"/>
  <c r="H14" i="11"/>
  <c r="H23" i="11"/>
  <c r="H27" i="11"/>
  <c r="H3" i="11"/>
  <c r="H36" i="11"/>
  <c r="H19" i="11"/>
  <c r="H5" i="11"/>
  <c r="H21" i="11"/>
  <c r="H34" i="11"/>
  <c r="B14" i="82"/>
  <c r="J13" i="11"/>
  <c r="J7" i="11"/>
  <c r="J39" i="11"/>
  <c r="J24" i="11"/>
  <c r="J9" i="11"/>
  <c r="J11" i="11"/>
  <c r="J3" i="11"/>
  <c r="J29" i="11"/>
  <c r="J6" i="11"/>
  <c r="J31" i="11"/>
  <c r="J2" i="11"/>
  <c r="I15" i="11"/>
  <c r="I8" i="11"/>
  <c r="I32" i="11"/>
  <c r="I6" i="11"/>
  <c r="I29" i="11"/>
  <c r="I16" i="11"/>
  <c r="I19" i="11"/>
  <c r="I18" i="11"/>
  <c r="I23" i="11"/>
  <c r="I4" i="11"/>
  <c r="H33" i="11"/>
  <c r="H15" i="11"/>
  <c r="H20" i="11"/>
  <c r="H18" i="11"/>
  <c r="H37" i="11"/>
  <c r="H24" i="11"/>
  <c r="H6" i="11"/>
  <c r="H38" i="11"/>
  <c r="H13" i="11"/>
  <c r="H28" i="11"/>
  <c r="B20" i="4"/>
  <c r="J10" i="11"/>
  <c r="J27" i="11"/>
  <c r="J5" i="11"/>
  <c r="J16" i="11"/>
  <c r="J35" i="11"/>
  <c r="J4" i="11"/>
  <c r="J18" i="11"/>
  <c r="J17" i="11"/>
  <c r="J22" i="11"/>
  <c r="J14" i="11"/>
  <c r="I34" i="11"/>
  <c r="I36" i="11"/>
  <c r="I24" i="11"/>
  <c r="I17" i="11"/>
  <c r="I41" i="11"/>
  <c r="I14" i="11"/>
  <c r="I28" i="11"/>
  <c r="I27" i="11"/>
  <c r="I12" i="11"/>
  <c r="I37" i="11"/>
  <c r="I33" i="11"/>
  <c r="H35" i="11"/>
  <c r="H17" i="11"/>
  <c r="H32" i="11"/>
  <c r="H39" i="11"/>
  <c r="H26" i="11"/>
  <c r="H11" i="11"/>
  <c r="H30" i="11"/>
  <c r="H7" i="11"/>
  <c r="H10" i="11"/>
  <c r="H16" i="11"/>
  <c r="B17" i="4"/>
  <c r="B18" i="4"/>
  <c r="B8" i="82"/>
  <c r="L22" i="11"/>
  <c r="K22" i="11"/>
  <c r="L40" i="11"/>
  <c r="K40" i="11"/>
  <c r="L33" i="11"/>
  <c r="K33" i="11"/>
  <c r="L35" i="11"/>
  <c r="K35" i="11"/>
  <c r="L12" i="11"/>
  <c r="K12" i="11"/>
  <c r="L14" i="11"/>
  <c r="K14" i="11"/>
  <c r="K15" i="11"/>
  <c r="L15" i="11"/>
  <c r="L17" i="11"/>
  <c r="K17" i="11"/>
  <c r="L9" i="11"/>
  <c r="K9" i="11"/>
  <c r="L23" i="11"/>
  <c r="K23" i="11"/>
  <c r="K20" i="11"/>
  <c r="L20" i="11"/>
  <c r="L32" i="11"/>
  <c r="K32" i="11"/>
  <c r="K41" i="11"/>
  <c r="L41" i="11"/>
  <c r="L27" i="11"/>
  <c r="K27" i="11"/>
  <c r="L18" i="11"/>
  <c r="K18" i="11"/>
  <c r="K39" i="11"/>
  <c r="L39" i="11"/>
  <c r="K29" i="11"/>
  <c r="L29" i="11"/>
  <c r="L3" i="11"/>
  <c r="K3" i="11"/>
  <c r="K37" i="11"/>
  <c r="L37" i="11"/>
  <c r="K26" i="11"/>
  <c r="L26" i="11"/>
  <c r="K8" i="11"/>
  <c r="L8" i="11"/>
  <c r="L36" i="11"/>
  <c r="K36" i="11"/>
  <c r="L24" i="11"/>
  <c r="K24" i="11"/>
  <c r="K11" i="11"/>
  <c r="L11" i="11"/>
  <c r="K42" i="11"/>
  <c r="L42" i="11"/>
  <c r="L19" i="11"/>
  <c r="K19" i="11"/>
  <c r="L6" i="11"/>
  <c r="K6" i="11"/>
  <c r="L30" i="11"/>
  <c r="K30" i="11"/>
  <c r="L31" i="11"/>
  <c r="K31" i="11"/>
  <c r="K5" i="11"/>
  <c r="L5" i="11"/>
  <c r="L38" i="11"/>
  <c r="K38" i="11"/>
  <c r="L7" i="11"/>
  <c r="K7" i="11"/>
  <c r="L2" i="11"/>
  <c r="K2" i="11"/>
  <c r="O16" i="11" a="1"/>
  <c r="E46" i="11"/>
  <c r="L21" i="11"/>
  <c r="K21" i="11"/>
  <c r="L13" i="11"/>
  <c r="K13" i="11"/>
  <c r="L10" i="11"/>
  <c r="K10" i="11"/>
  <c r="L25" i="11"/>
  <c r="K25" i="11"/>
  <c r="L34" i="11"/>
  <c r="K34" i="11"/>
  <c r="K28" i="11"/>
  <c r="L28" i="11"/>
  <c r="L16" i="11"/>
  <c r="K16" i="11"/>
  <c r="L4" i="11"/>
  <c r="K4" i="11"/>
  <c r="B9" i="82"/>
  <c r="BT30" i="1"/>
  <c r="BT31" i="1"/>
  <c r="B25" i="1"/>
  <c r="BT29" i="1"/>
  <c r="BU30" i="1"/>
  <c r="BU31" i="1"/>
  <c r="B26" i="1"/>
  <c r="B40" i="1"/>
  <c r="B41" i="1"/>
  <c r="BU29" i="1"/>
  <c r="L67" i="1"/>
  <c r="B42" i="1"/>
  <c r="X9" i="118"/>
  <c r="X11" i="118"/>
  <c r="X10" i="118"/>
  <c r="X12" i="118"/>
  <c r="X16" i="118"/>
  <c r="X17" i="118"/>
  <c r="X24" i="118"/>
  <c r="X25" i="118"/>
  <c r="X14" i="118"/>
  <c r="X15" i="118"/>
  <c r="X22" i="118"/>
  <c r="X23" i="118"/>
  <c r="X27" i="118"/>
  <c r="X13" i="118"/>
  <c r="X20" i="118"/>
  <c r="X21" i="118"/>
  <c r="X18" i="118"/>
  <c r="X19" i="118"/>
  <c r="X26" i="118"/>
  <c r="B43" i="1"/>
  <c r="D43" i="1"/>
  <c r="C8" i="118" a="1"/>
  <c r="B45" i="1"/>
  <c r="D44" i="1"/>
  <c r="D45" i="1"/>
  <c r="B53" i="1"/>
  <c r="D47" i="1"/>
  <c r="Z5" i="118"/>
  <c r="Q13" i="118"/>
  <c r="V16" i="118"/>
  <c r="K9" i="118"/>
  <c r="Y9" i="118" s="1"/>
  <c r="AD9" i="118" s="1"/>
  <c r="H18" i="118"/>
  <c r="A42" i="118" s="1"/>
  <c r="L10" i="118"/>
  <c r="E26" i="118"/>
  <c r="S14" i="118"/>
  <c r="R27" i="118"/>
  <c r="U13" i="118"/>
  <c r="R8" i="118"/>
  <c r="L22" i="118"/>
  <c r="D20" i="118"/>
  <c r="M15" i="118"/>
  <c r="G14" i="118"/>
  <c r="E8" i="118"/>
  <c r="E15" i="118"/>
  <c r="R22" i="118"/>
  <c r="O23" i="118"/>
  <c r="N23" i="118"/>
  <c r="J70" i="118" s="1"/>
  <c r="P19" i="118"/>
  <c r="J13" i="118"/>
  <c r="I25" i="118"/>
  <c r="E22" i="118"/>
  <c r="O27" i="118"/>
  <c r="M10" i="118"/>
  <c r="G24" i="118"/>
  <c r="K12" i="118"/>
  <c r="Y12" i="118" s="1"/>
  <c r="N9" i="118"/>
  <c r="J56" i="118" s="1"/>
  <c r="V17" i="118"/>
  <c r="R26" i="118"/>
  <c r="S10" i="118"/>
  <c r="E19" i="118"/>
  <c r="F15" i="118"/>
  <c r="T17" i="118"/>
  <c r="U22" i="118"/>
  <c r="H20" i="118"/>
  <c r="A44" i="118" s="1"/>
  <c r="D21" i="118"/>
  <c r="C18" i="118"/>
  <c r="D10" i="118"/>
  <c r="R10" i="118"/>
  <c r="R24" i="118"/>
  <c r="S17" i="118"/>
  <c r="Q15" i="118"/>
  <c r="T27" i="118"/>
  <c r="I10" i="118"/>
  <c r="R18" i="118"/>
  <c r="S12" i="118"/>
  <c r="G17" i="118"/>
  <c r="C14" i="118"/>
  <c r="Q19" i="118"/>
  <c r="E24" i="118"/>
  <c r="H11" i="118"/>
  <c r="A35" i="118" s="1"/>
  <c r="L17" i="118"/>
  <c r="E21" i="118"/>
  <c r="H23" i="118"/>
  <c r="A47" i="118" s="1"/>
  <c r="G19" i="118"/>
  <c r="V11" i="118"/>
  <c r="N13" i="118"/>
  <c r="J60" i="118" s="1"/>
  <c r="O20" i="118"/>
  <c r="V13" i="118"/>
  <c r="O18" i="118"/>
  <c r="I16" i="118"/>
  <c r="F25" i="118"/>
  <c r="I17" i="118"/>
  <c r="N14" i="118"/>
  <c r="J61" i="118" s="1"/>
  <c r="R21" i="118"/>
  <c r="G8" i="118"/>
  <c r="V23" i="118"/>
  <c r="Q23" i="118"/>
  <c r="U24" i="118"/>
  <c r="I21" i="118"/>
  <c r="F10" i="118"/>
  <c r="H25" i="118"/>
  <c r="A49" i="118" s="1"/>
  <c r="Q16" i="118"/>
  <c r="Q9" i="118"/>
  <c r="K14" i="118"/>
  <c r="Y14" i="118" s="1"/>
  <c r="H27" i="118"/>
  <c r="A51" i="118" s="1"/>
  <c r="F11" i="118"/>
  <c r="S22" i="118"/>
  <c r="H9" i="118"/>
  <c r="M18" i="118"/>
  <c r="D23" i="118"/>
  <c r="C20" i="118"/>
  <c r="BU25" i="1"/>
  <c r="B47" i="1"/>
  <c r="O10" i="118"/>
  <c r="Q20" i="118"/>
  <c r="F14" i="118"/>
  <c r="D27" i="118"/>
  <c r="I22" i="118"/>
  <c r="P17" i="118"/>
  <c r="K13" i="118"/>
  <c r="Y13" i="118" s="1"/>
  <c r="M23" i="118"/>
  <c r="U19" i="118"/>
  <c r="O11" i="118"/>
  <c r="Q18" i="118"/>
  <c r="K24" i="118"/>
  <c r="Y24" i="118" s="1"/>
  <c r="K21" i="118"/>
  <c r="Y21" i="118" s="1"/>
  <c r="J12" i="118"/>
  <c r="I9" i="118"/>
  <c r="M13" i="118"/>
  <c r="O24" i="118"/>
  <c r="C24" i="118"/>
  <c r="S16" i="118"/>
  <c r="D17" i="118"/>
  <c r="R12" i="118"/>
  <c r="D13" i="118"/>
  <c r="I11" i="118"/>
  <c r="I8" i="118"/>
  <c r="F20" i="118"/>
  <c r="M21" i="118"/>
  <c r="L20" i="118"/>
  <c r="C25" i="118"/>
  <c r="S15" i="118"/>
  <c r="P18" i="118"/>
  <c r="U17" i="118"/>
  <c r="E20" i="118"/>
  <c r="V20" i="118"/>
  <c r="O22" i="118"/>
  <c r="P9" i="118"/>
  <c r="T26" i="118"/>
  <c r="G9" i="118"/>
  <c r="L19" i="118"/>
  <c r="V27" i="118"/>
  <c r="L18" i="118"/>
  <c r="O17" i="118"/>
  <c r="O26" i="118"/>
  <c r="U9" i="118"/>
  <c r="D15" i="118"/>
  <c r="N21" i="118"/>
  <c r="J68" i="118" s="1"/>
  <c r="P15" i="118"/>
  <c r="F17" i="118"/>
  <c r="P23" i="118"/>
  <c r="E9" i="118"/>
  <c r="V21" i="118"/>
  <c r="P13" i="118"/>
  <c r="T13" i="118"/>
  <c r="U14" i="118"/>
  <c r="P14" i="118"/>
  <c r="H22" i="118"/>
  <c r="A46" i="118" s="1"/>
  <c r="V12" i="118"/>
  <c r="I18" i="118"/>
  <c r="Q25" i="118"/>
  <c r="Q22" i="118"/>
  <c r="G18" i="118"/>
  <c r="M8" i="118"/>
  <c r="F19" i="118"/>
  <c r="G12" i="118"/>
  <c r="K10" i="118"/>
  <c r="Y10" i="118" s="1"/>
  <c r="J8" i="118"/>
  <c r="J11" i="118"/>
  <c r="K15" i="118"/>
  <c r="Y15" i="118" s="1"/>
  <c r="P10" i="118"/>
  <c r="C23" i="118"/>
  <c r="M27" i="118"/>
  <c r="U18" i="118"/>
  <c r="N11" i="118"/>
  <c r="J58" i="118" s="1"/>
  <c r="N17" i="118"/>
  <c r="J64" i="118" s="1"/>
  <c r="R14" i="118"/>
  <c r="F13" i="118"/>
  <c r="Q27" i="118"/>
  <c r="Q10" i="118"/>
  <c r="C26" i="118"/>
  <c r="C11" i="118"/>
  <c r="J22" i="118"/>
  <c r="R19" i="118"/>
  <c r="V25" i="118"/>
  <c r="O16" i="11"/>
  <c r="N16" i="118"/>
  <c r="J63" i="118" s="1"/>
  <c r="D25" i="118"/>
  <c r="F23" i="118"/>
  <c r="F27" i="118"/>
  <c r="D8" i="118"/>
  <c r="G11" i="118"/>
  <c r="K27" i="118"/>
  <c r="Y27" i="118" s="1"/>
  <c r="J25" i="118"/>
  <c r="G26" i="118"/>
  <c r="J15" i="118"/>
  <c r="O25" i="118"/>
  <c r="N19" i="118"/>
  <c r="J66" i="118" s="1"/>
  <c r="I20" i="118"/>
  <c r="P22" i="118"/>
  <c r="G21" i="118"/>
  <c r="Q17" i="118"/>
  <c r="T25" i="118"/>
  <c r="H10" i="118"/>
  <c r="A34" i="118" s="1"/>
  <c r="C9" i="118"/>
  <c r="T21" i="118"/>
  <c r="C15" i="118"/>
  <c r="F21" i="118"/>
  <c r="L26" i="118"/>
  <c r="E16" i="118"/>
  <c r="E14" i="118"/>
  <c r="D16" i="118"/>
  <c r="K19" i="118"/>
  <c r="Y19" i="118" s="1"/>
  <c r="O9" i="118"/>
  <c r="R17" i="118"/>
  <c r="Q8" i="118"/>
  <c r="E13" i="118"/>
  <c r="G25" i="118"/>
  <c r="R16" i="118"/>
  <c r="F9" i="118"/>
  <c r="E17" i="118"/>
  <c r="F16" i="118"/>
  <c r="P20" i="118"/>
  <c r="G20" i="118"/>
  <c r="Q14" i="118"/>
  <c r="U26" i="118"/>
  <c r="O19" i="118"/>
  <c r="V14" i="118"/>
  <c r="E18" i="118"/>
  <c r="C27" i="118"/>
  <c r="O12" i="118"/>
  <c r="J21" i="118"/>
  <c r="F8" i="118"/>
  <c r="D11" i="118"/>
  <c r="C22" i="118"/>
  <c r="H15" i="118"/>
  <c r="A39" i="118" s="1"/>
  <c r="H21" i="118"/>
  <c r="A45" i="118" s="1"/>
  <c r="U25" i="118"/>
  <c r="N25" i="118"/>
  <c r="J72" i="118" s="1"/>
  <c r="M20" i="118"/>
  <c r="C13" i="118"/>
  <c r="J24" i="118"/>
  <c r="T24" i="118"/>
  <c r="S13" i="118"/>
  <c r="O15" i="118"/>
  <c r="T20" i="118"/>
  <c r="R15" i="118"/>
  <c r="E10" i="118"/>
  <c r="T18" i="118"/>
  <c r="R20" i="118"/>
  <c r="L12" i="118"/>
  <c r="T12" i="118"/>
  <c r="F24" i="118"/>
  <c r="H13" i="118"/>
  <c r="A37" i="118" s="1"/>
  <c r="E25" i="118"/>
  <c r="O8" i="118"/>
  <c r="T22" i="118"/>
  <c r="H16" i="118"/>
  <c r="A40" i="118" s="1"/>
  <c r="T14" i="118"/>
  <c r="G15" i="118"/>
  <c r="M12" i="118"/>
  <c r="V19" i="118"/>
  <c r="I26" i="118"/>
  <c r="L15" i="118"/>
  <c r="K20" i="118"/>
  <c r="Y20" i="118" s="1"/>
  <c r="U20" i="118"/>
  <c r="D14" i="118"/>
  <c r="C12" i="118"/>
  <c r="S8" i="118"/>
  <c r="S26" i="118"/>
  <c r="AD43" i="12"/>
  <c r="V26" i="118"/>
  <c r="I15" i="118"/>
  <c r="H12" i="118"/>
  <c r="A36" i="118" s="1"/>
  <c r="D19" i="118"/>
  <c r="N26" i="118"/>
  <c r="J73" i="118" s="1"/>
  <c r="M16" i="118"/>
  <c r="M26" i="118"/>
  <c r="D12" i="118"/>
  <c r="I24" i="118"/>
  <c r="J16" i="118"/>
  <c r="S9" i="118"/>
  <c r="G16" i="118"/>
  <c r="L25" i="118"/>
  <c r="T11" i="118"/>
  <c r="N20" i="118"/>
  <c r="J67" i="118" s="1"/>
  <c r="H8" i="118"/>
  <c r="V24" i="118"/>
  <c r="P12" i="118"/>
  <c r="D26" i="118"/>
  <c r="S21" i="118"/>
  <c r="F26" i="118"/>
  <c r="L14" i="118"/>
  <c r="I23" i="118"/>
  <c r="Q26" i="118"/>
  <c r="S18" i="118"/>
  <c r="M11" i="118"/>
  <c r="O21" i="118"/>
  <c r="M22" i="118"/>
  <c r="M14" i="118"/>
  <c r="S20" i="118"/>
  <c r="Q11" i="118"/>
  <c r="E11" i="118"/>
  <c r="S27" i="118"/>
  <c r="L11" i="118"/>
  <c r="N22" i="118"/>
  <c r="J69" i="118" s="1"/>
  <c r="S24" i="118"/>
  <c r="G13" i="118"/>
  <c r="J20" i="118"/>
  <c r="O14" i="118"/>
  <c r="M24" i="118"/>
  <c r="E23" i="118"/>
  <c r="J17" i="118"/>
  <c r="P26" i="118"/>
  <c r="T23" i="118"/>
  <c r="Q12" i="118"/>
  <c r="P25" i="118"/>
  <c r="U10" i="118"/>
  <c r="C19" i="118"/>
  <c r="H17" i="118"/>
  <c r="A41" i="118" s="1"/>
  <c r="U12" i="118"/>
  <c r="S11" i="118"/>
  <c r="H14" i="118"/>
  <c r="A38" i="118" s="1"/>
  <c r="S23" i="118"/>
  <c r="G27" i="118"/>
  <c r="G23" i="118"/>
  <c r="M19" i="118"/>
  <c r="E12" i="118"/>
  <c r="L24" i="118"/>
  <c r="L9" i="118"/>
  <c r="E27" i="118"/>
  <c r="U23" i="118"/>
  <c r="J10" i="118"/>
  <c r="F12" i="118"/>
  <c r="U16" i="118"/>
  <c r="J23" i="118"/>
  <c r="I14" i="118"/>
  <c r="L16" i="118"/>
  <c r="F18" i="118"/>
  <c r="K22" i="118"/>
  <c r="Y22" i="118" s="1"/>
  <c r="Q24" i="118"/>
  <c r="N10" i="118"/>
  <c r="J57" i="118" s="1"/>
  <c r="M17" i="118"/>
  <c r="T19" i="118"/>
  <c r="I27" i="118"/>
  <c r="S19" i="118"/>
  <c r="R25" i="118"/>
  <c r="N8" i="118"/>
  <c r="V15" i="118"/>
  <c r="N12" i="118"/>
  <c r="J59" i="118" s="1"/>
  <c r="J14" i="118"/>
  <c r="U8" i="118"/>
  <c r="K16" i="118"/>
  <c r="Y16" i="118" s="1"/>
  <c r="J26" i="118"/>
  <c r="N15" i="118"/>
  <c r="J62" i="118" s="1"/>
  <c r="V10" i="118"/>
  <c r="V18" i="118"/>
  <c r="P11" i="118"/>
  <c r="J9" i="118"/>
  <c r="H19" i="118"/>
  <c r="A43" i="118" s="1"/>
  <c r="P16" i="118"/>
  <c r="G22" i="118"/>
  <c r="H26" i="118"/>
  <c r="A50" i="118" s="1"/>
  <c r="J19" i="118"/>
  <c r="D18" i="118"/>
  <c r="U15" i="118"/>
  <c r="D24" i="118"/>
  <c r="N18" i="118"/>
  <c r="J65" i="118" s="1"/>
  <c r="Q21" i="118"/>
  <c r="T16" i="118"/>
  <c r="U21" i="118"/>
  <c r="K11" i="118"/>
  <c r="Y11" i="118" s="1"/>
  <c r="K17" i="118"/>
  <c r="Y17" i="118" s="1"/>
  <c r="K18" i="118"/>
  <c r="Y18" i="118" s="1"/>
  <c r="K23" i="118"/>
  <c r="K25" i="118"/>
  <c r="Y25" i="118" s="1"/>
  <c r="K26" i="118"/>
  <c r="C21" i="118"/>
  <c r="N24" i="118"/>
  <c r="J71" i="118" s="1"/>
  <c r="M9" i="118"/>
  <c r="T9" i="118"/>
  <c r="K8" i="118"/>
  <c r="T15" i="118"/>
  <c r="H24" i="118"/>
  <c r="A48" i="118" s="1"/>
  <c r="T8" i="118"/>
  <c r="P21" i="118"/>
  <c r="L8" i="118"/>
  <c r="V8" i="118"/>
  <c r="R11" i="118"/>
  <c r="R9" i="118"/>
  <c r="J27" i="118"/>
  <c r="P8" i="118"/>
  <c r="O16" i="118"/>
  <c r="I13" i="118"/>
  <c r="S25" i="118"/>
  <c r="C8" i="118"/>
  <c r="P27" i="118"/>
  <c r="R13" i="118"/>
  <c r="D22" i="118"/>
  <c r="I19" i="118"/>
  <c r="U27" i="118"/>
  <c r="C10" i="118"/>
  <c r="L13" i="118"/>
  <c r="G10" i="118"/>
  <c r="D9" i="118"/>
  <c r="L23" i="118"/>
  <c r="AV29" i="1"/>
  <c r="C17" i="118"/>
  <c r="T10" i="118"/>
  <c r="P24" i="118"/>
  <c r="O13" i="118"/>
  <c r="L21" i="118"/>
  <c r="I12" i="118"/>
  <c r="N27" i="118"/>
  <c r="J74" i="118" s="1"/>
  <c r="V22" i="118"/>
  <c r="C16" i="118"/>
  <c r="M25" i="118"/>
  <c r="V9" i="118"/>
  <c r="L27" i="118"/>
  <c r="J18" i="118"/>
  <c r="U11" i="118"/>
  <c r="F22" i="118"/>
  <c r="R23" i="118"/>
  <c r="AV31" i="1"/>
  <c r="AV30" i="1"/>
  <c r="Z9" i="118"/>
  <c r="Z12" i="118"/>
  <c r="Z14" i="118"/>
  <c r="Z25" i="118"/>
  <c r="Z23" i="118"/>
  <c r="Z18" i="118"/>
  <c r="Z26" i="118"/>
  <c r="AW29" i="1"/>
  <c r="AX29" i="1"/>
  <c r="AY29" i="1"/>
  <c r="Z13" i="118"/>
  <c r="Z24" i="118"/>
  <c r="Z21" i="118"/>
  <c r="Z10" i="118"/>
  <c r="Z15" i="118"/>
  <c r="Z17" i="118"/>
  <c r="AW30" i="1"/>
  <c r="AX30" i="1"/>
  <c r="AY30" i="1"/>
  <c r="Z27" i="118"/>
  <c r="Z19" i="118"/>
  <c r="Z20" i="118"/>
  <c r="Z22" i="118"/>
  <c r="Z16" i="118"/>
  <c r="Z11" i="118"/>
  <c r="AW31" i="1"/>
  <c r="AX31" i="1"/>
  <c r="AY31" i="1"/>
  <c r="AZ29" i="1"/>
  <c r="AZ31" i="1"/>
  <c r="AZ30" i="1"/>
  <c r="AD10" i="118" l="1"/>
  <c r="AD11" i="118" s="1"/>
  <c r="AD12" i="118" s="1"/>
  <c r="AD13" i="118" s="1"/>
  <c r="AD14" i="118" s="1"/>
  <c r="AD15" i="118" s="1"/>
  <c r="AD16" i="118" s="1"/>
  <c r="AD17" i="118" s="1"/>
  <c r="AD18" i="118" s="1"/>
  <c r="AD19" i="118" s="1"/>
  <c r="AD20" i="118" s="1"/>
  <c r="AD21" i="118" s="1"/>
  <c r="AD22" i="118" s="1"/>
  <c r="AD23" i="118" s="1"/>
  <c r="AD24" i="118" s="1"/>
  <c r="AD25" i="118" s="1"/>
  <c r="AD26" i="118" s="1"/>
  <c r="AD27" i="118" s="1"/>
  <c r="AE27" i="118" s="1"/>
  <c r="Y26" i="118"/>
  <c r="Y23" i="118"/>
  <c r="AB21" i="118"/>
  <c r="AB18" i="118"/>
  <c r="AB15" i="118"/>
  <c r="AB16" i="118"/>
  <c r="AB27" i="118"/>
  <c r="AT31" i="1"/>
  <c r="AN68" i="1" s="1"/>
  <c r="AB19" i="118"/>
  <c r="AT29" i="1"/>
  <c r="AP66" i="1" s="1"/>
  <c r="AB20" i="118"/>
  <c r="AB26" i="118"/>
  <c r="AB13" i="118"/>
  <c r="AB25" i="118"/>
  <c r="AB14" i="118"/>
  <c r="AB23" i="118"/>
  <c r="AB22" i="118"/>
  <c r="AB11" i="118"/>
  <c r="AB24" i="118"/>
  <c r="AB17" i="118"/>
  <c r="AB10" i="118"/>
  <c r="AB9" i="118"/>
  <c r="AB12" i="118"/>
  <c r="AT30" i="1"/>
  <c r="AP67" i="1" s="1"/>
  <c r="AO66" i="1"/>
  <c r="AI66" i="1"/>
  <c r="AO70" i="1"/>
  <c r="AO78" i="1"/>
  <c r="AO82" i="1"/>
  <c r="AP70" i="1"/>
  <c r="AP78" i="1"/>
  <c r="AP82" i="1"/>
  <c r="AN72" i="1"/>
  <c r="AN80" i="1"/>
  <c r="AN84" i="1"/>
  <c r="AP71" i="1"/>
  <c r="AP79" i="1"/>
  <c r="AP83" i="1"/>
  <c r="AI86" i="1"/>
  <c r="AI70" i="1"/>
  <c r="AI78" i="1"/>
  <c r="AI82" i="1"/>
  <c r="AH66" i="1" l="1"/>
  <c r="AL66" i="1"/>
  <c r="AQ66" i="1"/>
  <c r="AJ67" i="1"/>
  <c r="AN67" i="1"/>
  <c r="AF68" i="1"/>
  <c r="AQ67" i="1"/>
  <c r="AM68" i="1"/>
  <c r="AI68" i="1"/>
  <c r="AQ68" i="1"/>
  <c r="AO67" i="1"/>
  <c r="AI67" i="1"/>
  <c r="AL68" i="1"/>
  <c r="AF67" i="1"/>
  <c r="AK68" i="1"/>
  <c r="AK67" i="1"/>
  <c r="AO68" i="1"/>
  <c r="AG67" i="1"/>
  <c r="AG68" i="1"/>
  <c r="AR67" i="1"/>
  <c r="AP68" i="1"/>
  <c r="AL67" i="1"/>
  <c r="AJ68" i="1"/>
  <c r="AR68" i="1"/>
  <c r="AM67" i="1"/>
  <c r="AH67" i="1"/>
  <c r="AH68" i="1"/>
  <c r="AN66" i="1"/>
  <c r="AJ66" i="1"/>
  <c r="AM66" i="1"/>
  <c r="AR66" i="1"/>
  <c r="AK66" i="1"/>
  <c r="AG66" i="1"/>
  <c r="AF66" i="1"/>
  <c r="AH86" i="1"/>
  <c r="AH70" i="1"/>
  <c r="AH78" i="1" s="1"/>
  <c r="AH82" i="1" s="1"/>
  <c r="AL70" i="1"/>
  <c r="AL78" i="1" s="1"/>
  <c r="AL82" i="1" s="1"/>
  <c r="AQ70" i="1"/>
  <c r="AQ78" i="1" s="1"/>
  <c r="AQ82" i="1" s="1"/>
  <c r="AJ87" i="1"/>
  <c r="AJ71" i="1"/>
  <c r="AJ79" i="1" s="1"/>
  <c r="AJ83" i="1" s="1"/>
  <c r="AN71" i="1"/>
  <c r="AN79" i="1" s="1"/>
  <c r="AN83" i="1" s="1"/>
  <c r="AF88" i="1"/>
  <c r="AF93" i="1" s="1"/>
  <c r="AF97" i="1" s="1"/>
  <c r="AF72" i="1" s="1"/>
  <c r="AF80" i="1" s="1"/>
  <c r="AF84" i="1" s="1"/>
  <c r="AQ72" i="1"/>
  <c r="AQ80" i="1" s="1"/>
  <c r="AQ84" i="1" s="1"/>
  <c r="AQ71" i="1"/>
  <c r="AQ79" i="1" s="1"/>
  <c r="AQ83" i="1" s="1"/>
  <c r="AM72" i="1"/>
  <c r="AM80" i="1" s="1"/>
  <c r="AM84" i="1" s="1"/>
  <c r="AI88" i="1"/>
  <c r="AI72" i="1"/>
  <c r="AI80" i="1" s="1"/>
  <c r="AI84" i="1" s="1"/>
  <c r="AO71" i="1"/>
  <c r="AO79" i="1" s="1"/>
  <c r="AO83" i="1" s="1"/>
  <c r="AK88" i="1"/>
  <c r="AK72" i="1"/>
  <c r="AK80" i="1" s="1"/>
  <c r="AK84" i="1" s="1"/>
  <c r="AG72" i="1"/>
  <c r="AG80" i="1" s="1"/>
  <c r="AG84" i="1" s="1"/>
  <c r="AG88" i="1"/>
  <c r="AJ72" i="1"/>
  <c r="AJ80" i="1" s="1"/>
  <c r="AJ84" i="1" s="1"/>
  <c r="AJ88" i="1"/>
  <c r="AH72" i="1"/>
  <c r="AH80" i="1" s="1"/>
  <c r="AH84" i="1" s="1"/>
  <c r="AH88" i="1"/>
  <c r="AI71" i="1"/>
  <c r="AI79" i="1" s="1"/>
  <c r="AI83" i="1" s="1"/>
  <c r="AI87" i="1"/>
  <c r="AK71" i="1"/>
  <c r="AK79" i="1" s="1"/>
  <c r="AK83" i="1" s="1"/>
  <c r="AK87" i="1"/>
  <c r="AR71" i="1"/>
  <c r="AR79" i="1" s="1"/>
  <c r="AR83" i="1" s="1"/>
  <c r="AR72" i="1"/>
  <c r="AR80" i="1" s="1"/>
  <c r="AM71" i="1"/>
  <c r="AM79" i="1" s="1"/>
  <c r="AM83" i="1" s="1"/>
  <c r="AL72" i="1"/>
  <c r="AL80" i="1" s="1"/>
  <c r="AL84" i="1" s="1"/>
  <c r="AO72" i="1"/>
  <c r="AO80" i="1" s="1"/>
  <c r="AO84" i="1" s="1"/>
  <c r="AP72" i="1"/>
  <c r="AP80" i="1" s="1"/>
  <c r="AP84" i="1" s="1"/>
  <c r="AF87" i="1"/>
  <c r="AF92" i="1" s="1"/>
  <c r="AF96" i="1" s="1"/>
  <c r="AF71" i="1" s="1"/>
  <c r="AF79" i="1" s="1"/>
  <c r="AF83" i="1" s="1"/>
  <c r="AG87" i="1"/>
  <c r="AG71" i="1"/>
  <c r="AG79" i="1" s="1"/>
  <c r="AG83" i="1" s="1"/>
  <c r="AL71" i="1"/>
  <c r="AL79" i="1" s="1"/>
  <c r="AL83" i="1" s="1"/>
  <c r="AH87" i="1"/>
  <c r="AH71" i="1"/>
  <c r="AH79" i="1" s="1"/>
  <c r="AH83" i="1" s="1"/>
  <c r="AN70" i="1"/>
  <c r="AN78" i="1" s="1"/>
  <c r="AN82" i="1" s="1"/>
  <c r="AK86" i="1"/>
  <c r="AK70" i="1"/>
  <c r="AJ86" i="1"/>
  <c r="AJ70" i="1"/>
  <c r="AJ78" i="1" s="1"/>
  <c r="AJ82" i="1" s="1"/>
  <c r="AG86" i="1"/>
  <c r="AG70" i="1"/>
  <c r="AG78" i="1" s="1"/>
  <c r="AG82" i="1" s="1"/>
  <c r="AM70" i="1"/>
  <c r="AM78" i="1" s="1"/>
  <c r="AM82" i="1" s="1"/>
  <c r="AF86" i="1"/>
  <c r="AF91" i="1" s="1"/>
  <c r="AF95" i="1" s="1"/>
  <c r="AF70" i="1" s="1"/>
  <c r="AF78" i="1" s="1"/>
  <c r="AF82" i="1" s="1"/>
  <c r="AR70" i="1"/>
  <c r="AR78" i="1" s="1"/>
  <c r="AR82" i="1" s="1"/>
  <c r="AS82" i="1" s="1"/>
  <c r="B9" i="118" a="1"/>
  <c r="AK78" i="1"/>
  <c r="AK82" i="1" s="1"/>
  <c r="AV70" i="1" a="1"/>
  <c r="AS80" i="1"/>
  <c r="AR84" i="1"/>
  <c r="AV70" i="1" l="1"/>
  <c r="AZ71" i="1"/>
  <c r="AY73" i="1"/>
  <c r="AZ73" i="1"/>
  <c r="BB70" i="1"/>
  <c r="AW73" i="1"/>
  <c r="AY71" i="1"/>
  <c r="AY70" i="1"/>
  <c r="AZ74" i="1"/>
  <c r="BA71" i="1"/>
  <c r="AX74" i="1"/>
  <c r="AV74" i="1"/>
  <c r="AW72" i="1"/>
  <c r="AY72" i="1"/>
  <c r="BC70" i="1"/>
  <c r="BB74" i="1"/>
  <c r="BD71" i="1"/>
  <c r="BC74" i="1"/>
  <c r="AX71" i="1"/>
  <c r="BA74" i="1"/>
  <c r="AX72" i="1"/>
  <c r="AV71" i="1"/>
  <c r="BD74" i="1"/>
  <c r="BA70" i="1"/>
  <c r="AW74" i="1"/>
  <c r="AV72" i="1"/>
  <c r="AY74" i="1"/>
  <c r="AX70" i="1"/>
  <c r="BA73" i="1"/>
  <c r="AZ70" i="1"/>
  <c r="BB73" i="1"/>
  <c r="AW71" i="1"/>
  <c r="BC71" i="1"/>
  <c r="AV73" i="1"/>
  <c r="AX73" i="1"/>
  <c r="BD70" i="1"/>
  <c r="BB72" i="1"/>
  <c r="BC73" i="1"/>
  <c r="BC72" i="1"/>
  <c r="BD72" i="1"/>
  <c r="BB71" i="1"/>
  <c r="AW70" i="1"/>
  <c r="BA72" i="1"/>
  <c r="BD73" i="1"/>
  <c r="AZ72" i="1"/>
  <c r="B15" i="118"/>
  <c r="B17" i="118"/>
  <c r="B18" i="118"/>
  <c r="B23" i="118"/>
  <c r="B10" i="118"/>
  <c r="B21" i="118"/>
  <c r="B27" i="118"/>
  <c r="B25" i="118"/>
  <c r="B12" i="118"/>
  <c r="B19" i="118"/>
  <c r="B26" i="118"/>
  <c r="B16" i="118"/>
  <c r="B11" i="118"/>
  <c r="B9" i="118"/>
  <c r="Z7" i="118"/>
  <c r="B13" i="118"/>
  <c r="B24" i="118"/>
  <c r="B22" i="118"/>
  <c r="B20" i="118"/>
  <c r="B14" i="118"/>
  <c r="F9" i="1"/>
  <c r="K5" i="104"/>
  <c r="K4" i="104"/>
  <c r="K7" i="104"/>
  <c r="F29" i="1"/>
  <c r="K9" i="104"/>
  <c r="K8" i="104"/>
  <c r="F25" i="1"/>
  <c r="F40" i="1"/>
  <c r="F21" i="1"/>
  <c r="F26" i="1"/>
  <c r="F41" i="1"/>
  <c r="H7" i="104"/>
  <c r="G52" i="104"/>
  <c r="C6" i="104"/>
  <c r="G27" i="104"/>
  <c r="C43" i="104"/>
  <c r="D36" i="104"/>
  <c r="G41" i="104"/>
  <c r="H43" i="104"/>
  <c r="C12" i="104"/>
  <c r="G16" i="104"/>
  <c r="H38" i="104"/>
  <c r="F27" i="104"/>
  <c r="J19" i="104"/>
  <c r="G9" i="104"/>
  <c r="F13" i="104"/>
  <c r="E10" i="104"/>
  <c r="E27" i="104"/>
  <c r="H27" i="104"/>
  <c r="G35" i="104"/>
  <c r="G23" i="104"/>
  <c r="F52" i="104"/>
  <c r="F14" i="104"/>
  <c r="E5" i="104"/>
  <c r="F44" i="104"/>
  <c r="E38" i="104"/>
  <c r="J11" i="104"/>
  <c r="F17" i="104"/>
  <c r="G44" i="104"/>
  <c r="D18" i="104"/>
  <c r="F10" i="104"/>
  <c r="H18" i="104"/>
  <c r="C32" i="104"/>
  <c r="H52" i="104"/>
  <c r="E18" i="104"/>
  <c r="E23" i="104"/>
  <c r="E29" i="104"/>
  <c r="D14" i="104"/>
  <c r="E24" i="104"/>
  <c r="G14" i="104"/>
  <c r="L68" i="1"/>
  <c r="Q79" i="1"/>
  <c r="O75" i="1"/>
  <c r="L77" i="1"/>
  <c r="V73" i="1"/>
  <c r="S87" i="1"/>
  <c r="L84" i="1"/>
  <c r="Q78" i="1"/>
  <c r="X82" i="1"/>
  <c r="T76" i="1"/>
  <c r="Q76" i="1"/>
  <c r="W80" i="1"/>
  <c r="L74" i="1"/>
  <c r="R72" i="1"/>
  <c r="O86" i="1"/>
  <c r="M78" i="1"/>
  <c r="O73" i="1"/>
  <c r="P87" i="1"/>
  <c r="T72" i="1"/>
  <c r="M87" i="1"/>
  <c r="Q84" i="1"/>
  <c r="U87" i="1"/>
  <c r="X86" i="1"/>
  <c r="X81" i="1"/>
  <c r="S83" i="1"/>
  <c r="W77" i="1"/>
  <c r="P85" i="1"/>
  <c r="C35" i="104"/>
  <c r="D41" i="104"/>
  <c r="E11" i="104"/>
  <c r="E34" i="104"/>
  <c r="D30" i="104"/>
  <c r="C16" i="104"/>
  <c r="H23" i="104"/>
  <c r="F25" i="104"/>
  <c r="C42" i="104"/>
  <c r="G19" i="104"/>
  <c r="F43" i="104"/>
  <c r="D26" i="104"/>
  <c r="E14" i="104"/>
  <c r="D33" i="104"/>
  <c r="F42" i="104"/>
  <c r="C28" i="104"/>
  <c r="E22" i="104"/>
  <c r="J9" i="104"/>
  <c r="C11" i="104"/>
  <c r="G40" i="104"/>
  <c r="G21" i="104"/>
  <c r="G30" i="104"/>
  <c r="G8" i="104"/>
  <c r="E36" i="104"/>
  <c r="D38" i="104"/>
  <c r="E8" i="104"/>
  <c r="C20" i="104"/>
  <c r="D44" i="104"/>
  <c r="H16" i="104"/>
  <c r="J12" i="104"/>
  <c r="D12" i="104"/>
  <c r="E6" i="104"/>
  <c r="E35" i="104"/>
  <c r="F40" i="104"/>
  <c r="H15" i="104"/>
  <c r="F6" i="104"/>
  <c r="D5" i="104"/>
  <c r="H36" i="104"/>
  <c r="E31" i="104"/>
  <c r="F7" i="104"/>
  <c r="J18" i="104"/>
  <c r="E4" i="104"/>
  <c r="J8" i="104"/>
  <c r="H26" i="104"/>
  <c r="E17" i="104"/>
  <c r="G7" i="104"/>
  <c r="F22" i="104"/>
  <c r="H37" i="104"/>
  <c r="F23" i="104"/>
  <c r="D21" i="104"/>
  <c r="C36" i="104"/>
  <c r="F31" i="104"/>
  <c r="D29" i="104"/>
  <c r="D28" i="104"/>
  <c r="D7" i="104"/>
  <c r="G13" i="104"/>
  <c r="F12" i="104"/>
  <c r="G33" i="104"/>
  <c r="C14" i="104"/>
  <c r="G18" i="104"/>
  <c r="H25" i="104"/>
  <c r="E43" i="104"/>
  <c r="D37" i="104"/>
  <c r="H21" i="104"/>
  <c r="G11" i="104"/>
  <c r="H14" i="104"/>
  <c r="G22" i="104"/>
  <c r="E44" i="104"/>
  <c r="G10" i="104"/>
  <c r="E42" i="104"/>
  <c r="C39" i="104"/>
  <c r="C41" i="104"/>
  <c r="C21" i="104"/>
  <c r="G38" i="104"/>
  <c r="H41" i="104"/>
  <c r="G29" i="104"/>
  <c r="G12" i="104"/>
  <c r="G15" i="104"/>
  <c r="C40" i="104"/>
  <c r="D35" i="104"/>
  <c r="J14" i="104"/>
  <c r="H6" i="104"/>
  <c r="E12" i="104"/>
  <c r="C37" i="104"/>
  <c r="C34" i="104"/>
  <c r="G25" i="104"/>
  <c r="E39" i="104"/>
  <c r="C18" i="104"/>
  <c r="E26" i="104"/>
  <c r="H40" i="104"/>
  <c r="G39" i="104"/>
  <c r="D31" i="104"/>
  <c r="G17" i="104"/>
  <c r="C26" i="104"/>
  <c r="H5" i="104"/>
  <c r="H30" i="104"/>
  <c r="J21" i="104"/>
  <c r="C17" i="104"/>
  <c r="K6" i="104"/>
  <c r="F30" i="104"/>
  <c r="G42" i="104"/>
  <c r="H8" i="104"/>
  <c r="F33" i="104"/>
  <c r="G4" i="104"/>
  <c r="F5" i="104"/>
  <c r="C24" i="104"/>
  <c r="H13" i="104"/>
  <c r="C13" i="104"/>
  <c r="F4" i="104"/>
  <c r="D9" i="104"/>
  <c r="F39" i="104"/>
  <c r="D16" i="104"/>
  <c r="E16" i="104"/>
  <c r="J20" i="104"/>
  <c r="F37" i="104"/>
  <c r="H9" i="104"/>
  <c r="E13" i="104"/>
  <c r="D22" i="104"/>
  <c r="H33" i="104"/>
  <c r="R85" i="1"/>
  <c r="V76" i="1"/>
  <c r="N87" i="1"/>
  <c r="V82" i="1"/>
  <c r="M77" i="1"/>
  <c r="N74" i="1"/>
  <c r="U85" i="1"/>
  <c r="U72" i="1"/>
  <c r="V80" i="1"/>
  <c r="S78" i="1"/>
  <c r="T77" i="1"/>
  <c r="P78" i="1"/>
  <c r="S86" i="1"/>
  <c r="E19" i="104"/>
  <c r="D19" i="104"/>
  <c r="F9" i="104"/>
  <c r="F42" i="1"/>
  <c r="C29" i="104"/>
  <c r="C22" i="104"/>
  <c r="E28" i="104"/>
  <c r="O78" i="1"/>
  <c r="L79" i="1"/>
  <c r="S72" i="1"/>
  <c r="P72" i="1"/>
  <c r="Q60" i="1"/>
  <c r="AK15" i="1"/>
  <c r="M84" i="1"/>
  <c r="R61" i="1"/>
  <c r="AL16" i="1"/>
  <c r="F36" i="104"/>
  <c r="E21" i="104"/>
  <c r="H22" i="104"/>
  <c r="U77" i="1"/>
  <c r="R87" i="1"/>
  <c r="R75" i="1"/>
  <c r="J7" i="104"/>
  <c r="E7" i="104"/>
  <c r="H19" i="104"/>
  <c r="F11" i="104"/>
  <c r="G20" i="104"/>
  <c r="E32" i="104"/>
  <c r="D43" i="104"/>
  <c r="W84" i="1"/>
  <c r="N73" i="1"/>
  <c r="W56" i="1"/>
  <c r="AQ11" i="1"/>
  <c r="Q81" i="1"/>
  <c r="P48" i="1"/>
  <c r="T53" i="1"/>
  <c r="AN8" i="1"/>
  <c r="H11" i="104"/>
  <c r="E52" i="104"/>
  <c r="C10" i="104"/>
  <c r="P83" i="1"/>
  <c r="V75" i="1"/>
  <c r="X75" i="1"/>
  <c r="V85" i="1"/>
  <c r="D4" i="104"/>
  <c r="J17" i="104"/>
  <c r="E37" i="104"/>
  <c r="J16" i="104"/>
  <c r="H29" i="104"/>
  <c r="H12" i="104"/>
  <c r="G28" i="104"/>
  <c r="Q83" i="1"/>
  <c r="L50" i="1"/>
  <c r="P86" i="1"/>
  <c r="T87" i="1"/>
  <c r="N75" i="1"/>
  <c r="R84" i="1"/>
  <c r="O49" i="1"/>
  <c r="F43" i="1"/>
  <c r="L83" i="1"/>
  <c r="R86" i="1"/>
  <c r="M53" i="1"/>
  <c r="AG8" i="1"/>
  <c r="W60" i="1"/>
  <c r="AQ15" i="1"/>
  <c r="L73" i="1"/>
  <c r="X79" i="1"/>
  <c r="U83" i="1"/>
  <c r="U48" i="1"/>
  <c r="S84" i="1"/>
  <c r="Q75" i="1"/>
  <c r="W74" i="1"/>
  <c r="D6" i="104"/>
  <c r="G36" i="104"/>
  <c r="C38" i="104"/>
  <c r="F38" i="104"/>
  <c r="D23" i="104"/>
  <c r="C23" i="104"/>
  <c r="J10" i="104"/>
  <c r="H28" i="104"/>
  <c r="V78" i="1"/>
  <c r="X87" i="1"/>
  <c r="P74" i="1"/>
  <c r="O85" i="1"/>
  <c r="N76" i="1"/>
  <c r="R82" i="1"/>
  <c r="V56" i="1"/>
  <c r="AP11" i="1"/>
  <c r="O87" i="1"/>
  <c r="G32" i="104"/>
  <c r="H17" i="104"/>
  <c r="H24" i="104"/>
  <c r="J13" i="104"/>
  <c r="P73" i="1"/>
  <c r="R63" i="1"/>
  <c r="AL18" i="1"/>
  <c r="R51" i="1"/>
  <c r="AL6" i="1"/>
  <c r="D40" i="104"/>
  <c r="D27" i="104"/>
  <c r="C8" i="104"/>
  <c r="G6" i="104"/>
  <c r="E40" i="104"/>
  <c r="F18" i="104"/>
  <c r="D32" i="104"/>
  <c r="J15" i="104"/>
  <c r="L80" i="1"/>
  <c r="L78" i="1"/>
  <c r="W83" i="1"/>
  <c r="V83" i="1"/>
  <c r="V77" i="1"/>
  <c r="P54" i="1"/>
  <c r="AJ9" i="1"/>
  <c r="W86" i="1"/>
  <c r="X74" i="1"/>
  <c r="M86" i="1"/>
  <c r="M60" i="1"/>
  <c r="AG15" i="1"/>
  <c r="H39" i="104"/>
  <c r="E20" i="104"/>
  <c r="H34" i="104"/>
  <c r="N3" i="104"/>
  <c r="G54" i="104"/>
  <c r="N6" i="104"/>
  <c r="N39" i="104"/>
  <c r="D54" i="104"/>
  <c r="N27" i="104"/>
  <c r="N31" i="104"/>
  <c r="M31" i="104"/>
  <c r="S60" i="1"/>
  <c r="AM15" i="1"/>
  <c r="V81" i="1"/>
  <c r="R80" i="1"/>
  <c r="C15" i="104"/>
  <c r="D24" i="104"/>
  <c r="H44" i="104"/>
  <c r="F26" i="104"/>
  <c r="D17" i="104"/>
  <c r="F8" i="104"/>
  <c r="D25" i="104"/>
  <c r="X78" i="1"/>
  <c r="Q87" i="1"/>
  <c r="W79" i="1"/>
  <c r="N80" i="1"/>
  <c r="N56" i="1"/>
  <c r="AH11" i="1"/>
  <c r="T74" i="1"/>
  <c r="S76" i="1"/>
  <c r="S52" i="1"/>
  <c r="AM7" i="1"/>
  <c r="S59" i="1"/>
  <c r="AM14" i="1"/>
  <c r="V79" i="1"/>
  <c r="V55" i="1"/>
  <c r="AP10" i="1"/>
  <c r="X57" i="1"/>
  <c r="AR12" i="1"/>
  <c r="M73" i="1"/>
  <c r="M49" i="1"/>
  <c r="W82" i="1"/>
  <c r="C4" i="104"/>
  <c r="C44" i="104"/>
  <c r="D10" i="104"/>
  <c r="U79" i="1"/>
  <c r="M82" i="1"/>
  <c r="H32" i="104"/>
  <c r="D39" i="104"/>
  <c r="G5" i="104"/>
  <c r="F21" i="104"/>
  <c r="D11" i="104"/>
  <c r="D8" i="104"/>
  <c r="F29" i="104"/>
  <c r="V84" i="1"/>
  <c r="S75" i="1"/>
  <c r="T79" i="1"/>
  <c r="W59" i="1"/>
  <c r="AQ14" i="1"/>
  <c r="X84" i="1"/>
  <c r="X72" i="1"/>
  <c r="L53" i="1"/>
  <c r="AF8" i="1"/>
  <c r="N79" i="1"/>
  <c r="W76" i="1"/>
  <c r="S48" i="1"/>
  <c r="R56" i="1"/>
  <c r="AL11" i="1"/>
  <c r="V54" i="1"/>
  <c r="AP9" i="1"/>
  <c r="V49" i="1"/>
  <c r="F15" i="104"/>
  <c r="G34" i="104"/>
  <c r="C33" i="104"/>
  <c r="N15" i="104"/>
  <c r="N11" i="104"/>
  <c r="M11" i="104"/>
  <c r="N25" i="104"/>
  <c r="N16" i="104"/>
  <c r="N42" i="104"/>
  <c r="N5" i="104"/>
  <c r="N22" i="104"/>
  <c r="M22" i="104"/>
  <c r="U73" i="1"/>
  <c r="L72" i="1"/>
  <c r="F35" i="104"/>
  <c r="D42" i="104"/>
  <c r="G24" i="104"/>
  <c r="D52" i="104"/>
  <c r="H10" i="104"/>
  <c r="C31" i="104"/>
  <c r="C19" i="104"/>
  <c r="S77" i="1"/>
  <c r="V74" i="1"/>
  <c r="T84" i="1"/>
  <c r="L85" i="1"/>
  <c r="L75" i="1"/>
  <c r="N23" i="104"/>
  <c r="V60" i="1"/>
  <c r="AP15" i="1"/>
  <c r="N55" i="1"/>
  <c r="AH10" i="1"/>
  <c r="W73" i="1"/>
  <c r="N82" i="1"/>
  <c r="N8" i="104"/>
  <c r="E54" i="104"/>
  <c r="Q73" i="1"/>
  <c r="F44" i="1"/>
  <c r="N83" i="1"/>
  <c r="Z48" i="1"/>
  <c r="N24" i="104"/>
  <c r="N34" i="104"/>
  <c r="V57" i="1"/>
  <c r="AP12" i="1"/>
  <c r="P61" i="1"/>
  <c r="AJ16" i="1"/>
  <c r="W50" i="1"/>
  <c r="T73" i="1"/>
  <c r="X80" i="1"/>
  <c r="S73" i="1"/>
  <c r="S49" i="1"/>
  <c r="Q72" i="1"/>
  <c r="Q48" i="1"/>
  <c r="H20" i="104"/>
  <c r="C52" i="104"/>
  <c r="D20" i="104"/>
  <c r="E25" i="104"/>
  <c r="E33" i="104"/>
  <c r="E9" i="104"/>
  <c r="F19" i="104"/>
  <c r="X54" i="1"/>
  <c r="AR9" i="1"/>
  <c r="P80" i="1"/>
  <c r="P75" i="1"/>
  <c r="P51" i="1"/>
  <c r="AJ6" i="1"/>
  <c r="Q86" i="1"/>
  <c r="X85" i="1"/>
  <c r="X61" i="1"/>
  <c r="AR16" i="1"/>
  <c r="L60" i="1"/>
  <c r="AF15" i="1"/>
  <c r="Q82" i="1"/>
  <c r="N52" i="1"/>
  <c r="AH7" i="1"/>
  <c r="T48" i="1"/>
  <c r="W87" i="1"/>
  <c r="W63" i="1"/>
  <c r="AQ18" i="1"/>
  <c r="T52" i="1"/>
  <c r="AN7" i="1"/>
  <c r="C9" i="104"/>
  <c r="C7" i="104"/>
  <c r="E15" i="104"/>
  <c r="R74" i="1"/>
  <c r="Z50" i="1"/>
  <c r="N78" i="1"/>
  <c r="V72" i="1"/>
  <c r="S74" i="1"/>
  <c r="S50" i="1"/>
  <c r="H31" i="104"/>
  <c r="D15" i="104"/>
  <c r="F34" i="104"/>
  <c r="C30" i="104"/>
  <c r="F41" i="104"/>
  <c r="F24" i="104"/>
  <c r="F28" i="104"/>
  <c r="U84" i="1"/>
  <c r="S51" i="1"/>
  <c r="AM6" i="1"/>
  <c r="T55" i="1"/>
  <c r="AN10" i="1"/>
  <c r="X60" i="1"/>
  <c r="AR15" i="1"/>
  <c r="X48" i="1"/>
  <c r="L55" i="1"/>
  <c r="AF10" i="1"/>
  <c r="L87" i="1"/>
  <c r="W52" i="1"/>
  <c r="AQ7" i="1"/>
  <c r="N72" i="1"/>
  <c r="N48" i="1"/>
  <c r="T81" i="1"/>
  <c r="Q52" i="1"/>
  <c r="AK7" i="1"/>
  <c r="O84" i="1"/>
  <c r="W58" i="1"/>
  <c r="AQ13" i="1"/>
  <c r="F16" i="104"/>
  <c r="C5" i="104"/>
  <c r="G43" i="104"/>
  <c r="N40" i="104"/>
  <c r="N29" i="104"/>
  <c r="M29" i="104"/>
  <c r="N13" i="104"/>
  <c r="M16" i="104"/>
  <c r="M42" i="104"/>
  <c r="L42" i="104"/>
  <c r="N9" i="104"/>
  <c r="M9" i="104"/>
  <c r="U78" i="1"/>
  <c r="U54" i="1"/>
  <c r="AO9" i="1"/>
  <c r="U49" i="1"/>
  <c r="U76" i="1"/>
  <c r="L48" i="1"/>
  <c r="F20" i="104"/>
  <c r="G26" i="104"/>
  <c r="C25" i="104"/>
  <c r="E30" i="104"/>
  <c r="G37" i="104"/>
  <c r="H4" i="104"/>
  <c r="D13" i="104"/>
  <c r="P79" i="1"/>
  <c r="P55" i="1"/>
  <c r="AJ10" i="1"/>
  <c r="L76" i="1"/>
  <c r="L52" i="1"/>
  <c r="AF7" i="1"/>
  <c r="T60" i="1"/>
  <c r="AN15" i="1"/>
  <c r="L61" i="1"/>
  <c r="AF16" i="1"/>
  <c r="X76" i="1"/>
  <c r="Q74" i="1"/>
  <c r="Q50" i="1"/>
  <c r="M23" i="104"/>
  <c r="L23" i="104"/>
  <c r="N33" i="104"/>
  <c r="M33" i="104"/>
  <c r="M76" i="1"/>
  <c r="W75" i="1"/>
  <c r="W51" i="1"/>
  <c r="AQ6" i="1"/>
  <c r="V86" i="1"/>
  <c r="H54" i="104"/>
  <c r="Q57" i="1"/>
  <c r="AK12" i="1"/>
  <c r="V52" i="1"/>
  <c r="AP7" i="1"/>
  <c r="T63" i="1"/>
  <c r="AN18" i="1"/>
  <c r="V53" i="1"/>
  <c r="AP8" i="1"/>
  <c r="O60" i="1"/>
  <c r="AI15" i="1"/>
  <c r="Q49" i="1"/>
  <c r="M79" i="1"/>
  <c r="T83" i="1"/>
  <c r="N37" i="104"/>
  <c r="M39" i="104"/>
  <c r="N59" i="1"/>
  <c r="AH14" i="1"/>
  <c r="U86" i="1"/>
  <c r="Q80" i="1"/>
  <c r="X73" i="1"/>
  <c r="M24" i="104"/>
  <c r="X58" i="1"/>
  <c r="AR13" i="1"/>
  <c r="N54" i="1"/>
  <c r="AH9" i="1"/>
  <c r="M55" i="1"/>
  <c r="AG10" i="1"/>
  <c r="N28" i="104"/>
  <c r="N30" i="104"/>
  <c r="M30" i="104"/>
  <c r="N86" i="1"/>
  <c r="H42" i="104"/>
  <c r="R73" i="1"/>
  <c r="R49" i="1"/>
  <c r="U82" i="1"/>
  <c r="T50" i="1"/>
  <c r="N51" i="1"/>
  <c r="AH6" i="1"/>
  <c r="L11" i="104"/>
  <c r="U60" i="1"/>
  <c r="AO15" i="1"/>
  <c r="O80" i="1"/>
  <c r="W49" i="1"/>
  <c r="P82" i="1"/>
  <c r="U58" i="1"/>
  <c r="AO13" i="1"/>
  <c r="O56" i="1"/>
  <c r="AI11" i="1"/>
  <c r="Z62" i="1"/>
  <c r="M27" i="104"/>
  <c r="O81" i="1"/>
  <c r="R81" i="1"/>
  <c r="Q56" i="1"/>
  <c r="AK11" i="1"/>
  <c r="U75" i="1"/>
  <c r="M37" i="104"/>
  <c r="N32" i="104"/>
  <c r="S62" i="1"/>
  <c r="AM17" i="1"/>
  <c r="Q58" i="1"/>
  <c r="AK13" i="1"/>
  <c r="N58" i="1"/>
  <c r="AH13" i="1"/>
  <c r="X50" i="1"/>
  <c r="N85" i="1"/>
  <c r="O79" i="1"/>
  <c r="L30" i="104"/>
  <c r="N38" i="104"/>
  <c r="Q54" i="1"/>
  <c r="AK9" i="1"/>
  <c r="O57" i="1"/>
  <c r="AI12" i="1"/>
  <c r="Q85" i="1"/>
  <c r="L37" i="104"/>
  <c r="M32" i="104"/>
  <c r="M52" i="1"/>
  <c r="AG7" i="1"/>
  <c r="U80" i="1"/>
  <c r="M83" i="1"/>
  <c r="N17" i="104"/>
  <c r="M28" i="104"/>
  <c r="M54" i="1"/>
  <c r="AG9" i="1"/>
  <c r="O51" i="1"/>
  <c r="AI6" i="1"/>
  <c r="R83" i="1"/>
  <c r="V87" i="1"/>
  <c r="S82" i="1"/>
  <c r="Z63" i="1"/>
  <c r="N20" i="104"/>
  <c r="X49" i="1"/>
  <c r="M59" i="1"/>
  <c r="AG14" i="1"/>
  <c r="T57" i="1"/>
  <c r="AN12" i="1"/>
  <c r="U53" i="1"/>
  <c r="AO8" i="1"/>
  <c r="N35" i="104"/>
  <c r="C27" i="104"/>
  <c r="G31" i="104"/>
  <c r="Q59" i="1"/>
  <c r="AK14" i="1"/>
  <c r="N49" i="1"/>
  <c r="S63" i="1"/>
  <c r="AM18" i="1"/>
  <c r="M63" i="1"/>
  <c r="AG18" i="1"/>
  <c r="S81" i="1"/>
  <c r="R50" i="1"/>
  <c r="U63" i="1"/>
  <c r="AO18" i="1"/>
  <c r="A51" i="1"/>
  <c r="L82" i="1"/>
  <c r="S85" i="1"/>
  <c r="R58" i="1"/>
  <c r="AL13" i="1"/>
  <c r="L33" i="104"/>
  <c r="W55" i="1"/>
  <c r="AQ10" i="1"/>
  <c r="V51" i="1"/>
  <c r="AP6" i="1"/>
  <c r="O54" i="1"/>
  <c r="AI9" i="1"/>
  <c r="P49" i="1"/>
  <c r="V48" i="1"/>
  <c r="L49" i="1"/>
  <c r="U81" i="1"/>
  <c r="R57" i="1"/>
  <c r="AL12" i="1"/>
  <c r="T80" i="1"/>
  <c r="P76" i="1"/>
  <c r="U74" i="1"/>
  <c r="U50" i="1"/>
  <c r="L27" i="104"/>
  <c r="L24" i="104"/>
  <c r="N26" i="104"/>
  <c r="N62" i="1"/>
  <c r="AH17" i="1"/>
  <c r="N61" i="1"/>
  <c r="AH16" i="1"/>
  <c r="L58" i="1"/>
  <c r="AF13" i="1"/>
  <c r="L86" i="1"/>
  <c r="N41" i="104"/>
  <c r="L31" i="104"/>
  <c r="O55" i="1"/>
  <c r="AI10" i="1"/>
  <c r="S54" i="1"/>
  <c r="AM9" i="1"/>
  <c r="N84" i="1"/>
  <c r="U51" i="1"/>
  <c r="AO6" i="1"/>
  <c r="F45" i="1"/>
  <c r="AH44" i="12"/>
  <c r="AF45" i="12"/>
  <c r="AG43" i="12"/>
  <c r="AG46" i="12"/>
  <c r="AF43" i="12"/>
  <c r="F47" i="1"/>
  <c r="AH46" i="12"/>
  <c r="AF47" i="12"/>
  <c r="AG47" i="12"/>
  <c r="AG45" i="12"/>
  <c r="AF44" i="12"/>
  <c r="AF46" i="12"/>
  <c r="AG44" i="12"/>
  <c r="AF48" i="12"/>
  <c r="AH47" i="12"/>
  <c r="AG48" i="12"/>
  <c r="N4" i="104"/>
  <c r="N7" i="104"/>
  <c r="M7" i="104"/>
  <c r="M34" i="104"/>
  <c r="O62" i="1"/>
  <c r="AI17" i="1"/>
  <c r="W62" i="1"/>
  <c r="AQ17" i="1"/>
  <c r="Q63" i="1"/>
  <c r="AK18" i="1"/>
  <c r="W85" i="1"/>
  <c r="U56" i="1"/>
  <c r="AO11" i="1"/>
  <c r="R79" i="1"/>
  <c r="O77" i="1"/>
  <c r="L62" i="1"/>
  <c r="AF17" i="1"/>
  <c r="M17" i="104"/>
  <c r="N44" i="104"/>
  <c r="L28" i="104"/>
  <c r="P56" i="1"/>
  <c r="AJ11" i="1"/>
  <c r="S57" i="1"/>
  <c r="AM12" i="1"/>
  <c r="S61" i="1"/>
  <c r="AM16" i="1"/>
  <c r="R59" i="1"/>
  <c r="AL14" i="1"/>
  <c r="V63" i="1"/>
  <c r="AP18" i="1"/>
  <c r="S58" i="1"/>
  <c r="AM13" i="1"/>
  <c r="F46" i="1"/>
  <c r="M20" i="104"/>
  <c r="M44" i="104"/>
  <c r="L7" i="104"/>
  <c r="M38" i="104"/>
  <c r="Q55" i="1"/>
  <c r="AK10" i="1"/>
  <c r="D55" i="104"/>
  <c r="D56" i="104"/>
  <c r="P59" i="1"/>
  <c r="AJ14" i="1"/>
  <c r="D34" i="104"/>
  <c r="E41" i="104"/>
  <c r="S79" i="1"/>
  <c r="P62" i="1"/>
  <c r="AJ17" i="1"/>
  <c r="M74" i="1"/>
  <c r="L56" i="1"/>
  <c r="AF11" i="1"/>
  <c r="T86" i="1"/>
  <c r="N43" i="104"/>
  <c r="M43" i="104"/>
  <c r="M6" i="104"/>
  <c r="L6" i="104"/>
  <c r="X63" i="1"/>
  <c r="AR18" i="1"/>
  <c r="P63" i="1"/>
  <c r="AJ18" i="1"/>
  <c r="L59" i="1"/>
  <c r="AF14" i="1"/>
  <c r="N77" i="1"/>
  <c r="T59" i="1"/>
  <c r="AN14" i="1"/>
  <c r="Z49" i="1"/>
  <c r="E55" i="104"/>
  <c r="E56" i="104"/>
  <c r="M50" i="1"/>
  <c r="P50" i="1"/>
  <c r="T82" i="1"/>
  <c r="U57" i="1"/>
  <c r="AO12" i="1"/>
  <c r="X55" i="1"/>
  <c r="AR10" i="1"/>
  <c r="S80" i="1"/>
  <c r="S56" i="1"/>
  <c r="AM11" i="1"/>
  <c r="M75" i="1"/>
  <c r="M51" i="1"/>
  <c r="AG6" i="1"/>
  <c r="Z61" i="1"/>
  <c r="N36" i="104"/>
  <c r="G55" i="104"/>
  <c r="M62" i="1"/>
  <c r="AG17" i="1"/>
  <c r="S55" i="1"/>
  <c r="AM10" i="1"/>
  <c r="S53" i="1"/>
  <c r="AM8" i="1"/>
  <c r="T56" i="1"/>
  <c r="AN11" i="1"/>
  <c r="L81" i="1"/>
  <c r="L57" i="1"/>
  <c r="AF12" i="1"/>
  <c r="Z51" i="1"/>
  <c r="L29" i="104"/>
  <c r="M41" i="104"/>
  <c r="L41" i="104"/>
  <c r="X52" i="1"/>
  <c r="AR7" i="1"/>
  <c r="Q51" i="1"/>
  <c r="AK6" i="1"/>
  <c r="X83" i="1"/>
  <c r="X59" i="1"/>
  <c r="AR14" i="1"/>
  <c r="Z57" i="1"/>
  <c r="N81" i="1"/>
  <c r="N57" i="1"/>
  <c r="AH12" i="1"/>
  <c r="R48" i="1"/>
  <c r="M36" i="104"/>
  <c r="L36" i="104"/>
  <c r="G56" i="104"/>
  <c r="M26" i="104"/>
  <c r="Q62" i="1"/>
  <c r="AK17" i="1"/>
  <c r="V50" i="1"/>
  <c r="M85" i="1"/>
  <c r="W61" i="1"/>
  <c r="AQ16" i="1"/>
  <c r="Z55" i="1"/>
  <c r="O53" i="1"/>
  <c r="AI8" i="1"/>
  <c r="R77" i="1"/>
  <c r="Z53" i="1"/>
  <c r="R76" i="1"/>
  <c r="R52" i="1"/>
  <c r="AL7" i="1"/>
  <c r="M5" i="104"/>
  <c r="M8" i="104"/>
  <c r="M40" i="104"/>
  <c r="V59" i="1"/>
  <c r="AP14" i="1"/>
  <c r="V58" i="1"/>
  <c r="AP13" i="1"/>
  <c r="L9" i="104"/>
  <c r="N60" i="1"/>
  <c r="AH15" i="1"/>
  <c r="W72" i="1"/>
  <c r="Q61" i="1"/>
  <c r="AK16" i="1"/>
  <c r="T78" i="1"/>
  <c r="Z60" i="1"/>
  <c r="M4" i="104"/>
  <c r="L44" i="104"/>
  <c r="N21" i="104"/>
  <c r="L38" i="104"/>
  <c r="P58" i="1"/>
  <c r="AJ13" i="1"/>
  <c r="N50" i="1"/>
  <c r="V62" i="1"/>
  <c r="AP17" i="1"/>
  <c r="L20" i="104"/>
  <c r="N14" i="104"/>
  <c r="M14" i="104"/>
  <c r="L14" i="104"/>
  <c r="W78" i="1"/>
  <c r="W54" i="1"/>
  <c r="AQ9" i="1"/>
  <c r="F32" i="104"/>
  <c r="H35" i="104"/>
  <c r="P81" i="1"/>
  <c r="P57" i="1"/>
  <c r="AJ12" i="1"/>
  <c r="N18" i="104"/>
  <c r="M18" i="104"/>
  <c r="L18" i="104"/>
  <c r="M80" i="1"/>
  <c r="M56" i="1"/>
  <c r="AG11" i="1"/>
  <c r="L22" i="104"/>
  <c r="N63" i="1"/>
  <c r="AH18" i="1"/>
  <c r="T75" i="1"/>
  <c r="M15" i="104"/>
  <c r="L15" i="104"/>
  <c r="P77" i="1"/>
  <c r="P53" i="1"/>
  <c r="AJ8" i="1"/>
  <c r="W53" i="1"/>
  <c r="AQ8" i="1"/>
  <c r="N53" i="1"/>
  <c r="AH8" i="1"/>
  <c r="R60" i="1"/>
  <c r="AL15" i="1"/>
  <c r="M35" i="104"/>
  <c r="N10" i="104"/>
  <c r="M10" i="104"/>
  <c r="L10" i="104"/>
  <c r="H55" i="104"/>
  <c r="H56" i="104"/>
  <c r="L63" i="1"/>
  <c r="AF18" i="1"/>
  <c r="AF20" i="1"/>
  <c r="U52" i="1"/>
  <c r="AO7" i="1"/>
  <c r="M58" i="1"/>
  <c r="AG13" i="1"/>
  <c r="T51" i="1"/>
  <c r="AN6" i="1"/>
  <c r="O83" i="1"/>
  <c r="O59" i="1"/>
  <c r="AI14" i="1"/>
  <c r="R78" i="1"/>
  <c r="R54" i="1"/>
  <c r="AL9" i="1"/>
  <c r="Z54" i="1"/>
  <c r="T49" i="1"/>
  <c r="X56" i="1"/>
  <c r="AR11" i="1"/>
  <c r="U59" i="1"/>
  <c r="AO14" i="1"/>
  <c r="Z58" i="1"/>
  <c r="L43" i="104"/>
  <c r="L39" i="104"/>
  <c r="X51" i="1"/>
  <c r="AR6" i="1"/>
  <c r="X77" i="1"/>
  <c r="X53" i="1"/>
  <c r="AR8" i="1"/>
  <c r="W81" i="1"/>
  <c r="W57" i="1"/>
  <c r="AQ12" i="1"/>
  <c r="R62" i="1"/>
  <c r="AL17" i="1"/>
  <c r="N12" i="104"/>
  <c r="M12" i="104"/>
  <c r="L12" i="104"/>
  <c r="M13" i="104"/>
  <c r="L13" i="104"/>
  <c r="M25" i="104"/>
  <c r="X62" i="1"/>
  <c r="AR17" i="1"/>
  <c r="O63" i="1"/>
  <c r="AI18" i="1"/>
  <c r="O72" i="1"/>
  <c r="O48" i="1"/>
  <c r="T58" i="1"/>
  <c r="AN13" i="1"/>
  <c r="O76" i="1"/>
  <c r="O52" i="1"/>
  <c r="AI7" i="1"/>
  <c r="M72" i="1"/>
  <c r="Q77" i="1"/>
  <c r="Q53" i="1"/>
  <c r="AK8" i="1"/>
  <c r="P52" i="1"/>
  <c r="AJ7" i="1"/>
  <c r="O82" i="1"/>
  <c r="O58" i="1"/>
  <c r="AI13" i="1"/>
  <c r="C54" i="104"/>
  <c r="C55" i="104"/>
  <c r="C56" i="104"/>
  <c r="N19" i="104"/>
  <c r="M19" i="104"/>
  <c r="L19" i="104"/>
  <c r="F54" i="104"/>
  <c r="L26" i="104"/>
  <c r="U55" i="1"/>
  <c r="AO10" i="1"/>
  <c r="U62" i="1"/>
  <c r="AO17" i="1"/>
  <c r="L51" i="1"/>
  <c r="AF6" i="1"/>
  <c r="T62" i="1"/>
  <c r="AN17" i="1"/>
  <c r="V61" i="1"/>
  <c r="AP16" i="1"/>
  <c r="F55" i="104"/>
  <c r="F56" i="104"/>
  <c r="M61" i="1"/>
  <c r="AG16" i="1"/>
  <c r="O74" i="1"/>
  <c r="O50" i="1"/>
  <c r="R55" i="1"/>
  <c r="AL10" i="1"/>
  <c r="R53" i="1"/>
  <c r="AL8" i="1"/>
  <c r="Z52" i="1"/>
  <c r="Z56" i="1"/>
  <c r="L5" i="104"/>
  <c r="L8" i="104"/>
  <c r="L25" i="104"/>
  <c r="O61" i="1"/>
  <c r="AI16" i="1"/>
  <c r="U61" i="1"/>
  <c r="AO16" i="1"/>
  <c r="L54" i="1"/>
  <c r="AF9" i="1"/>
  <c r="P84" i="1"/>
  <c r="P60" i="1"/>
  <c r="AJ15" i="1"/>
  <c r="W48" i="1"/>
  <c r="Z59" i="1"/>
  <c r="M48" i="1"/>
  <c r="M81" i="1"/>
  <c r="M57" i="1"/>
  <c r="AG12" i="1"/>
  <c r="T54" i="1"/>
  <c r="AN9" i="1"/>
  <c r="T85" i="1"/>
  <c r="T61" i="1"/>
  <c r="AN16" i="1"/>
  <c r="L35" i="104"/>
  <c r="L4" i="104"/>
  <c r="L32" i="104"/>
  <c r="L40" i="104"/>
  <c r="M21" i="104"/>
  <c r="L21" i="104"/>
  <c r="L34" i="104"/>
  <c r="L17" i="104"/>
  <c r="L16" i="104"/>
  <c r="C60" i="104"/>
  <c r="J56" i="104"/>
  <c r="J59" i="104"/>
  <c r="J58" i="104"/>
  <c r="J54" i="104"/>
  <c r="J55" i="104"/>
  <c r="J52" i="104"/>
  <c r="J61" i="10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S4" authorId="0" shapeId="0" xr:uid="{00000000-0006-0000-00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4" authorId="0" shapeId="0" xr:uid="{00000000-0006-0000-0000-000002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4" authorId="0" shapeId="0" xr:uid="{00000000-0006-0000-0000-000003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4" authorId="0" shapeId="0" xr:uid="{00000000-0006-0000-0000-000004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4" authorId="0" shapeId="0" xr:uid="{00000000-0006-0000-0000-000005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4" authorId="0" shapeId="0" xr:uid="{00000000-0006-0000-0000-000006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4" authorId="0" shapeId="0" xr:uid="{00000000-0006-0000-0000-000007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4" authorId="0" shapeId="0" xr:uid="{00000000-0006-0000-0000-000008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4" authorId="0" shapeId="0" xr:uid="{00000000-0006-0000-0000-000009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4" authorId="0" shapeId="0" xr:uid="{00000000-0006-0000-0000-00000A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4" authorId="0" shapeId="0" xr:uid="{00000000-0006-0000-0000-00000B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4" authorId="0" shapeId="0" xr:uid="{00000000-0006-0000-0000-00000C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4" authorId="0" shapeId="0" xr:uid="{00000000-0006-0000-0000-00000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4" authorId="0" shapeId="0" xr:uid="{00000000-0006-0000-0000-00000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4" authorId="0" shapeId="0" xr:uid="{00000000-0006-0000-0000-00000F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4" authorId="0" shapeId="0" xr:uid="{00000000-0006-0000-0000-000010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4" authorId="0" shapeId="0" xr:uid="{00000000-0006-0000-0000-000011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4" authorId="0" shapeId="0" xr:uid="{00000000-0006-0000-0000-000012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4" authorId="0" shapeId="0" xr:uid="{00000000-0006-0000-0000-000013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4" authorId="0" shapeId="0" xr:uid="{00000000-0006-0000-0000-000014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4" authorId="0" shapeId="0" xr:uid="{00000000-0006-0000-0000-000015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4" authorId="0" shapeId="0" xr:uid="{00000000-0006-0000-0000-000016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4" authorId="0" shapeId="0" xr:uid="{00000000-0006-0000-0000-00001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4" authorId="0" shapeId="0" xr:uid="{00000000-0006-0000-0000-00001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5" authorId="0" shapeId="0" xr:uid="{00000000-0006-0000-0000-00001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5" authorId="0" shapeId="0" xr:uid="{00000000-0006-0000-0000-00001A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5" authorId="0" shapeId="0" xr:uid="{00000000-0006-0000-0000-00001B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5" authorId="0" shapeId="0" xr:uid="{00000000-0006-0000-0000-00001C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5" authorId="0" shapeId="0" xr:uid="{00000000-0006-0000-0000-00001D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5" authorId="0" shapeId="0" xr:uid="{00000000-0006-0000-0000-00001E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5" authorId="0" shapeId="0" xr:uid="{00000000-0006-0000-0000-00001F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5" authorId="0" shapeId="0" xr:uid="{00000000-0006-0000-0000-000020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5" authorId="0" shapeId="0" xr:uid="{00000000-0006-0000-0000-000021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5" authorId="0" shapeId="0" xr:uid="{00000000-0006-0000-0000-000022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5" authorId="0" shapeId="0" xr:uid="{00000000-0006-0000-0000-000023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5" authorId="0" shapeId="0" xr:uid="{00000000-0006-0000-0000-000024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5" authorId="0" shapeId="0" xr:uid="{00000000-0006-0000-0000-00002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5" authorId="0" shapeId="0" xr:uid="{00000000-0006-0000-0000-00002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5" authorId="0" shapeId="0" xr:uid="{00000000-0006-0000-0000-000027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5" authorId="0" shapeId="0" xr:uid="{00000000-0006-0000-0000-000028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5" authorId="0" shapeId="0" xr:uid="{00000000-0006-0000-0000-000029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5" authorId="0" shapeId="0" xr:uid="{00000000-0006-0000-0000-00002A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5" authorId="0" shapeId="0" xr:uid="{00000000-0006-0000-0000-00002B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5" authorId="0" shapeId="0" xr:uid="{00000000-0006-0000-0000-00002C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5" authorId="0" shapeId="0" xr:uid="{00000000-0006-0000-0000-00002D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5" authorId="0" shapeId="0" xr:uid="{00000000-0006-0000-0000-00002E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5" authorId="0" shapeId="0" xr:uid="{00000000-0006-0000-0000-00002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5" authorId="0" shapeId="0" xr:uid="{00000000-0006-0000-0000-000030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6" authorId="0" shapeId="0" xr:uid="{00000000-0006-0000-0000-00003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6" authorId="0" shapeId="0" xr:uid="{00000000-0006-0000-0000-000032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6" authorId="0" shapeId="0" xr:uid="{00000000-0006-0000-0000-000033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6" authorId="0" shapeId="0" xr:uid="{00000000-0006-0000-0000-000034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6" authorId="0" shapeId="0" xr:uid="{00000000-0006-0000-0000-000035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6" authorId="0" shapeId="0" xr:uid="{00000000-0006-0000-0000-000036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6" authorId="0" shapeId="0" xr:uid="{00000000-0006-0000-0000-000037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6" authorId="0" shapeId="0" xr:uid="{00000000-0006-0000-0000-000038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6" authorId="0" shapeId="0" xr:uid="{00000000-0006-0000-0000-000039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6" authorId="0" shapeId="0" xr:uid="{00000000-0006-0000-0000-00003A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6" authorId="0" shapeId="0" xr:uid="{00000000-0006-0000-0000-00003B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6" authorId="0" shapeId="0" xr:uid="{00000000-0006-0000-0000-00003C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6" authorId="0" shapeId="0" xr:uid="{00000000-0006-0000-0000-00003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6" authorId="0" shapeId="0" xr:uid="{00000000-0006-0000-0000-00003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6" authorId="0" shapeId="0" xr:uid="{00000000-0006-0000-0000-00003F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6" authorId="0" shapeId="0" xr:uid="{00000000-0006-0000-0000-000040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6" authorId="0" shapeId="0" xr:uid="{00000000-0006-0000-0000-000041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6" authorId="0" shapeId="0" xr:uid="{00000000-0006-0000-0000-000042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6" authorId="0" shapeId="0" xr:uid="{00000000-0006-0000-0000-000043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6" authorId="0" shapeId="0" xr:uid="{00000000-0006-0000-0000-000044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6" authorId="0" shapeId="0" xr:uid="{00000000-0006-0000-0000-000045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6" authorId="0" shapeId="0" xr:uid="{00000000-0006-0000-0000-000046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6" authorId="0" shapeId="0" xr:uid="{00000000-0006-0000-0000-00004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6" authorId="0" shapeId="0" xr:uid="{00000000-0006-0000-0000-00004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7" authorId="0" shapeId="0" xr:uid="{00000000-0006-0000-0000-00004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7" authorId="0" shapeId="0" xr:uid="{00000000-0006-0000-0000-00004A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7" authorId="0" shapeId="0" xr:uid="{00000000-0006-0000-0000-00004B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7" authorId="0" shapeId="0" xr:uid="{00000000-0006-0000-0000-00004C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7" authorId="0" shapeId="0" xr:uid="{00000000-0006-0000-0000-00004D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7" authorId="0" shapeId="0" xr:uid="{00000000-0006-0000-0000-00004E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7" authorId="0" shapeId="0" xr:uid="{00000000-0006-0000-0000-00004F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7" authorId="0" shapeId="0" xr:uid="{00000000-0006-0000-0000-000050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7" authorId="0" shapeId="0" xr:uid="{00000000-0006-0000-0000-000051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7" authorId="0" shapeId="0" xr:uid="{00000000-0006-0000-0000-000052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7" authorId="0" shapeId="0" xr:uid="{00000000-0006-0000-0000-000053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7" authorId="0" shapeId="0" xr:uid="{00000000-0006-0000-0000-000054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7" authorId="0" shapeId="0" xr:uid="{00000000-0006-0000-0000-00005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7" authorId="0" shapeId="0" xr:uid="{00000000-0006-0000-0000-00005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7" authorId="0" shapeId="0" xr:uid="{00000000-0006-0000-0000-000057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7" authorId="0" shapeId="0" xr:uid="{00000000-0006-0000-0000-000058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7" authorId="0" shapeId="0" xr:uid="{00000000-0006-0000-0000-000059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7" authorId="0" shapeId="0" xr:uid="{00000000-0006-0000-0000-00005A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7" authorId="0" shapeId="0" xr:uid="{00000000-0006-0000-0000-00005B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7" authorId="0" shapeId="0" xr:uid="{00000000-0006-0000-0000-00005C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7" authorId="0" shapeId="0" xr:uid="{00000000-0006-0000-0000-00005D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7" authorId="0" shapeId="0" xr:uid="{00000000-0006-0000-0000-00005E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7" authorId="0" shapeId="0" xr:uid="{00000000-0006-0000-0000-00005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7" authorId="0" shapeId="0" xr:uid="{00000000-0006-0000-0000-000060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8" authorId="0" shapeId="0" xr:uid="{00000000-0006-0000-0000-00006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8" authorId="0" shapeId="0" xr:uid="{00000000-0006-0000-0000-000062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8" authorId="0" shapeId="0" xr:uid="{00000000-0006-0000-0000-000063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8" authorId="0" shapeId="0" xr:uid="{00000000-0006-0000-0000-000064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8" authorId="0" shapeId="0" xr:uid="{00000000-0006-0000-0000-000065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8" authorId="0" shapeId="0" xr:uid="{00000000-0006-0000-0000-000066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8" authorId="0" shapeId="0" xr:uid="{00000000-0006-0000-0000-000067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8" authorId="0" shapeId="0" xr:uid="{00000000-0006-0000-0000-000068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8" authorId="0" shapeId="0" xr:uid="{00000000-0006-0000-0000-000069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8" authorId="0" shapeId="0" xr:uid="{00000000-0006-0000-0000-00006A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8" authorId="0" shapeId="0" xr:uid="{00000000-0006-0000-0000-00006B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8" authorId="0" shapeId="0" xr:uid="{00000000-0006-0000-0000-00006C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8" authorId="0" shapeId="0" xr:uid="{00000000-0006-0000-0000-00006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8" authorId="0" shapeId="0" xr:uid="{00000000-0006-0000-0000-00006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8" authorId="0" shapeId="0" xr:uid="{00000000-0006-0000-0000-00006F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8" authorId="0" shapeId="0" xr:uid="{00000000-0006-0000-0000-000070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8" authorId="0" shapeId="0" xr:uid="{00000000-0006-0000-0000-000071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8" authorId="0" shapeId="0" xr:uid="{00000000-0006-0000-0000-000072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8" authorId="0" shapeId="0" xr:uid="{00000000-0006-0000-0000-000073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8" authorId="0" shapeId="0" xr:uid="{00000000-0006-0000-0000-000074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8" authorId="0" shapeId="0" xr:uid="{00000000-0006-0000-0000-000075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8" authorId="0" shapeId="0" xr:uid="{00000000-0006-0000-0000-000076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8" authorId="0" shapeId="0" xr:uid="{00000000-0006-0000-0000-00007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8" authorId="0" shapeId="0" xr:uid="{00000000-0006-0000-0000-00007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9" authorId="0" shapeId="0" xr:uid="{00000000-0006-0000-0000-00007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9" authorId="0" shapeId="0" xr:uid="{00000000-0006-0000-0000-00007A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9" authorId="0" shapeId="0" xr:uid="{00000000-0006-0000-0000-00007B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9" authorId="0" shapeId="0" xr:uid="{00000000-0006-0000-0000-00007C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9" authorId="0" shapeId="0" xr:uid="{00000000-0006-0000-0000-00007D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9" authorId="0" shapeId="0" xr:uid="{00000000-0006-0000-0000-00007E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9" authorId="0" shapeId="0" xr:uid="{00000000-0006-0000-0000-00007F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9" authorId="0" shapeId="0" xr:uid="{00000000-0006-0000-0000-000080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9" authorId="0" shapeId="0" xr:uid="{00000000-0006-0000-0000-000081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9" authorId="0" shapeId="0" xr:uid="{00000000-0006-0000-0000-000082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9" authorId="0" shapeId="0" xr:uid="{00000000-0006-0000-0000-000083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9" authorId="0" shapeId="0" xr:uid="{00000000-0006-0000-0000-000084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9" authorId="0" shapeId="0" xr:uid="{00000000-0006-0000-0000-00008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9" authorId="0" shapeId="0" xr:uid="{00000000-0006-0000-0000-00008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9" authorId="0" shapeId="0" xr:uid="{00000000-0006-0000-0000-000087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9" authorId="0" shapeId="0" xr:uid="{00000000-0006-0000-0000-000088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9" authorId="0" shapeId="0" xr:uid="{00000000-0006-0000-0000-000089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9" authorId="0" shapeId="0" xr:uid="{00000000-0006-0000-0000-00008A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9" authorId="0" shapeId="0" xr:uid="{00000000-0006-0000-0000-00008B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9" authorId="0" shapeId="0" xr:uid="{00000000-0006-0000-0000-00008C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9" authorId="0" shapeId="0" xr:uid="{00000000-0006-0000-0000-00008D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9" authorId="0" shapeId="0" xr:uid="{00000000-0006-0000-0000-00008E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9" authorId="0" shapeId="0" xr:uid="{00000000-0006-0000-0000-00008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9" authorId="0" shapeId="0" xr:uid="{00000000-0006-0000-0000-000090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10" authorId="0" shapeId="0" xr:uid="{00000000-0006-0000-0000-00009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0" authorId="0" shapeId="0" xr:uid="{00000000-0006-0000-0000-000092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10" authorId="0" shapeId="0" xr:uid="{00000000-0006-0000-0000-000093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10" authorId="0" shapeId="0" xr:uid="{00000000-0006-0000-0000-000094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10" authorId="0" shapeId="0" xr:uid="{00000000-0006-0000-0000-000095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10" authorId="0" shapeId="0" xr:uid="{00000000-0006-0000-0000-000096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10" authorId="0" shapeId="0" xr:uid="{00000000-0006-0000-0000-000097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10" authorId="0" shapeId="0" xr:uid="{00000000-0006-0000-0000-000098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10" authorId="0" shapeId="0" xr:uid="{00000000-0006-0000-0000-000099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10" authorId="0" shapeId="0" xr:uid="{00000000-0006-0000-0000-00009A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10" authorId="0" shapeId="0" xr:uid="{00000000-0006-0000-0000-00009B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10" authorId="0" shapeId="0" xr:uid="{00000000-0006-0000-0000-00009C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10" authorId="0" shapeId="0" xr:uid="{00000000-0006-0000-0000-00009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10" authorId="0" shapeId="0" xr:uid="{00000000-0006-0000-0000-00009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0" authorId="0" shapeId="0" xr:uid="{00000000-0006-0000-0000-00009F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0" authorId="0" shapeId="0" xr:uid="{00000000-0006-0000-0000-0000A0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10" authorId="0" shapeId="0" xr:uid="{00000000-0006-0000-0000-0000A1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10" authorId="0" shapeId="0" xr:uid="{00000000-0006-0000-0000-0000A2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10" authorId="0" shapeId="0" xr:uid="{00000000-0006-0000-0000-0000A3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10" authorId="0" shapeId="0" xr:uid="{00000000-0006-0000-0000-0000A4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10" authorId="0" shapeId="0" xr:uid="{00000000-0006-0000-0000-0000A5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10" authorId="0" shapeId="0" xr:uid="{00000000-0006-0000-0000-0000A6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10" authorId="0" shapeId="0" xr:uid="{00000000-0006-0000-0000-0000A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10" authorId="0" shapeId="0" xr:uid="{00000000-0006-0000-0000-0000A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11" authorId="0" shapeId="0" xr:uid="{00000000-0006-0000-0000-0000A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1" authorId="0" shapeId="0" xr:uid="{00000000-0006-0000-0000-0000AA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11" authorId="0" shapeId="0" xr:uid="{00000000-0006-0000-0000-0000AB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11" authorId="0" shapeId="0" xr:uid="{00000000-0006-0000-0000-0000AC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11" authorId="0" shapeId="0" xr:uid="{00000000-0006-0000-0000-0000AD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11" authorId="0" shapeId="0" xr:uid="{00000000-0006-0000-0000-0000AE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11" authorId="0" shapeId="0" xr:uid="{00000000-0006-0000-0000-0000AF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11" authorId="0" shapeId="0" xr:uid="{00000000-0006-0000-0000-0000B0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11" authorId="0" shapeId="0" xr:uid="{00000000-0006-0000-0000-0000B1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11" authorId="0" shapeId="0" xr:uid="{00000000-0006-0000-0000-0000B2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11" authorId="0" shapeId="0" xr:uid="{00000000-0006-0000-0000-0000B3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11" authorId="0" shapeId="0" xr:uid="{00000000-0006-0000-0000-0000B4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11" authorId="0" shapeId="0" xr:uid="{00000000-0006-0000-0000-0000B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11" authorId="0" shapeId="0" xr:uid="{00000000-0006-0000-0000-0000B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1" authorId="0" shapeId="0" xr:uid="{00000000-0006-0000-0000-0000B7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1" authorId="0" shapeId="0" xr:uid="{00000000-0006-0000-0000-0000B8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11" authorId="0" shapeId="0" xr:uid="{00000000-0006-0000-0000-0000B9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11" authorId="0" shapeId="0" xr:uid="{00000000-0006-0000-0000-0000BA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11" authorId="0" shapeId="0" xr:uid="{00000000-0006-0000-0000-0000BB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11" authorId="0" shapeId="0" xr:uid="{00000000-0006-0000-0000-0000BC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11" authorId="0" shapeId="0" xr:uid="{00000000-0006-0000-0000-0000BD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11" authorId="0" shapeId="0" xr:uid="{00000000-0006-0000-0000-0000BE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11" authorId="0" shapeId="0" xr:uid="{00000000-0006-0000-0000-0000B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11" authorId="0" shapeId="0" xr:uid="{00000000-0006-0000-0000-0000C0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12" authorId="0" shapeId="0" xr:uid="{00000000-0006-0000-0000-0000C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2" authorId="0" shapeId="0" xr:uid="{00000000-0006-0000-0000-0000C2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12" authorId="0" shapeId="0" xr:uid="{00000000-0006-0000-0000-0000C3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12" authorId="0" shapeId="0" xr:uid="{00000000-0006-0000-0000-0000C4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12" authorId="0" shapeId="0" xr:uid="{00000000-0006-0000-0000-0000C5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12" authorId="0" shapeId="0" xr:uid="{00000000-0006-0000-0000-0000C6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12" authorId="0" shapeId="0" xr:uid="{00000000-0006-0000-0000-0000C7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12" authorId="0" shapeId="0" xr:uid="{00000000-0006-0000-0000-0000C8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12" authorId="0" shapeId="0" xr:uid="{00000000-0006-0000-0000-0000C9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12" authorId="0" shapeId="0" xr:uid="{00000000-0006-0000-0000-0000CA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12" authorId="0" shapeId="0" xr:uid="{00000000-0006-0000-0000-0000CB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12" authorId="0" shapeId="0" xr:uid="{00000000-0006-0000-0000-0000CC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12" authorId="0" shapeId="0" xr:uid="{00000000-0006-0000-0000-0000C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12" authorId="0" shapeId="0" xr:uid="{00000000-0006-0000-0000-0000C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2" authorId="0" shapeId="0" xr:uid="{00000000-0006-0000-0000-0000CF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2" authorId="0" shapeId="0" xr:uid="{00000000-0006-0000-0000-0000D0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12" authorId="0" shapeId="0" xr:uid="{00000000-0006-0000-0000-0000D1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12" authorId="0" shapeId="0" xr:uid="{00000000-0006-0000-0000-0000D2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12" authorId="0" shapeId="0" xr:uid="{00000000-0006-0000-0000-0000D3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12" authorId="0" shapeId="0" xr:uid="{00000000-0006-0000-0000-0000D4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12" authorId="0" shapeId="0" xr:uid="{00000000-0006-0000-0000-0000D5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12" authorId="0" shapeId="0" xr:uid="{00000000-0006-0000-0000-0000D6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12" authorId="0" shapeId="0" xr:uid="{00000000-0006-0000-0000-0000D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12" authorId="0" shapeId="0" xr:uid="{00000000-0006-0000-0000-0000D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13" authorId="0" shapeId="0" xr:uid="{00000000-0006-0000-0000-0000D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3" authorId="0" shapeId="0" xr:uid="{00000000-0006-0000-0000-0000DA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13" authorId="0" shapeId="0" xr:uid="{00000000-0006-0000-0000-0000DB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13" authorId="0" shapeId="0" xr:uid="{00000000-0006-0000-0000-0000DC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13" authorId="0" shapeId="0" xr:uid="{00000000-0006-0000-0000-0000DD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13" authorId="0" shapeId="0" xr:uid="{00000000-0006-0000-0000-0000DE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13" authorId="0" shapeId="0" xr:uid="{00000000-0006-0000-0000-0000DF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13" authorId="0" shapeId="0" xr:uid="{00000000-0006-0000-0000-0000E0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13" authorId="0" shapeId="0" xr:uid="{00000000-0006-0000-0000-0000E1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13" authorId="0" shapeId="0" xr:uid="{00000000-0006-0000-0000-0000E2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13" authorId="0" shapeId="0" xr:uid="{00000000-0006-0000-0000-0000E3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13" authorId="0" shapeId="0" xr:uid="{00000000-0006-0000-0000-0000E4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13" authorId="0" shapeId="0" xr:uid="{00000000-0006-0000-0000-0000E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13" authorId="0" shapeId="0" xr:uid="{00000000-0006-0000-0000-0000E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3" authorId="0" shapeId="0" xr:uid="{00000000-0006-0000-0000-0000E7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3" authorId="0" shapeId="0" xr:uid="{00000000-0006-0000-0000-0000E8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13" authorId="0" shapeId="0" xr:uid="{00000000-0006-0000-0000-0000E9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13" authorId="0" shapeId="0" xr:uid="{00000000-0006-0000-0000-0000EA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13" authorId="0" shapeId="0" xr:uid="{00000000-0006-0000-0000-0000EB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13" authorId="0" shapeId="0" xr:uid="{00000000-0006-0000-0000-0000EC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13" authorId="0" shapeId="0" xr:uid="{00000000-0006-0000-0000-0000ED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13" authorId="0" shapeId="0" xr:uid="{00000000-0006-0000-0000-0000EE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13" authorId="0" shapeId="0" xr:uid="{00000000-0006-0000-0000-0000E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13" authorId="0" shapeId="0" xr:uid="{00000000-0006-0000-0000-0000F0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14" authorId="0" shapeId="0" xr:uid="{00000000-0006-0000-0000-0000F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4" authorId="0" shapeId="0" xr:uid="{00000000-0006-0000-0000-0000F2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14" authorId="0" shapeId="0" xr:uid="{00000000-0006-0000-0000-0000F3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14" authorId="0" shapeId="0" xr:uid="{00000000-0006-0000-0000-0000F4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14" authorId="0" shapeId="0" xr:uid="{00000000-0006-0000-0000-0000F5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14" authorId="0" shapeId="0" xr:uid="{00000000-0006-0000-0000-0000F6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14" authorId="0" shapeId="0" xr:uid="{00000000-0006-0000-0000-0000F7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14" authorId="0" shapeId="0" xr:uid="{00000000-0006-0000-0000-0000F8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14" authorId="0" shapeId="0" xr:uid="{00000000-0006-0000-0000-0000F9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14" authorId="0" shapeId="0" xr:uid="{00000000-0006-0000-0000-0000FA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14" authorId="0" shapeId="0" xr:uid="{00000000-0006-0000-0000-0000FB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14" authorId="0" shapeId="0" xr:uid="{00000000-0006-0000-0000-0000FC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14" authorId="0" shapeId="0" xr:uid="{00000000-0006-0000-0000-0000F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14" authorId="0" shapeId="0" xr:uid="{00000000-0006-0000-0000-0000F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4" authorId="0" shapeId="0" xr:uid="{00000000-0006-0000-0000-0000FF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4" authorId="0" shapeId="0" xr:uid="{00000000-0006-0000-0000-000000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14" authorId="0" shapeId="0" xr:uid="{00000000-0006-0000-0000-000001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14" authorId="0" shapeId="0" xr:uid="{00000000-0006-0000-0000-000002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14" authorId="0" shapeId="0" xr:uid="{00000000-0006-0000-0000-000003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14" authorId="0" shapeId="0" xr:uid="{00000000-0006-0000-0000-000004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14" authorId="0" shapeId="0" xr:uid="{00000000-0006-0000-0000-000005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14" authorId="0" shapeId="0" xr:uid="{00000000-0006-0000-0000-000006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14" authorId="0" shapeId="0" xr:uid="{00000000-0006-0000-0000-000007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14" authorId="0" shapeId="0" xr:uid="{00000000-0006-0000-0000-000008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15" authorId="0" shapeId="0" xr:uid="{00000000-0006-0000-0000-000009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5" authorId="0" shapeId="0" xr:uid="{00000000-0006-0000-0000-00000A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15" authorId="0" shapeId="0" xr:uid="{00000000-0006-0000-0000-00000B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15" authorId="0" shapeId="0" xr:uid="{00000000-0006-0000-0000-00000C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15" authorId="0" shapeId="0" xr:uid="{00000000-0006-0000-0000-00000D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15" authorId="0" shapeId="0" xr:uid="{00000000-0006-0000-0000-00000E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15" authorId="0" shapeId="0" xr:uid="{00000000-0006-0000-0000-00000F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15" authorId="0" shapeId="0" xr:uid="{00000000-0006-0000-0000-000010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15" authorId="0" shapeId="0" xr:uid="{00000000-0006-0000-0000-000011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15" authorId="0" shapeId="0" xr:uid="{00000000-0006-0000-0000-000012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15" authorId="0" shapeId="0" xr:uid="{00000000-0006-0000-0000-000013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15" authorId="0" shapeId="0" xr:uid="{00000000-0006-0000-0000-000014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15" authorId="0" shapeId="0" xr:uid="{00000000-0006-0000-0000-000015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15" authorId="0" shapeId="0" xr:uid="{00000000-0006-0000-0000-000016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5" authorId="0" shapeId="0" xr:uid="{00000000-0006-0000-0000-000017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5" authorId="0" shapeId="0" xr:uid="{00000000-0006-0000-0000-000018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15" authorId="0" shapeId="0" xr:uid="{00000000-0006-0000-0000-000019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15" authorId="0" shapeId="0" xr:uid="{00000000-0006-0000-0000-00001A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15" authorId="0" shapeId="0" xr:uid="{00000000-0006-0000-0000-00001B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15" authorId="0" shapeId="0" xr:uid="{00000000-0006-0000-0000-00001C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15" authorId="0" shapeId="0" xr:uid="{00000000-0006-0000-0000-00001D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15" authorId="0" shapeId="0" xr:uid="{00000000-0006-0000-0000-00001E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15" authorId="0" shapeId="0" xr:uid="{00000000-0006-0000-0000-00001F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15" authorId="0" shapeId="0" xr:uid="{00000000-0006-0000-0000-000020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16" authorId="0" shapeId="0" xr:uid="{00000000-0006-0000-0000-000021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6" authorId="0" shapeId="0" xr:uid="{00000000-0006-0000-0000-000022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16" authorId="0" shapeId="0" xr:uid="{00000000-0006-0000-0000-000023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16" authorId="0" shapeId="0" xr:uid="{00000000-0006-0000-0000-000024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16" authorId="0" shapeId="0" xr:uid="{00000000-0006-0000-0000-000025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16" authorId="0" shapeId="0" xr:uid="{00000000-0006-0000-0000-000026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16" authorId="0" shapeId="0" xr:uid="{00000000-0006-0000-0000-000027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16" authorId="0" shapeId="0" xr:uid="{00000000-0006-0000-0000-000028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16" authorId="0" shapeId="0" xr:uid="{00000000-0006-0000-0000-000029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16" authorId="0" shapeId="0" xr:uid="{00000000-0006-0000-0000-00002A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16" authorId="0" shapeId="0" xr:uid="{00000000-0006-0000-0000-00002B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16" authorId="0" shapeId="0" xr:uid="{00000000-0006-0000-0000-00002C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16" authorId="0" shapeId="0" xr:uid="{00000000-0006-0000-0000-00002D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16" authorId="0" shapeId="0" xr:uid="{00000000-0006-0000-0000-00002E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6" authorId="0" shapeId="0" xr:uid="{00000000-0006-0000-0000-00002F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6" authorId="0" shapeId="0" xr:uid="{00000000-0006-0000-0000-000030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16" authorId="0" shapeId="0" xr:uid="{00000000-0006-0000-0000-000031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16" authorId="0" shapeId="0" xr:uid="{00000000-0006-0000-0000-000032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16" authorId="0" shapeId="0" xr:uid="{00000000-0006-0000-0000-000033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16" authorId="0" shapeId="0" xr:uid="{00000000-0006-0000-0000-000034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16" authorId="0" shapeId="0" xr:uid="{00000000-0006-0000-0000-000035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16" authorId="0" shapeId="0" xr:uid="{00000000-0006-0000-0000-000036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16" authorId="0" shapeId="0" xr:uid="{00000000-0006-0000-0000-000037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16" authorId="0" shapeId="0" xr:uid="{00000000-0006-0000-0000-000038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17" authorId="0" shapeId="0" xr:uid="{00000000-0006-0000-0000-000039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7" authorId="0" shapeId="0" xr:uid="{00000000-0006-0000-0000-00003A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17" authorId="0" shapeId="0" xr:uid="{00000000-0006-0000-0000-00003B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17" authorId="0" shapeId="0" xr:uid="{00000000-0006-0000-0000-00003C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17" authorId="0" shapeId="0" xr:uid="{00000000-0006-0000-0000-00003D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17" authorId="0" shapeId="0" xr:uid="{00000000-0006-0000-0000-00003E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17" authorId="0" shapeId="0" xr:uid="{00000000-0006-0000-0000-00003F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17" authorId="0" shapeId="0" xr:uid="{00000000-0006-0000-0000-000040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17" authorId="0" shapeId="0" xr:uid="{00000000-0006-0000-0000-000041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17" authorId="0" shapeId="0" xr:uid="{00000000-0006-0000-0000-000042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17" authorId="0" shapeId="0" xr:uid="{00000000-0006-0000-0000-000043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17" authorId="0" shapeId="0" xr:uid="{00000000-0006-0000-0000-000044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17" authorId="0" shapeId="0" xr:uid="{00000000-0006-0000-0000-000045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17" authorId="0" shapeId="0" xr:uid="{00000000-0006-0000-0000-000046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7" authorId="0" shapeId="0" xr:uid="{00000000-0006-0000-0000-000047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7" authorId="0" shapeId="0" xr:uid="{00000000-0006-0000-0000-000048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17" authorId="0" shapeId="0" xr:uid="{00000000-0006-0000-0000-000049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17" authorId="0" shapeId="0" xr:uid="{00000000-0006-0000-0000-00004A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17" authorId="0" shapeId="0" xr:uid="{00000000-0006-0000-0000-00004B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17" authorId="0" shapeId="0" xr:uid="{00000000-0006-0000-0000-00004C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17" authorId="0" shapeId="0" xr:uid="{00000000-0006-0000-0000-00004D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17" authorId="0" shapeId="0" xr:uid="{00000000-0006-0000-0000-00004E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17" authorId="0" shapeId="0" xr:uid="{00000000-0006-0000-0000-00004F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17" authorId="0" shapeId="0" xr:uid="{00000000-0006-0000-0000-000050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18" authorId="0" shapeId="0" xr:uid="{00000000-0006-0000-0000-000051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8" authorId="0" shapeId="0" xr:uid="{00000000-0006-0000-0000-000052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18" authorId="0" shapeId="0" xr:uid="{00000000-0006-0000-0000-000053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18" authorId="0" shapeId="0" xr:uid="{00000000-0006-0000-0000-000054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18" authorId="0" shapeId="0" xr:uid="{00000000-0006-0000-0000-000055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18" authorId="0" shapeId="0" xr:uid="{00000000-0006-0000-0000-000056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18" authorId="0" shapeId="0" xr:uid="{00000000-0006-0000-0000-000057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18" authorId="0" shapeId="0" xr:uid="{00000000-0006-0000-0000-000058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18" authorId="0" shapeId="0" xr:uid="{00000000-0006-0000-0000-000059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18" authorId="0" shapeId="0" xr:uid="{00000000-0006-0000-0000-00005A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18" authorId="0" shapeId="0" xr:uid="{00000000-0006-0000-0000-00005B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18" authorId="0" shapeId="0" xr:uid="{00000000-0006-0000-0000-00005C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18" authorId="0" shapeId="0" xr:uid="{00000000-0006-0000-0000-00005D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18" authorId="0" shapeId="0" xr:uid="{00000000-0006-0000-0000-00005E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8" authorId="0" shapeId="0" xr:uid="{00000000-0006-0000-0000-00005F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8" authorId="0" shapeId="0" xr:uid="{00000000-0006-0000-0000-000060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18" authorId="0" shapeId="0" xr:uid="{00000000-0006-0000-0000-000061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18" authorId="0" shapeId="0" xr:uid="{00000000-0006-0000-0000-000062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18" authorId="0" shapeId="0" xr:uid="{00000000-0006-0000-0000-000063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18" authorId="0" shapeId="0" xr:uid="{00000000-0006-0000-0000-000064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18" authorId="0" shapeId="0" xr:uid="{00000000-0006-0000-0000-000065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18" authorId="0" shapeId="0" xr:uid="{00000000-0006-0000-0000-000066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18" authorId="0" shapeId="0" xr:uid="{00000000-0006-0000-0000-000067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18" authorId="0" shapeId="0" xr:uid="{00000000-0006-0000-0000-000068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19" authorId="0" shapeId="0" xr:uid="{00000000-0006-0000-0000-000069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19" authorId="0" shapeId="0" xr:uid="{00000000-0006-0000-0000-00006A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19" authorId="0" shapeId="0" xr:uid="{00000000-0006-0000-0000-00006B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19" authorId="0" shapeId="0" xr:uid="{00000000-0006-0000-0000-00006C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19" authorId="0" shapeId="0" xr:uid="{00000000-0006-0000-0000-00006D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19" authorId="0" shapeId="0" xr:uid="{00000000-0006-0000-0000-00006E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19" authorId="0" shapeId="0" xr:uid="{00000000-0006-0000-0000-00006F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19" authorId="0" shapeId="0" xr:uid="{00000000-0006-0000-0000-000070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19" authorId="0" shapeId="0" xr:uid="{00000000-0006-0000-0000-000071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19" authorId="0" shapeId="0" xr:uid="{00000000-0006-0000-0000-000072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19" authorId="0" shapeId="0" xr:uid="{00000000-0006-0000-0000-000073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19" authorId="0" shapeId="0" xr:uid="{00000000-0006-0000-0000-000074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19" authorId="0" shapeId="0" xr:uid="{00000000-0006-0000-0000-000075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19" authorId="0" shapeId="0" xr:uid="{00000000-0006-0000-0000-000076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19" authorId="0" shapeId="0" xr:uid="{00000000-0006-0000-0000-000077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19" authorId="0" shapeId="0" xr:uid="{00000000-0006-0000-0000-000078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19" authorId="0" shapeId="0" xr:uid="{00000000-0006-0000-0000-000079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19" authorId="0" shapeId="0" xr:uid="{00000000-0006-0000-0000-00007A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19" authorId="0" shapeId="0" xr:uid="{00000000-0006-0000-0000-00007B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19" authorId="0" shapeId="0" xr:uid="{00000000-0006-0000-0000-00007C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19" authorId="0" shapeId="0" xr:uid="{00000000-0006-0000-0000-00007D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19" authorId="0" shapeId="0" xr:uid="{00000000-0006-0000-0000-00007E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19" authorId="0" shapeId="0" xr:uid="{00000000-0006-0000-0000-00007F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19" authorId="0" shapeId="0" xr:uid="{00000000-0006-0000-0000-000080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0" authorId="0" shapeId="0" xr:uid="{00000000-0006-0000-0000-000081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20" authorId="0" shapeId="0" xr:uid="{00000000-0006-0000-0000-000082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20" authorId="0" shapeId="0" xr:uid="{00000000-0006-0000-0000-000083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20" authorId="0" shapeId="0" xr:uid="{00000000-0006-0000-0000-000084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20" authorId="0" shapeId="0" xr:uid="{00000000-0006-0000-0000-000085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20" authorId="0" shapeId="0" xr:uid="{00000000-0006-0000-0000-000086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20" authorId="0" shapeId="0" xr:uid="{00000000-0006-0000-0000-000087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20" authorId="0" shapeId="0" xr:uid="{00000000-0006-0000-0000-000088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20" authorId="0" shapeId="0" xr:uid="{00000000-0006-0000-0000-000089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20" authorId="0" shapeId="0" xr:uid="{00000000-0006-0000-0000-00008A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20" authorId="0" shapeId="0" xr:uid="{00000000-0006-0000-0000-00008B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20" authorId="0" shapeId="0" xr:uid="{00000000-0006-0000-0000-00008C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20" authorId="0" shapeId="0" xr:uid="{00000000-0006-0000-0000-00008D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0" authorId="0" shapeId="0" xr:uid="{00000000-0006-0000-0000-00008E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20" authorId="0" shapeId="0" xr:uid="{00000000-0006-0000-0000-00008F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20" authorId="0" shapeId="0" xr:uid="{00000000-0006-0000-0000-000090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0" authorId="0" shapeId="0" xr:uid="{00000000-0006-0000-0000-000091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0" authorId="0" shapeId="0" xr:uid="{00000000-0006-0000-0000-000092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0" authorId="0" shapeId="0" xr:uid="{00000000-0006-0000-0000-000093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0" authorId="0" shapeId="0" xr:uid="{00000000-0006-0000-0000-000094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0" authorId="0" shapeId="0" xr:uid="{00000000-0006-0000-0000-000095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0" authorId="0" shapeId="0" xr:uid="{00000000-0006-0000-0000-000096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0" authorId="0" shapeId="0" xr:uid="{00000000-0006-0000-0000-000097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0" authorId="0" shapeId="0" xr:uid="{00000000-0006-0000-0000-000098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1" authorId="0" shapeId="0" xr:uid="{00000000-0006-0000-0000-000099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21" authorId="0" shapeId="0" xr:uid="{00000000-0006-0000-0000-00009A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21" authorId="0" shapeId="0" xr:uid="{00000000-0006-0000-0000-00009B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21" authorId="0" shapeId="0" xr:uid="{00000000-0006-0000-0000-00009C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21" authorId="0" shapeId="0" xr:uid="{00000000-0006-0000-0000-00009D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21" authorId="0" shapeId="0" xr:uid="{00000000-0006-0000-0000-00009E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21" authorId="0" shapeId="0" xr:uid="{00000000-0006-0000-0000-00009F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21" authorId="0" shapeId="0" xr:uid="{00000000-0006-0000-0000-0000A0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21" authorId="0" shapeId="0" xr:uid="{00000000-0006-0000-0000-0000A1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21" authorId="0" shapeId="0" xr:uid="{00000000-0006-0000-0000-0000A2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21" authorId="0" shapeId="0" xr:uid="{00000000-0006-0000-0000-0000A3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21" authorId="0" shapeId="0" xr:uid="{00000000-0006-0000-0000-0000A4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21" authorId="0" shapeId="0" xr:uid="{00000000-0006-0000-0000-0000A5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1" authorId="0" shapeId="0" xr:uid="{00000000-0006-0000-0000-0000A6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21" authorId="0" shapeId="0" xr:uid="{00000000-0006-0000-0000-0000A7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21" authorId="0" shapeId="0" xr:uid="{00000000-0006-0000-0000-0000A8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1" authorId="0" shapeId="0" xr:uid="{00000000-0006-0000-0000-0000A9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1" authorId="0" shapeId="0" xr:uid="{00000000-0006-0000-0000-0000AA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1" authorId="0" shapeId="0" xr:uid="{00000000-0006-0000-0000-0000AB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1" authorId="0" shapeId="0" xr:uid="{00000000-0006-0000-0000-0000AC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1" authorId="0" shapeId="0" xr:uid="{00000000-0006-0000-0000-0000AD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1" authorId="0" shapeId="0" xr:uid="{00000000-0006-0000-0000-0000AE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1" authorId="0" shapeId="0" xr:uid="{00000000-0006-0000-0000-0000AF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1" authorId="0" shapeId="0" xr:uid="{00000000-0006-0000-0000-0000B0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2" authorId="0" shapeId="0" xr:uid="{00000000-0006-0000-0000-0000B1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22" authorId="0" shapeId="0" xr:uid="{00000000-0006-0000-0000-0000B2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22" authorId="0" shapeId="0" xr:uid="{00000000-0006-0000-0000-0000B3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22" authorId="0" shapeId="0" xr:uid="{00000000-0006-0000-0000-0000B4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22" authorId="0" shapeId="0" xr:uid="{00000000-0006-0000-0000-0000B5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22" authorId="0" shapeId="0" xr:uid="{00000000-0006-0000-0000-0000B6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22" authorId="0" shapeId="0" xr:uid="{00000000-0006-0000-0000-0000B7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22" authorId="0" shapeId="0" xr:uid="{00000000-0006-0000-0000-0000B8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22" authorId="0" shapeId="0" xr:uid="{00000000-0006-0000-0000-0000B9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22" authorId="0" shapeId="0" xr:uid="{00000000-0006-0000-0000-0000BA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22" authorId="0" shapeId="0" xr:uid="{00000000-0006-0000-0000-0000BB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22" authorId="0" shapeId="0" xr:uid="{00000000-0006-0000-0000-0000BC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22" authorId="0" shapeId="0" xr:uid="{00000000-0006-0000-0000-0000BD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2" authorId="0" shapeId="0" xr:uid="{00000000-0006-0000-0000-0000BE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22" authorId="0" shapeId="0" xr:uid="{00000000-0006-0000-0000-0000BF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22" authorId="0" shapeId="0" xr:uid="{00000000-0006-0000-0000-0000C0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2" authorId="0" shapeId="0" xr:uid="{00000000-0006-0000-0000-0000C1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2" authorId="0" shapeId="0" xr:uid="{00000000-0006-0000-0000-0000C2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2" authorId="0" shapeId="0" xr:uid="{00000000-0006-0000-0000-0000C3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2" authorId="0" shapeId="0" xr:uid="{00000000-0006-0000-0000-0000C4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2" authorId="0" shapeId="0" xr:uid="{00000000-0006-0000-0000-0000C5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2" authorId="0" shapeId="0" xr:uid="{00000000-0006-0000-0000-0000C6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2" authorId="0" shapeId="0" xr:uid="{00000000-0006-0000-0000-0000C7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2" authorId="0" shapeId="0" xr:uid="{00000000-0006-0000-0000-0000C8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3" authorId="0" shapeId="0" xr:uid="{00000000-0006-0000-0000-0000C9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23" authorId="0" shapeId="0" xr:uid="{00000000-0006-0000-0000-0000CA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23" authorId="0" shapeId="0" xr:uid="{00000000-0006-0000-0000-0000CB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23" authorId="0" shapeId="0" xr:uid="{00000000-0006-0000-0000-0000CC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23" authorId="0" shapeId="0" xr:uid="{00000000-0006-0000-0000-0000CD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23" authorId="0" shapeId="0" xr:uid="{00000000-0006-0000-0000-0000CE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23" authorId="0" shapeId="0" xr:uid="{00000000-0006-0000-0000-0000CF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23" authorId="0" shapeId="0" xr:uid="{00000000-0006-0000-0000-0000D0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23" authorId="0" shapeId="0" xr:uid="{00000000-0006-0000-0000-0000D1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23" authorId="0" shapeId="0" xr:uid="{00000000-0006-0000-0000-0000D2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23" authorId="0" shapeId="0" xr:uid="{00000000-0006-0000-0000-0000D3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23" authorId="0" shapeId="0" xr:uid="{00000000-0006-0000-0000-0000D4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23" authorId="0" shapeId="0" xr:uid="{00000000-0006-0000-0000-0000D5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3" authorId="0" shapeId="0" xr:uid="{00000000-0006-0000-0000-0000D6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23" authorId="0" shapeId="0" xr:uid="{00000000-0006-0000-0000-0000D7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23" authorId="0" shapeId="0" xr:uid="{00000000-0006-0000-0000-0000D8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3" authorId="0" shapeId="0" xr:uid="{00000000-0006-0000-0000-0000D9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3" authorId="0" shapeId="0" xr:uid="{00000000-0006-0000-0000-0000DA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3" authorId="0" shapeId="0" xr:uid="{00000000-0006-0000-0000-0000DB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3" authorId="0" shapeId="0" xr:uid="{00000000-0006-0000-0000-0000DC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3" authorId="0" shapeId="0" xr:uid="{00000000-0006-0000-0000-0000DD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3" authorId="0" shapeId="0" xr:uid="{00000000-0006-0000-0000-0000DE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3" authorId="0" shapeId="0" xr:uid="{00000000-0006-0000-0000-0000DF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3" authorId="0" shapeId="0" xr:uid="{00000000-0006-0000-0000-0000E0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4" authorId="0" shapeId="0" xr:uid="{00000000-0006-0000-0000-0000E1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24" authorId="0" shapeId="0" xr:uid="{00000000-0006-0000-0000-0000E2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24" authorId="0" shapeId="0" xr:uid="{00000000-0006-0000-0000-0000E3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24" authorId="0" shapeId="0" xr:uid="{00000000-0006-0000-0000-0000E4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24" authorId="0" shapeId="0" xr:uid="{00000000-0006-0000-0000-0000E5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24" authorId="0" shapeId="0" xr:uid="{00000000-0006-0000-0000-0000E6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24" authorId="0" shapeId="0" xr:uid="{00000000-0006-0000-0000-0000E7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24" authorId="0" shapeId="0" xr:uid="{00000000-0006-0000-0000-0000E8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24" authorId="0" shapeId="0" xr:uid="{00000000-0006-0000-0000-0000E9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24" authorId="0" shapeId="0" xr:uid="{00000000-0006-0000-0000-0000EA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24" authorId="0" shapeId="0" xr:uid="{00000000-0006-0000-0000-0000EB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24" authorId="0" shapeId="0" xr:uid="{00000000-0006-0000-0000-0000EC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24" authorId="0" shapeId="0" xr:uid="{00000000-0006-0000-0000-0000ED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4" authorId="0" shapeId="0" xr:uid="{00000000-0006-0000-0000-0000EE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24" authorId="0" shapeId="0" xr:uid="{00000000-0006-0000-0000-0000EF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24" authorId="0" shapeId="0" xr:uid="{00000000-0006-0000-0000-0000F0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4" authorId="0" shapeId="0" xr:uid="{00000000-0006-0000-0000-0000F1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4" authorId="0" shapeId="0" xr:uid="{00000000-0006-0000-0000-0000F2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4" authorId="0" shapeId="0" xr:uid="{00000000-0006-0000-0000-0000F3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4" authorId="0" shapeId="0" xr:uid="{00000000-0006-0000-0000-0000F4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4" authorId="0" shapeId="0" xr:uid="{00000000-0006-0000-0000-0000F5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4" authorId="0" shapeId="0" xr:uid="{00000000-0006-0000-0000-0000F6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4" authorId="0" shapeId="0" xr:uid="{00000000-0006-0000-0000-0000F7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4" authorId="0" shapeId="0" xr:uid="{00000000-0006-0000-0000-0000F8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5" authorId="0" shapeId="0" xr:uid="{00000000-0006-0000-0000-0000F9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25" authorId="0" shapeId="0" xr:uid="{00000000-0006-0000-0000-0000FA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25" authorId="0" shapeId="0" xr:uid="{00000000-0006-0000-0000-0000FB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25" authorId="0" shapeId="0" xr:uid="{00000000-0006-0000-0000-0000FC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25" authorId="0" shapeId="0" xr:uid="{00000000-0006-0000-0000-0000FD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25" authorId="0" shapeId="0" xr:uid="{00000000-0006-0000-0000-0000FE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25" authorId="0" shapeId="0" xr:uid="{00000000-0006-0000-0000-0000FF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25" authorId="0" shapeId="0" xr:uid="{00000000-0006-0000-0000-000000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25" authorId="0" shapeId="0" xr:uid="{00000000-0006-0000-0000-000001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25" authorId="0" shapeId="0" xr:uid="{00000000-0006-0000-0000-000002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25" authorId="0" shapeId="0" xr:uid="{00000000-0006-0000-0000-000003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25" authorId="0" shapeId="0" xr:uid="{00000000-0006-0000-0000-000004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25" authorId="0" shapeId="0" xr:uid="{00000000-0006-0000-0000-000005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5" authorId="0" shapeId="0" xr:uid="{00000000-0006-0000-0000-000006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25" authorId="0" shapeId="0" xr:uid="{00000000-0006-0000-0000-000007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25" authorId="0" shapeId="0" xr:uid="{00000000-0006-0000-0000-000008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5" authorId="0" shapeId="0" xr:uid="{00000000-0006-0000-0000-000009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5" authorId="0" shapeId="0" xr:uid="{00000000-0006-0000-0000-00000A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5" authorId="0" shapeId="0" xr:uid="{00000000-0006-0000-0000-00000B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5" authorId="0" shapeId="0" xr:uid="{00000000-0006-0000-0000-00000C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5" authorId="0" shapeId="0" xr:uid="{00000000-0006-0000-0000-00000D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5" authorId="0" shapeId="0" xr:uid="{00000000-0006-0000-0000-00000E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5" authorId="0" shapeId="0" xr:uid="{00000000-0006-0000-0000-00000F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5" authorId="0" shapeId="0" xr:uid="{00000000-0006-0000-0000-000010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6" authorId="0" shapeId="0" xr:uid="{00000000-0006-0000-0000-000011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26" authorId="0" shapeId="0" xr:uid="{00000000-0006-0000-0000-000012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26" authorId="0" shapeId="0" xr:uid="{00000000-0006-0000-0000-000013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26" authorId="0" shapeId="0" xr:uid="{00000000-0006-0000-0000-000014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26" authorId="0" shapeId="0" xr:uid="{00000000-0006-0000-0000-000015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26" authorId="0" shapeId="0" xr:uid="{00000000-0006-0000-0000-000016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26" authorId="0" shapeId="0" xr:uid="{00000000-0006-0000-0000-000017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26" authorId="0" shapeId="0" xr:uid="{00000000-0006-0000-0000-000018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26" authorId="0" shapeId="0" xr:uid="{00000000-0006-0000-0000-000019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26" authorId="0" shapeId="0" xr:uid="{00000000-0006-0000-0000-00001A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26" authorId="0" shapeId="0" xr:uid="{00000000-0006-0000-0000-00001B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26" authorId="0" shapeId="0" xr:uid="{00000000-0006-0000-0000-00001C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26" authorId="0" shapeId="0" xr:uid="{00000000-0006-0000-0000-00001D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6" authorId="0" shapeId="0" xr:uid="{00000000-0006-0000-0000-00001E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26" authorId="0" shapeId="0" xr:uid="{00000000-0006-0000-0000-00001F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26" authorId="0" shapeId="0" xr:uid="{00000000-0006-0000-0000-000020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6" authorId="0" shapeId="0" xr:uid="{00000000-0006-0000-0000-000021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6" authorId="0" shapeId="0" xr:uid="{00000000-0006-0000-0000-000022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6" authorId="0" shapeId="0" xr:uid="{00000000-0006-0000-0000-000023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6" authorId="0" shapeId="0" xr:uid="{00000000-0006-0000-0000-000024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6" authorId="0" shapeId="0" xr:uid="{00000000-0006-0000-0000-000025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6" authorId="0" shapeId="0" xr:uid="{00000000-0006-0000-0000-000026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6" authorId="0" shapeId="0" xr:uid="{00000000-0006-0000-0000-000027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6" authorId="0" shapeId="0" xr:uid="{00000000-0006-0000-0000-000028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7" authorId="0" shapeId="0" xr:uid="{00000000-0006-0000-0000-000029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27" authorId="0" shapeId="0" xr:uid="{00000000-0006-0000-0000-00002A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27" authorId="0" shapeId="0" xr:uid="{00000000-0006-0000-0000-00002B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27" authorId="0" shapeId="0" xr:uid="{00000000-0006-0000-0000-00002C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27" authorId="0" shapeId="0" xr:uid="{00000000-0006-0000-0000-00002D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27" authorId="0" shapeId="0" xr:uid="{00000000-0006-0000-0000-00002E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27" authorId="0" shapeId="0" xr:uid="{00000000-0006-0000-0000-00002F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27" authorId="0" shapeId="0" xr:uid="{00000000-0006-0000-0000-000030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27" authorId="0" shapeId="0" xr:uid="{00000000-0006-0000-0000-000031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27" authorId="0" shapeId="0" xr:uid="{00000000-0006-0000-0000-000032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27" authorId="0" shapeId="0" xr:uid="{00000000-0006-0000-0000-000033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27" authorId="0" shapeId="0" xr:uid="{00000000-0006-0000-0000-000034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27" authorId="0" shapeId="0" xr:uid="{00000000-0006-0000-0000-000035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7" authorId="0" shapeId="0" xr:uid="{00000000-0006-0000-0000-000036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27" authorId="0" shapeId="0" xr:uid="{00000000-0006-0000-0000-000037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27" authorId="0" shapeId="0" xr:uid="{00000000-0006-0000-0000-000038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7" authorId="0" shapeId="0" xr:uid="{00000000-0006-0000-0000-000039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7" authorId="0" shapeId="0" xr:uid="{00000000-0006-0000-0000-00003A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7" authorId="0" shapeId="0" xr:uid="{00000000-0006-0000-0000-00003B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7" authorId="0" shapeId="0" xr:uid="{00000000-0006-0000-0000-00003C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7" authorId="0" shapeId="0" xr:uid="{00000000-0006-0000-0000-00003D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7" authorId="0" shapeId="0" xr:uid="{00000000-0006-0000-0000-00003E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7" authorId="0" shapeId="0" xr:uid="{00000000-0006-0000-0000-00003F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7" authorId="0" shapeId="0" xr:uid="{00000000-0006-0000-0000-000040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8" authorId="0" shapeId="0" xr:uid="{00000000-0006-0000-0000-000041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28" authorId="0" shapeId="0" xr:uid="{00000000-0006-0000-0000-000042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28" authorId="0" shapeId="0" xr:uid="{00000000-0006-0000-0000-000043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28" authorId="0" shapeId="0" xr:uid="{00000000-0006-0000-0000-000044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28" authorId="0" shapeId="0" xr:uid="{00000000-0006-0000-0000-000045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28" authorId="0" shapeId="0" xr:uid="{00000000-0006-0000-0000-000046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28" authorId="0" shapeId="0" xr:uid="{00000000-0006-0000-0000-000047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28" authorId="0" shapeId="0" xr:uid="{00000000-0006-0000-0000-000048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28" authorId="0" shapeId="0" xr:uid="{00000000-0006-0000-0000-000049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28" authorId="0" shapeId="0" xr:uid="{00000000-0006-0000-0000-00004A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28" authorId="0" shapeId="0" xr:uid="{00000000-0006-0000-0000-00004B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28" authorId="0" shapeId="0" xr:uid="{00000000-0006-0000-0000-00004C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28" authorId="0" shapeId="0" xr:uid="{00000000-0006-0000-0000-00004D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8" authorId="0" shapeId="0" xr:uid="{00000000-0006-0000-0000-00004E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28" authorId="0" shapeId="0" xr:uid="{00000000-0006-0000-0000-00004F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28" authorId="0" shapeId="0" xr:uid="{00000000-0006-0000-0000-000050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8" authorId="0" shapeId="0" xr:uid="{00000000-0006-0000-0000-000051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8" authorId="0" shapeId="0" xr:uid="{00000000-0006-0000-0000-000052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8" authorId="0" shapeId="0" xr:uid="{00000000-0006-0000-0000-000053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8" authorId="0" shapeId="0" xr:uid="{00000000-0006-0000-0000-000054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8" authorId="0" shapeId="0" xr:uid="{00000000-0006-0000-0000-000055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8" authorId="0" shapeId="0" xr:uid="{00000000-0006-0000-0000-000056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8" authorId="0" shapeId="0" xr:uid="{00000000-0006-0000-0000-000057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8" authorId="0" shapeId="0" xr:uid="{00000000-0006-0000-0000-000058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29" authorId="0" shapeId="0" xr:uid="{00000000-0006-0000-0000-000059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29" authorId="0" shapeId="0" xr:uid="{00000000-0006-0000-0000-00005A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29" authorId="0" shapeId="0" xr:uid="{00000000-0006-0000-0000-00005B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29" authorId="0" shapeId="0" xr:uid="{00000000-0006-0000-0000-00005C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29" authorId="0" shapeId="0" xr:uid="{00000000-0006-0000-0000-00005D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29" authorId="0" shapeId="0" xr:uid="{00000000-0006-0000-0000-00005E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29" authorId="0" shapeId="0" xr:uid="{00000000-0006-0000-0000-00005F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29" authorId="0" shapeId="0" xr:uid="{00000000-0006-0000-0000-000060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29" authorId="0" shapeId="0" xr:uid="{00000000-0006-0000-0000-000061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29" authorId="0" shapeId="0" xr:uid="{00000000-0006-0000-0000-000062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29" authorId="0" shapeId="0" xr:uid="{00000000-0006-0000-0000-000063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29" authorId="0" shapeId="0" xr:uid="{00000000-0006-0000-0000-000064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29" authorId="0" shapeId="0" xr:uid="{00000000-0006-0000-0000-000065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29" authorId="0" shapeId="0" xr:uid="{00000000-0006-0000-0000-000066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29" authorId="0" shapeId="0" xr:uid="{00000000-0006-0000-0000-000067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29" authorId="0" shapeId="0" xr:uid="{00000000-0006-0000-0000-000068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29" authorId="0" shapeId="0" xr:uid="{00000000-0006-0000-0000-000069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29" authorId="0" shapeId="0" xr:uid="{00000000-0006-0000-0000-00006A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29" authorId="0" shapeId="0" xr:uid="{00000000-0006-0000-0000-00006B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29" authorId="0" shapeId="0" xr:uid="{00000000-0006-0000-0000-00006C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29" authorId="0" shapeId="0" xr:uid="{00000000-0006-0000-0000-00006D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29" authorId="0" shapeId="0" xr:uid="{00000000-0006-0000-0000-00006E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29" authorId="0" shapeId="0" xr:uid="{00000000-0006-0000-0000-00006F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29" authorId="0" shapeId="0" xr:uid="{00000000-0006-0000-0000-000070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30" authorId="0" shapeId="0" xr:uid="{00000000-0006-0000-0000-000071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0" authorId="0" shapeId="0" xr:uid="{00000000-0006-0000-0000-000072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30" authorId="0" shapeId="0" xr:uid="{00000000-0006-0000-0000-000073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30" authorId="0" shapeId="0" xr:uid="{00000000-0006-0000-0000-000074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30" authorId="0" shapeId="0" xr:uid="{00000000-0006-0000-0000-000075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30" authorId="0" shapeId="0" xr:uid="{00000000-0006-0000-0000-000076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0" authorId="0" shapeId="0" xr:uid="{00000000-0006-0000-0000-000077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30" authorId="0" shapeId="0" xr:uid="{00000000-0006-0000-0000-000078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30" authorId="0" shapeId="0" xr:uid="{00000000-0006-0000-0000-000079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30" authorId="0" shapeId="0" xr:uid="{00000000-0006-0000-0000-00007A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30" authorId="0" shapeId="0" xr:uid="{00000000-0006-0000-0000-00007B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30" authorId="0" shapeId="0" xr:uid="{00000000-0006-0000-0000-00007C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30" authorId="0" shapeId="0" xr:uid="{00000000-0006-0000-0000-00007D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30" authorId="0" shapeId="0" xr:uid="{00000000-0006-0000-0000-00007E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0" authorId="0" shapeId="0" xr:uid="{00000000-0006-0000-0000-00007F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0" authorId="0" shapeId="0" xr:uid="{00000000-0006-0000-0000-000080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0" authorId="0" shapeId="0" xr:uid="{00000000-0006-0000-0000-000081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0" authorId="0" shapeId="0" xr:uid="{00000000-0006-0000-0000-000082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0" authorId="0" shapeId="0" xr:uid="{00000000-0006-0000-0000-000083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0" authorId="0" shapeId="0" xr:uid="{00000000-0006-0000-0000-000084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30" authorId="0" shapeId="0" xr:uid="{00000000-0006-0000-0000-000085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30" authorId="0" shapeId="0" xr:uid="{00000000-0006-0000-0000-000086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30" authorId="0" shapeId="0" xr:uid="{00000000-0006-0000-0000-000087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30" authorId="0" shapeId="0" xr:uid="{00000000-0006-0000-0000-000088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31" authorId="0" shapeId="0" xr:uid="{00000000-0006-0000-0000-000089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1" authorId="0" shapeId="0" xr:uid="{00000000-0006-0000-0000-00008A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31" authorId="0" shapeId="0" xr:uid="{00000000-0006-0000-0000-00008B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31" authorId="0" shapeId="0" xr:uid="{00000000-0006-0000-0000-00008C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31" authorId="0" shapeId="0" xr:uid="{00000000-0006-0000-0000-00008D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31" authorId="0" shapeId="0" xr:uid="{00000000-0006-0000-0000-00008E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1" authorId="0" shapeId="0" xr:uid="{00000000-0006-0000-0000-00008F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31" authorId="0" shapeId="0" xr:uid="{00000000-0006-0000-0000-000090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31" authorId="0" shapeId="0" xr:uid="{00000000-0006-0000-0000-000091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31" authorId="0" shapeId="0" xr:uid="{00000000-0006-0000-0000-000092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31" authorId="0" shapeId="0" xr:uid="{00000000-0006-0000-0000-000093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31" authorId="0" shapeId="0" xr:uid="{00000000-0006-0000-0000-000094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31" authorId="0" shapeId="0" xr:uid="{00000000-0006-0000-0000-000095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31" authorId="0" shapeId="0" xr:uid="{00000000-0006-0000-0000-000096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1" authorId="0" shapeId="0" xr:uid="{00000000-0006-0000-0000-000097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1" authorId="0" shapeId="0" xr:uid="{00000000-0006-0000-0000-000098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1" authorId="0" shapeId="0" xr:uid="{00000000-0006-0000-0000-000099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1" authorId="0" shapeId="0" xr:uid="{00000000-0006-0000-0000-00009A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1" authorId="0" shapeId="0" xr:uid="{00000000-0006-0000-0000-00009B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1" authorId="0" shapeId="0" xr:uid="{00000000-0006-0000-0000-00009C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31" authorId="0" shapeId="0" xr:uid="{00000000-0006-0000-0000-00009D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31" authorId="0" shapeId="0" xr:uid="{00000000-0006-0000-0000-00009E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31" authorId="0" shapeId="0" xr:uid="{00000000-0006-0000-0000-00009F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31" authorId="0" shapeId="0" xr:uid="{00000000-0006-0000-0000-0000A0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32" authorId="0" shapeId="0" xr:uid="{00000000-0006-0000-0000-0000A1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2" authorId="0" shapeId="0" xr:uid="{00000000-0006-0000-0000-0000A2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32" authorId="0" shapeId="0" xr:uid="{00000000-0006-0000-0000-0000A3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32" authorId="0" shapeId="0" xr:uid="{00000000-0006-0000-0000-0000A4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32" authorId="0" shapeId="0" xr:uid="{00000000-0006-0000-0000-0000A5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32" authorId="0" shapeId="0" xr:uid="{00000000-0006-0000-0000-0000A6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2" authorId="0" shapeId="0" xr:uid="{00000000-0006-0000-0000-0000A7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32" authorId="0" shapeId="0" xr:uid="{00000000-0006-0000-0000-0000A8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32" authorId="0" shapeId="0" xr:uid="{00000000-0006-0000-0000-0000A9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32" authorId="0" shapeId="0" xr:uid="{00000000-0006-0000-0000-0000AA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32" authorId="0" shapeId="0" xr:uid="{00000000-0006-0000-0000-0000AB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32" authorId="0" shapeId="0" xr:uid="{00000000-0006-0000-0000-0000AC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32" authorId="0" shapeId="0" xr:uid="{00000000-0006-0000-0000-0000AD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32" authorId="0" shapeId="0" xr:uid="{00000000-0006-0000-0000-0000AE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2" authorId="0" shapeId="0" xr:uid="{00000000-0006-0000-0000-0000AF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2" authorId="0" shapeId="0" xr:uid="{00000000-0006-0000-0000-0000B0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2" authorId="0" shapeId="0" xr:uid="{00000000-0006-0000-0000-0000B1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2" authorId="0" shapeId="0" xr:uid="{00000000-0006-0000-0000-0000B2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2" authorId="0" shapeId="0" xr:uid="{00000000-0006-0000-0000-0000B3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2" authorId="0" shapeId="0" xr:uid="{00000000-0006-0000-0000-0000B4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32" authorId="0" shapeId="0" xr:uid="{00000000-0006-0000-0000-0000B5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32" authorId="0" shapeId="0" xr:uid="{00000000-0006-0000-0000-0000B6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32" authorId="0" shapeId="0" xr:uid="{00000000-0006-0000-0000-0000B7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32" authorId="0" shapeId="0" xr:uid="{00000000-0006-0000-0000-0000B8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33" authorId="0" shapeId="0" xr:uid="{00000000-0006-0000-0000-0000B9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3" authorId="0" shapeId="0" xr:uid="{00000000-0006-0000-0000-0000BA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33" authorId="0" shapeId="0" xr:uid="{00000000-0006-0000-0000-0000BB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33" authorId="0" shapeId="0" xr:uid="{00000000-0006-0000-0000-0000BC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33" authorId="0" shapeId="0" xr:uid="{00000000-0006-0000-0000-0000BD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33" authorId="0" shapeId="0" xr:uid="{00000000-0006-0000-0000-0000BE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3" authorId="0" shapeId="0" xr:uid="{00000000-0006-0000-0000-0000BF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33" authorId="0" shapeId="0" xr:uid="{00000000-0006-0000-0000-0000C0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33" authorId="0" shapeId="0" xr:uid="{00000000-0006-0000-0000-0000C1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33" authorId="0" shapeId="0" xr:uid="{00000000-0006-0000-0000-0000C2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33" authorId="0" shapeId="0" xr:uid="{00000000-0006-0000-0000-0000C3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33" authorId="0" shapeId="0" xr:uid="{00000000-0006-0000-0000-0000C4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33" authorId="0" shapeId="0" xr:uid="{00000000-0006-0000-0000-0000C5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33" authorId="0" shapeId="0" xr:uid="{00000000-0006-0000-0000-0000C6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3" authorId="0" shapeId="0" xr:uid="{00000000-0006-0000-0000-0000C7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3" authorId="0" shapeId="0" xr:uid="{00000000-0006-0000-0000-0000C8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3" authorId="0" shapeId="0" xr:uid="{00000000-0006-0000-0000-0000C9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3" authorId="0" shapeId="0" xr:uid="{00000000-0006-0000-0000-0000CA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3" authorId="0" shapeId="0" xr:uid="{00000000-0006-0000-0000-0000CB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3" authorId="0" shapeId="0" xr:uid="{00000000-0006-0000-0000-0000CC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33" authorId="0" shapeId="0" xr:uid="{00000000-0006-0000-0000-0000CD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33" authorId="0" shapeId="0" xr:uid="{00000000-0006-0000-0000-0000CE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33" authorId="0" shapeId="0" xr:uid="{00000000-0006-0000-0000-0000CF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33" authorId="0" shapeId="0" xr:uid="{00000000-0006-0000-0000-0000D0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34" authorId="0" shapeId="0" xr:uid="{00000000-0006-0000-0000-0000D1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4" authorId="0" shapeId="0" xr:uid="{00000000-0006-0000-0000-0000D2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34" authorId="0" shapeId="0" xr:uid="{00000000-0006-0000-0000-0000D3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34" authorId="0" shapeId="0" xr:uid="{00000000-0006-0000-0000-0000D4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34" authorId="0" shapeId="0" xr:uid="{00000000-0006-0000-0000-0000D5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34" authorId="0" shapeId="0" xr:uid="{00000000-0006-0000-0000-0000D6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4" authorId="0" shapeId="0" xr:uid="{00000000-0006-0000-0000-0000D7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34" authorId="0" shapeId="0" xr:uid="{00000000-0006-0000-0000-0000D8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34" authorId="0" shapeId="0" xr:uid="{00000000-0006-0000-0000-0000D9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34" authorId="0" shapeId="0" xr:uid="{00000000-0006-0000-0000-0000DA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34" authorId="0" shapeId="0" xr:uid="{00000000-0006-0000-0000-0000DB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34" authorId="0" shapeId="0" xr:uid="{00000000-0006-0000-0000-0000DC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34" authorId="0" shapeId="0" xr:uid="{00000000-0006-0000-0000-0000DD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34" authorId="0" shapeId="0" xr:uid="{00000000-0006-0000-0000-0000DE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4" authorId="0" shapeId="0" xr:uid="{00000000-0006-0000-0000-0000DF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4" authorId="0" shapeId="0" xr:uid="{00000000-0006-0000-0000-0000E0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4" authorId="0" shapeId="0" xr:uid="{00000000-0006-0000-0000-0000E1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4" authorId="0" shapeId="0" xr:uid="{00000000-0006-0000-0000-0000E2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4" authorId="0" shapeId="0" xr:uid="{00000000-0006-0000-0000-0000E3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4" authorId="0" shapeId="0" xr:uid="{00000000-0006-0000-0000-0000E4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34" authorId="0" shapeId="0" xr:uid="{00000000-0006-0000-0000-0000E5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34" authorId="0" shapeId="0" xr:uid="{00000000-0006-0000-0000-0000E6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34" authorId="0" shapeId="0" xr:uid="{00000000-0006-0000-0000-0000E7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34" authorId="0" shapeId="0" xr:uid="{00000000-0006-0000-0000-0000E8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35" authorId="0" shapeId="0" xr:uid="{00000000-0006-0000-0000-0000E9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5" authorId="0" shapeId="0" xr:uid="{00000000-0006-0000-0000-0000EA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35" authorId="0" shapeId="0" xr:uid="{00000000-0006-0000-0000-0000EB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35" authorId="0" shapeId="0" xr:uid="{00000000-0006-0000-0000-0000EC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35" authorId="0" shapeId="0" xr:uid="{00000000-0006-0000-0000-0000ED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35" authorId="0" shapeId="0" xr:uid="{00000000-0006-0000-0000-0000EE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5" authorId="0" shapeId="0" xr:uid="{00000000-0006-0000-0000-0000EF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35" authorId="0" shapeId="0" xr:uid="{00000000-0006-0000-0000-0000F0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35" authorId="0" shapeId="0" xr:uid="{00000000-0006-0000-0000-0000F1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35" authorId="0" shapeId="0" xr:uid="{00000000-0006-0000-0000-0000F2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35" authorId="0" shapeId="0" xr:uid="{00000000-0006-0000-0000-0000F3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35" authorId="0" shapeId="0" xr:uid="{00000000-0006-0000-0000-0000F4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35" authorId="0" shapeId="0" xr:uid="{00000000-0006-0000-0000-0000F5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35" authorId="0" shapeId="0" xr:uid="{00000000-0006-0000-0000-0000F6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5" authorId="0" shapeId="0" xr:uid="{00000000-0006-0000-0000-0000F7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5" authorId="0" shapeId="0" xr:uid="{00000000-0006-0000-0000-0000F8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5" authorId="0" shapeId="0" xr:uid="{00000000-0006-0000-0000-0000F9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5" authorId="0" shapeId="0" xr:uid="{00000000-0006-0000-0000-0000FA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5" authorId="0" shapeId="0" xr:uid="{00000000-0006-0000-0000-0000FB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5" authorId="0" shapeId="0" xr:uid="{00000000-0006-0000-0000-0000FC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35" authorId="0" shapeId="0" xr:uid="{00000000-0006-0000-0000-0000FD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35" authorId="0" shapeId="0" xr:uid="{00000000-0006-0000-0000-0000FE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35" authorId="0" shapeId="0" xr:uid="{00000000-0006-0000-0000-0000FF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35" authorId="0" shapeId="0" xr:uid="{00000000-0006-0000-0000-000000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36" authorId="0" shapeId="0" xr:uid="{00000000-0006-0000-0000-000001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6" authorId="0" shapeId="0" xr:uid="{00000000-0006-0000-0000-00000203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36" authorId="0" shapeId="0" xr:uid="{00000000-0006-0000-0000-00000303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36" authorId="0" shapeId="0" xr:uid="{00000000-0006-0000-0000-00000403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36" authorId="0" shapeId="0" xr:uid="{00000000-0006-0000-0000-00000503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36" authorId="0" shapeId="0" xr:uid="{00000000-0006-0000-0000-00000603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6" authorId="0" shapeId="0" xr:uid="{00000000-0006-0000-0000-00000703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36" authorId="0" shapeId="0" xr:uid="{00000000-0006-0000-0000-00000803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36" authorId="0" shapeId="0" xr:uid="{00000000-0006-0000-0000-000009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36" authorId="0" shapeId="0" xr:uid="{00000000-0006-0000-0000-00000A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36" authorId="0" shapeId="0" xr:uid="{00000000-0006-0000-0000-00000B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36" authorId="0" shapeId="0" xr:uid="{00000000-0006-0000-0000-00000C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36" authorId="0" shapeId="0" xr:uid="{00000000-0006-0000-0000-00000D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36" authorId="0" shapeId="0" xr:uid="{00000000-0006-0000-0000-00000E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6" authorId="0" shapeId="0" xr:uid="{00000000-0006-0000-0000-00000F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6" authorId="0" shapeId="0" xr:uid="{00000000-0006-0000-0000-000010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6" authorId="0" shapeId="0" xr:uid="{00000000-0006-0000-0000-000011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6" authorId="0" shapeId="0" xr:uid="{00000000-0006-0000-0000-000012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6" authorId="0" shapeId="0" xr:uid="{00000000-0006-0000-0000-000013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6" authorId="0" shapeId="0" xr:uid="{00000000-0006-0000-0000-000014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36" authorId="0" shapeId="0" xr:uid="{00000000-0006-0000-0000-000015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36" authorId="0" shapeId="0" xr:uid="{00000000-0006-0000-0000-000016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36" authorId="0" shapeId="0" xr:uid="{00000000-0006-0000-0000-000017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36" authorId="0" shapeId="0" xr:uid="{00000000-0006-0000-0000-000018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37" authorId="0" shapeId="0" xr:uid="{00000000-0006-0000-0000-000019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7" authorId="0" shapeId="0" xr:uid="{00000000-0006-0000-0000-00001A03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37" authorId="0" shapeId="0" xr:uid="{00000000-0006-0000-0000-00001B03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37" authorId="0" shapeId="0" xr:uid="{00000000-0006-0000-0000-00001C03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37" authorId="0" shapeId="0" xr:uid="{00000000-0006-0000-0000-00001D03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37" authorId="0" shapeId="0" xr:uid="{00000000-0006-0000-0000-00001E03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7" authorId="0" shapeId="0" xr:uid="{00000000-0006-0000-0000-00001F03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37" authorId="0" shapeId="0" xr:uid="{00000000-0006-0000-0000-00002003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37" authorId="0" shapeId="0" xr:uid="{00000000-0006-0000-0000-000021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37" authorId="0" shapeId="0" xr:uid="{00000000-0006-0000-0000-000022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37" authorId="0" shapeId="0" xr:uid="{00000000-0006-0000-0000-000023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37" authorId="0" shapeId="0" xr:uid="{00000000-0006-0000-0000-000024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37" authorId="0" shapeId="0" xr:uid="{00000000-0006-0000-0000-000025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37" authorId="0" shapeId="0" xr:uid="{00000000-0006-0000-0000-000026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7" authorId="0" shapeId="0" xr:uid="{00000000-0006-0000-0000-000027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7" authorId="0" shapeId="0" xr:uid="{00000000-0006-0000-0000-000028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7" authorId="0" shapeId="0" xr:uid="{00000000-0006-0000-0000-000029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7" authorId="0" shapeId="0" xr:uid="{00000000-0006-0000-0000-00002A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7" authorId="0" shapeId="0" xr:uid="{00000000-0006-0000-0000-00002B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7" authorId="0" shapeId="0" xr:uid="{00000000-0006-0000-0000-00002C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37" authorId="0" shapeId="0" xr:uid="{00000000-0006-0000-0000-00002D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37" authorId="0" shapeId="0" xr:uid="{00000000-0006-0000-0000-00002E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37" authorId="0" shapeId="0" xr:uid="{00000000-0006-0000-0000-00002F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37" authorId="0" shapeId="0" xr:uid="{00000000-0006-0000-0000-000030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38" authorId="0" shapeId="0" xr:uid="{00000000-0006-0000-0000-000031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8" authorId="0" shapeId="0" xr:uid="{00000000-0006-0000-0000-00003203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38" authorId="0" shapeId="0" xr:uid="{00000000-0006-0000-0000-00003303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38" authorId="0" shapeId="0" xr:uid="{00000000-0006-0000-0000-00003403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38" authorId="0" shapeId="0" xr:uid="{00000000-0006-0000-0000-00003503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38" authorId="0" shapeId="0" xr:uid="{00000000-0006-0000-0000-00003603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8" authorId="0" shapeId="0" xr:uid="{00000000-0006-0000-0000-00003703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38" authorId="0" shapeId="0" xr:uid="{00000000-0006-0000-0000-00003803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38" authorId="0" shapeId="0" xr:uid="{00000000-0006-0000-0000-000039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38" authorId="0" shapeId="0" xr:uid="{00000000-0006-0000-0000-00003A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38" authorId="0" shapeId="0" xr:uid="{00000000-0006-0000-0000-00003B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38" authorId="0" shapeId="0" xr:uid="{00000000-0006-0000-0000-00003C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38" authorId="0" shapeId="0" xr:uid="{00000000-0006-0000-0000-00003D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38" authorId="0" shapeId="0" xr:uid="{00000000-0006-0000-0000-00003E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8" authorId="0" shapeId="0" xr:uid="{00000000-0006-0000-0000-00003F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8" authorId="0" shapeId="0" xr:uid="{00000000-0006-0000-0000-000040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8" authorId="0" shapeId="0" xr:uid="{00000000-0006-0000-0000-000041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8" authorId="0" shapeId="0" xr:uid="{00000000-0006-0000-0000-000042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8" authorId="0" shapeId="0" xr:uid="{00000000-0006-0000-0000-000043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8" authorId="0" shapeId="0" xr:uid="{00000000-0006-0000-0000-000044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38" authorId="0" shapeId="0" xr:uid="{00000000-0006-0000-0000-000045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38" authorId="0" shapeId="0" xr:uid="{00000000-0006-0000-0000-000046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38" authorId="0" shapeId="0" xr:uid="{00000000-0006-0000-0000-000047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38" authorId="0" shapeId="0" xr:uid="{00000000-0006-0000-0000-000048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39" authorId="0" shapeId="0" xr:uid="{00000000-0006-0000-0000-000049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39" authorId="0" shapeId="0" xr:uid="{00000000-0006-0000-0000-00004A03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39" authorId="0" shapeId="0" xr:uid="{00000000-0006-0000-0000-00004B03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39" authorId="0" shapeId="0" xr:uid="{00000000-0006-0000-0000-00004C03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39" authorId="0" shapeId="0" xr:uid="{00000000-0006-0000-0000-00004D03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39" authorId="0" shapeId="0" xr:uid="{00000000-0006-0000-0000-00004E03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9" authorId="0" shapeId="0" xr:uid="{00000000-0006-0000-0000-00004F03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39" authorId="0" shapeId="0" xr:uid="{00000000-0006-0000-0000-00005003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39" authorId="0" shapeId="0" xr:uid="{00000000-0006-0000-0000-000051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39" authorId="0" shapeId="0" xr:uid="{00000000-0006-0000-0000-000052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39" authorId="0" shapeId="0" xr:uid="{00000000-0006-0000-0000-000053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39" authorId="0" shapeId="0" xr:uid="{00000000-0006-0000-0000-000054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39" authorId="0" shapeId="0" xr:uid="{00000000-0006-0000-0000-000055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39" authorId="0" shapeId="0" xr:uid="{00000000-0006-0000-0000-000056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39" authorId="0" shapeId="0" xr:uid="{00000000-0006-0000-0000-000057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39" authorId="0" shapeId="0" xr:uid="{00000000-0006-0000-0000-000058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39" authorId="0" shapeId="0" xr:uid="{00000000-0006-0000-0000-000059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39" authorId="0" shapeId="0" xr:uid="{00000000-0006-0000-0000-00005A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39" authorId="0" shapeId="0" xr:uid="{00000000-0006-0000-0000-00005B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39" authorId="0" shapeId="0" xr:uid="{00000000-0006-0000-0000-00005C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39" authorId="0" shapeId="0" xr:uid="{00000000-0006-0000-0000-00005D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39" authorId="0" shapeId="0" xr:uid="{00000000-0006-0000-0000-00005E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39" authorId="0" shapeId="0" xr:uid="{00000000-0006-0000-0000-00005F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39" authorId="0" shapeId="0" xr:uid="{00000000-0006-0000-0000-000060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40" authorId="0" shapeId="0" xr:uid="{00000000-0006-0000-0000-000061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40" authorId="0" shapeId="0" xr:uid="{00000000-0006-0000-0000-00006203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40" authorId="0" shapeId="0" xr:uid="{00000000-0006-0000-0000-00006303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40" authorId="0" shapeId="0" xr:uid="{00000000-0006-0000-0000-00006403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40" authorId="0" shapeId="0" xr:uid="{00000000-0006-0000-0000-00006503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40" authorId="0" shapeId="0" xr:uid="{00000000-0006-0000-0000-00006603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40" authorId="0" shapeId="0" xr:uid="{00000000-0006-0000-0000-00006703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40" authorId="0" shapeId="0" xr:uid="{00000000-0006-0000-0000-00006803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40" authorId="0" shapeId="0" xr:uid="{00000000-0006-0000-0000-000069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40" authorId="0" shapeId="0" xr:uid="{00000000-0006-0000-0000-00006A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40" authorId="0" shapeId="0" xr:uid="{00000000-0006-0000-0000-00006B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40" authorId="0" shapeId="0" xr:uid="{00000000-0006-0000-0000-00006C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40" authorId="0" shapeId="0" xr:uid="{00000000-0006-0000-0000-00006D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40" authorId="0" shapeId="0" xr:uid="{00000000-0006-0000-0000-00006E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40" authorId="0" shapeId="0" xr:uid="{00000000-0006-0000-0000-00006F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40" authorId="0" shapeId="0" xr:uid="{00000000-0006-0000-0000-000070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40" authorId="0" shapeId="0" xr:uid="{00000000-0006-0000-0000-000071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40" authorId="0" shapeId="0" xr:uid="{00000000-0006-0000-0000-000072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40" authorId="0" shapeId="0" xr:uid="{00000000-0006-0000-0000-000073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40" authorId="0" shapeId="0" xr:uid="{00000000-0006-0000-0000-000074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40" authorId="0" shapeId="0" xr:uid="{00000000-0006-0000-0000-000075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40" authorId="0" shapeId="0" xr:uid="{00000000-0006-0000-0000-000076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40" authorId="0" shapeId="0" xr:uid="{00000000-0006-0000-0000-000077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40" authorId="0" shapeId="0" xr:uid="{00000000-0006-0000-0000-000078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41" authorId="0" shapeId="0" xr:uid="{00000000-0006-0000-0000-000079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41" authorId="0" shapeId="0" xr:uid="{00000000-0006-0000-0000-00007A03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41" authorId="0" shapeId="0" xr:uid="{00000000-0006-0000-0000-00007B03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41" authorId="0" shapeId="0" xr:uid="{00000000-0006-0000-0000-00007C03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41" authorId="0" shapeId="0" xr:uid="{00000000-0006-0000-0000-00007D03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41" authorId="0" shapeId="0" xr:uid="{00000000-0006-0000-0000-00007E03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41" authorId="0" shapeId="0" xr:uid="{00000000-0006-0000-0000-00007F03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41" authorId="0" shapeId="0" xr:uid="{00000000-0006-0000-0000-00008003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41" authorId="0" shapeId="0" xr:uid="{00000000-0006-0000-0000-000081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41" authorId="0" shapeId="0" xr:uid="{00000000-0006-0000-0000-000082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41" authorId="0" shapeId="0" xr:uid="{00000000-0006-0000-0000-000083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41" authorId="0" shapeId="0" xr:uid="{00000000-0006-0000-0000-000084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41" authorId="0" shapeId="0" xr:uid="{00000000-0006-0000-0000-000085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41" authorId="0" shapeId="0" xr:uid="{00000000-0006-0000-0000-000086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41" authorId="0" shapeId="0" xr:uid="{00000000-0006-0000-0000-000087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41" authorId="0" shapeId="0" xr:uid="{00000000-0006-0000-0000-000088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41" authorId="0" shapeId="0" xr:uid="{00000000-0006-0000-0000-000089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41" authorId="0" shapeId="0" xr:uid="{00000000-0006-0000-0000-00008A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41" authorId="0" shapeId="0" xr:uid="{00000000-0006-0000-0000-00008B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41" authorId="0" shapeId="0" xr:uid="{00000000-0006-0000-0000-00008C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41" authorId="0" shapeId="0" xr:uid="{00000000-0006-0000-0000-00008D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41" authorId="0" shapeId="0" xr:uid="{00000000-0006-0000-0000-00008E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41" authorId="0" shapeId="0" xr:uid="{00000000-0006-0000-0000-00008F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41" authorId="0" shapeId="0" xr:uid="{00000000-0006-0000-0000-000090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42" authorId="0" shapeId="0" xr:uid="{00000000-0006-0000-0000-000091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42" authorId="0" shapeId="0" xr:uid="{00000000-0006-0000-0000-00009203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42" authorId="0" shapeId="0" xr:uid="{00000000-0006-0000-0000-00009303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42" authorId="0" shapeId="0" xr:uid="{00000000-0006-0000-0000-00009403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42" authorId="0" shapeId="0" xr:uid="{00000000-0006-0000-0000-00009503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42" authorId="0" shapeId="0" xr:uid="{00000000-0006-0000-0000-00009603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42" authorId="0" shapeId="0" xr:uid="{00000000-0006-0000-0000-00009703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42" authorId="0" shapeId="0" xr:uid="{00000000-0006-0000-0000-00009803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42" authorId="0" shapeId="0" xr:uid="{00000000-0006-0000-0000-000099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42" authorId="0" shapeId="0" xr:uid="{00000000-0006-0000-0000-00009A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42" authorId="0" shapeId="0" xr:uid="{00000000-0006-0000-0000-00009B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42" authorId="0" shapeId="0" xr:uid="{00000000-0006-0000-0000-00009C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42" authorId="0" shapeId="0" xr:uid="{00000000-0006-0000-0000-00009D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42" authorId="0" shapeId="0" xr:uid="{00000000-0006-0000-0000-00009E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42" authorId="0" shapeId="0" xr:uid="{00000000-0006-0000-0000-00009F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42" authorId="0" shapeId="0" xr:uid="{00000000-0006-0000-0000-0000A0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42" authorId="0" shapeId="0" xr:uid="{00000000-0006-0000-0000-0000A1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42" authorId="0" shapeId="0" xr:uid="{00000000-0006-0000-0000-0000A2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42" authorId="0" shapeId="0" xr:uid="{00000000-0006-0000-0000-0000A3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42" authorId="0" shapeId="0" xr:uid="{00000000-0006-0000-0000-0000A4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42" authorId="0" shapeId="0" xr:uid="{00000000-0006-0000-0000-0000A5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42" authorId="0" shapeId="0" xr:uid="{00000000-0006-0000-0000-0000A6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42" authorId="0" shapeId="0" xr:uid="{00000000-0006-0000-0000-0000A7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42" authorId="0" shapeId="0" xr:uid="{00000000-0006-0000-0000-0000A8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43" authorId="0" shapeId="0" xr:uid="{00000000-0006-0000-0000-0000A9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43" authorId="0" shapeId="0" xr:uid="{00000000-0006-0000-0000-0000AA03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43" authorId="0" shapeId="0" xr:uid="{00000000-0006-0000-0000-0000AB03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43" authorId="0" shapeId="0" xr:uid="{00000000-0006-0000-0000-0000AC03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43" authorId="0" shapeId="0" xr:uid="{00000000-0006-0000-0000-0000AD03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43" authorId="0" shapeId="0" xr:uid="{00000000-0006-0000-0000-0000AE03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43" authorId="0" shapeId="0" xr:uid="{00000000-0006-0000-0000-0000AF03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43" authorId="0" shapeId="0" xr:uid="{00000000-0006-0000-0000-0000B003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43" authorId="0" shapeId="0" xr:uid="{00000000-0006-0000-0000-0000B1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43" authorId="0" shapeId="0" xr:uid="{00000000-0006-0000-0000-0000B2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43" authorId="0" shapeId="0" xr:uid="{00000000-0006-0000-0000-0000B3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43" authorId="0" shapeId="0" xr:uid="{00000000-0006-0000-0000-0000B4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43" authorId="0" shapeId="0" xr:uid="{00000000-0006-0000-0000-0000B5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43" authorId="0" shapeId="0" xr:uid="{00000000-0006-0000-0000-0000B6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43" authorId="0" shapeId="0" xr:uid="{00000000-0006-0000-0000-0000B7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43" authorId="0" shapeId="0" xr:uid="{00000000-0006-0000-0000-0000B8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43" authorId="0" shapeId="0" xr:uid="{00000000-0006-0000-0000-0000B9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43" authorId="0" shapeId="0" xr:uid="{00000000-0006-0000-0000-0000BA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43" authorId="0" shapeId="0" xr:uid="{00000000-0006-0000-0000-0000BB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43" authorId="0" shapeId="0" xr:uid="{00000000-0006-0000-0000-0000BC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43" authorId="0" shapeId="0" xr:uid="{00000000-0006-0000-0000-0000BD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43" authorId="0" shapeId="0" xr:uid="{00000000-0006-0000-0000-0000BE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43" authorId="0" shapeId="0" xr:uid="{00000000-0006-0000-0000-0000BF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43" authorId="0" shapeId="0" xr:uid="{00000000-0006-0000-0000-0000C0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S44" authorId="0" shapeId="0" xr:uid="{00000000-0006-0000-0000-0000C1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T44" authorId="0" shapeId="0" xr:uid="{00000000-0006-0000-0000-0000C203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U44" authorId="0" shapeId="0" xr:uid="{00000000-0006-0000-0000-0000C303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V44" authorId="0" shapeId="0" xr:uid="{00000000-0006-0000-0000-0000C403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W44" authorId="0" shapeId="0" xr:uid="{00000000-0006-0000-0000-0000C503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X44" authorId="0" shapeId="0" xr:uid="{00000000-0006-0000-0000-0000C603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44" authorId="0" shapeId="0" xr:uid="{00000000-0006-0000-0000-0000C703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Z44" authorId="0" shapeId="0" xr:uid="{00000000-0006-0000-0000-0000C803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A44" authorId="0" shapeId="0" xr:uid="{00000000-0006-0000-0000-0000C9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B44" authorId="0" shapeId="0" xr:uid="{00000000-0006-0000-0000-0000CA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C44" authorId="0" shapeId="0" xr:uid="{00000000-0006-0000-0000-0000CB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D44" authorId="0" shapeId="0" xr:uid="{00000000-0006-0000-0000-0000CC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E44" authorId="0" shapeId="0" xr:uid="{00000000-0006-0000-0000-0000CD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I44" authorId="0" shapeId="0" xr:uid="{00000000-0006-0000-0000-0000CE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44" authorId="0" shapeId="0" xr:uid="{00000000-0006-0000-0000-0000CF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M44" authorId="0" shapeId="0" xr:uid="{00000000-0006-0000-0000-0000D0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N44" authorId="0" shapeId="0" xr:uid="{00000000-0006-0000-0000-0000D1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O44" authorId="0" shapeId="0" xr:uid="{00000000-0006-0000-0000-0000D2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P44" authorId="0" shapeId="0" xr:uid="{00000000-0006-0000-0000-0000D3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Q44" authorId="0" shapeId="0" xr:uid="{00000000-0006-0000-0000-0000D4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R44" authorId="0" shapeId="0" xr:uid="{00000000-0006-0000-0000-0000D5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S44" authorId="0" shapeId="0" xr:uid="{00000000-0006-0000-0000-0000D6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T44" authorId="0" shapeId="0" xr:uid="{00000000-0006-0000-0000-0000D7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U44" authorId="0" shapeId="0" xr:uid="{00000000-0006-0000-0000-0000D8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BE29" authorId="0" shapeId="0" xr:uid="{00000000-0006-0000-01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29" authorId="0" shapeId="0" xr:uid="{00000000-0006-0000-0100-000002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G29" authorId="0" shapeId="0" xr:uid="{00000000-0006-0000-0100-000003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H29" authorId="0" shapeId="0" xr:uid="{00000000-0006-0000-0100-000004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I29" authorId="0" shapeId="0" xr:uid="{00000000-0006-0000-0100-000005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J29" authorId="0" shapeId="0" xr:uid="{00000000-0006-0000-0100-000006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K29" authorId="0" shapeId="0" xr:uid="{00000000-0006-0000-0100-000007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L29" authorId="0" shapeId="0" xr:uid="{00000000-0006-0000-0100-000008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M29" authorId="0" shapeId="0" xr:uid="{00000000-0006-0000-0100-000009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N29" authorId="0" shapeId="0" xr:uid="{00000000-0006-0000-0100-00000A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O29" authorId="0" shapeId="0" xr:uid="{00000000-0006-0000-0100-00000B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P29" authorId="0" shapeId="0" xr:uid="{00000000-0006-0000-0100-00000C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Q29" authorId="0" shapeId="0" xr:uid="{00000000-0006-0000-0100-00000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29" authorId="0" shapeId="0" xr:uid="{00000000-0006-0000-0100-00000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29" authorId="0" shapeId="0" xr:uid="{00000000-0006-0000-0100-00000F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X29" authorId="0" shapeId="0" xr:uid="{00000000-0006-0000-0100-000010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Y29" authorId="0" shapeId="0" xr:uid="{00000000-0006-0000-0100-000011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Z29" authorId="0" shapeId="0" xr:uid="{00000000-0006-0000-0100-000012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A29" authorId="0" shapeId="0" xr:uid="{00000000-0006-0000-0100-000013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B29" authorId="0" shapeId="0" xr:uid="{00000000-0006-0000-0100-000014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C29" authorId="0" shapeId="0" xr:uid="{00000000-0006-0000-0100-000015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D29" authorId="0" shapeId="0" xr:uid="{00000000-0006-0000-0100-000016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E29" authorId="0" shapeId="0" xr:uid="{00000000-0006-0000-0100-000017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F29" authorId="0" shapeId="0" xr:uid="{00000000-0006-0000-0100-000018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G29" authorId="0" shapeId="0" xr:uid="{00000000-0006-0000-0100-000019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H29" authorId="0" shapeId="0" xr:uid="{00000000-0006-0000-0100-00001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30" authorId="0" shapeId="0" xr:uid="{00000000-0006-0000-0100-00001B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30" authorId="0" shapeId="0" xr:uid="{00000000-0006-0000-0100-00001C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G30" authorId="0" shapeId="0" xr:uid="{00000000-0006-0000-0100-00001D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H30" authorId="0" shapeId="0" xr:uid="{00000000-0006-0000-0100-00001E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I30" authorId="0" shapeId="0" xr:uid="{00000000-0006-0000-0100-00001F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J30" authorId="0" shapeId="0" xr:uid="{00000000-0006-0000-0100-000020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K30" authorId="0" shapeId="0" xr:uid="{00000000-0006-0000-0100-000021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L30" authorId="0" shapeId="0" xr:uid="{00000000-0006-0000-0100-000022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M30" authorId="0" shapeId="0" xr:uid="{00000000-0006-0000-0100-000023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N30" authorId="0" shapeId="0" xr:uid="{00000000-0006-0000-0100-000024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O30" authorId="0" shapeId="0" xr:uid="{00000000-0006-0000-0100-000025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P30" authorId="0" shapeId="0" xr:uid="{00000000-0006-0000-0100-000026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Q30" authorId="0" shapeId="0" xr:uid="{00000000-0006-0000-0100-00002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30" authorId="0" shapeId="0" xr:uid="{00000000-0006-0000-0100-000028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30" authorId="0" shapeId="0" xr:uid="{00000000-0006-0000-0100-000029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X30" authorId="0" shapeId="0" xr:uid="{00000000-0006-0000-0100-00002A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Y30" authorId="0" shapeId="0" xr:uid="{00000000-0006-0000-0100-00002B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Z30" authorId="0" shapeId="0" xr:uid="{00000000-0006-0000-0100-00002C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A30" authorId="0" shapeId="0" xr:uid="{00000000-0006-0000-0100-00002D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B30" authorId="0" shapeId="0" xr:uid="{00000000-0006-0000-0100-00002E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C30" authorId="0" shapeId="0" xr:uid="{00000000-0006-0000-0100-00002F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D30" authorId="0" shapeId="0" xr:uid="{00000000-0006-0000-0100-000030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E30" authorId="0" shapeId="0" xr:uid="{00000000-0006-0000-0100-000031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F30" authorId="0" shapeId="0" xr:uid="{00000000-0006-0000-0100-000032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G30" authorId="0" shapeId="0" xr:uid="{00000000-0006-0000-0100-000033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H30" authorId="0" shapeId="0" xr:uid="{00000000-0006-0000-0100-000034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31" authorId="0" shapeId="0" xr:uid="{00000000-0006-0000-0100-000035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F31" authorId="0" shapeId="0" xr:uid="{00000000-0006-0000-0100-000036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G31" authorId="0" shapeId="0" xr:uid="{00000000-0006-0000-0100-000037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H31" authorId="0" shapeId="0" xr:uid="{00000000-0006-0000-0100-000038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I31" authorId="0" shapeId="0" xr:uid="{00000000-0006-0000-0100-000039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J31" authorId="0" shapeId="0" xr:uid="{00000000-0006-0000-0100-00003A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K31" authorId="0" shapeId="0" xr:uid="{00000000-0006-0000-0100-00003B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L31" authorId="0" shapeId="0" xr:uid="{00000000-0006-0000-0100-00003C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M31" authorId="0" shapeId="0" xr:uid="{00000000-0006-0000-0100-00003D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N31" authorId="0" shapeId="0" xr:uid="{00000000-0006-0000-0100-00003E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O31" authorId="0" shapeId="0" xr:uid="{00000000-0006-0000-0100-00003F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P31" authorId="0" shapeId="0" xr:uid="{00000000-0006-0000-0100-000040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Q31" authorId="0" shapeId="0" xr:uid="{00000000-0006-0000-0100-000041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V31" authorId="0" shapeId="0" xr:uid="{00000000-0006-0000-0100-00004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W31" authorId="0" shapeId="0" xr:uid="{00000000-0006-0000-0100-000043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X31" authorId="0" shapeId="0" xr:uid="{00000000-0006-0000-0100-000044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Y31" authorId="0" shapeId="0" xr:uid="{00000000-0006-0000-0100-000045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Z31" authorId="0" shapeId="0" xr:uid="{00000000-0006-0000-0100-000046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A31" authorId="0" shapeId="0" xr:uid="{00000000-0006-0000-0100-000047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B31" authorId="0" shapeId="0" xr:uid="{00000000-0006-0000-0100-000048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C31" authorId="0" shapeId="0" xr:uid="{00000000-0006-0000-0100-000049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D31" authorId="0" shapeId="0" xr:uid="{00000000-0006-0000-0100-00004A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E31" authorId="0" shapeId="0" xr:uid="{00000000-0006-0000-0100-00004B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F31" authorId="0" shapeId="0" xr:uid="{00000000-0006-0000-0100-00004C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G31" authorId="0" shapeId="0" xr:uid="{00000000-0006-0000-0100-00004D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H31" authorId="0" shapeId="0" xr:uid="{00000000-0006-0000-0100-00004E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E35" authorId="0" shapeId="0" xr:uid="{00000000-0006-0000-0100-00004F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35" authorId="0" shapeId="0" xr:uid="{00000000-0006-0000-0100-000050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I35" authorId="0" shapeId="0" xr:uid="{00000000-0006-0000-0100-000051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J35" authorId="0" shapeId="0" xr:uid="{00000000-0006-0000-0100-000052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K35" authorId="0" shapeId="0" xr:uid="{00000000-0006-0000-0100-000053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L35" authorId="0" shapeId="0" xr:uid="{00000000-0006-0000-0100-000054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M35" authorId="0" shapeId="0" xr:uid="{00000000-0006-0000-0100-000055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N35" authorId="0" shapeId="0" xr:uid="{00000000-0006-0000-0100-000056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O35" authorId="0" shapeId="0" xr:uid="{00000000-0006-0000-0100-000057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P35" authorId="0" shapeId="0" xr:uid="{00000000-0006-0000-0100-000058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35" authorId="0" shapeId="0" xr:uid="{00000000-0006-0000-0100-000059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35" authorId="0" shapeId="0" xr:uid="{00000000-0006-0000-0100-00005A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35" authorId="0" shapeId="0" xr:uid="{00000000-0006-0000-0100-00005B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Z35" authorId="0" shapeId="0" xr:uid="{00000000-0006-0000-0100-00005C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A35" authorId="0" shapeId="0" xr:uid="{00000000-0006-0000-0100-00005D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B35" authorId="0" shapeId="0" xr:uid="{00000000-0006-0000-0100-00005E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C35" authorId="0" shapeId="0" xr:uid="{00000000-0006-0000-0100-00005F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D35" authorId="0" shapeId="0" xr:uid="{00000000-0006-0000-0100-000060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E35" authorId="0" shapeId="0" xr:uid="{00000000-0006-0000-0100-000061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F35" authorId="0" shapeId="0" xr:uid="{00000000-0006-0000-0100-000062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G35" authorId="0" shapeId="0" xr:uid="{00000000-0006-0000-0100-00006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35" authorId="0" shapeId="0" xr:uid="{00000000-0006-0000-0100-00006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36" authorId="0" shapeId="0" xr:uid="{00000000-0006-0000-0100-000065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36" authorId="0" shapeId="0" xr:uid="{00000000-0006-0000-0100-000066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I36" authorId="0" shapeId="0" xr:uid="{00000000-0006-0000-0100-000067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J36" authorId="0" shapeId="0" xr:uid="{00000000-0006-0000-0100-000068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K36" authorId="0" shapeId="0" xr:uid="{00000000-0006-0000-0100-000069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L36" authorId="0" shapeId="0" xr:uid="{00000000-0006-0000-0100-00006A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M36" authorId="0" shapeId="0" xr:uid="{00000000-0006-0000-0100-00006B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N36" authorId="0" shapeId="0" xr:uid="{00000000-0006-0000-0100-00006C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O36" authorId="0" shapeId="0" xr:uid="{00000000-0006-0000-0100-00006D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P36" authorId="0" shapeId="0" xr:uid="{00000000-0006-0000-0100-00006E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36" authorId="0" shapeId="0" xr:uid="{00000000-0006-0000-0100-00006F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36" authorId="0" shapeId="0" xr:uid="{00000000-0006-0000-0100-00007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36" authorId="0" shapeId="0" xr:uid="{00000000-0006-0000-0100-000071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Z36" authorId="0" shapeId="0" xr:uid="{00000000-0006-0000-0100-000072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A36" authorId="0" shapeId="0" xr:uid="{00000000-0006-0000-0100-000073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B36" authorId="0" shapeId="0" xr:uid="{00000000-0006-0000-0100-000074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C36" authorId="0" shapeId="0" xr:uid="{00000000-0006-0000-0100-000075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D36" authorId="0" shapeId="0" xr:uid="{00000000-0006-0000-0100-000076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E36" authorId="0" shapeId="0" xr:uid="{00000000-0006-0000-0100-000077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F36" authorId="0" shapeId="0" xr:uid="{00000000-0006-0000-0100-000078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G36" authorId="0" shapeId="0" xr:uid="{00000000-0006-0000-0100-000079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36" authorId="0" shapeId="0" xr:uid="{00000000-0006-0000-0100-00007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E37" authorId="0" shapeId="0" xr:uid="{00000000-0006-0000-0100-00007B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H37" authorId="0" shapeId="0" xr:uid="{00000000-0006-0000-0100-00007C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I37" authorId="0" shapeId="0" xr:uid="{00000000-0006-0000-0100-00007D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J37" authorId="0" shapeId="0" xr:uid="{00000000-0006-0000-0100-00007E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K37" authorId="0" shapeId="0" xr:uid="{00000000-0006-0000-0100-00007F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L37" authorId="0" shapeId="0" xr:uid="{00000000-0006-0000-0100-000080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M37" authorId="0" shapeId="0" xr:uid="{00000000-0006-0000-0100-000081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N37" authorId="0" shapeId="0" xr:uid="{00000000-0006-0000-0100-000082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O37" authorId="0" shapeId="0" xr:uid="{00000000-0006-0000-0100-000083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P37" authorId="0" shapeId="0" xr:uid="{00000000-0006-0000-0100-000084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Q37" authorId="0" shapeId="0" xr:uid="{00000000-0006-0000-0100-00008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V37" authorId="0" shapeId="0" xr:uid="{00000000-0006-0000-0100-00008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Y37" authorId="0" shapeId="0" xr:uid="{00000000-0006-0000-0100-000087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Z37" authorId="0" shapeId="0" xr:uid="{00000000-0006-0000-0100-000088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A37" authorId="0" shapeId="0" xr:uid="{00000000-0006-0000-0100-000089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B37" authorId="0" shapeId="0" xr:uid="{00000000-0006-0000-0100-00008A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C37" authorId="0" shapeId="0" xr:uid="{00000000-0006-0000-0100-00008B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D37" authorId="0" shapeId="0" xr:uid="{00000000-0006-0000-0100-00008C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E37" authorId="0" shapeId="0" xr:uid="{00000000-0006-0000-0100-00008D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F37" authorId="0" shapeId="0" xr:uid="{00000000-0006-0000-0100-00008E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G37" authorId="0" shapeId="0" xr:uid="{00000000-0006-0000-0100-00008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H37" authorId="0" shapeId="0" xr:uid="{00000000-0006-0000-0100-000090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47" authorId="0" shapeId="0" xr:uid="{00000000-0006-0000-0100-000091000000}">
      <text>
        <r>
          <rPr>
            <sz val="8"/>
            <color indexed="81"/>
            <rFont val="Tahoma"/>
            <family val="2"/>
          </rPr>
          <t>option type (cap or floor)</t>
        </r>
      </text>
    </comment>
    <comment ref="AC47" authorId="0" shapeId="0" xr:uid="{00000000-0006-0000-0100-000092000000}">
      <text>
        <r>
          <rPr>
            <sz val="8"/>
            <color indexed="81"/>
            <rFont val="Tahoma"/>
            <family val="2"/>
          </rPr>
          <t>option type (cap or floor)</t>
        </r>
      </text>
    </comment>
    <comment ref="AT111" authorId="0" shapeId="0" xr:uid="{00000000-0006-0000-0100-000093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12" authorId="0" shapeId="0" xr:uid="{00000000-0006-0000-0100-00009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13" authorId="0" shapeId="0" xr:uid="{00000000-0006-0000-0100-00009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14" authorId="0" shapeId="0" xr:uid="{00000000-0006-0000-0100-00009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14" authorId="0" shapeId="0" xr:uid="{00000000-0006-0000-0100-000097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15" authorId="0" shapeId="0" xr:uid="{00000000-0006-0000-0100-00009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15" authorId="0" shapeId="0" xr:uid="{00000000-0006-0000-0100-000099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16" authorId="0" shapeId="0" xr:uid="{00000000-0006-0000-0100-00009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16" authorId="0" shapeId="0" xr:uid="{00000000-0006-0000-0100-00009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17" authorId="0" shapeId="0" xr:uid="{00000000-0006-0000-0100-00009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17" authorId="0" shapeId="0" xr:uid="{00000000-0006-0000-0100-00009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18" authorId="0" shapeId="0" xr:uid="{00000000-0006-0000-0100-00009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18" authorId="0" shapeId="0" xr:uid="{00000000-0006-0000-0100-00009F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19" authorId="0" shapeId="0" xr:uid="{00000000-0006-0000-0100-0000A0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19" authorId="0" shapeId="0" xr:uid="{00000000-0006-0000-0100-0000A1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20" authorId="0" shapeId="0" xr:uid="{00000000-0006-0000-0100-0000A2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20" authorId="0" shapeId="0" xr:uid="{00000000-0006-0000-0100-0000A3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21" authorId="0" shapeId="0" xr:uid="{00000000-0006-0000-0100-0000A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21" authorId="0" shapeId="0" xr:uid="{00000000-0006-0000-0100-0000A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22" authorId="0" shapeId="0" xr:uid="{00000000-0006-0000-0100-0000A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22" authorId="0" shapeId="0" xr:uid="{00000000-0006-0000-0100-0000A7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23" authorId="0" shapeId="0" xr:uid="{00000000-0006-0000-0100-0000A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23" authorId="0" shapeId="0" xr:uid="{00000000-0006-0000-0100-0000A9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24" authorId="0" shapeId="0" xr:uid="{00000000-0006-0000-0100-0000A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24" authorId="0" shapeId="0" xr:uid="{00000000-0006-0000-0100-0000A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25" authorId="0" shapeId="0" xr:uid="{00000000-0006-0000-0100-0000A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25" authorId="0" shapeId="0" xr:uid="{00000000-0006-0000-0100-0000A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Z126" authorId="0" shapeId="0" xr:uid="{00000000-0006-0000-0100-0000A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T126" authorId="0" shapeId="0" xr:uid="{00000000-0006-0000-0100-0000AF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29" authorId="0" shapeId="0" xr:uid="{00000000-0006-0000-0100-0000B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29" authorId="0" shapeId="0" xr:uid="{00000000-0006-0000-0100-0000B1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29" authorId="0" shapeId="0" xr:uid="{00000000-0006-0000-0100-0000B2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29" authorId="0" shapeId="0" xr:uid="{00000000-0006-0000-0100-0000B3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29" authorId="0" shapeId="0" xr:uid="{00000000-0006-0000-0100-0000B4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29" authorId="0" shapeId="0" xr:uid="{00000000-0006-0000-0100-0000B5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29" authorId="0" shapeId="0" xr:uid="{00000000-0006-0000-0100-0000B6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29" authorId="0" shapeId="0" xr:uid="{00000000-0006-0000-0100-0000B7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29" authorId="0" shapeId="0" xr:uid="{00000000-0006-0000-0100-0000B8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29" authorId="0" shapeId="0" xr:uid="{00000000-0006-0000-0100-0000B9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29" authorId="0" shapeId="0" xr:uid="{00000000-0006-0000-0100-0000B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30" authorId="0" shapeId="0" xr:uid="{00000000-0006-0000-0100-0000BB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30" authorId="0" shapeId="0" xr:uid="{00000000-0006-0000-0100-0000BC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30" authorId="0" shapeId="0" xr:uid="{00000000-0006-0000-0100-0000BD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30" authorId="0" shapeId="0" xr:uid="{00000000-0006-0000-0100-0000BE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30" authorId="0" shapeId="0" xr:uid="{00000000-0006-0000-0100-0000BF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30" authorId="0" shapeId="0" xr:uid="{00000000-0006-0000-0100-0000C0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30" authorId="0" shapeId="0" xr:uid="{00000000-0006-0000-0100-0000C1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30" authorId="0" shapeId="0" xr:uid="{00000000-0006-0000-0100-0000C2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30" authorId="0" shapeId="0" xr:uid="{00000000-0006-0000-0100-0000C3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30" authorId="0" shapeId="0" xr:uid="{00000000-0006-0000-0100-0000C4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30" authorId="0" shapeId="0" xr:uid="{00000000-0006-0000-0100-0000C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31" authorId="0" shapeId="0" xr:uid="{00000000-0006-0000-0100-0000C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31" authorId="0" shapeId="0" xr:uid="{00000000-0006-0000-0100-0000C7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31" authorId="0" shapeId="0" xr:uid="{00000000-0006-0000-0100-0000C8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31" authorId="0" shapeId="0" xr:uid="{00000000-0006-0000-0100-0000C9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31" authorId="0" shapeId="0" xr:uid="{00000000-0006-0000-0100-0000CA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31" authorId="0" shapeId="0" xr:uid="{00000000-0006-0000-0100-0000CB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31" authorId="0" shapeId="0" xr:uid="{00000000-0006-0000-0100-0000CC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31" authorId="0" shapeId="0" xr:uid="{00000000-0006-0000-0100-0000CD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31" authorId="0" shapeId="0" xr:uid="{00000000-0006-0000-0100-0000CE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31" authorId="0" shapeId="0" xr:uid="{00000000-0006-0000-0100-0000C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31" authorId="0" shapeId="0" xr:uid="{00000000-0006-0000-0100-0000D0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32" authorId="0" shapeId="0" xr:uid="{00000000-0006-0000-0100-0000D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32" authorId="0" shapeId="0" xr:uid="{00000000-0006-0000-0100-0000D2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32" authorId="0" shapeId="0" xr:uid="{00000000-0006-0000-0100-0000D3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32" authorId="0" shapeId="0" xr:uid="{00000000-0006-0000-0100-0000D4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32" authorId="0" shapeId="0" xr:uid="{00000000-0006-0000-0100-0000D5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32" authorId="0" shapeId="0" xr:uid="{00000000-0006-0000-0100-0000D6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32" authorId="0" shapeId="0" xr:uid="{00000000-0006-0000-0100-0000D7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32" authorId="0" shapeId="0" xr:uid="{00000000-0006-0000-0100-0000D8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32" authorId="0" shapeId="0" xr:uid="{00000000-0006-0000-0100-0000D9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32" authorId="0" shapeId="0" xr:uid="{00000000-0006-0000-0100-0000D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32" authorId="0" shapeId="0" xr:uid="{00000000-0006-0000-0100-0000D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33" authorId="0" shapeId="0" xr:uid="{00000000-0006-0000-0100-0000DC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33" authorId="0" shapeId="0" xr:uid="{00000000-0006-0000-0100-0000DD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33" authorId="0" shapeId="0" xr:uid="{00000000-0006-0000-0100-0000DE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33" authorId="0" shapeId="0" xr:uid="{00000000-0006-0000-0100-0000DF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33" authorId="0" shapeId="0" xr:uid="{00000000-0006-0000-0100-0000E0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33" authorId="0" shapeId="0" xr:uid="{00000000-0006-0000-0100-0000E1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33" authorId="0" shapeId="0" xr:uid="{00000000-0006-0000-0100-0000E2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33" authorId="0" shapeId="0" xr:uid="{00000000-0006-0000-0100-0000E3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33" authorId="0" shapeId="0" xr:uid="{00000000-0006-0000-0100-0000E4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33" authorId="0" shapeId="0" xr:uid="{00000000-0006-0000-0100-0000E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33" authorId="0" shapeId="0" xr:uid="{00000000-0006-0000-0100-0000E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34" authorId="0" shapeId="0" xr:uid="{00000000-0006-0000-0100-0000E7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34" authorId="0" shapeId="0" xr:uid="{00000000-0006-0000-0100-0000E8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34" authorId="0" shapeId="0" xr:uid="{00000000-0006-0000-0100-0000E9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34" authorId="0" shapeId="0" xr:uid="{00000000-0006-0000-0100-0000EA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34" authorId="0" shapeId="0" xr:uid="{00000000-0006-0000-0100-0000EB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34" authorId="0" shapeId="0" xr:uid="{00000000-0006-0000-0100-0000EC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34" authorId="0" shapeId="0" xr:uid="{00000000-0006-0000-0100-0000ED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34" authorId="0" shapeId="0" xr:uid="{00000000-0006-0000-0100-0000EE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34" authorId="0" shapeId="0" xr:uid="{00000000-0006-0000-0100-0000EF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34" authorId="0" shapeId="0" xr:uid="{00000000-0006-0000-0100-0000F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34" authorId="0" shapeId="0" xr:uid="{00000000-0006-0000-0100-0000F1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35" authorId="0" shapeId="0" xr:uid="{00000000-0006-0000-0100-0000F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35" authorId="0" shapeId="0" xr:uid="{00000000-0006-0000-0100-0000F3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35" authorId="0" shapeId="0" xr:uid="{00000000-0006-0000-0100-0000F4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35" authorId="0" shapeId="0" xr:uid="{00000000-0006-0000-0100-0000F5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35" authorId="0" shapeId="0" xr:uid="{00000000-0006-0000-0100-0000F6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35" authorId="0" shapeId="0" xr:uid="{00000000-0006-0000-0100-0000F7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35" authorId="0" shapeId="0" xr:uid="{00000000-0006-0000-0100-0000F8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35" authorId="0" shapeId="0" xr:uid="{00000000-0006-0000-0100-0000F9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35" authorId="0" shapeId="0" xr:uid="{00000000-0006-0000-0100-0000FA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35" authorId="0" shapeId="0" xr:uid="{00000000-0006-0000-0100-0000FB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35" authorId="0" shapeId="0" xr:uid="{00000000-0006-0000-0100-0000F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36" authorId="0" shapeId="0" xr:uid="{00000000-0006-0000-0100-0000FD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36" authorId="0" shapeId="0" xr:uid="{00000000-0006-0000-0100-0000FE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36" authorId="0" shapeId="0" xr:uid="{00000000-0006-0000-0100-0000FF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36" authorId="0" shapeId="0" xr:uid="{00000000-0006-0000-0100-000000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36" authorId="0" shapeId="0" xr:uid="{00000000-0006-0000-0100-000001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36" authorId="0" shapeId="0" xr:uid="{00000000-0006-0000-0100-000002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36" authorId="0" shapeId="0" xr:uid="{00000000-0006-0000-0100-000003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36" authorId="0" shapeId="0" xr:uid="{00000000-0006-0000-0100-000004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36" authorId="0" shapeId="0" xr:uid="{00000000-0006-0000-0100-000005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36" authorId="0" shapeId="0" xr:uid="{00000000-0006-0000-0100-000006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36" authorId="0" shapeId="0" xr:uid="{00000000-0006-0000-0100-000007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37" authorId="0" shapeId="0" xr:uid="{00000000-0006-0000-0100-000008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37" authorId="0" shapeId="0" xr:uid="{00000000-0006-0000-0100-000009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37" authorId="0" shapeId="0" xr:uid="{00000000-0006-0000-0100-00000A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37" authorId="0" shapeId="0" xr:uid="{00000000-0006-0000-0100-00000B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37" authorId="0" shapeId="0" xr:uid="{00000000-0006-0000-0100-00000C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37" authorId="0" shapeId="0" xr:uid="{00000000-0006-0000-0100-00000D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37" authorId="0" shapeId="0" xr:uid="{00000000-0006-0000-0100-00000E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37" authorId="0" shapeId="0" xr:uid="{00000000-0006-0000-0100-00000F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37" authorId="0" shapeId="0" xr:uid="{00000000-0006-0000-0100-000010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37" authorId="0" shapeId="0" xr:uid="{00000000-0006-0000-0100-000011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37" authorId="0" shapeId="0" xr:uid="{00000000-0006-0000-0100-000012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38" authorId="0" shapeId="0" xr:uid="{00000000-0006-0000-0100-000013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38" authorId="0" shapeId="0" xr:uid="{00000000-0006-0000-0100-000014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38" authorId="0" shapeId="0" xr:uid="{00000000-0006-0000-0100-000015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38" authorId="0" shapeId="0" xr:uid="{00000000-0006-0000-0100-000016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38" authorId="0" shapeId="0" xr:uid="{00000000-0006-0000-0100-000017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38" authorId="0" shapeId="0" xr:uid="{00000000-0006-0000-0100-000018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38" authorId="0" shapeId="0" xr:uid="{00000000-0006-0000-0100-000019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38" authorId="0" shapeId="0" xr:uid="{00000000-0006-0000-0100-00001A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38" authorId="0" shapeId="0" xr:uid="{00000000-0006-0000-0100-00001B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38" authorId="0" shapeId="0" xr:uid="{00000000-0006-0000-0100-00001C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38" authorId="0" shapeId="0" xr:uid="{00000000-0006-0000-0100-00001D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39" authorId="0" shapeId="0" xr:uid="{00000000-0006-0000-0100-00001E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39" authorId="0" shapeId="0" xr:uid="{00000000-0006-0000-0100-00001F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39" authorId="0" shapeId="0" xr:uid="{00000000-0006-0000-0100-000020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39" authorId="0" shapeId="0" xr:uid="{00000000-0006-0000-0100-000021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39" authorId="0" shapeId="0" xr:uid="{00000000-0006-0000-0100-000022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39" authorId="0" shapeId="0" xr:uid="{00000000-0006-0000-0100-000023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39" authorId="0" shapeId="0" xr:uid="{00000000-0006-0000-0100-000024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39" authorId="0" shapeId="0" xr:uid="{00000000-0006-0000-0100-000025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39" authorId="0" shapeId="0" xr:uid="{00000000-0006-0000-0100-000026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39" authorId="0" shapeId="0" xr:uid="{00000000-0006-0000-0100-000027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39" authorId="0" shapeId="0" xr:uid="{00000000-0006-0000-0100-000028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40" authorId="0" shapeId="0" xr:uid="{00000000-0006-0000-0100-000029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40" authorId="0" shapeId="0" xr:uid="{00000000-0006-0000-0100-00002A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40" authorId="0" shapeId="0" xr:uid="{00000000-0006-0000-0100-00002B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40" authorId="0" shapeId="0" xr:uid="{00000000-0006-0000-0100-00002C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40" authorId="0" shapeId="0" xr:uid="{00000000-0006-0000-0100-00002D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40" authorId="0" shapeId="0" xr:uid="{00000000-0006-0000-0100-00002E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40" authorId="0" shapeId="0" xr:uid="{00000000-0006-0000-0100-00002F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40" authorId="0" shapeId="0" xr:uid="{00000000-0006-0000-0100-000030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40" authorId="0" shapeId="0" xr:uid="{00000000-0006-0000-0100-000031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40" authorId="0" shapeId="0" xr:uid="{00000000-0006-0000-0100-000032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40" authorId="0" shapeId="0" xr:uid="{00000000-0006-0000-0100-000033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41" authorId="0" shapeId="0" xr:uid="{00000000-0006-0000-0100-000034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41" authorId="0" shapeId="0" xr:uid="{00000000-0006-0000-0100-000035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41" authorId="0" shapeId="0" xr:uid="{00000000-0006-0000-0100-000036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41" authorId="0" shapeId="0" xr:uid="{00000000-0006-0000-0100-000037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41" authorId="0" shapeId="0" xr:uid="{00000000-0006-0000-0100-000038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41" authorId="0" shapeId="0" xr:uid="{00000000-0006-0000-0100-000039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41" authorId="0" shapeId="0" xr:uid="{00000000-0006-0000-0100-00003A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41" authorId="0" shapeId="0" xr:uid="{00000000-0006-0000-0100-00003B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41" authorId="0" shapeId="0" xr:uid="{00000000-0006-0000-0100-00003C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41" authorId="0" shapeId="0" xr:uid="{00000000-0006-0000-0100-00003D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41" authorId="0" shapeId="0" xr:uid="{00000000-0006-0000-0100-00003E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42" authorId="0" shapeId="0" xr:uid="{00000000-0006-0000-0100-00003F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42" authorId="0" shapeId="0" xr:uid="{00000000-0006-0000-0100-000040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42" authorId="0" shapeId="0" xr:uid="{00000000-0006-0000-0100-000041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42" authorId="0" shapeId="0" xr:uid="{00000000-0006-0000-0100-000042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42" authorId="0" shapeId="0" xr:uid="{00000000-0006-0000-0100-000043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42" authorId="0" shapeId="0" xr:uid="{00000000-0006-0000-0100-000044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42" authorId="0" shapeId="0" xr:uid="{00000000-0006-0000-0100-000045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42" authorId="0" shapeId="0" xr:uid="{00000000-0006-0000-0100-000046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42" authorId="0" shapeId="0" xr:uid="{00000000-0006-0000-0100-000047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42" authorId="0" shapeId="0" xr:uid="{00000000-0006-0000-0100-000048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42" authorId="0" shapeId="0" xr:uid="{00000000-0006-0000-0100-000049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43" authorId="0" shapeId="0" xr:uid="{00000000-0006-0000-0100-00004A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43" authorId="0" shapeId="0" xr:uid="{00000000-0006-0000-0100-00004B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43" authorId="0" shapeId="0" xr:uid="{00000000-0006-0000-0100-00004C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43" authorId="0" shapeId="0" xr:uid="{00000000-0006-0000-0100-00004D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43" authorId="0" shapeId="0" xr:uid="{00000000-0006-0000-0100-00004E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43" authorId="0" shapeId="0" xr:uid="{00000000-0006-0000-0100-00004F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43" authorId="0" shapeId="0" xr:uid="{00000000-0006-0000-0100-000050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43" authorId="0" shapeId="0" xr:uid="{00000000-0006-0000-0100-000051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43" authorId="0" shapeId="0" xr:uid="{00000000-0006-0000-0100-000052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43" authorId="0" shapeId="0" xr:uid="{00000000-0006-0000-0100-000053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43" authorId="0" shapeId="0" xr:uid="{00000000-0006-0000-0100-000054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44" authorId="0" shapeId="0" xr:uid="{00000000-0006-0000-0100-000055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44" authorId="0" shapeId="0" xr:uid="{00000000-0006-0000-0100-000056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44" authorId="0" shapeId="0" xr:uid="{00000000-0006-0000-0100-000057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44" authorId="0" shapeId="0" xr:uid="{00000000-0006-0000-0100-000058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44" authorId="0" shapeId="0" xr:uid="{00000000-0006-0000-0100-000059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44" authorId="0" shapeId="0" xr:uid="{00000000-0006-0000-0100-00005A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44" authorId="0" shapeId="0" xr:uid="{00000000-0006-0000-0100-00005B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44" authorId="0" shapeId="0" xr:uid="{00000000-0006-0000-0100-00005C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44" authorId="0" shapeId="0" xr:uid="{00000000-0006-0000-0100-00005D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44" authorId="0" shapeId="0" xr:uid="{00000000-0006-0000-0100-00005E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44" authorId="0" shapeId="0" xr:uid="{00000000-0006-0000-0100-00005F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45" authorId="0" shapeId="0" xr:uid="{00000000-0006-0000-0100-000060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45" authorId="0" shapeId="0" xr:uid="{00000000-0006-0000-0100-000061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45" authorId="0" shapeId="0" xr:uid="{00000000-0006-0000-0100-000062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45" authorId="0" shapeId="0" xr:uid="{00000000-0006-0000-0100-000063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45" authorId="0" shapeId="0" xr:uid="{00000000-0006-0000-0100-000064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45" authorId="0" shapeId="0" xr:uid="{00000000-0006-0000-0100-000065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45" authorId="0" shapeId="0" xr:uid="{00000000-0006-0000-0100-000066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45" authorId="0" shapeId="0" xr:uid="{00000000-0006-0000-0100-000067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45" authorId="0" shapeId="0" xr:uid="{00000000-0006-0000-0100-000068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45" authorId="0" shapeId="0" xr:uid="{00000000-0006-0000-0100-000069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45" authorId="0" shapeId="0" xr:uid="{00000000-0006-0000-0100-00006A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46" authorId="0" shapeId="0" xr:uid="{00000000-0006-0000-0100-00006B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J146" authorId="0" shapeId="0" xr:uid="{00000000-0006-0000-0100-00006C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AK146" authorId="0" shapeId="0" xr:uid="{00000000-0006-0000-0100-00006D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AL146" authorId="0" shapeId="0" xr:uid="{00000000-0006-0000-0100-00006E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AM146" authorId="0" shapeId="0" xr:uid="{00000000-0006-0000-0100-00006F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AN146" authorId="0" shapeId="0" xr:uid="{00000000-0006-0000-0100-000070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O146" authorId="0" shapeId="0" xr:uid="{00000000-0006-0000-0100-000071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AP146" authorId="0" shapeId="0" xr:uid="{00000000-0006-0000-0100-000072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AQ146" authorId="0" shapeId="0" xr:uid="{00000000-0006-0000-0100-000073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AR146" authorId="0" shapeId="0" xr:uid="{00000000-0006-0000-0100-000074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S146" authorId="0" shapeId="0" xr:uid="{00000000-0006-0000-0100-000075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G149" authorId="0" shapeId="0" xr:uid="{00000000-0006-0000-0100-000076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49" authorId="0" shapeId="0" xr:uid="{00000000-0006-0000-0100-000077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49" authorId="0" shapeId="0" xr:uid="{00000000-0006-0000-0100-000078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49" authorId="0" shapeId="0" xr:uid="{00000000-0006-0000-0100-000079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49" authorId="0" shapeId="0" xr:uid="{00000000-0006-0000-0100-00007A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49" authorId="0" shapeId="0" xr:uid="{00000000-0006-0000-0100-00007B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49" authorId="0" shapeId="0" xr:uid="{00000000-0006-0000-0100-00007C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49" authorId="0" shapeId="0" xr:uid="{00000000-0006-0000-0100-00007D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49" authorId="0" shapeId="0" xr:uid="{00000000-0006-0000-0100-00007E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49" authorId="0" shapeId="0" xr:uid="{00000000-0006-0000-0100-00007F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49" authorId="0" shapeId="0" xr:uid="{00000000-0006-0000-0100-000080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49" authorId="0" shapeId="0" xr:uid="{00000000-0006-0000-0100-000081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49" authorId="0" shapeId="0" xr:uid="{00000000-0006-0000-0100-000082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50" authorId="0" shapeId="0" xr:uid="{00000000-0006-0000-0100-000083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50" authorId="0" shapeId="0" xr:uid="{00000000-0006-0000-0100-000084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50" authorId="0" shapeId="0" xr:uid="{00000000-0006-0000-0100-000085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50" authorId="0" shapeId="0" xr:uid="{00000000-0006-0000-0100-000086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50" authorId="0" shapeId="0" xr:uid="{00000000-0006-0000-0100-000087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50" authorId="0" shapeId="0" xr:uid="{00000000-0006-0000-0100-000088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50" authorId="0" shapeId="0" xr:uid="{00000000-0006-0000-0100-000089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50" authorId="0" shapeId="0" xr:uid="{00000000-0006-0000-0100-00008A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50" authorId="0" shapeId="0" xr:uid="{00000000-0006-0000-0100-00008B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50" authorId="0" shapeId="0" xr:uid="{00000000-0006-0000-0100-00008C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50" authorId="0" shapeId="0" xr:uid="{00000000-0006-0000-0100-00008D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50" authorId="0" shapeId="0" xr:uid="{00000000-0006-0000-0100-00008E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50" authorId="0" shapeId="0" xr:uid="{00000000-0006-0000-0100-00008F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51" authorId="0" shapeId="0" xr:uid="{00000000-0006-0000-0100-000090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51" authorId="0" shapeId="0" xr:uid="{00000000-0006-0000-0100-000091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51" authorId="0" shapeId="0" xr:uid="{00000000-0006-0000-0100-000092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51" authorId="0" shapeId="0" xr:uid="{00000000-0006-0000-0100-000093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51" authorId="0" shapeId="0" xr:uid="{00000000-0006-0000-0100-000094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51" authorId="0" shapeId="0" xr:uid="{00000000-0006-0000-0100-000095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51" authorId="0" shapeId="0" xr:uid="{00000000-0006-0000-0100-000096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51" authorId="0" shapeId="0" xr:uid="{00000000-0006-0000-0100-000097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51" authorId="0" shapeId="0" xr:uid="{00000000-0006-0000-0100-000098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51" authorId="0" shapeId="0" xr:uid="{00000000-0006-0000-0100-000099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51" authorId="0" shapeId="0" xr:uid="{00000000-0006-0000-0100-00009A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51" authorId="0" shapeId="0" xr:uid="{00000000-0006-0000-0100-00009B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51" authorId="0" shapeId="0" xr:uid="{00000000-0006-0000-0100-00009C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52" authorId="0" shapeId="0" xr:uid="{00000000-0006-0000-0100-00009D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52" authorId="0" shapeId="0" xr:uid="{00000000-0006-0000-0100-00009E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52" authorId="0" shapeId="0" xr:uid="{00000000-0006-0000-0100-00009F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52" authorId="0" shapeId="0" xr:uid="{00000000-0006-0000-0100-0000A0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52" authorId="0" shapeId="0" xr:uid="{00000000-0006-0000-0100-0000A1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52" authorId="0" shapeId="0" xr:uid="{00000000-0006-0000-0100-0000A2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52" authorId="0" shapeId="0" xr:uid="{00000000-0006-0000-0100-0000A3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52" authorId="0" shapeId="0" xr:uid="{00000000-0006-0000-0100-0000A4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52" authorId="0" shapeId="0" xr:uid="{00000000-0006-0000-0100-0000A5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52" authorId="0" shapeId="0" xr:uid="{00000000-0006-0000-0100-0000A6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52" authorId="0" shapeId="0" xr:uid="{00000000-0006-0000-0100-0000A7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52" authorId="0" shapeId="0" xr:uid="{00000000-0006-0000-0100-0000A8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52" authorId="0" shapeId="0" xr:uid="{00000000-0006-0000-0100-0000A9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53" authorId="0" shapeId="0" xr:uid="{00000000-0006-0000-0100-0000AA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53" authorId="0" shapeId="0" xr:uid="{00000000-0006-0000-0100-0000AB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53" authorId="0" shapeId="0" xr:uid="{00000000-0006-0000-0100-0000AC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53" authorId="0" shapeId="0" xr:uid="{00000000-0006-0000-0100-0000AD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53" authorId="0" shapeId="0" xr:uid="{00000000-0006-0000-0100-0000AE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53" authorId="0" shapeId="0" xr:uid="{00000000-0006-0000-0100-0000AF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53" authorId="0" shapeId="0" xr:uid="{00000000-0006-0000-0100-0000B0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53" authorId="0" shapeId="0" xr:uid="{00000000-0006-0000-0100-0000B1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53" authorId="0" shapeId="0" xr:uid="{00000000-0006-0000-0100-0000B2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53" authorId="0" shapeId="0" xr:uid="{00000000-0006-0000-0100-0000B3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53" authorId="0" shapeId="0" xr:uid="{00000000-0006-0000-0100-0000B4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53" authorId="0" shapeId="0" xr:uid="{00000000-0006-0000-0100-0000B5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53" authorId="0" shapeId="0" xr:uid="{00000000-0006-0000-0100-0000B6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54" authorId="0" shapeId="0" xr:uid="{00000000-0006-0000-0100-0000B7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54" authorId="0" shapeId="0" xr:uid="{00000000-0006-0000-0100-0000B8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54" authorId="0" shapeId="0" xr:uid="{00000000-0006-0000-0100-0000B9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54" authorId="0" shapeId="0" xr:uid="{00000000-0006-0000-0100-0000BA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54" authorId="0" shapeId="0" xr:uid="{00000000-0006-0000-0100-0000BB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54" authorId="0" shapeId="0" xr:uid="{00000000-0006-0000-0100-0000BC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54" authorId="0" shapeId="0" xr:uid="{00000000-0006-0000-0100-0000BD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54" authorId="0" shapeId="0" xr:uid="{00000000-0006-0000-0100-0000BE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54" authorId="0" shapeId="0" xr:uid="{00000000-0006-0000-0100-0000BF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54" authorId="0" shapeId="0" xr:uid="{00000000-0006-0000-0100-0000C0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54" authorId="0" shapeId="0" xr:uid="{00000000-0006-0000-0100-0000C1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54" authorId="0" shapeId="0" xr:uid="{00000000-0006-0000-0100-0000C2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54" authorId="0" shapeId="0" xr:uid="{00000000-0006-0000-0100-0000C3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55" authorId="0" shapeId="0" xr:uid="{00000000-0006-0000-0100-0000C4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55" authorId="0" shapeId="0" xr:uid="{00000000-0006-0000-0100-0000C5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55" authorId="0" shapeId="0" xr:uid="{00000000-0006-0000-0100-0000C6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55" authorId="0" shapeId="0" xr:uid="{00000000-0006-0000-0100-0000C7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55" authorId="0" shapeId="0" xr:uid="{00000000-0006-0000-0100-0000C8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55" authorId="0" shapeId="0" xr:uid="{00000000-0006-0000-0100-0000C9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55" authorId="0" shapeId="0" xr:uid="{00000000-0006-0000-0100-0000CA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55" authorId="0" shapeId="0" xr:uid="{00000000-0006-0000-0100-0000CB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55" authorId="0" shapeId="0" xr:uid="{00000000-0006-0000-0100-0000CC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55" authorId="0" shapeId="0" xr:uid="{00000000-0006-0000-0100-0000CD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55" authorId="0" shapeId="0" xr:uid="{00000000-0006-0000-0100-0000CE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55" authorId="0" shapeId="0" xr:uid="{00000000-0006-0000-0100-0000CF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55" authorId="0" shapeId="0" xr:uid="{00000000-0006-0000-0100-0000D0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56" authorId="0" shapeId="0" xr:uid="{00000000-0006-0000-0100-0000D1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56" authorId="0" shapeId="0" xr:uid="{00000000-0006-0000-0100-0000D2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56" authorId="0" shapeId="0" xr:uid="{00000000-0006-0000-0100-0000D3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56" authorId="0" shapeId="0" xr:uid="{00000000-0006-0000-0100-0000D4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56" authorId="0" shapeId="0" xr:uid="{00000000-0006-0000-0100-0000D5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56" authorId="0" shapeId="0" xr:uid="{00000000-0006-0000-0100-0000D6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56" authorId="0" shapeId="0" xr:uid="{00000000-0006-0000-0100-0000D7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56" authorId="0" shapeId="0" xr:uid="{00000000-0006-0000-0100-0000D8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56" authorId="0" shapeId="0" xr:uid="{00000000-0006-0000-0100-0000D9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56" authorId="0" shapeId="0" xr:uid="{00000000-0006-0000-0100-0000DA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56" authorId="0" shapeId="0" xr:uid="{00000000-0006-0000-0100-0000DB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56" authorId="0" shapeId="0" xr:uid="{00000000-0006-0000-0100-0000DC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56" authorId="0" shapeId="0" xr:uid="{00000000-0006-0000-0100-0000DD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57" authorId="0" shapeId="0" xr:uid="{00000000-0006-0000-0100-0000DE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57" authorId="0" shapeId="0" xr:uid="{00000000-0006-0000-0100-0000DF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57" authorId="0" shapeId="0" xr:uid="{00000000-0006-0000-0100-0000E0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57" authorId="0" shapeId="0" xr:uid="{00000000-0006-0000-0100-0000E1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57" authorId="0" shapeId="0" xr:uid="{00000000-0006-0000-0100-0000E2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57" authorId="0" shapeId="0" xr:uid="{00000000-0006-0000-0100-0000E3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57" authorId="0" shapeId="0" xr:uid="{00000000-0006-0000-0100-0000E4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57" authorId="0" shapeId="0" xr:uid="{00000000-0006-0000-0100-0000E5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57" authorId="0" shapeId="0" xr:uid="{00000000-0006-0000-0100-0000E6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57" authorId="0" shapeId="0" xr:uid="{00000000-0006-0000-0100-0000E7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57" authorId="0" shapeId="0" xr:uid="{00000000-0006-0000-0100-0000E8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57" authorId="0" shapeId="0" xr:uid="{00000000-0006-0000-0100-0000E9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57" authorId="0" shapeId="0" xr:uid="{00000000-0006-0000-0100-0000EA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58" authorId="0" shapeId="0" xr:uid="{00000000-0006-0000-0100-0000EB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58" authorId="0" shapeId="0" xr:uid="{00000000-0006-0000-0100-0000EC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58" authorId="0" shapeId="0" xr:uid="{00000000-0006-0000-0100-0000ED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58" authorId="0" shapeId="0" xr:uid="{00000000-0006-0000-0100-0000EE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58" authorId="0" shapeId="0" xr:uid="{00000000-0006-0000-0100-0000EF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58" authorId="0" shapeId="0" xr:uid="{00000000-0006-0000-0100-0000F0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58" authorId="0" shapeId="0" xr:uid="{00000000-0006-0000-0100-0000F1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58" authorId="0" shapeId="0" xr:uid="{00000000-0006-0000-0100-0000F2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58" authorId="0" shapeId="0" xr:uid="{00000000-0006-0000-0100-0000F3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58" authorId="0" shapeId="0" xr:uid="{00000000-0006-0000-0100-0000F4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58" authorId="0" shapeId="0" xr:uid="{00000000-0006-0000-0100-0000F5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58" authorId="0" shapeId="0" xr:uid="{00000000-0006-0000-0100-0000F6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58" authorId="0" shapeId="0" xr:uid="{00000000-0006-0000-0100-0000F7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59" authorId="0" shapeId="0" xr:uid="{00000000-0006-0000-0100-0000F8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59" authorId="0" shapeId="0" xr:uid="{00000000-0006-0000-0100-0000F9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59" authorId="0" shapeId="0" xr:uid="{00000000-0006-0000-0100-0000FA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59" authorId="0" shapeId="0" xr:uid="{00000000-0006-0000-0100-0000FB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59" authorId="0" shapeId="0" xr:uid="{00000000-0006-0000-0100-0000FC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59" authorId="0" shapeId="0" xr:uid="{00000000-0006-0000-0100-0000FD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59" authorId="0" shapeId="0" xr:uid="{00000000-0006-0000-0100-0000FE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59" authorId="0" shapeId="0" xr:uid="{00000000-0006-0000-0100-0000FF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59" authorId="0" shapeId="0" xr:uid="{00000000-0006-0000-0100-000000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59" authorId="0" shapeId="0" xr:uid="{00000000-0006-0000-0100-000001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59" authorId="0" shapeId="0" xr:uid="{00000000-0006-0000-0100-000002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59" authorId="0" shapeId="0" xr:uid="{00000000-0006-0000-0100-000003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59" authorId="0" shapeId="0" xr:uid="{00000000-0006-0000-0100-000004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60" authorId="0" shapeId="0" xr:uid="{00000000-0006-0000-0100-000005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60" authorId="0" shapeId="0" xr:uid="{00000000-0006-0000-0100-000006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60" authorId="0" shapeId="0" xr:uid="{00000000-0006-0000-0100-000007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60" authorId="0" shapeId="0" xr:uid="{00000000-0006-0000-0100-000008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60" authorId="0" shapeId="0" xr:uid="{00000000-0006-0000-0100-000009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60" authorId="0" shapeId="0" xr:uid="{00000000-0006-0000-0100-00000A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60" authorId="0" shapeId="0" xr:uid="{00000000-0006-0000-0100-00000B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60" authorId="0" shapeId="0" xr:uid="{00000000-0006-0000-0100-00000C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60" authorId="0" shapeId="0" xr:uid="{00000000-0006-0000-0100-00000D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60" authorId="0" shapeId="0" xr:uid="{00000000-0006-0000-0100-00000E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60" authorId="0" shapeId="0" xr:uid="{00000000-0006-0000-0100-00000F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60" authorId="0" shapeId="0" xr:uid="{00000000-0006-0000-0100-000010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60" authorId="0" shapeId="0" xr:uid="{00000000-0006-0000-0100-000011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61" authorId="0" shapeId="0" xr:uid="{00000000-0006-0000-0100-000012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61" authorId="0" shapeId="0" xr:uid="{00000000-0006-0000-0100-000013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61" authorId="0" shapeId="0" xr:uid="{00000000-0006-0000-0100-000014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61" authorId="0" shapeId="0" xr:uid="{00000000-0006-0000-0100-000015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61" authorId="0" shapeId="0" xr:uid="{00000000-0006-0000-0100-000016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61" authorId="0" shapeId="0" xr:uid="{00000000-0006-0000-0100-000017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61" authorId="0" shapeId="0" xr:uid="{00000000-0006-0000-0100-000018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61" authorId="0" shapeId="0" xr:uid="{00000000-0006-0000-0100-000019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61" authorId="0" shapeId="0" xr:uid="{00000000-0006-0000-0100-00001A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61" authorId="0" shapeId="0" xr:uid="{00000000-0006-0000-0100-00001B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61" authorId="0" shapeId="0" xr:uid="{00000000-0006-0000-0100-00001C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61" authorId="0" shapeId="0" xr:uid="{00000000-0006-0000-0100-00001D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61" authorId="0" shapeId="0" xr:uid="{00000000-0006-0000-0100-00001E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62" authorId="0" shapeId="0" xr:uid="{00000000-0006-0000-0100-00001F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62" authorId="0" shapeId="0" xr:uid="{00000000-0006-0000-0100-000020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62" authorId="0" shapeId="0" xr:uid="{00000000-0006-0000-0100-000021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62" authorId="0" shapeId="0" xr:uid="{00000000-0006-0000-0100-000022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62" authorId="0" shapeId="0" xr:uid="{00000000-0006-0000-0100-000023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62" authorId="0" shapeId="0" xr:uid="{00000000-0006-0000-0100-000024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62" authorId="0" shapeId="0" xr:uid="{00000000-0006-0000-0100-000025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62" authorId="0" shapeId="0" xr:uid="{00000000-0006-0000-0100-000026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62" authorId="0" shapeId="0" xr:uid="{00000000-0006-0000-0100-000027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62" authorId="0" shapeId="0" xr:uid="{00000000-0006-0000-0100-000028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62" authorId="0" shapeId="0" xr:uid="{00000000-0006-0000-0100-000029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62" authorId="0" shapeId="0" xr:uid="{00000000-0006-0000-0100-00002A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62" authorId="0" shapeId="0" xr:uid="{00000000-0006-0000-0100-00002B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63" authorId="0" shapeId="0" xr:uid="{00000000-0006-0000-0100-00002C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63" authorId="0" shapeId="0" xr:uid="{00000000-0006-0000-0100-00002D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63" authorId="0" shapeId="0" xr:uid="{00000000-0006-0000-0100-00002E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63" authorId="0" shapeId="0" xr:uid="{00000000-0006-0000-0100-00002F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63" authorId="0" shapeId="0" xr:uid="{00000000-0006-0000-0100-000030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63" authorId="0" shapeId="0" xr:uid="{00000000-0006-0000-0100-000031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63" authorId="0" shapeId="0" xr:uid="{00000000-0006-0000-0100-000032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63" authorId="0" shapeId="0" xr:uid="{00000000-0006-0000-0100-000033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63" authorId="0" shapeId="0" xr:uid="{00000000-0006-0000-0100-000034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63" authorId="0" shapeId="0" xr:uid="{00000000-0006-0000-0100-000035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63" authorId="0" shapeId="0" xr:uid="{00000000-0006-0000-0100-000036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63" authorId="0" shapeId="0" xr:uid="{00000000-0006-0000-0100-000037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63" authorId="0" shapeId="0" xr:uid="{00000000-0006-0000-0100-000038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G164" authorId="0" shapeId="0" xr:uid="{00000000-0006-0000-0100-000039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H164" authorId="0" shapeId="0" xr:uid="{00000000-0006-0000-0100-00003A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AI164" authorId="0" shapeId="0" xr:uid="{00000000-0006-0000-0100-00003B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AJ164" authorId="0" shapeId="0" xr:uid="{00000000-0006-0000-0100-00003C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AK164" authorId="0" shapeId="0" xr:uid="{00000000-0006-0000-0100-00003D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AL164" authorId="0" shapeId="0" xr:uid="{00000000-0006-0000-0100-00003E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AM164" authorId="0" shapeId="0" xr:uid="{00000000-0006-0000-0100-00003F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AN164" authorId="0" shapeId="0" xr:uid="{00000000-0006-0000-0100-000040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AO164" authorId="0" shapeId="0" xr:uid="{00000000-0006-0000-0100-000041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AP164" authorId="0" shapeId="0" xr:uid="{00000000-0006-0000-0100-000042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AQ164" authorId="0" shapeId="0" xr:uid="{00000000-0006-0000-0100-000043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AR164" authorId="0" shapeId="0" xr:uid="{00000000-0006-0000-0100-000044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AS164" authorId="0" shapeId="0" xr:uid="{00000000-0006-0000-0100-000045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E172" authorId="0" shapeId="0" xr:uid="{00000000-0006-0000-0100-000046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73" authorId="0" shapeId="0" xr:uid="{00000000-0006-0000-0100-000047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74" authorId="0" shapeId="0" xr:uid="{00000000-0006-0000-0100-000048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75" authorId="0" shapeId="0" xr:uid="{00000000-0006-0000-0100-000049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76" authorId="0" shapeId="0" xr:uid="{00000000-0006-0000-0100-00004A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77" authorId="0" shapeId="0" xr:uid="{00000000-0006-0000-0100-00004B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78" authorId="0" shapeId="0" xr:uid="{00000000-0006-0000-0100-00004C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79" authorId="0" shapeId="0" xr:uid="{00000000-0006-0000-0100-00004D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80" authorId="0" shapeId="0" xr:uid="{00000000-0006-0000-0100-00004E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81" authorId="0" shapeId="0" xr:uid="{00000000-0006-0000-0100-00004F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82" authorId="0" shapeId="0" xr:uid="{00000000-0006-0000-0100-000050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83" authorId="0" shapeId="0" xr:uid="{00000000-0006-0000-0100-000051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84" authorId="0" shapeId="0" xr:uid="{00000000-0006-0000-0100-000052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85" authorId="0" shapeId="0" xr:uid="{00000000-0006-0000-0100-000053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86" authorId="0" shapeId="0" xr:uid="{00000000-0006-0000-0100-000054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87" authorId="0" shapeId="0" xr:uid="{00000000-0006-0000-0100-00005502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AE188" authorId="0" shapeId="0" xr:uid="{00000000-0006-0000-0100-000056020000}">
      <text>
        <r>
          <rPr>
            <sz val="8"/>
            <color indexed="81"/>
            <rFont val="Tahoma"/>
            <family val="2"/>
          </rPr>
          <t>coupon vector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B2" authorId="0" shapeId="0" xr:uid="{00000000-0006-0000-0200-000001000000}">
      <text>
        <r>
          <rPr>
            <sz val="8"/>
            <color indexed="81"/>
            <rFont val="Tahoma"/>
            <family val="2"/>
          </rPr>
          <t>reference date</t>
        </r>
      </text>
    </comment>
    <comment ref="B7" authorId="0" shapeId="0" xr:uid="{00000000-0006-0000-0200-00000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8" authorId="0" shapeId="0" xr:uid="{00000000-0006-0000-0200-000003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B9" authorId="0" shapeId="0" xr:uid="{00000000-0006-0000-0200-000004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10" authorId="0" shapeId="0" xr:uid="{00000000-0006-0000-0200-000005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E10" authorId="0" shapeId="0" xr:uid="{00000000-0006-0000-0200-00000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10" authorId="0" shapeId="0" xr:uid="{00000000-0006-0000-0200-000007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10" authorId="0" shapeId="0" xr:uid="{00000000-0006-0000-0200-000008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11" authorId="0" shapeId="0" xr:uid="{00000000-0006-0000-0200-000009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E11" authorId="0" shapeId="0" xr:uid="{00000000-0006-0000-0200-00000A000000}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H11" authorId="0" shapeId="0" xr:uid="{00000000-0006-0000-0200-00000B000000}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N11" authorId="0" shapeId="0" xr:uid="{00000000-0006-0000-0200-00000C000000}">
      <text>
        <r>
          <rPr>
            <sz val="8"/>
            <color indexed="81"/>
            <rFont val="Tahoma"/>
            <family val="2"/>
          </rPr>
          <t>leg object IDs</t>
        </r>
      </text>
    </comment>
    <comment ref="B12" authorId="0" shapeId="0" xr:uid="{00000000-0006-0000-0200-00000D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E12" authorId="0" shapeId="0" xr:uid="{00000000-0006-0000-0200-00000E000000}">
      <text>
        <r>
          <rPr>
            <sz val="8"/>
            <color indexed="81"/>
            <rFont val="Tahoma"/>
            <family val="2"/>
          </rPr>
          <t>Notional Amount</t>
        </r>
      </text>
    </comment>
    <comment ref="H12" authorId="0" shapeId="0" xr:uid="{00000000-0006-0000-0200-00000F000000}">
      <text>
        <r>
          <rPr>
            <sz val="8"/>
            <color indexed="81"/>
            <rFont val="Tahoma"/>
            <family val="2"/>
          </rPr>
          <t>Notional Amount</t>
        </r>
      </text>
    </comment>
    <comment ref="N12" authorId="0" shapeId="0" xr:uid="{00000000-0006-0000-0200-000010000000}">
      <text>
        <r>
          <rPr>
            <sz val="8"/>
            <color indexed="81"/>
            <rFont val="Tahoma"/>
            <family val="2"/>
          </rPr>
          <t>TRUE for payed leg</t>
        </r>
      </text>
    </comment>
    <comment ref="B13" authorId="0" shapeId="0" xr:uid="{00000000-0006-0000-0200-000011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E13" authorId="0" shapeId="0" xr:uid="{00000000-0006-0000-0200-000012000000}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H13" authorId="0" shapeId="0" xr:uid="{00000000-0006-0000-0200-000013000000}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N13" authorId="0" shapeId="0" xr:uid="{00000000-0006-0000-0200-000014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14" authorId="0" shapeId="0" xr:uid="{00000000-0006-0000-0200-000015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E14" authorId="0" shapeId="0" xr:uid="{00000000-0006-0000-0200-000016000000}">
      <text>
        <r>
          <rPr>
            <sz val="8"/>
            <color indexed="81"/>
            <rFont val="Tahoma"/>
            <family val="2"/>
          </rPr>
          <t>the fixed rate</t>
        </r>
      </text>
    </comment>
    <comment ref="H14" authorId="0" shapeId="0" xr:uid="{00000000-0006-0000-0200-000017000000}">
      <text>
        <r>
          <rPr>
            <sz val="8"/>
            <color indexed="81"/>
            <rFont val="Tahoma"/>
            <family val="2"/>
          </rPr>
          <t>the fixed rate</t>
        </r>
      </text>
    </comment>
    <comment ref="N14" authorId="0" shapeId="0" xr:uid="{00000000-0006-0000-0200-00001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15" authorId="0" shapeId="0" xr:uid="{00000000-0006-0000-0200-000019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E15" authorId="0" shapeId="0" xr:uid="{00000000-0006-0000-0200-00001A000000}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H15" authorId="0" shapeId="0" xr:uid="{00000000-0006-0000-0200-00001B000000}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B16" authorId="0" shapeId="0" xr:uid="{00000000-0006-0000-0200-00001C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E16" authorId="0" shapeId="0" xr:uid="{00000000-0006-0000-0200-00001D000000}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H16" authorId="0" shapeId="0" xr:uid="{00000000-0006-0000-0200-00001E000000}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B17" authorId="0" shapeId="0" xr:uid="{00000000-0006-0000-0200-00001F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E17" authorId="0" shapeId="0" xr:uid="{00000000-0006-0000-0200-000020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H17" authorId="0" shapeId="0" xr:uid="{00000000-0006-0000-0200-000021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18" authorId="0" shapeId="0" xr:uid="{00000000-0006-0000-0200-000022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18" authorId="0" shapeId="0" xr:uid="{00000000-0006-0000-0200-000023000000}">
      <text>
        <r>
          <rPr>
            <sz val="8"/>
            <color indexed="81"/>
            <rFont val="Tahoma"/>
            <family val="2"/>
          </rPr>
          <t>Index Spread</t>
        </r>
      </text>
    </comment>
    <comment ref="H18" authorId="0" shapeId="0" xr:uid="{00000000-0006-0000-0200-000024000000}">
      <text>
        <r>
          <rPr>
            <sz val="8"/>
            <color indexed="81"/>
            <rFont val="Tahoma"/>
            <family val="2"/>
          </rPr>
          <t>Index Spread</t>
        </r>
      </text>
    </comment>
    <comment ref="B19" authorId="0" shapeId="0" xr:uid="{00000000-0006-0000-0200-00002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19" authorId="0" shapeId="0" xr:uid="{00000000-0006-0000-0200-000026000000}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H19" authorId="0" shapeId="0" xr:uid="{00000000-0006-0000-0200-000027000000}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N19" authorId="0" shapeId="0" xr:uid="{00000000-0006-0000-0200-000028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20" authorId="0" shapeId="0" xr:uid="{00000000-0006-0000-0200-000029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20" authorId="0" shapeId="0" xr:uid="{00000000-0006-0000-0200-00002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20" authorId="0" shapeId="0" xr:uid="{00000000-0006-0000-0200-00002B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E21" authorId="0" shapeId="0" xr:uid="{00000000-0006-0000-0200-00002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21" authorId="0" shapeId="0" xr:uid="{00000000-0006-0000-0200-00002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21" authorId="0" shapeId="0" xr:uid="{00000000-0006-0000-0200-00002E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N22" authorId="0" shapeId="0" xr:uid="{00000000-0006-0000-0200-00002F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23" authorId="0" shapeId="0" xr:uid="{00000000-0006-0000-0200-00003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23" authorId="0" shapeId="0" xr:uid="{00000000-0006-0000-0200-000031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24" authorId="0" shapeId="0" xr:uid="{00000000-0006-0000-0200-000032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N24" authorId="0" shapeId="0" xr:uid="{00000000-0006-0000-0200-000033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25" authorId="0" shapeId="0" xr:uid="{00000000-0006-0000-0200-000034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N25" authorId="0" shapeId="0" xr:uid="{00000000-0006-0000-0200-000035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26" authorId="0" shapeId="0" xr:uid="{00000000-0006-0000-0200-000036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26" authorId="0" shapeId="0" xr:uid="{00000000-0006-0000-0200-000037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27" authorId="0" shapeId="0" xr:uid="{00000000-0006-0000-0200-000038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N27" authorId="0" shapeId="0" xr:uid="{00000000-0006-0000-0200-000039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28" authorId="0" shapeId="0" xr:uid="{00000000-0006-0000-0200-00003A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" authorId="0" shapeId="0" xr:uid="{00000000-0006-0000-0200-00003B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29" authorId="0" shapeId="0" xr:uid="{00000000-0006-0000-0200-00003C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N29" authorId="0" shapeId="0" xr:uid="{00000000-0006-0000-0200-00003D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30" authorId="0" shapeId="0" xr:uid="{00000000-0006-0000-0200-00003E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N30" authorId="0" shapeId="0" xr:uid="{00000000-0006-0000-0200-00003F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31" authorId="0" shapeId="0" xr:uid="{00000000-0006-0000-0200-000040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N31" authorId="0" shapeId="0" xr:uid="{00000000-0006-0000-0200-000041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32" authorId="0" shapeId="0" xr:uid="{00000000-0006-0000-0200-000042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N32" authorId="0" shapeId="0" xr:uid="{00000000-0006-0000-0200-000043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33" authorId="0" shapeId="0" xr:uid="{00000000-0006-0000-0200-000044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34" authorId="0" shapeId="0" xr:uid="{00000000-0006-0000-0200-00004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35" authorId="0" shapeId="0" xr:uid="{00000000-0006-0000-0200-00004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36" authorId="0" shapeId="0" xr:uid="{00000000-0006-0000-0200-000047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37" authorId="0" shapeId="0" xr:uid="{00000000-0006-0000-0200-000048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N38" authorId="0" shapeId="0" xr:uid="{00000000-0006-0000-0200-000049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N39" authorId="0" shapeId="0" xr:uid="{00000000-0006-0000-0200-00004A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40" authorId="0" shapeId="0" xr:uid="{00000000-0006-0000-0200-00004B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40" authorId="0" shapeId="0" xr:uid="{00000000-0006-0000-0200-00004C000000}">
      <text>
        <r>
          <rPr>
            <sz val="8"/>
            <color indexed="81"/>
            <rFont val="Tahoma"/>
            <family val="2"/>
          </rPr>
          <t>coupon fixed rates</t>
        </r>
      </text>
    </comment>
    <comment ref="B41" authorId="0" shapeId="0" xr:uid="{00000000-0006-0000-0200-00004D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N41" authorId="0" shapeId="0" xr:uid="{00000000-0006-0000-0200-00004E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42" authorId="0" shapeId="0" xr:uid="{00000000-0006-0000-0200-00004F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N42" authorId="0" shapeId="0" xr:uid="{00000000-0006-0000-0200-00005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43" authorId="0" shapeId="0" xr:uid="{00000000-0006-0000-0200-000051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N43" authorId="0" shapeId="0" xr:uid="{00000000-0006-0000-0200-000052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44" authorId="0" shapeId="0" xr:uid="{00000000-0006-0000-0200-000053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45" authorId="0" shapeId="0" xr:uid="{00000000-0006-0000-0200-000054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46" authorId="0" shapeId="0" xr:uid="{00000000-0006-0000-0200-000055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47" authorId="0" shapeId="0" xr:uid="{00000000-0006-0000-0200-000056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48" authorId="0" shapeId="0" xr:uid="{00000000-0006-0000-0200-000057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49" authorId="0" shapeId="0" xr:uid="{00000000-0006-0000-0200-000058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50" authorId="0" shapeId="0" xr:uid="{00000000-0006-0000-0200-000059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51" authorId="0" shapeId="0" xr:uid="{00000000-0006-0000-0200-00005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52" authorId="0" shapeId="0" xr:uid="{00000000-0006-0000-0200-00005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Y2" authorId="0" shapeId="0" xr:uid="{00000000-0006-0000-0A00-000001000000}">
      <text>
        <r>
          <rPr>
            <sz val="8"/>
            <color indexed="81"/>
            <rFont val="Tahoma"/>
            <family val="2"/>
          </rPr>
          <t>reference date</t>
        </r>
      </text>
    </comment>
    <comment ref="BK2" authorId="0" shapeId="0" xr:uid="{00000000-0006-0000-0A00-00000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2" authorId="0" shapeId="0" xr:uid="{00000000-0006-0000-0A00-000003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2" authorId="0" shapeId="0" xr:uid="{00000000-0006-0000-0A00-000004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2" authorId="0" shapeId="0" xr:uid="{00000000-0006-0000-0A00-000005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2" authorId="0" shapeId="0" xr:uid="{00000000-0006-0000-0A00-000006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2" authorId="0" shapeId="0" xr:uid="{00000000-0006-0000-0A00-000007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2" authorId="0" shapeId="0" xr:uid="{00000000-0006-0000-0A00-000008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2" authorId="0" shapeId="0" xr:uid="{00000000-0006-0000-0A00-000009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2" authorId="0" shapeId="0" xr:uid="{00000000-0006-0000-0A00-00000A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2" authorId="0" shapeId="0" xr:uid="{00000000-0006-0000-0A00-00000B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2" authorId="0" shapeId="0" xr:uid="{00000000-0006-0000-0A00-00000C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2" authorId="0" shapeId="0" xr:uid="{00000000-0006-0000-0A00-00000D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2" authorId="0" shapeId="0" xr:uid="{00000000-0006-0000-0A00-00000E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2" authorId="0" shapeId="0" xr:uid="{00000000-0006-0000-0A00-00000F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2" authorId="0" shapeId="0" xr:uid="{00000000-0006-0000-0A00-00001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2" authorId="0" shapeId="0" xr:uid="{00000000-0006-0000-0A00-000011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2" authorId="0" shapeId="0" xr:uid="{00000000-0006-0000-0A00-000012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2" authorId="0" shapeId="0" xr:uid="{00000000-0006-0000-0A00-000013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2" authorId="0" shapeId="0" xr:uid="{00000000-0006-0000-0A00-000014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2" authorId="0" shapeId="0" xr:uid="{00000000-0006-0000-0A00-000015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2" authorId="0" shapeId="0" xr:uid="{00000000-0006-0000-0A00-000016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2" authorId="0" shapeId="0" xr:uid="{00000000-0006-0000-0A00-000017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2" authorId="0" shapeId="0" xr:uid="{00000000-0006-0000-0A00-000018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2" authorId="0" shapeId="0" xr:uid="{00000000-0006-0000-0A00-000019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2" authorId="0" shapeId="0" xr:uid="{00000000-0006-0000-0A00-00001A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2" authorId="0" shapeId="0" xr:uid="{00000000-0006-0000-0A00-00001B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2" authorId="0" shapeId="0" xr:uid="{00000000-0006-0000-0A00-00001C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2" authorId="0" shapeId="0" xr:uid="{00000000-0006-0000-0A00-00001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2" authorId="0" shapeId="0" xr:uid="{00000000-0006-0000-0A00-00001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2" authorId="0" shapeId="0" xr:uid="{00000000-0006-0000-0A00-00001F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2" authorId="0" shapeId="0" xr:uid="{00000000-0006-0000-0A00-000020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2" authorId="0" shapeId="0" xr:uid="{00000000-0006-0000-0A00-000021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2" authorId="0" shapeId="0" xr:uid="{00000000-0006-0000-0A00-000022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2" authorId="0" shapeId="0" xr:uid="{00000000-0006-0000-0A00-000023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2" authorId="0" shapeId="0" xr:uid="{00000000-0006-0000-0A00-000024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2" authorId="0" shapeId="0" xr:uid="{00000000-0006-0000-0A00-000025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2" authorId="0" shapeId="0" xr:uid="{00000000-0006-0000-0A00-000026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2" authorId="0" shapeId="0" xr:uid="{00000000-0006-0000-0A00-000027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2" authorId="0" shapeId="0" xr:uid="{00000000-0006-0000-0A00-000028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2" authorId="0" shapeId="0" xr:uid="{00000000-0006-0000-0A00-000029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2" authorId="0" shapeId="0" xr:uid="{00000000-0006-0000-0A00-00002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2" authorId="0" shapeId="0" xr:uid="{00000000-0006-0000-0A00-00002B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2" authorId="0" shapeId="0" xr:uid="{00000000-0006-0000-0A00-00002C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2" authorId="0" shapeId="0" xr:uid="{00000000-0006-0000-0A00-00002D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2" authorId="0" shapeId="0" xr:uid="{00000000-0006-0000-0A00-00002E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2" authorId="0" shapeId="0" xr:uid="{00000000-0006-0000-0A00-00002F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2" authorId="0" shapeId="0" xr:uid="{00000000-0006-0000-0A00-000030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2" authorId="0" shapeId="0" xr:uid="{00000000-0006-0000-0A00-000031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2" authorId="0" shapeId="0" xr:uid="{00000000-0006-0000-0A00-000032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2" authorId="0" shapeId="0" xr:uid="{00000000-0006-0000-0A00-000033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2" authorId="0" shapeId="0" xr:uid="{00000000-0006-0000-0A00-000034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2" authorId="0" shapeId="0" xr:uid="{00000000-0006-0000-0A00-000035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2" authorId="0" shapeId="0" xr:uid="{00000000-0006-0000-0A00-000036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2" authorId="0" shapeId="0" xr:uid="{00000000-0006-0000-0A00-000037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3" authorId="0" shapeId="0" xr:uid="{00000000-0006-0000-0A00-000038000000}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BK3" authorId="0" shapeId="0" xr:uid="{00000000-0006-0000-0A00-00003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3" authorId="0" shapeId="0" xr:uid="{00000000-0006-0000-0A00-00003A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3" authorId="0" shapeId="0" xr:uid="{00000000-0006-0000-0A00-00003B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3" authorId="0" shapeId="0" xr:uid="{00000000-0006-0000-0A00-00003C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3" authorId="0" shapeId="0" xr:uid="{00000000-0006-0000-0A00-00003D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3" authorId="0" shapeId="0" xr:uid="{00000000-0006-0000-0A00-00003E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3" authorId="0" shapeId="0" xr:uid="{00000000-0006-0000-0A00-00003F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3" authorId="0" shapeId="0" xr:uid="{00000000-0006-0000-0A00-000040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3" authorId="0" shapeId="0" xr:uid="{00000000-0006-0000-0A00-000041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3" authorId="0" shapeId="0" xr:uid="{00000000-0006-0000-0A00-000042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3" authorId="0" shapeId="0" xr:uid="{00000000-0006-0000-0A00-000043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3" authorId="0" shapeId="0" xr:uid="{00000000-0006-0000-0A00-000044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3" authorId="0" shapeId="0" xr:uid="{00000000-0006-0000-0A00-00004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3" authorId="0" shapeId="0" xr:uid="{00000000-0006-0000-0A00-00004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3" authorId="0" shapeId="0" xr:uid="{00000000-0006-0000-0A00-000047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3" authorId="0" shapeId="0" xr:uid="{00000000-0006-0000-0A00-000048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3" authorId="0" shapeId="0" xr:uid="{00000000-0006-0000-0A00-000049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3" authorId="0" shapeId="0" xr:uid="{00000000-0006-0000-0A00-00004A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3" authorId="0" shapeId="0" xr:uid="{00000000-0006-0000-0A00-00004B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3" authorId="0" shapeId="0" xr:uid="{00000000-0006-0000-0A00-00004C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3" authorId="0" shapeId="0" xr:uid="{00000000-0006-0000-0A00-00004D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3" authorId="0" shapeId="0" xr:uid="{00000000-0006-0000-0A00-00004E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3" authorId="0" shapeId="0" xr:uid="{00000000-0006-0000-0A00-00004F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3" authorId="0" shapeId="0" xr:uid="{00000000-0006-0000-0A00-000050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3" authorId="0" shapeId="0" xr:uid="{00000000-0006-0000-0A00-000051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3" authorId="0" shapeId="0" xr:uid="{00000000-0006-0000-0A00-000052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3" authorId="0" shapeId="0" xr:uid="{00000000-0006-0000-0A00-00005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3" authorId="0" shapeId="0" xr:uid="{00000000-0006-0000-0A00-00005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3" authorId="0" shapeId="0" xr:uid="{00000000-0006-0000-0A00-000055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3" authorId="0" shapeId="0" xr:uid="{00000000-0006-0000-0A00-000056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3" authorId="0" shapeId="0" xr:uid="{00000000-0006-0000-0A00-000057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3" authorId="0" shapeId="0" xr:uid="{00000000-0006-0000-0A00-000058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3" authorId="0" shapeId="0" xr:uid="{00000000-0006-0000-0A00-000059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3" authorId="0" shapeId="0" xr:uid="{00000000-0006-0000-0A00-00005A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3" authorId="0" shapeId="0" xr:uid="{00000000-0006-0000-0A00-00005B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3" authorId="0" shapeId="0" xr:uid="{00000000-0006-0000-0A00-00005C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3" authorId="0" shapeId="0" xr:uid="{00000000-0006-0000-0A00-00005D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3" authorId="0" shapeId="0" xr:uid="{00000000-0006-0000-0A00-00005E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3" authorId="0" shapeId="0" xr:uid="{00000000-0006-0000-0A00-00005F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3" authorId="0" shapeId="0" xr:uid="{00000000-0006-0000-0A00-00006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3" authorId="0" shapeId="0" xr:uid="{00000000-0006-0000-0A00-000061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3" authorId="0" shapeId="0" xr:uid="{00000000-0006-0000-0A00-00006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3" authorId="0" shapeId="0" xr:uid="{00000000-0006-0000-0A00-000063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3" authorId="0" shapeId="0" xr:uid="{00000000-0006-0000-0A00-000064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3" authorId="0" shapeId="0" xr:uid="{00000000-0006-0000-0A00-000065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3" authorId="0" shapeId="0" xr:uid="{00000000-0006-0000-0A00-000066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3" authorId="0" shapeId="0" xr:uid="{00000000-0006-0000-0A00-000067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3" authorId="0" shapeId="0" xr:uid="{00000000-0006-0000-0A00-000068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3" authorId="0" shapeId="0" xr:uid="{00000000-0006-0000-0A00-000069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3" authorId="0" shapeId="0" xr:uid="{00000000-0006-0000-0A00-00006A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3" authorId="0" shapeId="0" xr:uid="{00000000-0006-0000-0A00-00006B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3" authorId="0" shapeId="0" xr:uid="{00000000-0006-0000-0A00-00006C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3" authorId="0" shapeId="0" xr:uid="{00000000-0006-0000-0A00-00006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3" authorId="0" shapeId="0" xr:uid="{00000000-0006-0000-0A00-00006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4" authorId="0" shapeId="0" xr:uid="{00000000-0006-0000-0A00-00006F000000}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BK4" authorId="0" shapeId="0" xr:uid="{00000000-0006-0000-0A00-00007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4" authorId="0" shapeId="0" xr:uid="{00000000-0006-0000-0A00-000071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4" authorId="0" shapeId="0" xr:uid="{00000000-0006-0000-0A00-000072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4" authorId="0" shapeId="0" xr:uid="{00000000-0006-0000-0A00-000073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4" authorId="0" shapeId="0" xr:uid="{00000000-0006-0000-0A00-000074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4" authorId="0" shapeId="0" xr:uid="{00000000-0006-0000-0A00-000075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4" authorId="0" shapeId="0" xr:uid="{00000000-0006-0000-0A00-000076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4" authorId="0" shapeId="0" xr:uid="{00000000-0006-0000-0A00-000077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4" authorId="0" shapeId="0" xr:uid="{00000000-0006-0000-0A00-000078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4" authorId="0" shapeId="0" xr:uid="{00000000-0006-0000-0A00-000079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4" authorId="0" shapeId="0" xr:uid="{00000000-0006-0000-0A00-00007A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4" authorId="0" shapeId="0" xr:uid="{00000000-0006-0000-0A00-00007B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4" authorId="0" shapeId="0" xr:uid="{00000000-0006-0000-0A00-00007C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4" authorId="0" shapeId="0" xr:uid="{00000000-0006-0000-0A00-00007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4" authorId="0" shapeId="0" xr:uid="{00000000-0006-0000-0A00-00007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4" authorId="0" shapeId="0" xr:uid="{00000000-0006-0000-0A00-00007F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4" authorId="0" shapeId="0" xr:uid="{00000000-0006-0000-0A00-000080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4" authorId="0" shapeId="0" xr:uid="{00000000-0006-0000-0A00-000081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4" authorId="0" shapeId="0" xr:uid="{00000000-0006-0000-0A00-000082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4" authorId="0" shapeId="0" xr:uid="{00000000-0006-0000-0A00-000083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4" authorId="0" shapeId="0" xr:uid="{00000000-0006-0000-0A00-000084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4" authorId="0" shapeId="0" xr:uid="{00000000-0006-0000-0A00-000085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4" authorId="0" shapeId="0" xr:uid="{00000000-0006-0000-0A00-000086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4" authorId="0" shapeId="0" xr:uid="{00000000-0006-0000-0A00-000087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4" authorId="0" shapeId="0" xr:uid="{00000000-0006-0000-0A00-000088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4" authorId="0" shapeId="0" xr:uid="{00000000-0006-0000-0A00-000089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4" authorId="0" shapeId="0" xr:uid="{00000000-0006-0000-0A00-00008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4" authorId="0" shapeId="0" xr:uid="{00000000-0006-0000-0A00-00008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4" authorId="0" shapeId="0" xr:uid="{00000000-0006-0000-0A00-00008C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4" authorId="0" shapeId="0" xr:uid="{00000000-0006-0000-0A00-00008D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4" authorId="0" shapeId="0" xr:uid="{00000000-0006-0000-0A00-00008E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4" authorId="0" shapeId="0" xr:uid="{00000000-0006-0000-0A00-00008F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4" authorId="0" shapeId="0" xr:uid="{00000000-0006-0000-0A00-000090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4" authorId="0" shapeId="0" xr:uid="{00000000-0006-0000-0A00-000091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4" authorId="0" shapeId="0" xr:uid="{00000000-0006-0000-0A00-000092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4" authorId="0" shapeId="0" xr:uid="{00000000-0006-0000-0A00-000093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4" authorId="0" shapeId="0" xr:uid="{00000000-0006-0000-0A00-000094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4" authorId="0" shapeId="0" xr:uid="{00000000-0006-0000-0A00-000095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4" authorId="0" shapeId="0" xr:uid="{00000000-0006-0000-0A00-000096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4" authorId="0" shapeId="0" xr:uid="{00000000-0006-0000-0A00-00009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4" authorId="0" shapeId="0" xr:uid="{00000000-0006-0000-0A00-00009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4" authorId="0" shapeId="0" xr:uid="{00000000-0006-0000-0A00-00009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4" authorId="0" shapeId="0" xr:uid="{00000000-0006-0000-0A00-00009A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4" authorId="0" shapeId="0" xr:uid="{00000000-0006-0000-0A00-00009B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4" authorId="0" shapeId="0" xr:uid="{00000000-0006-0000-0A00-00009C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4" authorId="0" shapeId="0" xr:uid="{00000000-0006-0000-0A00-00009D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4" authorId="0" shapeId="0" xr:uid="{00000000-0006-0000-0A00-00009E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4" authorId="0" shapeId="0" xr:uid="{00000000-0006-0000-0A00-00009F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4" authorId="0" shapeId="0" xr:uid="{00000000-0006-0000-0A00-0000A0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4" authorId="0" shapeId="0" xr:uid="{00000000-0006-0000-0A00-0000A1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4" authorId="0" shapeId="0" xr:uid="{00000000-0006-0000-0A00-0000A2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4" authorId="0" shapeId="0" xr:uid="{00000000-0006-0000-0A00-0000A3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4" authorId="0" shapeId="0" xr:uid="{00000000-0006-0000-0A00-0000A4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4" authorId="0" shapeId="0" xr:uid="{00000000-0006-0000-0A00-0000A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5" authorId="0" shapeId="0" xr:uid="{00000000-0006-0000-0A00-0000A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5" authorId="0" shapeId="0" xr:uid="{00000000-0006-0000-0A00-0000A7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5" authorId="0" shapeId="0" xr:uid="{00000000-0006-0000-0A00-0000A8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5" authorId="0" shapeId="0" xr:uid="{00000000-0006-0000-0A00-0000A9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5" authorId="0" shapeId="0" xr:uid="{00000000-0006-0000-0A00-0000AA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5" authorId="0" shapeId="0" xr:uid="{00000000-0006-0000-0A00-0000AB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5" authorId="0" shapeId="0" xr:uid="{00000000-0006-0000-0A00-0000AC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5" authorId="0" shapeId="0" xr:uid="{00000000-0006-0000-0A00-0000AD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5" authorId="0" shapeId="0" xr:uid="{00000000-0006-0000-0A00-0000AE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5" authorId="0" shapeId="0" xr:uid="{00000000-0006-0000-0A00-0000AF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5" authorId="0" shapeId="0" xr:uid="{00000000-0006-0000-0A00-0000B0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5" authorId="0" shapeId="0" xr:uid="{00000000-0006-0000-0A00-0000B1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5" authorId="0" shapeId="0" xr:uid="{00000000-0006-0000-0A00-0000B2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5" authorId="0" shapeId="0" xr:uid="{00000000-0006-0000-0A00-0000B3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5" authorId="0" shapeId="0" xr:uid="{00000000-0006-0000-0A00-0000B4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5" authorId="0" shapeId="0" xr:uid="{00000000-0006-0000-0A00-0000B5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5" authorId="0" shapeId="0" xr:uid="{00000000-0006-0000-0A00-0000B6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5" authorId="0" shapeId="0" xr:uid="{00000000-0006-0000-0A00-0000B7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5" authorId="0" shapeId="0" xr:uid="{00000000-0006-0000-0A00-0000B8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5" authorId="0" shapeId="0" xr:uid="{00000000-0006-0000-0A00-0000B9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5" authorId="0" shapeId="0" xr:uid="{00000000-0006-0000-0A00-0000BA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5" authorId="0" shapeId="0" xr:uid="{00000000-0006-0000-0A00-0000BB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5" authorId="0" shapeId="0" xr:uid="{00000000-0006-0000-0A00-0000BC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5" authorId="0" shapeId="0" xr:uid="{00000000-0006-0000-0A00-0000BD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5" authorId="0" shapeId="0" xr:uid="{00000000-0006-0000-0A00-0000BE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5" authorId="0" shapeId="0" xr:uid="{00000000-0006-0000-0A00-0000BF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5" authorId="0" shapeId="0" xr:uid="{00000000-0006-0000-0A00-0000C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5" authorId="0" shapeId="0" xr:uid="{00000000-0006-0000-0A00-0000C1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5" authorId="0" shapeId="0" xr:uid="{00000000-0006-0000-0A00-0000C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5" authorId="0" shapeId="0" xr:uid="{00000000-0006-0000-0A00-0000C3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5" authorId="0" shapeId="0" xr:uid="{00000000-0006-0000-0A00-0000C4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5" authorId="0" shapeId="0" xr:uid="{00000000-0006-0000-0A00-0000C5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5" authorId="0" shapeId="0" xr:uid="{00000000-0006-0000-0A00-0000C6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5" authorId="0" shapeId="0" xr:uid="{00000000-0006-0000-0A00-0000C7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5" authorId="0" shapeId="0" xr:uid="{00000000-0006-0000-0A00-0000C8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5" authorId="0" shapeId="0" xr:uid="{00000000-0006-0000-0A00-0000C9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5" authorId="0" shapeId="0" xr:uid="{00000000-0006-0000-0A00-0000CA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5" authorId="0" shapeId="0" xr:uid="{00000000-0006-0000-0A00-0000CB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5" authorId="0" shapeId="0" xr:uid="{00000000-0006-0000-0A00-0000CC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5" authorId="0" shapeId="0" xr:uid="{00000000-0006-0000-0A00-0000C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5" authorId="0" shapeId="0" xr:uid="{00000000-0006-0000-0A00-0000C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5" authorId="0" shapeId="0" xr:uid="{00000000-0006-0000-0A00-0000CF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5" authorId="0" shapeId="0" xr:uid="{00000000-0006-0000-0A00-0000D0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5" authorId="0" shapeId="0" xr:uid="{00000000-0006-0000-0A00-0000D1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5" authorId="0" shapeId="0" xr:uid="{00000000-0006-0000-0A00-0000D2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5" authorId="0" shapeId="0" xr:uid="{00000000-0006-0000-0A00-0000D3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5" authorId="0" shapeId="0" xr:uid="{00000000-0006-0000-0A00-0000D4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5" authorId="0" shapeId="0" xr:uid="{00000000-0006-0000-0A00-0000D5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5" authorId="0" shapeId="0" xr:uid="{00000000-0006-0000-0A00-0000D6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5" authorId="0" shapeId="0" xr:uid="{00000000-0006-0000-0A00-0000D7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5" authorId="0" shapeId="0" xr:uid="{00000000-0006-0000-0A00-0000D8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5" authorId="0" shapeId="0" xr:uid="{00000000-0006-0000-0A00-0000D9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5" authorId="0" shapeId="0" xr:uid="{00000000-0006-0000-0A00-0000D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5" authorId="0" shapeId="0" xr:uid="{00000000-0006-0000-0A00-0000D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6" authorId="0" shapeId="0" xr:uid="{00000000-0006-0000-0A00-0000DC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6" authorId="0" shapeId="0" xr:uid="{00000000-0006-0000-0A00-0000DD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6" authorId="0" shapeId="0" xr:uid="{00000000-0006-0000-0A00-0000DE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6" authorId="0" shapeId="0" xr:uid="{00000000-0006-0000-0A00-0000DF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6" authorId="0" shapeId="0" xr:uid="{00000000-0006-0000-0A00-0000E0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6" authorId="0" shapeId="0" xr:uid="{00000000-0006-0000-0A00-0000E1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6" authorId="0" shapeId="0" xr:uid="{00000000-0006-0000-0A00-0000E2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6" authorId="0" shapeId="0" xr:uid="{00000000-0006-0000-0A00-0000E3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6" authorId="0" shapeId="0" xr:uid="{00000000-0006-0000-0A00-0000E4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6" authorId="0" shapeId="0" xr:uid="{00000000-0006-0000-0A00-0000E5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6" authorId="0" shapeId="0" xr:uid="{00000000-0006-0000-0A00-0000E6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6" authorId="0" shapeId="0" xr:uid="{00000000-0006-0000-0A00-0000E7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6" authorId="0" shapeId="0" xr:uid="{00000000-0006-0000-0A00-0000E8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6" authorId="0" shapeId="0" xr:uid="{00000000-0006-0000-0A00-0000E9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6" authorId="0" shapeId="0" xr:uid="{00000000-0006-0000-0A00-0000EA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6" authorId="0" shapeId="0" xr:uid="{00000000-0006-0000-0A00-0000EB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6" authorId="0" shapeId="0" xr:uid="{00000000-0006-0000-0A00-0000EC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6" authorId="0" shapeId="0" xr:uid="{00000000-0006-0000-0A00-0000ED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6" authorId="0" shapeId="0" xr:uid="{00000000-0006-0000-0A00-0000EE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6" authorId="0" shapeId="0" xr:uid="{00000000-0006-0000-0A00-0000EF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6" authorId="0" shapeId="0" xr:uid="{00000000-0006-0000-0A00-0000F0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6" authorId="0" shapeId="0" xr:uid="{00000000-0006-0000-0A00-0000F1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6" authorId="0" shapeId="0" xr:uid="{00000000-0006-0000-0A00-0000F2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6" authorId="0" shapeId="0" xr:uid="{00000000-0006-0000-0A00-0000F3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6" authorId="0" shapeId="0" xr:uid="{00000000-0006-0000-0A00-0000F4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6" authorId="0" shapeId="0" xr:uid="{00000000-0006-0000-0A00-0000F5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6" authorId="0" shapeId="0" xr:uid="{00000000-0006-0000-0A00-0000F6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6" authorId="0" shapeId="0" xr:uid="{00000000-0006-0000-0A00-0000F7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6" authorId="0" shapeId="0" xr:uid="{00000000-0006-0000-0A00-0000F8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6" authorId="0" shapeId="0" xr:uid="{00000000-0006-0000-0A00-0000F9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6" authorId="0" shapeId="0" xr:uid="{00000000-0006-0000-0A00-0000FA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6" authorId="0" shapeId="0" xr:uid="{00000000-0006-0000-0A00-0000FB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6" authorId="0" shapeId="0" xr:uid="{00000000-0006-0000-0A00-0000FC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6" authorId="0" shapeId="0" xr:uid="{00000000-0006-0000-0A00-0000FD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6" authorId="0" shapeId="0" xr:uid="{00000000-0006-0000-0A00-0000FE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6" authorId="0" shapeId="0" xr:uid="{00000000-0006-0000-0A00-0000FF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6" authorId="0" shapeId="0" xr:uid="{00000000-0006-0000-0A00-000000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6" authorId="0" shapeId="0" xr:uid="{00000000-0006-0000-0A00-000001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6" authorId="0" shapeId="0" xr:uid="{00000000-0006-0000-0A00-000002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6" authorId="0" shapeId="0" xr:uid="{00000000-0006-0000-0A00-000003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6" authorId="0" shapeId="0" xr:uid="{00000000-0006-0000-0A00-000004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6" authorId="0" shapeId="0" xr:uid="{00000000-0006-0000-0A00-000005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6" authorId="0" shapeId="0" xr:uid="{00000000-0006-0000-0A00-00000601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6" authorId="0" shapeId="0" xr:uid="{00000000-0006-0000-0A00-00000701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6" authorId="0" shapeId="0" xr:uid="{00000000-0006-0000-0A00-000008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6" authorId="0" shapeId="0" xr:uid="{00000000-0006-0000-0A00-000009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6" authorId="0" shapeId="0" xr:uid="{00000000-0006-0000-0A00-00000A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6" authorId="0" shapeId="0" xr:uid="{00000000-0006-0000-0A00-00000B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6" authorId="0" shapeId="0" xr:uid="{00000000-0006-0000-0A00-00000C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6" authorId="0" shapeId="0" xr:uid="{00000000-0006-0000-0A00-00000D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6" authorId="0" shapeId="0" xr:uid="{00000000-0006-0000-0A00-00000E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6" authorId="0" shapeId="0" xr:uid="{00000000-0006-0000-0A00-00000F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6" authorId="0" shapeId="0" xr:uid="{00000000-0006-0000-0A00-000010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6" authorId="0" shapeId="0" xr:uid="{00000000-0006-0000-0A00-000011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7" authorId="0" shapeId="0" xr:uid="{00000000-0006-0000-0A00-000012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7" authorId="0" shapeId="0" xr:uid="{00000000-0006-0000-0A00-000013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7" authorId="0" shapeId="0" xr:uid="{00000000-0006-0000-0A00-000014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7" authorId="0" shapeId="0" xr:uid="{00000000-0006-0000-0A00-000015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7" authorId="0" shapeId="0" xr:uid="{00000000-0006-0000-0A00-000016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7" authorId="0" shapeId="0" xr:uid="{00000000-0006-0000-0A00-000017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7" authorId="0" shapeId="0" xr:uid="{00000000-0006-0000-0A00-000018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7" authorId="0" shapeId="0" xr:uid="{00000000-0006-0000-0A00-000019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7" authorId="0" shapeId="0" xr:uid="{00000000-0006-0000-0A00-00001A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7" authorId="0" shapeId="0" xr:uid="{00000000-0006-0000-0A00-00001B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7" authorId="0" shapeId="0" xr:uid="{00000000-0006-0000-0A00-00001C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7" authorId="0" shapeId="0" xr:uid="{00000000-0006-0000-0A00-00001D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7" authorId="0" shapeId="0" xr:uid="{00000000-0006-0000-0A00-00001E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7" authorId="0" shapeId="0" xr:uid="{00000000-0006-0000-0A00-00001F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7" authorId="0" shapeId="0" xr:uid="{00000000-0006-0000-0A00-000020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7" authorId="0" shapeId="0" xr:uid="{00000000-0006-0000-0A00-000021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7" authorId="0" shapeId="0" xr:uid="{00000000-0006-0000-0A00-000022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7" authorId="0" shapeId="0" xr:uid="{00000000-0006-0000-0A00-000023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7" authorId="0" shapeId="0" xr:uid="{00000000-0006-0000-0A00-000024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7" authorId="0" shapeId="0" xr:uid="{00000000-0006-0000-0A00-000025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7" authorId="0" shapeId="0" xr:uid="{00000000-0006-0000-0A00-000026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7" authorId="0" shapeId="0" xr:uid="{00000000-0006-0000-0A00-000027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7" authorId="0" shapeId="0" xr:uid="{00000000-0006-0000-0A00-000028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7" authorId="0" shapeId="0" xr:uid="{00000000-0006-0000-0A00-000029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7" authorId="0" shapeId="0" xr:uid="{00000000-0006-0000-0A00-00002A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7" authorId="0" shapeId="0" xr:uid="{00000000-0006-0000-0A00-00002B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7" authorId="0" shapeId="0" xr:uid="{00000000-0006-0000-0A00-00002C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7" authorId="0" shapeId="0" xr:uid="{00000000-0006-0000-0A00-00002D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7" authorId="0" shapeId="0" xr:uid="{00000000-0006-0000-0A00-00002E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7" authorId="0" shapeId="0" xr:uid="{00000000-0006-0000-0A00-00002F01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7" authorId="0" shapeId="0" xr:uid="{00000000-0006-0000-0A00-00003001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7" authorId="0" shapeId="0" xr:uid="{00000000-0006-0000-0A00-000031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7" authorId="0" shapeId="0" xr:uid="{00000000-0006-0000-0A00-000032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7" authorId="0" shapeId="0" xr:uid="{00000000-0006-0000-0A00-000033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7" authorId="0" shapeId="0" xr:uid="{00000000-0006-0000-0A00-000034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7" authorId="0" shapeId="0" xr:uid="{00000000-0006-0000-0A00-000035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7" authorId="0" shapeId="0" xr:uid="{00000000-0006-0000-0A00-000036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7" authorId="0" shapeId="0" xr:uid="{00000000-0006-0000-0A00-000037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7" authorId="0" shapeId="0" xr:uid="{00000000-0006-0000-0A00-000038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7" authorId="0" shapeId="0" xr:uid="{00000000-0006-0000-0A00-000039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7" authorId="0" shapeId="0" xr:uid="{00000000-0006-0000-0A00-00003A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7" authorId="0" shapeId="0" xr:uid="{00000000-0006-0000-0A00-00003B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7" authorId="0" shapeId="0" xr:uid="{00000000-0006-0000-0A00-00003C01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7" authorId="0" shapeId="0" xr:uid="{00000000-0006-0000-0A00-00003D01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7" authorId="0" shapeId="0" xr:uid="{00000000-0006-0000-0A00-00003E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7" authorId="0" shapeId="0" xr:uid="{00000000-0006-0000-0A00-00003F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7" authorId="0" shapeId="0" xr:uid="{00000000-0006-0000-0A00-000040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7" authorId="0" shapeId="0" xr:uid="{00000000-0006-0000-0A00-000041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7" authorId="0" shapeId="0" xr:uid="{00000000-0006-0000-0A00-000042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7" authorId="0" shapeId="0" xr:uid="{00000000-0006-0000-0A00-000043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7" authorId="0" shapeId="0" xr:uid="{00000000-0006-0000-0A00-000044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7" authorId="0" shapeId="0" xr:uid="{00000000-0006-0000-0A00-000045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7" authorId="0" shapeId="0" xr:uid="{00000000-0006-0000-0A00-000046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7" authorId="0" shapeId="0" xr:uid="{00000000-0006-0000-0A00-000047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8" authorId="0" shapeId="0" xr:uid="{00000000-0006-0000-0A00-000048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8" authorId="0" shapeId="0" xr:uid="{00000000-0006-0000-0A00-000049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8" authorId="0" shapeId="0" xr:uid="{00000000-0006-0000-0A00-00004A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8" authorId="0" shapeId="0" xr:uid="{00000000-0006-0000-0A00-00004B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8" authorId="0" shapeId="0" xr:uid="{00000000-0006-0000-0A00-00004C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8" authorId="0" shapeId="0" xr:uid="{00000000-0006-0000-0A00-00004D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8" authorId="0" shapeId="0" xr:uid="{00000000-0006-0000-0A00-00004E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8" authorId="0" shapeId="0" xr:uid="{00000000-0006-0000-0A00-00004F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8" authorId="0" shapeId="0" xr:uid="{00000000-0006-0000-0A00-000050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8" authorId="0" shapeId="0" xr:uid="{00000000-0006-0000-0A00-000051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8" authorId="0" shapeId="0" xr:uid="{00000000-0006-0000-0A00-000052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8" authorId="0" shapeId="0" xr:uid="{00000000-0006-0000-0A00-000053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8" authorId="0" shapeId="0" xr:uid="{00000000-0006-0000-0A00-000054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8" authorId="0" shapeId="0" xr:uid="{00000000-0006-0000-0A00-000055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8" authorId="0" shapeId="0" xr:uid="{00000000-0006-0000-0A00-000056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8" authorId="0" shapeId="0" xr:uid="{00000000-0006-0000-0A00-000057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8" authorId="0" shapeId="0" xr:uid="{00000000-0006-0000-0A00-000058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8" authorId="0" shapeId="0" xr:uid="{00000000-0006-0000-0A00-000059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8" authorId="0" shapeId="0" xr:uid="{00000000-0006-0000-0A00-00005A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8" authorId="0" shapeId="0" xr:uid="{00000000-0006-0000-0A00-00005B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8" authorId="0" shapeId="0" xr:uid="{00000000-0006-0000-0A00-00005C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8" authorId="0" shapeId="0" xr:uid="{00000000-0006-0000-0A00-00005D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8" authorId="0" shapeId="0" xr:uid="{00000000-0006-0000-0A00-00005E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8" authorId="0" shapeId="0" xr:uid="{00000000-0006-0000-0A00-00005F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8" authorId="0" shapeId="0" xr:uid="{00000000-0006-0000-0A00-000060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8" authorId="0" shapeId="0" xr:uid="{00000000-0006-0000-0A00-000061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8" authorId="0" shapeId="0" xr:uid="{00000000-0006-0000-0A00-000062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8" authorId="0" shapeId="0" xr:uid="{00000000-0006-0000-0A00-000063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8" authorId="0" shapeId="0" xr:uid="{00000000-0006-0000-0A00-000064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8" authorId="0" shapeId="0" xr:uid="{00000000-0006-0000-0A00-00006501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8" authorId="0" shapeId="0" xr:uid="{00000000-0006-0000-0A00-00006601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8" authorId="0" shapeId="0" xr:uid="{00000000-0006-0000-0A00-000067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8" authorId="0" shapeId="0" xr:uid="{00000000-0006-0000-0A00-000068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8" authorId="0" shapeId="0" xr:uid="{00000000-0006-0000-0A00-000069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8" authorId="0" shapeId="0" xr:uid="{00000000-0006-0000-0A00-00006A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8" authorId="0" shapeId="0" xr:uid="{00000000-0006-0000-0A00-00006B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8" authorId="0" shapeId="0" xr:uid="{00000000-0006-0000-0A00-00006C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8" authorId="0" shapeId="0" xr:uid="{00000000-0006-0000-0A00-00006D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8" authorId="0" shapeId="0" xr:uid="{00000000-0006-0000-0A00-00006E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8" authorId="0" shapeId="0" xr:uid="{00000000-0006-0000-0A00-00006F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8" authorId="0" shapeId="0" xr:uid="{00000000-0006-0000-0A00-000070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8" authorId="0" shapeId="0" xr:uid="{00000000-0006-0000-0A00-000071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8" authorId="0" shapeId="0" xr:uid="{00000000-0006-0000-0A00-00007201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8" authorId="0" shapeId="0" xr:uid="{00000000-0006-0000-0A00-00007301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8" authorId="0" shapeId="0" xr:uid="{00000000-0006-0000-0A00-000074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8" authorId="0" shapeId="0" xr:uid="{00000000-0006-0000-0A00-000075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8" authorId="0" shapeId="0" xr:uid="{00000000-0006-0000-0A00-000076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8" authorId="0" shapeId="0" xr:uid="{00000000-0006-0000-0A00-000077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8" authorId="0" shapeId="0" xr:uid="{00000000-0006-0000-0A00-000078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8" authorId="0" shapeId="0" xr:uid="{00000000-0006-0000-0A00-000079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8" authorId="0" shapeId="0" xr:uid="{00000000-0006-0000-0A00-00007A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8" authorId="0" shapeId="0" xr:uid="{00000000-0006-0000-0A00-00007B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8" authorId="0" shapeId="0" xr:uid="{00000000-0006-0000-0A00-00007C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8" authorId="0" shapeId="0" xr:uid="{00000000-0006-0000-0A00-00007D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9" authorId="0" shapeId="0" xr:uid="{00000000-0006-0000-0A00-00007E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9" authorId="0" shapeId="0" xr:uid="{00000000-0006-0000-0A00-00007F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9" authorId="0" shapeId="0" xr:uid="{00000000-0006-0000-0A00-000080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9" authorId="0" shapeId="0" xr:uid="{00000000-0006-0000-0A00-000081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9" authorId="0" shapeId="0" xr:uid="{00000000-0006-0000-0A00-000082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9" authorId="0" shapeId="0" xr:uid="{00000000-0006-0000-0A00-000083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9" authorId="0" shapeId="0" xr:uid="{00000000-0006-0000-0A00-000084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9" authorId="0" shapeId="0" xr:uid="{00000000-0006-0000-0A00-000085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9" authorId="0" shapeId="0" xr:uid="{00000000-0006-0000-0A00-000086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9" authorId="0" shapeId="0" xr:uid="{00000000-0006-0000-0A00-000087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9" authorId="0" shapeId="0" xr:uid="{00000000-0006-0000-0A00-000088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9" authorId="0" shapeId="0" xr:uid="{00000000-0006-0000-0A00-000089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9" authorId="0" shapeId="0" xr:uid="{00000000-0006-0000-0A00-00008A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9" authorId="0" shapeId="0" xr:uid="{00000000-0006-0000-0A00-00008B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9" authorId="0" shapeId="0" xr:uid="{00000000-0006-0000-0A00-00008C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9" authorId="0" shapeId="0" xr:uid="{00000000-0006-0000-0A00-00008D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9" authorId="0" shapeId="0" xr:uid="{00000000-0006-0000-0A00-00008E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9" authorId="0" shapeId="0" xr:uid="{00000000-0006-0000-0A00-00008F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9" authorId="0" shapeId="0" xr:uid="{00000000-0006-0000-0A00-000090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9" authorId="0" shapeId="0" xr:uid="{00000000-0006-0000-0A00-000091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9" authorId="0" shapeId="0" xr:uid="{00000000-0006-0000-0A00-000092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9" authorId="0" shapeId="0" xr:uid="{00000000-0006-0000-0A00-000093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9" authorId="0" shapeId="0" xr:uid="{00000000-0006-0000-0A00-000094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9" authorId="0" shapeId="0" xr:uid="{00000000-0006-0000-0A00-000095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9" authorId="0" shapeId="0" xr:uid="{00000000-0006-0000-0A00-000096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9" authorId="0" shapeId="0" xr:uid="{00000000-0006-0000-0A00-000097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9" authorId="0" shapeId="0" xr:uid="{00000000-0006-0000-0A00-000098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9" authorId="0" shapeId="0" xr:uid="{00000000-0006-0000-0A00-000099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9" authorId="0" shapeId="0" xr:uid="{00000000-0006-0000-0A00-00009A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9" authorId="0" shapeId="0" xr:uid="{00000000-0006-0000-0A00-00009B01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9" authorId="0" shapeId="0" xr:uid="{00000000-0006-0000-0A00-00009C01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9" authorId="0" shapeId="0" xr:uid="{00000000-0006-0000-0A00-00009D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9" authorId="0" shapeId="0" xr:uid="{00000000-0006-0000-0A00-00009E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9" authorId="0" shapeId="0" xr:uid="{00000000-0006-0000-0A00-00009F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9" authorId="0" shapeId="0" xr:uid="{00000000-0006-0000-0A00-0000A0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9" authorId="0" shapeId="0" xr:uid="{00000000-0006-0000-0A00-0000A1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9" authorId="0" shapeId="0" xr:uid="{00000000-0006-0000-0A00-0000A2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9" authorId="0" shapeId="0" xr:uid="{00000000-0006-0000-0A00-0000A3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9" authorId="0" shapeId="0" xr:uid="{00000000-0006-0000-0A00-0000A4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9" authorId="0" shapeId="0" xr:uid="{00000000-0006-0000-0A00-0000A5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9" authorId="0" shapeId="0" xr:uid="{00000000-0006-0000-0A00-0000A6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9" authorId="0" shapeId="0" xr:uid="{00000000-0006-0000-0A00-0000A7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9" authorId="0" shapeId="0" xr:uid="{00000000-0006-0000-0A00-0000A801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9" authorId="0" shapeId="0" xr:uid="{00000000-0006-0000-0A00-0000A901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9" authorId="0" shapeId="0" xr:uid="{00000000-0006-0000-0A00-0000AA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9" authorId="0" shapeId="0" xr:uid="{00000000-0006-0000-0A00-0000AB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9" authorId="0" shapeId="0" xr:uid="{00000000-0006-0000-0A00-0000AC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9" authorId="0" shapeId="0" xr:uid="{00000000-0006-0000-0A00-0000AD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9" authorId="0" shapeId="0" xr:uid="{00000000-0006-0000-0A00-0000AE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9" authorId="0" shapeId="0" xr:uid="{00000000-0006-0000-0A00-0000AF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9" authorId="0" shapeId="0" xr:uid="{00000000-0006-0000-0A00-0000B0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9" authorId="0" shapeId="0" xr:uid="{00000000-0006-0000-0A00-0000B1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9" authorId="0" shapeId="0" xr:uid="{00000000-0006-0000-0A00-0000B2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9" authorId="0" shapeId="0" xr:uid="{00000000-0006-0000-0A00-0000B3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10" authorId="0" shapeId="0" xr:uid="{00000000-0006-0000-0A00-0000B4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10" authorId="0" shapeId="0" xr:uid="{00000000-0006-0000-0A00-0000B5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10" authorId="0" shapeId="0" xr:uid="{00000000-0006-0000-0A00-0000B6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10" authorId="0" shapeId="0" xr:uid="{00000000-0006-0000-0A00-0000B7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10" authorId="0" shapeId="0" xr:uid="{00000000-0006-0000-0A00-0000B8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10" authorId="0" shapeId="0" xr:uid="{00000000-0006-0000-0A00-0000B9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10" authorId="0" shapeId="0" xr:uid="{00000000-0006-0000-0A00-0000BA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10" authorId="0" shapeId="0" xr:uid="{00000000-0006-0000-0A00-0000BB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10" authorId="0" shapeId="0" xr:uid="{00000000-0006-0000-0A00-0000BC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10" authorId="0" shapeId="0" xr:uid="{00000000-0006-0000-0A00-0000BD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10" authorId="0" shapeId="0" xr:uid="{00000000-0006-0000-0A00-0000BE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10" authorId="0" shapeId="0" xr:uid="{00000000-0006-0000-0A00-0000BF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10" authorId="0" shapeId="0" xr:uid="{00000000-0006-0000-0A00-0000C0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10" authorId="0" shapeId="0" xr:uid="{00000000-0006-0000-0A00-0000C1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10" authorId="0" shapeId="0" xr:uid="{00000000-0006-0000-0A00-0000C2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10" authorId="0" shapeId="0" xr:uid="{00000000-0006-0000-0A00-0000C3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10" authorId="0" shapeId="0" xr:uid="{00000000-0006-0000-0A00-0000C4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10" authorId="0" shapeId="0" xr:uid="{00000000-0006-0000-0A00-0000C5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10" authorId="0" shapeId="0" xr:uid="{00000000-0006-0000-0A00-0000C6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10" authorId="0" shapeId="0" xr:uid="{00000000-0006-0000-0A00-0000C7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10" authorId="0" shapeId="0" xr:uid="{00000000-0006-0000-0A00-0000C8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10" authorId="0" shapeId="0" xr:uid="{00000000-0006-0000-0A00-0000C9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10" authorId="0" shapeId="0" xr:uid="{00000000-0006-0000-0A00-0000CA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10" authorId="0" shapeId="0" xr:uid="{00000000-0006-0000-0A00-0000CB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10" authorId="0" shapeId="0" xr:uid="{00000000-0006-0000-0A00-0000CC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10" authorId="0" shapeId="0" xr:uid="{00000000-0006-0000-0A00-0000CD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10" authorId="0" shapeId="0" xr:uid="{00000000-0006-0000-0A00-0000CE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10" authorId="0" shapeId="0" xr:uid="{00000000-0006-0000-0A00-0000CF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10" authorId="0" shapeId="0" xr:uid="{00000000-0006-0000-0A00-0000D0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10" authorId="0" shapeId="0" xr:uid="{00000000-0006-0000-0A00-0000D101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10" authorId="0" shapeId="0" xr:uid="{00000000-0006-0000-0A00-0000D201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10" authorId="0" shapeId="0" xr:uid="{00000000-0006-0000-0A00-0000D3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10" authorId="0" shapeId="0" xr:uid="{00000000-0006-0000-0A00-0000D4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10" authorId="0" shapeId="0" xr:uid="{00000000-0006-0000-0A00-0000D5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10" authorId="0" shapeId="0" xr:uid="{00000000-0006-0000-0A00-0000D6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10" authorId="0" shapeId="0" xr:uid="{00000000-0006-0000-0A00-0000D7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10" authorId="0" shapeId="0" xr:uid="{00000000-0006-0000-0A00-0000D8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10" authorId="0" shapeId="0" xr:uid="{00000000-0006-0000-0A00-0000D9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10" authorId="0" shapeId="0" xr:uid="{00000000-0006-0000-0A00-0000DA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10" authorId="0" shapeId="0" xr:uid="{00000000-0006-0000-0A00-0000DB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10" authorId="0" shapeId="0" xr:uid="{00000000-0006-0000-0A00-0000DC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10" authorId="0" shapeId="0" xr:uid="{00000000-0006-0000-0A00-0000DD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10" authorId="0" shapeId="0" xr:uid="{00000000-0006-0000-0A00-0000DE01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10" authorId="0" shapeId="0" xr:uid="{00000000-0006-0000-0A00-0000DF01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10" authorId="0" shapeId="0" xr:uid="{00000000-0006-0000-0A00-0000E001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10" authorId="0" shapeId="0" xr:uid="{00000000-0006-0000-0A00-0000E101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10" authorId="0" shapeId="0" xr:uid="{00000000-0006-0000-0A00-0000E201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10" authorId="0" shapeId="0" xr:uid="{00000000-0006-0000-0A00-0000E301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10" authorId="0" shapeId="0" xr:uid="{00000000-0006-0000-0A00-0000E401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10" authorId="0" shapeId="0" xr:uid="{00000000-0006-0000-0A00-0000E501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10" authorId="0" shapeId="0" xr:uid="{00000000-0006-0000-0A00-0000E601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10" authorId="0" shapeId="0" xr:uid="{00000000-0006-0000-0A00-0000E701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10" authorId="0" shapeId="0" xr:uid="{00000000-0006-0000-0A00-0000E8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10" authorId="0" shapeId="0" xr:uid="{00000000-0006-0000-0A00-0000E9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11" authorId="0" shapeId="0" xr:uid="{00000000-0006-0000-0A00-0000EA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11" authorId="0" shapeId="0" xr:uid="{00000000-0006-0000-0A00-0000EB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11" authorId="0" shapeId="0" xr:uid="{00000000-0006-0000-0A00-0000EC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11" authorId="0" shapeId="0" xr:uid="{00000000-0006-0000-0A00-0000ED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11" authorId="0" shapeId="0" xr:uid="{00000000-0006-0000-0A00-0000EE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11" authorId="0" shapeId="0" xr:uid="{00000000-0006-0000-0A00-0000EF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11" authorId="0" shapeId="0" xr:uid="{00000000-0006-0000-0A00-0000F0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11" authorId="0" shapeId="0" xr:uid="{00000000-0006-0000-0A00-0000F1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11" authorId="0" shapeId="0" xr:uid="{00000000-0006-0000-0A00-0000F201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11" authorId="0" shapeId="0" xr:uid="{00000000-0006-0000-0A00-0000F301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11" authorId="0" shapeId="0" xr:uid="{00000000-0006-0000-0A00-0000F401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11" authorId="0" shapeId="0" xr:uid="{00000000-0006-0000-0A00-0000F501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11" authorId="0" shapeId="0" xr:uid="{00000000-0006-0000-0A00-0000F601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11" authorId="0" shapeId="0" xr:uid="{00000000-0006-0000-0A00-0000F701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11" authorId="0" shapeId="0" xr:uid="{00000000-0006-0000-0A00-0000F801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11" authorId="0" shapeId="0" xr:uid="{00000000-0006-0000-0A00-0000F901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11" authorId="0" shapeId="0" xr:uid="{00000000-0006-0000-0A00-0000FA01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11" authorId="0" shapeId="0" xr:uid="{00000000-0006-0000-0A00-0000FB01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11" authorId="0" shapeId="0" xr:uid="{00000000-0006-0000-0A00-0000FC01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11" authorId="0" shapeId="0" xr:uid="{00000000-0006-0000-0A00-0000FD01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11" authorId="0" shapeId="0" xr:uid="{00000000-0006-0000-0A00-0000FE01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11" authorId="0" shapeId="0" xr:uid="{00000000-0006-0000-0A00-0000FF01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11" authorId="0" shapeId="0" xr:uid="{00000000-0006-0000-0A00-000000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11" authorId="0" shapeId="0" xr:uid="{00000000-0006-0000-0A00-000001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11" authorId="0" shapeId="0" xr:uid="{00000000-0006-0000-0A00-000002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11" authorId="0" shapeId="0" xr:uid="{00000000-0006-0000-0A00-000003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11" authorId="0" shapeId="0" xr:uid="{00000000-0006-0000-0A00-000004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11" authorId="0" shapeId="0" xr:uid="{00000000-0006-0000-0A00-000005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11" authorId="0" shapeId="0" xr:uid="{00000000-0006-0000-0A00-000006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11" authorId="0" shapeId="0" xr:uid="{00000000-0006-0000-0A00-00000702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11" authorId="0" shapeId="0" xr:uid="{00000000-0006-0000-0A00-00000802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11" authorId="0" shapeId="0" xr:uid="{00000000-0006-0000-0A00-000009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11" authorId="0" shapeId="0" xr:uid="{00000000-0006-0000-0A00-00000A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11" authorId="0" shapeId="0" xr:uid="{00000000-0006-0000-0A00-00000B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11" authorId="0" shapeId="0" xr:uid="{00000000-0006-0000-0A00-00000C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11" authorId="0" shapeId="0" xr:uid="{00000000-0006-0000-0A00-00000D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11" authorId="0" shapeId="0" xr:uid="{00000000-0006-0000-0A00-00000E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11" authorId="0" shapeId="0" xr:uid="{00000000-0006-0000-0A00-00000F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11" authorId="0" shapeId="0" xr:uid="{00000000-0006-0000-0A00-000010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11" authorId="0" shapeId="0" xr:uid="{00000000-0006-0000-0A00-000011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11" authorId="0" shapeId="0" xr:uid="{00000000-0006-0000-0A00-000012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11" authorId="0" shapeId="0" xr:uid="{00000000-0006-0000-0A00-000013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11" authorId="0" shapeId="0" xr:uid="{00000000-0006-0000-0A00-00001402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11" authorId="0" shapeId="0" xr:uid="{00000000-0006-0000-0A00-00001502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11" authorId="0" shapeId="0" xr:uid="{00000000-0006-0000-0A00-000016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11" authorId="0" shapeId="0" xr:uid="{00000000-0006-0000-0A00-000017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11" authorId="0" shapeId="0" xr:uid="{00000000-0006-0000-0A00-000018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11" authorId="0" shapeId="0" xr:uid="{00000000-0006-0000-0A00-000019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11" authorId="0" shapeId="0" xr:uid="{00000000-0006-0000-0A00-00001A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11" authorId="0" shapeId="0" xr:uid="{00000000-0006-0000-0A00-00001B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11" authorId="0" shapeId="0" xr:uid="{00000000-0006-0000-0A00-00001C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11" authorId="0" shapeId="0" xr:uid="{00000000-0006-0000-0A00-00001D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11" authorId="0" shapeId="0" xr:uid="{00000000-0006-0000-0A00-00001E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11" authorId="0" shapeId="0" xr:uid="{00000000-0006-0000-0A00-00001F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12" authorId="0" shapeId="0" xr:uid="{00000000-0006-0000-0A00-000020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12" authorId="0" shapeId="0" xr:uid="{00000000-0006-0000-0A00-000021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12" authorId="0" shapeId="0" xr:uid="{00000000-0006-0000-0A00-000022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12" authorId="0" shapeId="0" xr:uid="{00000000-0006-0000-0A00-000023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12" authorId="0" shapeId="0" xr:uid="{00000000-0006-0000-0A00-000024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12" authorId="0" shapeId="0" xr:uid="{00000000-0006-0000-0A00-000025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12" authorId="0" shapeId="0" xr:uid="{00000000-0006-0000-0A00-000026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12" authorId="0" shapeId="0" xr:uid="{00000000-0006-0000-0A00-000027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12" authorId="0" shapeId="0" xr:uid="{00000000-0006-0000-0A00-000028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12" authorId="0" shapeId="0" xr:uid="{00000000-0006-0000-0A00-000029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12" authorId="0" shapeId="0" xr:uid="{00000000-0006-0000-0A00-00002A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12" authorId="0" shapeId="0" xr:uid="{00000000-0006-0000-0A00-00002B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12" authorId="0" shapeId="0" xr:uid="{00000000-0006-0000-0A00-00002C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12" authorId="0" shapeId="0" xr:uid="{00000000-0006-0000-0A00-00002D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12" authorId="0" shapeId="0" xr:uid="{00000000-0006-0000-0A00-00002E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12" authorId="0" shapeId="0" xr:uid="{00000000-0006-0000-0A00-00002F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12" authorId="0" shapeId="0" xr:uid="{00000000-0006-0000-0A00-000030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12" authorId="0" shapeId="0" xr:uid="{00000000-0006-0000-0A00-000031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12" authorId="0" shapeId="0" xr:uid="{00000000-0006-0000-0A00-000032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12" authorId="0" shapeId="0" xr:uid="{00000000-0006-0000-0A00-000033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12" authorId="0" shapeId="0" xr:uid="{00000000-0006-0000-0A00-000034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12" authorId="0" shapeId="0" xr:uid="{00000000-0006-0000-0A00-000035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12" authorId="0" shapeId="0" xr:uid="{00000000-0006-0000-0A00-000036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12" authorId="0" shapeId="0" xr:uid="{00000000-0006-0000-0A00-000037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12" authorId="0" shapeId="0" xr:uid="{00000000-0006-0000-0A00-000038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12" authorId="0" shapeId="0" xr:uid="{00000000-0006-0000-0A00-000039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12" authorId="0" shapeId="0" xr:uid="{00000000-0006-0000-0A00-00003A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12" authorId="0" shapeId="0" xr:uid="{00000000-0006-0000-0A00-00003B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12" authorId="0" shapeId="0" xr:uid="{00000000-0006-0000-0A00-00003C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12" authorId="0" shapeId="0" xr:uid="{00000000-0006-0000-0A00-00003D02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12" authorId="0" shapeId="0" xr:uid="{00000000-0006-0000-0A00-00003E02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12" authorId="0" shapeId="0" xr:uid="{00000000-0006-0000-0A00-00003F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12" authorId="0" shapeId="0" xr:uid="{00000000-0006-0000-0A00-000040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12" authorId="0" shapeId="0" xr:uid="{00000000-0006-0000-0A00-000041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12" authorId="0" shapeId="0" xr:uid="{00000000-0006-0000-0A00-000042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12" authorId="0" shapeId="0" xr:uid="{00000000-0006-0000-0A00-000043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12" authorId="0" shapeId="0" xr:uid="{00000000-0006-0000-0A00-000044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12" authorId="0" shapeId="0" xr:uid="{00000000-0006-0000-0A00-000045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12" authorId="0" shapeId="0" xr:uid="{00000000-0006-0000-0A00-000046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12" authorId="0" shapeId="0" xr:uid="{00000000-0006-0000-0A00-000047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12" authorId="0" shapeId="0" xr:uid="{00000000-0006-0000-0A00-000048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12" authorId="0" shapeId="0" xr:uid="{00000000-0006-0000-0A00-000049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12" authorId="0" shapeId="0" xr:uid="{00000000-0006-0000-0A00-00004A02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12" authorId="0" shapeId="0" xr:uid="{00000000-0006-0000-0A00-00004B02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12" authorId="0" shapeId="0" xr:uid="{00000000-0006-0000-0A00-00004C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12" authorId="0" shapeId="0" xr:uid="{00000000-0006-0000-0A00-00004D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12" authorId="0" shapeId="0" xr:uid="{00000000-0006-0000-0A00-00004E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12" authorId="0" shapeId="0" xr:uid="{00000000-0006-0000-0A00-00004F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12" authorId="0" shapeId="0" xr:uid="{00000000-0006-0000-0A00-000050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12" authorId="0" shapeId="0" xr:uid="{00000000-0006-0000-0A00-000051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12" authorId="0" shapeId="0" xr:uid="{00000000-0006-0000-0A00-000052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12" authorId="0" shapeId="0" xr:uid="{00000000-0006-0000-0A00-000053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12" authorId="0" shapeId="0" xr:uid="{00000000-0006-0000-0A00-000054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12" authorId="0" shapeId="0" xr:uid="{00000000-0006-0000-0A00-000055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13" authorId="0" shapeId="0" xr:uid="{00000000-0006-0000-0A00-000056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13" authorId="0" shapeId="0" xr:uid="{00000000-0006-0000-0A00-000057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13" authorId="0" shapeId="0" xr:uid="{00000000-0006-0000-0A00-000058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13" authorId="0" shapeId="0" xr:uid="{00000000-0006-0000-0A00-000059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13" authorId="0" shapeId="0" xr:uid="{00000000-0006-0000-0A00-00005A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13" authorId="0" shapeId="0" xr:uid="{00000000-0006-0000-0A00-00005B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13" authorId="0" shapeId="0" xr:uid="{00000000-0006-0000-0A00-00005C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13" authorId="0" shapeId="0" xr:uid="{00000000-0006-0000-0A00-00005D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13" authorId="0" shapeId="0" xr:uid="{00000000-0006-0000-0A00-00005E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13" authorId="0" shapeId="0" xr:uid="{00000000-0006-0000-0A00-00005F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13" authorId="0" shapeId="0" xr:uid="{00000000-0006-0000-0A00-000060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13" authorId="0" shapeId="0" xr:uid="{00000000-0006-0000-0A00-000061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13" authorId="0" shapeId="0" xr:uid="{00000000-0006-0000-0A00-000062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13" authorId="0" shapeId="0" xr:uid="{00000000-0006-0000-0A00-000063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13" authorId="0" shapeId="0" xr:uid="{00000000-0006-0000-0A00-000064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13" authorId="0" shapeId="0" xr:uid="{00000000-0006-0000-0A00-000065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13" authorId="0" shapeId="0" xr:uid="{00000000-0006-0000-0A00-000066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13" authorId="0" shapeId="0" xr:uid="{00000000-0006-0000-0A00-000067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13" authorId="0" shapeId="0" xr:uid="{00000000-0006-0000-0A00-000068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13" authorId="0" shapeId="0" xr:uid="{00000000-0006-0000-0A00-000069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13" authorId="0" shapeId="0" xr:uid="{00000000-0006-0000-0A00-00006A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13" authorId="0" shapeId="0" xr:uid="{00000000-0006-0000-0A00-00006B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13" authorId="0" shapeId="0" xr:uid="{00000000-0006-0000-0A00-00006C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13" authorId="0" shapeId="0" xr:uid="{00000000-0006-0000-0A00-00006D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13" authorId="0" shapeId="0" xr:uid="{00000000-0006-0000-0A00-00006E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13" authorId="0" shapeId="0" xr:uid="{00000000-0006-0000-0A00-00006F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13" authorId="0" shapeId="0" xr:uid="{00000000-0006-0000-0A00-000070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13" authorId="0" shapeId="0" xr:uid="{00000000-0006-0000-0A00-000071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13" authorId="0" shapeId="0" xr:uid="{00000000-0006-0000-0A00-000072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13" authorId="0" shapeId="0" xr:uid="{00000000-0006-0000-0A00-00007302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13" authorId="0" shapeId="0" xr:uid="{00000000-0006-0000-0A00-00007402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13" authorId="0" shapeId="0" xr:uid="{00000000-0006-0000-0A00-000075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13" authorId="0" shapeId="0" xr:uid="{00000000-0006-0000-0A00-000076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13" authorId="0" shapeId="0" xr:uid="{00000000-0006-0000-0A00-000077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13" authorId="0" shapeId="0" xr:uid="{00000000-0006-0000-0A00-000078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13" authorId="0" shapeId="0" xr:uid="{00000000-0006-0000-0A00-000079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13" authorId="0" shapeId="0" xr:uid="{00000000-0006-0000-0A00-00007A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13" authorId="0" shapeId="0" xr:uid="{00000000-0006-0000-0A00-00007B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13" authorId="0" shapeId="0" xr:uid="{00000000-0006-0000-0A00-00007C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13" authorId="0" shapeId="0" xr:uid="{00000000-0006-0000-0A00-00007D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13" authorId="0" shapeId="0" xr:uid="{00000000-0006-0000-0A00-00007E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13" authorId="0" shapeId="0" xr:uid="{00000000-0006-0000-0A00-00007F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13" authorId="0" shapeId="0" xr:uid="{00000000-0006-0000-0A00-00008002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13" authorId="0" shapeId="0" xr:uid="{00000000-0006-0000-0A00-00008102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13" authorId="0" shapeId="0" xr:uid="{00000000-0006-0000-0A00-000082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13" authorId="0" shapeId="0" xr:uid="{00000000-0006-0000-0A00-000083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13" authorId="0" shapeId="0" xr:uid="{00000000-0006-0000-0A00-000084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13" authorId="0" shapeId="0" xr:uid="{00000000-0006-0000-0A00-000085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13" authorId="0" shapeId="0" xr:uid="{00000000-0006-0000-0A00-000086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13" authorId="0" shapeId="0" xr:uid="{00000000-0006-0000-0A00-000087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13" authorId="0" shapeId="0" xr:uid="{00000000-0006-0000-0A00-000088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13" authorId="0" shapeId="0" xr:uid="{00000000-0006-0000-0A00-000089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13" authorId="0" shapeId="0" xr:uid="{00000000-0006-0000-0A00-00008A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13" authorId="0" shapeId="0" xr:uid="{00000000-0006-0000-0A00-00008B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14" authorId="0" shapeId="0" xr:uid="{00000000-0006-0000-0A00-00008C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14" authorId="0" shapeId="0" xr:uid="{00000000-0006-0000-0A00-00008D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14" authorId="0" shapeId="0" xr:uid="{00000000-0006-0000-0A00-00008E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14" authorId="0" shapeId="0" xr:uid="{00000000-0006-0000-0A00-00008F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14" authorId="0" shapeId="0" xr:uid="{00000000-0006-0000-0A00-000090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14" authorId="0" shapeId="0" xr:uid="{00000000-0006-0000-0A00-000091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14" authorId="0" shapeId="0" xr:uid="{00000000-0006-0000-0A00-000092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14" authorId="0" shapeId="0" xr:uid="{00000000-0006-0000-0A00-000093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14" authorId="0" shapeId="0" xr:uid="{00000000-0006-0000-0A00-000094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14" authorId="0" shapeId="0" xr:uid="{00000000-0006-0000-0A00-000095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14" authorId="0" shapeId="0" xr:uid="{00000000-0006-0000-0A00-000096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14" authorId="0" shapeId="0" xr:uid="{00000000-0006-0000-0A00-000097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14" authorId="0" shapeId="0" xr:uid="{00000000-0006-0000-0A00-000098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14" authorId="0" shapeId="0" xr:uid="{00000000-0006-0000-0A00-000099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14" authorId="0" shapeId="0" xr:uid="{00000000-0006-0000-0A00-00009A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14" authorId="0" shapeId="0" xr:uid="{00000000-0006-0000-0A00-00009B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14" authorId="0" shapeId="0" xr:uid="{00000000-0006-0000-0A00-00009C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14" authorId="0" shapeId="0" xr:uid="{00000000-0006-0000-0A00-00009D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14" authorId="0" shapeId="0" xr:uid="{00000000-0006-0000-0A00-00009E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14" authorId="0" shapeId="0" xr:uid="{00000000-0006-0000-0A00-00009F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14" authorId="0" shapeId="0" xr:uid="{00000000-0006-0000-0A00-0000A0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14" authorId="0" shapeId="0" xr:uid="{00000000-0006-0000-0A00-0000A1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14" authorId="0" shapeId="0" xr:uid="{00000000-0006-0000-0A00-0000A2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14" authorId="0" shapeId="0" xr:uid="{00000000-0006-0000-0A00-0000A3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14" authorId="0" shapeId="0" xr:uid="{00000000-0006-0000-0A00-0000A4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14" authorId="0" shapeId="0" xr:uid="{00000000-0006-0000-0A00-0000A5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14" authorId="0" shapeId="0" xr:uid="{00000000-0006-0000-0A00-0000A6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14" authorId="0" shapeId="0" xr:uid="{00000000-0006-0000-0A00-0000A7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14" authorId="0" shapeId="0" xr:uid="{00000000-0006-0000-0A00-0000A8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14" authorId="0" shapeId="0" xr:uid="{00000000-0006-0000-0A00-0000A902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14" authorId="0" shapeId="0" xr:uid="{00000000-0006-0000-0A00-0000AA02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14" authorId="0" shapeId="0" xr:uid="{00000000-0006-0000-0A00-0000AB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14" authorId="0" shapeId="0" xr:uid="{00000000-0006-0000-0A00-0000AC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14" authorId="0" shapeId="0" xr:uid="{00000000-0006-0000-0A00-0000AD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14" authorId="0" shapeId="0" xr:uid="{00000000-0006-0000-0A00-0000AE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14" authorId="0" shapeId="0" xr:uid="{00000000-0006-0000-0A00-0000AF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14" authorId="0" shapeId="0" xr:uid="{00000000-0006-0000-0A00-0000B0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14" authorId="0" shapeId="0" xr:uid="{00000000-0006-0000-0A00-0000B1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14" authorId="0" shapeId="0" xr:uid="{00000000-0006-0000-0A00-0000B2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14" authorId="0" shapeId="0" xr:uid="{00000000-0006-0000-0A00-0000B3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14" authorId="0" shapeId="0" xr:uid="{00000000-0006-0000-0A00-0000B4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14" authorId="0" shapeId="0" xr:uid="{00000000-0006-0000-0A00-0000B5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14" authorId="0" shapeId="0" xr:uid="{00000000-0006-0000-0A00-0000B602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14" authorId="0" shapeId="0" xr:uid="{00000000-0006-0000-0A00-0000B702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14" authorId="0" shapeId="0" xr:uid="{00000000-0006-0000-0A00-0000B8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14" authorId="0" shapeId="0" xr:uid="{00000000-0006-0000-0A00-0000B9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14" authorId="0" shapeId="0" xr:uid="{00000000-0006-0000-0A00-0000BA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14" authorId="0" shapeId="0" xr:uid="{00000000-0006-0000-0A00-0000BB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14" authorId="0" shapeId="0" xr:uid="{00000000-0006-0000-0A00-0000BC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14" authorId="0" shapeId="0" xr:uid="{00000000-0006-0000-0A00-0000BD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14" authorId="0" shapeId="0" xr:uid="{00000000-0006-0000-0A00-0000BE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14" authorId="0" shapeId="0" xr:uid="{00000000-0006-0000-0A00-0000BF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14" authorId="0" shapeId="0" xr:uid="{00000000-0006-0000-0A00-0000C0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14" authorId="0" shapeId="0" xr:uid="{00000000-0006-0000-0A00-0000C1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15" authorId="0" shapeId="0" xr:uid="{00000000-0006-0000-0A00-0000C2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15" authorId="0" shapeId="0" xr:uid="{00000000-0006-0000-0A00-0000C3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15" authorId="0" shapeId="0" xr:uid="{00000000-0006-0000-0A00-0000C4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15" authorId="0" shapeId="0" xr:uid="{00000000-0006-0000-0A00-0000C5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15" authorId="0" shapeId="0" xr:uid="{00000000-0006-0000-0A00-0000C6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15" authorId="0" shapeId="0" xr:uid="{00000000-0006-0000-0A00-0000C7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15" authorId="0" shapeId="0" xr:uid="{00000000-0006-0000-0A00-0000C8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15" authorId="0" shapeId="0" xr:uid="{00000000-0006-0000-0A00-0000C9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15" authorId="0" shapeId="0" xr:uid="{00000000-0006-0000-0A00-0000CA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15" authorId="0" shapeId="0" xr:uid="{00000000-0006-0000-0A00-0000CB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15" authorId="0" shapeId="0" xr:uid="{00000000-0006-0000-0A00-0000CC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15" authorId="0" shapeId="0" xr:uid="{00000000-0006-0000-0A00-0000CD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15" authorId="0" shapeId="0" xr:uid="{00000000-0006-0000-0A00-0000CE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15" authorId="0" shapeId="0" xr:uid="{00000000-0006-0000-0A00-0000CF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15" authorId="0" shapeId="0" xr:uid="{00000000-0006-0000-0A00-0000D0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15" authorId="0" shapeId="0" xr:uid="{00000000-0006-0000-0A00-0000D1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15" authorId="0" shapeId="0" xr:uid="{00000000-0006-0000-0A00-0000D2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15" authorId="0" shapeId="0" xr:uid="{00000000-0006-0000-0A00-0000D3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15" authorId="0" shapeId="0" xr:uid="{00000000-0006-0000-0A00-0000D4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15" authorId="0" shapeId="0" xr:uid="{00000000-0006-0000-0A00-0000D5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15" authorId="0" shapeId="0" xr:uid="{00000000-0006-0000-0A00-0000D6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15" authorId="0" shapeId="0" xr:uid="{00000000-0006-0000-0A00-0000D7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15" authorId="0" shapeId="0" xr:uid="{00000000-0006-0000-0A00-0000D802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15" authorId="0" shapeId="0" xr:uid="{00000000-0006-0000-0A00-0000D902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15" authorId="0" shapeId="0" xr:uid="{00000000-0006-0000-0A00-0000DA02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15" authorId="0" shapeId="0" xr:uid="{00000000-0006-0000-0A00-0000DB02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15" authorId="0" shapeId="0" xr:uid="{00000000-0006-0000-0A00-0000DC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15" authorId="0" shapeId="0" xr:uid="{00000000-0006-0000-0A00-0000DD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15" authorId="0" shapeId="0" xr:uid="{00000000-0006-0000-0A00-0000DE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15" authorId="0" shapeId="0" xr:uid="{00000000-0006-0000-0A00-0000DF02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15" authorId="0" shapeId="0" xr:uid="{00000000-0006-0000-0A00-0000E002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15" authorId="0" shapeId="0" xr:uid="{00000000-0006-0000-0A00-0000E1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15" authorId="0" shapeId="0" xr:uid="{00000000-0006-0000-0A00-0000E2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15" authorId="0" shapeId="0" xr:uid="{00000000-0006-0000-0A00-0000E3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15" authorId="0" shapeId="0" xr:uid="{00000000-0006-0000-0A00-0000E4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15" authorId="0" shapeId="0" xr:uid="{00000000-0006-0000-0A00-0000E5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15" authorId="0" shapeId="0" xr:uid="{00000000-0006-0000-0A00-0000E6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15" authorId="0" shapeId="0" xr:uid="{00000000-0006-0000-0A00-0000E7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15" authorId="0" shapeId="0" xr:uid="{00000000-0006-0000-0A00-0000E8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15" authorId="0" shapeId="0" xr:uid="{00000000-0006-0000-0A00-0000E9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15" authorId="0" shapeId="0" xr:uid="{00000000-0006-0000-0A00-0000EA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15" authorId="0" shapeId="0" xr:uid="{00000000-0006-0000-0A00-0000EB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15" authorId="0" shapeId="0" xr:uid="{00000000-0006-0000-0A00-0000EC02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15" authorId="0" shapeId="0" xr:uid="{00000000-0006-0000-0A00-0000ED02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15" authorId="0" shapeId="0" xr:uid="{00000000-0006-0000-0A00-0000EE02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15" authorId="0" shapeId="0" xr:uid="{00000000-0006-0000-0A00-0000EF02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15" authorId="0" shapeId="0" xr:uid="{00000000-0006-0000-0A00-0000F002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15" authorId="0" shapeId="0" xr:uid="{00000000-0006-0000-0A00-0000F102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15" authorId="0" shapeId="0" xr:uid="{00000000-0006-0000-0A00-0000F202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15" authorId="0" shapeId="0" xr:uid="{00000000-0006-0000-0A00-0000F302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15" authorId="0" shapeId="0" xr:uid="{00000000-0006-0000-0A00-0000F402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15" authorId="0" shapeId="0" xr:uid="{00000000-0006-0000-0A00-0000F502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15" authorId="0" shapeId="0" xr:uid="{00000000-0006-0000-0A00-0000F602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15" authorId="0" shapeId="0" xr:uid="{00000000-0006-0000-0A00-0000F702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K16" authorId="0" shapeId="0" xr:uid="{00000000-0006-0000-0A00-0000F802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L16" authorId="0" shapeId="0" xr:uid="{00000000-0006-0000-0A00-0000F902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M16" authorId="0" shapeId="0" xr:uid="{00000000-0006-0000-0A00-0000FA02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N16" authorId="0" shapeId="0" xr:uid="{00000000-0006-0000-0A00-0000FB02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O16" authorId="0" shapeId="0" xr:uid="{00000000-0006-0000-0A00-0000FC02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P16" authorId="0" shapeId="0" xr:uid="{00000000-0006-0000-0A00-0000FD02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Q16" authorId="0" shapeId="0" xr:uid="{00000000-0006-0000-0A00-0000FE02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R16" authorId="0" shapeId="0" xr:uid="{00000000-0006-0000-0A00-0000FF02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S16" authorId="0" shapeId="0" xr:uid="{00000000-0006-0000-0A00-000000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T16" authorId="0" shapeId="0" xr:uid="{00000000-0006-0000-0A00-000001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U16" authorId="0" shapeId="0" xr:uid="{00000000-0006-0000-0A00-000002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V16" authorId="0" shapeId="0" xr:uid="{00000000-0006-0000-0A00-000003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W16" authorId="0" shapeId="0" xr:uid="{00000000-0006-0000-0A00-000004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X16" authorId="0" shapeId="0" xr:uid="{00000000-0006-0000-0A00-000005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B16" authorId="0" shapeId="0" xr:uid="{00000000-0006-0000-0A00-000006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C16" authorId="0" shapeId="0" xr:uid="{00000000-0006-0000-0A00-00000703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CD16" authorId="0" shapeId="0" xr:uid="{00000000-0006-0000-0A00-00000803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CE16" authorId="0" shapeId="0" xr:uid="{00000000-0006-0000-0A00-00000903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CF16" authorId="0" shapeId="0" xr:uid="{00000000-0006-0000-0A00-00000A03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CG16" authorId="0" shapeId="0" xr:uid="{00000000-0006-0000-0A00-00000B03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CH16" authorId="0" shapeId="0" xr:uid="{00000000-0006-0000-0A00-00000C03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CI16" authorId="0" shapeId="0" xr:uid="{00000000-0006-0000-0A00-00000D03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CJ16" authorId="0" shapeId="0" xr:uid="{00000000-0006-0000-0A00-00000E03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K16" authorId="0" shapeId="0" xr:uid="{00000000-0006-0000-0A00-00000F03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L16" authorId="0" shapeId="0" xr:uid="{00000000-0006-0000-0A00-00001003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M16" authorId="0" shapeId="0" xr:uid="{00000000-0006-0000-0A00-00001103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N16" authorId="0" shapeId="0" xr:uid="{00000000-0006-0000-0A00-000012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O16" authorId="0" shapeId="0" xr:uid="{00000000-0006-0000-0A00-000013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S16" authorId="0" shapeId="0" xr:uid="{00000000-0006-0000-0A00-000014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T16" authorId="0" shapeId="0" xr:uid="{00000000-0006-0000-0A00-00001503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U16" authorId="0" shapeId="0" xr:uid="{00000000-0006-0000-0A00-00001603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V16" authorId="0" shapeId="0" xr:uid="{00000000-0006-0000-0A00-000017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W16" authorId="0" shapeId="0" xr:uid="{00000000-0006-0000-0A00-000018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X16" authorId="0" shapeId="0" xr:uid="{00000000-0006-0000-0A00-000019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Y16" authorId="0" shapeId="0" xr:uid="{00000000-0006-0000-0A00-00001A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Z16" authorId="0" shapeId="0" xr:uid="{00000000-0006-0000-0A00-00001B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A16" authorId="0" shapeId="0" xr:uid="{00000000-0006-0000-0A00-00001C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B16" authorId="0" shapeId="0" xr:uid="{00000000-0006-0000-0A00-00001D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C16" authorId="0" shapeId="0" xr:uid="{00000000-0006-0000-0A00-00001E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D16" authorId="0" shapeId="0" xr:uid="{00000000-0006-0000-0A00-00001F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E16" authorId="0" shapeId="0" xr:uid="{00000000-0006-0000-0A00-000020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DI16" authorId="0" shapeId="0" xr:uid="{00000000-0006-0000-0A00-00002103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J16" authorId="0" shapeId="0" xr:uid="{00000000-0006-0000-0A00-00002203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DK16" authorId="0" shapeId="0" xr:uid="{00000000-0006-0000-0A00-00002303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DL16" authorId="0" shapeId="0" xr:uid="{00000000-0006-0000-0A00-00002403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DM16" authorId="0" shapeId="0" xr:uid="{00000000-0006-0000-0A00-00002503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DN16" authorId="0" shapeId="0" xr:uid="{00000000-0006-0000-0A00-00002603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DO16" authorId="0" shapeId="0" xr:uid="{00000000-0006-0000-0A00-00002703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DP16" authorId="0" shapeId="0" xr:uid="{00000000-0006-0000-0A00-00002803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DQ16" authorId="0" shapeId="0" xr:uid="{00000000-0006-0000-0A00-00002903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DR16" authorId="0" shapeId="0" xr:uid="{00000000-0006-0000-0A00-00002A03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DS16" authorId="0" shapeId="0" xr:uid="{00000000-0006-0000-0A00-00002B03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DT16" authorId="0" shapeId="0" xr:uid="{00000000-0006-0000-0A00-00002C03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U16" authorId="0" shapeId="0" xr:uid="{00000000-0006-0000-0A00-00002D03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W21" authorId="0" shapeId="0" xr:uid="{00000000-0006-0000-0A00-00002E030000}">
      <text>
        <r>
          <rPr>
            <sz val="8"/>
            <color indexed="81"/>
            <rFont val="Tahoma"/>
            <family val="2"/>
          </rPr>
          <t>reference date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F2" authorId="0" shapeId="0" xr:uid="{00000000-0006-0000-0B00-000001000000}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F3" authorId="0" shapeId="0" xr:uid="{00000000-0006-0000-0B00-000002000000}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F4" authorId="0" shapeId="0" xr:uid="{00000000-0006-0000-0B00-000003000000}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F5" authorId="0" shapeId="0" xr:uid="{00000000-0006-0000-0B00-000004000000}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F6" authorId="0" shapeId="0" xr:uid="{00000000-0006-0000-0B00-00000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10" authorId="0" shapeId="0" xr:uid="{00000000-0006-0000-0B00-00000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1" authorId="0" shapeId="0" xr:uid="{00000000-0006-0000-0B00-000007000000}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F12" authorId="0" shapeId="0" xr:uid="{00000000-0006-0000-0B00-000008000000}">
      <text>
        <r>
          <rPr>
            <sz val="8"/>
            <color indexed="81"/>
            <rFont val="Tahoma"/>
            <family val="2"/>
          </rPr>
          <t>holiday calendar (e.g. TARGET) to advance from global EvaluationDate</t>
        </r>
      </text>
    </comment>
    <comment ref="F13" authorId="0" shapeId="0" xr:uid="{00000000-0006-0000-0B00-000009000000}">
      <text>
        <r>
          <rPr>
            <sz val="8"/>
            <color indexed="81"/>
            <rFont val="Tahoma"/>
            <family val="2"/>
          </rPr>
          <t>DayCounter ID</t>
        </r>
      </text>
    </comment>
    <comment ref="F14" authorId="0" shapeId="0" xr:uid="{00000000-0006-0000-0B00-00000A000000}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F15" authorId="0" shapeId="0" xr:uid="{00000000-0006-0000-0B00-00000B000000}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F16" authorId="0" shapeId="0" xr:uid="{00000000-0006-0000-0B00-00000C000000}">
      <text>
        <r>
          <rPr>
            <sz val="8"/>
            <color indexed="81"/>
            <rFont val="Tahoma"/>
            <family val="2"/>
          </rPr>
          <t>Bootstrapping accuracy.</t>
        </r>
      </text>
    </comment>
    <comment ref="F17" authorId="0" shapeId="0" xr:uid="{00000000-0006-0000-0B00-00000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18" authorId="0" shapeId="0" xr:uid="{00000000-0006-0000-0B00-00000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F2" authorId="0" shapeId="0" xr:uid="{00000000-0006-0000-0C00-000001000000}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F3" authorId="0" shapeId="0" xr:uid="{00000000-0006-0000-0C00-000002000000}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F4" authorId="0" shapeId="0" xr:uid="{00000000-0006-0000-0C00-000003000000}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F5" authorId="0" shapeId="0" xr:uid="{00000000-0006-0000-0C00-000004000000}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F6" authorId="0" shapeId="0" xr:uid="{00000000-0006-0000-0C00-00000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10" authorId="0" shapeId="0" xr:uid="{00000000-0006-0000-0C00-00000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1" authorId="0" shapeId="0" xr:uid="{00000000-0006-0000-0C00-000007000000}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F12" authorId="0" shapeId="0" xr:uid="{00000000-0006-0000-0C00-000008000000}">
      <text>
        <r>
          <rPr>
            <sz val="8"/>
            <color indexed="81"/>
            <rFont val="Tahoma"/>
            <family val="2"/>
          </rPr>
          <t>holiday calendar (e.g. TARGET) to advance from global EvaluationDate</t>
        </r>
      </text>
    </comment>
    <comment ref="F13" authorId="0" shapeId="0" xr:uid="{00000000-0006-0000-0C00-000009000000}">
      <text>
        <r>
          <rPr>
            <sz val="8"/>
            <color indexed="81"/>
            <rFont val="Tahoma"/>
            <family val="2"/>
          </rPr>
          <t>DayCounter ID</t>
        </r>
      </text>
    </comment>
    <comment ref="F14" authorId="0" shapeId="0" xr:uid="{00000000-0006-0000-0C00-00000A000000}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F15" authorId="0" shapeId="0" xr:uid="{00000000-0006-0000-0C00-00000B000000}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F16" authorId="0" shapeId="0" xr:uid="{00000000-0006-0000-0C00-00000C000000}">
      <text>
        <r>
          <rPr>
            <sz val="8"/>
            <color indexed="81"/>
            <rFont val="Tahoma"/>
            <family val="2"/>
          </rPr>
          <t>Bootstrapping accuracy.</t>
        </r>
      </text>
    </comment>
    <comment ref="F17" authorId="0" shapeId="0" xr:uid="{00000000-0006-0000-0C00-00000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18" authorId="0" shapeId="0" xr:uid="{00000000-0006-0000-0C00-00000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B10" authorId="0" shapeId="0" xr:uid="{00000000-0006-0000-0E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10" authorId="0" shapeId="0" xr:uid="{00000000-0006-0000-0E00-00000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10" authorId="0" shapeId="0" xr:uid="{00000000-0006-0000-0E00-000003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10" authorId="0" shapeId="0" xr:uid="{00000000-0006-0000-0E00-000004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11" authorId="0" shapeId="0" xr:uid="{00000000-0006-0000-0E00-000005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B12" authorId="0" shapeId="0" xr:uid="{00000000-0006-0000-0E00-000006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H12" authorId="0" shapeId="0" xr:uid="{00000000-0006-0000-0E00-000007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K12" authorId="0" shapeId="0" xr:uid="{00000000-0006-0000-0E00-000008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N12" authorId="0" shapeId="0" xr:uid="{00000000-0006-0000-0E00-000009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B13" authorId="0" shapeId="0" xr:uid="{00000000-0006-0000-0E00-00000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13" authorId="0" shapeId="0" xr:uid="{00000000-0006-0000-0E00-00000B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K13" authorId="0" shapeId="0" xr:uid="{00000000-0006-0000-0E00-00000C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N13" authorId="0" shapeId="0" xr:uid="{00000000-0006-0000-0E00-00000D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B14" authorId="0" shapeId="0" xr:uid="{00000000-0006-0000-0E00-00000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14" authorId="0" shapeId="0" xr:uid="{00000000-0006-0000-0E00-00000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14" authorId="0" shapeId="0" xr:uid="{00000000-0006-0000-0E00-00001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14" authorId="0" shapeId="0" xr:uid="{00000000-0006-0000-0E00-000011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15" authorId="0" shapeId="0" xr:uid="{00000000-0006-0000-0E00-000012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15" authorId="0" shapeId="0" xr:uid="{00000000-0006-0000-0E00-000013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15" authorId="0" shapeId="0" xr:uid="{00000000-0006-0000-0E00-00001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20" authorId="0" shapeId="0" xr:uid="{00000000-0006-0000-0E00-000015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20" authorId="0" shapeId="0" xr:uid="{00000000-0006-0000-0E00-00001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20" authorId="0" shapeId="0" xr:uid="{00000000-0006-0000-0E00-000017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20" authorId="0" shapeId="0" xr:uid="{00000000-0006-0000-0E00-000018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20" authorId="0" shapeId="0" xr:uid="{00000000-0006-0000-0E00-00001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21" authorId="0" shapeId="0" xr:uid="{00000000-0006-0000-0E00-00001A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B22" authorId="0" shapeId="0" xr:uid="{00000000-0006-0000-0E00-00001B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E22" authorId="0" shapeId="0" xr:uid="{00000000-0006-0000-0E00-00001C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H22" authorId="0" shapeId="0" xr:uid="{00000000-0006-0000-0E00-00001D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K22" authorId="0" shapeId="0" xr:uid="{00000000-0006-0000-0E00-00001E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N22" authorId="0" shapeId="0" xr:uid="{00000000-0006-0000-0E00-00001F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B23" authorId="0" shapeId="0" xr:uid="{00000000-0006-0000-0E00-00002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23" authorId="0" shapeId="0" xr:uid="{00000000-0006-0000-0E00-000021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H23" authorId="0" shapeId="0" xr:uid="{00000000-0006-0000-0E00-000022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K23" authorId="0" shapeId="0" xr:uid="{00000000-0006-0000-0E00-000023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N23" authorId="0" shapeId="0" xr:uid="{00000000-0006-0000-0E00-000024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B24" authorId="0" shapeId="0" xr:uid="{00000000-0006-0000-0E00-00002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24" authorId="0" shapeId="0" xr:uid="{00000000-0006-0000-0E00-000026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24" authorId="0" shapeId="0" xr:uid="{00000000-0006-0000-0E00-00002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24" authorId="0" shapeId="0" xr:uid="{00000000-0006-0000-0E00-000028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24" authorId="0" shapeId="0" xr:uid="{00000000-0006-0000-0E00-000029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25" authorId="0" shapeId="0" xr:uid="{00000000-0006-0000-0E00-00002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25" authorId="0" shapeId="0" xr:uid="{00000000-0006-0000-0E00-00002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25" authorId="0" shapeId="0" xr:uid="{00000000-0006-0000-0E00-00002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25" authorId="0" shapeId="0" xr:uid="{00000000-0006-0000-0E00-00002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30" authorId="0" shapeId="0" xr:uid="{00000000-0006-0000-0E00-00002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32" authorId="0" shapeId="0" xr:uid="{00000000-0006-0000-0E00-00002F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E33" authorId="0" shapeId="0" xr:uid="{00000000-0006-0000-0E00-000030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E34" authorId="0" shapeId="0" xr:uid="{00000000-0006-0000-0E00-000031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35" authorId="0" shapeId="0" xr:uid="{00000000-0006-0000-0E00-000032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C6" authorId="0" shapeId="0" xr:uid="{00000000-0006-0000-0F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7" authorId="0" shapeId="0" xr:uid="{00000000-0006-0000-0F00-000002000000}">
      <text>
        <r>
          <rPr>
            <sz val="8"/>
            <color indexed="81"/>
            <rFont val="Tahoma"/>
            <family val="2"/>
          </rPr>
          <t>bond description string. If omitted, default = 'no description available'</t>
        </r>
      </text>
    </comment>
    <comment ref="C8" authorId="0" shapeId="0" xr:uid="{00000000-0006-0000-0F00-000003000000}">
      <text>
        <r>
          <rPr>
            <sz val="8"/>
            <color indexed="81"/>
            <rFont val="Tahoma"/>
            <family val="2"/>
          </rPr>
          <t>bond Currency</t>
        </r>
      </text>
    </comment>
    <comment ref="C9" authorId="0" shapeId="0" xr:uid="{00000000-0006-0000-0F00-000004000000}">
      <text>
        <r>
          <rPr>
            <sz val="8"/>
            <color indexed="81"/>
            <rFont val="Tahoma"/>
            <family val="2"/>
          </rPr>
          <t>settlement days</t>
        </r>
      </text>
    </comment>
    <comment ref="C10" authorId="0" shapeId="0" xr:uid="{00000000-0006-0000-0F00-000005000000}">
      <text>
        <r>
          <rPr>
            <sz val="8"/>
            <color indexed="81"/>
            <rFont val="Tahoma"/>
            <family val="2"/>
          </rPr>
          <t>Face nominal amount. If omitted, default = 100.0</t>
        </r>
      </text>
    </comment>
    <comment ref="C11" authorId="0" shapeId="0" xr:uid="{00000000-0006-0000-0F00-000006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Y11" authorId="0" shapeId="0" xr:uid="{00000000-0006-0000-0F00-000007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12" authorId="0" shapeId="0" xr:uid="{00000000-0006-0000-0F00-000008000000}">
      <text>
        <r>
          <rPr>
            <sz val="8"/>
            <color indexed="81"/>
            <rFont val="Tahoma"/>
            <family val="2"/>
          </rPr>
          <t>coupon fixed rates</t>
        </r>
      </text>
    </comment>
    <comment ref="Y12" authorId="0" shapeId="0" xr:uid="{00000000-0006-0000-0F00-000009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13" authorId="0" shapeId="0" xr:uid="{00000000-0006-0000-0F00-00000A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Y13" authorId="0" shapeId="0" xr:uid="{00000000-0006-0000-0F00-00000B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14" authorId="0" shapeId="0" xr:uid="{00000000-0006-0000-0F00-00000C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Y14" authorId="0" shapeId="0" xr:uid="{00000000-0006-0000-0F00-00000D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15" authorId="0" shapeId="0" xr:uid="{00000000-0006-0000-0F00-00000E000000}">
      <text>
        <r>
          <rPr>
            <sz val="8"/>
            <color indexed="81"/>
            <rFont val="Tahoma"/>
            <family val="2"/>
          </rPr>
          <t>Redemption value. If omitted, default = 100.0</t>
        </r>
      </text>
    </comment>
    <comment ref="Y15" authorId="0" shapeId="0" xr:uid="{00000000-0006-0000-0F00-00000F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6" authorId="0" shapeId="0" xr:uid="{00000000-0006-0000-0F00-000010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Y16" authorId="0" shapeId="0" xr:uid="{00000000-0006-0000-0F00-000011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17" authorId="0" shapeId="0" xr:uid="{00000000-0006-0000-0F00-000012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Y17" authorId="0" shapeId="0" xr:uid="{00000000-0006-0000-0F00-000013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18" authorId="0" shapeId="0" xr:uid="{00000000-0006-0000-0F00-00001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18" authorId="0" shapeId="0" xr:uid="{00000000-0006-0000-0F00-000015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Y19" authorId="0" shapeId="0" xr:uid="{00000000-0006-0000-0F00-000016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Y20" authorId="0" shapeId="0" xr:uid="{00000000-0006-0000-0F00-000017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Y21" authorId="0" shapeId="0" xr:uid="{00000000-0006-0000-0F00-000018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22" authorId="0" shapeId="0" xr:uid="{00000000-0006-0000-0F00-00001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22" authorId="0" shapeId="0" xr:uid="{00000000-0006-0000-0F00-00001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23" authorId="0" shapeId="0" xr:uid="{00000000-0006-0000-0F00-00001B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Y23" authorId="0" shapeId="0" xr:uid="{00000000-0006-0000-0F00-00001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24" authorId="0" shapeId="0" xr:uid="{00000000-0006-0000-0F00-00001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25" authorId="0" shapeId="0" xr:uid="{00000000-0006-0000-0F00-00001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Y31" authorId="0" shapeId="0" xr:uid="{00000000-0006-0000-0F00-00001F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32" authorId="0" shapeId="0" xr:uid="{00000000-0006-0000-0F00-000020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Y33" authorId="0" shapeId="0" xr:uid="{00000000-0006-0000-0F00-000021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Y34" authorId="0" shapeId="0" xr:uid="{00000000-0006-0000-0F00-000022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Y35" authorId="0" shapeId="0" xr:uid="{00000000-0006-0000-0F00-000023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Y36" authorId="0" shapeId="0" xr:uid="{00000000-0006-0000-0F00-000024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Y37" authorId="0" shapeId="0" xr:uid="{00000000-0006-0000-0F00-000025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Y38" authorId="0" shapeId="0" xr:uid="{00000000-0006-0000-0F00-000026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Y39" authorId="0" shapeId="0" xr:uid="{00000000-0006-0000-0F00-000027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C40" authorId="0" shapeId="0" xr:uid="{00000000-0006-0000-0F00-000028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0" authorId="0" shapeId="0" xr:uid="{00000000-0006-0000-0F00-00002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Y40" authorId="0" shapeId="0" xr:uid="{00000000-0006-0000-0F00-00002A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C41" authorId="0" shapeId="0" xr:uid="{00000000-0006-0000-0F00-00002B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F41" authorId="0" shapeId="0" xr:uid="{00000000-0006-0000-0F00-00002C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Y41" authorId="0" shapeId="0" xr:uid="{00000000-0006-0000-0F00-00002D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C42" authorId="0" shapeId="0" xr:uid="{00000000-0006-0000-0F00-00002E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F42" authorId="0" shapeId="0" xr:uid="{00000000-0006-0000-0F00-00002F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Y42" authorId="0" shapeId="0" xr:uid="{00000000-0006-0000-0F00-000030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C43" authorId="0" shapeId="0" xr:uid="{00000000-0006-0000-0F00-000031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F43" authorId="0" shapeId="0" xr:uid="{00000000-0006-0000-0F00-000032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Y43" authorId="0" shapeId="0" xr:uid="{00000000-0006-0000-0F00-00003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44" authorId="0" shapeId="0" xr:uid="{00000000-0006-0000-0F00-000034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F44" authorId="0" shapeId="0" xr:uid="{00000000-0006-0000-0F00-000035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Y44" authorId="0" shapeId="0" xr:uid="{00000000-0006-0000-0F00-00003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45" authorId="0" shapeId="0" xr:uid="{00000000-0006-0000-0F00-000037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F45" authorId="0" shapeId="0" xr:uid="{00000000-0006-0000-0F00-000038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46" authorId="0" shapeId="0" xr:uid="{00000000-0006-0000-0F00-000039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F46" authorId="0" shapeId="0" xr:uid="{00000000-0006-0000-0F00-00003A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47" authorId="0" shapeId="0" xr:uid="{00000000-0006-0000-0F00-00003B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F47" authorId="0" shapeId="0" xr:uid="{00000000-0006-0000-0F00-00003C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48" authorId="0" shapeId="0" xr:uid="{00000000-0006-0000-0F00-00003D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F48" authorId="0" shapeId="0" xr:uid="{00000000-0006-0000-0F00-00003E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49" authorId="0" shapeId="0" xr:uid="{00000000-0006-0000-0F00-00003F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F49" authorId="0" shapeId="0" xr:uid="{00000000-0006-0000-0F00-000040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50" authorId="0" shapeId="0" xr:uid="{00000000-0006-0000-0F00-000041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F50" authorId="0" shapeId="0" xr:uid="{00000000-0006-0000-0F00-000042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51" authorId="0" shapeId="0" xr:uid="{00000000-0006-0000-0F00-00004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51" authorId="0" shapeId="0" xr:uid="{00000000-0006-0000-0F00-000044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52" authorId="0" shapeId="0" xr:uid="{00000000-0006-0000-0F00-00004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52" authorId="0" shapeId="0" xr:uid="{00000000-0006-0000-0F00-00004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B10" authorId="0" shapeId="0" xr:uid="{00000000-0006-0000-10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0" authorId="0" shapeId="0" xr:uid="{00000000-0006-0000-1000-00000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10" authorId="0" shapeId="0" xr:uid="{00000000-0006-0000-1000-000003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K10" authorId="0" shapeId="0" xr:uid="{00000000-0006-0000-1000-000004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10" authorId="0" shapeId="0" xr:uid="{00000000-0006-0000-1000-000005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10" authorId="0" shapeId="0" xr:uid="{00000000-0006-0000-1000-00000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11" authorId="0" shapeId="0" xr:uid="{00000000-0006-0000-1000-000007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B12" authorId="0" shapeId="0" xr:uid="{00000000-0006-0000-1000-000008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E12" authorId="0" shapeId="0" xr:uid="{00000000-0006-0000-1000-000009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H12" authorId="0" shapeId="0" xr:uid="{00000000-0006-0000-1000-00000A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K12" authorId="0" shapeId="0" xr:uid="{00000000-0006-0000-1000-00000B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N12" authorId="0" shapeId="0" xr:uid="{00000000-0006-0000-1000-00000C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Q12" authorId="0" shapeId="0" xr:uid="{00000000-0006-0000-1000-00000D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B13" authorId="0" shapeId="0" xr:uid="{00000000-0006-0000-1000-00000E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13" authorId="0" shapeId="0" xr:uid="{00000000-0006-0000-1000-00000F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H13" authorId="0" shapeId="0" xr:uid="{00000000-0006-0000-1000-000010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K13" authorId="0" shapeId="0" xr:uid="{00000000-0006-0000-1000-000011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N13" authorId="0" shapeId="0" xr:uid="{00000000-0006-0000-1000-000012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Q13" authorId="0" shapeId="0" xr:uid="{00000000-0006-0000-1000-000013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B14" authorId="0" shapeId="0" xr:uid="{00000000-0006-0000-1000-00001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14" authorId="0" shapeId="0" xr:uid="{00000000-0006-0000-1000-00001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14" authorId="0" shapeId="0" xr:uid="{00000000-0006-0000-1000-000016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K14" authorId="0" shapeId="0" xr:uid="{00000000-0006-0000-1000-00001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14" authorId="0" shapeId="0" xr:uid="{00000000-0006-0000-1000-000018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14" authorId="0" shapeId="0" xr:uid="{00000000-0006-0000-1000-000019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15" authorId="0" shapeId="0" xr:uid="{00000000-0006-0000-1000-00001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15" authorId="0" shapeId="0" xr:uid="{00000000-0006-0000-1000-00001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K15" authorId="0" shapeId="0" xr:uid="{00000000-0006-0000-1000-00001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15" authorId="0" shapeId="0" xr:uid="{00000000-0006-0000-1000-00001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15" authorId="0" shapeId="0" xr:uid="{00000000-0006-0000-1000-00001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20" authorId="0" shapeId="0" xr:uid="{00000000-0006-0000-1000-00001F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20" authorId="0" shapeId="0" xr:uid="{00000000-0006-0000-1000-00002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H20" authorId="0" shapeId="0" xr:uid="{00000000-0006-0000-1000-00002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20" authorId="0" shapeId="0" xr:uid="{00000000-0006-0000-1000-00002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20" authorId="0" shapeId="0" xr:uid="{00000000-0006-0000-1000-000023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21" authorId="0" shapeId="0" xr:uid="{00000000-0006-0000-1000-000024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B22" authorId="0" shapeId="0" xr:uid="{00000000-0006-0000-1000-000025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E22" authorId="0" shapeId="0" xr:uid="{00000000-0006-0000-1000-000026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H22" authorId="0" shapeId="0" xr:uid="{00000000-0006-0000-1000-000027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N22" authorId="0" shapeId="0" xr:uid="{00000000-0006-0000-1000-000028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Q22" authorId="0" shapeId="0" xr:uid="{00000000-0006-0000-1000-000029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B23" authorId="0" shapeId="0" xr:uid="{00000000-0006-0000-1000-00002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23" authorId="0" shapeId="0" xr:uid="{00000000-0006-0000-1000-00002B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H23" authorId="0" shapeId="0" xr:uid="{00000000-0006-0000-1000-00002C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N23" authorId="0" shapeId="0" xr:uid="{00000000-0006-0000-1000-00002D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Q23" authorId="0" shapeId="0" xr:uid="{00000000-0006-0000-1000-00002E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B24" authorId="0" shapeId="0" xr:uid="{00000000-0006-0000-1000-00002F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24" authorId="0" shapeId="0" xr:uid="{00000000-0006-0000-1000-00003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H24" authorId="0" shapeId="0" xr:uid="{00000000-0006-0000-1000-000031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24" authorId="0" shapeId="0" xr:uid="{00000000-0006-0000-1000-000032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24" authorId="0" shapeId="0" xr:uid="{00000000-0006-0000-1000-00003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25" authorId="0" shapeId="0" xr:uid="{00000000-0006-0000-1000-00003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25" authorId="0" shapeId="0" xr:uid="{00000000-0006-0000-1000-00003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N25" authorId="0" shapeId="0" xr:uid="{00000000-0006-0000-1000-00003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25" authorId="0" shapeId="0" xr:uid="{00000000-0006-0000-1000-000037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31" authorId="0" shapeId="0" xr:uid="{00000000-0006-0000-1000-000038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31" authorId="0" shapeId="0" xr:uid="{00000000-0006-0000-1000-00003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32" authorId="0" shapeId="0" xr:uid="{00000000-0006-0000-1000-00003A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B33" authorId="0" shapeId="0" xr:uid="{00000000-0006-0000-1000-00003B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E33" authorId="0" shapeId="0" xr:uid="{00000000-0006-0000-1000-00003C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B34" authorId="0" shapeId="0" xr:uid="{00000000-0006-0000-1000-00003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34" authorId="0" shapeId="0" xr:uid="{00000000-0006-0000-1000-00003E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35" authorId="0" shapeId="0" xr:uid="{00000000-0006-0000-1000-00003F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35" authorId="0" shapeId="0" xr:uid="{00000000-0006-0000-1000-00004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36" authorId="0" shapeId="0" xr:uid="{00000000-0006-0000-1000-000041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B3" authorId="0" shapeId="0" xr:uid="{00000000-0006-0000-11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3" authorId="0" shapeId="0" xr:uid="{00000000-0006-0000-1100-00000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" authorId="0" shapeId="0" xr:uid="{00000000-0006-0000-1100-000003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" authorId="0" shapeId="0" xr:uid="{00000000-0006-0000-1100-000004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3" authorId="0" shapeId="0" xr:uid="{00000000-0006-0000-1100-000005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3" authorId="0" shapeId="0" xr:uid="{00000000-0006-0000-1100-00000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3" authorId="0" shapeId="0" xr:uid="{00000000-0006-0000-1100-000007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4" authorId="0" shapeId="0" xr:uid="{00000000-0006-0000-1100-000008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4" authorId="0" shapeId="0" xr:uid="{00000000-0006-0000-1100-000009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F4" authorId="0" shapeId="0" xr:uid="{00000000-0006-0000-1100-00000A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I4" authorId="0" shapeId="0" xr:uid="{00000000-0006-0000-1100-00000B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L4" authorId="0" shapeId="0" xr:uid="{00000000-0006-0000-1100-00000C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O4" authorId="0" shapeId="0" xr:uid="{00000000-0006-0000-1100-00000D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R4" authorId="0" shapeId="0" xr:uid="{00000000-0006-0000-1100-00000E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5" authorId="0" shapeId="0" xr:uid="{00000000-0006-0000-1100-00000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5" authorId="0" shapeId="0" xr:uid="{00000000-0006-0000-1100-00001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5" authorId="0" shapeId="0" xr:uid="{00000000-0006-0000-1100-000011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5" authorId="0" shapeId="0" xr:uid="{00000000-0006-0000-1100-000012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5" authorId="0" shapeId="0" xr:uid="{00000000-0006-0000-1100-00001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5" authorId="0" shapeId="0" xr:uid="{00000000-0006-0000-1100-000014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5" authorId="0" shapeId="0" xr:uid="{00000000-0006-0000-1100-00001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6" authorId="0" shapeId="0" xr:uid="{00000000-0006-0000-1100-00001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6" authorId="0" shapeId="0" xr:uid="{00000000-0006-0000-1100-000017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6" authorId="0" shapeId="0" xr:uid="{00000000-0006-0000-1100-00001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6" authorId="0" shapeId="0" xr:uid="{00000000-0006-0000-1100-000019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6" authorId="0" shapeId="0" xr:uid="{00000000-0006-0000-1100-00001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6" authorId="0" shapeId="0" xr:uid="{00000000-0006-0000-1100-00001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6" authorId="0" shapeId="0" xr:uid="{00000000-0006-0000-1100-00001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10" authorId="0" shapeId="0" xr:uid="{00000000-0006-0000-1100-00001D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0" authorId="0" shapeId="0" xr:uid="{00000000-0006-0000-1100-00001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0" authorId="0" shapeId="0" xr:uid="{00000000-0006-0000-1100-00001F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10" authorId="0" shapeId="0" xr:uid="{00000000-0006-0000-1100-00002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10" authorId="0" shapeId="0" xr:uid="{00000000-0006-0000-1100-00002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10" authorId="0" shapeId="0" xr:uid="{00000000-0006-0000-1100-00002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11" authorId="0" shapeId="0" xr:uid="{00000000-0006-0000-1100-000023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F11" authorId="0" shapeId="0" xr:uid="{00000000-0006-0000-1100-000024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I11" authorId="0" shapeId="0" xr:uid="{00000000-0006-0000-1100-000025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L11" authorId="0" shapeId="0" xr:uid="{00000000-0006-0000-1100-000026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O11" authorId="0" shapeId="0" xr:uid="{00000000-0006-0000-1100-000027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R11" authorId="0" shapeId="0" xr:uid="{00000000-0006-0000-1100-000028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12" authorId="0" shapeId="0" xr:uid="{00000000-0006-0000-1100-000029000000}">
      <text>
        <r>
          <rPr>
            <sz val="8"/>
            <color indexed="81"/>
            <rFont val="Tahoma"/>
            <family val="2"/>
          </rPr>
          <t>OptionletVolatilityStructure object ID</t>
        </r>
      </text>
    </comment>
    <comment ref="F12" authorId="0" shapeId="0" xr:uid="{00000000-0006-0000-1100-00002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12" authorId="0" shapeId="0" xr:uid="{00000000-0006-0000-1100-00002B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12" authorId="0" shapeId="0" xr:uid="{00000000-0006-0000-1100-00002C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12" authorId="0" shapeId="0" xr:uid="{00000000-0006-0000-1100-00002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12" authorId="0" shapeId="0" xr:uid="{00000000-0006-0000-1100-00002E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13" authorId="0" shapeId="0" xr:uid="{00000000-0006-0000-1100-00002F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13" authorId="0" shapeId="0" xr:uid="{00000000-0006-0000-1100-000030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13" authorId="0" shapeId="0" xr:uid="{00000000-0006-0000-1100-000031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13" authorId="0" shapeId="0" xr:uid="{00000000-0006-0000-1100-000032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13" authorId="0" shapeId="0" xr:uid="{00000000-0006-0000-1100-000033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14" authorId="0" shapeId="0" xr:uid="{00000000-0006-0000-1100-000034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15" authorId="0" shapeId="0" xr:uid="{00000000-0006-0000-1100-00003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19" authorId="0" shapeId="0" xr:uid="{00000000-0006-0000-1100-00003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20" authorId="0" shapeId="0" xr:uid="{00000000-0006-0000-1100-000037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F20" authorId="0" shapeId="0" xr:uid="{00000000-0006-0000-1100-000038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20" authorId="0" shapeId="0" xr:uid="{00000000-0006-0000-1100-00003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20" authorId="0" shapeId="0" xr:uid="{00000000-0006-0000-1100-00003A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20" authorId="0" shapeId="0" xr:uid="{00000000-0006-0000-1100-00003B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20" authorId="0" shapeId="0" xr:uid="{00000000-0006-0000-1100-00003C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21" authorId="0" shapeId="0" xr:uid="{00000000-0006-0000-1100-00003D000000}">
      <text>
        <r>
          <rPr>
            <sz val="8"/>
            <color indexed="81"/>
            <rFont val="Tahoma"/>
            <family val="2"/>
          </rPr>
          <t>SwaptionVolatilityStructure object ID</t>
        </r>
      </text>
    </comment>
    <comment ref="F21" authorId="0" shapeId="0" xr:uid="{00000000-0006-0000-1100-00003E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I21" authorId="0" shapeId="0" xr:uid="{00000000-0006-0000-1100-00003F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L21" authorId="0" shapeId="0" xr:uid="{00000000-0006-0000-1100-000040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O21" authorId="0" shapeId="0" xr:uid="{00000000-0006-0000-1100-000041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R21" authorId="0" shapeId="0" xr:uid="{00000000-0006-0000-1100-000042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22" authorId="0" shapeId="0" xr:uid="{00000000-0006-0000-1100-00004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22" authorId="0" shapeId="0" xr:uid="{00000000-0006-0000-1100-000044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22" authorId="0" shapeId="0" xr:uid="{00000000-0006-0000-1100-00004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22" authorId="0" shapeId="0" xr:uid="{00000000-0006-0000-1100-000046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22" authorId="0" shapeId="0" xr:uid="{00000000-0006-0000-1100-00004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22" authorId="0" shapeId="0" xr:uid="{00000000-0006-0000-1100-000048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23" authorId="0" shapeId="0" xr:uid="{00000000-0006-0000-1100-000049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23" authorId="0" shapeId="0" xr:uid="{00000000-0006-0000-1100-00004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23" authorId="0" shapeId="0" xr:uid="{00000000-0006-0000-1100-00004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23" authorId="0" shapeId="0" xr:uid="{00000000-0006-0000-1100-00004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23" authorId="0" shapeId="0" xr:uid="{00000000-0006-0000-1100-00004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23" authorId="0" shapeId="0" xr:uid="{00000000-0006-0000-1100-00004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28" authorId="0" shapeId="0" xr:uid="{00000000-0006-0000-1100-00004F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28" authorId="0" shapeId="0" xr:uid="{00000000-0006-0000-1100-00005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28" authorId="0" shapeId="0" xr:uid="{00000000-0006-0000-1100-00005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28" authorId="0" shapeId="0" xr:uid="{00000000-0006-0000-1100-00005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O28" authorId="0" shapeId="0" xr:uid="{00000000-0006-0000-1100-000053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R28" authorId="0" shapeId="0" xr:uid="{00000000-0006-0000-1100-000054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29" authorId="0" shapeId="0" xr:uid="{00000000-0006-0000-1100-000055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C29" authorId="0" shapeId="0" xr:uid="{00000000-0006-0000-1100-000056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I29" authorId="0" shapeId="0" xr:uid="{00000000-0006-0000-1100-000057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L29" authorId="0" shapeId="0" xr:uid="{00000000-0006-0000-1100-000058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O29" authorId="0" shapeId="0" xr:uid="{00000000-0006-0000-1100-000059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R29" authorId="0" shapeId="0" xr:uid="{00000000-0006-0000-1100-00005A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30" authorId="0" shapeId="0" xr:uid="{00000000-0006-0000-1100-00005B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30" authorId="0" shapeId="0" xr:uid="{00000000-0006-0000-1100-00005C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30" authorId="0" shapeId="0" xr:uid="{00000000-0006-0000-1100-00005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30" authorId="0" shapeId="0" xr:uid="{00000000-0006-0000-1100-00005E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O30" authorId="0" shapeId="0" xr:uid="{00000000-0006-0000-1100-00005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30" authorId="0" shapeId="0" xr:uid="{00000000-0006-0000-1100-00006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31" authorId="0" shapeId="0" xr:uid="{00000000-0006-0000-1100-000061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31" authorId="0" shapeId="0" xr:uid="{00000000-0006-0000-1100-000062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31" authorId="0" shapeId="0" xr:uid="{00000000-0006-0000-1100-000063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31" authorId="0" shapeId="0" xr:uid="{00000000-0006-0000-1100-00006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O31" authorId="0" shapeId="0" xr:uid="{00000000-0006-0000-1100-00006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31" authorId="0" shapeId="0" xr:uid="{00000000-0006-0000-1100-00006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36" authorId="0" shapeId="0" xr:uid="{00000000-0006-0000-1100-000067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6" authorId="0" shapeId="0" xr:uid="{00000000-0006-0000-1100-000068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6" authorId="0" shapeId="0" xr:uid="{00000000-0006-0000-1100-00006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L36" authorId="0" shapeId="0" xr:uid="{00000000-0006-0000-1100-00006A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37" authorId="0" shapeId="0" xr:uid="{00000000-0006-0000-1100-00006B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F37" authorId="0" shapeId="0" xr:uid="{00000000-0006-0000-1100-00006C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I37" authorId="0" shapeId="0" xr:uid="{00000000-0006-0000-1100-00006D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L37" authorId="0" shapeId="0" xr:uid="{00000000-0006-0000-1100-00006E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B38" authorId="0" shapeId="0" xr:uid="{00000000-0006-0000-1100-00006F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38" authorId="0" shapeId="0" xr:uid="{00000000-0006-0000-1100-00007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38" authorId="0" shapeId="0" xr:uid="{00000000-0006-0000-1100-000071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L38" authorId="0" shapeId="0" xr:uid="{00000000-0006-0000-1100-000072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39" authorId="0" shapeId="0" xr:uid="{00000000-0006-0000-1100-000073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39" authorId="0" shapeId="0" xr:uid="{00000000-0006-0000-1100-00007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39" authorId="0" shapeId="0" xr:uid="{00000000-0006-0000-1100-00007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L39" authorId="0" shapeId="0" xr:uid="{00000000-0006-0000-1100-00007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B7" authorId="0" shapeId="0" xr:uid="{00000000-0006-0000-12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7" authorId="0" shapeId="0" xr:uid="{00000000-0006-0000-1200-00000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7" authorId="0" shapeId="0" xr:uid="{00000000-0006-0000-1200-000003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7" authorId="0" shapeId="0" xr:uid="{00000000-0006-0000-1200-000004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7" authorId="0" shapeId="0" xr:uid="{00000000-0006-0000-1200-000005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7" authorId="0" shapeId="0" xr:uid="{00000000-0006-0000-1200-00000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8" authorId="0" shapeId="0" xr:uid="{00000000-0006-0000-1200-000007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C8" authorId="0" shapeId="0" xr:uid="{00000000-0006-0000-1200-000008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F8" authorId="0" shapeId="0" xr:uid="{00000000-0006-0000-1200-000009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I8" authorId="0" shapeId="0" xr:uid="{00000000-0006-0000-1200-00000A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M8" authorId="0" shapeId="0" xr:uid="{00000000-0006-0000-1200-00000B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Q8" authorId="0" shapeId="0" xr:uid="{00000000-0006-0000-1200-00000C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B9" authorId="0" shapeId="0" xr:uid="{00000000-0006-0000-1200-00000D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C9" authorId="0" shapeId="0" xr:uid="{00000000-0006-0000-1200-00000E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F9" authorId="0" shapeId="0" xr:uid="{00000000-0006-0000-1200-00000F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I9" authorId="0" shapeId="0" xr:uid="{00000000-0006-0000-1200-000010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M9" authorId="0" shapeId="0" xr:uid="{00000000-0006-0000-1200-000011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Q9" authorId="0" shapeId="0" xr:uid="{00000000-0006-0000-1200-000012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10" authorId="0" shapeId="0" xr:uid="{00000000-0006-0000-1200-000013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C10" authorId="0" shapeId="0" xr:uid="{00000000-0006-0000-1200-000014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F10" authorId="0" shapeId="0" xr:uid="{00000000-0006-0000-1200-000015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I10" authorId="0" shapeId="0" xr:uid="{00000000-0006-0000-1200-000016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M10" authorId="0" shapeId="0" xr:uid="{00000000-0006-0000-1200-000017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Q10" authorId="0" shapeId="0" xr:uid="{00000000-0006-0000-1200-000018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11" authorId="0" shapeId="0" xr:uid="{00000000-0006-0000-1200-000019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1" authorId="0" shapeId="0" xr:uid="{00000000-0006-0000-1200-00001A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F11" authorId="0" shapeId="0" xr:uid="{00000000-0006-0000-1200-00001B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1" authorId="0" shapeId="0" xr:uid="{00000000-0006-0000-1200-00001C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M11" authorId="0" shapeId="0" xr:uid="{00000000-0006-0000-1200-00001D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Q11" authorId="0" shapeId="0" xr:uid="{00000000-0006-0000-1200-00001E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12" authorId="0" shapeId="0" xr:uid="{00000000-0006-0000-1200-00001F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C12" authorId="0" shapeId="0" xr:uid="{00000000-0006-0000-1200-000020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F12" authorId="0" shapeId="0" xr:uid="{00000000-0006-0000-1200-000021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I12" authorId="0" shapeId="0" xr:uid="{00000000-0006-0000-1200-000022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12" authorId="0" shapeId="0" xr:uid="{00000000-0006-0000-1200-000023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" authorId="0" shapeId="0" xr:uid="{00000000-0006-0000-1200-000024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13" authorId="0" shapeId="0" xr:uid="{00000000-0006-0000-1200-000025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C13" authorId="0" shapeId="0" xr:uid="{00000000-0006-0000-1200-000026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F13" authorId="0" shapeId="0" xr:uid="{00000000-0006-0000-1200-000027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I13" authorId="0" shapeId="0" xr:uid="{00000000-0006-0000-1200-000028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M13" authorId="0" shapeId="0" xr:uid="{00000000-0006-0000-1200-000029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13" authorId="0" shapeId="0" xr:uid="{00000000-0006-0000-1200-00002A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14" authorId="0" shapeId="0" xr:uid="{00000000-0006-0000-1200-00002B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C14" authorId="0" shapeId="0" xr:uid="{00000000-0006-0000-1200-00002C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F14" authorId="0" shapeId="0" xr:uid="{00000000-0006-0000-1200-00002D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I14" authorId="0" shapeId="0" xr:uid="{00000000-0006-0000-1200-00002E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M14" authorId="0" shapeId="0" xr:uid="{00000000-0006-0000-1200-00002F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Q14" authorId="0" shapeId="0" xr:uid="{00000000-0006-0000-1200-000030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15" authorId="0" shapeId="0" xr:uid="{00000000-0006-0000-1200-000031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C15" authorId="0" shapeId="0" xr:uid="{00000000-0006-0000-1200-000032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F15" authorId="0" shapeId="0" xr:uid="{00000000-0006-0000-1200-000033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I15" authorId="0" shapeId="0" xr:uid="{00000000-0006-0000-1200-000034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M15" authorId="0" shapeId="0" xr:uid="{00000000-0006-0000-1200-000035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Q15" authorId="0" shapeId="0" xr:uid="{00000000-0006-0000-1200-000036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16" authorId="0" shapeId="0" xr:uid="{00000000-0006-0000-1200-000037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C16" authorId="0" shapeId="0" xr:uid="{00000000-0006-0000-1200-000038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F16" authorId="0" shapeId="0" xr:uid="{00000000-0006-0000-1200-000039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I16" authorId="0" shapeId="0" xr:uid="{00000000-0006-0000-1200-00003A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M16" authorId="0" shapeId="0" xr:uid="{00000000-0006-0000-1200-00003B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Q16" authorId="0" shapeId="0" xr:uid="{00000000-0006-0000-1200-00003C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17" authorId="0" shapeId="0" xr:uid="{00000000-0006-0000-1200-00003D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C17" authorId="0" shapeId="0" xr:uid="{00000000-0006-0000-1200-00003E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F17" authorId="0" shapeId="0" xr:uid="{00000000-0006-0000-1200-00003F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I17" authorId="0" shapeId="0" xr:uid="{00000000-0006-0000-1200-000040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M17" authorId="0" shapeId="0" xr:uid="{00000000-0006-0000-1200-000041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Q17" authorId="0" shapeId="0" xr:uid="{00000000-0006-0000-1200-000042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18" authorId="0" shapeId="0" xr:uid="{00000000-0006-0000-1200-00004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C18" authorId="0" shapeId="0" xr:uid="{00000000-0006-0000-1200-000044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18" authorId="0" shapeId="0" xr:uid="{00000000-0006-0000-1200-00004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18" authorId="0" shapeId="0" xr:uid="{00000000-0006-0000-1200-000046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18" authorId="0" shapeId="0" xr:uid="{00000000-0006-0000-1200-00004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18" authorId="0" shapeId="0" xr:uid="{00000000-0006-0000-1200-000048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19" authorId="0" shapeId="0" xr:uid="{00000000-0006-0000-1200-000049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19" authorId="0" shapeId="0" xr:uid="{00000000-0006-0000-1200-00004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19" authorId="0" shapeId="0" xr:uid="{00000000-0006-0000-1200-00004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19" authorId="0" shapeId="0" xr:uid="{00000000-0006-0000-1200-00004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19" authorId="0" shapeId="0" xr:uid="{00000000-0006-0000-1200-00004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19" authorId="0" shapeId="0" xr:uid="{00000000-0006-0000-1200-00004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23" authorId="0" shapeId="0" xr:uid="{00000000-0006-0000-1200-00004F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3" authorId="0" shapeId="0" xr:uid="{00000000-0006-0000-1200-00005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23" authorId="0" shapeId="0" xr:uid="{00000000-0006-0000-1200-00005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M23" authorId="0" shapeId="0" xr:uid="{00000000-0006-0000-1200-00005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Q23" authorId="0" shapeId="0" xr:uid="{00000000-0006-0000-1200-000053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24" authorId="0" shapeId="0" xr:uid="{00000000-0006-0000-1200-000054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F24" authorId="0" shapeId="0" xr:uid="{00000000-0006-0000-1200-000055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I24" authorId="0" shapeId="0" xr:uid="{00000000-0006-0000-1200-000056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M24" authorId="0" shapeId="0" xr:uid="{00000000-0006-0000-1200-000057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Q24" authorId="0" shapeId="0" xr:uid="{00000000-0006-0000-1200-000058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B25" authorId="0" shapeId="0" xr:uid="{00000000-0006-0000-1200-000059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F25" authorId="0" shapeId="0" xr:uid="{00000000-0006-0000-1200-00005A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I25" authorId="0" shapeId="0" xr:uid="{00000000-0006-0000-1200-00005B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M25" authorId="0" shapeId="0" xr:uid="{00000000-0006-0000-1200-00005C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Q25" authorId="0" shapeId="0" xr:uid="{00000000-0006-0000-1200-00005D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26" authorId="0" shapeId="0" xr:uid="{00000000-0006-0000-1200-00005E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F26" authorId="0" shapeId="0" xr:uid="{00000000-0006-0000-1200-00005F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I26" authorId="0" shapeId="0" xr:uid="{00000000-0006-0000-1200-000060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M26" authorId="0" shapeId="0" xr:uid="{00000000-0006-0000-1200-000061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Q26" authorId="0" shapeId="0" xr:uid="{00000000-0006-0000-1200-000062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27" authorId="0" shapeId="0" xr:uid="{00000000-0006-0000-1200-000063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F27" authorId="0" shapeId="0" xr:uid="{00000000-0006-0000-1200-000064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27" authorId="0" shapeId="0" xr:uid="{00000000-0006-0000-1200-000065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M27" authorId="0" shapeId="0" xr:uid="{00000000-0006-0000-1200-000066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Q27" authorId="0" shapeId="0" xr:uid="{00000000-0006-0000-1200-000067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28" authorId="0" shapeId="0" xr:uid="{00000000-0006-0000-1200-000068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F28" authorId="0" shapeId="0" xr:uid="{00000000-0006-0000-1200-000069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I28" authorId="0" shapeId="0" xr:uid="{00000000-0006-0000-1200-00006A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M28" authorId="0" shapeId="0" xr:uid="{00000000-0006-0000-1200-00006B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" authorId="0" shapeId="0" xr:uid="{00000000-0006-0000-1200-00006C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29" authorId="0" shapeId="0" xr:uid="{00000000-0006-0000-1200-00006D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F29" authorId="0" shapeId="0" xr:uid="{00000000-0006-0000-1200-00006E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I29" authorId="0" shapeId="0" xr:uid="{00000000-0006-0000-1200-00006F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M29" authorId="0" shapeId="0" xr:uid="{00000000-0006-0000-1200-000070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Q29" authorId="0" shapeId="0" xr:uid="{00000000-0006-0000-1200-000071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30" authorId="0" shapeId="0" xr:uid="{00000000-0006-0000-1200-000072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F30" authorId="0" shapeId="0" xr:uid="{00000000-0006-0000-1200-000073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I30" authorId="0" shapeId="0" xr:uid="{00000000-0006-0000-1200-000074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M30" authorId="0" shapeId="0" xr:uid="{00000000-0006-0000-1200-000075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Q30" authorId="0" shapeId="0" xr:uid="{00000000-0006-0000-1200-000076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31" authorId="0" shapeId="0" xr:uid="{00000000-0006-0000-1200-000077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F31" authorId="0" shapeId="0" xr:uid="{00000000-0006-0000-1200-000078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I31" authorId="0" shapeId="0" xr:uid="{00000000-0006-0000-1200-000079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M31" authorId="0" shapeId="0" xr:uid="{00000000-0006-0000-1200-00007A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Q31" authorId="0" shapeId="0" xr:uid="{00000000-0006-0000-1200-00007B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32" authorId="0" shapeId="0" xr:uid="{00000000-0006-0000-1200-00007C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F32" authorId="0" shapeId="0" xr:uid="{00000000-0006-0000-1200-00007D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I32" authorId="0" shapeId="0" xr:uid="{00000000-0006-0000-1200-00007E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M32" authorId="0" shapeId="0" xr:uid="{00000000-0006-0000-1200-00007F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Q32" authorId="0" shapeId="0" xr:uid="{00000000-0006-0000-1200-000080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33" authorId="0" shapeId="0" xr:uid="{00000000-0006-0000-1200-000081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F33" authorId="0" shapeId="0" xr:uid="{00000000-0006-0000-1200-000082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I33" authorId="0" shapeId="0" xr:uid="{00000000-0006-0000-1200-000083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M33" authorId="0" shapeId="0" xr:uid="{00000000-0006-0000-1200-000084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Q33" authorId="0" shapeId="0" xr:uid="{00000000-0006-0000-1200-000085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34" authorId="0" shapeId="0" xr:uid="{00000000-0006-0000-1200-000086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34" authorId="0" shapeId="0" xr:uid="{00000000-0006-0000-1200-00008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I34" authorId="0" shapeId="0" xr:uid="{00000000-0006-0000-1200-000088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M34" authorId="0" shapeId="0" xr:uid="{00000000-0006-0000-1200-000089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Q34" authorId="0" shapeId="0" xr:uid="{00000000-0006-0000-1200-00008A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35" authorId="0" shapeId="0" xr:uid="{00000000-0006-0000-1200-00008B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35" authorId="0" shapeId="0" xr:uid="{00000000-0006-0000-1200-00008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I35" authorId="0" shapeId="0" xr:uid="{00000000-0006-0000-1200-00008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M35" authorId="0" shapeId="0" xr:uid="{00000000-0006-0000-1200-00008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35" authorId="0" shapeId="0" xr:uid="{00000000-0006-0000-1200-00008F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40" authorId="0" shapeId="0" xr:uid="{00000000-0006-0000-1200-00009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0" authorId="0" shapeId="0" xr:uid="{00000000-0006-0000-1200-00009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41" authorId="0" shapeId="0" xr:uid="{00000000-0006-0000-1200-000092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F41" authorId="0" shapeId="0" xr:uid="{00000000-0006-0000-1200-000093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B42" authorId="0" shapeId="0" xr:uid="{00000000-0006-0000-1200-000094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F42" authorId="0" shapeId="0" xr:uid="{00000000-0006-0000-1200-000095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B43" authorId="0" shapeId="0" xr:uid="{00000000-0006-0000-1200-000096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F43" authorId="0" shapeId="0" xr:uid="{00000000-0006-0000-1200-000097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B44" authorId="0" shapeId="0" xr:uid="{00000000-0006-0000-1200-000098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F44" authorId="0" shapeId="0" xr:uid="{00000000-0006-0000-1200-000099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B45" authorId="0" shapeId="0" xr:uid="{00000000-0006-0000-1200-00009A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F45" authorId="0" shapeId="0" xr:uid="{00000000-0006-0000-1200-00009B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B46" authorId="0" shapeId="0" xr:uid="{00000000-0006-0000-1200-00009C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F46" authorId="0" shapeId="0" xr:uid="{00000000-0006-0000-1200-00009D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B47" authorId="0" shapeId="0" xr:uid="{00000000-0006-0000-1200-00009E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F47" authorId="0" shapeId="0" xr:uid="{00000000-0006-0000-1200-00009F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B48" authorId="0" shapeId="0" xr:uid="{00000000-0006-0000-1200-0000A0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F48" authorId="0" shapeId="0" xr:uid="{00000000-0006-0000-1200-0000A1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B49" authorId="0" shapeId="0" xr:uid="{00000000-0006-0000-1200-0000A2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F49" authorId="0" shapeId="0" xr:uid="{00000000-0006-0000-1200-0000A3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B50" authorId="0" shapeId="0" xr:uid="{00000000-0006-0000-1200-0000A4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F50" authorId="0" shapeId="0" xr:uid="{00000000-0006-0000-1200-0000A5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B51" authorId="0" shapeId="0" xr:uid="{00000000-0006-0000-1200-0000A6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51" authorId="0" shapeId="0" xr:uid="{00000000-0006-0000-1200-0000A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52" authorId="0" shapeId="0" xr:uid="{00000000-0006-0000-1200-0000A8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52" authorId="0" shapeId="0" xr:uid="{00000000-0006-0000-1200-0000A9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59" authorId="0" shapeId="0" xr:uid="{00000000-0006-0000-1200-0000AA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60" authorId="0" shapeId="0" xr:uid="{00000000-0006-0000-1200-0000AB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F61" authorId="0" shapeId="0" xr:uid="{00000000-0006-0000-1200-0000AC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F62" authorId="0" shapeId="0" xr:uid="{00000000-0006-0000-1200-0000AD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F63" authorId="0" shapeId="0" xr:uid="{00000000-0006-0000-1200-0000AE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F64" authorId="0" shapeId="0" xr:uid="{00000000-0006-0000-1200-0000AF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F65" authorId="0" shapeId="0" xr:uid="{00000000-0006-0000-1200-0000B0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F66" authorId="0" shapeId="0" xr:uid="{00000000-0006-0000-1200-0000B1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F67" authorId="0" shapeId="0" xr:uid="{00000000-0006-0000-1200-0000B2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F68" authorId="0" shapeId="0" xr:uid="{00000000-0006-0000-1200-0000B3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F69" authorId="0" shapeId="0" xr:uid="{00000000-0006-0000-1200-0000B4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F70" authorId="0" shapeId="0" xr:uid="{00000000-0006-0000-1200-0000B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71" authorId="0" shapeId="0" xr:uid="{00000000-0006-0000-1200-0000B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76" authorId="0" shapeId="0" xr:uid="{00000000-0006-0000-1200-0000B7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77" authorId="0" shapeId="0" xr:uid="{00000000-0006-0000-1200-0000B8000000}">
      <text>
        <r>
          <rPr>
            <sz val="8"/>
            <color indexed="81"/>
            <rFont val="Tahoma"/>
            <family val="2"/>
          </rPr>
          <t>effective date</t>
        </r>
      </text>
    </comment>
    <comment ref="F78" authorId="0" shapeId="0" xr:uid="{00000000-0006-0000-1200-0000B9000000}">
      <text>
        <r>
          <rPr>
            <sz val="8"/>
            <color indexed="81"/>
            <rFont val="Tahoma"/>
            <family val="2"/>
          </rPr>
          <t>termination date</t>
        </r>
      </text>
    </comment>
    <comment ref="F79" authorId="0" shapeId="0" xr:uid="{00000000-0006-0000-1200-0000BA000000}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F80" authorId="0" shapeId="0" xr:uid="{00000000-0006-0000-1200-0000BB000000}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F81" authorId="0" shapeId="0" xr:uid="{00000000-0006-0000-1200-0000BC000000}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F82" authorId="0" shapeId="0" xr:uid="{00000000-0006-0000-1200-0000BD000000}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F83" authorId="0" shapeId="0" xr:uid="{00000000-0006-0000-1200-0000BE000000}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F84" authorId="0" shapeId="0" xr:uid="{00000000-0006-0000-1200-0000BF000000}">
      <text>
        <r>
          <rPr>
            <sz val="8"/>
            <color indexed="81"/>
            <rFont val="Tahoma"/>
            <family val="2"/>
          </rPr>
          <t>end of month convention. FALSE by default.</t>
        </r>
      </text>
    </comment>
    <comment ref="F85" authorId="0" shapeId="0" xr:uid="{00000000-0006-0000-1200-0000C0000000}">
      <text>
        <r>
          <rPr>
            <sz val="8"/>
            <color indexed="81"/>
            <rFont val="Tahoma"/>
            <family val="2"/>
          </rPr>
          <t>stub date, if there is an irregular starting period. NA by default.</t>
        </r>
      </text>
    </comment>
    <comment ref="F86" authorId="0" shapeId="0" xr:uid="{00000000-0006-0000-1200-0000C1000000}">
      <text>
        <r>
          <rPr>
            <sz val="8"/>
            <color indexed="81"/>
            <rFont val="Tahoma"/>
            <family val="2"/>
          </rPr>
          <t>stub date, if there an irregular final period. NA by default.</t>
        </r>
      </text>
    </comment>
    <comment ref="F87" authorId="0" shapeId="0" xr:uid="{00000000-0006-0000-1200-0000C2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88" authorId="0" shapeId="0" xr:uid="{00000000-0006-0000-1200-0000C3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F2" authorId="0" shapeId="0" xr:uid="{00000000-0006-0000-1300-000001000000}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F3" authorId="0" shapeId="0" xr:uid="{00000000-0006-0000-1300-000002000000}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F4" authorId="0" shapeId="0" xr:uid="{00000000-0006-0000-1300-000003000000}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F5" authorId="0" shapeId="0" xr:uid="{00000000-0006-0000-1300-000004000000}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F6" authorId="0" shapeId="0" xr:uid="{00000000-0006-0000-1300-00000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10" authorId="0" shapeId="0" xr:uid="{00000000-0006-0000-1300-00000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1" authorId="0" shapeId="0" xr:uid="{00000000-0006-0000-1300-000007000000}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F12" authorId="0" shapeId="0" xr:uid="{00000000-0006-0000-1300-000008000000}">
      <text>
        <r>
          <rPr>
            <sz val="8"/>
            <color indexed="81"/>
            <rFont val="Tahoma"/>
            <family val="2"/>
          </rPr>
          <t>holiday calendar (e.g. TARGET) to advance from global EvaluationDate</t>
        </r>
      </text>
    </comment>
    <comment ref="F13" authorId="0" shapeId="0" xr:uid="{00000000-0006-0000-1300-000009000000}">
      <text>
        <r>
          <rPr>
            <sz val="8"/>
            <color indexed="81"/>
            <rFont val="Tahoma"/>
            <family val="2"/>
          </rPr>
          <t>DayCounter ID</t>
        </r>
      </text>
    </comment>
    <comment ref="F14" authorId="0" shapeId="0" xr:uid="{00000000-0006-0000-1300-00000A000000}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F15" authorId="0" shapeId="0" xr:uid="{00000000-0006-0000-1300-00000B000000}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F16" authorId="0" shapeId="0" xr:uid="{00000000-0006-0000-1300-00000C000000}">
      <text>
        <r>
          <rPr>
            <sz val="8"/>
            <color indexed="81"/>
            <rFont val="Tahoma"/>
            <family val="2"/>
          </rPr>
          <t>Bootstrapping accuracy.</t>
        </r>
      </text>
    </comment>
    <comment ref="F17" authorId="0" shapeId="0" xr:uid="{00000000-0006-0000-1300-00000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18" authorId="0" shapeId="0" xr:uid="{00000000-0006-0000-1300-00000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F2" authorId="0" shapeId="0" xr:uid="{00000000-0006-0000-1400-000001000000}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F3" authorId="0" shapeId="0" xr:uid="{00000000-0006-0000-1400-000002000000}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F4" authorId="0" shapeId="0" xr:uid="{00000000-0006-0000-1400-000003000000}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F5" authorId="0" shapeId="0" xr:uid="{00000000-0006-0000-1400-000004000000}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F6" authorId="0" shapeId="0" xr:uid="{00000000-0006-0000-1400-00000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F10" authorId="0" shapeId="0" xr:uid="{00000000-0006-0000-1400-000006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1" authorId="0" shapeId="0" xr:uid="{00000000-0006-0000-1400-000007000000}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F12" authorId="0" shapeId="0" xr:uid="{00000000-0006-0000-1400-000008000000}">
      <text>
        <r>
          <rPr>
            <sz val="8"/>
            <color indexed="81"/>
            <rFont val="Tahoma"/>
            <family val="2"/>
          </rPr>
          <t>holiday calendar (e.g. TARGET) to advance from global EvaluationDate</t>
        </r>
      </text>
    </comment>
    <comment ref="F13" authorId="0" shapeId="0" xr:uid="{00000000-0006-0000-1400-000009000000}">
      <text>
        <r>
          <rPr>
            <sz val="8"/>
            <color indexed="81"/>
            <rFont val="Tahoma"/>
            <family val="2"/>
          </rPr>
          <t>DayCounter ID</t>
        </r>
      </text>
    </comment>
    <comment ref="F14" authorId="0" shapeId="0" xr:uid="{00000000-0006-0000-1400-00000A000000}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F15" authorId="0" shapeId="0" xr:uid="{00000000-0006-0000-1400-00000B000000}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F16" authorId="0" shapeId="0" xr:uid="{00000000-0006-0000-1400-00000C000000}">
      <text>
        <r>
          <rPr>
            <sz val="8"/>
            <color indexed="81"/>
            <rFont val="Tahoma"/>
            <family val="2"/>
          </rPr>
          <t>Bootstrapping accuracy.</t>
        </r>
      </text>
    </comment>
    <comment ref="F17" authorId="0" shapeId="0" xr:uid="{00000000-0006-0000-1400-00000D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F18" authorId="0" shapeId="0" xr:uid="{00000000-0006-0000-1400-00000E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B3" authorId="0" shapeId="0" xr:uid="{00000000-0006-0000-15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3" authorId="0" shapeId="0" xr:uid="{00000000-0006-0000-1500-00000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4" authorId="0" shapeId="0" xr:uid="{00000000-0006-0000-1500-000003000000}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E4" authorId="0" shapeId="0" xr:uid="{00000000-0006-0000-1500-000004000000}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B5" authorId="0" shapeId="0" xr:uid="{00000000-0006-0000-1500-000005000000}">
      <text>
        <r>
          <rPr>
            <sz val="8"/>
            <color indexed="81"/>
            <rFont val="Tahoma"/>
            <family val="2"/>
          </rPr>
          <t>discounting yield term structure object ID</t>
        </r>
      </text>
    </comment>
    <comment ref="E5" authorId="0" shapeId="0" xr:uid="{00000000-0006-0000-1500-000006000000}">
      <text>
        <r>
          <rPr>
            <sz val="8"/>
            <color indexed="81"/>
            <rFont val="Tahoma"/>
            <family val="2"/>
          </rPr>
          <t>Notional Amount</t>
        </r>
      </text>
    </comment>
    <comment ref="B6" authorId="0" shapeId="0" xr:uid="{00000000-0006-0000-1500-00000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6" authorId="0" shapeId="0" xr:uid="{00000000-0006-0000-1500-000008000000}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B7" authorId="0" shapeId="0" xr:uid="{00000000-0006-0000-1500-000009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E7" authorId="0" shapeId="0" xr:uid="{00000000-0006-0000-1500-00000A000000}">
      <text>
        <r>
          <rPr>
            <sz val="8"/>
            <color indexed="81"/>
            <rFont val="Tahoma"/>
            <family val="2"/>
          </rPr>
          <t>the fixed rate</t>
        </r>
      </text>
    </comment>
    <comment ref="E8" authorId="0" shapeId="0" xr:uid="{00000000-0006-0000-1500-00000B000000}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E9" authorId="0" shapeId="0" xr:uid="{00000000-0006-0000-1500-00000C000000}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E10" authorId="0" shapeId="0" xr:uid="{00000000-0006-0000-1500-00000D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11" authorId="0" shapeId="0" xr:uid="{00000000-0006-0000-1500-00000E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1" authorId="0" shapeId="0" xr:uid="{00000000-0006-0000-1500-00000F000000}">
      <text>
        <r>
          <rPr>
            <sz val="8"/>
            <color indexed="81"/>
            <rFont val="Tahoma"/>
            <family val="2"/>
          </rPr>
          <t>Index Spread</t>
        </r>
      </text>
    </comment>
    <comment ref="B12" authorId="0" shapeId="0" xr:uid="{00000000-0006-0000-1500-000010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E12" authorId="0" shapeId="0" xr:uid="{00000000-0006-0000-1500-000011000000}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13" authorId="0" shapeId="0" xr:uid="{00000000-0006-0000-1500-000012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E13" authorId="0" shapeId="0" xr:uid="{00000000-0006-0000-1500-00001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14" authorId="0" shapeId="0" xr:uid="{00000000-0006-0000-1500-000014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E14" authorId="0" shapeId="0" xr:uid="{00000000-0006-0000-1500-000015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15" authorId="0" shapeId="0" xr:uid="{00000000-0006-0000-1500-000016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16" authorId="0" shapeId="0" xr:uid="{00000000-0006-0000-1500-000017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17" authorId="0" shapeId="0" xr:uid="{00000000-0006-0000-1500-000018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18" authorId="0" shapeId="0" xr:uid="{00000000-0006-0000-1500-000019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E18" authorId="0" shapeId="0" xr:uid="{00000000-0006-0000-1500-00001A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19" authorId="0" shapeId="0" xr:uid="{00000000-0006-0000-1500-00001B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E19" authorId="0" shapeId="0" xr:uid="{00000000-0006-0000-1500-00001C000000}">
      <text>
        <r>
          <rPr>
            <sz val="8"/>
            <color indexed="81"/>
            <rFont val="Tahoma"/>
            <family val="2"/>
          </rPr>
          <t>leg object IDs</t>
        </r>
      </text>
    </comment>
    <comment ref="B20" authorId="0" shapeId="0" xr:uid="{00000000-0006-0000-1500-00001D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E20" authorId="0" shapeId="0" xr:uid="{00000000-0006-0000-1500-00001E000000}">
      <text>
        <r>
          <rPr>
            <sz val="8"/>
            <color indexed="81"/>
            <rFont val="Tahoma"/>
            <family val="2"/>
          </rPr>
          <t>TRUE for payed leg</t>
        </r>
      </text>
    </comment>
    <comment ref="B21" authorId="0" shapeId="0" xr:uid="{00000000-0006-0000-1500-00001F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E21" authorId="0" shapeId="0" xr:uid="{00000000-0006-0000-1500-00002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22" authorId="0" shapeId="0" xr:uid="{00000000-0006-0000-1500-000021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E22" authorId="0" shapeId="0" xr:uid="{00000000-0006-0000-1500-000022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23" authorId="0" shapeId="0" xr:uid="{00000000-0006-0000-1500-00002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24" authorId="0" shapeId="0" xr:uid="{00000000-0006-0000-1500-00002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28" authorId="0" shapeId="0" xr:uid="{00000000-0006-0000-1500-000025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29" authorId="0" shapeId="0" xr:uid="{00000000-0006-0000-1500-000026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30" authorId="0" shapeId="0" xr:uid="{00000000-0006-0000-1500-000027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31" authorId="0" shapeId="0" xr:uid="{00000000-0006-0000-1500-000028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32" authorId="0" shapeId="0" xr:uid="{00000000-0006-0000-1500-000029000000}">
      <text>
        <r>
          <rPr>
            <sz val="8"/>
            <color indexed="81"/>
            <rFont val="Tahoma"/>
            <family val="2"/>
          </rPr>
          <t>coupon fixed rates</t>
        </r>
      </text>
    </comment>
    <comment ref="B33" authorId="0" shapeId="0" xr:uid="{00000000-0006-0000-1500-00002A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34" authorId="0" shapeId="0" xr:uid="{00000000-0006-0000-1500-00002B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35" authorId="0" shapeId="0" xr:uid="{00000000-0006-0000-1500-00002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B3" authorId="0" shapeId="0" xr:uid="{00000000-0006-0000-16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4" authorId="0" shapeId="0" xr:uid="{00000000-0006-0000-1600-000002000000}">
      <text>
        <r>
          <rPr>
            <sz val="8"/>
            <color indexed="81"/>
            <rFont val="Tahoma"/>
            <family val="2"/>
          </rPr>
          <t>expiry date</t>
        </r>
      </text>
    </comment>
    <comment ref="B5" authorId="0" shapeId="0" xr:uid="{00000000-0006-0000-1600-000003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6" authorId="0" shapeId="0" xr:uid="{00000000-0006-0000-1600-000004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10" authorId="0" shapeId="0" xr:uid="{00000000-0006-0000-1600-000005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11" authorId="0" shapeId="0" xr:uid="{00000000-0006-0000-1600-000006000000}">
      <text>
        <r>
          <rPr>
            <sz val="8"/>
            <color indexed="81"/>
            <rFont val="Tahoma"/>
            <family val="2"/>
          </rPr>
          <t>underlying (vanilla) swap object ID</t>
        </r>
      </text>
    </comment>
    <comment ref="B12" authorId="0" shapeId="0" xr:uid="{00000000-0006-0000-1600-000007000000}">
      <text>
        <r>
          <rPr>
            <sz val="8"/>
            <color indexed="81"/>
            <rFont val="Tahoma"/>
            <family val="2"/>
          </rPr>
          <t>Exercise object ID</t>
        </r>
      </text>
    </comment>
    <comment ref="B13" authorId="0" shapeId="0" xr:uid="{00000000-0006-0000-1600-000008000000}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B14" authorId="0" shapeId="0" xr:uid="{00000000-0006-0000-1600-000009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15" authorId="0" shapeId="0" xr:uid="{00000000-0006-0000-1600-00000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E3" authorId="0" shapeId="0" xr:uid="{00000000-0006-0000-17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4" authorId="0" shapeId="0" xr:uid="{00000000-0006-0000-1700-000002000000}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E5" authorId="0" shapeId="0" xr:uid="{00000000-0006-0000-1700-000003000000}">
      <text>
        <r>
          <rPr>
            <sz val="8"/>
            <color indexed="81"/>
            <rFont val="Tahoma"/>
            <family val="2"/>
          </rPr>
          <t>Notional Amount</t>
        </r>
      </text>
    </comment>
    <comment ref="E6" authorId="0" shapeId="0" xr:uid="{00000000-0006-0000-1700-000004000000}">
      <text>
        <r>
          <rPr>
            <sz val="8"/>
            <color indexed="81"/>
            <rFont val="Tahoma"/>
            <family val="2"/>
          </rPr>
          <t>fixed leg schedule object ID</t>
        </r>
      </text>
    </comment>
    <comment ref="E7" authorId="0" shapeId="0" xr:uid="{00000000-0006-0000-1700-000005000000}">
      <text>
        <r>
          <rPr>
            <sz val="8"/>
            <color indexed="81"/>
            <rFont val="Tahoma"/>
            <family val="2"/>
          </rPr>
          <t>the fixed rate</t>
        </r>
      </text>
    </comment>
    <comment ref="E8" authorId="0" shapeId="0" xr:uid="{00000000-0006-0000-1700-000006000000}">
      <text>
        <r>
          <rPr>
            <sz val="8"/>
            <color indexed="81"/>
            <rFont val="Tahoma"/>
            <family val="2"/>
          </rPr>
          <t>fixed leg day counter (e.g. Actual/360)</t>
        </r>
      </text>
    </comment>
    <comment ref="E9" authorId="0" shapeId="0" xr:uid="{00000000-0006-0000-1700-000007000000}">
      <text>
        <r>
          <rPr>
            <sz val="8"/>
            <color indexed="81"/>
            <rFont val="Tahoma"/>
            <family val="2"/>
          </rPr>
          <t>floating leg schedule object ID</t>
        </r>
      </text>
    </comment>
    <comment ref="E10" authorId="0" shapeId="0" xr:uid="{00000000-0006-0000-1700-000008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B11" authorId="0" shapeId="0" xr:uid="{00000000-0006-0000-1700-000009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1" authorId="0" shapeId="0" xr:uid="{00000000-0006-0000-1700-00000A000000}">
      <text>
        <r>
          <rPr>
            <sz val="8"/>
            <color indexed="81"/>
            <rFont val="Tahoma"/>
            <family val="2"/>
          </rPr>
          <t>Index Spread</t>
        </r>
      </text>
    </comment>
    <comment ref="B12" authorId="0" shapeId="0" xr:uid="{00000000-0006-0000-1700-00000B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E12" authorId="0" shapeId="0" xr:uid="{00000000-0006-0000-1700-00000C000000}">
      <text>
        <r>
          <rPr>
            <sz val="8"/>
            <color indexed="81"/>
            <rFont val="Tahoma"/>
            <family val="2"/>
          </rPr>
          <t>floating day counter (e.g. Actual/360)</t>
        </r>
      </text>
    </comment>
    <comment ref="B13" authorId="0" shapeId="0" xr:uid="{00000000-0006-0000-1700-00000D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E13" authorId="0" shapeId="0" xr:uid="{00000000-0006-0000-1700-00000E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14" authorId="0" shapeId="0" xr:uid="{00000000-0006-0000-1700-00000F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E14" authorId="0" shapeId="0" xr:uid="{00000000-0006-0000-1700-000010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15" authorId="0" shapeId="0" xr:uid="{00000000-0006-0000-1700-000011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16" authorId="0" shapeId="0" xr:uid="{00000000-0006-0000-1700-000012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17" authorId="0" shapeId="0" xr:uid="{00000000-0006-0000-1700-000013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18" authorId="0" shapeId="0" xr:uid="{00000000-0006-0000-1700-000014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E18" authorId="0" shapeId="0" xr:uid="{00000000-0006-0000-1700-000015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19" authorId="0" shapeId="0" xr:uid="{00000000-0006-0000-1700-000016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E19" authorId="0" shapeId="0" xr:uid="{00000000-0006-0000-1700-000017000000}">
      <text>
        <r>
          <rPr>
            <sz val="8"/>
            <color indexed="81"/>
            <rFont val="Tahoma"/>
            <family val="2"/>
          </rPr>
          <t>leg object IDs</t>
        </r>
      </text>
    </comment>
    <comment ref="B20" authorId="0" shapeId="0" xr:uid="{00000000-0006-0000-1700-000018000000}">
      <text>
        <r>
          <rPr>
            <sz val="8"/>
            <color indexed="81"/>
            <rFont val="Tahoma"/>
            <family val="2"/>
          </rPr>
          <t>floating rate index</t>
        </r>
      </text>
    </comment>
    <comment ref="E20" authorId="0" shapeId="0" xr:uid="{00000000-0006-0000-1700-000019000000}">
      <text>
        <r>
          <rPr>
            <sz val="8"/>
            <color indexed="81"/>
            <rFont val="Tahoma"/>
            <family val="2"/>
          </rPr>
          <t>TRUE for payed leg</t>
        </r>
      </text>
    </comment>
    <comment ref="B21" authorId="0" shapeId="0" xr:uid="{00000000-0006-0000-1700-00001A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E21" authorId="0" shapeId="0" xr:uid="{00000000-0006-0000-1700-00001B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22" authorId="0" shapeId="0" xr:uid="{00000000-0006-0000-1700-00001C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E22" authorId="0" shapeId="0" xr:uid="{00000000-0006-0000-1700-00001D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23" authorId="0" shapeId="0" xr:uid="{00000000-0006-0000-1700-00001E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24" authorId="0" shapeId="0" xr:uid="{00000000-0006-0000-1700-00001F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28" authorId="0" shapeId="0" xr:uid="{00000000-0006-0000-1700-000020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29" authorId="0" shapeId="0" xr:uid="{00000000-0006-0000-1700-000021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30" authorId="0" shapeId="0" xr:uid="{00000000-0006-0000-1700-000022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31" authorId="0" shapeId="0" xr:uid="{00000000-0006-0000-1700-000023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32" authorId="0" shapeId="0" xr:uid="{00000000-0006-0000-1700-000024000000}">
      <text>
        <r>
          <rPr>
            <sz val="8"/>
            <color indexed="81"/>
            <rFont val="Tahoma"/>
            <family val="2"/>
          </rPr>
          <t>coupon fixed rates</t>
        </r>
      </text>
    </comment>
    <comment ref="B33" authorId="0" shapeId="0" xr:uid="{00000000-0006-0000-1700-000025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34" authorId="0" shapeId="0" xr:uid="{00000000-0006-0000-1700-000026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35" authorId="0" shapeId="0" xr:uid="{00000000-0006-0000-1700-000027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B3" authorId="0" shapeId="0" xr:uid="{00000000-0006-0000-18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4" authorId="0" shapeId="0" xr:uid="{00000000-0006-0000-1800-000002000000}">
      <text>
        <r>
          <rPr>
            <sz val="8"/>
            <color indexed="81"/>
            <rFont val="Tahoma"/>
            <family val="2"/>
          </rPr>
          <t>option type (cap or floor)</t>
        </r>
      </text>
    </comment>
    <comment ref="B5" authorId="0" shapeId="0" xr:uid="{00000000-0006-0000-1800-00000300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B6" authorId="0" shapeId="0" xr:uid="{00000000-0006-0000-1800-000004000000}">
      <text>
        <r>
          <rPr>
            <sz val="8"/>
            <color indexed="81"/>
            <rFont val="Tahoma"/>
            <family val="2"/>
          </rPr>
          <t>strikes</t>
        </r>
      </text>
    </comment>
    <comment ref="B7" authorId="0" shapeId="0" xr:uid="{00000000-0006-0000-1800-000005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8" authorId="0" shapeId="0" xr:uid="{00000000-0006-0000-1800-000006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12" authorId="0" shapeId="0" xr:uid="{00000000-0006-0000-1800-000007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13" authorId="0" shapeId="0" xr:uid="{00000000-0006-0000-1800-000008000000}">
      <text>
        <r>
          <rPr>
            <sz val="8"/>
            <color indexed="81"/>
            <rFont val="Tahoma"/>
            <family val="2"/>
          </rPr>
          <t>option type (cap or floor)</t>
        </r>
      </text>
    </comment>
    <comment ref="B14" authorId="0" shapeId="0" xr:uid="{00000000-0006-0000-1800-000009000000}">
      <text>
        <r>
          <rPr>
            <sz val="8"/>
            <color indexed="81"/>
            <rFont val="Tahoma"/>
            <family val="2"/>
          </rPr>
          <t>coupon vector</t>
        </r>
      </text>
    </comment>
    <comment ref="B15" authorId="0" shapeId="0" xr:uid="{00000000-0006-0000-1800-00000A000000}">
      <text>
        <r>
          <rPr>
            <sz val="8"/>
            <color indexed="81"/>
            <rFont val="Tahoma"/>
            <family val="2"/>
          </rPr>
          <t>strikes</t>
        </r>
      </text>
    </comment>
    <comment ref="B16" authorId="0" shapeId="0" xr:uid="{00000000-0006-0000-1800-00000B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17" authorId="0" shapeId="0" xr:uid="{00000000-0006-0000-1800-00000C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B3" authorId="0" shapeId="0" xr:uid="{00000000-0006-0000-1900-000001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3" authorId="0" shapeId="0" xr:uid="{00000000-0006-0000-1900-00000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4" authorId="0" shapeId="0" xr:uid="{00000000-0006-0000-1900-000003000000}">
      <text>
        <r>
          <rPr>
            <sz val="8"/>
            <color indexed="81"/>
            <rFont val="Tahoma"/>
            <family val="2"/>
          </rPr>
          <t>index tenor (e.g. 1Y for one year)</t>
        </r>
      </text>
    </comment>
    <comment ref="E4" authorId="0" shapeId="0" xr:uid="{00000000-0006-0000-1900-000004000000}">
      <text>
        <r>
          <rPr>
            <sz val="8"/>
            <color indexed="81"/>
            <rFont val="Tahoma"/>
            <family val="2"/>
          </rPr>
          <t>leg object IDs</t>
        </r>
      </text>
    </comment>
    <comment ref="B5" authorId="0" shapeId="0" xr:uid="{00000000-0006-0000-1900-000005000000}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E5" authorId="0" shapeId="0" xr:uid="{00000000-0006-0000-1900-000006000000}">
      <text>
        <r>
          <rPr>
            <sz val="8"/>
            <color indexed="81"/>
            <rFont val="Tahoma"/>
            <family val="2"/>
          </rPr>
          <t>TRUE for payed leg</t>
        </r>
      </text>
    </comment>
    <comment ref="E6" authorId="0" shapeId="0" xr:uid="{00000000-0006-0000-1900-000007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7" authorId="0" shapeId="0" xr:uid="{00000000-0006-0000-1900-000008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7" authorId="0" shapeId="0" xr:uid="{00000000-0006-0000-1900-000009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8" authorId="0" shapeId="0" xr:uid="{00000000-0006-0000-1900-00000A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12" authorId="0" shapeId="0" xr:uid="{00000000-0006-0000-1900-00000B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13" authorId="0" shapeId="0" xr:uid="{00000000-0006-0000-1900-00000C000000}">
      <text>
        <r>
          <rPr>
            <sz val="8"/>
            <color indexed="81"/>
            <rFont val="Tahoma"/>
            <family val="2"/>
          </rPr>
          <t>Swaption Volatility Structure object ID</t>
        </r>
      </text>
    </comment>
    <comment ref="B14" authorId="0" shapeId="0" xr:uid="{00000000-0006-0000-1900-00000D000000}">
      <text>
        <r>
          <rPr>
            <sz val="8"/>
            <color indexed="81"/>
            <rFont val="Tahoma"/>
            <family val="2"/>
          </rPr>
          <t>Cms Coupon Pricer Type (e.g ConundrumByBlack, ConundrumByNumericalIntegration, ClassicalAnaliticalFormula)</t>
        </r>
      </text>
    </comment>
    <comment ref="B15" authorId="0" shapeId="0" xr:uid="{00000000-0006-0000-1900-00000E000000}">
      <text>
        <r>
          <rPr>
            <sz val="8"/>
            <color indexed="81"/>
            <rFont val="Tahoma"/>
            <family val="2"/>
          </rPr>
          <t>model of the yield curve (e.g Standard, ExactYield, ParallelShifts, NonParallelShifts)</t>
        </r>
      </text>
    </comment>
    <comment ref="B16" authorId="0" shapeId="0" xr:uid="{00000000-0006-0000-1900-00000F000000}">
      <text>
        <r>
          <rPr>
            <sz val="8"/>
            <color indexed="81"/>
            <rFont val="Tahoma"/>
            <family val="2"/>
          </rPr>
          <t>mean reversion quote.</t>
        </r>
      </text>
    </comment>
    <comment ref="B17" authorId="0" shapeId="0" xr:uid="{00000000-0006-0000-1900-000010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18" authorId="0" shapeId="0" xr:uid="{00000000-0006-0000-1900-000011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B22" authorId="0" shapeId="0" xr:uid="{00000000-0006-0000-1900-000012000000}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B23" authorId="0" shapeId="0" xr:uid="{00000000-0006-0000-1900-000013000000}">
      <text>
        <r>
          <rPr>
            <sz val="8"/>
            <color indexed="81"/>
            <rFont val="Tahoma"/>
            <family val="2"/>
          </rPr>
          <t>payment business day convention. If omitted, default = Following.</t>
        </r>
      </text>
    </comment>
    <comment ref="B24" authorId="0" shapeId="0" xr:uid="{00000000-0006-0000-1900-000014000000}">
      <text>
        <r>
          <rPr>
            <sz val="8"/>
            <color indexed="81"/>
            <rFont val="Tahoma"/>
            <family val="2"/>
          </rPr>
          <t>Nominal amount vector. If omitted, default = 1000000</t>
        </r>
      </text>
    </comment>
    <comment ref="B25" authorId="0" shapeId="0" xr:uid="{00000000-0006-0000-1900-000015000000}">
      <text>
        <r>
          <rPr>
            <sz val="8"/>
            <color indexed="81"/>
            <rFont val="Tahoma"/>
            <family val="2"/>
          </rPr>
          <t>Schedule object ID</t>
        </r>
      </text>
    </comment>
    <comment ref="B26" authorId="0" shapeId="0" xr:uid="{00000000-0006-0000-1900-000016000000}">
      <text>
        <r>
          <rPr>
            <sz val="8"/>
            <color indexed="81"/>
            <rFont val="Tahoma"/>
            <family val="2"/>
          </rPr>
          <t>fixing days (e.g. 2). If omitted, default = index natural fixing days</t>
        </r>
      </text>
    </comment>
    <comment ref="B27" authorId="0" shapeId="0" xr:uid="{00000000-0006-0000-1900-000017000000}">
      <text>
        <r>
          <rPr>
            <sz val="8"/>
            <color indexed="81"/>
            <rFont val="Tahoma"/>
            <family val="2"/>
          </rPr>
          <t>TRUE if the fixing is in arrears. If omitted, default = FALSE</t>
        </r>
      </text>
    </comment>
    <comment ref="B28" authorId="0" shapeId="0" xr:uid="{00000000-0006-0000-1900-000018000000}">
      <text>
        <r>
          <rPr>
            <sz val="8"/>
            <color indexed="81"/>
            <rFont val="Tahoma"/>
            <family val="2"/>
          </rPr>
          <t>Payment DayCounter ID</t>
        </r>
      </text>
    </comment>
    <comment ref="B29" authorId="0" shapeId="0" xr:uid="{00000000-0006-0000-1900-000019000000}">
      <text>
        <r>
          <rPr>
            <sz val="8"/>
            <color indexed="81"/>
            <rFont val="Tahoma"/>
            <family val="2"/>
          </rPr>
          <t>floor strikes. If omitted, default = no floor</t>
        </r>
      </text>
    </comment>
    <comment ref="B30" authorId="0" shapeId="0" xr:uid="{00000000-0006-0000-1900-00001A000000}">
      <text>
        <r>
          <rPr>
            <sz val="8"/>
            <color indexed="81"/>
            <rFont val="Tahoma"/>
            <family val="2"/>
          </rPr>
          <t>floating rate gearings. If omitted, default = 1.0</t>
        </r>
      </text>
    </comment>
    <comment ref="B31" authorId="0" shapeId="0" xr:uid="{00000000-0006-0000-1900-00001B000000}">
      <text>
        <r>
          <rPr>
            <sz val="8"/>
            <color indexed="81"/>
            <rFont val="Tahoma"/>
            <family val="2"/>
          </rPr>
          <t>underlying SwapIndex object ID</t>
        </r>
      </text>
    </comment>
    <comment ref="B32" authorId="0" shapeId="0" xr:uid="{00000000-0006-0000-1900-00001C000000}">
      <text>
        <r>
          <rPr>
            <sz val="8"/>
            <color indexed="81"/>
            <rFont val="Tahoma"/>
            <family val="2"/>
          </rPr>
          <t>floating rate spreads. If omitted, default = 0%</t>
        </r>
      </text>
    </comment>
    <comment ref="B33" authorId="0" shapeId="0" xr:uid="{00000000-0006-0000-1900-00001D000000}">
      <text>
        <r>
          <rPr>
            <sz val="8"/>
            <color indexed="81"/>
            <rFont val="Tahoma"/>
            <family val="2"/>
          </rPr>
          <t>cap strikes. If omitted, default = no cap</t>
        </r>
      </text>
    </comment>
    <comment ref="B34" authorId="0" shapeId="0" xr:uid="{00000000-0006-0000-1900-00001E000000}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B35" authorId="0" shapeId="0" xr:uid="{00000000-0006-0000-1900-00001F000000}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Ferdinando Ametrano</author>
  </authors>
  <commentList>
    <comment ref="A1" authorId="0" shapeId="0" xr:uid="{00000000-0006-0000-1C00-000001000000}">
      <text>
        <r>
          <rPr>
            <sz val="8"/>
            <color indexed="81"/>
            <rFont val="Tahoma"/>
            <family val="2"/>
          </rPr>
          <t>reference date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<sst xmlns="http://schemas.openxmlformats.org/spreadsheetml/2006/main" count="7552" uniqueCount="1775">
  <si>
    <t>Annual</t>
  </si>
  <si>
    <t>ObjectID</t>
  </si>
  <si>
    <t>NDays</t>
  </si>
  <si>
    <t>Calendar</t>
  </si>
  <si>
    <t>DayCounter</t>
  </si>
  <si>
    <t>Permanent</t>
  </si>
  <si>
    <t>Trigger</t>
  </si>
  <si>
    <t>Error</t>
  </si>
  <si>
    <t>ReferenceDate</t>
  </si>
  <si>
    <t>Volatility</t>
  </si>
  <si>
    <t>TARGET</t>
  </si>
  <si>
    <t>Payer</t>
  </si>
  <si>
    <t>ScheduleID</t>
  </si>
  <si>
    <t>30/360 (Bond Basis)</t>
  </si>
  <si>
    <t>Actual/360</t>
  </si>
  <si>
    <t>PayerReceiver</t>
  </si>
  <si>
    <t>Nominal</t>
  </si>
  <si>
    <t>FixedLegSchedule</t>
  </si>
  <si>
    <t>FixedRate</t>
  </si>
  <si>
    <t>FixedLegDayCounter</t>
  </si>
  <si>
    <t>FloatingLegSchedule</t>
  </si>
  <si>
    <t>IborIndex</t>
  </si>
  <si>
    <t>FloatingLegSpread</t>
  </si>
  <si>
    <t>FloatingLegDayCounter</t>
  </si>
  <si>
    <t>VanillaSwap</t>
  </si>
  <si>
    <t>1Y</t>
  </si>
  <si>
    <t>Following</t>
  </si>
  <si>
    <t>Backward</t>
  </si>
  <si>
    <t>EffectiveDate</t>
  </si>
  <si>
    <t>TerminationDate</t>
  </si>
  <si>
    <t>Tenor</t>
  </si>
  <si>
    <t>Convention</t>
  </si>
  <si>
    <t>TermDateConv</t>
  </si>
  <si>
    <t>GenRule</t>
  </si>
  <si>
    <t>EndOfMonth</t>
  </si>
  <si>
    <t>FirstDate</t>
  </si>
  <si>
    <t>NextToLastDate</t>
  </si>
  <si>
    <t>Schedule</t>
  </si>
  <si>
    <t>6M</t>
  </si>
  <si>
    <t>Modified Following</t>
  </si>
  <si>
    <t>YieldCurve</t>
  </si>
  <si>
    <t>Euribor</t>
  </si>
  <si>
    <t>Cap</t>
  </si>
  <si>
    <t>OptionType</t>
  </si>
  <si>
    <t>LegID</t>
  </si>
  <si>
    <t>Strikes</t>
  </si>
  <si>
    <t>CapFloor</t>
  </si>
  <si>
    <t>PaymentBDC</t>
  </si>
  <si>
    <t>Nominals</t>
  </si>
  <si>
    <t>FixingDays</t>
  </si>
  <si>
    <t>IsInArrears</t>
  </si>
  <si>
    <t>Floors</t>
  </si>
  <si>
    <t>Gearings</t>
  </si>
  <si>
    <t>Spreads</t>
  </si>
  <si>
    <t>Caps</t>
  </si>
  <si>
    <t>IborLeg</t>
  </si>
  <si>
    <t>Floor</t>
  </si>
  <si>
    <t>Coupons</t>
  </si>
  <si>
    <t>FixedRateLeg</t>
  </si>
  <si>
    <t>LegIDs</t>
  </si>
  <si>
    <t>Swap</t>
  </si>
  <si>
    <t>ImpliedVolatility</t>
  </si>
  <si>
    <t>Atm Rate</t>
  </si>
  <si>
    <t>NPV</t>
  </si>
  <si>
    <t>Vol</t>
  </si>
  <si>
    <t>BlackCapFloorEngine</t>
  </si>
  <si>
    <t>VolTS</t>
  </si>
  <si>
    <t>BlackSwaptionEngine</t>
  </si>
  <si>
    <t>SetPricingEngine</t>
  </si>
  <si>
    <t>DiscountingSwapEngine</t>
  </si>
  <si>
    <t>FairRate</t>
  </si>
  <si>
    <t>Physical</t>
  </si>
  <si>
    <t>Exercise</t>
  </si>
  <si>
    <t>SettlementType</t>
  </si>
  <si>
    <t>Swaption</t>
  </si>
  <si>
    <t>ExpiryDate</t>
  </si>
  <si>
    <t>EuropeanExercise</t>
  </si>
  <si>
    <t>SwapIndex</t>
  </si>
  <si>
    <t>CmsLeg</t>
  </si>
  <si>
    <t>10Y</t>
  </si>
  <si>
    <t>EuriborSwapFixA</t>
  </si>
  <si>
    <t>ConundrumByNumericalIntegration</t>
  </si>
  <si>
    <t>NonParallelShifts</t>
  </si>
  <si>
    <t>CmsCouponPricerType</t>
  </si>
  <si>
    <t>ModelOfYieldCurve</t>
  </si>
  <si>
    <t>MeanReversion</t>
  </si>
  <si>
    <t>CmsCouponPricer</t>
  </si>
  <si>
    <t>LegSetCouponPricers</t>
  </si>
  <si>
    <t>FairSpread</t>
  </si>
  <si>
    <t>DiscountCurve</t>
  </si>
  <si>
    <t>ForwardingCurve</t>
  </si>
  <si>
    <t>Quote</t>
  </si>
  <si>
    <t>1D</t>
  </si>
  <si>
    <t>1W</t>
  </si>
  <si>
    <t>2W</t>
  </si>
  <si>
    <t>1M</t>
  </si>
  <si>
    <t>2M</t>
  </si>
  <si>
    <t>3M</t>
  </si>
  <si>
    <t>Target</t>
  </si>
  <si>
    <t>3Y</t>
  </si>
  <si>
    <t>0D</t>
  </si>
  <si>
    <t>4Y</t>
  </si>
  <si>
    <t>5Y</t>
  </si>
  <si>
    <t>6Y</t>
  </si>
  <si>
    <t>7Y</t>
  </si>
  <si>
    <t>8Y</t>
  </si>
  <si>
    <t>9Y</t>
  </si>
  <si>
    <t>15Y</t>
  </si>
  <si>
    <t>20Y</t>
  </si>
  <si>
    <t>25Y</t>
  </si>
  <si>
    <t>30Y</t>
  </si>
  <si>
    <t>Date</t>
  </si>
  <si>
    <t>Data</t>
  </si>
  <si>
    <t>AllRateHelpers</t>
  </si>
  <si>
    <t>Priority</t>
  </si>
  <si>
    <t>Selected</t>
  </si>
  <si>
    <t>NImmFutures</t>
  </si>
  <si>
    <t>NSerialFutures</t>
  </si>
  <si>
    <t>FrontFuturesRollingDays</t>
  </si>
  <si>
    <t>DepoFuturesPriority</t>
  </si>
  <si>
    <t>AllDepos</t>
  </si>
  <si>
    <t>PiecewiseYieldCurve</t>
  </si>
  <si>
    <t>TraitsID</t>
  </si>
  <si>
    <t>Discount</t>
  </si>
  <si>
    <t>InterpolatorID</t>
  </si>
  <si>
    <t>LogLinear</t>
  </si>
  <si>
    <t>Accuracy</t>
  </si>
  <si>
    <t>TermStructureCalendar</t>
  </si>
  <si>
    <t>TermStructureDayCounter</t>
  </si>
  <si>
    <t>TermStructureReferenceDate</t>
  </si>
  <si>
    <t>TermStructureMaxDate</t>
  </si>
  <si>
    <t>TermStructureSettlementDays</t>
  </si>
  <si>
    <t>YieldTSDiscount</t>
  </si>
  <si>
    <t>YieldTSForwardRate</t>
  </si>
  <si>
    <t>YieldTSZeroRate</t>
  </si>
  <si>
    <t>5M</t>
  </si>
  <si>
    <t>8M</t>
  </si>
  <si>
    <t>11M</t>
  </si>
  <si>
    <t>Depo3M#0002</t>
  </si>
  <si>
    <t>Depo6M#0002</t>
  </si>
  <si>
    <t>FRA1#0001</t>
  </si>
  <si>
    <t>FRA2#0001</t>
  </si>
  <si>
    <t>FRA3#0001</t>
  </si>
  <si>
    <t>FRA4#0001</t>
  </si>
  <si>
    <t>FRA5#0001</t>
  </si>
  <si>
    <t>FRA6#0001</t>
  </si>
  <si>
    <t>FRA7#0001</t>
  </si>
  <si>
    <t>FRA8#0001</t>
  </si>
  <si>
    <t>Swap3Y#0002</t>
  </si>
  <si>
    <t>Swap4Y#0002</t>
  </si>
  <si>
    <t>2D</t>
  </si>
  <si>
    <t>7M</t>
  </si>
  <si>
    <t>9M</t>
  </si>
  <si>
    <t>4M</t>
  </si>
  <si>
    <t>10M</t>
  </si>
  <si>
    <t>12M</t>
  </si>
  <si>
    <t>18M</t>
  </si>
  <si>
    <t>2Y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</si>
  <si>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</si>
  <si>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</si>
  <si>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</si>
  <si>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</si>
  <si>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</si>
  <si>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</si>
  <si>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</si>
  <si>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</si>
  <si>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</si>
  <si>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</si>
  <si>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</si>
  <si>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</si>
  <si>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</si>
  <si>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</si>
  <si>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</si>
  <si>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</si>
  <si>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</si>
  <si>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</si>
  <si>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3W</t>
  </si>
  <si>
    <t>15M</t>
  </si>
  <si>
    <t>21M</t>
  </si>
  <si>
    <t>EONIA</t>
  </si>
  <si>
    <t>EO6M_FRA3x9</t>
  </si>
  <si>
    <t>EO6M_FRA4x10</t>
  </si>
  <si>
    <t>EO6M_FRA5x11</t>
  </si>
  <si>
    <t>EO6M_FRA6x12</t>
  </si>
  <si>
    <t>EO6M_FRA12x18</t>
  </si>
  <si>
    <t>EO6M</t>
  </si>
  <si>
    <t>EURIB_FRA3x9</t>
  </si>
  <si>
    <t>EURIB_FRA4x10</t>
  </si>
  <si>
    <t>EURIB_FRA5x11</t>
  </si>
  <si>
    <t>EURIB_FRA6x12</t>
  </si>
  <si>
    <t>EURIB_FRA12x18</t>
  </si>
  <si>
    <t>EURIB</t>
  </si>
  <si>
    <t>UnitedStates::Settlement</t>
  </si>
  <si>
    <t>EURFixed</t>
  </si>
  <si>
    <t>EO6MFloat</t>
  </si>
  <si>
    <t>LIBORProj</t>
  </si>
  <si>
    <t>EO6M_FRA1x7</t>
  </si>
  <si>
    <t>EO6M_FRA2x8</t>
  </si>
  <si>
    <t>EURIB_FRA1x7</t>
  </si>
  <si>
    <t>EURIB_FRA2x8</t>
  </si>
  <si>
    <t>Currency</t>
  </si>
  <si>
    <t>USD</t>
  </si>
  <si>
    <t>Floating Leg Definitions for Swaps for Curve Construction</t>
  </si>
  <si>
    <t>LO3M_FRA3x6</t>
  </si>
  <si>
    <t>LO3M_FRA6x9</t>
  </si>
  <si>
    <t>LO3M_FRA9x12</t>
  </si>
  <si>
    <t>LO3M_FRA12x15</t>
  </si>
  <si>
    <t>LO1MFloat</t>
  </si>
  <si>
    <t>USDFixedSemiBond</t>
  </si>
  <si>
    <t>USDFixedAnnualMoney</t>
  </si>
  <si>
    <t>EO3M_FRA1x4</t>
  </si>
  <si>
    <t>EO3M_FRA2x5</t>
  </si>
  <si>
    <t>EO3M_FRA3x6</t>
  </si>
  <si>
    <t>EO3M_FRA4x7</t>
  </si>
  <si>
    <t>EO3M_FRA5x8</t>
  </si>
  <si>
    <t>EO3M_FRA6x9</t>
  </si>
  <si>
    <t>EO3M_FRA9x12</t>
  </si>
  <si>
    <t>EO3M_FRA12x15</t>
  </si>
  <si>
    <t>EO3M</t>
  </si>
  <si>
    <t>EO3MFloat</t>
  </si>
  <si>
    <t>EO3MProj</t>
  </si>
  <si>
    <t>Summit</t>
  </si>
  <si>
    <t>EUR_BS</t>
  </si>
  <si>
    <t>XBS</t>
  </si>
  <si>
    <t>XBS_EUR_1Y</t>
  </si>
  <si>
    <t>XBS_USD_1Y</t>
  </si>
  <si>
    <t>XBS_EUR_2Y</t>
  </si>
  <si>
    <t>XBS_EUR_3Y</t>
  </si>
  <si>
    <t>XBS_EUR_4Y</t>
  </si>
  <si>
    <t>XBS_EUR_5Y</t>
  </si>
  <si>
    <t>XBS_EUR_7Y</t>
  </si>
  <si>
    <t>XBS_EUR_10Y</t>
  </si>
  <si>
    <t>XBS_EUR_15Y</t>
  </si>
  <si>
    <t>XBS_EUR_20Y</t>
  </si>
  <si>
    <t>XBS_EUR_30Y</t>
  </si>
  <si>
    <t>XBS_EUR_40Y</t>
  </si>
  <si>
    <t>XBS_EUR_50Y</t>
  </si>
  <si>
    <t>XBS_USD_2Y</t>
  </si>
  <si>
    <t>XBS_USD_3Y</t>
  </si>
  <si>
    <t>XBS_USD_4Y</t>
  </si>
  <si>
    <t>XBS_USD_5Y</t>
  </si>
  <si>
    <t>XBS_USD_7Y</t>
  </si>
  <si>
    <t>XBS_USD_10Y</t>
  </si>
  <si>
    <t>XBS_USD_15Y</t>
  </si>
  <si>
    <t>XBS_USD_20Y</t>
  </si>
  <si>
    <t>XBS_USD_30Y</t>
  </si>
  <si>
    <t>XBS_USD_40Y</t>
  </si>
  <si>
    <t>XBS_USD_50Y</t>
  </si>
  <si>
    <t>OIS</t>
  </si>
  <si>
    <t>XOIS</t>
  </si>
  <si>
    <t>Start</t>
  </si>
  <si>
    <t>End</t>
  </si>
  <si>
    <t>Fixing</t>
  </si>
  <si>
    <t>Spread</t>
  </si>
  <si>
    <t>LN</t>
  </si>
  <si>
    <t>SLN</t>
  </si>
  <si>
    <t>N</t>
  </si>
  <si>
    <t>Strike</t>
  </si>
  <si>
    <t>Base</t>
  </si>
  <si>
    <t>ObjectId</t>
  </si>
  <si>
    <t>Overwrite</t>
  </si>
  <si>
    <t>0d</t>
  </si>
  <si>
    <t>Displacement</t>
  </si>
  <si>
    <t>EURSemiFixed</t>
  </si>
  <si>
    <t>eonia</t>
  </si>
  <si>
    <t xml:space="preserve">qlCapFloorTermVolSurface </t>
  </si>
  <si>
    <t>string ObjectId</t>
  </si>
  <si>
    <t>long SettlementDays</t>
  </si>
  <si>
    <t>string Calendar</t>
  </si>
  <si>
    <t>string BusinessDayConvention</t>
  </si>
  <si>
    <t>bool Permanent</t>
  </si>
  <si>
    <t>any Trigger</t>
  </si>
  <si>
    <t>qlOptionletStripper1</t>
  </si>
  <si>
    <t>qlOptionletStripper1CapFloorVolatilities</t>
  </si>
  <si>
    <t>qlCapFloorVolTermSurface</t>
  </si>
  <si>
    <t>string IborIndex</t>
  </si>
  <si>
    <t>long MaxIter</t>
  </si>
  <si>
    <t>bool Overwrite</t>
  </si>
  <si>
    <t>VolatilityType</t>
  </si>
  <si>
    <t>qlCapFloorTermVTSVolatility</t>
  </si>
  <si>
    <t>PricingEngine</t>
  </si>
  <si>
    <t>Premium: Mid</t>
  </si>
  <si>
    <t>Get the VOL</t>
  </si>
  <si>
    <t>v3M</t>
  </si>
  <si>
    <t>v6M</t>
  </si>
  <si>
    <t xml:space="preserve"> </t>
  </si>
  <si>
    <t>17.03 Close</t>
  </si>
  <si>
    <t>14.04 Close</t>
  </si>
  <si>
    <t>13.04 Close</t>
  </si>
  <si>
    <t>Forward</t>
  </si>
  <si>
    <t>21.04 Close</t>
  </si>
  <si>
    <t>31.03 Close</t>
  </si>
  <si>
    <t>15.04 Close</t>
  </si>
  <si>
    <t>26.04 Close</t>
  </si>
  <si>
    <t>30.12.15</t>
  </si>
  <si>
    <t>Normal Vol</t>
  </si>
  <si>
    <t>Shifted LogNormal Vol</t>
  </si>
  <si>
    <t>27.04 Close</t>
  </si>
  <si>
    <t>29.04 Close</t>
  </si>
  <si>
    <t>03.05 Close</t>
  </si>
  <si>
    <t>04.05 Close</t>
  </si>
  <si>
    <t>Python</t>
  </si>
  <si>
    <t>05.05 Close</t>
  </si>
  <si>
    <t>09.05 Close</t>
  </si>
  <si>
    <t xml:space="preserve"> +1bp</t>
  </si>
  <si>
    <t xml:space="preserve"> +10bp</t>
  </si>
  <si>
    <t>10.05 Close</t>
  </si>
  <si>
    <t>11.05 Close</t>
  </si>
  <si>
    <t>12.05 Close</t>
  </si>
  <si>
    <t>18.05 Close</t>
  </si>
  <si>
    <t>27.07.2015</t>
  </si>
  <si>
    <t>30.09.2015</t>
  </si>
  <si>
    <t>31.07.2015</t>
  </si>
  <si>
    <t>05.08.2015</t>
  </si>
  <si>
    <t>30.11.15</t>
  </si>
  <si>
    <t>30.10.15</t>
  </si>
  <si>
    <t>26.05 Close</t>
  </si>
  <si>
    <t xml:space="preserve">(*vs.EUR_M0h_1yVol) </t>
  </si>
  <si>
    <t xml:space="preserve">(*vs.EUR_M0h_2yVol) </t>
  </si>
  <si>
    <t xml:space="preserve">(*vs.EUR_M0h_3yVol) </t>
  </si>
  <si>
    <t xml:space="preserve">(*vs.EUR_M0h_4yVol) </t>
  </si>
  <si>
    <t xml:space="preserve">(*vs.EUR_M0h_5yVol) </t>
  </si>
  <si>
    <t xml:space="preserve">(*vs.EUR_M0h_6yVol) </t>
  </si>
  <si>
    <t xml:space="preserve">(*vs.EUR_M0h_7yVol) </t>
  </si>
  <si>
    <t xml:space="preserve">(*vs.EUR_M0h_8yVol) </t>
  </si>
  <si>
    <t xml:space="preserve">(*vs.EUR_M0h_9yVol) </t>
  </si>
  <si>
    <t xml:space="preserve">(*vs.EUR_M0h_10yVol) </t>
  </si>
  <si>
    <t xml:space="preserve">(*vs.EUR_M0h_12yVol) </t>
  </si>
  <si>
    <t xml:space="preserve">(*vs.EUR_M0h_15yVol) </t>
  </si>
  <si>
    <t xml:space="preserve">(*vs.EUR_M0h_20yVol) </t>
  </si>
  <si>
    <t xml:space="preserve">(*vs.EUR_M0h_25yVol) </t>
  </si>
  <si>
    <t xml:space="preserve">(*vs.EUR_M0h_30yVol) </t>
  </si>
  <si>
    <t xml:space="preserve">(*vs.EUR_M0q_1yVol) </t>
  </si>
  <si>
    <t xml:space="preserve">(*vs.EUR_M0q_2yVol) </t>
  </si>
  <si>
    <t xml:space="preserve">(*vs.EUR_M0q_3yVol) </t>
  </si>
  <si>
    <t xml:space="preserve">(*vs.EUR_M0q_4yVol) </t>
  </si>
  <si>
    <t xml:space="preserve">(*vs.EUR_M0q_5yVol) </t>
  </si>
  <si>
    <t xml:space="preserve">(*vs.EUR_M0q_6yVol) </t>
  </si>
  <si>
    <t xml:space="preserve">(*vs.EUR_M0q_7yVol) </t>
  </si>
  <si>
    <t xml:space="preserve">(*vs.EUR_M0q_8yVol) </t>
  </si>
  <si>
    <t xml:space="preserve">(*vs.EUR_M0q_9yVol) </t>
  </si>
  <si>
    <t xml:space="preserve">(*vs.EUR_M0q_10yVol) </t>
  </si>
  <si>
    <t xml:space="preserve">(*vs.EUR_M0q_12yVol) </t>
  </si>
  <si>
    <t xml:space="preserve">(*vs.EUR_M0q_15yVol) </t>
  </si>
  <si>
    <t xml:space="preserve">(*vs.EUR_M0q_20yVol) </t>
  </si>
  <si>
    <t xml:space="preserve">(*vs.EUR_M0q_25yVol) </t>
  </si>
  <si>
    <t xml:space="preserve">(*vs.EUR_M0q_30yVol) </t>
  </si>
  <si>
    <t xml:space="preserve">(*vs.EUR_0_1yVol) </t>
  </si>
  <si>
    <t xml:space="preserve">(*vs.EUR_0_2yVol) </t>
  </si>
  <si>
    <t xml:space="preserve">(*vs.EUR_0_3yVol) </t>
  </si>
  <si>
    <t xml:space="preserve">(*vs.EUR_0_4yVol) </t>
  </si>
  <si>
    <t xml:space="preserve">(*vs.EUR_0_5yVol) </t>
  </si>
  <si>
    <t xml:space="preserve">(*vs.EUR_0_6yVol) </t>
  </si>
  <si>
    <t xml:space="preserve">(*vs.EUR_0_7yVol) </t>
  </si>
  <si>
    <t xml:space="preserve">(*vs.EUR_0_8yVol) </t>
  </si>
  <si>
    <t xml:space="preserve">(*vs.EUR_0_9yVol) </t>
  </si>
  <si>
    <t xml:space="preserve">(*vs.EUR_0_10yVol) </t>
  </si>
  <si>
    <t xml:space="preserve">(*vs.EUR_0_12yVol) </t>
  </si>
  <si>
    <t xml:space="preserve">(*vs.EUR_0_15yVol) </t>
  </si>
  <si>
    <t xml:space="preserve">(*vs.EUR_0_20yVol) </t>
  </si>
  <si>
    <t xml:space="preserve">(*vs.EUR_0_25yVol) </t>
  </si>
  <si>
    <t xml:space="preserve">(*vs.EUR_0_30yVol) </t>
  </si>
  <si>
    <t xml:space="preserve">(*vs.EUR_0q_1yVol) </t>
  </si>
  <si>
    <t xml:space="preserve">(*vs.EUR_0q_2yVol) </t>
  </si>
  <si>
    <t xml:space="preserve">(*vs.EUR_0q_3yVol) </t>
  </si>
  <si>
    <t xml:space="preserve">(*vs.EUR_0q_4yVol) </t>
  </si>
  <si>
    <t xml:space="preserve">(*vs.EUR_0q_5yVol) </t>
  </si>
  <si>
    <t xml:space="preserve">(*vs.EUR_0q_6yVol) </t>
  </si>
  <si>
    <t xml:space="preserve">(*vs.EUR_0q_7yVol) </t>
  </si>
  <si>
    <t xml:space="preserve">(*vs.EUR_0q_8yVol) </t>
  </si>
  <si>
    <t xml:space="preserve">(*vs.EUR_0q_9yVol) </t>
  </si>
  <si>
    <t xml:space="preserve">(*vs.EUR_0q_10yVol) </t>
  </si>
  <si>
    <t xml:space="preserve">(*vs.EUR_0q_12yVol) </t>
  </si>
  <si>
    <t xml:space="preserve">(*vs.EUR_0q_15yVol) </t>
  </si>
  <si>
    <t xml:space="preserve">(*vs.EUR_0q_20yVol) </t>
  </si>
  <si>
    <t xml:space="preserve">(*vs.EUR_0q_25yVol) </t>
  </si>
  <si>
    <t xml:space="preserve">(*vs.EUR_0q_30yVol) </t>
  </si>
  <si>
    <t xml:space="preserve">(*vs.EUR_0h_1yVol) </t>
  </si>
  <si>
    <t xml:space="preserve">(*vs.EUR_0h_2yVol) </t>
  </si>
  <si>
    <t xml:space="preserve">(*vs.EUR_0h_3yVol) </t>
  </si>
  <si>
    <t xml:space="preserve">(*vs.EUR_0h_4yVol) </t>
  </si>
  <si>
    <t xml:space="preserve">(*vs.EUR_0h_5yVol) </t>
  </si>
  <si>
    <t xml:space="preserve">(*vs.EUR_0h_6yVol) </t>
  </si>
  <si>
    <t xml:space="preserve">(*vs.EUR_0h_7yVol) </t>
  </si>
  <si>
    <t xml:space="preserve">(*vs.EUR_0h_8yVol) </t>
  </si>
  <si>
    <t xml:space="preserve">(*vs.EUR_0h_9yVol) </t>
  </si>
  <si>
    <t xml:space="preserve">(*vs.EUR_0h_10yVol) </t>
  </si>
  <si>
    <t xml:space="preserve">(*vs.EUR_0h_12yVol) </t>
  </si>
  <si>
    <t xml:space="preserve">(*vs.EUR_0h_15yVol) </t>
  </si>
  <si>
    <t xml:space="preserve">(*vs.EUR_0h_20yVol) </t>
  </si>
  <si>
    <t xml:space="preserve">(*vs.EUR_0h_25yVol) </t>
  </si>
  <si>
    <t xml:space="preserve">(*vs.EUR_0h_30yVol) </t>
  </si>
  <si>
    <t>void sample_CapFloorVol_MktData(CapFloorVolSurfaceData &amp;vs)</t>
  </si>
  <si>
    <t>{</t>
  </si>
  <si>
    <t>}</t>
  </si>
  <si>
    <t>void sample_eonia_MktData(CurveData &amp;cd)</t>
  </si>
  <si>
    <t xml:space="preserve">(*cd.eoniad1wRate) </t>
  </si>
  <si>
    <t xml:space="preserve">(*cd.eoniad2wRate) </t>
  </si>
  <si>
    <t xml:space="preserve">(*cd.eoniad3wRate) </t>
  </si>
  <si>
    <t xml:space="preserve">(*cd.eoniad1mRate) </t>
  </si>
  <si>
    <t xml:space="preserve">(*cd.eoniad2mRate) </t>
  </si>
  <si>
    <t xml:space="preserve">(*cd.eoniad3mRate) </t>
  </si>
  <si>
    <t xml:space="preserve">(*cd.eoniad4mRate) </t>
  </si>
  <si>
    <t xml:space="preserve">(*cd.eoniad5mRate) </t>
  </si>
  <si>
    <t xml:space="preserve">(*cd.eoniad6mRate) </t>
  </si>
  <si>
    <t xml:space="preserve">(*cd.eoniad7mRate) </t>
  </si>
  <si>
    <t xml:space="preserve">(*cd.eoniad8mRate) </t>
  </si>
  <si>
    <t xml:space="preserve">(*cd.eoniad9mRate) </t>
  </si>
  <si>
    <t xml:space="preserve">(*cd.eoniad10mRate) </t>
  </si>
  <si>
    <t xml:space="preserve">(*cd.eoniad11mRate) </t>
  </si>
  <si>
    <t xml:space="preserve">(*cd.eoniad1yRate) </t>
  </si>
  <si>
    <t xml:space="preserve">(*cd.eonias15mRate) </t>
  </si>
  <si>
    <t xml:space="preserve">(*cd.eonias18mRate) </t>
  </si>
  <si>
    <t xml:space="preserve">(*cd.eonias21mRate) </t>
  </si>
  <si>
    <t xml:space="preserve">(*cd.eonias2yRate) </t>
  </si>
  <si>
    <t xml:space="preserve">(*cd.eonias3yRate) </t>
  </si>
  <si>
    <t xml:space="preserve">(*cd.eonias4yRate) </t>
  </si>
  <si>
    <t xml:space="preserve">(*cd.eonias5yRate) </t>
  </si>
  <si>
    <t xml:space="preserve">(*cd.eonias6yRate) </t>
  </si>
  <si>
    <t xml:space="preserve">(*cd.eonias7yRate) </t>
  </si>
  <si>
    <t xml:space="preserve">(*cd.eonias8yRate) </t>
  </si>
  <si>
    <t xml:space="preserve">(*cd.eonias9yRate) </t>
  </si>
  <si>
    <t xml:space="preserve">(*cd.eonias10yRate) </t>
  </si>
  <si>
    <t xml:space="preserve">(*cd.eonias11yRate) </t>
  </si>
  <si>
    <t xml:space="preserve">(*cd.eonias12yRate) </t>
  </si>
  <si>
    <t xml:space="preserve">(*cd.eonias15yRate) </t>
  </si>
  <si>
    <t xml:space="preserve">(*cd.eonias20yRate) </t>
  </si>
  <si>
    <t xml:space="preserve">(*cd.eonias25yRate) </t>
  </si>
  <si>
    <t xml:space="preserve">(*cd.eonias30yRate) </t>
  </si>
  <si>
    <t xml:space="preserve">(*cd.eonias40yRate) </t>
  </si>
  <si>
    <t xml:space="preserve">(*cd.eonias50yRate) </t>
  </si>
  <si>
    <t>void sample_eo3m_MktData(CurveData &amp;cd)</t>
  </si>
  <si>
    <t xml:space="preserve">(*cd.eo3md1wRate) </t>
  </si>
  <si>
    <t xml:space="preserve">(*cd.eo3md1mRate) </t>
  </si>
  <si>
    <t xml:space="preserve">(*cd.eo3md2mRate) </t>
  </si>
  <si>
    <t xml:space="preserve">(*cd.eo3md3mRate) </t>
  </si>
  <si>
    <t xml:space="preserve">(*cd.eo3mfra1x4Rate) </t>
  </si>
  <si>
    <t xml:space="preserve">(*cd.eo3mfra2x5Rate) </t>
  </si>
  <si>
    <t xml:space="preserve">(*cd.eo3mfra3x6Rate) </t>
  </si>
  <si>
    <t xml:space="preserve">(*cd.eo3mfra4x7Rate) </t>
  </si>
  <si>
    <t xml:space="preserve">(*cd.eo3mfra5x8Rate) </t>
  </si>
  <si>
    <t xml:space="preserve">(*cd.eo3mfra6x9Rate) </t>
  </si>
  <si>
    <t xml:space="preserve">(*cd.eo3mfra9x12Rate) </t>
  </si>
  <si>
    <t xml:space="preserve">(*cd.eo3mfra12x15Rate) </t>
  </si>
  <si>
    <t xml:space="preserve">(*cd.eo3ms2yRate) </t>
  </si>
  <si>
    <t xml:space="preserve">(*cd.eo3ms3yRate) </t>
  </si>
  <si>
    <t xml:space="preserve">(*cd.eo3ms4yRate) </t>
  </si>
  <si>
    <t xml:space="preserve">(*cd.eo3ms5yRate) </t>
  </si>
  <si>
    <t xml:space="preserve">(*cd.eo3ms6yRate) </t>
  </si>
  <si>
    <t xml:space="preserve">(*cd.eo3ms7yRate) </t>
  </si>
  <si>
    <t xml:space="preserve">(*cd.eo3ms8yRate) </t>
  </si>
  <si>
    <t xml:space="preserve">(*cd.eo3ms9yRate) </t>
  </si>
  <si>
    <t xml:space="preserve">(*cd.eo3ms10yRate) </t>
  </si>
  <si>
    <t xml:space="preserve">(*cd.eo3ms12yRate) </t>
  </si>
  <si>
    <t xml:space="preserve">(*cd.eo3ms15yRate) </t>
  </si>
  <si>
    <t xml:space="preserve">(*cd.eo3ms20yRate) </t>
  </si>
  <si>
    <t xml:space="preserve">(*cd.eo3ms25yRate) </t>
  </si>
  <si>
    <t xml:space="preserve">(*cd.eo3ms30yRate) </t>
  </si>
  <si>
    <t xml:space="preserve">(*cd.eo3ms40yRate) </t>
  </si>
  <si>
    <t xml:space="preserve">(*cd.eo3ms50yRate) </t>
  </si>
  <si>
    <t>02.06 Close</t>
  </si>
  <si>
    <t>23.06 Close</t>
  </si>
  <si>
    <t>24.06 Close</t>
  </si>
  <si>
    <t>27.06 Close</t>
  </si>
  <si>
    <t>14.06 Close</t>
  </si>
  <si>
    <t>01.07.16 Close</t>
  </si>
  <si>
    <t>04.07.16 Close</t>
  </si>
  <si>
    <t xml:space="preserve"> Fwd Vol[1][0] </t>
  </si>
  <si>
    <t xml:space="preserve"> Fwd Vol[2][0] </t>
  </si>
  <si>
    <t xml:space="preserve"> Fwd Vol[3][0] </t>
  </si>
  <si>
    <t xml:space="preserve"> Fwd Vol[4][0] </t>
  </si>
  <si>
    <t xml:space="preserve"> Fwd Vol[5][0] </t>
  </si>
  <si>
    <t xml:space="preserve"> Fwd Vol[6][0] </t>
  </si>
  <si>
    <t xml:space="preserve"> Fwd Vol[7][0] </t>
  </si>
  <si>
    <t xml:space="preserve"> Fwd Vol[8][0] </t>
  </si>
  <si>
    <t xml:space="preserve"> Fwd Vol[9][0] </t>
  </si>
  <si>
    <t xml:space="preserve"> Fwd Vol[10][0] </t>
  </si>
  <si>
    <t xml:space="preserve"> Fwd Vol[11][0] </t>
  </si>
  <si>
    <t xml:space="preserve"> Fwd Vol[12][0] </t>
  </si>
  <si>
    <t xml:space="preserve"> Fwd Vol[13][0] </t>
  </si>
  <si>
    <t xml:space="preserve"> Fwd Vol[14][0] </t>
  </si>
  <si>
    <t xml:space="preserve"> Fwd Vol[15][0] </t>
  </si>
  <si>
    <t xml:space="preserve"> Fwd Vol[16][0] </t>
  </si>
  <si>
    <t xml:space="preserve"> Fwd Vol[17][0] </t>
  </si>
  <si>
    <t xml:space="preserve"> Fwd Vol[18][0] </t>
  </si>
  <si>
    <t xml:space="preserve"> Fwd Vol[19][0] </t>
  </si>
  <si>
    <t xml:space="preserve"> Fwd Vol[20][0] </t>
  </si>
  <si>
    <t xml:space="preserve"> Fwd Vol[21][0] </t>
  </si>
  <si>
    <t xml:space="preserve"> Fwd Vol[22][0] </t>
  </si>
  <si>
    <t xml:space="preserve"> Fwd Vol[23][0] </t>
  </si>
  <si>
    <t xml:space="preserve"> Fwd Vol[24][0] </t>
  </si>
  <si>
    <t xml:space="preserve"> Fwd Vol[25][0] </t>
  </si>
  <si>
    <t xml:space="preserve"> Fwd Vol[26][0] </t>
  </si>
  <si>
    <t xml:space="preserve"> Fwd Vol[27][0] </t>
  </si>
  <si>
    <t xml:space="preserve"> Fwd Vol[28][0] </t>
  </si>
  <si>
    <t xml:space="preserve"> Fwd Vol[29][0] </t>
  </si>
  <si>
    <t xml:space="preserve"> Fwd Vol[30][0] </t>
  </si>
  <si>
    <t xml:space="preserve"> Fwd Vol[31][0] </t>
  </si>
  <si>
    <t xml:space="preserve"> Fwd Vol[32][0] </t>
  </si>
  <si>
    <t xml:space="preserve"> Fwd Vol[33][0] </t>
  </si>
  <si>
    <t xml:space="preserve"> Fwd Vol[34][0] </t>
  </si>
  <si>
    <t xml:space="preserve"> Fwd Vol[35][0] </t>
  </si>
  <si>
    <t xml:space="preserve"> Fwd Vol[36][0] </t>
  </si>
  <si>
    <t xml:space="preserve"> Fwd Vol[37][0] </t>
  </si>
  <si>
    <t xml:space="preserve"> Fwd Vol[38][0] </t>
  </si>
  <si>
    <t xml:space="preserve"> Fwd Vol[39][0] </t>
  </si>
  <si>
    <t xml:space="preserve"> Fwd Vol[40][0] </t>
  </si>
  <si>
    <t xml:space="preserve"> Fwd Vol[41][0] </t>
  </si>
  <si>
    <t xml:space="preserve"> Fwd Vol[42][0] </t>
  </si>
  <si>
    <t xml:space="preserve"> Fwd Vol[43][0] </t>
  </si>
  <si>
    <t xml:space="preserve"> Fwd Vol[44][0] </t>
  </si>
  <si>
    <t xml:space="preserve"> Fwd Vol[45][0] </t>
  </si>
  <si>
    <t xml:space="preserve"> Fwd Vol[46][0] </t>
  </si>
  <si>
    <t xml:space="preserve"> Fwd Vol[47][0] </t>
  </si>
  <si>
    <t xml:space="preserve"> Fwd Vol[48][0] </t>
  </si>
  <si>
    <t xml:space="preserve"> Fwd Vol[49][0] </t>
  </si>
  <si>
    <t xml:space="preserve"> Fwd Vol[50][0] </t>
  </si>
  <si>
    <t xml:space="preserve"> Fwd Vol[51][0] </t>
  </si>
  <si>
    <t xml:space="preserve"> Fwd Vol[52][0] </t>
  </si>
  <si>
    <t xml:space="preserve"> Fwd Vol[53][0] </t>
  </si>
  <si>
    <t xml:space="preserve"> Fwd Vol[54][0] </t>
  </si>
  <si>
    <t xml:space="preserve"> Fwd Vol[55][0] </t>
  </si>
  <si>
    <t xml:space="preserve"> Fwd Vol[56][0] </t>
  </si>
  <si>
    <t xml:space="preserve"> Fwd Vol[57][0] </t>
  </si>
  <si>
    <t xml:space="preserve"> Fwd Vol[58][0] </t>
  </si>
  <si>
    <t xml:space="preserve"> Fwd Vol[0][1] </t>
  </si>
  <si>
    <t xml:space="preserve"> Fwd Vol[1][1] </t>
  </si>
  <si>
    <t xml:space="preserve"> Fwd Vol[2][1] </t>
  </si>
  <si>
    <t xml:space="preserve"> Fwd Vol[3][1] </t>
  </si>
  <si>
    <t xml:space="preserve"> Fwd Vol[4][1] </t>
  </si>
  <si>
    <t xml:space="preserve"> Fwd Vol[5][1] </t>
  </si>
  <si>
    <t xml:space="preserve"> Fwd Vol[6][1] </t>
  </si>
  <si>
    <t xml:space="preserve"> Fwd Vol[7][1] </t>
  </si>
  <si>
    <t xml:space="preserve"> Fwd Vol[8][1] </t>
  </si>
  <si>
    <t xml:space="preserve"> Fwd Vol[9][1] </t>
  </si>
  <si>
    <t xml:space="preserve"> Fwd Vol[10][1] </t>
  </si>
  <si>
    <t xml:space="preserve"> Fwd Vol[11][1] </t>
  </si>
  <si>
    <t xml:space="preserve"> Fwd Vol[12][1] </t>
  </si>
  <si>
    <t xml:space="preserve"> Fwd Vol[13][1] </t>
  </si>
  <si>
    <t xml:space="preserve"> Fwd Vol[14][1] </t>
  </si>
  <si>
    <t xml:space="preserve"> Fwd Vol[15][1] </t>
  </si>
  <si>
    <t xml:space="preserve"> Fwd Vol[16][1] </t>
  </si>
  <si>
    <t xml:space="preserve"> Fwd Vol[17][1] </t>
  </si>
  <si>
    <t xml:space="preserve"> Fwd Vol[18][1] </t>
  </si>
  <si>
    <t xml:space="preserve"> Fwd Vol[19][1] </t>
  </si>
  <si>
    <t xml:space="preserve"> Fwd Vol[20][1] </t>
  </si>
  <si>
    <t xml:space="preserve"> Fwd Vol[21][1] </t>
  </si>
  <si>
    <t xml:space="preserve"> Fwd Vol[22][1] </t>
  </si>
  <si>
    <t xml:space="preserve"> Fwd Vol[23][1] </t>
  </si>
  <si>
    <t xml:space="preserve"> Fwd Vol[24][1] </t>
  </si>
  <si>
    <t xml:space="preserve"> Fwd Vol[25][1] </t>
  </si>
  <si>
    <t xml:space="preserve"> Fwd Vol[26][1] </t>
  </si>
  <si>
    <t xml:space="preserve"> Fwd Vol[27][1] </t>
  </si>
  <si>
    <t xml:space="preserve"> Fwd Vol[28][1] </t>
  </si>
  <si>
    <t xml:space="preserve"> Fwd Vol[29][1] </t>
  </si>
  <si>
    <t xml:space="preserve"> Fwd Vol[30][1] </t>
  </si>
  <si>
    <t xml:space="preserve"> Fwd Vol[31][1] </t>
  </si>
  <si>
    <t xml:space="preserve"> Fwd Vol[32][1] </t>
  </si>
  <si>
    <t xml:space="preserve"> Fwd Vol[33][1] </t>
  </si>
  <si>
    <t xml:space="preserve"> Fwd Vol[34][1] </t>
  </si>
  <si>
    <t xml:space="preserve"> Fwd Vol[35][1] </t>
  </si>
  <si>
    <t xml:space="preserve"> Fwd Vol[36][1] </t>
  </si>
  <si>
    <t xml:space="preserve"> Fwd Vol[37][1] </t>
  </si>
  <si>
    <t xml:space="preserve"> Fwd Vol[38][1] </t>
  </si>
  <si>
    <t xml:space="preserve"> Fwd Vol[39][1] </t>
  </si>
  <si>
    <t xml:space="preserve"> Fwd Vol[40][1] </t>
  </si>
  <si>
    <t xml:space="preserve"> Fwd Vol[41][1] </t>
  </si>
  <si>
    <t xml:space="preserve"> Fwd Vol[42][1] </t>
  </si>
  <si>
    <t xml:space="preserve"> Fwd Vol[43][1] </t>
  </si>
  <si>
    <t xml:space="preserve"> Fwd Vol[44][1] </t>
  </si>
  <si>
    <t xml:space="preserve"> Fwd Vol[45][1] </t>
  </si>
  <si>
    <t xml:space="preserve"> Fwd Vol[46][1] </t>
  </si>
  <si>
    <t xml:space="preserve"> Fwd Vol[47][1] </t>
  </si>
  <si>
    <t xml:space="preserve"> Fwd Vol[48][1] </t>
  </si>
  <si>
    <t xml:space="preserve"> Fwd Vol[49][1] </t>
  </si>
  <si>
    <t xml:space="preserve"> Fwd Vol[50][1] </t>
  </si>
  <si>
    <t xml:space="preserve"> Fwd Vol[51][1] </t>
  </si>
  <si>
    <t xml:space="preserve"> Fwd Vol[52][1] </t>
  </si>
  <si>
    <t xml:space="preserve"> Fwd Vol[53][1] </t>
  </si>
  <si>
    <t xml:space="preserve"> Fwd Vol[54][1] </t>
  </si>
  <si>
    <t xml:space="preserve"> Fwd Vol[55][1] </t>
  </si>
  <si>
    <t xml:space="preserve"> Fwd Vol[56][1] </t>
  </si>
  <si>
    <t xml:space="preserve"> Fwd Vol[57][1] </t>
  </si>
  <si>
    <t xml:space="preserve"> Fwd Vol[58][1] </t>
  </si>
  <si>
    <t xml:space="preserve"> Fwd Vol[0][2] </t>
  </si>
  <si>
    <t xml:space="preserve"> Fwd Vol[1][2] </t>
  </si>
  <si>
    <t xml:space="preserve"> Fwd Vol[2][2] </t>
  </si>
  <si>
    <t xml:space="preserve"> Fwd Vol[3][2] </t>
  </si>
  <si>
    <t xml:space="preserve"> Fwd Vol[4][2] </t>
  </si>
  <si>
    <t xml:space="preserve"> Fwd Vol[5][2] </t>
  </si>
  <si>
    <t xml:space="preserve"> Fwd Vol[6][2] </t>
  </si>
  <si>
    <t xml:space="preserve"> Fwd Vol[7][2] </t>
  </si>
  <si>
    <t xml:space="preserve"> Fwd Vol[8][2] </t>
  </si>
  <si>
    <t xml:space="preserve"> Fwd Vol[9][2] </t>
  </si>
  <si>
    <t xml:space="preserve"> Fwd Vol[10][2] </t>
  </si>
  <si>
    <t xml:space="preserve"> Fwd Vol[11][2] </t>
  </si>
  <si>
    <t xml:space="preserve"> Fwd Vol[12][2] </t>
  </si>
  <si>
    <t xml:space="preserve"> Fwd Vol[13][2] </t>
  </si>
  <si>
    <t xml:space="preserve"> Fwd Vol[14][2] </t>
  </si>
  <si>
    <t xml:space="preserve"> Fwd Vol[15][2] </t>
  </si>
  <si>
    <t xml:space="preserve"> Fwd Vol[16][2] </t>
  </si>
  <si>
    <t xml:space="preserve"> Fwd Vol[17][2] </t>
  </si>
  <si>
    <t xml:space="preserve"> Fwd Vol[18][2] </t>
  </si>
  <si>
    <t xml:space="preserve"> Fwd Vol[19][2] </t>
  </si>
  <si>
    <t xml:space="preserve"> Fwd Vol[20][2] </t>
  </si>
  <si>
    <t xml:space="preserve"> Fwd Vol[21][2] </t>
  </si>
  <si>
    <t xml:space="preserve"> Fwd Vol[22][2] </t>
  </si>
  <si>
    <t xml:space="preserve"> Fwd Vol[23][2] </t>
  </si>
  <si>
    <t xml:space="preserve"> Fwd Vol[24][2] </t>
  </si>
  <si>
    <t xml:space="preserve"> Fwd Vol[25][2] </t>
  </si>
  <si>
    <t xml:space="preserve"> Fwd Vol[26][2] </t>
  </si>
  <si>
    <t xml:space="preserve"> Fwd Vol[27][2] </t>
  </si>
  <si>
    <t xml:space="preserve"> Fwd Vol[28][2] </t>
  </si>
  <si>
    <t xml:space="preserve"> Fwd Vol[29][2] </t>
  </si>
  <si>
    <t xml:space="preserve"> Fwd Vol[30][2] </t>
  </si>
  <si>
    <t xml:space="preserve"> Fwd Vol[31][2] </t>
  </si>
  <si>
    <t xml:space="preserve"> Fwd Vol[32][2] </t>
  </si>
  <si>
    <t xml:space="preserve"> Fwd Vol[33][2] </t>
  </si>
  <si>
    <t xml:space="preserve"> Fwd Vol[34][2] </t>
  </si>
  <si>
    <t xml:space="preserve"> Fwd Vol[35][2] </t>
  </si>
  <si>
    <t xml:space="preserve"> Fwd Vol[36][2] </t>
  </si>
  <si>
    <t xml:space="preserve"> Fwd Vol[37][2] </t>
  </si>
  <si>
    <t xml:space="preserve"> Fwd Vol[38][2] </t>
  </si>
  <si>
    <t xml:space="preserve"> Fwd Vol[39][2] </t>
  </si>
  <si>
    <t xml:space="preserve"> Fwd Vol[40][2] </t>
  </si>
  <si>
    <t xml:space="preserve"> Fwd Vol[41][2] </t>
  </si>
  <si>
    <t xml:space="preserve"> Fwd Vol[42][2] </t>
  </si>
  <si>
    <t xml:space="preserve"> Fwd Vol[43][2] </t>
  </si>
  <si>
    <t xml:space="preserve"> Fwd Vol[44][2] </t>
  </si>
  <si>
    <t xml:space="preserve"> Fwd Vol[45][2] </t>
  </si>
  <si>
    <t xml:space="preserve"> Fwd Vol[46][2] </t>
  </si>
  <si>
    <t xml:space="preserve"> Fwd Vol[47][2] </t>
  </si>
  <si>
    <t xml:space="preserve"> Fwd Vol[48][2] </t>
  </si>
  <si>
    <t xml:space="preserve"> Fwd Vol[49][2] </t>
  </si>
  <si>
    <t xml:space="preserve"> Fwd Vol[50][2] </t>
  </si>
  <si>
    <t xml:space="preserve"> Fwd Vol[51][2] </t>
  </si>
  <si>
    <t xml:space="preserve"> Fwd Vol[52][2] </t>
  </si>
  <si>
    <t xml:space="preserve"> Fwd Vol[53][2] </t>
  </si>
  <si>
    <t xml:space="preserve"> Fwd Vol[54][2] </t>
  </si>
  <si>
    <t xml:space="preserve"> Fwd Vol[55][2] </t>
  </si>
  <si>
    <t xml:space="preserve"> Fwd Vol[56][2] </t>
  </si>
  <si>
    <t xml:space="preserve"> Fwd Vol[57][2] </t>
  </si>
  <si>
    <t xml:space="preserve"> Fwd Vol[58][2] </t>
  </si>
  <si>
    <t xml:space="preserve"> Fwd Vol[0][3] </t>
  </si>
  <si>
    <t xml:space="preserve"> Fwd Vol[1][3] </t>
  </si>
  <si>
    <t xml:space="preserve"> Fwd Vol[2][3] </t>
  </si>
  <si>
    <t xml:space="preserve"> Fwd Vol[3][3] </t>
  </si>
  <si>
    <t xml:space="preserve"> Fwd Vol[4][3] </t>
  </si>
  <si>
    <t xml:space="preserve"> Fwd Vol[5][3] </t>
  </si>
  <si>
    <t xml:space="preserve"> Fwd Vol[6][3] </t>
  </si>
  <si>
    <t xml:space="preserve"> Fwd Vol[7][3] </t>
  </si>
  <si>
    <t xml:space="preserve"> Fwd Vol[8][3] </t>
  </si>
  <si>
    <t xml:space="preserve"> Fwd Vol[9][3] </t>
  </si>
  <si>
    <t xml:space="preserve"> Fwd Vol[10][3] </t>
  </si>
  <si>
    <t xml:space="preserve"> Fwd Vol[11][3] </t>
  </si>
  <si>
    <t xml:space="preserve"> Fwd Vol[12][3] </t>
  </si>
  <si>
    <t xml:space="preserve"> Fwd Vol[13][3] </t>
  </si>
  <si>
    <t xml:space="preserve"> Fwd Vol[14][3] </t>
  </si>
  <si>
    <t xml:space="preserve"> Fwd Vol[15][3] </t>
  </si>
  <si>
    <t xml:space="preserve"> Fwd Vol[16][3] </t>
  </si>
  <si>
    <t xml:space="preserve"> Fwd Vol[17][3] </t>
  </si>
  <si>
    <t xml:space="preserve"> Fwd Vol[18][3] </t>
  </si>
  <si>
    <t xml:space="preserve"> Fwd Vol[19][3] </t>
  </si>
  <si>
    <t xml:space="preserve"> Fwd Vol[20][3] </t>
  </si>
  <si>
    <t xml:space="preserve"> Fwd Vol[21][3] </t>
  </si>
  <si>
    <t xml:space="preserve"> Fwd Vol[22][3] </t>
  </si>
  <si>
    <t xml:space="preserve"> Fwd Vol[23][3] </t>
  </si>
  <si>
    <t xml:space="preserve"> Fwd Vol[24][3] </t>
  </si>
  <si>
    <t xml:space="preserve"> Fwd Vol[25][3] </t>
  </si>
  <si>
    <t xml:space="preserve"> Fwd Vol[26][3] </t>
  </si>
  <si>
    <t xml:space="preserve"> Fwd Vol[27][3] </t>
  </si>
  <si>
    <t xml:space="preserve"> Fwd Vol[28][3] </t>
  </si>
  <si>
    <t xml:space="preserve"> Fwd Vol[29][3] </t>
  </si>
  <si>
    <t xml:space="preserve"> Fwd Vol[30][3] </t>
  </si>
  <si>
    <t xml:space="preserve"> Fwd Vol[31][3] </t>
  </si>
  <si>
    <t xml:space="preserve"> Fwd Vol[32][3] </t>
  </si>
  <si>
    <t xml:space="preserve"> Fwd Vol[33][3] </t>
  </si>
  <si>
    <t xml:space="preserve"> Fwd Vol[34][3] </t>
  </si>
  <si>
    <t xml:space="preserve"> Fwd Vol[35][3] </t>
  </si>
  <si>
    <t xml:space="preserve"> Fwd Vol[36][3] </t>
  </si>
  <si>
    <t xml:space="preserve"> Fwd Vol[37][3] </t>
  </si>
  <si>
    <t xml:space="preserve"> Fwd Vol[38][3] </t>
  </si>
  <si>
    <t xml:space="preserve"> Fwd Vol[39][3] </t>
  </si>
  <si>
    <t xml:space="preserve"> Fwd Vol[40][3] </t>
  </si>
  <si>
    <t xml:space="preserve"> Fwd Vol[41][3] </t>
  </si>
  <si>
    <t xml:space="preserve"> Fwd Vol[42][3] </t>
  </si>
  <si>
    <t xml:space="preserve"> Fwd Vol[43][3] </t>
  </si>
  <si>
    <t xml:space="preserve"> Fwd Vol[44][3] </t>
  </si>
  <si>
    <t xml:space="preserve"> Fwd Vol[45][3] </t>
  </si>
  <si>
    <t xml:space="preserve"> Fwd Vol[46][3] </t>
  </si>
  <si>
    <t xml:space="preserve"> Fwd Vol[47][3] </t>
  </si>
  <si>
    <t xml:space="preserve"> Fwd Vol[48][3] </t>
  </si>
  <si>
    <t xml:space="preserve"> Fwd Vol[49][3] </t>
  </si>
  <si>
    <t xml:space="preserve"> Fwd Vol[50][3] </t>
  </si>
  <si>
    <t xml:space="preserve"> Fwd Vol[51][3] </t>
  </si>
  <si>
    <t xml:space="preserve"> Fwd Vol[52][3] </t>
  </si>
  <si>
    <t xml:space="preserve"> Fwd Vol[53][3] </t>
  </si>
  <si>
    <t xml:space="preserve"> Fwd Vol[54][3] </t>
  </si>
  <si>
    <t xml:space="preserve"> Fwd Vol[55][3] </t>
  </si>
  <si>
    <t xml:space="preserve"> Fwd Vol[56][3] </t>
  </si>
  <si>
    <t xml:space="preserve"> Fwd Vol[57][3] </t>
  </si>
  <si>
    <t xml:space="preserve"> Fwd Vol[58][3] </t>
  </si>
  <si>
    <t xml:space="preserve"> Fwd Vol[0][4] </t>
  </si>
  <si>
    <t xml:space="preserve"> Fwd Vol[1][4] </t>
  </si>
  <si>
    <t xml:space="preserve"> Fwd Vol[2][4] </t>
  </si>
  <si>
    <t xml:space="preserve"> Fwd Vol[3][4] </t>
  </si>
  <si>
    <t xml:space="preserve"> Fwd Vol[4][4] </t>
  </si>
  <si>
    <t xml:space="preserve"> Fwd Vol[5][4] </t>
  </si>
  <si>
    <t xml:space="preserve"> Fwd Vol[6][4] </t>
  </si>
  <si>
    <t xml:space="preserve"> Fwd Vol[7][4] </t>
  </si>
  <si>
    <t xml:space="preserve"> Fwd Vol[8][4] </t>
  </si>
  <si>
    <t xml:space="preserve"> Fwd Vol[9][4] </t>
  </si>
  <si>
    <t xml:space="preserve"> Fwd Vol[10][4] </t>
  </si>
  <si>
    <t xml:space="preserve"> Fwd Vol[11][4] </t>
  </si>
  <si>
    <t xml:space="preserve"> Fwd Vol[12][4] </t>
  </si>
  <si>
    <t xml:space="preserve"> Fwd Vol[13][4] </t>
  </si>
  <si>
    <t xml:space="preserve"> Fwd Vol[14][4] </t>
  </si>
  <si>
    <t xml:space="preserve"> Fwd Vol[15][4] </t>
  </si>
  <si>
    <t xml:space="preserve"> Fwd Vol[16][4] </t>
  </si>
  <si>
    <t xml:space="preserve"> Fwd Vol[17][4] </t>
  </si>
  <si>
    <t xml:space="preserve"> Fwd Vol[18][4] </t>
  </si>
  <si>
    <t xml:space="preserve"> Fwd Vol[19][4] </t>
  </si>
  <si>
    <t xml:space="preserve"> Fwd Vol[20][4] </t>
  </si>
  <si>
    <t xml:space="preserve"> Fwd Vol[21][4] </t>
  </si>
  <si>
    <t xml:space="preserve"> Fwd Vol[22][4] </t>
  </si>
  <si>
    <t xml:space="preserve"> Fwd Vol[23][4] </t>
  </si>
  <si>
    <t xml:space="preserve"> Fwd Vol[24][4] </t>
  </si>
  <si>
    <t xml:space="preserve"> Fwd Vol[25][4] </t>
  </si>
  <si>
    <t xml:space="preserve"> Fwd Vol[26][4] </t>
  </si>
  <si>
    <t xml:space="preserve"> Fwd Vol[27][4] </t>
  </si>
  <si>
    <t xml:space="preserve"> Fwd Vol[28][4] </t>
  </si>
  <si>
    <t xml:space="preserve"> Fwd Vol[29][4] </t>
  </si>
  <si>
    <t xml:space="preserve"> Fwd Vol[30][4] </t>
  </si>
  <si>
    <t xml:space="preserve"> Fwd Vol[31][4] </t>
  </si>
  <si>
    <t xml:space="preserve"> Fwd Vol[32][4] </t>
  </si>
  <si>
    <t xml:space="preserve"> Fwd Vol[33][4] </t>
  </si>
  <si>
    <t xml:space="preserve"> Fwd Vol[34][4] </t>
  </si>
  <si>
    <t xml:space="preserve"> Fwd Vol[35][4] </t>
  </si>
  <si>
    <t xml:space="preserve"> Fwd Vol[36][4] </t>
  </si>
  <si>
    <t xml:space="preserve"> Fwd Vol[37][4] </t>
  </si>
  <si>
    <t xml:space="preserve"> Fwd Vol[38][4] </t>
  </si>
  <si>
    <t xml:space="preserve"> Fwd Vol[39][4] </t>
  </si>
  <si>
    <t xml:space="preserve"> Fwd Vol[40][4] </t>
  </si>
  <si>
    <t xml:space="preserve"> Fwd Vol[41][4] </t>
  </si>
  <si>
    <t xml:space="preserve"> Fwd Vol[42][4] </t>
  </si>
  <si>
    <t xml:space="preserve"> Fwd Vol[43][4] </t>
  </si>
  <si>
    <t xml:space="preserve"> Fwd Vol[44][4] </t>
  </si>
  <si>
    <t xml:space="preserve"> Fwd Vol[45][4] </t>
  </si>
  <si>
    <t xml:space="preserve"> Fwd Vol[46][4] </t>
  </si>
  <si>
    <t xml:space="preserve"> Fwd Vol[47][4] </t>
  </si>
  <si>
    <t xml:space="preserve"> Fwd Vol[48][4] </t>
  </si>
  <si>
    <t xml:space="preserve"> Fwd Vol[49][4] </t>
  </si>
  <si>
    <t xml:space="preserve"> Fwd Vol[50][4] </t>
  </si>
  <si>
    <t xml:space="preserve"> Fwd Vol[51][4] </t>
  </si>
  <si>
    <t xml:space="preserve"> Fwd Vol[52][4] </t>
  </si>
  <si>
    <t xml:space="preserve"> Fwd Vol[53][4] </t>
  </si>
  <si>
    <t xml:space="preserve"> Fwd Vol[54][4] </t>
  </si>
  <si>
    <t xml:space="preserve"> Fwd Vol[55][4] </t>
  </si>
  <si>
    <t xml:space="preserve"> Fwd Vol[56][4] </t>
  </si>
  <si>
    <t xml:space="preserve"> Fwd Vol[57][4] </t>
  </si>
  <si>
    <t xml:space="preserve"> Fwd Vol[58][4] </t>
  </si>
  <si>
    <t>1</t>
  </si>
  <si>
    <t>3</t>
  </si>
  <si>
    <t>5</t>
  </si>
  <si>
    <t>7</t>
  </si>
  <si>
    <t>9</t>
  </si>
  <si>
    <t>11</t>
  </si>
  <si>
    <t>13</t>
  </si>
  <si>
    <t>15</t>
  </si>
  <si>
    <t>17</t>
  </si>
  <si>
    <t>19</t>
  </si>
  <si>
    <t>23</t>
  </si>
  <si>
    <t>29</t>
  </si>
  <si>
    <t>39</t>
  </si>
  <si>
    <t>49</t>
  </si>
  <si>
    <t>59</t>
  </si>
  <si>
    <t>Fwd Vol[1][0]</t>
  </si>
  <si>
    <t>Fwd Vol[1][1]</t>
  </si>
  <si>
    <t>Fwd Vol[1][2]</t>
  </si>
  <si>
    <t>Fwd Vol[1][3]</t>
  </si>
  <si>
    <t>Fwd Vol[1][4]</t>
  </si>
  <si>
    <t>Fwd Vol[3][0]</t>
  </si>
  <si>
    <t>Fwd Vol[3][1]</t>
  </si>
  <si>
    <t>Fwd Vol[3][2]</t>
  </si>
  <si>
    <t>Fwd Vol[3][3]</t>
  </si>
  <si>
    <t>Fwd Vol[3][4]</t>
  </si>
  <si>
    <t>Fwd Vol[5][0]</t>
  </si>
  <si>
    <t>Fwd Vol[5][1]</t>
  </si>
  <si>
    <t>Fwd Vol[5][2]</t>
  </si>
  <si>
    <t>Fwd Vol[5][3]</t>
  </si>
  <si>
    <t>Fwd Vol[5][4]</t>
  </si>
  <si>
    <t>Fwd Vol[7][0]</t>
  </si>
  <si>
    <t>Fwd Vol[7][1]</t>
  </si>
  <si>
    <t>Fwd Vol[7][2]</t>
  </si>
  <si>
    <t>Fwd Vol[7][3]</t>
  </si>
  <si>
    <t>Fwd Vol[7][4]</t>
  </si>
  <si>
    <t>Fwd Vol[9][0]</t>
  </si>
  <si>
    <t>Fwd Vol[9][1]</t>
  </si>
  <si>
    <t>Fwd Vol[9][2]</t>
  </si>
  <si>
    <t>Fwd Vol[9][3]</t>
  </si>
  <si>
    <t>Fwd Vol[9][4]</t>
  </si>
  <si>
    <t>Fwd Vol[11][0]</t>
  </si>
  <si>
    <t>Fwd Vol[11][1]</t>
  </si>
  <si>
    <t>Fwd Vol[11][2]</t>
  </si>
  <si>
    <t>Fwd Vol[11][3]</t>
  </si>
  <si>
    <t>Fwd Vol[11][4]</t>
  </si>
  <si>
    <t>Fwd Vol[13][0]</t>
  </si>
  <si>
    <t>Fwd Vol[13][1]</t>
  </si>
  <si>
    <t>Fwd Vol[13][2]</t>
  </si>
  <si>
    <t>Fwd Vol[13][3]</t>
  </si>
  <si>
    <t>Fwd Vol[13][4]</t>
  </si>
  <si>
    <t>Fwd Vol[15][0]</t>
  </si>
  <si>
    <t>Fwd Vol[15][1]</t>
  </si>
  <si>
    <t>Fwd Vol[15][2]</t>
  </si>
  <si>
    <t>Fwd Vol[15][3]</t>
  </si>
  <si>
    <t>Fwd Vol[15][4]</t>
  </si>
  <si>
    <t>Fwd Vol[17][0]</t>
  </si>
  <si>
    <t>Fwd Vol[17][1]</t>
  </si>
  <si>
    <t>Fwd Vol[17][2]</t>
  </si>
  <si>
    <t>Fwd Vol[17][3]</t>
  </si>
  <si>
    <t>Fwd Vol[17][4]</t>
  </si>
  <si>
    <t>Fwd Vol[19][0]</t>
  </si>
  <si>
    <t>Fwd Vol[19][1]</t>
  </si>
  <si>
    <t>Fwd Vol[19][2]</t>
  </si>
  <si>
    <t>Fwd Vol[19][3]</t>
  </si>
  <si>
    <t>Fwd Vol[19][4]</t>
  </si>
  <si>
    <t>Fwd Vol[23][0]</t>
  </si>
  <si>
    <t>Fwd Vol[23][1]</t>
  </si>
  <si>
    <t>Fwd Vol[23][2]</t>
  </si>
  <si>
    <t>Fwd Vol[23][3]</t>
  </si>
  <si>
    <t>Fwd Vol[23][4]</t>
  </si>
  <si>
    <t>Fwd Vol[29][0]</t>
  </si>
  <si>
    <t>Fwd Vol[29][1]</t>
  </si>
  <si>
    <t>Fwd Vol[29][2]</t>
  </si>
  <si>
    <t>Fwd Vol[29][3]</t>
  </si>
  <si>
    <t>Fwd Vol[29][4]</t>
  </si>
  <si>
    <t>Fwd Vol[39][0]</t>
  </si>
  <si>
    <t>Fwd Vol[39][1]</t>
  </si>
  <si>
    <t>Fwd Vol[39][2]</t>
  </si>
  <si>
    <t>Fwd Vol[39][3]</t>
  </si>
  <si>
    <t>Fwd Vol[39][4]</t>
  </si>
  <si>
    <t>Fwd Vol[49][0]</t>
  </si>
  <si>
    <t>Fwd Vol[49][1]</t>
  </si>
  <si>
    <t>Fwd Vol[49][2]</t>
  </si>
  <si>
    <t>Fwd Vol[49][3]</t>
  </si>
  <si>
    <t>Fwd Vol[49][4]</t>
  </si>
  <si>
    <t>Fwd Vol[59][0]</t>
  </si>
  <si>
    <t>Fwd Vol[59][1]</t>
  </si>
  <si>
    <t>Fwd Vol[59][2]</t>
  </si>
  <si>
    <t>Fwd Vol[59][3]</t>
  </si>
  <si>
    <t>Fwd Vol[59][4]</t>
  </si>
  <si>
    <t>Normal</t>
  </si>
  <si>
    <t>05.07.16 Close</t>
  </si>
  <si>
    <t>Pricing Engine (OISDisc &amp; VOL)</t>
  </si>
  <si>
    <t>USON50</t>
  </si>
  <si>
    <t>USON25</t>
  </si>
  <si>
    <t>USON0</t>
  </si>
  <si>
    <t>USONX</t>
  </si>
  <si>
    <t>USONY</t>
  </si>
  <si>
    <t>USONZ</t>
  </si>
  <si>
    <t>USONA</t>
  </si>
  <si>
    <t>USONB</t>
  </si>
  <si>
    <t>USONC</t>
  </si>
  <si>
    <t>USOND</t>
  </si>
  <si>
    <t>USONH</t>
  </si>
  <si>
    <t>USONE</t>
  </si>
  <si>
    <t>USD Cap</t>
  </si>
  <si>
    <t>(*vs.USD_M0h_1yVol)</t>
  </si>
  <si>
    <t>(*vs.USD_M0h_2yVol)</t>
  </si>
  <si>
    <t>(*vs.USD_M0h_3yVol)</t>
  </si>
  <si>
    <t>(*vs.USD_M0h_4yVol)</t>
  </si>
  <si>
    <t>(*vs.USD_M0h_5yVol)</t>
  </si>
  <si>
    <t>(*vs.USD_M0h_6yVol)</t>
  </si>
  <si>
    <t>(*vs.USD_M0h_7yVol)</t>
  </si>
  <si>
    <t>(*vs.USD_M0h_8yVol)</t>
  </si>
  <si>
    <t>(*vs.USD_M0h_9yVol)</t>
  </si>
  <si>
    <t>(*vs.USD_M0h_10yVol)</t>
  </si>
  <si>
    <t>(*vs.USD_M0h_12yVol)</t>
  </si>
  <si>
    <t>(*vs.USD_M0h_15yVol)</t>
  </si>
  <si>
    <t>(*vs.USD_M0h_20yVol)</t>
  </si>
  <si>
    <t>(*vs.USD_M0q_1yVol)</t>
  </si>
  <si>
    <t>(*vs.USD_M0q_2yVol)</t>
  </si>
  <si>
    <t>(*vs.USD_M0q_3yVol)</t>
  </si>
  <si>
    <t>(*vs.USD_M0q_4yVol)</t>
  </si>
  <si>
    <t>(*vs.USD_M0q_5yVol)</t>
  </si>
  <si>
    <t>(*vs.USD_M0q_6yVol)</t>
  </si>
  <si>
    <t>(*vs.USD_M0q_7yVol)</t>
  </si>
  <si>
    <t>(*vs.USD_M0q_8yVol)</t>
  </si>
  <si>
    <t>(*vs.USD_M0q_9yVol)</t>
  </si>
  <si>
    <t>(*vs.USD_M0q_10yVol)</t>
  </si>
  <si>
    <t>(*vs.USD_M0q_12yVol)</t>
  </si>
  <si>
    <t>(*vs.USD_M0q_15yVol)</t>
  </si>
  <si>
    <t>(*vs.USD_M0q_20yVol)</t>
  </si>
  <si>
    <t>(*vs.USD_0_1yVol)</t>
  </si>
  <si>
    <t>(*vs.USD_0_2yVol)</t>
  </si>
  <si>
    <t>(*vs.USD_0_3yVol)</t>
  </si>
  <si>
    <t>(*vs.USD_0_4yVol)</t>
  </si>
  <si>
    <t>(*vs.USD_0_5yVol)</t>
  </si>
  <si>
    <t>(*vs.USD_0_6yVol)</t>
  </si>
  <si>
    <t>(*vs.USD_0_7yVol)</t>
  </si>
  <si>
    <t>(*vs.USD_0_8yVol)</t>
  </si>
  <si>
    <t>(*vs.USD_0_9yVol)</t>
  </si>
  <si>
    <t>(*vs.USD_0_10yVol)</t>
  </si>
  <si>
    <t>(*vs.USD_0_12yVol)</t>
  </si>
  <si>
    <t>(*vs.USD_0_15yVol)</t>
  </si>
  <si>
    <t>(*vs.USD_0_20yVol)</t>
  </si>
  <si>
    <t>(*vs.USD_0q_1yVol)</t>
  </si>
  <si>
    <t>(*vs.USD_0q_2yVol)</t>
  </si>
  <si>
    <t>(*vs.USD_0q_3yVol)</t>
  </si>
  <si>
    <t>(*vs.USD_0q_4yVol)</t>
  </si>
  <si>
    <t>(*vs.USD_0q_5yVol)</t>
  </si>
  <si>
    <t>(*vs.USD_0q_6yVol)</t>
  </si>
  <si>
    <t>(*vs.USD_0q_7yVol)</t>
  </si>
  <si>
    <t>(*vs.USD_0q_8yVol)</t>
  </si>
  <si>
    <t>(*vs.USD_0q_9yVol)</t>
  </si>
  <si>
    <t>(*vs.USD_0q_10yVol)</t>
  </si>
  <si>
    <t>(*vs.USD_0q_12yVol)</t>
  </si>
  <si>
    <t>(*vs.USD_0q_15yVol)</t>
  </si>
  <si>
    <t>(*vs.USD_0q_20yVol)</t>
  </si>
  <si>
    <t>(*vs.USD_0q_25yVol)</t>
  </si>
  <si>
    <t>(*vs.USD_0q_30yVol)</t>
  </si>
  <si>
    <t>(*vs.USD_0h_1yVol)</t>
  </si>
  <si>
    <t>(*vs.USD_0h_2yVol)</t>
  </si>
  <si>
    <t>(*vs.USD_0h_3yVol)</t>
  </si>
  <si>
    <t>(*vs.USD_0h_4yVol)</t>
  </si>
  <si>
    <t>(*vs.USD_0h_5yVol)</t>
  </si>
  <si>
    <t>(*vs.USD_0h_6yVol)</t>
  </si>
  <si>
    <t>(*vs.USD_0h_7yVol)</t>
  </si>
  <si>
    <t>(*vs.USD_0h_8yVol)</t>
  </si>
  <si>
    <t>(*vs.USD_0h_9yVol)</t>
  </si>
  <si>
    <t>(*vs.USD_0h_10yVol)</t>
  </si>
  <si>
    <t>(*vs.USD_0h_12yVol)</t>
  </si>
  <si>
    <t>(*vs.USD_0h_15yVol)</t>
  </si>
  <si>
    <t>(*vs.USD_0h_20yVol)</t>
  </si>
  <si>
    <t>(*vs.USD_0h_25yVol)</t>
  </si>
  <si>
    <t>(*vs.USD_0h_30yVol)</t>
  </si>
  <si>
    <t>305067DEFloat</t>
  </si>
  <si>
    <t>305067DEFixed</t>
  </si>
  <si>
    <t>OISPricing</t>
  </si>
  <si>
    <t>XOISPricing</t>
  </si>
  <si>
    <t>QuantLibXL</t>
  </si>
  <si>
    <t>Unadjusted</t>
  </si>
  <si>
    <t>XBS_EUR_3M</t>
  </si>
  <si>
    <t>XBS_EUR_6M</t>
  </si>
  <si>
    <t>XBS_EUR_9M</t>
  </si>
  <si>
    <t>XBS_USD_3M</t>
  </si>
  <si>
    <t>XBS_USD_6M</t>
  </si>
  <si>
    <t>XBS_USD_9M</t>
  </si>
  <si>
    <t>237239DEFixed</t>
  </si>
  <si>
    <t>237239DEFloat</t>
  </si>
  <si>
    <t>30YUSDFixed</t>
  </si>
  <si>
    <t>30YUSDFloat</t>
  </si>
  <si>
    <t>10y</t>
  </si>
  <si>
    <t>LIBORPricing</t>
  </si>
  <si>
    <t>DEPFA2037Fixed</t>
  </si>
  <si>
    <t>DEPFA2037Float</t>
  </si>
  <si>
    <t>CHF_LO6M_FRA1x7</t>
  </si>
  <si>
    <t>CHF_LO6M_FRA2x8</t>
  </si>
  <si>
    <t>CHF_LO6M_FRA3x9</t>
  </si>
  <si>
    <t>CHF_LO6M_FRA4x10</t>
  </si>
  <si>
    <t>CHF_LO6M_FRA5x11</t>
  </si>
  <si>
    <t>CHF_LO6M_FRA6x12</t>
  </si>
  <si>
    <t>CHF_LO3M_FRA1x4</t>
  </si>
  <si>
    <t>CHF_LO3M_FRA2x5</t>
  </si>
  <si>
    <t>CHF_LO3M_FRA3x6</t>
  </si>
  <si>
    <t>CHF_LO3M_FRA4x7</t>
  </si>
  <si>
    <t>CHF_LO3M_FRA5x8</t>
  </si>
  <si>
    <t>CHF_LO3M_FRA6x9</t>
  </si>
  <si>
    <t>CHF_TOIS</t>
  </si>
  <si>
    <t>CHF_LIBOR</t>
  </si>
  <si>
    <t>CHF_LO6M</t>
  </si>
  <si>
    <t>CHF_LO3M</t>
  </si>
  <si>
    <t>CHF</t>
  </si>
  <si>
    <t>delete all nonpermanent objects</t>
  </si>
  <si>
    <t>=ohDeleteAllObjects()</t>
  </si>
  <si>
    <t>delete all objects (permanent and nonpermanent)</t>
  </si>
  <si>
    <t>=ohRepositoryDeleteAllObjects(TRUE)</t>
  </si>
  <si>
    <t>call garbage collector to cull any objects orphaned by deletion of calling cell</t>
  </si>
  <si>
    <t>=ohRepositoryCollectGarbage()</t>
  </si>
  <si>
    <t>CHF_XBS</t>
  </si>
  <si>
    <t>CHF_XOIS</t>
  </si>
  <si>
    <t>CHF_LIBORPricing</t>
  </si>
  <si>
    <t>CHF_OISPricing</t>
  </si>
  <si>
    <t>CHF_XOISPricing</t>
  </si>
  <si>
    <t>BS</t>
  </si>
  <si>
    <t>LIBOR</t>
  </si>
  <si>
    <t>L3M</t>
  </si>
  <si>
    <t>11y</t>
  </si>
  <si>
    <t>chf_lo3mproj</t>
  </si>
  <si>
    <t>chf_lo6mproj</t>
  </si>
  <si>
    <t>lo1mproj</t>
  </si>
  <si>
    <t>lo3mproj</t>
  </si>
  <si>
    <t>eo6mproj</t>
  </si>
  <si>
    <t>eo3mproj</t>
  </si>
  <si>
    <t>eo6m</t>
  </si>
  <si>
    <t>eo3m</t>
  </si>
  <si>
    <t>lo3m</t>
  </si>
  <si>
    <t>Libor</t>
  </si>
  <si>
    <t>eurib</t>
  </si>
  <si>
    <t>euribproj</t>
  </si>
  <si>
    <t>6m</t>
  </si>
  <si>
    <t>3m</t>
  </si>
  <si>
    <t>lo1m</t>
  </si>
  <si>
    <t>Actual/365 (Fixed)</t>
  </si>
  <si>
    <t>CAD_BA</t>
  </si>
  <si>
    <t>CAD_XBS</t>
  </si>
  <si>
    <t>cad_baproj</t>
  </si>
  <si>
    <t>CAD_XOIS</t>
  </si>
  <si>
    <t>CAD_BAPricing</t>
  </si>
  <si>
    <t>CAD_XOISPricing</t>
  </si>
  <si>
    <t>CHF_XBSPricing</t>
  </si>
  <si>
    <t>CAD_XBSPricing</t>
  </si>
  <si>
    <t>XBSPricing</t>
  </si>
  <si>
    <t>JPY_LO6M_FRA1x7</t>
  </si>
  <si>
    <t>JPY_LO6M_FRA2x8</t>
  </si>
  <si>
    <t>JPY_LO6M_FRA3x9</t>
  </si>
  <si>
    <t>JPY_LO6M_FRA4x10</t>
  </si>
  <si>
    <t>JPY_LO6M_FRA5x11</t>
  </si>
  <si>
    <t>JPY_LO6M_FRA6x12</t>
  </si>
  <si>
    <t>7y</t>
  </si>
  <si>
    <t>15y</t>
  </si>
  <si>
    <t>20y</t>
  </si>
  <si>
    <t>30y</t>
  </si>
  <si>
    <t>jpy_lo3mproj</t>
  </si>
  <si>
    <t>jpy</t>
  </si>
  <si>
    <t>jpy_LO3M</t>
  </si>
  <si>
    <t>jpy_lo6mproj</t>
  </si>
  <si>
    <t>jpy_LO6M</t>
  </si>
  <si>
    <t>jpy_mutan</t>
  </si>
  <si>
    <t>jpy_mutanPricing</t>
  </si>
  <si>
    <t>JPY_XOIS</t>
  </si>
  <si>
    <t>JPY_XOISPricing</t>
  </si>
  <si>
    <t>JPY_XBS</t>
  </si>
  <si>
    <t>JPY_XBSPricing</t>
  </si>
  <si>
    <t>JPY</t>
  </si>
  <si>
    <t>EUR</t>
  </si>
  <si>
    <t>EUR_JOIS</t>
  </si>
  <si>
    <t>USD_JOIS</t>
  </si>
  <si>
    <t>CHF_JOIS</t>
  </si>
  <si>
    <t>CAD_JOIS</t>
  </si>
  <si>
    <t>EUR_JOISPricing</t>
  </si>
  <si>
    <t>USD_JOISPricing</t>
  </si>
  <si>
    <t>CHF_JOISPricing</t>
  </si>
  <si>
    <t>CAD_JOISPricing</t>
  </si>
  <si>
    <t>eoniaPricing</t>
  </si>
  <si>
    <t xml:space="preserve">                (6</t>
  </si>
  <si>
    <t xml:space="preserve">                (9</t>
  </si>
  <si>
    <t xml:space="preserve">ql.Years) </t>
  </si>
  <si>
    <t xml:space="preserve">                (2</t>
  </si>
  <si>
    <t xml:space="preserve">                (3</t>
  </si>
  <si>
    <t xml:space="preserve">                (4</t>
  </si>
  <si>
    <t xml:space="preserve">                (5</t>
  </si>
  <si>
    <t xml:space="preserve">                (7</t>
  </si>
  <si>
    <t xml:space="preserve">                (10</t>
  </si>
  <si>
    <t xml:space="preserve">                (15</t>
  </si>
  <si>
    <t xml:space="preserve">                (20</t>
  </si>
  <si>
    <t xml:space="preserve">                (30</t>
  </si>
  <si>
    <t xml:space="preserve">                (40</t>
  </si>
  <si>
    <t xml:space="preserve">                (50</t>
  </si>
  <si>
    <t xml:space="preserve">                (8</t>
  </si>
  <si>
    <t xml:space="preserve">                (12</t>
  </si>
  <si>
    <t xml:space="preserve">                (25</t>
  </si>
  <si>
    <t xml:space="preserve">6) </t>
  </si>
  <si>
    <t xml:space="preserve">9) </t>
  </si>
  <si>
    <t xml:space="preserve">12) </t>
  </si>
  <si>
    <t xml:space="preserve">15) </t>
  </si>
  <si>
    <t>Linear</t>
  </si>
  <si>
    <t>Cubic</t>
  </si>
  <si>
    <t>1y</t>
  </si>
  <si>
    <t>2y</t>
  </si>
  <si>
    <t>JPY_LO6M_FRA12x18</t>
  </si>
  <si>
    <t>12m</t>
  </si>
  <si>
    <t>3y</t>
  </si>
  <si>
    <t>5y</t>
  </si>
  <si>
    <t>Receiver</t>
  </si>
  <si>
    <t>4y</t>
  </si>
  <si>
    <t>6y</t>
  </si>
  <si>
    <t>12y</t>
  </si>
  <si>
    <t>25y</t>
  </si>
  <si>
    <t>eur</t>
  </si>
  <si>
    <t>EO6M_DepoON</t>
  </si>
  <si>
    <t>EO6M_DepoTN</t>
  </si>
  <si>
    <t>EO6M_Depo1W</t>
  </si>
  <si>
    <t>EO6M_Depo2W</t>
  </si>
  <si>
    <t>EO6M_Depo1M</t>
  </si>
  <si>
    <t>EO6M_Depo2M</t>
  </si>
  <si>
    <t>EO6M_Depo3M</t>
  </si>
  <si>
    <t>EO6M_Depo6M</t>
  </si>
  <si>
    <t>EO6M_SWAP2Y</t>
  </si>
  <si>
    <t>EO6M_SWAP3Y</t>
  </si>
  <si>
    <t>EO6M_SWAP4Y</t>
  </si>
  <si>
    <t>EO6M_SWAP5Y</t>
  </si>
  <si>
    <t>EO6M_SWAP6Y</t>
  </si>
  <si>
    <t>EO6M_SWAP7Y</t>
  </si>
  <si>
    <t>EO6M_SWAP8Y</t>
  </si>
  <si>
    <t>EO6M_SWAP9Y</t>
  </si>
  <si>
    <t>EO6M_SWAP10Y</t>
  </si>
  <si>
    <t>EO6M_SWAP11Y</t>
  </si>
  <si>
    <t>EO6M_SWAP12Y</t>
  </si>
  <si>
    <t>EO6M_SWAP13Y</t>
  </si>
  <si>
    <t>EO6M_SWAP14Y</t>
  </si>
  <si>
    <t>EO6M_SWAP15Y</t>
  </si>
  <si>
    <t>EO6M_SWAP16Y</t>
  </si>
  <si>
    <t>EO6M_SWAP17Y</t>
  </si>
  <si>
    <t>EO6M_SWAP18Y</t>
  </si>
  <si>
    <t>EO6M_SWAP19Y</t>
  </si>
  <si>
    <t>EO6M_SWAP20Y</t>
  </si>
  <si>
    <t>EO6M_SWAP21Y</t>
  </si>
  <si>
    <t>EO6M_SWAP22Y</t>
  </si>
  <si>
    <t>EO6M_SWAP23Y</t>
  </si>
  <si>
    <t>EO6M_SWAP24Y</t>
  </si>
  <si>
    <t>EO6M_SWAP25Y</t>
  </si>
  <si>
    <t>EO6M_SWAP26Y</t>
  </si>
  <si>
    <t>EO6M_SWAP27Y</t>
  </si>
  <si>
    <t>EO6M_SWAP28Y</t>
  </si>
  <si>
    <t>EO6M_SWAP29Y</t>
  </si>
  <si>
    <t>EO6M_SWAP30Y</t>
  </si>
  <si>
    <t>EO6M_SWAP40Y</t>
  </si>
  <si>
    <t>EO6M_SWAP50Y</t>
  </si>
  <si>
    <t>EONIA_DepoON</t>
  </si>
  <si>
    <t>EONIA_DepoTN</t>
  </si>
  <si>
    <t>EONIA_Depo1W</t>
  </si>
  <si>
    <t>EONIA_Depo2W</t>
  </si>
  <si>
    <t>EONIA_Depo3W</t>
  </si>
  <si>
    <t>EONIA_Depo1M</t>
  </si>
  <si>
    <t>EONIA_Depo2M</t>
  </si>
  <si>
    <t>EONIA_Depo3M</t>
  </si>
  <si>
    <t>EONIA_Depo4M</t>
  </si>
  <si>
    <t>EONIA_Depo5M</t>
  </si>
  <si>
    <t>EONIA_Depo6M</t>
  </si>
  <si>
    <t>EONIA_Depo7M</t>
  </si>
  <si>
    <t>EONIA_Depo8M</t>
  </si>
  <si>
    <t>EONIA_Depo9M</t>
  </si>
  <si>
    <t>EONIA_Depo10M</t>
  </si>
  <si>
    <t>EONIA_Depo11M</t>
  </si>
  <si>
    <t>EONIA_Depo12M</t>
  </si>
  <si>
    <t>EONIA_Swap15M</t>
  </si>
  <si>
    <t>EONIA_Swap18M</t>
  </si>
  <si>
    <t>EONIA_Swap21M</t>
  </si>
  <si>
    <t>EONIA_Swap2Y</t>
  </si>
  <si>
    <t>EONIA_Swap3Y</t>
  </si>
  <si>
    <t>EONIA_Swap4Y</t>
  </si>
  <si>
    <t>EONIA_Swap5Y</t>
  </si>
  <si>
    <t>EONIA_Swap6Y</t>
  </si>
  <si>
    <t>EONIA_Swap7Y</t>
  </si>
  <si>
    <t>EONIA_Swap8Y</t>
  </si>
  <si>
    <t>EONIA_Swap9Y</t>
  </si>
  <si>
    <t>EONIA_Swap10Y</t>
  </si>
  <si>
    <t>EONIA_Swap11Y</t>
  </si>
  <si>
    <t>EONIA_Swap12Y</t>
  </si>
  <si>
    <t>EONIA_Swap15Y</t>
  </si>
  <si>
    <t>EONIA_Swap20Y</t>
  </si>
  <si>
    <t>EONIA_Swap25Y</t>
  </si>
  <si>
    <t>EONIA_Swap30Y</t>
  </si>
  <si>
    <t>EONIA_Swap40Y</t>
  </si>
  <si>
    <t>EONIA_Swap50Y</t>
  </si>
  <si>
    <t>eur3m</t>
  </si>
  <si>
    <t>EO3M_DepoON</t>
  </si>
  <si>
    <t>EO3M_DepoTN</t>
  </si>
  <si>
    <t>EO3M_Depo1W</t>
  </si>
  <si>
    <t>EO3M_Depo1M</t>
  </si>
  <si>
    <t>EO3M_Depo2M</t>
  </si>
  <si>
    <t>EO3M_Depo3M</t>
  </si>
  <si>
    <t>EO3M_SWAP1Y</t>
  </si>
  <si>
    <t>EO3M_SWAP2Y</t>
  </si>
  <si>
    <t>EO3M_SWAP3Y</t>
  </si>
  <si>
    <t>EO3M_SWAP4Y</t>
  </si>
  <si>
    <t>EO3M_SWAP5Y</t>
  </si>
  <si>
    <t>EO3M_SWAP6Y</t>
  </si>
  <si>
    <t>EO3M_SWAP7Y</t>
  </si>
  <si>
    <t>EO3M_SWAP8Y</t>
  </si>
  <si>
    <t>EO3M_SWAP9Y</t>
  </si>
  <si>
    <t>EO3M_SWAP10Y</t>
  </si>
  <si>
    <t>EO3M_SWAP12Y</t>
  </si>
  <si>
    <t>EO3M_SWAP15Y</t>
  </si>
  <si>
    <t>EO3M_SWAP20Y</t>
  </si>
  <si>
    <t>EO3M_SWAP25Y</t>
  </si>
  <si>
    <t>EO3M_SWAP30Y</t>
  </si>
  <si>
    <t>EO3M_SWAP40Y</t>
  </si>
  <si>
    <t>EO3M_SWAP50Y</t>
  </si>
  <si>
    <t>XBS_SWAP3M</t>
  </si>
  <si>
    <t>XBS_SWAP6M</t>
  </si>
  <si>
    <t>XBS_SWAP9M</t>
  </si>
  <si>
    <t>XBS_SWAP1Y</t>
  </si>
  <si>
    <t>XBS_SWAP2Y</t>
  </si>
  <si>
    <t>XBS_SWAP3Y</t>
  </si>
  <si>
    <t>XBS_SWAP4Y</t>
  </si>
  <si>
    <t>XBS_SWAP5Y</t>
  </si>
  <si>
    <t>XBS_SWAP7Y</t>
  </si>
  <si>
    <t>XBS_SWAP10Y</t>
  </si>
  <si>
    <t>XBS_SWAP15Y</t>
  </si>
  <si>
    <t>XBS_SWAP20Y</t>
  </si>
  <si>
    <t>XBS_SWAP30Y</t>
  </si>
  <si>
    <t>XBS_SWAP40Y</t>
  </si>
  <si>
    <t>XBS_SWAP50Y</t>
  </si>
  <si>
    <t>LO3M_DepoON</t>
  </si>
  <si>
    <t>LO3M_DepoTN</t>
  </si>
  <si>
    <t>LO3M_Depo1M</t>
  </si>
  <si>
    <t>LO3M_Depo2M</t>
  </si>
  <si>
    <t>LO3M_Depo3M</t>
  </si>
  <si>
    <t>LO3M_SWAP2Y</t>
  </si>
  <si>
    <t>LO3M_SWAP3Y</t>
  </si>
  <si>
    <t>LO3M_SWAP4Y</t>
  </si>
  <si>
    <t>LO3M_SWAP5Y</t>
  </si>
  <si>
    <t>LO3M_SWAP6Y</t>
  </si>
  <si>
    <t>LO3M_SWAP7Y</t>
  </si>
  <si>
    <t>LO3M_SWAP8Y</t>
  </si>
  <si>
    <t>LO3M_SWAP9Y</t>
  </si>
  <si>
    <t>LO3M_SWAP10Y</t>
  </si>
  <si>
    <t>LO3M_SWAP12Y</t>
  </si>
  <si>
    <t>LO3M_SWAP15Y</t>
  </si>
  <si>
    <t>LO3M_SWAP20Y</t>
  </si>
  <si>
    <t>LO3M_SWAP25Y</t>
  </si>
  <si>
    <t>LO3M_SWAP30Y</t>
  </si>
  <si>
    <t>LO3M_SWAP40Y</t>
  </si>
  <si>
    <t>LO3M_SWAP50Y</t>
  </si>
  <si>
    <t>OIS_DepoON</t>
  </si>
  <si>
    <t>OIS_DepoTN</t>
  </si>
  <si>
    <t>OIS_Depo2W</t>
  </si>
  <si>
    <t>OIS_Depo3W</t>
  </si>
  <si>
    <t>OIS_Depo1M</t>
  </si>
  <si>
    <t>OIS_Depo2M</t>
  </si>
  <si>
    <t>OIS_Depo3M</t>
  </si>
  <si>
    <t>OIS_Depo4M</t>
  </si>
  <si>
    <t>OIS_Depo5M</t>
  </si>
  <si>
    <t>OIS_Depo6M</t>
  </si>
  <si>
    <t>OIS_Depo7M</t>
  </si>
  <si>
    <t>OIS_Depo8M</t>
  </si>
  <si>
    <t>OIS_Depo9M</t>
  </si>
  <si>
    <t>OIS_Depo10M</t>
  </si>
  <si>
    <t>OIS_Depo11M</t>
  </si>
  <si>
    <t>OIS_Depo12M</t>
  </si>
  <si>
    <t>OIS_Swap15M</t>
  </si>
  <si>
    <t>OIS_Swap18M</t>
  </si>
  <si>
    <t>OIS_Swap21M</t>
  </si>
  <si>
    <t>OIS_Swap2Y</t>
  </si>
  <si>
    <t>OIS_Swap3Y</t>
  </si>
  <si>
    <t>OIS_Swap4Y</t>
  </si>
  <si>
    <t>OIS_Swap5Y</t>
  </si>
  <si>
    <t>OIS_Swap7Y</t>
  </si>
  <si>
    <t>OIS_Swap10Y</t>
  </si>
  <si>
    <t>OIS_Swap12Y</t>
  </si>
  <si>
    <t>OIS_Swap15Y</t>
  </si>
  <si>
    <t>OIS_Swap20Y</t>
  </si>
  <si>
    <t>OIS_Swap25Y</t>
  </si>
  <si>
    <t>OIS_Swap30Y</t>
  </si>
  <si>
    <t>OIS_Swap40Y</t>
  </si>
  <si>
    <t>OIS_Swap50Y</t>
  </si>
  <si>
    <t>LIB1M</t>
  </si>
  <si>
    <t>LO1M_DepoON</t>
  </si>
  <si>
    <t>L1M</t>
  </si>
  <si>
    <t>LO1M_SWAP3M</t>
  </si>
  <si>
    <t>LO1M_SWAP6M</t>
  </si>
  <si>
    <t>LO1M_SWAP9M</t>
  </si>
  <si>
    <t>LO1M_SWAP1Y</t>
  </si>
  <si>
    <t>LO1M_SWAP2Y</t>
  </si>
  <si>
    <t>LO1M_SWAP3Y</t>
  </si>
  <si>
    <t>LO1M_SWAP4Y</t>
  </si>
  <si>
    <t>LO1M_SWAP5Y</t>
  </si>
  <si>
    <t>LO1M_SWAP6Y</t>
  </si>
  <si>
    <t>LO1M_SWAP7Y</t>
  </si>
  <si>
    <t>LO1M_SWAP8Y</t>
  </si>
  <si>
    <t>LO1M_SWAP9Y</t>
  </si>
  <si>
    <t>LO1M_SWAP10Y</t>
  </si>
  <si>
    <t>LO1M_SWAP12Y</t>
  </si>
  <si>
    <t>LO1M_SWAP15Y</t>
  </si>
  <si>
    <t>LO1M_SWAP20Y</t>
  </si>
  <si>
    <t>LO1M_SWAP25Y</t>
  </si>
  <si>
    <t>LO1M_SWAP30Y</t>
  </si>
  <si>
    <t>libor</t>
  </si>
  <si>
    <t>JPY_LO6M_DepoTN</t>
  </si>
  <si>
    <t>JPY_LO6M_Depo1W</t>
  </si>
  <si>
    <t>JPY_LO6M_Depo1M</t>
  </si>
  <si>
    <t>JPY_LO6M_Depo2M</t>
  </si>
  <si>
    <t>JPY_LO6M_Depo3M</t>
  </si>
  <si>
    <t>JPY_LO6M_Depo6M</t>
  </si>
  <si>
    <t>JPY_LO6M_SWAP2Y</t>
  </si>
  <si>
    <t>JPY_LO6M_SWAP3Y</t>
  </si>
  <si>
    <t>JPY_LO6M_SWAP4Y</t>
  </si>
  <si>
    <t>JPY_LO6M_SWAP5Y</t>
  </si>
  <si>
    <t>JPY_LO6M_SWAP6Y</t>
  </si>
  <si>
    <t>JPY_LO6M_SWAP7Y</t>
  </si>
  <si>
    <t>JPY_LO6M_SWAP8Y</t>
  </si>
  <si>
    <t>JPY_LO6M_SWAP9Y</t>
  </si>
  <si>
    <t>JPY_LO6M_SWAP10Y</t>
  </si>
  <si>
    <t>JPY_LO6M_SWAP12Y</t>
  </si>
  <si>
    <t>JPY_LO6M_SWAP15Y</t>
  </si>
  <si>
    <t>JPY_LO6M_SWAP20Y</t>
  </si>
  <si>
    <t>JPY_LO6M_SWAP25Y</t>
  </si>
  <si>
    <t>JPY_LO6M_SWAP30Y</t>
  </si>
  <si>
    <t>mutan</t>
  </si>
  <si>
    <t>JPY_MUTAN_Depo1M</t>
  </si>
  <si>
    <t>JPY_MUTAN_Depo2M</t>
  </si>
  <si>
    <t>JPY_MUTAN_Depo3M</t>
  </si>
  <si>
    <t>JPY_MUTAN_Depo4M</t>
  </si>
  <si>
    <t>JPY_MUTAN_Depo5M</t>
  </si>
  <si>
    <t>JPY_MUTAN_Depo6M</t>
  </si>
  <si>
    <t>JPY_MUTAN_Depo9M</t>
  </si>
  <si>
    <t>JPY_MUTAN_Depo12M</t>
  </si>
  <si>
    <t>JPY_MUTAN_Swap18M</t>
  </si>
  <si>
    <t>JPY_MUTAN_Swap2Y</t>
  </si>
  <si>
    <t>JPY_MUTAN_Swap3Y</t>
  </si>
  <si>
    <t>JPY_MUTAN_Swap4Y</t>
  </si>
  <si>
    <t>JPY_MUTAN_Swap5Y</t>
  </si>
  <si>
    <t>JPY_MUTAN_Swap7Y</t>
  </si>
  <si>
    <t>JPY_MUTAN_Swap10Y</t>
  </si>
  <si>
    <t>JPY_MUTAN_Swap12Y</t>
  </si>
  <si>
    <t>JPY_MUTAN_Swap15Y</t>
  </si>
  <si>
    <t>JPY_MUTAN_Swap20Y</t>
  </si>
  <si>
    <t>JPY_MUTAN_Swap25Y</t>
  </si>
  <si>
    <t>JPY_MUTAN_Swap30Y</t>
  </si>
  <si>
    <t>l3m</t>
  </si>
  <si>
    <t>JPY_LO3M_SWAP1Y</t>
  </si>
  <si>
    <t>JPY_LO3M_SWAP2Y</t>
  </si>
  <si>
    <t>JPY_LO3M_SWAP3Y</t>
  </si>
  <si>
    <t>JPY_LO3M_SWAP4Y</t>
  </si>
  <si>
    <t>JPY_LO3M_SWAP5Y</t>
  </si>
  <si>
    <t>JPY_LO3M_SWAP6Y</t>
  </si>
  <si>
    <t>JPY_LO3M_SWAP7Y</t>
  </si>
  <si>
    <t>JPY_LO3M_SWAP8Y</t>
  </si>
  <si>
    <t>JPY_LO3M_SWAP9Y</t>
  </si>
  <si>
    <t>JPY_LO3M_SWAP10Y</t>
  </si>
  <si>
    <t>JPY_LO3M_SWAP12Y</t>
  </si>
  <si>
    <t>JPY_LO3M_SWAP15Y</t>
  </si>
  <si>
    <t>JPY_LO3M_SWAP20Y</t>
  </si>
  <si>
    <t>JPY_LO3M_SWAP25Y</t>
  </si>
  <si>
    <t>JPY_LO3M_SWAP30Y</t>
  </si>
  <si>
    <t>JPY_LO3M_SWAP40Y</t>
  </si>
  <si>
    <t>JPY_LO3M_SWAP50Y</t>
  </si>
  <si>
    <t>bs</t>
  </si>
  <si>
    <t>JPY_XBS_SWAP1Y</t>
  </si>
  <si>
    <t>JPY_XBS_SWAP2Y</t>
  </si>
  <si>
    <t>JPY_XBS_SWAP3Y</t>
  </si>
  <si>
    <t>JPY_XBS_SWAP4Y</t>
  </si>
  <si>
    <t>JPY_XBS_SWAP5Y</t>
  </si>
  <si>
    <t>JPY_XBS_SWAP7Y</t>
  </si>
  <si>
    <t>JPY_XBS_SWAP10Y</t>
  </si>
  <si>
    <t>JPY_XBS_SWAP15Y</t>
  </si>
  <si>
    <t>JPY_XBS_SWAP20Y</t>
  </si>
  <si>
    <t>JPY_XBS_SWAP30Y</t>
  </si>
  <si>
    <t>chf</t>
  </si>
  <si>
    <t>2d</t>
  </si>
  <si>
    <t>CHF_LO6M_DepoTN</t>
  </si>
  <si>
    <t>1w</t>
  </si>
  <si>
    <t>CHF_LO6M_Depo1W</t>
  </si>
  <si>
    <t>1m</t>
  </si>
  <si>
    <t>CHF_LO6M_Depo1M</t>
  </si>
  <si>
    <t>2m</t>
  </si>
  <si>
    <t>CHF_LO6M_Depo2M</t>
  </si>
  <si>
    <t>CHF_LO6M_Depo3M</t>
  </si>
  <si>
    <t>CHF_LO6M_Depo6M</t>
  </si>
  <si>
    <t>7m</t>
  </si>
  <si>
    <t>8m</t>
  </si>
  <si>
    <t>9m</t>
  </si>
  <si>
    <t>4m</t>
  </si>
  <si>
    <t>10m</t>
  </si>
  <si>
    <t>5m</t>
  </si>
  <si>
    <t>11m</t>
  </si>
  <si>
    <t>CHF_LO6M_SWAP2Y</t>
  </si>
  <si>
    <t>CHF_LO6M_SWAP3Y</t>
  </si>
  <si>
    <t>CHF_LO6M_SWAP4Y</t>
  </si>
  <si>
    <t>CHF_LO6M_SWAP5Y</t>
  </si>
  <si>
    <t>CHF_LO6M_SWAP6Y</t>
  </si>
  <si>
    <t>CHF_LO6M_SWAP7Y</t>
  </si>
  <si>
    <t>8y</t>
  </si>
  <si>
    <t>CHF_LO6M_SWAP8Y</t>
  </si>
  <si>
    <t>9y</t>
  </si>
  <si>
    <t>CHF_LO6M_SWAP9Y</t>
  </si>
  <si>
    <t>CHF_LO6M_SWAP10Y</t>
  </si>
  <si>
    <t>CHF_LO6M_SWAP12Y</t>
  </si>
  <si>
    <t>CHF_LO6M_SWAP15Y</t>
  </si>
  <si>
    <t>CHF_LO6M_SWAP20Y</t>
  </si>
  <si>
    <t>CHF_LO6M_SWAP25Y</t>
  </si>
  <si>
    <t>CHF_LO6M_SWAP30Y</t>
  </si>
  <si>
    <t>tois</t>
  </si>
  <si>
    <t>CHF_TOIS_Depo1M</t>
  </si>
  <si>
    <t>CHF_TOIS_Depo2M</t>
  </si>
  <si>
    <t>CHF_TOIS_Depo3M</t>
  </si>
  <si>
    <t>CHF_TOIS_Depo4M</t>
  </si>
  <si>
    <t>CHF_TOIS_Depo5M</t>
  </si>
  <si>
    <t>CHF_TOIS_Depo6M</t>
  </si>
  <si>
    <t>CHF_TOIS_Depo7M</t>
  </si>
  <si>
    <t>CHF_TOIS_Depo8M</t>
  </si>
  <si>
    <t>CHF_TOIS_Depo9M</t>
  </si>
  <si>
    <t>CHF_TOIS_Depo10M</t>
  </si>
  <si>
    <t>CHF_TOIS_Depo11M</t>
  </si>
  <si>
    <t>CHF_TOIS_Depo12M</t>
  </si>
  <si>
    <t>15m</t>
  </si>
  <si>
    <t>CHF_TOIS_Swap15M</t>
  </si>
  <si>
    <t>18m</t>
  </si>
  <si>
    <t>CHF_TOIS_Swap18M</t>
  </si>
  <si>
    <t>21m</t>
  </si>
  <si>
    <t>CHF_TOIS_Swap21M</t>
  </si>
  <si>
    <t>CHF_TOIS_Swap2Y</t>
  </si>
  <si>
    <t>CHF_TOIS_Swap3Y</t>
  </si>
  <si>
    <t>CHF_TOIS_Swap4Y</t>
  </si>
  <si>
    <t>CHF_TOIS_Swap5Y</t>
  </si>
  <si>
    <t>CHF_TOIS_Swap6Y</t>
  </si>
  <si>
    <t>CHF_TOIS_Swap7Y</t>
  </si>
  <si>
    <t>CHF_TOIS_Swap8Y</t>
  </si>
  <si>
    <t>CHF_TOIS_Swap9Y</t>
  </si>
  <si>
    <t>CHF_TOIS_Swap10Y</t>
  </si>
  <si>
    <t>CHF_TOIS_Swap12Y</t>
  </si>
  <si>
    <t>CHF_TOIS_Swap15Y</t>
  </si>
  <si>
    <t>CHF_TOIS_Swap20Y</t>
  </si>
  <si>
    <t>CHF_TOIS_Swap25Y</t>
  </si>
  <si>
    <t>CHF_TOIS_Swap30Y</t>
  </si>
  <si>
    <t>chf3m</t>
  </si>
  <si>
    <t>CHF_LO3M_DepoON</t>
  </si>
  <si>
    <t>CHF_LO3M_DepoTN</t>
  </si>
  <si>
    <t>CHF_LO3M_Depo1W</t>
  </si>
  <si>
    <t>CHF_LO3M_Depo1M</t>
  </si>
  <si>
    <t>CHF_LO3M_Depo2M</t>
  </si>
  <si>
    <t>CHF_LO3M_Depo3M</t>
  </si>
  <si>
    <t>CHF_LO3M_SWAP1Y</t>
  </si>
  <si>
    <t>CHF_LO3M_SWAP2Y</t>
  </si>
  <si>
    <t>CHF_LO3M_SWAP3Y</t>
  </si>
  <si>
    <t>CHF_LO3M_SWAP4Y</t>
  </si>
  <si>
    <t>CHF_LO3M_SWAP5Y</t>
  </si>
  <si>
    <t>CHF_LO3M_SWAP6Y</t>
  </si>
  <si>
    <t>CHF_LO3M_SWAP7Y</t>
  </si>
  <si>
    <t>CHF_LO3M_SWAP8Y</t>
  </si>
  <si>
    <t>CHF_LO3M_SWAP9Y</t>
  </si>
  <si>
    <t>CHF_LO3M_SWAP10Y</t>
  </si>
  <si>
    <t>CHF_LO3M_SWAP11Y</t>
  </si>
  <si>
    <t>CHF_LO3M_SWAP12Y</t>
  </si>
  <si>
    <t>CHF_LO3M_SWAP15Y</t>
  </si>
  <si>
    <t>CHF_LO3M_SWAP20Y</t>
  </si>
  <si>
    <t>CHF_LO3M_SWAP25Y</t>
  </si>
  <si>
    <t>CHF_LO3M_SWAP30Y</t>
  </si>
  <si>
    <t>CHF_XBS_SWAP1Y</t>
  </si>
  <si>
    <t>CHF_XBS_SWAP2Y</t>
  </si>
  <si>
    <t>CHF_XBS_SWAP3Y</t>
  </si>
  <si>
    <t>CHF_XBS_SWAP4Y</t>
  </si>
  <si>
    <t>CHF_XBS_SWAP5Y</t>
  </si>
  <si>
    <t>CHF_XBS_SWAP7Y</t>
  </si>
  <si>
    <t>CHF_XBS_SWAP10Y</t>
  </si>
  <si>
    <t>CHF_XBS_SWAP15Y</t>
  </si>
  <si>
    <t>CHF_XBS_SWAP20Y</t>
  </si>
  <si>
    <t>CHF_XBS_SWAP30Y</t>
  </si>
  <si>
    <t>cad</t>
  </si>
  <si>
    <t>ba</t>
  </si>
  <si>
    <t>CAD_BA_DepoTN</t>
  </si>
  <si>
    <t>CAD_BA_Depo1W</t>
  </si>
  <si>
    <t>CAD_BA_Depo1M</t>
  </si>
  <si>
    <t>CAD_BA_Depo2M</t>
  </si>
  <si>
    <t>CAD_BA_Depo3M</t>
  </si>
  <si>
    <t>CAD_BA_Depo6M</t>
  </si>
  <si>
    <t>CAD_BA_Depo9M</t>
  </si>
  <si>
    <t>CAD_BA_Depo1Y</t>
  </si>
  <si>
    <t>CAD_BA_SWAP2Y</t>
  </si>
  <si>
    <t>CAD_BA_SWAP3Y</t>
  </si>
  <si>
    <t>CAD_BA_SWAP4Y</t>
  </si>
  <si>
    <t>CAD_BA_SWAP5Y</t>
  </si>
  <si>
    <t>CAD_BA_SWAP6Y</t>
  </si>
  <si>
    <t>CAD_BA_SWAP7Y</t>
  </si>
  <si>
    <t>CAD_BA_SWAP8Y</t>
  </si>
  <si>
    <t>CAD_BA_SWAP9Y</t>
  </si>
  <si>
    <t>CAD_BA_SWAP10Y</t>
  </si>
  <si>
    <t>CAD_BA_SWAP12Y</t>
  </si>
  <si>
    <t>CAD_BA_SWAP15Y</t>
  </si>
  <si>
    <t>CAD_BA_SWAP20Y</t>
  </si>
  <si>
    <t>CAD_BA_SWAP25Y</t>
  </si>
  <si>
    <t>CAD_BA_SWAP30Y</t>
  </si>
  <si>
    <t>CAD_XBS_SWAP1Y</t>
  </si>
  <si>
    <t>CAD_XBS_SWAP2Y</t>
  </si>
  <si>
    <t>CAD_XBS_SWAP3Y</t>
  </si>
  <si>
    <t>CAD_XBS_SWAP4Y</t>
  </si>
  <si>
    <t>CAD_XBS_SWAP5Y</t>
  </si>
  <si>
    <t>CAD_XBS_SWAP7Y</t>
  </si>
  <si>
    <t>CAD_XBS_SWAP10Y</t>
  </si>
  <si>
    <t>CAD_XBS_SWAP15Y</t>
  </si>
  <si>
    <t>CAD_XBS_SWAP20Y</t>
  </si>
  <si>
    <t>CAD_XBS_SWAP30Y</t>
  </si>
  <si>
    <t>FixedRateBond</t>
  </si>
  <si>
    <t>Description</t>
  </si>
  <si>
    <t>SettlementDays</t>
  </si>
  <si>
    <t>FaceAmount</t>
  </si>
  <si>
    <t>Actual/Actual (ISMA)</t>
  </si>
  <si>
    <t>Redemption</t>
  </si>
  <si>
    <t>IssueDate</t>
  </si>
  <si>
    <t>setPricingEngine</t>
  </si>
  <si>
    <t>ID</t>
  </si>
  <si>
    <t>Settlement</t>
  </si>
  <si>
    <t>Maturity</t>
  </si>
  <si>
    <t>Accrued Coupon</t>
  </si>
  <si>
    <t>Theo Clean Price</t>
  </si>
  <si>
    <t>BondEngine</t>
  </si>
  <si>
    <t>z-Spread</t>
  </si>
  <si>
    <t>EJ028492 Corp</t>
  </si>
  <si>
    <t>XS0748631164</t>
  </si>
  <si>
    <t>EIB 2.625 03/06/2020</t>
  </si>
  <si>
    <t xml:space="preserve">qlIndexAddFixings </t>
  </si>
  <si>
    <t>qlIborLeg</t>
  </si>
  <si>
    <t>eo3mProj</t>
  </si>
  <si>
    <t>EIBFloater_01_15_2020</t>
  </si>
  <si>
    <t>WithFloor</t>
  </si>
  <si>
    <t>Intrinsic</t>
  </si>
  <si>
    <t>TermVolSurface</t>
  </si>
  <si>
    <t>SwitchStrike</t>
  </si>
  <si>
    <t>eo6mcapfloorstripped</t>
  </si>
  <si>
    <t>qlRelinkableHandleOptionletVolatilityStructure</t>
  </si>
  <si>
    <t>qlStrippedOptionletAdapter</t>
  </si>
  <si>
    <t>qlCapFloor</t>
  </si>
  <si>
    <t>qlInstrumentSetPricingEngine</t>
  </si>
  <si>
    <t>qlInstrumentNPV</t>
  </si>
  <si>
    <t>1Y6M</t>
  </si>
  <si>
    <t>EO6M_Vol</t>
  </si>
  <si>
    <t>EO3M_Vol</t>
  </si>
  <si>
    <t>ICAP Data</t>
  </si>
  <si>
    <t>EUR_EO3M_CapSchedule1Y</t>
  </si>
  <si>
    <t>EUR_EO3M_CapSchedule1Y6M</t>
  </si>
  <si>
    <t>EUR_EO3M_CapSchedule2Y</t>
  </si>
  <si>
    <t>eo3mcapfloorstripped</t>
  </si>
  <si>
    <t>qlBachelierCapFloorEngine</t>
  </si>
  <si>
    <t>FixedLeg</t>
  </si>
  <si>
    <t>FloatLeg</t>
  </si>
  <si>
    <t>bp</t>
  </si>
  <si>
    <t>2Y6M</t>
  </si>
  <si>
    <t>3Y6M</t>
  </si>
  <si>
    <t>4Y6M</t>
  </si>
  <si>
    <t>5Y6M</t>
  </si>
  <si>
    <t>6Y6M</t>
  </si>
  <si>
    <t>7Y6M</t>
  </si>
  <si>
    <t>8Y6M</t>
  </si>
  <si>
    <t>9Y6M</t>
  </si>
  <si>
    <t>10Y6M</t>
  </si>
  <si>
    <t>11Y6M</t>
  </si>
  <si>
    <t>12Y6M</t>
  </si>
  <si>
    <t>14y</t>
  </si>
  <si>
    <t>16y</t>
  </si>
  <si>
    <t>17y</t>
  </si>
  <si>
    <t>18y</t>
  </si>
  <si>
    <t>19y</t>
  </si>
  <si>
    <t>13Y6M</t>
  </si>
  <si>
    <t>14y6M</t>
  </si>
  <si>
    <t>15y6M</t>
  </si>
  <si>
    <t>16y6M</t>
  </si>
  <si>
    <t>17y6M</t>
  </si>
  <si>
    <t>18y6M</t>
  </si>
  <si>
    <t>19y6M</t>
  </si>
  <si>
    <t>20y6M</t>
  </si>
  <si>
    <t>eo6mfullcapfloorstripped</t>
  </si>
  <si>
    <t>10Yr -0.25% Floor</t>
  </si>
  <si>
    <t>ATM Rate</t>
  </si>
  <si>
    <t>qlSwaptionVTSMatrix</t>
  </si>
  <si>
    <t>qlSwaptionVTSVolatility</t>
  </si>
  <si>
    <t>OptionTenors</t>
  </si>
  <si>
    <t>Smile</t>
  </si>
  <si>
    <t>SwapLengths</t>
  </si>
  <si>
    <t>StrikeSpreads</t>
  </si>
  <si>
    <t>qlSwaptionVolCube2</t>
  </si>
  <si>
    <t>qlRelinkableHandleSwaptionVolatilityStructure</t>
  </si>
  <si>
    <t>today's date</t>
  </si>
  <si>
    <t>calendar</t>
  </si>
  <si>
    <t>settlement date</t>
  </si>
  <si>
    <t>set evaluation date</t>
  </si>
  <si>
    <t>Fixed Leg</t>
  </si>
  <si>
    <t>Floating Leg</t>
  </si>
  <si>
    <t>Frequency</t>
  </si>
  <si>
    <t>dummyRate</t>
  </si>
  <si>
    <t>type</t>
  </si>
  <si>
    <t>startDate</t>
  </si>
  <si>
    <t>maturity</t>
  </si>
  <si>
    <t>pricing engine</t>
  </si>
  <si>
    <t>fixedATMRate</t>
  </si>
  <si>
    <t>accrual start dates</t>
  </si>
  <si>
    <t>fixedOTMRate</t>
  </si>
  <si>
    <t>fixedITMRate</t>
  </si>
  <si>
    <t>swaption</t>
  </si>
  <si>
    <t>engine</t>
  </si>
  <si>
    <t>set pricing engine</t>
  </si>
  <si>
    <t>maturities</t>
  </si>
  <si>
    <t>period</t>
  </si>
  <si>
    <t>quote</t>
  </si>
  <si>
    <t>vol</t>
  </si>
  <si>
    <t>swaptions</t>
  </si>
  <si>
    <t>engines</t>
  </si>
  <si>
    <t>set</t>
  </si>
  <si>
    <t>npv</t>
  </si>
  <si>
    <t>implied</t>
  </si>
  <si>
    <t>diff</t>
  </si>
  <si>
    <t xml:space="preserve">Vanilla Swap </t>
  </si>
  <si>
    <t>Bermudian Swaption</t>
  </si>
  <si>
    <t>EndCriteria</t>
  </si>
  <si>
    <t>Constraint</t>
  </si>
  <si>
    <t>calibrate</t>
  </si>
  <si>
    <t>H&amp;W Calibrated parameters</t>
  </si>
  <si>
    <t>mean reverting speed</t>
  </si>
  <si>
    <t>short rate limit value</t>
  </si>
  <si>
    <t>risk premium</t>
  </si>
  <si>
    <t>sigma</t>
  </si>
  <si>
    <t>StaticModelHW</t>
  </si>
  <si>
    <t>index</t>
  </si>
  <si>
    <t>Notional</t>
  </si>
  <si>
    <t>c46</t>
  </si>
  <si>
    <t>l48</t>
  </si>
  <si>
    <t>c51</t>
  </si>
  <si>
    <t>SwaptionHelper</t>
  </si>
  <si>
    <t>ConstantSawaptionVol</t>
  </si>
  <si>
    <t>SwaptionVolatilityMatrix</t>
  </si>
  <si>
    <t>simplex</t>
  </si>
  <si>
    <t>StaticModelG2</t>
  </si>
  <si>
    <t>G2A</t>
  </si>
  <si>
    <t>G2B</t>
  </si>
  <si>
    <t>G2Eta</t>
  </si>
  <si>
    <t>G2Rho</t>
  </si>
  <si>
    <t>G2sigma</t>
  </si>
  <si>
    <t>G2 Calibrated parameters</t>
  </si>
  <si>
    <t>exercise dates</t>
  </si>
  <si>
    <t>XBS2</t>
  </si>
  <si>
    <t>XBS2Pricing</t>
  </si>
  <si>
    <t>GBP_LO6M_FRA1x7</t>
  </si>
  <si>
    <t>GBP_LO6M_FRA2x8</t>
  </si>
  <si>
    <t>GBP_LO6M_FRA3x9</t>
  </si>
  <si>
    <t>GBP_LO6M_FRA4x10</t>
  </si>
  <si>
    <t>GBP_LO6M_FRA5x11</t>
  </si>
  <si>
    <t>GBP_LO6M_FRA6x12</t>
  </si>
  <si>
    <t>GBP_LO6M_FRA12x18</t>
  </si>
  <si>
    <t>60Y</t>
  </si>
  <si>
    <t>70Y</t>
  </si>
  <si>
    <t>gbp_lo3mproj</t>
  </si>
  <si>
    <t>gbp_LO3M</t>
  </si>
  <si>
    <t>gbp_lo6mproj</t>
  </si>
  <si>
    <t>gbp_LO6M</t>
  </si>
  <si>
    <t>gbp</t>
  </si>
  <si>
    <t>gbp_soniaPricing</t>
  </si>
  <si>
    <t>gbp_sonia</t>
  </si>
  <si>
    <t>GBP</t>
  </si>
  <si>
    <t>GBP_SONIA_Depo1D</t>
  </si>
  <si>
    <t>Sonia</t>
  </si>
  <si>
    <t>GBP_SONIA_Depo2D</t>
  </si>
  <si>
    <t>GBP_SONIA_Depo1W</t>
  </si>
  <si>
    <t>GBP_SONIA_Depo2W</t>
  </si>
  <si>
    <t>GBP_SONIA_Depo3W</t>
  </si>
  <si>
    <t>GBP_SONIA_Depo1M</t>
  </si>
  <si>
    <t>GBP_SONIA_Depo2M</t>
  </si>
  <si>
    <t>GBP_SONIA_Depo3M</t>
  </si>
  <si>
    <t>GBP_SONIA_Depo4M</t>
  </si>
  <si>
    <t>GBP_SONIA_Depo5M</t>
  </si>
  <si>
    <t>GBP_SONIA_Depo6M</t>
  </si>
  <si>
    <t>GBP_SONIA_Depo7M</t>
  </si>
  <si>
    <t>GBP_SONIA_Depo8M</t>
  </si>
  <si>
    <t>GBP_SONIA_Depo9M</t>
  </si>
  <si>
    <t>GBP_SONIA_Depo10M</t>
  </si>
  <si>
    <t>GBP_SONIA_Depo11M</t>
  </si>
  <si>
    <t>GBP_SONIA_Depo12M</t>
  </si>
  <si>
    <t>GBP_SONIA_Depo15M</t>
  </si>
  <si>
    <t>GBP_SONIA_Swap18M</t>
  </si>
  <si>
    <t>GBP_SONIA_Swap2Y</t>
  </si>
  <si>
    <t>GBP_SONIA_Swap3Y</t>
  </si>
  <si>
    <t>GBP_SONIA_Swap4Y</t>
  </si>
  <si>
    <t>GBP_SONIA_Swap5Y</t>
  </si>
  <si>
    <t>GBP_SONIA_Swap6Y</t>
  </si>
  <si>
    <t>GBP_SONIA_Swap7Y</t>
  </si>
  <si>
    <t>GBP_SONIA_Swap8Y</t>
  </si>
  <si>
    <t>GBP_SONIA_Swap9Y</t>
  </si>
  <si>
    <t>GBP_SONIA_Swap10Y</t>
  </si>
  <si>
    <t>GBP_SONIA_Swap12Y</t>
  </si>
  <si>
    <t>GBP_SONIA_Swap15Y</t>
  </si>
  <si>
    <t>GBP_SONIA_Swap20Y</t>
  </si>
  <si>
    <t>GBP_SONIA_Swap25Y</t>
  </si>
  <si>
    <t>GBP_SONIA_Swap30Y</t>
  </si>
  <si>
    <t>GBP_SONIA_Swap40Y</t>
  </si>
  <si>
    <t>GBP_SONIA_Swap50Y</t>
  </si>
  <si>
    <t>GBP_SONIA_Swap60Y</t>
  </si>
  <si>
    <t>GBP_SONIA_Swap70Y</t>
  </si>
  <si>
    <t>GBP_LO3M_SWAP1Y</t>
  </si>
  <si>
    <t>GBP_LO3M_SWAP2Y</t>
  </si>
  <si>
    <t>GBP_LO3M_SWAP3Y</t>
  </si>
  <si>
    <t>GBP_LO3M_SWAP4Y</t>
  </si>
  <si>
    <t>GBP_LO3M_SWAP5Y</t>
  </si>
  <si>
    <t>GBP_LO3M_SWAP6Y</t>
  </si>
  <si>
    <t>GBP_LO3M_SWAP7Y</t>
  </si>
  <si>
    <t>GBP_LO3M_SWAP8Y</t>
  </si>
  <si>
    <t>GBP_LO3M_SWAP9Y</t>
  </si>
  <si>
    <t>GBP_LO3M_SWAP10Y</t>
  </si>
  <si>
    <t>GBP_LO3M_SWAP12Y</t>
  </si>
  <si>
    <t>GBP_LO3M_SWAP15Y</t>
  </si>
  <si>
    <t>GBP_LO3M_SWAP20Y</t>
  </si>
  <si>
    <t>GBP_LO3M_SWAP25Y</t>
  </si>
  <si>
    <t>GBP_LO3M_SWAP30Y</t>
  </si>
  <si>
    <t>GBP_LO3M_SWAP40Y</t>
  </si>
  <si>
    <t>GBP_LO3M_SWAP50Y</t>
  </si>
  <si>
    <t>GBP_LO3M_SWAP60Y</t>
  </si>
  <si>
    <t>GBP_LO3M_SWAP70Y</t>
  </si>
  <si>
    <t>GBP_XBS_SWAP1Y</t>
  </si>
  <si>
    <t>GBP_XBS_SWAP2Y</t>
  </si>
  <si>
    <t>GBP_XBS_SWAP3Y</t>
  </si>
  <si>
    <t>GBP_XBS_SWAP4Y</t>
  </si>
  <si>
    <t>GBP_XBS_SWAP5Y</t>
  </si>
  <si>
    <t>GBP_XBS_SWAP7Y</t>
  </si>
  <si>
    <t>GBP_XBS_SWAP10Y</t>
  </si>
  <si>
    <t>GBP_XBS_SWAP15Y</t>
  </si>
  <si>
    <t>GBP_XBS_SWAP20Y</t>
  </si>
  <si>
    <t>GBP_XBS_SWAP30Y</t>
  </si>
  <si>
    <t>GBP_LO6M_DepoTN</t>
  </si>
  <si>
    <t>GBP_LO6M_Depo1W</t>
  </si>
  <si>
    <t>GBP_LO6M_Depo1M</t>
  </si>
  <si>
    <t>GBP_LO6M_Depo2M</t>
  </si>
  <si>
    <t>GBP_LO6M_Depo3M</t>
  </si>
  <si>
    <t>GBP_LO6M_Depo6M</t>
  </si>
  <si>
    <t>GBP_LO6M_SWAP2Y</t>
  </si>
  <si>
    <t>GBP_LO6M_SWAP3Y</t>
  </si>
  <si>
    <t>GBP_LO6M_SWAP4Y</t>
  </si>
  <si>
    <t>GBP_LO6M_SWAP5Y</t>
  </si>
  <si>
    <t>GBP_LO6M_SWAP6Y</t>
  </si>
  <si>
    <t>GBP_LO6M_SWAP7Y</t>
  </si>
  <si>
    <t>GBP_LO6M_SWAP8Y</t>
  </si>
  <si>
    <t>GBP_LO6M_SWAP9Y</t>
  </si>
  <si>
    <t>GBP_LO6M_SWAP10Y</t>
  </si>
  <si>
    <t>GBP_LO6M_SWAP12Y</t>
  </si>
  <si>
    <t>GBP_LO6M_SWAP15Y</t>
  </si>
  <si>
    <t>GBP_LO6M_SWAP20Y</t>
  </si>
  <si>
    <t>GBP_LO6M_SWAP25Y</t>
  </si>
  <si>
    <t>GBP_LO6M_SWAP30Y</t>
  </si>
  <si>
    <t>GBP_LO6M_SWAP40Y</t>
  </si>
  <si>
    <t>GBP_LO6M_SWAP50Y</t>
  </si>
  <si>
    <t>GBP_LO6M_SWAP60Y</t>
  </si>
  <si>
    <t>GBP_LO6M_SWAP70Y</t>
  </si>
  <si>
    <t>gbpTrigger</t>
  </si>
  <si>
    <t>35Y</t>
  </si>
  <si>
    <t>22y</t>
  </si>
  <si>
    <t>27y</t>
  </si>
  <si>
    <t>32y</t>
  </si>
  <si>
    <t>37Y</t>
  </si>
  <si>
    <t>42Y</t>
  </si>
  <si>
    <t>45Y</t>
  </si>
  <si>
    <t>40y</t>
  </si>
  <si>
    <t>EngineTrigger</t>
  </si>
  <si>
    <t>setEngineTrigger</t>
  </si>
  <si>
    <t>JamshidianSwaptionEngine</t>
  </si>
  <si>
    <t>BachelierSwaptionEngine</t>
  </si>
  <si>
    <t>ModelG2SwaptionEngine</t>
  </si>
  <si>
    <t>TreeSwaptionG2Engine</t>
  </si>
  <si>
    <t xml:space="preserve">Standard Swap </t>
  </si>
  <si>
    <t>TreeSwaptionEngine</t>
  </si>
  <si>
    <t>rhDiscount1</t>
  </si>
  <si>
    <t>rhProj1</t>
  </si>
  <si>
    <t>rhDiscountHW1</t>
  </si>
  <si>
    <t>rhProjHW1</t>
  </si>
  <si>
    <t>eurOm</t>
  </si>
  <si>
    <t>omEurG2</t>
  </si>
  <si>
    <t>eurFixedSchedule</t>
  </si>
  <si>
    <t>eurFloatSchedule</t>
  </si>
  <si>
    <t>eurSwap</t>
  </si>
  <si>
    <t>eurStdFixedSchedule</t>
  </si>
  <si>
    <t>eurStdFloatSchedule</t>
  </si>
  <si>
    <t>eurStdSwap</t>
  </si>
  <si>
    <t>eurAtmSwap</t>
  </si>
  <si>
    <t>eurOtmSwap</t>
  </si>
  <si>
    <t>eurItmSwap</t>
  </si>
  <si>
    <t>eurBermudanExercise</t>
  </si>
  <si>
    <t>eurModelHW</t>
  </si>
  <si>
    <t>eurModelG2</t>
  </si>
  <si>
    <t>ForwardFlat</t>
  </si>
  <si>
    <t>BackwardFlat</t>
  </si>
  <si>
    <t>IDays</t>
  </si>
  <si>
    <t>Rate</t>
  </si>
  <si>
    <t>AllInRate</t>
  </si>
  <si>
    <t>Flows</t>
  </si>
  <si>
    <t>Type</t>
  </si>
  <si>
    <t>Days</t>
  </si>
  <si>
    <t>Ccy</t>
  </si>
  <si>
    <t>Zero</t>
  </si>
  <si>
    <t>Present Value</t>
  </si>
  <si>
    <t>IPR</t>
  </si>
  <si>
    <t>Index Fixing</t>
  </si>
  <si>
    <t>Fwd</t>
  </si>
  <si>
    <t>Loglinear</t>
  </si>
  <si>
    <t>Logcubic</t>
  </si>
  <si>
    <t>y</t>
  </si>
  <si>
    <t>n</t>
  </si>
  <si>
    <t>70y</t>
  </si>
  <si>
    <t>65y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</si>
</sst>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dd\,\ d\-mmm\-yyyy"/>
    <numFmt numFmtId="167" formatCode="0.0000"/>
    <numFmt numFmtId="168" formatCode="0.000000000"/>
    <numFmt numFmtId="169" formatCode="0.00000000"/>
    <numFmt numFmtId="170" formatCode="0.00000%"/>
    <numFmt numFmtId="171" formatCode="0.000"/>
    <numFmt numFmtId="172" formatCode="0.00000"/>
    <numFmt numFmtId="173" formatCode="0.000000%"/>
    <numFmt numFmtId="174" formatCode="0.000%"/>
    <numFmt numFmtId="175" formatCode="0.0"/>
    <numFmt numFmtId="176" formatCode="#,##0.000"/>
    <numFmt numFmtId="177" formatCode="#,##0.0"/>
    <numFmt numFmtId="178" formatCode="#,##0.000000"/>
    <numFmt numFmtId="179" formatCode="[$-F800]dddd\,\ mmmm\ dd\,\ yyyy"/>
    <numFmt numFmtId="180" formatCode="dd\-mmm\-yyyy"/>
    <numFmt numFmtId="181" formatCode="_(* #,##0.0000_);_(* \(#,##0.0000\);_(* &quot;-&quot;??_);_(@_)"/>
    <numFmt numFmtId="182" formatCode="##,##0.00"/>
  </numFmts>
  <fonts count="97" x14ac:knownFonts="1">
    <font>
      <sz val="8"/>
      <name val="Arial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0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1"/>
      <color theme="1"/>
      <name val="Calibri"/>
      <family val="2"/>
      <scheme val="minor"/>
    </font>
    <font>
      <sz val="8"/>
      <name val="Microsoft Sans Serif"/>
      <family val="2"/>
    </font>
    <font>
      <sz val="8"/>
      <color rgb="FF000000"/>
      <name val="Microsoft Sans Serif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sz val="10"/>
      <color rgb="FF000000"/>
      <name val="Arial"/>
      <family val="2"/>
    </font>
    <font>
      <b/>
      <sz val="8"/>
      <name val="Arial"/>
      <family val="2"/>
    </font>
    <font>
      <sz val="10"/>
      <color rgb="FF222222"/>
      <name val="Consolas"/>
      <family val="3"/>
    </font>
    <font>
      <sz val="10"/>
      <color rgb="FF555555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name val="Arial"/>
      <family val="2"/>
    </font>
    <font>
      <b/>
      <sz val="10"/>
      <color rgb="FF222222"/>
      <name val="Consolas"/>
      <family val="3"/>
    </font>
    <font>
      <sz val="12"/>
      <color rgb="FF000000"/>
      <name val="Arial"/>
      <family val="2"/>
    </font>
    <font>
      <sz val="8"/>
      <color theme="1"/>
      <name val="Courier New"/>
      <family val="3"/>
    </font>
    <font>
      <b/>
      <sz val="8"/>
      <color theme="1"/>
      <name val="Courier New"/>
      <family val="3"/>
    </font>
    <font>
      <b/>
      <sz val="11"/>
      <color indexed="9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9"/>
      </patternFill>
    </fill>
    <fill>
      <patternFill patternType="solid">
        <fgColor rgb="FFF4FFFF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4F81BD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D8D0B8"/>
      </left>
      <right style="thin">
        <color rgb="FFD8D0B8"/>
      </right>
      <top style="thin">
        <color rgb="FFD8D0B8"/>
      </top>
      <bottom style="thin">
        <color rgb="FFD8D0B8"/>
      </bottom>
      <diagonal/>
    </border>
    <border>
      <left style="thin">
        <color rgb="FF919B92"/>
      </left>
      <right style="thin">
        <color rgb="FF919B92"/>
      </right>
      <top style="thin">
        <color rgb="FF919B92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55788">
    <xf numFmtId="0" fontId="0" fillId="0" borderId="0"/>
    <xf numFmtId="9" fontId="37" fillId="0" borderId="0" applyFont="0" applyFill="0" applyBorder="0" applyAlignment="0" applyProtection="0"/>
    <xf numFmtId="0" fontId="45" fillId="0" borderId="0"/>
    <xf numFmtId="0" fontId="48" fillId="0" borderId="0"/>
    <xf numFmtId="0" fontId="37" fillId="0" borderId="0"/>
    <xf numFmtId="9" fontId="37" fillId="0" borderId="0" applyFont="0" applyFill="0" applyBorder="0" applyAlignment="0" applyProtection="0"/>
    <xf numFmtId="0" fontId="49" fillId="0" borderId="0"/>
    <xf numFmtId="0" fontId="51" fillId="0" borderId="0"/>
    <xf numFmtId="164" fontId="45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52" fillId="0" borderId="0" applyFont="0" applyFill="0" applyBorder="0" applyAlignment="0" applyProtection="0"/>
    <xf numFmtId="164" fontId="45" fillId="0" borderId="0" applyFont="0" applyFill="0" applyBorder="0" applyAlignment="0" applyProtection="0"/>
    <xf numFmtId="164" fontId="50" fillId="0" borderId="0" applyFont="0" applyFill="0" applyBorder="0" applyAlignment="0" applyProtection="0"/>
    <xf numFmtId="0" fontId="45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5" fillId="0" borderId="0"/>
    <xf numFmtId="0" fontId="48" fillId="0" borderId="0" applyNumberFormat="0" applyFont="0" applyFill="0" applyBorder="0" applyAlignment="0" applyProtection="0"/>
    <xf numFmtId="0" fontId="53" fillId="0" borderId="0"/>
    <xf numFmtId="0" fontId="53" fillId="0" borderId="0"/>
    <xf numFmtId="0" fontId="48" fillId="0" borderId="0"/>
    <xf numFmtId="0" fontId="48" fillId="0" borderId="0"/>
    <xf numFmtId="0" fontId="37" fillId="0" borderId="0"/>
    <xf numFmtId="0" fontId="45" fillId="0" borderId="0"/>
    <xf numFmtId="0" fontId="48" fillId="0" borderId="0"/>
    <xf numFmtId="0" fontId="45" fillId="0" borderId="0"/>
    <xf numFmtId="0" fontId="54" fillId="0" borderId="0"/>
    <xf numFmtId="0" fontId="48" fillId="0" borderId="0"/>
    <xf numFmtId="0" fontId="48" fillId="0" borderId="0"/>
    <xf numFmtId="0" fontId="37" fillId="0" borderId="0"/>
    <xf numFmtId="0" fontId="37" fillId="0" borderId="0"/>
    <xf numFmtId="0" fontId="48" fillId="0" borderId="0"/>
    <xf numFmtId="0" fontId="50" fillId="0" borderId="0"/>
    <xf numFmtId="0" fontId="45" fillId="7" borderId="27" applyNumberFormat="0" applyFont="0" applyAlignment="0" applyProtection="0"/>
    <xf numFmtId="9" fontId="48" fillId="0" borderId="0" applyFont="0" applyFill="0" applyBorder="0" applyAlignment="0" applyProtection="0"/>
    <xf numFmtId="164" fontId="37" fillId="0" borderId="0" applyFont="0" applyFill="0" applyBorder="0" applyAlignment="0" applyProtection="0"/>
    <xf numFmtId="0" fontId="37" fillId="0" borderId="0"/>
    <xf numFmtId="0" fontId="36" fillId="0" borderId="0"/>
    <xf numFmtId="0" fontId="35" fillId="0" borderId="0"/>
    <xf numFmtId="0" fontId="58" fillId="0" borderId="0" applyNumberFormat="0" applyFill="0" applyBorder="0" applyAlignment="0" applyProtection="0"/>
    <xf numFmtId="0" fontId="59" fillId="0" borderId="28" applyNumberFormat="0" applyFill="0" applyAlignment="0" applyProtection="0"/>
    <xf numFmtId="0" fontId="60" fillId="0" borderId="29" applyNumberFormat="0" applyFill="0" applyAlignment="0" applyProtection="0"/>
    <xf numFmtId="0" fontId="61" fillId="0" borderId="30" applyNumberFormat="0" applyFill="0" applyAlignment="0" applyProtection="0"/>
    <xf numFmtId="0" fontId="61" fillId="0" borderId="0" applyNumberFormat="0" applyFill="0" applyBorder="0" applyAlignment="0" applyProtection="0"/>
    <xf numFmtId="0" fontId="62" fillId="9" borderId="0" applyNumberFormat="0" applyBorder="0" applyAlignment="0" applyProtection="0"/>
    <xf numFmtId="0" fontId="63" fillId="10" borderId="0" applyNumberFormat="0" applyBorder="0" applyAlignment="0" applyProtection="0"/>
    <xf numFmtId="0" fontId="64" fillId="11" borderId="0" applyNumberFormat="0" applyBorder="0" applyAlignment="0" applyProtection="0"/>
    <xf numFmtId="0" fontId="65" fillId="12" borderId="31" applyNumberFormat="0" applyAlignment="0" applyProtection="0"/>
    <xf numFmtId="0" fontId="66" fillId="13" borderId="32" applyNumberFormat="0" applyAlignment="0" applyProtection="0"/>
    <xf numFmtId="0" fontId="67" fillId="13" borderId="31" applyNumberFormat="0" applyAlignment="0" applyProtection="0"/>
    <xf numFmtId="0" fontId="68" fillId="0" borderId="33" applyNumberFormat="0" applyFill="0" applyAlignment="0" applyProtection="0"/>
    <xf numFmtId="0" fontId="69" fillId="14" borderId="34" applyNumberFormat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35" applyNumberFormat="0" applyFill="0" applyAlignment="0" applyProtection="0"/>
    <xf numFmtId="0" fontId="73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73" fillId="18" borderId="0" applyNumberFormat="0" applyBorder="0" applyAlignment="0" applyProtection="0"/>
    <xf numFmtId="0" fontId="73" fillId="19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73" fillId="22" borderId="0" applyNumberFormat="0" applyBorder="0" applyAlignment="0" applyProtection="0"/>
    <xf numFmtId="0" fontId="73" fillId="23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73" fillId="26" borderId="0" applyNumberFormat="0" applyBorder="0" applyAlignment="0" applyProtection="0"/>
    <xf numFmtId="0" fontId="73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73" fillId="30" borderId="0" applyNumberFormat="0" applyBorder="0" applyAlignment="0" applyProtection="0"/>
    <xf numFmtId="0" fontId="73" fillId="31" borderId="0" applyNumberFormat="0" applyBorder="0" applyAlignment="0" applyProtection="0"/>
    <xf numFmtId="0" fontId="34" fillId="32" borderId="0" applyNumberFormat="0" applyBorder="0" applyAlignment="0" applyProtection="0"/>
    <xf numFmtId="0" fontId="34" fillId="33" borderId="0" applyNumberFormat="0" applyBorder="0" applyAlignment="0" applyProtection="0"/>
    <xf numFmtId="0" fontId="73" fillId="34" borderId="0" applyNumberFormat="0" applyBorder="0" applyAlignment="0" applyProtection="0"/>
    <xf numFmtId="0" fontId="73" fillId="35" borderId="0" applyNumberFormat="0" applyBorder="0" applyAlignment="0" applyProtection="0"/>
    <xf numFmtId="0" fontId="34" fillId="36" borderId="0" applyNumberFormat="0" applyBorder="0" applyAlignment="0" applyProtection="0"/>
    <xf numFmtId="0" fontId="34" fillId="37" borderId="0" applyNumberFormat="0" applyBorder="0" applyAlignment="0" applyProtection="0"/>
    <xf numFmtId="0" fontId="73" fillId="38" borderId="0" applyNumberFormat="0" applyBorder="0" applyAlignment="0" applyProtection="0"/>
    <xf numFmtId="0" fontId="34" fillId="0" borderId="0"/>
    <xf numFmtId="0" fontId="34" fillId="7" borderId="27" applyNumberFormat="0" applyFont="0" applyAlignment="0" applyProtection="0"/>
    <xf numFmtId="0" fontId="33" fillId="0" borderId="0"/>
    <xf numFmtId="0" fontId="32" fillId="16" borderId="0" applyNumberFormat="0" applyBorder="0" applyAlignment="0" applyProtection="0"/>
    <xf numFmtId="0" fontId="32" fillId="20" borderId="0" applyNumberFormat="0" applyBorder="0" applyAlignment="0" applyProtection="0"/>
    <xf numFmtId="0" fontId="32" fillId="24" borderId="0" applyNumberFormat="0" applyBorder="0" applyAlignment="0" applyProtection="0"/>
    <xf numFmtId="0" fontId="32" fillId="28" borderId="0" applyNumberFormat="0" applyBorder="0" applyAlignment="0" applyProtection="0"/>
    <xf numFmtId="0" fontId="32" fillId="32" borderId="0" applyNumberFormat="0" applyBorder="0" applyAlignment="0" applyProtection="0"/>
    <xf numFmtId="0" fontId="32" fillId="36" borderId="0" applyNumberFormat="0" applyBorder="0" applyAlignment="0" applyProtection="0"/>
    <xf numFmtId="0" fontId="32" fillId="17" borderId="0" applyNumberFormat="0" applyBorder="0" applyAlignment="0" applyProtection="0"/>
    <xf numFmtId="0" fontId="32" fillId="21" borderId="0" applyNumberFormat="0" applyBorder="0" applyAlignment="0" applyProtection="0"/>
    <xf numFmtId="0" fontId="32" fillId="25" borderId="0" applyNumberFormat="0" applyBorder="0" applyAlignment="0" applyProtection="0"/>
    <xf numFmtId="0" fontId="32" fillId="29" borderId="0" applyNumberFormat="0" applyBorder="0" applyAlignment="0" applyProtection="0"/>
    <xf numFmtId="0" fontId="32" fillId="33" borderId="0" applyNumberFormat="0" applyBorder="0" applyAlignment="0" applyProtection="0"/>
    <xf numFmtId="0" fontId="32" fillId="37" borderId="0" applyNumberFormat="0" applyBorder="0" applyAlignment="0" applyProtection="0"/>
    <xf numFmtId="0" fontId="73" fillId="18" borderId="0" applyNumberFormat="0" applyBorder="0" applyAlignment="0" applyProtection="0"/>
    <xf numFmtId="0" fontId="73" fillId="22" borderId="0" applyNumberFormat="0" applyBorder="0" applyAlignment="0" applyProtection="0"/>
    <xf numFmtId="0" fontId="73" fillId="26" borderId="0" applyNumberFormat="0" applyBorder="0" applyAlignment="0" applyProtection="0"/>
    <xf numFmtId="0" fontId="73" fillId="30" borderId="0" applyNumberFormat="0" applyBorder="0" applyAlignment="0" applyProtection="0"/>
    <xf numFmtId="0" fontId="73" fillId="34" borderId="0" applyNumberFormat="0" applyBorder="0" applyAlignment="0" applyProtection="0"/>
    <xf numFmtId="0" fontId="73" fillId="38" borderId="0" applyNumberFormat="0" applyBorder="0" applyAlignment="0" applyProtection="0"/>
    <xf numFmtId="0" fontId="73" fillId="15" borderId="0" applyNumberFormat="0" applyBorder="0" applyAlignment="0" applyProtection="0"/>
    <xf numFmtId="0" fontId="73" fillId="19" borderId="0" applyNumberFormat="0" applyBorder="0" applyAlignment="0" applyProtection="0"/>
    <xf numFmtId="0" fontId="73" fillId="23" borderId="0" applyNumberFormat="0" applyBorder="0" applyAlignment="0" applyProtection="0"/>
    <xf numFmtId="0" fontId="73" fillId="27" borderId="0" applyNumberFormat="0" applyBorder="0" applyAlignment="0" applyProtection="0"/>
    <xf numFmtId="0" fontId="73" fillId="31" borderId="0" applyNumberFormat="0" applyBorder="0" applyAlignment="0" applyProtection="0"/>
    <xf numFmtId="0" fontId="73" fillId="35" borderId="0" applyNumberFormat="0" applyBorder="0" applyAlignment="0" applyProtection="0"/>
    <xf numFmtId="0" fontId="63" fillId="10" borderId="0" applyNumberFormat="0" applyBorder="0" applyAlignment="0" applyProtection="0"/>
    <xf numFmtId="0" fontId="67" fillId="13" borderId="31" applyNumberFormat="0" applyAlignment="0" applyProtection="0"/>
    <xf numFmtId="0" fontId="69" fillId="14" borderId="34" applyNumberFormat="0" applyAlignment="0" applyProtection="0"/>
    <xf numFmtId="0" fontId="71" fillId="0" borderId="0" applyNumberFormat="0" applyFill="0" applyBorder="0" applyAlignment="0" applyProtection="0"/>
    <xf numFmtId="0" fontId="62" fillId="9" borderId="0" applyNumberFormat="0" applyBorder="0" applyAlignment="0" applyProtection="0"/>
    <xf numFmtId="0" fontId="59" fillId="0" borderId="28" applyNumberFormat="0" applyFill="0" applyAlignment="0" applyProtection="0"/>
    <xf numFmtId="0" fontId="60" fillId="0" borderId="29" applyNumberFormat="0" applyFill="0" applyAlignment="0" applyProtection="0"/>
    <xf numFmtId="0" fontId="61" fillId="0" borderId="30" applyNumberFormat="0" applyFill="0" applyAlignment="0" applyProtection="0"/>
    <xf numFmtId="0" fontId="61" fillId="0" borderId="0" applyNumberFormat="0" applyFill="0" applyBorder="0" applyAlignment="0" applyProtection="0"/>
    <xf numFmtId="0" fontId="65" fillId="12" borderId="31" applyNumberFormat="0" applyAlignment="0" applyProtection="0"/>
    <xf numFmtId="0" fontId="68" fillId="0" borderId="33" applyNumberFormat="0" applyFill="0" applyAlignment="0" applyProtection="0"/>
    <xf numFmtId="0" fontId="64" fillId="11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7" fillId="0" borderId="0"/>
    <xf numFmtId="0" fontId="48" fillId="0" borderId="0"/>
    <xf numFmtId="0" fontId="32" fillId="0" borderId="0"/>
    <xf numFmtId="0" fontId="32" fillId="7" borderId="27" applyNumberFormat="0" applyFont="0" applyAlignment="0" applyProtection="0"/>
    <xf numFmtId="0" fontId="66" fillId="13" borderId="32" applyNumberFormat="0" applyAlignment="0" applyProtection="0"/>
    <xf numFmtId="9" fontId="37" fillId="0" borderId="0" applyFont="0" applyFill="0" applyBorder="0" applyAlignment="0" applyProtection="0"/>
    <xf numFmtId="0" fontId="72" fillId="0" borderId="35" applyNumberFormat="0" applyFill="0" applyAlignment="0" applyProtection="0"/>
    <xf numFmtId="0" fontId="70" fillId="0" borderId="0" applyNumberFormat="0" applyFill="0" applyBorder="0" applyAlignment="0" applyProtection="0"/>
    <xf numFmtId="0" fontId="31" fillId="16" borderId="0" applyNumberFormat="0" applyBorder="0" applyAlignment="0" applyProtection="0"/>
    <xf numFmtId="0" fontId="31" fillId="20" borderId="0" applyNumberFormat="0" applyBorder="0" applyAlignment="0" applyProtection="0"/>
    <xf numFmtId="0" fontId="31" fillId="24" borderId="0" applyNumberFormat="0" applyBorder="0" applyAlignment="0" applyProtection="0"/>
    <xf numFmtId="0" fontId="31" fillId="28" borderId="0" applyNumberFormat="0" applyBorder="0" applyAlignment="0" applyProtection="0"/>
    <xf numFmtId="0" fontId="31" fillId="32" borderId="0" applyNumberFormat="0" applyBorder="0" applyAlignment="0" applyProtection="0"/>
    <xf numFmtId="0" fontId="31" fillId="36" borderId="0" applyNumberFormat="0" applyBorder="0" applyAlignment="0" applyProtection="0"/>
    <xf numFmtId="0" fontId="31" fillId="17" borderId="0" applyNumberFormat="0" applyBorder="0" applyAlignment="0" applyProtection="0"/>
    <xf numFmtId="0" fontId="31" fillId="21" borderId="0" applyNumberFormat="0" applyBorder="0" applyAlignment="0" applyProtection="0"/>
    <xf numFmtId="0" fontId="31" fillId="25" borderId="0" applyNumberFormat="0" applyBorder="0" applyAlignment="0" applyProtection="0"/>
    <xf numFmtId="0" fontId="31" fillId="29" borderId="0" applyNumberFormat="0" applyBorder="0" applyAlignment="0" applyProtection="0"/>
    <xf numFmtId="0" fontId="31" fillId="33" borderId="0" applyNumberFormat="0" applyBorder="0" applyAlignment="0" applyProtection="0"/>
    <xf numFmtId="0" fontId="31" fillId="37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7" borderId="27" applyNumberFormat="0" applyFont="0" applyAlignment="0" applyProtection="0"/>
    <xf numFmtId="0" fontId="30" fillId="16" borderId="0" applyNumberFormat="0" applyBorder="0" applyAlignment="0" applyProtection="0"/>
    <xf numFmtId="0" fontId="30" fillId="20" borderId="0" applyNumberFormat="0" applyBorder="0" applyAlignment="0" applyProtection="0"/>
    <xf numFmtId="0" fontId="30" fillId="24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17" borderId="0" applyNumberFormat="0" applyBorder="0" applyAlignment="0" applyProtection="0"/>
    <xf numFmtId="0" fontId="30" fillId="21" borderId="0" applyNumberFormat="0" applyBorder="0" applyAlignment="0" applyProtection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7" borderId="27" applyNumberFormat="0" applyFont="0" applyAlignment="0" applyProtection="0"/>
    <xf numFmtId="0" fontId="29" fillId="16" borderId="0" applyNumberFormat="0" applyBorder="0" applyAlignment="0" applyProtection="0"/>
    <xf numFmtId="0" fontId="29" fillId="20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29" fillId="17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37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7" borderId="27" applyNumberFormat="0" applyFont="0" applyAlignment="0" applyProtection="0"/>
    <xf numFmtId="0" fontId="28" fillId="0" borderId="0"/>
    <xf numFmtId="0" fontId="54" fillId="0" borderId="0"/>
    <xf numFmtId="0" fontId="48" fillId="0" borderId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28" fillId="32" borderId="0" applyNumberFormat="0" applyBorder="0" applyAlignment="0" applyProtection="0"/>
    <xf numFmtId="0" fontId="28" fillId="33" borderId="0" applyNumberFormat="0" applyBorder="0" applyAlignment="0" applyProtection="0"/>
    <xf numFmtId="0" fontId="28" fillId="36" borderId="0" applyNumberFormat="0" applyBorder="0" applyAlignment="0" applyProtection="0"/>
    <xf numFmtId="0" fontId="28" fillId="37" borderId="0" applyNumberFormat="0" applyBorder="0" applyAlignment="0" applyProtection="0"/>
    <xf numFmtId="0" fontId="37" fillId="0" borderId="0"/>
    <xf numFmtId="9" fontId="37" fillId="0" borderId="0" applyFont="0" applyFill="0" applyBorder="0" applyAlignment="0" applyProtection="0"/>
    <xf numFmtId="0" fontId="45" fillId="0" borderId="0"/>
    <xf numFmtId="0" fontId="45" fillId="0" borderId="0"/>
    <xf numFmtId="0" fontId="28" fillId="0" borderId="0"/>
    <xf numFmtId="0" fontId="28" fillId="0" borderId="0"/>
    <xf numFmtId="0" fontId="28" fillId="0" borderId="0"/>
    <xf numFmtId="0" fontId="28" fillId="7" borderId="27" applyNumberFormat="0" applyFont="0" applyAlignment="0" applyProtection="0"/>
    <xf numFmtId="0" fontId="28" fillId="0" borderId="0"/>
    <xf numFmtId="0" fontId="28" fillId="16" borderId="0" applyNumberFormat="0" applyBorder="0" applyAlignment="0" applyProtection="0"/>
    <xf numFmtId="0" fontId="28" fillId="20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7" borderId="27" applyNumberFormat="0" applyFont="0" applyAlignment="0" applyProtection="0"/>
    <xf numFmtId="0" fontId="28" fillId="16" borderId="0" applyNumberFormat="0" applyBorder="0" applyAlignment="0" applyProtection="0"/>
    <xf numFmtId="0" fontId="28" fillId="20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7" borderId="27" applyNumberFormat="0" applyFont="0" applyAlignment="0" applyProtection="0"/>
    <xf numFmtId="0" fontId="28" fillId="16" borderId="0" applyNumberFormat="0" applyBorder="0" applyAlignment="0" applyProtection="0"/>
    <xf numFmtId="0" fontId="28" fillId="20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7" borderId="27" applyNumberFormat="0" applyFont="0" applyAlignment="0" applyProtection="0"/>
    <xf numFmtId="0" fontId="28" fillId="16" borderId="0" applyNumberFormat="0" applyBorder="0" applyAlignment="0" applyProtection="0"/>
    <xf numFmtId="0" fontId="28" fillId="20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7" borderId="27" applyNumberFormat="0" applyFont="0" applyAlignment="0" applyProtection="0"/>
    <xf numFmtId="164" fontId="48" fillId="0" borderId="0" applyFont="0" applyFill="0" applyBorder="0" applyAlignment="0" applyProtection="0"/>
    <xf numFmtId="0" fontId="28" fillId="0" borderId="0"/>
    <xf numFmtId="0" fontId="54" fillId="0" borderId="0"/>
    <xf numFmtId="0" fontId="48" fillId="0" borderId="0"/>
    <xf numFmtId="0" fontId="45" fillId="0" borderId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8" borderId="0" applyNumberFormat="0" applyBorder="0" applyAlignment="0" applyProtection="0"/>
    <xf numFmtId="0" fontId="27" fillId="28" borderId="0" applyNumberFormat="0" applyBorder="0" applyAlignment="0" applyProtection="0"/>
    <xf numFmtId="0" fontId="27" fillId="28" borderId="0" applyNumberFormat="0" applyBorder="0" applyAlignment="0" applyProtection="0"/>
    <xf numFmtId="0" fontId="27" fillId="28" borderId="0" applyNumberFormat="0" applyBorder="0" applyAlignment="0" applyProtection="0"/>
    <xf numFmtId="0" fontId="27" fillId="28" borderId="0" applyNumberFormat="0" applyBorder="0" applyAlignment="0" applyProtection="0"/>
    <xf numFmtId="0" fontId="27" fillId="28" borderId="0" applyNumberFormat="0" applyBorder="0" applyAlignment="0" applyProtection="0"/>
    <xf numFmtId="0" fontId="27" fillId="28" borderId="0" applyNumberFormat="0" applyBorder="0" applyAlignment="0" applyProtection="0"/>
    <xf numFmtId="0" fontId="27" fillId="28" borderId="0" applyNumberFormat="0" applyBorder="0" applyAlignment="0" applyProtection="0"/>
    <xf numFmtId="0" fontId="27" fillId="28" borderId="0" applyNumberFormat="0" applyBorder="0" applyAlignment="0" applyProtection="0"/>
    <xf numFmtId="0" fontId="27" fillId="28" borderId="0" applyNumberFormat="0" applyBorder="0" applyAlignment="0" applyProtection="0"/>
    <xf numFmtId="0" fontId="27" fillId="32" borderId="0" applyNumberFormat="0" applyBorder="0" applyAlignment="0" applyProtection="0"/>
    <xf numFmtId="0" fontId="27" fillId="32" borderId="0" applyNumberFormat="0" applyBorder="0" applyAlignment="0" applyProtection="0"/>
    <xf numFmtId="0" fontId="27" fillId="32" borderId="0" applyNumberFormat="0" applyBorder="0" applyAlignment="0" applyProtection="0"/>
    <xf numFmtId="0" fontId="27" fillId="32" borderId="0" applyNumberFormat="0" applyBorder="0" applyAlignment="0" applyProtection="0"/>
    <xf numFmtId="0" fontId="27" fillId="32" borderId="0" applyNumberFormat="0" applyBorder="0" applyAlignment="0" applyProtection="0"/>
    <xf numFmtId="0" fontId="27" fillId="32" borderId="0" applyNumberFormat="0" applyBorder="0" applyAlignment="0" applyProtection="0"/>
    <xf numFmtId="0" fontId="27" fillId="32" borderId="0" applyNumberFormat="0" applyBorder="0" applyAlignment="0" applyProtection="0"/>
    <xf numFmtId="0" fontId="27" fillId="32" borderId="0" applyNumberFormat="0" applyBorder="0" applyAlignment="0" applyProtection="0"/>
    <xf numFmtId="0" fontId="27" fillId="32" borderId="0" applyNumberFormat="0" applyBorder="0" applyAlignment="0" applyProtection="0"/>
    <xf numFmtId="0" fontId="27" fillId="32" borderId="0" applyNumberFormat="0" applyBorder="0" applyAlignment="0" applyProtection="0"/>
    <xf numFmtId="0" fontId="27" fillId="36" borderId="0" applyNumberFormat="0" applyBorder="0" applyAlignment="0" applyProtection="0"/>
    <xf numFmtId="0" fontId="27" fillId="36" borderId="0" applyNumberFormat="0" applyBorder="0" applyAlignment="0" applyProtection="0"/>
    <xf numFmtId="0" fontId="27" fillId="36" borderId="0" applyNumberFormat="0" applyBorder="0" applyAlignment="0" applyProtection="0"/>
    <xf numFmtId="0" fontId="27" fillId="36" borderId="0" applyNumberFormat="0" applyBorder="0" applyAlignment="0" applyProtection="0"/>
    <xf numFmtId="0" fontId="27" fillId="36" borderId="0" applyNumberFormat="0" applyBorder="0" applyAlignment="0" applyProtection="0"/>
    <xf numFmtId="0" fontId="27" fillId="36" borderId="0" applyNumberFormat="0" applyBorder="0" applyAlignment="0" applyProtection="0"/>
    <xf numFmtId="0" fontId="27" fillId="36" borderId="0" applyNumberFormat="0" applyBorder="0" applyAlignment="0" applyProtection="0"/>
    <xf numFmtId="0" fontId="27" fillId="36" borderId="0" applyNumberFormat="0" applyBorder="0" applyAlignment="0" applyProtection="0"/>
    <xf numFmtId="0" fontId="27" fillId="36" borderId="0" applyNumberFormat="0" applyBorder="0" applyAlignment="0" applyProtection="0"/>
    <xf numFmtId="0" fontId="27" fillId="36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3" borderId="0" applyNumberFormat="0" applyBorder="0" applyAlignment="0" applyProtection="0"/>
    <xf numFmtId="0" fontId="27" fillId="37" borderId="0" applyNumberFormat="0" applyBorder="0" applyAlignment="0" applyProtection="0"/>
    <xf numFmtId="0" fontId="27" fillId="37" borderId="0" applyNumberFormat="0" applyBorder="0" applyAlignment="0" applyProtection="0"/>
    <xf numFmtId="0" fontId="27" fillId="37" borderId="0" applyNumberFormat="0" applyBorder="0" applyAlignment="0" applyProtection="0"/>
    <xf numFmtId="0" fontId="27" fillId="37" borderId="0" applyNumberFormat="0" applyBorder="0" applyAlignment="0" applyProtection="0"/>
    <xf numFmtId="0" fontId="27" fillId="37" borderId="0" applyNumberFormat="0" applyBorder="0" applyAlignment="0" applyProtection="0"/>
    <xf numFmtId="0" fontId="27" fillId="37" borderId="0" applyNumberFormat="0" applyBorder="0" applyAlignment="0" applyProtection="0"/>
    <xf numFmtId="0" fontId="27" fillId="37" borderId="0" applyNumberFormat="0" applyBorder="0" applyAlignment="0" applyProtection="0"/>
    <xf numFmtId="0" fontId="27" fillId="37" borderId="0" applyNumberFormat="0" applyBorder="0" applyAlignment="0" applyProtection="0"/>
    <xf numFmtId="0" fontId="27" fillId="37" borderId="0" applyNumberFormat="0" applyBorder="0" applyAlignment="0" applyProtection="0"/>
    <xf numFmtId="0" fontId="27" fillId="37" borderId="0" applyNumberFormat="0" applyBorder="0" applyAlignment="0" applyProtection="0"/>
    <xf numFmtId="0" fontId="73" fillId="18" borderId="0" applyNumberFormat="0" applyBorder="0" applyAlignment="0" applyProtection="0"/>
    <xf numFmtId="0" fontId="73" fillId="22" borderId="0" applyNumberFormat="0" applyBorder="0" applyAlignment="0" applyProtection="0"/>
    <xf numFmtId="0" fontId="73" fillId="26" borderId="0" applyNumberFormat="0" applyBorder="0" applyAlignment="0" applyProtection="0"/>
    <xf numFmtId="0" fontId="73" fillId="30" borderId="0" applyNumberFormat="0" applyBorder="0" applyAlignment="0" applyProtection="0"/>
    <xf numFmtId="0" fontId="73" fillId="34" borderId="0" applyNumberFormat="0" applyBorder="0" applyAlignment="0" applyProtection="0"/>
    <xf numFmtId="0" fontId="73" fillId="38" borderId="0" applyNumberFormat="0" applyBorder="0" applyAlignment="0" applyProtection="0"/>
    <xf numFmtId="0" fontId="73" fillId="15" borderId="0" applyNumberFormat="0" applyBorder="0" applyAlignment="0" applyProtection="0"/>
    <xf numFmtId="0" fontId="73" fillId="19" borderId="0" applyNumberFormat="0" applyBorder="0" applyAlignment="0" applyProtection="0"/>
    <xf numFmtId="0" fontId="73" fillId="23" borderId="0" applyNumberFormat="0" applyBorder="0" applyAlignment="0" applyProtection="0"/>
    <xf numFmtId="0" fontId="73" fillId="27" borderId="0" applyNumberFormat="0" applyBorder="0" applyAlignment="0" applyProtection="0"/>
    <xf numFmtId="0" fontId="73" fillId="31" borderId="0" applyNumberFormat="0" applyBorder="0" applyAlignment="0" applyProtection="0"/>
    <xf numFmtId="0" fontId="73" fillId="35" borderId="0" applyNumberFormat="0" applyBorder="0" applyAlignment="0" applyProtection="0"/>
    <xf numFmtId="0" fontId="63" fillId="10" borderId="0" applyNumberFormat="0" applyBorder="0" applyAlignment="0" applyProtection="0"/>
    <xf numFmtId="0" fontId="67" fillId="13" borderId="31" applyNumberFormat="0" applyAlignment="0" applyProtection="0"/>
    <xf numFmtId="0" fontId="69" fillId="14" borderId="34" applyNumberFormat="0" applyAlignment="0" applyProtection="0"/>
    <xf numFmtId="0" fontId="71" fillId="0" borderId="0" applyNumberFormat="0" applyFill="0" applyBorder="0" applyAlignment="0" applyProtection="0"/>
    <xf numFmtId="0" fontId="62" fillId="9" borderId="0" applyNumberFormat="0" applyBorder="0" applyAlignment="0" applyProtection="0"/>
    <xf numFmtId="0" fontId="59" fillId="0" borderId="28" applyNumberFormat="0" applyFill="0" applyAlignment="0" applyProtection="0"/>
    <xf numFmtId="0" fontId="60" fillId="0" borderId="29" applyNumberFormat="0" applyFill="0" applyAlignment="0" applyProtection="0"/>
    <xf numFmtId="0" fontId="61" fillId="0" borderId="30" applyNumberFormat="0" applyFill="0" applyAlignment="0" applyProtection="0"/>
    <xf numFmtId="0" fontId="61" fillId="0" borderId="0" applyNumberFormat="0" applyFill="0" applyBorder="0" applyAlignment="0" applyProtection="0"/>
    <xf numFmtId="0" fontId="65" fillId="12" borderId="31" applyNumberFormat="0" applyAlignment="0" applyProtection="0"/>
    <xf numFmtId="0" fontId="68" fillId="0" borderId="33" applyNumberFormat="0" applyFill="0" applyAlignment="0" applyProtection="0"/>
    <xf numFmtId="0" fontId="64" fillId="11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7" borderId="27" applyNumberFormat="0" applyFont="0" applyAlignment="0" applyProtection="0"/>
    <xf numFmtId="0" fontId="27" fillId="7" borderId="27" applyNumberFormat="0" applyFont="0" applyAlignment="0" applyProtection="0"/>
    <xf numFmtId="0" fontId="27" fillId="7" borderId="27" applyNumberFormat="0" applyFont="0" applyAlignment="0" applyProtection="0"/>
    <xf numFmtId="0" fontId="27" fillId="7" borderId="27" applyNumberFormat="0" applyFont="0" applyAlignment="0" applyProtection="0"/>
    <xf numFmtId="0" fontId="27" fillId="7" borderId="27" applyNumberFormat="0" applyFont="0" applyAlignment="0" applyProtection="0"/>
    <xf numFmtId="0" fontId="27" fillId="7" borderId="27" applyNumberFormat="0" applyFont="0" applyAlignment="0" applyProtection="0"/>
    <xf numFmtId="0" fontId="27" fillId="7" borderId="27" applyNumberFormat="0" applyFont="0" applyAlignment="0" applyProtection="0"/>
    <xf numFmtId="0" fontId="27" fillId="7" borderId="27" applyNumberFormat="0" applyFont="0" applyAlignment="0" applyProtection="0"/>
    <xf numFmtId="0" fontId="27" fillId="7" borderId="27" applyNumberFormat="0" applyFont="0" applyAlignment="0" applyProtection="0"/>
    <xf numFmtId="0" fontId="27" fillId="7" borderId="27" applyNumberFormat="0" applyFont="0" applyAlignment="0" applyProtection="0"/>
    <xf numFmtId="0" fontId="66" fillId="13" borderId="32" applyNumberFormat="0" applyAlignment="0" applyProtection="0"/>
    <xf numFmtId="9" fontId="37" fillId="0" borderId="0" applyFont="0" applyFill="0" applyBorder="0" applyAlignment="0" applyProtection="0"/>
    <xf numFmtId="0" fontId="72" fillId="0" borderId="35" applyNumberFormat="0" applyFill="0" applyAlignment="0" applyProtection="0"/>
    <xf numFmtId="0" fontId="70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26" fillId="32" borderId="0" applyNumberFormat="0" applyBorder="0" applyAlignment="0" applyProtection="0"/>
    <xf numFmtId="0" fontId="26" fillId="32" borderId="0" applyNumberFormat="0" applyBorder="0" applyAlignment="0" applyProtection="0"/>
    <xf numFmtId="0" fontId="26" fillId="32" borderId="0" applyNumberFormat="0" applyBorder="0" applyAlignment="0" applyProtection="0"/>
    <xf numFmtId="0" fontId="26" fillId="32" borderId="0" applyNumberFormat="0" applyBorder="0" applyAlignment="0" applyProtection="0"/>
    <xf numFmtId="0" fontId="26" fillId="32" borderId="0" applyNumberFormat="0" applyBorder="0" applyAlignment="0" applyProtection="0"/>
    <xf numFmtId="0" fontId="26" fillId="32" borderId="0" applyNumberFormat="0" applyBorder="0" applyAlignment="0" applyProtection="0"/>
    <xf numFmtId="0" fontId="26" fillId="32" borderId="0" applyNumberFormat="0" applyBorder="0" applyAlignment="0" applyProtection="0"/>
    <xf numFmtId="0" fontId="26" fillId="32" borderId="0" applyNumberFormat="0" applyBorder="0" applyAlignment="0" applyProtection="0"/>
    <xf numFmtId="0" fontId="26" fillId="32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37" borderId="0" applyNumberFormat="0" applyBorder="0" applyAlignment="0" applyProtection="0"/>
    <xf numFmtId="0" fontId="26" fillId="37" borderId="0" applyNumberFormat="0" applyBorder="0" applyAlignment="0" applyProtection="0"/>
    <xf numFmtId="0" fontId="26" fillId="37" borderId="0" applyNumberFormat="0" applyBorder="0" applyAlignment="0" applyProtection="0"/>
    <xf numFmtId="0" fontId="26" fillId="37" borderId="0" applyNumberFormat="0" applyBorder="0" applyAlignment="0" applyProtection="0"/>
    <xf numFmtId="0" fontId="26" fillId="37" borderId="0" applyNumberFormat="0" applyBorder="0" applyAlignment="0" applyProtection="0"/>
    <xf numFmtId="0" fontId="26" fillId="37" borderId="0" applyNumberFormat="0" applyBorder="0" applyAlignment="0" applyProtection="0"/>
    <xf numFmtId="0" fontId="26" fillId="37" borderId="0" applyNumberFormat="0" applyBorder="0" applyAlignment="0" applyProtection="0"/>
    <xf numFmtId="0" fontId="26" fillId="37" borderId="0" applyNumberFormat="0" applyBorder="0" applyAlignment="0" applyProtection="0"/>
    <xf numFmtId="0" fontId="26" fillId="37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7" borderId="27" applyNumberFormat="0" applyFont="0" applyAlignment="0" applyProtection="0"/>
    <xf numFmtId="0" fontId="26" fillId="7" borderId="27" applyNumberFormat="0" applyFont="0" applyAlignment="0" applyProtection="0"/>
    <xf numFmtId="0" fontId="26" fillId="7" borderId="27" applyNumberFormat="0" applyFont="0" applyAlignment="0" applyProtection="0"/>
    <xf numFmtId="0" fontId="26" fillId="7" borderId="27" applyNumberFormat="0" applyFont="0" applyAlignment="0" applyProtection="0"/>
    <xf numFmtId="0" fontId="26" fillId="7" borderId="27" applyNumberFormat="0" applyFont="0" applyAlignment="0" applyProtection="0"/>
    <xf numFmtId="0" fontId="26" fillId="7" borderId="27" applyNumberFormat="0" applyFont="0" applyAlignment="0" applyProtection="0"/>
    <xf numFmtId="0" fontId="26" fillId="7" borderId="27" applyNumberFormat="0" applyFont="0" applyAlignment="0" applyProtection="0"/>
    <xf numFmtId="0" fontId="26" fillId="7" borderId="27" applyNumberFormat="0" applyFont="0" applyAlignment="0" applyProtection="0"/>
    <xf numFmtId="0" fontId="26" fillId="7" borderId="27" applyNumberFormat="0" applyFont="0" applyAlignment="0" applyProtection="0"/>
    <xf numFmtId="0" fontId="26" fillId="7" borderId="27" applyNumberFormat="0" applyFont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7" borderId="27" applyNumberFormat="0" applyFont="0" applyAlignment="0" applyProtection="0"/>
    <xf numFmtId="0" fontId="25" fillId="7" borderId="27" applyNumberFormat="0" applyFont="0" applyAlignment="0" applyProtection="0"/>
    <xf numFmtId="0" fontId="25" fillId="7" borderId="27" applyNumberFormat="0" applyFont="0" applyAlignment="0" applyProtection="0"/>
    <xf numFmtId="0" fontId="25" fillId="7" borderId="27" applyNumberFormat="0" applyFont="0" applyAlignment="0" applyProtection="0"/>
    <xf numFmtId="0" fontId="25" fillId="7" borderId="27" applyNumberFormat="0" applyFont="0" applyAlignment="0" applyProtection="0"/>
    <xf numFmtId="0" fontId="25" fillId="7" borderId="27" applyNumberFormat="0" applyFont="0" applyAlignment="0" applyProtection="0"/>
    <xf numFmtId="0" fontId="25" fillId="7" borderId="27" applyNumberFormat="0" applyFont="0" applyAlignment="0" applyProtection="0"/>
    <xf numFmtId="0" fontId="25" fillId="7" borderId="27" applyNumberFormat="0" applyFont="0" applyAlignment="0" applyProtection="0"/>
    <xf numFmtId="0" fontId="25" fillId="7" borderId="27" applyNumberFormat="0" applyFont="0" applyAlignment="0" applyProtection="0"/>
    <xf numFmtId="0" fontId="25" fillId="7" borderId="27" applyNumberFormat="0" applyFont="0" applyAlignment="0" applyProtection="0"/>
    <xf numFmtId="0" fontId="24" fillId="16" borderId="0" applyNumberFormat="0" applyBorder="0" applyAlignment="0" applyProtection="0"/>
    <xf numFmtId="0" fontId="24" fillId="16" borderId="0" applyNumberFormat="0" applyBorder="0" applyAlignment="0" applyProtection="0"/>
    <xf numFmtId="0" fontId="24" fillId="16" borderId="0" applyNumberFormat="0" applyBorder="0" applyAlignment="0" applyProtection="0"/>
    <xf numFmtId="0" fontId="24" fillId="16" borderId="0" applyNumberFormat="0" applyBorder="0" applyAlignment="0" applyProtection="0"/>
    <xf numFmtId="0" fontId="24" fillId="16" borderId="0" applyNumberFormat="0" applyBorder="0" applyAlignment="0" applyProtection="0"/>
    <xf numFmtId="0" fontId="24" fillId="16" borderId="0" applyNumberFormat="0" applyBorder="0" applyAlignment="0" applyProtection="0"/>
    <xf numFmtId="0" fontId="24" fillId="16" borderId="0" applyNumberFormat="0" applyBorder="0" applyAlignment="0" applyProtection="0"/>
    <xf numFmtId="0" fontId="24" fillId="16" borderId="0" applyNumberFormat="0" applyBorder="0" applyAlignment="0" applyProtection="0"/>
    <xf numFmtId="0" fontId="24" fillId="16" borderId="0" applyNumberFormat="0" applyBorder="0" applyAlignment="0" applyProtection="0"/>
    <xf numFmtId="0" fontId="24" fillId="16" borderId="0" applyNumberFormat="0" applyBorder="0" applyAlignment="0" applyProtection="0"/>
    <xf numFmtId="0" fontId="24" fillId="20" borderId="0" applyNumberFormat="0" applyBorder="0" applyAlignment="0" applyProtection="0"/>
    <xf numFmtId="0" fontId="24" fillId="20" borderId="0" applyNumberFormat="0" applyBorder="0" applyAlignment="0" applyProtection="0"/>
    <xf numFmtId="0" fontId="24" fillId="20" borderId="0" applyNumberFormat="0" applyBorder="0" applyAlignment="0" applyProtection="0"/>
    <xf numFmtId="0" fontId="24" fillId="20" borderId="0" applyNumberFormat="0" applyBorder="0" applyAlignment="0" applyProtection="0"/>
    <xf numFmtId="0" fontId="24" fillId="20" borderId="0" applyNumberFormat="0" applyBorder="0" applyAlignment="0" applyProtection="0"/>
    <xf numFmtId="0" fontId="24" fillId="20" borderId="0" applyNumberFormat="0" applyBorder="0" applyAlignment="0" applyProtection="0"/>
    <xf numFmtId="0" fontId="24" fillId="20" borderId="0" applyNumberFormat="0" applyBorder="0" applyAlignment="0" applyProtection="0"/>
    <xf numFmtId="0" fontId="24" fillId="20" borderId="0" applyNumberFormat="0" applyBorder="0" applyAlignment="0" applyProtection="0"/>
    <xf numFmtId="0" fontId="24" fillId="20" borderId="0" applyNumberFormat="0" applyBorder="0" applyAlignment="0" applyProtection="0"/>
    <xf numFmtId="0" fontId="24" fillId="20" borderId="0" applyNumberFormat="0" applyBorder="0" applyAlignment="0" applyProtection="0"/>
    <xf numFmtId="0" fontId="24" fillId="24" borderId="0" applyNumberFormat="0" applyBorder="0" applyAlignment="0" applyProtection="0"/>
    <xf numFmtId="0" fontId="24" fillId="24" borderId="0" applyNumberFormat="0" applyBorder="0" applyAlignment="0" applyProtection="0"/>
    <xf numFmtId="0" fontId="24" fillId="24" borderId="0" applyNumberFormat="0" applyBorder="0" applyAlignment="0" applyProtection="0"/>
    <xf numFmtId="0" fontId="24" fillId="24" borderId="0" applyNumberFormat="0" applyBorder="0" applyAlignment="0" applyProtection="0"/>
    <xf numFmtId="0" fontId="24" fillId="24" borderId="0" applyNumberFormat="0" applyBorder="0" applyAlignment="0" applyProtection="0"/>
    <xf numFmtId="0" fontId="24" fillId="24" borderId="0" applyNumberFormat="0" applyBorder="0" applyAlignment="0" applyProtection="0"/>
    <xf numFmtId="0" fontId="24" fillId="24" borderId="0" applyNumberFormat="0" applyBorder="0" applyAlignment="0" applyProtection="0"/>
    <xf numFmtId="0" fontId="24" fillId="24" borderId="0" applyNumberFormat="0" applyBorder="0" applyAlignment="0" applyProtection="0"/>
    <xf numFmtId="0" fontId="24" fillId="24" borderId="0" applyNumberFormat="0" applyBorder="0" applyAlignment="0" applyProtection="0"/>
    <xf numFmtId="0" fontId="24" fillId="24" borderId="0" applyNumberFormat="0" applyBorder="0" applyAlignment="0" applyProtection="0"/>
    <xf numFmtId="0" fontId="24" fillId="28" borderId="0" applyNumberFormat="0" applyBorder="0" applyAlignment="0" applyProtection="0"/>
    <xf numFmtId="0" fontId="24" fillId="28" borderId="0" applyNumberFormat="0" applyBorder="0" applyAlignment="0" applyProtection="0"/>
    <xf numFmtId="0" fontId="24" fillId="28" borderId="0" applyNumberFormat="0" applyBorder="0" applyAlignment="0" applyProtection="0"/>
    <xf numFmtId="0" fontId="24" fillId="28" borderId="0" applyNumberFormat="0" applyBorder="0" applyAlignment="0" applyProtection="0"/>
    <xf numFmtId="0" fontId="24" fillId="28" borderId="0" applyNumberFormat="0" applyBorder="0" applyAlignment="0" applyProtection="0"/>
    <xf numFmtId="0" fontId="24" fillId="28" borderId="0" applyNumberFormat="0" applyBorder="0" applyAlignment="0" applyProtection="0"/>
    <xf numFmtId="0" fontId="24" fillId="28" borderId="0" applyNumberFormat="0" applyBorder="0" applyAlignment="0" applyProtection="0"/>
    <xf numFmtId="0" fontId="24" fillId="28" borderId="0" applyNumberFormat="0" applyBorder="0" applyAlignment="0" applyProtection="0"/>
    <xf numFmtId="0" fontId="24" fillId="28" borderId="0" applyNumberFormat="0" applyBorder="0" applyAlignment="0" applyProtection="0"/>
    <xf numFmtId="0" fontId="24" fillId="28" borderId="0" applyNumberFormat="0" applyBorder="0" applyAlignment="0" applyProtection="0"/>
    <xf numFmtId="0" fontId="24" fillId="32" borderId="0" applyNumberFormat="0" applyBorder="0" applyAlignment="0" applyProtection="0"/>
    <xf numFmtId="0" fontId="24" fillId="32" borderId="0" applyNumberFormat="0" applyBorder="0" applyAlignment="0" applyProtection="0"/>
    <xf numFmtId="0" fontId="24" fillId="32" borderId="0" applyNumberFormat="0" applyBorder="0" applyAlignment="0" applyProtection="0"/>
    <xf numFmtId="0" fontId="24" fillId="32" borderId="0" applyNumberFormat="0" applyBorder="0" applyAlignment="0" applyProtection="0"/>
    <xf numFmtId="0" fontId="24" fillId="32" borderId="0" applyNumberFormat="0" applyBorder="0" applyAlignment="0" applyProtection="0"/>
    <xf numFmtId="0" fontId="24" fillId="32" borderId="0" applyNumberFormat="0" applyBorder="0" applyAlignment="0" applyProtection="0"/>
    <xf numFmtId="0" fontId="24" fillId="32" borderId="0" applyNumberFormat="0" applyBorder="0" applyAlignment="0" applyProtection="0"/>
    <xf numFmtId="0" fontId="24" fillId="32" borderId="0" applyNumberFormat="0" applyBorder="0" applyAlignment="0" applyProtection="0"/>
    <xf numFmtId="0" fontId="24" fillId="32" borderId="0" applyNumberFormat="0" applyBorder="0" applyAlignment="0" applyProtection="0"/>
    <xf numFmtId="0" fontId="24" fillId="32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7" borderId="27" applyNumberFormat="0" applyFont="0" applyAlignment="0" applyProtection="0"/>
    <xf numFmtId="0" fontId="24" fillId="7" borderId="27" applyNumberFormat="0" applyFont="0" applyAlignment="0" applyProtection="0"/>
    <xf numFmtId="0" fontId="24" fillId="7" borderId="27" applyNumberFormat="0" applyFont="0" applyAlignment="0" applyProtection="0"/>
    <xf numFmtId="0" fontId="24" fillId="7" borderId="27" applyNumberFormat="0" applyFont="0" applyAlignment="0" applyProtection="0"/>
    <xf numFmtId="0" fontId="24" fillId="7" borderId="27" applyNumberFormat="0" applyFont="0" applyAlignment="0" applyProtection="0"/>
    <xf numFmtId="0" fontId="24" fillId="7" borderId="27" applyNumberFormat="0" applyFont="0" applyAlignment="0" applyProtection="0"/>
    <xf numFmtId="0" fontId="24" fillId="7" borderId="27" applyNumberFormat="0" applyFont="0" applyAlignment="0" applyProtection="0"/>
    <xf numFmtId="0" fontId="24" fillId="7" borderId="27" applyNumberFormat="0" applyFont="0" applyAlignment="0" applyProtection="0"/>
    <xf numFmtId="0" fontId="24" fillId="7" borderId="27" applyNumberFormat="0" applyFont="0" applyAlignment="0" applyProtection="0"/>
    <xf numFmtId="0" fontId="24" fillId="7" borderId="27" applyNumberFormat="0" applyFont="0" applyAlignment="0" applyProtection="0"/>
    <xf numFmtId="0" fontId="23" fillId="16" borderId="0" applyNumberFormat="0" applyBorder="0" applyAlignment="0" applyProtection="0"/>
    <xf numFmtId="0" fontId="23" fillId="20" borderId="0" applyNumberFormat="0" applyBorder="0" applyAlignment="0" applyProtection="0"/>
    <xf numFmtId="0" fontId="23" fillId="24" borderId="0" applyNumberFormat="0" applyBorder="0" applyAlignment="0" applyProtection="0"/>
    <xf numFmtId="0" fontId="23" fillId="28" borderId="0" applyNumberFormat="0" applyBorder="0" applyAlignment="0" applyProtection="0"/>
    <xf numFmtId="0" fontId="23" fillId="32" borderId="0" applyNumberFormat="0" applyBorder="0" applyAlignment="0" applyProtection="0"/>
    <xf numFmtId="0" fontId="23" fillId="36" borderId="0" applyNumberFormat="0" applyBorder="0" applyAlignment="0" applyProtection="0"/>
    <xf numFmtId="0" fontId="23" fillId="17" borderId="0" applyNumberFormat="0" applyBorder="0" applyAlignment="0" applyProtection="0"/>
    <xf numFmtId="0" fontId="23" fillId="21" borderId="0" applyNumberFormat="0" applyBorder="0" applyAlignment="0" applyProtection="0"/>
    <xf numFmtId="0" fontId="23" fillId="25" borderId="0" applyNumberFormat="0" applyBorder="0" applyAlignment="0" applyProtection="0"/>
    <xf numFmtId="0" fontId="23" fillId="29" borderId="0" applyNumberFormat="0" applyBorder="0" applyAlignment="0" applyProtection="0"/>
    <xf numFmtId="0" fontId="23" fillId="33" borderId="0" applyNumberFormat="0" applyBorder="0" applyAlignment="0" applyProtection="0"/>
    <xf numFmtId="0" fontId="23" fillId="37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7" borderId="27" applyNumberFormat="0" applyFont="0" applyAlignment="0" applyProtection="0"/>
    <xf numFmtId="0" fontId="22" fillId="16" borderId="0" applyNumberFormat="0" applyBorder="0" applyAlignment="0" applyProtection="0"/>
    <xf numFmtId="0" fontId="22" fillId="20" borderId="0" applyNumberFormat="0" applyBorder="0" applyAlignment="0" applyProtection="0"/>
    <xf numFmtId="0" fontId="22" fillId="24" borderId="0" applyNumberFormat="0" applyBorder="0" applyAlignment="0" applyProtection="0"/>
    <xf numFmtId="0" fontId="22" fillId="28" borderId="0" applyNumberFormat="0" applyBorder="0" applyAlignment="0" applyProtection="0"/>
    <xf numFmtId="0" fontId="22" fillId="32" borderId="0" applyNumberFormat="0" applyBorder="0" applyAlignment="0" applyProtection="0"/>
    <xf numFmtId="0" fontId="22" fillId="36" borderId="0" applyNumberFormat="0" applyBorder="0" applyAlignment="0" applyProtection="0"/>
    <xf numFmtId="0" fontId="22" fillId="17" borderId="0" applyNumberFormat="0" applyBorder="0" applyAlignment="0" applyProtection="0"/>
    <xf numFmtId="0" fontId="22" fillId="21" borderId="0" applyNumberFormat="0" applyBorder="0" applyAlignment="0" applyProtection="0"/>
    <xf numFmtId="0" fontId="22" fillId="25" borderId="0" applyNumberFormat="0" applyBorder="0" applyAlignment="0" applyProtection="0"/>
    <xf numFmtId="0" fontId="22" fillId="29" borderId="0" applyNumberFormat="0" applyBorder="0" applyAlignment="0" applyProtection="0"/>
    <xf numFmtId="0" fontId="22" fillId="33" borderId="0" applyNumberFormat="0" applyBorder="0" applyAlignment="0" applyProtection="0"/>
    <xf numFmtId="0" fontId="22" fillId="37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7" borderId="27" applyNumberFormat="0" applyFont="0" applyAlignment="0" applyProtection="0"/>
    <xf numFmtId="0" fontId="21" fillId="16" borderId="0" applyNumberFormat="0" applyBorder="0" applyAlignment="0" applyProtection="0"/>
    <xf numFmtId="0" fontId="21" fillId="16" borderId="0" applyNumberFormat="0" applyBorder="0" applyAlignment="0" applyProtection="0"/>
    <xf numFmtId="0" fontId="21" fillId="16" borderId="0" applyNumberFormat="0" applyBorder="0" applyAlignment="0" applyProtection="0"/>
    <xf numFmtId="0" fontId="21" fillId="16" borderId="0" applyNumberFormat="0" applyBorder="0" applyAlignment="0" applyProtection="0"/>
    <xf numFmtId="0" fontId="21" fillId="16" borderId="0" applyNumberFormat="0" applyBorder="0" applyAlignment="0" applyProtection="0"/>
    <xf numFmtId="0" fontId="21" fillId="16" borderId="0" applyNumberFormat="0" applyBorder="0" applyAlignment="0" applyProtection="0"/>
    <xf numFmtId="0" fontId="21" fillId="16" borderId="0" applyNumberFormat="0" applyBorder="0" applyAlignment="0" applyProtection="0"/>
    <xf numFmtId="0" fontId="21" fillId="16" borderId="0" applyNumberFormat="0" applyBorder="0" applyAlignment="0" applyProtection="0"/>
    <xf numFmtId="0" fontId="21" fillId="16" borderId="0" applyNumberFormat="0" applyBorder="0" applyAlignment="0" applyProtection="0"/>
    <xf numFmtId="0" fontId="21" fillId="16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7" borderId="27" applyNumberFormat="0" applyFont="0" applyAlignment="0" applyProtection="0"/>
    <xf numFmtId="0" fontId="21" fillId="7" borderId="27" applyNumberFormat="0" applyFont="0" applyAlignment="0" applyProtection="0"/>
    <xf numFmtId="0" fontId="21" fillId="7" borderId="27" applyNumberFormat="0" applyFont="0" applyAlignment="0" applyProtection="0"/>
    <xf numFmtId="0" fontId="21" fillId="7" borderId="27" applyNumberFormat="0" applyFont="0" applyAlignment="0" applyProtection="0"/>
    <xf numFmtId="0" fontId="21" fillId="7" borderId="27" applyNumberFormat="0" applyFont="0" applyAlignment="0" applyProtection="0"/>
    <xf numFmtId="0" fontId="21" fillId="7" borderId="27" applyNumberFormat="0" applyFont="0" applyAlignment="0" applyProtection="0"/>
    <xf numFmtId="0" fontId="21" fillId="7" borderId="27" applyNumberFormat="0" applyFont="0" applyAlignment="0" applyProtection="0"/>
    <xf numFmtId="0" fontId="21" fillId="7" borderId="27" applyNumberFormat="0" applyFont="0" applyAlignment="0" applyProtection="0"/>
    <xf numFmtId="0" fontId="21" fillId="7" borderId="27" applyNumberFormat="0" applyFont="0" applyAlignment="0" applyProtection="0"/>
    <xf numFmtId="0" fontId="21" fillId="7" borderId="27" applyNumberFormat="0" applyFont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7" borderId="27" applyNumberFormat="0" applyFont="0" applyAlignment="0" applyProtection="0"/>
    <xf numFmtId="0" fontId="20" fillId="7" borderId="27" applyNumberFormat="0" applyFont="0" applyAlignment="0" applyProtection="0"/>
    <xf numFmtId="0" fontId="20" fillId="7" borderId="27" applyNumberFormat="0" applyFont="0" applyAlignment="0" applyProtection="0"/>
    <xf numFmtId="0" fontId="20" fillId="7" borderId="27" applyNumberFormat="0" applyFont="0" applyAlignment="0" applyProtection="0"/>
    <xf numFmtId="0" fontId="20" fillId="7" borderId="27" applyNumberFormat="0" applyFont="0" applyAlignment="0" applyProtection="0"/>
    <xf numFmtId="0" fontId="20" fillId="7" borderId="27" applyNumberFormat="0" applyFont="0" applyAlignment="0" applyProtection="0"/>
    <xf numFmtId="0" fontId="20" fillId="7" borderId="27" applyNumberFormat="0" applyFont="0" applyAlignment="0" applyProtection="0"/>
    <xf numFmtId="0" fontId="20" fillId="7" borderId="27" applyNumberFormat="0" applyFont="0" applyAlignment="0" applyProtection="0"/>
    <xf numFmtId="0" fontId="20" fillId="7" borderId="27" applyNumberFormat="0" applyFont="0" applyAlignment="0" applyProtection="0"/>
    <xf numFmtId="0" fontId="20" fillId="7" borderId="27" applyNumberFormat="0" applyFont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7" borderId="27" applyNumberFormat="0" applyFont="0" applyAlignment="0" applyProtection="0"/>
    <xf numFmtId="0" fontId="19" fillId="7" borderId="27" applyNumberFormat="0" applyFont="0" applyAlignment="0" applyProtection="0"/>
    <xf numFmtId="0" fontId="19" fillId="7" borderId="27" applyNumberFormat="0" applyFont="0" applyAlignment="0" applyProtection="0"/>
    <xf numFmtId="0" fontId="19" fillId="7" borderId="27" applyNumberFormat="0" applyFont="0" applyAlignment="0" applyProtection="0"/>
    <xf numFmtId="0" fontId="19" fillId="7" borderId="27" applyNumberFormat="0" applyFont="0" applyAlignment="0" applyProtection="0"/>
    <xf numFmtId="0" fontId="19" fillId="7" borderId="27" applyNumberFormat="0" applyFont="0" applyAlignment="0" applyProtection="0"/>
    <xf numFmtId="0" fontId="19" fillId="7" borderId="27" applyNumberFormat="0" applyFont="0" applyAlignment="0" applyProtection="0"/>
    <xf numFmtId="0" fontId="19" fillId="7" borderId="27" applyNumberFormat="0" applyFont="0" applyAlignment="0" applyProtection="0"/>
    <xf numFmtId="0" fontId="19" fillId="7" borderId="27" applyNumberFormat="0" applyFont="0" applyAlignment="0" applyProtection="0"/>
    <xf numFmtId="0" fontId="19" fillId="7" borderId="27" applyNumberFormat="0" applyFont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7" borderId="27" applyNumberFormat="0" applyFont="0" applyAlignment="0" applyProtection="0"/>
    <xf numFmtId="0" fontId="18" fillId="7" borderId="27" applyNumberFormat="0" applyFont="0" applyAlignment="0" applyProtection="0"/>
    <xf numFmtId="0" fontId="18" fillId="7" borderId="27" applyNumberFormat="0" applyFont="0" applyAlignment="0" applyProtection="0"/>
    <xf numFmtId="0" fontId="18" fillId="7" borderId="27" applyNumberFormat="0" applyFont="0" applyAlignment="0" applyProtection="0"/>
    <xf numFmtId="0" fontId="18" fillId="7" borderId="27" applyNumberFormat="0" applyFont="0" applyAlignment="0" applyProtection="0"/>
    <xf numFmtId="0" fontId="18" fillId="7" borderId="27" applyNumberFormat="0" applyFont="0" applyAlignment="0" applyProtection="0"/>
    <xf numFmtId="0" fontId="18" fillId="7" borderId="27" applyNumberFormat="0" applyFont="0" applyAlignment="0" applyProtection="0"/>
    <xf numFmtId="0" fontId="18" fillId="7" borderId="27" applyNumberFormat="0" applyFont="0" applyAlignment="0" applyProtection="0"/>
    <xf numFmtId="0" fontId="18" fillId="7" borderId="27" applyNumberFormat="0" applyFont="0" applyAlignment="0" applyProtection="0"/>
    <xf numFmtId="0" fontId="18" fillId="7" borderId="27" applyNumberFormat="0" applyFont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36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17" fillId="33" borderId="0" applyNumberFormat="0" applyBorder="0" applyAlignment="0" applyProtection="0"/>
    <xf numFmtId="0" fontId="17" fillId="37" borderId="0" applyNumberFormat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7" borderId="27" applyNumberFormat="0" applyFont="0" applyAlignment="0" applyProtection="0"/>
    <xf numFmtId="0" fontId="16" fillId="28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16" fillId="36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16" fillId="33" borderId="0" applyNumberFormat="0" applyBorder="0" applyAlignment="0" applyProtection="0"/>
    <xf numFmtId="0" fontId="16" fillId="37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36" borderId="0" applyNumberFormat="0" applyBorder="0" applyAlignment="0" applyProtection="0"/>
    <xf numFmtId="0" fontId="16" fillId="36" borderId="0" applyNumberFormat="0" applyBorder="0" applyAlignment="0" applyProtection="0"/>
    <xf numFmtId="0" fontId="16" fillId="36" borderId="0" applyNumberFormat="0" applyBorder="0" applyAlignment="0" applyProtection="0"/>
    <xf numFmtId="0" fontId="16" fillId="36" borderId="0" applyNumberFormat="0" applyBorder="0" applyAlignment="0" applyProtection="0"/>
    <xf numFmtId="0" fontId="16" fillId="36" borderId="0" applyNumberFormat="0" applyBorder="0" applyAlignment="0" applyProtection="0"/>
    <xf numFmtId="0" fontId="16" fillId="36" borderId="0" applyNumberFormat="0" applyBorder="0" applyAlignment="0" applyProtection="0"/>
    <xf numFmtId="0" fontId="16" fillId="36" borderId="0" applyNumberFormat="0" applyBorder="0" applyAlignment="0" applyProtection="0"/>
    <xf numFmtId="0" fontId="16" fillId="36" borderId="0" applyNumberFormat="0" applyBorder="0" applyAlignment="0" applyProtection="0"/>
    <xf numFmtId="0" fontId="16" fillId="36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16" fillId="28" borderId="0" applyNumberFormat="0" applyBorder="0" applyAlignment="0" applyProtection="0"/>
    <xf numFmtId="0" fontId="16" fillId="28" borderId="0" applyNumberFormat="0" applyBorder="0" applyAlignment="0" applyProtection="0"/>
    <xf numFmtId="0" fontId="16" fillId="28" borderId="0" applyNumberFormat="0" applyBorder="0" applyAlignment="0" applyProtection="0"/>
    <xf numFmtId="0" fontId="16" fillId="28" borderId="0" applyNumberFormat="0" applyBorder="0" applyAlignment="0" applyProtection="0"/>
    <xf numFmtId="0" fontId="16" fillId="28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28" borderId="0" applyNumberFormat="0" applyBorder="0" applyAlignment="0" applyProtection="0"/>
    <xf numFmtId="0" fontId="16" fillId="28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0" borderId="0"/>
    <xf numFmtId="0" fontId="16" fillId="16" borderId="0" applyNumberFormat="0" applyBorder="0" applyAlignment="0" applyProtection="0"/>
    <xf numFmtId="0" fontId="16" fillId="7" borderId="27" applyNumberFormat="0" applyFont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32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1" borderId="0" applyNumberFormat="0" applyBorder="0" applyAlignment="0" applyProtection="0"/>
    <xf numFmtId="0" fontId="16" fillId="21" borderId="0" applyNumberFormat="0" applyBorder="0" applyAlignment="0" applyProtection="0"/>
    <xf numFmtId="0" fontId="16" fillId="21" borderId="0" applyNumberFormat="0" applyBorder="0" applyAlignment="0" applyProtection="0"/>
    <xf numFmtId="0" fontId="16" fillId="21" borderId="0" applyNumberFormat="0" applyBorder="0" applyAlignment="0" applyProtection="0"/>
    <xf numFmtId="0" fontId="16" fillId="21" borderId="0" applyNumberFormat="0" applyBorder="0" applyAlignment="0" applyProtection="0"/>
    <xf numFmtId="0" fontId="16" fillId="21" borderId="0" applyNumberFormat="0" applyBorder="0" applyAlignment="0" applyProtection="0"/>
    <xf numFmtId="0" fontId="16" fillId="21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5" borderId="0" applyNumberFormat="0" applyBorder="0" applyAlignment="0" applyProtection="0"/>
    <xf numFmtId="0" fontId="16" fillId="28" borderId="0" applyNumberFormat="0" applyBorder="0" applyAlignment="0" applyProtection="0"/>
    <xf numFmtId="0" fontId="16" fillId="25" borderId="0" applyNumberFormat="0" applyBorder="0" applyAlignment="0" applyProtection="0"/>
    <xf numFmtId="0" fontId="16" fillId="25" borderId="0" applyNumberFormat="0" applyBorder="0" applyAlignment="0" applyProtection="0"/>
    <xf numFmtId="0" fontId="16" fillId="25" borderId="0" applyNumberFormat="0" applyBorder="0" applyAlignment="0" applyProtection="0"/>
    <xf numFmtId="0" fontId="16" fillId="25" borderId="0" applyNumberFormat="0" applyBorder="0" applyAlignment="0" applyProtection="0"/>
    <xf numFmtId="0" fontId="16" fillId="25" borderId="0" applyNumberFormat="0" applyBorder="0" applyAlignment="0" applyProtection="0"/>
    <xf numFmtId="0" fontId="16" fillId="25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6" fillId="33" borderId="0" applyNumberFormat="0" applyBorder="0" applyAlignment="0" applyProtection="0"/>
    <xf numFmtId="0" fontId="16" fillId="33" borderId="0" applyNumberFormat="0" applyBorder="0" applyAlignment="0" applyProtection="0"/>
    <xf numFmtId="0" fontId="16" fillId="33" borderId="0" applyNumberFormat="0" applyBorder="0" applyAlignment="0" applyProtection="0"/>
    <xf numFmtId="0" fontId="16" fillId="33" borderId="0" applyNumberFormat="0" applyBorder="0" applyAlignment="0" applyProtection="0"/>
    <xf numFmtId="0" fontId="16" fillId="33" borderId="0" applyNumberFormat="0" applyBorder="0" applyAlignment="0" applyProtection="0"/>
    <xf numFmtId="0" fontId="16" fillId="33" borderId="0" applyNumberFormat="0" applyBorder="0" applyAlignment="0" applyProtection="0"/>
    <xf numFmtId="0" fontId="16" fillId="33" borderId="0" applyNumberFormat="0" applyBorder="0" applyAlignment="0" applyProtection="0"/>
    <xf numFmtId="0" fontId="16" fillId="33" borderId="0" applyNumberFormat="0" applyBorder="0" applyAlignment="0" applyProtection="0"/>
    <xf numFmtId="0" fontId="16" fillId="33" borderId="0" applyNumberFormat="0" applyBorder="0" applyAlignment="0" applyProtection="0"/>
    <xf numFmtId="0" fontId="16" fillId="37" borderId="0" applyNumberFormat="0" applyBorder="0" applyAlignment="0" applyProtection="0"/>
    <xf numFmtId="0" fontId="16" fillId="37" borderId="0" applyNumberFormat="0" applyBorder="0" applyAlignment="0" applyProtection="0"/>
    <xf numFmtId="0" fontId="16" fillId="37" borderId="0" applyNumberFormat="0" applyBorder="0" applyAlignment="0" applyProtection="0"/>
    <xf numFmtId="0" fontId="16" fillId="37" borderId="0" applyNumberFormat="0" applyBorder="0" applyAlignment="0" applyProtection="0"/>
    <xf numFmtId="0" fontId="16" fillId="37" borderId="0" applyNumberFormat="0" applyBorder="0" applyAlignment="0" applyProtection="0"/>
    <xf numFmtId="0" fontId="16" fillId="37" borderId="0" applyNumberFormat="0" applyBorder="0" applyAlignment="0" applyProtection="0"/>
    <xf numFmtId="0" fontId="16" fillId="37" borderId="0" applyNumberFormat="0" applyBorder="0" applyAlignment="0" applyProtection="0"/>
    <xf numFmtId="0" fontId="16" fillId="37" borderId="0" applyNumberFormat="0" applyBorder="0" applyAlignment="0" applyProtection="0"/>
    <xf numFmtId="0" fontId="16" fillId="37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7" borderId="27" applyNumberFormat="0" applyFont="0" applyAlignment="0" applyProtection="0"/>
    <xf numFmtId="0" fontId="16" fillId="7" borderId="27" applyNumberFormat="0" applyFont="0" applyAlignment="0" applyProtection="0"/>
    <xf numFmtId="0" fontId="16" fillId="7" borderId="27" applyNumberFormat="0" applyFont="0" applyAlignment="0" applyProtection="0"/>
    <xf numFmtId="0" fontId="16" fillId="7" borderId="27" applyNumberFormat="0" applyFont="0" applyAlignment="0" applyProtection="0"/>
    <xf numFmtId="0" fontId="16" fillId="7" borderId="27" applyNumberFormat="0" applyFont="0" applyAlignment="0" applyProtection="0"/>
    <xf numFmtId="0" fontId="16" fillId="7" borderId="27" applyNumberFormat="0" applyFont="0" applyAlignment="0" applyProtection="0"/>
    <xf numFmtId="0" fontId="16" fillId="7" borderId="27" applyNumberFormat="0" applyFont="0" applyAlignment="0" applyProtection="0"/>
    <xf numFmtId="0" fontId="16" fillId="7" borderId="27" applyNumberFormat="0" applyFont="0" applyAlignment="0" applyProtection="0"/>
    <xf numFmtId="0" fontId="16" fillId="7" borderId="27" applyNumberFormat="0" applyFont="0" applyAlignment="0" applyProtection="0"/>
    <xf numFmtId="0" fontId="15" fillId="0" borderId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37" fillId="0" borderId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28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4" fillId="36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6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32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0" borderId="0"/>
    <xf numFmtId="0" fontId="14" fillId="16" borderId="0" applyNumberFormat="0" applyBorder="0" applyAlignment="0" applyProtection="0"/>
    <xf numFmtId="0" fontId="14" fillId="7" borderId="27" applyNumberFormat="0" applyFont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32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8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37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7" borderId="27" applyNumberFormat="0" applyFont="0" applyAlignment="0" applyProtection="0"/>
    <xf numFmtId="0" fontId="14" fillId="0" borderId="0"/>
    <xf numFmtId="0" fontId="13" fillId="0" borderId="0"/>
    <xf numFmtId="0" fontId="13" fillId="0" borderId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7" borderId="27" applyNumberFormat="0" applyFont="0" applyAlignment="0" applyProtection="0"/>
    <xf numFmtId="0" fontId="13" fillId="0" borderId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0" borderId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0" borderId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0" borderId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28" borderId="0" applyNumberFormat="0" applyBorder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0" borderId="0"/>
    <xf numFmtId="0" fontId="13" fillId="16" borderId="0" applyNumberFormat="0" applyBorder="0" applyAlignment="0" applyProtection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32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8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2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3" fillId="7" borderId="27" applyNumberFormat="0" applyFont="0" applyAlignment="0" applyProtection="0"/>
    <xf numFmtId="0" fontId="12" fillId="0" borderId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48" fillId="0" borderId="0"/>
    <xf numFmtId="0" fontId="48" fillId="0" borderId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6" borderId="0" applyNumberFormat="0" applyBorder="0" applyAlignment="0" applyProtection="0"/>
    <xf numFmtId="0" fontId="12" fillId="37" borderId="0" applyNumberFormat="0" applyBorder="0" applyAlignment="0" applyProtection="0"/>
    <xf numFmtId="0" fontId="37" fillId="0" borderId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28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0" borderId="0"/>
    <xf numFmtId="0" fontId="12" fillId="16" borderId="0" applyNumberFormat="0" applyBorder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32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8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0" borderId="0"/>
    <xf numFmtId="0" fontId="12" fillId="0" borderId="0"/>
    <xf numFmtId="0" fontId="12" fillId="0" borderId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6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7" borderId="27" applyNumberFormat="0" applyFont="0" applyAlignment="0" applyProtection="0"/>
    <xf numFmtId="0" fontId="12" fillId="0" borderId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0" borderId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6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0" borderId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0" borderId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28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0" borderId="0"/>
    <xf numFmtId="0" fontId="12" fillId="16" borderId="0" applyNumberFormat="0" applyBorder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32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8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2" fillId="7" borderId="27" applyNumberFormat="0" applyFont="0" applyAlignment="0" applyProtection="0"/>
    <xf numFmtId="0" fontId="11" fillId="0" borderId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6" borderId="0" applyNumberFormat="0" applyBorder="0" applyAlignment="0" applyProtection="0"/>
    <xf numFmtId="0" fontId="11" fillId="37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28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0" borderId="0"/>
    <xf numFmtId="0" fontId="11" fillId="16" borderId="0" applyNumberFormat="0" applyBorder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32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8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0" borderId="0"/>
    <xf numFmtId="0" fontId="11" fillId="0" borderId="0"/>
    <xf numFmtId="0" fontId="11" fillId="0" borderId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6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7" borderId="27" applyNumberFormat="0" applyFont="0" applyAlignment="0" applyProtection="0"/>
    <xf numFmtId="0" fontId="11" fillId="0" borderId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0" borderId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6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0" borderId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0" borderId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28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0" borderId="0"/>
    <xf numFmtId="0" fontId="11" fillId="16" borderId="0" applyNumberFormat="0" applyBorder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32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8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28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1" fillId="7" borderId="27" applyNumberFormat="0" applyFont="0" applyAlignment="0" applyProtection="0"/>
    <xf numFmtId="0" fontId="10" fillId="0" borderId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28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0" borderId="0"/>
    <xf numFmtId="0" fontId="10" fillId="16" borderId="0" applyNumberFormat="0" applyBorder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32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0" borderId="0"/>
    <xf numFmtId="0" fontId="10" fillId="0" borderId="0"/>
    <xf numFmtId="0" fontId="10" fillId="0" borderId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7" borderId="27" applyNumberFormat="0" applyFont="0" applyAlignment="0" applyProtection="0"/>
    <xf numFmtId="0" fontId="10" fillId="0" borderId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0" borderId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0" borderId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0" borderId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28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0" borderId="0"/>
    <xf numFmtId="0" fontId="10" fillId="16" borderId="0" applyNumberFormat="0" applyBorder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32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3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3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37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10" fillId="7" borderId="27" applyNumberFormat="0" applyFont="0" applyAlignment="0" applyProtection="0"/>
    <xf numFmtId="0" fontId="9" fillId="0" borderId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28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0" borderId="0"/>
    <xf numFmtId="0" fontId="9" fillId="16" borderId="0" applyNumberFormat="0" applyBorder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32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7" borderId="27" applyNumberFormat="0" applyFont="0" applyAlignment="0" applyProtection="0"/>
    <xf numFmtId="0" fontId="9" fillId="0" borderId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0" borderId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0" borderId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0" borderId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28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0" borderId="0"/>
    <xf numFmtId="0" fontId="9" fillId="16" borderId="0" applyNumberFormat="0" applyBorder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32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9" fillId="7" borderId="27" applyNumberFormat="0" applyFont="0" applyAlignment="0" applyProtection="0"/>
    <xf numFmtId="0" fontId="8" fillId="0" borderId="0"/>
    <xf numFmtId="9" fontId="45" fillId="0" borderId="0" applyFont="0" applyFill="0" applyBorder="0" applyAlignment="0" applyProtection="0"/>
    <xf numFmtId="0" fontId="48" fillId="0" borderId="0"/>
    <xf numFmtId="0" fontId="48" fillId="0" borderId="0" applyNumberFormat="0" applyFill="0" applyBorder="0" applyAlignment="0" applyProtection="0"/>
    <xf numFmtId="0" fontId="76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6" borderId="0" applyNumberFormat="0" applyBorder="0" applyAlignment="0" applyProtection="0"/>
    <xf numFmtId="0" fontId="7" fillId="37" borderId="0" applyNumberFormat="0" applyBorder="0" applyAlignment="0" applyProtection="0"/>
    <xf numFmtId="164" fontId="48" fillId="0" borderId="0" applyFont="0" applyFill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45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45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45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28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45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2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45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3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45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45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45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45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45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3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45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" fillId="37" borderId="0" applyNumberFormat="0" applyBorder="0" applyAlignment="0" applyProtection="0"/>
    <xf numFmtId="0" fontId="77" fillId="18" borderId="0" applyNumberFormat="0" applyBorder="0" applyAlignment="0" applyProtection="0"/>
    <xf numFmtId="0" fontId="73" fillId="18" borderId="0" applyNumberFormat="0" applyBorder="0" applyAlignment="0" applyProtection="0"/>
    <xf numFmtId="0" fontId="77" fillId="22" borderId="0" applyNumberFormat="0" applyBorder="0" applyAlignment="0" applyProtection="0"/>
    <xf numFmtId="0" fontId="73" fillId="22" borderId="0" applyNumberFormat="0" applyBorder="0" applyAlignment="0" applyProtection="0"/>
    <xf numFmtId="0" fontId="77" fillId="26" borderId="0" applyNumberFormat="0" applyBorder="0" applyAlignment="0" applyProtection="0"/>
    <xf numFmtId="0" fontId="73" fillId="26" borderId="0" applyNumberFormat="0" applyBorder="0" applyAlignment="0" applyProtection="0"/>
    <xf numFmtId="0" fontId="77" fillId="30" borderId="0" applyNumberFormat="0" applyBorder="0" applyAlignment="0" applyProtection="0"/>
    <xf numFmtId="0" fontId="73" fillId="30" borderId="0" applyNumberFormat="0" applyBorder="0" applyAlignment="0" applyProtection="0"/>
    <xf numFmtId="0" fontId="77" fillId="34" borderId="0" applyNumberFormat="0" applyBorder="0" applyAlignment="0" applyProtection="0"/>
    <xf numFmtId="0" fontId="73" fillId="34" borderId="0" applyNumberFormat="0" applyBorder="0" applyAlignment="0" applyProtection="0"/>
    <xf numFmtId="0" fontId="77" fillId="38" borderId="0" applyNumberFormat="0" applyBorder="0" applyAlignment="0" applyProtection="0"/>
    <xf numFmtId="0" fontId="73" fillId="38" borderId="0" applyNumberFormat="0" applyBorder="0" applyAlignment="0" applyProtection="0"/>
    <xf numFmtId="0" fontId="77" fillId="15" borderId="0" applyNumberFormat="0" applyBorder="0" applyAlignment="0" applyProtection="0"/>
    <xf numFmtId="0" fontId="73" fillId="15" borderId="0" applyNumberFormat="0" applyBorder="0" applyAlignment="0" applyProtection="0"/>
    <xf numFmtId="0" fontId="77" fillId="19" borderId="0" applyNumberFormat="0" applyBorder="0" applyAlignment="0" applyProtection="0"/>
    <xf numFmtId="0" fontId="73" fillId="19" borderId="0" applyNumberFormat="0" applyBorder="0" applyAlignment="0" applyProtection="0"/>
    <xf numFmtId="0" fontId="77" fillId="23" borderId="0" applyNumberFormat="0" applyBorder="0" applyAlignment="0" applyProtection="0"/>
    <xf numFmtId="0" fontId="73" fillId="23" borderId="0" applyNumberFormat="0" applyBorder="0" applyAlignment="0" applyProtection="0"/>
    <xf numFmtId="0" fontId="77" fillId="27" borderId="0" applyNumberFormat="0" applyBorder="0" applyAlignment="0" applyProtection="0"/>
    <xf numFmtId="0" fontId="73" fillId="27" borderId="0" applyNumberFormat="0" applyBorder="0" applyAlignment="0" applyProtection="0"/>
    <xf numFmtId="0" fontId="77" fillId="31" borderId="0" applyNumberFormat="0" applyBorder="0" applyAlignment="0" applyProtection="0"/>
    <xf numFmtId="0" fontId="73" fillId="31" borderId="0" applyNumberFormat="0" applyBorder="0" applyAlignment="0" applyProtection="0"/>
    <xf numFmtId="0" fontId="77" fillId="35" borderId="0" applyNumberFormat="0" applyBorder="0" applyAlignment="0" applyProtection="0"/>
    <xf numFmtId="0" fontId="73" fillId="35" borderId="0" applyNumberFormat="0" applyBorder="0" applyAlignment="0" applyProtection="0"/>
    <xf numFmtId="0" fontId="78" fillId="10" borderId="0" applyNumberFormat="0" applyBorder="0" applyAlignment="0" applyProtection="0"/>
    <xf numFmtId="0" fontId="63" fillId="10" borderId="0" applyNumberFormat="0" applyBorder="0" applyAlignment="0" applyProtection="0"/>
    <xf numFmtId="0" fontId="79" fillId="13" borderId="31" applyNumberFormat="0" applyAlignment="0" applyProtection="0"/>
    <xf numFmtId="0" fontId="67" fillId="13" borderId="31" applyNumberFormat="0" applyAlignment="0" applyProtection="0"/>
    <xf numFmtId="0" fontId="80" fillId="14" borderId="34" applyNumberFormat="0" applyAlignment="0" applyProtection="0"/>
    <xf numFmtId="0" fontId="69" fillId="14" borderId="34" applyNumberFormat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82" fillId="9" borderId="0" applyNumberFormat="0" applyBorder="0" applyAlignment="0" applyProtection="0"/>
    <xf numFmtId="0" fontId="62" fillId="9" borderId="0" applyNumberFormat="0" applyBorder="0" applyAlignment="0" applyProtection="0"/>
    <xf numFmtId="0" fontId="83" fillId="0" borderId="28" applyNumberFormat="0" applyFill="0" applyAlignment="0" applyProtection="0"/>
    <xf numFmtId="0" fontId="59" fillId="0" borderId="28" applyNumberFormat="0" applyFill="0" applyAlignment="0" applyProtection="0"/>
    <xf numFmtId="0" fontId="84" fillId="0" borderId="29" applyNumberFormat="0" applyFill="0" applyAlignment="0" applyProtection="0"/>
    <xf numFmtId="0" fontId="60" fillId="0" borderId="29" applyNumberFormat="0" applyFill="0" applyAlignment="0" applyProtection="0"/>
    <xf numFmtId="0" fontId="85" fillId="0" borderId="30" applyNumberFormat="0" applyFill="0" applyAlignment="0" applyProtection="0"/>
    <xf numFmtId="0" fontId="61" fillId="0" borderId="30" applyNumberFormat="0" applyFill="0" applyAlignment="0" applyProtection="0"/>
    <xf numFmtId="0" fontId="85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86" fillId="12" borderId="31" applyNumberFormat="0" applyAlignment="0" applyProtection="0"/>
    <xf numFmtId="0" fontId="65" fillId="12" borderId="31" applyNumberFormat="0" applyAlignment="0" applyProtection="0"/>
    <xf numFmtId="0" fontId="87" fillId="0" borderId="33" applyNumberFormat="0" applyFill="0" applyAlignment="0" applyProtection="0"/>
    <xf numFmtId="0" fontId="68" fillId="0" borderId="33" applyNumberFormat="0" applyFill="0" applyAlignment="0" applyProtection="0"/>
    <xf numFmtId="0" fontId="88" fillId="11" borderId="0" applyNumberFormat="0" applyBorder="0" applyAlignment="0" applyProtection="0"/>
    <xf numFmtId="0" fontId="64" fillId="1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5" fillId="0" borderId="0"/>
    <xf numFmtId="0" fontId="45" fillId="0" borderId="0"/>
    <xf numFmtId="0" fontId="4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8" fillId="0" borderId="0"/>
    <xf numFmtId="0" fontId="45" fillId="0" borderId="0"/>
    <xf numFmtId="0" fontId="45" fillId="0" borderId="0"/>
    <xf numFmtId="0" fontId="7" fillId="0" borderId="0"/>
    <xf numFmtId="0" fontId="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45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7" fillId="7" borderId="27" applyNumberFormat="0" applyFont="0" applyAlignment="0" applyProtection="0"/>
    <xf numFmtId="0" fontId="89" fillId="13" borderId="32" applyNumberFormat="0" applyAlignment="0" applyProtection="0"/>
    <xf numFmtId="0" fontId="66" fillId="13" borderId="32" applyNumberFormat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5" fillId="0" borderId="35" applyNumberFormat="0" applyFill="0" applyAlignment="0" applyProtection="0"/>
    <xf numFmtId="0" fontId="72" fillId="0" borderId="35" applyNumberFormat="0" applyFill="0" applyAlignment="0" applyProtection="0"/>
    <xf numFmtId="0" fontId="9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28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0" borderId="0"/>
    <xf numFmtId="0" fontId="6" fillId="16" borderId="0" applyNumberFormat="0" applyBorder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32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7" borderId="27" applyNumberFormat="0" applyFont="0" applyAlignment="0" applyProtection="0"/>
    <xf numFmtId="0" fontId="6" fillId="0" borderId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0" borderId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0" borderId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0" borderId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28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0" borderId="0"/>
    <xf numFmtId="0" fontId="6" fillId="16" borderId="0" applyNumberFormat="0" applyBorder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32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6" fillId="7" borderId="27" applyNumberFormat="0" applyFont="0" applyAlignment="0" applyProtection="0"/>
    <xf numFmtId="0" fontId="5" fillId="0" borderId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28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0" borderId="0"/>
    <xf numFmtId="0" fontId="5" fillId="16" borderId="0" applyNumberFormat="0" applyBorder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32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7" borderId="27" applyNumberFormat="0" applyFont="0" applyAlignment="0" applyProtection="0"/>
    <xf numFmtId="0" fontId="5" fillId="0" borderId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0" borderId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0" borderId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0" borderId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28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0" borderId="0"/>
    <xf numFmtId="0" fontId="5" fillId="16" borderId="0" applyNumberFormat="0" applyBorder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32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4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3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5" fillId="7" borderId="27" applyNumberFormat="0" applyFont="0" applyAlignment="0" applyProtection="0"/>
    <xf numFmtId="0" fontId="4" fillId="0" borderId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28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0" borderId="0"/>
    <xf numFmtId="0" fontId="4" fillId="16" borderId="0" applyNumberFormat="0" applyBorder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32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7" borderId="27" applyNumberFormat="0" applyFont="0" applyAlignment="0" applyProtection="0"/>
    <xf numFmtId="0" fontId="4" fillId="0" borderId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0" borderId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0" borderId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0" borderId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28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0" borderId="0"/>
    <xf numFmtId="0" fontId="4" fillId="16" borderId="0" applyNumberFormat="0" applyBorder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32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2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3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3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4" fillId="7" borderId="27" applyNumberFormat="0" applyFont="0" applyAlignment="0" applyProtection="0"/>
    <xf numFmtId="0" fontId="3" fillId="0" borderId="0"/>
    <xf numFmtId="164" fontId="3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96" fillId="43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77" fillId="18" borderId="0" applyNumberFormat="0" applyBorder="0" applyAlignment="0" applyProtection="0"/>
    <xf numFmtId="0" fontId="77" fillId="22" borderId="0" applyNumberFormat="0" applyBorder="0" applyAlignment="0" applyProtection="0"/>
    <xf numFmtId="0" fontId="77" fillId="26" borderId="0" applyNumberFormat="0" applyBorder="0" applyAlignment="0" applyProtection="0"/>
    <xf numFmtId="0" fontId="77" fillId="30" borderId="0" applyNumberFormat="0" applyBorder="0" applyAlignment="0" applyProtection="0"/>
    <xf numFmtId="0" fontId="77" fillId="34" borderId="0" applyNumberFormat="0" applyBorder="0" applyAlignment="0" applyProtection="0"/>
    <xf numFmtId="0" fontId="77" fillId="38" borderId="0" applyNumberFormat="0" applyBorder="0" applyAlignment="0" applyProtection="0"/>
    <xf numFmtId="0" fontId="77" fillId="15" borderId="0" applyNumberFormat="0" applyBorder="0" applyAlignment="0" applyProtection="0"/>
    <xf numFmtId="0" fontId="77" fillId="19" borderId="0" applyNumberFormat="0" applyBorder="0" applyAlignment="0" applyProtection="0"/>
    <xf numFmtId="0" fontId="77" fillId="23" borderId="0" applyNumberFormat="0" applyBorder="0" applyAlignment="0" applyProtection="0"/>
    <xf numFmtId="0" fontId="77" fillId="27" borderId="0" applyNumberFormat="0" applyBorder="0" applyAlignment="0" applyProtection="0"/>
    <xf numFmtId="0" fontId="77" fillId="31" borderId="0" applyNumberFormat="0" applyBorder="0" applyAlignment="0" applyProtection="0"/>
    <xf numFmtId="0" fontId="77" fillId="35" borderId="0" applyNumberFormat="0" applyBorder="0" applyAlignment="0" applyProtection="0"/>
    <xf numFmtId="0" fontId="78" fillId="10" borderId="0" applyNumberFormat="0" applyBorder="0" applyAlignment="0" applyProtection="0"/>
    <xf numFmtId="0" fontId="79" fillId="13" borderId="31" applyNumberFormat="0" applyAlignment="0" applyProtection="0"/>
    <xf numFmtId="0" fontId="80" fillId="14" borderId="34" applyNumberFormat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2" fillId="9" borderId="0" applyNumberFormat="0" applyBorder="0" applyAlignment="0" applyProtection="0"/>
    <xf numFmtId="0" fontId="83" fillId="0" borderId="28" applyNumberFormat="0" applyFill="0" applyAlignment="0" applyProtection="0"/>
    <xf numFmtId="0" fontId="84" fillId="0" borderId="29" applyNumberFormat="0" applyFill="0" applyAlignment="0" applyProtection="0"/>
    <xf numFmtId="0" fontId="85" fillId="0" borderId="30" applyNumberFormat="0" applyFill="0" applyAlignment="0" applyProtection="0"/>
    <xf numFmtId="0" fontId="85" fillId="0" borderId="0" applyNumberFormat="0" applyFill="0" applyBorder="0" applyAlignment="0" applyProtection="0"/>
    <xf numFmtId="0" fontId="86" fillId="12" borderId="31" applyNumberFormat="0" applyAlignment="0" applyProtection="0"/>
    <xf numFmtId="0" fontId="87" fillId="0" borderId="33" applyNumberFormat="0" applyFill="0" applyAlignment="0" applyProtection="0"/>
    <xf numFmtId="0" fontId="88" fillId="1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" borderId="27" applyNumberFormat="0" applyFont="0" applyAlignment="0" applyProtection="0"/>
    <xf numFmtId="0" fontId="89" fillId="13" borderId="32" applyNumberFormat="0" applyAlignment="0" applyProtection="0"/>
    <xf numFmtId="0" fontId="75" fillId="0" borderId="35" applyNumberFormat="0" applyFill="0" applyAlignment="0" applyProtection="0"/>
    <xf numFmtId="0" fontId="90" fillId="0" borderId="0" applyNumberFormat="0" applyFill="0" applyBorder="0" applyAlignment="0" applyProtection="0"/>
    <xf numFmtId="0" fontId="48" fillId="0" borderId="0"/>
    <xf numFmtId="0" fontId="1" fillId="0" borderId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28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0" borderId="0"/>
    <xf numFmtId="0" fontId="2" fillId="16" borderId="0" applyNumberFormat="0" applyBorder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32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7" borderId="27" applyNumberFormat="0" applyFont="0" applyAlignment="0" applyProtection="0"/>
    <xf numFmtId="0" fontId="2" fillId="0" borderId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0" borderId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0" borderId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0" borderId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28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0" borderId="0"/>
    <xf numFmtId="0" fontId="2" fillId="16" borderId="0" applyNumberFormat="0" applyBorder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32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2" fillId="7" borderId="27" applyNumberFormat="0" applyFont="0" applyAlignment="0" applyProtection="0"/>
    <xf numFmtId="0" fontId="48" fillId="0" borderId="0"/>
  </cellStyleXfs>
  <cellXfs count="309">
    <xf numFmtId="0" fontId="0" fillId="0" borderId="0" xfId="0"/>
    <xf numFmtId="3" fontId="0" fillId="0" borderId="0" xfId="0" applyNumberFormat="1"/>
    <xf numFmtId="165" fontId="0" fillId="0" borderId="0" xfId="0" applyNumberFormat="1"/>
    <xf numFmtId="0" fontId="39" fillId="2" borderId="1" xfId="0" applyFont="1" applyFill="1" applyBorder="1" applyAlignment="1">
      <alignment horizontal="right"/>
    </xf>
    <xf numFmtId="0" fontId="39" fillId="2" borderId="2" xfId="0" applyFont="1" applyFill="1" applyBorder="1" applyAlignment="1">
      <alignment horizontal="right"/>
    </xf>
    <xf numFmtId="0" fontId="39" fillId="2" borderId="3" xfId="0" applyFont="1" applyFill="1" applyBorder="1" applyAlignment="1">
      <alignment horizontal="right"/>
    </xf>
    <xf numFmtId="0" fontId="40" fillId="3" borderId="1" xfId="0" applyFont="1" applyFill="1" applyBorder="1" applyAlignment="1">
      <alignment horizontal="center"/>
    </xf>
    <xf numFmtId="0" fontId="40" fillId="3" borderId="2" xfId="0" applyFont="1" applyFill="1" applyBorder="1" applyAlignment="1">
      <alignment horizontal="center"/>
    </xf>
    <xf numFmtId="165" fontId="40" fillId="3" borderId="2" xfId="0" applyNumberFormat="1" applyFont="1" applyFill="1" applyBorder="1" applyAlignment="1">
      <alignment horizontal="center"/>
    </xf>
    <xf numFmtId="0" fontId="40" fillId="3" borderId="3" xfId="0" applyFont="1" applyFill="1" applyBorder="1" applyAlignment="1">
      <alignment horizontal="center"/>
    </xf>
    <xf numFmtId="0" fontId="40" fillId="4" borderId="1" xfId="0" applyFont="1" applyFill="1" applyBorder="1" applyAlignment="1">
      <alignment horizontal="center"/>
    </xf>
    <xf numFmtId="0" fontId="41" fillId="4" borderId="3" xfId="0" applyFont="1" applyFill="1" applyBorder="1" applyAlignment="1">
      <alignment horizontal="center"/>
    </xf>
    <xf numFmtId="166" fontId="0" fillId="0" borderId="0" xfId="0" applyNumberFormat="1"/>
    <xf numFmtId="10" fontId="0" fillId="0" borderId="0" xfId="0" applyNumberFormat="1"/>
    <xf numFmtId="166" fontId="40" fillId="3" borderId="2" xfId="0" applyNumberFormat="1" applyFont="1" applyFill="1" applyBorder="1" applyAlignment="1">
      <alignment horizontal="center"/>
    </xf>
    <xf numFmtId="10" fontId="40" fillId="3" borderId="2" xfId="0" applyNumberFormat="1" applyFont="1" applyFill="1" applyBorder="1" applyAlignment="1">
      <alignment horizontal="center"/>
    </xf>
    <xf numFmtId="0" fontId="40" fillId="3" borderId="0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40" fillId="3" borderId="4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39" fillId="2" borderId="7" xfId="0" applyFont="1" applyFill="1" applyBorder="1" applyAlignment="1">
      <alignment horizontal="right"/>
    </xf>
    <xf numFmtId="0" fontId="39" fillId="2" borderId="8" xfId="0" applyFont="1" applyFill="1" applyBorder="1" applyAlignment="1">
      <alignment horizontal="right"/>
    </xf>
    <xf numFmtId="0" fontId="39" fillId="2" borderId="9" xfId="0" applyFont="1" applyFill="1" applyBorder="1" applyAlignment="1">
      <alignment horizontal="right"/>
    </xf>
    <xf numFmtId="43" fontId="40" fillId="3" borderId="2" xfId="0" applyNumberFormat="1" applyFont="1" applyFill="1" applyBorder="1" applyAlignment="1">
      <alignment horizontal="center"/>
    </xf>
    <xf numFmtId="43" fontId="0" fillId="0" borderId="0" xfId="0" applyNumberFormat="1"/>
    <xf numFmtId="165" fontId="0" fillId="0" borderId="0" xfId="1" applyNumberFormat="1" applyFont="1"/>
    <xf numFmtId="166" fontId="40" fillId="3" borderId="3" xfId="0" applyNumberFormat="1" applyFont="1" applyFill="1" applyBorder="1" applyAlignment="1">
      <alignment horizontal="center"/>
    </xf>
    <xf numFmtId="0" fontId="0" fillId="0" borderId="0" xfId="0" applyNumberFormat="1"/>
    <xf numFmtId="167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43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vertical="center" wrapText="1"/>
    </xf>
    <xf numFmtId="0" fontId="42" fillId="2" borderId="1" xfId="0" applyFont="1" applyFill="1" applyBorder="1" applyAlignment="1">
      <alignment horizontal="right"/>
    </xf>
    <xf numFmtId="0" fontId="43" fillId="4" borderId="1" xfId="0" applyFont="1" applyFill="1" applyBorder="1" applyAlignment="1">
      <alignment horizontal="center"/>
    </xf>
    <xf numFmtId="0" fontId="42" fillId="2" borderId="3" xfId="0" applyFont="1" applyFill="1" applyBorder="1" applyAlignment="1">
      <alignment horizontal="right"/>
    </xf>
    <xf numFmtId="0" fontId="44" fillId="4" borderId="3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42" fillId="2" borderId="2" xfId="0" applyFont="1" applyFill="1" applyBorder="1" applyAlignment="1">
      <alignment horizontal="right"/>
    </xf>
    <xf numFmtId="0" fontId="43" fillId="3" borderId="2" xfId="0" applyFont="1" applyFill="1" applyBorder="1" applyAlignment="1">
      <alignment horizontal="center"/>
    </xf>
    <xf numFmtId="0" fontId="43" fillId="3" borderId="3" xfId="0" applyFont="1" applyFill="1" applyBorder="1" applyAlignment="1">
      <alignment horizontal="center"/>
    </xf>
    <xf numFmtId="0" fontId="43" fillId="0" borderId="10" xfId="0" applyFont="1" applyBorder="1"/>
    <xf numFmtId="0" fontId="42" fillId="2" borderId="11" xfId="0" applyFont="1" applyFill="1" applyBorder="1" applyAlignment="1">
      <alignment horizontal="right"/>
    </xf>
    <xf numFmtId="0" fontId="42" fillId="2" borderId="4" xfId="0" applyFont="1" applyFill="1" applyBorder="1" applyAlignment="1">
      <alignment horizontal="right"/>
    </xf>
    <xf numFmtId="0" fontId="43" fillId="4" borderId="12" xfId="0" applyFont="1" applyFill="1" applyBorder="1" applyAlignment="1">
      <alignment horizontal="right"/>
    </xf>
    <xf numFmtId="0" fontId="44" fillId="4" borderId="13" xfId="0" applyFont="1" applyFill="1" applyBorder="1" applyAlignment="1">
      <alignment horizontal="center"/>
    </xf>
    <xf numFmtId="0" fontId="43" fillId="3" borderId="13" xfId="0" applyFont="1" applyFill="1" applyBorder="1" applyAlignment="1">
      <alignment horizontal="right"/>
    </xf>
    <xf numFmtId="165" fontId="43" fillId="3" borderId="13" xfId="0" applyNumberFormat="1" applyFont="1" applyFill="1" applyBorder="1" applyAlignment="1">
      <alignment horizontal="center"/>
    </xf>
    <xf numFmtId="0" fontId="43" fillId="3" borderId="13" xfId="0" applyFont="1" applyFill="1" applyBorder="1" applyAlignment="1">
      <alignment horizontal="center"/>
    </xf>
    <xf numFmtId="0" fontId="43" fillId="3" borderId="14" xfId="0" applyFont="1" applyFill="1" applyBorder="1" applyAlignment="1">
      <alignment horizontal="center"/>
    </xf>
    <xf numFmtId="0" fontId="43" fillId="4" borderId="15" xfId="0" applyFont="1" applyFill="1" applyBorder="1" applyAlignment="1">
      <alignment horizontal="right"/>
    </xf>
    <xf numFmtId="0" fontId="44" fillId="4" borderId="0" xfId="0" applyFont="1" applyFill="1" applyBorder="1" applyAlignment="1">
      <alignment horizontal="center"/>
    </xf>
    <xf numFmtId="0" fontId="43" fillId="3" borderId="0" xfId="0" applyFont="1" applyFill="1" applyBorder="1" applyAlignment="1">
      <alignment horizontal="right"/>
    </xf>
    <xf numFmtId="165" fontId="43" fillId="3" borderId="0" xfId="0" applyNumberFormat="1" applyFont="1" applyFill="1" applyBorder="1" applyAlignment="1">
      <alignment horizontal="center"/>
    </xf>
    <xf numFmtId="0" fontId="43" fillId="3" borderId="0" xfId="0" applyFont="1" applyFill="1" applyBorder="1" applyAlignment="1">
      <alignment horizontal="center"/>
    </xf>
    <xf numFmtId="0" fontId="43" fillId="3" borderId="6" xfId="0" applyFont="1" applyFill="1" applyBorder="1" applyAlignment="1">
      <alignment horizontal="center"/>
    </xf>
    <xf numFmtId="0" fontId="43" fillId="4" borderId="16" xfId="0" applyFont="1" applyFill="1" applyBorder="1" applyAlignment="1">
      <alignment horizontal="right"/>
    </xf>
    <xf numFmtId="0" fontId="44" fillId="4" borderId="17" xfId="0" applyFont="1" applyFill="1" applyBorder="1" applyAlignment="1">
      <alignment horizontal="center"/>
    </xf>
    <xf numFmtId="0" fontId="43" fillId="3" borderId="17" xfId="0" applyFont="1" applyFill="1" applyBorder="1" applyAlignment="1">
      <alignment horizontal="right"/>
    </xf>
    <xf numFmtId="165" fontId="43" fillId="3" borderId="17" xfId="0" applyNumberFormat="1" applyFont="1" applyFill="1" applyBorder="1" applyAlignment="1">
      <alignment horizontal="center"/>
    </xf>
    <xf numFmtId="0" fontId="43" fillId="3" borderId="17" xfId="0" applyFont="1" applyFill="1" applyBorder="1" applyAlignment="1">
      <alignment horizontal="center"/>
    </xf>
    <xf numFmtId="0" fontId="43" fillId="3" borderId="18" xfId="0" applyFont="1" applyFill="1" applyBorder="1" applyAlignment="1">
      <alignment horizontal="center"/>
    </xf>
    <xf numFmtId="0" fontId="44" fillId="4" borderId="13" xfId="0" applyFont="1" applyFill="1" applyBorder="1" applyAlignment="1">
      <alignment horizontal="left"/>
    </xf>
    <xf numFmtId="0" fontId="43" fillId="0" borderId="13" xfId="0" applyFont="1" applyBorder="1" applyAlignment="1">
      <alignment horizontal="right"/>
    </xf>
    <xf numFmtId="0" fontId="43" fillId="0" borderId="0" xfId="0" applyFont="1" applyBorder="1" applyAlignment="1">
      <alignment horizontal="right"/>
    </xf>
    <xf numFmtId="0" fontId="44" fillId="4" borderId="0" xfId="0" applyFont="1" applyFill="1" applyBorder="1" applyAlignment="1">
      <alignment horizontal="left"/>
    </xf>
    <xf numFmtId="0" fontId="44" fillId="4" borderId="20" xfId="0" applyFont="1" applyFill="1" applyBorder="1" applyAlignment="1">
      <alignment horizontal="center"/>
    </xf>
    <xf numFmtId="0" fontId="43" fillId="3" borderId="20" xfId="0" applyFont="1" applyFill="1" applyBorder="1" applyAlignment="1">
      <alignment horizontal="right"/>
    </xf>
    <xf numFmtId="165" fontId="43" fillId="3" borderId="20" xfId="0" applyNumberFormat="1" applyFont="1" applyFill="1" applyBorder="1" applyAlignment="1">
      <alignment horizontal="center"/>
    </xf>
    <xf numFmtId="0" fontId="43" fillId="3" borderId="20" xfId="0" applyFont="1" applyFill="1" applyBorder="1" applyAlignment="1">
      <alignment horizontal="center"/>
    </xf>
    <xf numFmtId="0" fontId="43" fillId="3" borderId="5" xfId="0" applyFont="1" applyFill="1" applyBorder="1" applyAlignment="1">
      <alignment horizontal="center"/>
    </xf>
    <xf numFmtId="0" fontId="43" fillId="0" borderId="0" xfId="0" applyFont="1"/>
    <xf numFmtId="0" fontId="43" fillId="0" borderId="21" xfId="0" applyFont="1" applyBorder="1" applyAlignment="1">
      <alignment horizontal="center"/>
    </xf>
    <xf numFmtId="0" fontId="43" fillId="0" borderId="22" xfId="0" applyFont="1" applyBorder="1" applyAlignment="1">
      <alignment horizontal="center"/>
    </xf>
    <xf numFmtId="0" fontId="43" fillId="0" borderId="23" xfId="0" applyFont="1" applyBorder="1" applyAlignment="1">
      <alignment horizontal="center"/>
    </xf>
    <xf numFmtId="3" fontId="43" fillId="3" borderId="1" xfId="0" applyNumberFormat="1" applyFont="1" applyFill="1" applyBorder="1" applyAlignment="1">
      <alignment horizontal="center"/>
    </xf>
    <xf numFmtId="166" fontId="43" fillId="0" borderId="15" xfId="0" applyNumberFormat="1" applyFont="1" applyBorder="1"/>
    <xf numFmtId="168" fontId="43" fillId="0" borderId="24" xfId="0" applyNumberFormat="1" applyFont="1" applyBorder="1"/>
    <xf numFmtId="0" fontId="43" fillId="0" borderId="15" xfId="0" applyFont="1" applyBorder="1" applyAlignment="1">
      <alignment horizontal="right"/>
    </xf>
    <xf numFmtId="0" fontId="43" fillId="0" borderId="0" xfId="0" applyFont="1" applyBorder="1" applyAlignment="1">
      <alignment horizontal="center"/>
    </xf>
    <xf numFmtId="0" fontId="43" fillId="0" borderId="24" xfId="0" applyFont="1" applyBorder="1" applyAlignment="1">
      <alignment horizontal="right"/>
    </xf>
    <xf numFmtId="3" fontId="43" fillId="3" borderId="2" xfId="0" applyNumberFormat="1" applyFont="1" applyFill="1" applyBorder="1" applyAlignment="1">
      <alignment horizontal="center"/>
    </xf>
    <xf numFmtId="0" fontId="43" fillId="0" borderId="4" xfId="0" applyFont="1" applyBorder="1"/>
    <xf numFmtId="0" fontId="43" fillId="0" borderId="15" xfId="0" applyFont="1" applyBorder="1"/>
    <xf numFmtId="0" fontId="43" fillId="0" borderId="6" xfId="0" applyFont="1" applyBorder="1"/>
    <xf numFmtId="166" fontId="43" fillId="0" borderId="6" xfId="0" applyNumberFormat="1" applyFont="1" applyBorder="1"/>
    <xf numFmtId="0" fontId="43" fillId="0" borderId="16" xfId="0" applyFont="1" applyBorder="1"/>
    <xf numFmtId="0" fontId="43" fillId="0" borderId="18" xfId="0" applyFont="1" applyBorder="1"/>
    <xf numFmtId="0" fontId="43" fillId="0" borderId="12" xfId="0" applyFont="1" applyBorder="1"/>
    <xf numFmtId="169" fontId="43" fillId="0" borderId="14" xfId="0" applyNumberFormat="1" applyFont="1" applyBorder="1"/>
    <xf numFmtId="165" fontId="43" fillId="0" borderId="6" xfId="1" applyNumberFormat="1" applyFont="1" applyBorder="1"/>
    <xf numFmtId="0" fontId="43" fillId="0" borderId="19" xfId="0" applyFont="1" applyBorder="1"/>
    <xf numFmtId="165" fontId="43" fillId="0" borderId="5" xfId="1" applyNumberFormat="1" applyFont="1" applyBorder="1"/>
    <xf numFmtId="170" fontId="0" fillId="0" borderId="0" xfId="0" applyNumberFormat="1"/>
    <xf numFmtId="14" fontId="0" fillId="0" borderId="0" xfId="0" applyNumberFormat="1"/>
    <xf numFmtId="0" fontId="37" fillId="3" borderId="2" xfId="0" applyFont="1" applyFill="1" applyBorder="1" applyAlignment="1">
      <alignment horizontal="center"/>
    </xf>
    <xf numFmtId="0" fontId="37" fillId="3" borderId="1" xfId="0" applyFont="1" applyFill="1" applyBorder="1" applyAlignment="1">
      <alignment horizontal="center"/>
    </xf>
    <xf numFmtId="0" fontId="37" fillId="0" borderId="0" xfId="0" applyFont="1"/>
    <xf numFmtId="0" fontId="39" fillId="0" borderId="0" xfId="0" applyFont="1"/>
    <xf numFmtId="172" fontId="0" fillId="0" borderId="0" xfId="0" applyNumberFormat="1"/>
    <xf numFmtId="4" fontId="0" fillId="0" borderId="0" xfId="0" applyNumberFormat="1"/>
    <xf numFmtId="173" fontId="0" fillId="0" borderId="0" xfId="0" applyNumberFormat="1"/>
    <xf numFmtId="174" fontId="0" fillId="0" borderId="0" xfId="0" applyNumberFormat="1"/>
    <xf numFmtId="2" fontId="0" fillId="0" borderId="0" xfId="0" applyNumberFormat="1"/>
    <xf numFmtId="164" fontId="0" fillId="0" borderId="0" xfId="0" applyNumberFormat="1"/>
    <xf numFmtId="171" fontId="0" fillId="0" borderId="0" xfId="0" applyNumberFormat="1"/>
    <xf numFmtId="166" fontId="40" fillId="3" borderId="0" xfId="0" applyNumberFormat="1" applyFont="1" applyFill="1" applyBorder="1" applyAlignment="1">
      <alignment horizontal="center"/>
    </xf>
    <xf numFmtId="0" fontId="55" fillId="0" borderId="0" xfId="0" applyFont="1"/>
    <xf numFmtId="0" fontId="57" fillId="0" borderId="0" xfId="0" applyFont="1"/>
    <xf numFmtId="0" fontId="48" fillId="0" borderId="0" xfId="21"/>
    <xf numFmtId="0" fontId="41" fillId="4" borderId="0" xfId="0" applyFont="1" applyFill="1" applyBorder="1" applyAlignment="1">
      <alignment horizontal="center"/>
    </xf>
    <xf numFmtId="0" fontId="37" fillId="0" borderId="0" xfId="0" applyFont="1" applyAlignment="1">
      <alignment horizontal="right"/>
    </xf>
    <xf numFmtId="10" fontId="0" fillId="8" borderId="0" xfId="0" applyNumberFormat="1" applyFill="1"/>
    <xf numFmtId="3" fontId="0" fillId="8" borderId="0" xfId="0" applyNumberFormat="1" applyFill="1"/>
    <xf numFmtId="3" fontId="39" fillId="8" borderId="0" xfId="0" applyNumberFormat="1" applyFont="1" applyFill="1"/>
    <xf numFmtId="10" fontId="37" fillId="0" borderId="0" xfId="0" applyNumberFormat="1" applyFont="1"/>
    <xf numFmtId="166" fontId="37" fillId="3" borderId="2" xfId="0" applyNumberFormat="1" applyFont="1" applyFill="1" applyBorder="1" applyAlignment="1">
      <alignment horizontal="center"/>
    </xf>
    <xf numFmtId="21" fontId="0" fillId="0" borderId="0" xfId="0" applyNumberFormat="1"/>
    <xf numFmtId="0" fontId="37" fillId="0" borderId="0" xfId="0" applyFont="1" applyAlignment="1">
      <alignment horizontal="right" vertical="center" wrapText="1"/>
    </xf>
    <xf numFmtId="0" fontId="35" fillId="0" borderId="0" xfId="39"/>
    <xf numFmtId="0" fontId="35" fillId="0" borderId="0" xfId="39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48" fillId="8" borderId="0" xfId="21" applyFill="1"/>
    <xf numFmtId="0" fontId="48" fillId="0" borderId="0" xfId="21"/>
    <xf numFmtId="0" fontId="48" fillId="0" borderId="0" xfId="21"/>
    <xf numFmtId="0" fontId="48" fillId="8" borderId="0" xfId="21" applyFill="1"/>
    <xf numFmtId="0" fontId="48" fillId="8" borderId="0" xfId="21" applyFill="1"/>
    <xf numFmtId="0" fontId="48" fillId="8" borderId="0" xfId="21" applyFill="1"/>
    <xf numFmtId="0" fontId="48" fillId="0" borderId="0" xfId="21"/>
    <xf numFmtId="2" fontId="74" fillId="0" borderId="0" xfId="21" applyNumberFormat="1" applyFont="1"/>
    <xf numFmtId="0" fontId="48" fillId="0" borderId="0" xfId="21"/>
    <xf numFmtId="0" fontId="48" fillId="0" borderId="0" xfId="21"/>
    <xf numFmtId="2" fontId="48" fillId="0" borderId="0" xfId="21" applyNumberFormat="1"/>
    <xf numFmtId="2" fontId="74" fillId="0" borderId="0" xfId="276" applyNumberFormat="1" applyFont="1"/>
    <xf numFmtId="2" fontId="48" fillId="0" borderId="0" xfId="276" applyNumberFormat="1"/>
    <xf numFmtId="2" fontId="48" fillId="0" borderId="0" xfId="276" applyNumberFormat="1"/>
    <xf numFmtId="2" fontId="48" fillId="0" borderId="0" xfId="276" applyNumberFormat="1"/>
    <xf numFmtId="14" fontId="37" fillId="0" borderId="0" xfId="0" applyNumberFormat="1" applyFont="1"/>
    <xf numFmtId="2" fontId="48" fillId="0" borderId="0" xfId="276" applyNumberFormat="1"/>
    <xf numFmtId="2" fontId="48" fillId="0" borderId="0" xfId="276" applyNumberFormat="1"/>
    <xf numFmtId="175" fontId="0" fillId="0" borderId="0" xfId="0" applyNumberFormat="1"/>
    <xf numFmtId="2" fontId="48" fillId="0" borderId="0" xfId="276" applyNumberFormat="1"/>
    <xf numFmtId="2" fontId="48" fillId="0" borderId="0" xfId="276" applyNumberFormat="1" applyFont="1"/>
    <xf numFmtId="2" fontId="48" fillId="0" borderId="0" xfId="276" applyNumberFormat="1"/>
    <xf numFmtId="2" fontId="48" fillId="0" borderId="0" xfId="276" applyNumberFormat="1"/>
    <xf numFmtId="2" fontId="48" fillId="0" borderId="0" xfId="276" applyNumberFormat="1"/>
    <xf numFmtId="2" fontId="48" fillId="0" borderId="0" xfId="276" applyNumberFormat="1"/>
    <xf numFmtId="0" fontId="48" fillId="0" borderId="0" xfId="21" applyFont="1"/>
    <xf numFmtId="0" fontId="48" fillId="0" borderId="0" xfId="276"/>
    <xf numFmtId="0" fontId="48" fillId="8" borderId="0" xfId="276" applyFill="1"/>
    <xf numFmtId="14" fontId="37" fillId="0" borderId="0" xfId="0" applyNumberFormat="1" applyFont="1" applyAlignment="1">
      <alignment horizontal="center"/>
    </xf>
    <xf numFmtId="2" fontId="48" fillId="0" borderId="0" xfId="276" applyNumberFormat="1"/>
    <xf numFmtId="49" fontId="37" fillId="0" borderId="0" xfId="0" applyNumberFormat="1" applyFont="1" applyFill="1"/>
    <xf numFmtId="2" fontId="48" fillId="0" borderId="0" xfId="276" applyNumberFormat="1"/>
    <xf numFmtId="2" fontId="39" fillId="0" borderId="0" xfId="0" applyNumberFormat="1" applyFont="1"/>
    <xf numFmtId="0" fontId="37" fillId="3" borderId="0" xfId="0" applyFont="1" applyFill="1" applyBorder="1" applyAlignment="1">
      <alignment horizontal="center"/>
    </xf>
    <xf numFmtId="176" fontId="0" fillId="0" borderId="0" xfId="0" applyNumberFormat="1"/>
    <xf numFmtId="16" fontId="37" fillId="0" borderId="0" xfId="0" applyNumberFormat="1" applyFont="1"/>
    <xf numFmtId="3" fontId="39" fillId="0" borderId="0" xfId="0" applyNumberFormat="1" applyFont="1"/>
    <xf numFmtId="0" fontId="10" fillId="0" borderId="0" xfId="16567"/>
    <xf numFmtId="14" fontId="37" fillId="0" borderId="0" xfId="16567" applyNumberFormat="1" applyFont="1"/>
    <xf numFmtId="0" fontId="37" fillId="0" borderId="0" xfId="16567" applyFont="1"/>
    <xf numFmtId="0" fontId="48" fillId="8" borderId="0" xfId="21" applyFill="1"/>
    <xf numFmtId="0" fontId="48" fillId="0" borderId="0" xfId="21" applyFont="1"/>
    <xf numFmtId="0" fontId="48" fillId="0" borderId="0" xfId="21"/>
    <xf numFmtId="0" fontId="48" fillId="0" borderId="0" xfId="21"/>
    <xf numFmtId="177" fontId="0" fillId="0" borderId="0" xfId="0" applyNumberFormat="1"/>
    <xf numFmtId="0" fontId="48" fillId="0" borderId="0" xfId="7373"/>
    <xf numFmtId="0" fontId="48" fillId="0" borderId="0" xfId="7373" quotePrefix="1"/>
    <xf numFmtId="0" fontId="74" fillId="0" borderId="0" xfId="7373" applyFont="1"/>
    <xf numFmtId="0" fontId="37" fillId="4" borderId="1" xfId="0" applyFont="1" applyFill="1" applyBorder="1" applyAlignment="1">
      <alignment horizontal="center"/>
    </xf>
    <xf numFmtId="0" fontId="41" fillId="4" borderId="3" xfId="0" applyFont="1" applyFill="1" applyBorder="1" applyAlignment="1">
      <alignment horizontal="left"/>
    </xf>
    <xf numFmtId="3" fontId="37" fillId="3" borderId="2" xfId="0" applyNumberFormat="1" applyFont="1" applyFill="1" applyBorder="1" applyAlignment="1">
      <alignment horizontal="center"/>
    </xf>
    <xf numFmtId="165" fontId="37" fillId="3" borderId="2" xfId="0" applyNumberFormat="1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  <xf numFmtId="0" fontId="39" fillId="2" borderId="0" xfId="0" applyFont="1" applyFill="1" applyBorder="1" applyAlignment="1">
      <alignment horizontal="right"/>
    </xf>
    <xf numFmtId="0" fontId="39" fillId="0" borderId="0" xfId="0" applyFont="1" applyFill="1" applyBorder="1" applyAlignment="1" applyProtection="1">
      <alignment horizontal="right" vertical="center" wrapText="1"/>
    </xf>
    <xf numFmtId="167" fontId="37" fillId="0" borderId="0" xfId="0" applyNumberFormat="1" applyFont="1" applyFill="1" applyBorder="1" applyAlignment="1" applyProtection="1"/>
    <xf numFmtId="166" fontId="37" fillId="0" borderId="0" xfId="0" applyNumberFormat="1" applyFont="1" applyFill="1" applyBorder="1" applyAlignment="1" applyProtection="1"/>
    <xf numFmtId="169" fontId="0" fillId="0" borderId="0" xfId="0" applyNumberFormat="1"/>
    <xf numFmtId="165" fontId="39" fillId="0" borderId="0" xfId="0" applyNumberFormat="1" applyFont="1"/>
    <xf numFmtId="43" fontId="37" fillId="3" borderId="2" xfId="0" applyNumberFormat="1" applyFont="1" applyFill="1" applyBorder="1" applyAlignment="1">
      <alignment horizontal="center"/>
    </xf>
    <xf numFmtId="167" fontId="39" fillId="0" borderId="0" xfId="0" applyNumberFormat="1" applyFont="1" applyFill="1" applyBorder="1" applyAlignment="1" applyProtection="1">
      <protection locked="0"/>
    </xf>
    <xf numFmtId="170" fontId="37" fillId="3" borderId="2" xfId="0" applyNumberFormat="1" applyFont="1" applyFill="1" applyBorder="1" applyAlignment="1">
      <alignment horizontal="center"/>
    </xf>
    <xf numFmtId="0" fontId="91" fillId="0" borderId="0" xfId="0" applyFont="1"/>
    <xf numFmtId="0" fontId="92" fillId="0" borderId="0" xfId="0" applyFont="1"/>
    <xf numFmtId="0" fontId="56" fillId="0" borderId="0" xfId="0" applyFont="1"/>
    <xf numFmtId="2" fontId="0" fillId="8" borderId="0" xfId="0" applyNumberFormat="1" applyFill="1"/>
    <xf numFmtId="10" fontId="48" fillId="0" borderId="0" xfId="276" applyNumberFormat="1"/>
    <xf numFmtId="174" fontId="0" fillId="8" borderId="0" xfId="0" applyNumberFormat="1" applyFill="1"/>
    <xf numFmtId="174" fontId="0" fillId="39" borderId="0" xfId="0" applyNumberFormat="1" applyFill="1"/>
    <xf numFmtId="10" fontId="40" fillId="3" borderId="0" xfId="0" applyNumberFormat="1" applyFont="1" applyFill="1" applyBorder="1" applyAlignment="1">
      <alignment horizontal="center"/>
    </xf>
    <xf numFmtId="0" fontId="39" fillId="0" borderId="0" xfId="0" applyFont="1" applyFill="1" applyBorder="1"/>
    <xf numFmtId="2" fontId="37" fillId="0" borderId="0" xfId="0" applyNumberFormat="1" applyFont="1"/>
    <xf numFmtId="174" fontId="37" fillId="0" borderId="0" xfId="0" applyNumberFormat="1" applyFont="1"/>
    <xf numFmtId="166" fontId="37" fillId="3" borderId="0" xfId="0" applyNumberFormat="1" applyFont="1" applyFill="1" applyBorder="1" applyAlignment="1">
      <alignment horizontal="center"/>
    </xf>
    <xf numFmtId="177" fontId="0" fillId="8" borderId="0" xfId="0" applyNumberFormat="1" applyFill="1"/>
    <xf numFmtId="179" fontId="0" fillId="0" borderId="0" xfId="0" applyNumberFormat="1"/>
    <xf numFmtId="178" fontId="0" fillId="8" borderId="0" xfId="0" applyNumberFormat="1" applyFill="1"/>
    <xf numFmtId="11" fontId="0" fillId="0" borderId="0" xfId="0" applyNumberFormat="1"/>
    <xf numFmtId="14" fontId="39" fillId="0" borderId="0" xfId="0" applyNumberFormat="1" applyFont="1"/>
    <xf numFmtId="0" fontId="94" fillId="40" borderId="0" xfId="0" applyFont="1" applyFill="1"/>
    <xf numFmtId="0" fontId="94" fillId="41" borderId="36" xfId="0" applyFont="1" applyFill="1" applyBorder="1"/>
    <xf numFmtId="0" fontId="94" fillId="41" borderId="37" xfId="0" applyFont="1" applyFill="1" applyBorder="1"/>
    <xf numFmtId="180" fontId="94" fillId="0" borderId="37" xfId="0" applyNumberFormat="1" applyFont="1" applyBorder="1" applyAlignment="1">
      <alignment horizontal="center"/>
    </xf>
    <xf numFmtId="0" fontId="94" fillId="0" borderId="37" xfId="0" applyFont="1" applyBorder="1" applyAlignment="1">
      <alignment horizontal="center"/>
    </xf>
    <xf numFmtId="0" fontId="94" fillId="41" borderId="38" xfId="0" applyFont="1" applyFill="1" applyBorder="1"/>
    <xf numFmtId="0" fontId="94" fillId="0" borderId="38" xfId="0" quotePrefix="1" applyFont="1" applyBorder="1"/>
    <xf numFmtId="0" fontId="94" fillId="41" borderId="39" xfId="0" applyFont="1" applyFill="1" applyBorder="1" applyAlignment="1">
      <alignment horizontal="centerContinuous" vertical="center"/>
    </xf>
    <xf numFmtId="0" fontId="94" fillId="41" borderId="40" xfId="0" applyFont="1" applyFill="1" applyBorder="1" applyAlignment="1">
      <alignment horizontal="centerContinuous" vertical="center"/>
    </xf>
    <xf numFmtId="0" fontId="94" fillId="41" borderId="41" xfId="0" applyFont="1" applyFill="1" applyBorder="1"/>
    <xf numFmtId="0" fontId="94" fillId="0" borderId="37" xfId="0" applyFont="1" applyBorder="1" applyAlignment="1">
      <alignment horizontal="right"/>
    </xf>
    <xf numFmtId="0" fontId="94" fillId="41" borderId="42" xfId="0" applyFont="1" applyFill="1" applyBorder="1" applyAlignment="1">
      <alignment horizontal="centerContinuous" vertical="center"/>
    </xf>
    <xf numFmtId="0" fontId="94" fillId="0" borderId="13" xfId="0" applyFont="1" applyBorder="1"/>
    <xf numFmtId="0" fontId="94" fillId="0" borderId="43" xfId="0" applyFont="1" applyBorder="1"/>
    <xf numFmtId="0" fontId="94" fillId="0" borderId="0" xfId="0" applyFont="1" applyBorder="1"/>
    <xf numFmtId="0" fontId="94" fillId="0" borderId="44" xfId="0" applyFont="1" applyBorder="1"/>
    <xf numFmtId="0" fontId="94" fillId="0" borderId="41" xfId="0" applyFont="1" applyBorder="1" applyAlignment="1">
      <alignment horizontal="center"/>
    </xf>
    <xf numFmtId="0" fontId="94" fillId="0" borderId="37" xfId="0" applyFont="1" applyBorder="1"/>
    <xf numFmtId="0" fontId="94" fillId="0" borderId="37" xfId="0" applyFont="1" applyBorder="1" applyAlignment="1">
      <alignment horizontal="center" vertical="center"/>
    </xf>
    <xf numFmtId="165" fontId="94" fillId="0" borderId="38" xfId="8" applyNumberFormat="1" applyFont="1" applyBorder="1"/>
    <xf numFmtId="0" fontId="94" fillId="0" borderId="38" xfId="0" applyFont="1" applyBorder="1"/>
    <xf numFmtId="180" fontId="94" fillId="0" borderId="37" xfId="0" applyNumberFormat="1" applyFont="1" applyBorder="1" applyAlignment="1">
      <alignment horizontal="center" vertical="center"/>
    </xf>
    <xf numFmtId="0" fontId="94" fillId="0" borderId="0" xfId="0" applyFont="1"/>
    <xf numFmtId="0" fontId="94" fillId="0" borderId="17" xfId="0" applyFont="1" applyBorder="1"/>
    <xf numFmtId="0" fontId="94" fillId="0" borderId="45" xfId="0" applyFont="1" applyBorder="1"/>
    <xf numFmtId="165" fontId="94" fillId="0" borderId="41" xfId="0" applyNumberFormat="1" applyFont="1" applyBorder="1"/>
    <xf numFmtId="165" fontId="94" fillId="0" borderId="37" xfId="0" applyNumberFormat="1" applyFont="1" applyBorder="1"/>
    <xf numFmtId="180" fontId="94" fillId="0" borderId="37" xfId="0" applyNumberFormat="1" applyFont="1" applyBorder="1"/>
    <xf numFmtId="180" fontId="94" fillId="0" borderId="38" xfId="0" applyNumberFormat="1" applyFont="1" applyBorder="1"/>
    <xf numFmtId="165" fontId="94" fillId="0" borderId="38" xfId="0" applyNumberFormat="1" applyFont="1" applyBorder="1"/>
    <xf numFmtId="0" fontId="94" fillId="0" borderId="41" xfId="0" applyFont="1" applyBorder="1" applyAlignment="1">
      <alignment horizontal="right" vertical="center"/>
    </xf>
    <xf numFmtId="0" fontId="94" fillId="0" borderId="37" xfId="0" applyFont="1" applyBorder="1" applyAlignment="1">
      <alignment horizontal="right" vertical="center"/>
    </xf>
    <xf numFmtId="0" fontId="94" fillId="0" borderId="38" xfId="0" applyFont="1" applyBorder="1" applyAlignment="1">
      <alignment horizontal="right" vertical="center"/>
    </xf>
    <xf numFmtId="0" fontId="94" fillId="0" borderId="41" xfId="0" applyFont="1" applyBorder="1" applyAlignment="1">
      <alignment horizontal="right"/>
    </xf>
    <xf numFmtId="180" fontId="94" fillId="0" borderId="0" xfId="0" applyNumberFormat="1" applyFont="1" applyBorder="1"/>
    <xf numFmtId="0" fontId="94" fillId="0" borderId="41" xfId="0" applyFont="1" applyBorder="1"/>
    <xf numFmtId="0" fontId="94" fillId="40" borderId="0" xfId="0" applyFont="1" applyFill="1" applyBorder="1"/>
    <xf numFmtId="0" fontId="95" fillId="40" borderId="0" xfId="0" applyFont="1" applyFill="1" applyAlignment="1">
      <alignment horizontal="center"/>
    </xf>
    <xf numFmtId="0" fontId="95" fillId="41" borderId="36" xfId="0" applyFont="1" applyFill="1" applyBorder="1" applyAlignment="1">
      <alignment horizontal="center"/>
    </xf>
    <xf numFmtId="0" fontId="94" fillId="8" borderId="36" xfId="0" applyFont="1" applyFill="1" applyBorder="1"/>
    <xf numFmtId="181" fontId="94" fillId="0" borderId="38" xfId="8" applyNumberFormat="1" applyFont="1" applyBorder="1"/>
    <xf numFmtId="181" fontId="94" fillId="0" borderId="36" xfId="8" applyNumberFormat="1" applyFont="1" applyBorder="1"/>
    <xf numFmtId="0" fontId="94" fillId="0" borderId="46" xfId="0" applyFont="1" applyBorder="1"/>
    <xf numFmtId="0" fontId="94" fillId="0" borderId="47" xfId="0" applyFont="1" applyBorder="1"/>
    <xf numFmtId="0" fontId="94" fillId="0" borderId="48" xfId="0" applyFont="1" applyBorder="1"/>
    <xf numFmtId="10" fontId="94" fillId="0" borderId="41" xfId="0" applyNumberFormat="1" applyFont="1" applyBorder="1"/>
    <xf numFmtId="10" fontId="94" fillId="0" borderId="37" xfId="0" applyNumberFormat="1" applyFont="1" applyBorder="1"/>
    <xf numFmtId="10" fontId="94" fillId="0" borderId="38" xfId="0" applyNumberFormat="1" applyFont="1" applyBorder="1"/>
    <xf numFmtId="180" fontId="94" fillId="0" borderId="44" xfId="0" applyNumberFormat="1" applyFont="1" applyBorder="1"/>
    <xf numFmtId="37" fontId="94" fillId="8" borderId="36" xfId="8" applyNumberFormat="1" applyFont="1" applyFill="1" applyBorder="1"/>
    <xf numFmtId="3" fontId="94" fillId="0" borderId="41" xfId="0" applyNumberFormat="1" applyFont="1" applyBorder="1" applyAlignment="1">
      <alignment horizontal="center"/>
    </xf>
    <xf numFmtId="1" fontId="94" fillId="8" borderId="36" xfId="0" applyNumberFormat="1" applyFont="1" applyFill="1" applyBorder="1"/>
    <xf numFmtId="43" fontId="94" fillId="40" borderId="0" xfId="0" applyNumberFormat="1" applyFont="1" applyFill="1"/>
    <xf numFmtId="165" fontId="94" fillId="0" borderId="41" xfId="8" applyNumberFormat="1" applyFont="1" applyBorder="1"/>
    <xf numFmtId="165" fontId="94" fillId="0" borderId="37" xfId="8" applyNumberFormat="1" applyFont="1" applyBorder="1"/>
    <xf numFmtId="167" fontId="94" fillId="0" borderId="41" xfId="0" applyNumberFormat="1" applyFont="1" applyBorder="1"/>
    <xf numFmtId="167" fontId="94" fillId="0" borderId="37" xfId="0" applyNumberFormat="1" applyFont="1" applyBorder="1"/>
    <xf numFmtId="167" fontId="94" fillId="0" borderId="38" xfId="0" applyNumberFormat="1" applyFont="1" applyBorder="1"/>
    <xf numFmtId="165" fontId="94" fillId="42" borderId="38" xfId="8" applyNumberFormat="1" applyFont="1" applyFill="1" applyBorder="1"/>
    <xf numFmtId="165" fontId="94" fillId="42" borderId="37" xfId="8" applyNumberFormat="1" applyFont="1" applyFill="1" applyBorder="1"/>
    <xf numFmtId="165" fontId="94" fillId="42" borderId="41" xfId="8" applyNumberFormat="1" applyFont="1" applyFill="1" applyBorder="1"/>
    <xf numFmtId="0" fontId="48" fillId="0" borderId="0" xfId="32984"/>
    <xf numFmtId="0" fontId="2" fillId="0" borderId="0" xfId="51497"/>
    <xf numFmtId="0" fontId="72" fillId="0" borderId="0" xfId="51497" applyFont="1"/>
    <xf numFmtId="0" fontId="2" fillId="0" borderId="0" xfId="51497" applyFont="1"/>
    <xf numFmtId="174" fontId="94" fillId="0" borderId="0" xfId="0" applyNumberFormat="1" applyFont="1" applyBorder="1"/>
    <xf numFmtId="174" fontId="94" fillId="40" borderId="0" xfId="0" applyNumberFormat="1" applyFont="1" applyFill="1"/>
    <xf numFmtId="174" fontId="94" fillId="42" borderId="41" xfId="8" applyNumberFormat="1" applyFont="1" applyFill="1" applyBorder="1"/>
    <xf numFmtId="174" fontId="94" fillId="42" borderId="37" xfId="8" applyNumberFormat="1" applyFont="1" applyFill="1" applyBorder="1"/>
    <xf numFmtId="174" fontId="94" fillId="42" borderId="38" xfId="8" applyNumberFormat="1" applyFont="1" applyFill="1" applyBorder="1"/>
    <xf numFmtId="180" fontId="94" fillId="0" borderId="13" xfId="0" applyNumberFormat="1" applyFont="1" applyBorder="1"/>
    <xf numFmtId="180" fontId="94" fillId="0" borderId="43" xfId="0" applyNumberFormat="1" applyFont="1" applyBorder="1"/>
    <xf numFmtId="0" fontId="94" fillId="0" borderId="47" xfId="0" applyFont="1" applyBorder="1" applyAlignment="1">
      <alignment horizontal="right"/>
    </xf>
    <xf numFmtId="37" fontId="94" fillId="8" borderId="39" xfId="8" applyNumberFormat="1" applyFont="1" applyFill="1" applyBorder="1"/>
    <xf numFmtId="0" fontId="94" fillId="0" borderId="44" xfId="0" applyFont="1" applyBorder="1" applyAlignment="1">
      <alignment horizontal="right"/>
    </xf>
    <xf numFmtId="37" fontId="94" fillId="8" borderId="40" xfId="8" applyNumberFormat="1" applyFont="1" applyFill="1" applyBorder="1"/>
    <xf numFmtId="0" fontId="94" fillId="0" borderId="0" xfId="0" applyFont="1" applyBorder="1" applyAlignment="1">
      <alignment horizontal="right"/>
    </xf>
    <xf numFmtId="37" fontId="94" fillId="8" borderId="42" xfId="8" applyNumberFormat="1" applyFont="1" applyFill="1" applyBorder="1"/>
    <xf numFmtId="180" fontId="94" fillId="0" borderId="41" xfId="0" applyNumberFormat="1" applyFont="1" applyBorder="1"/>
    <xf numFmtId="0" fontId="94" fillId="40" borderId="0" xfId="0" applyFont="1" applyFill="1" applyAlignment="1">
      <alignment horizontal="right"/>
    </xf>
    <xf numFmtId="0" fontId="94" fillId="0" borderId="36" xfId="0" applyFont="1" applyBorder="1"/>
    <xf numFmtId="165" fontId="94" fillId="40" borderId="0" xfId="0" applyNumberFormat="1" applyFont="1" applyFill="1"/>
    <xf numFmtId="176" fontId="0" fillId="8" borderId="0" xfId="0" applyNumberFormat="1" applyFill="1"/>
    <xf numFmtId="0" fontId="47" fillId="5" borderId="26" xfId="52070" applyFont="1" applyFill="1" applyBorder="1" applyAlignment="1">
      <alignment horizontal="center" vertical="center"/>
    </xf>
    <xf numFmtId="0" fontId="46" fillId="0" borderId="25" xfId="52070" applyNumberFormat="1" applyFont="1" applyBorder="1" applyAlignment="1">
      <alignment horizontal="right" vertical="center"/>
    </xf>
    <xf numFmtId="0" fontId="46" fillId="6" borderId="25" xfId="52070" applyNumberFormat="1" applyFont="1" applyFill="1" applyBorder="1" applyAlignment="1">
      <alignment horizontal="right" vertical="center"/>
    </xf>
    <xf numFmtId="2" fontId="46" fillId="0" borderId="25" xfId="52070" applyNumberFormat="1" applyFont="1" applyBorder="1" applyAlignment="1">
      <alignment horizontal="right" vertical="center"/>
    </xf>
    <xf numFmtId="2" fontId="46" fillId="6" borderId="25" xfId="52070" applyNumberFormat="1" applyFont="1" applyFill="1" applyBorder="1" applyAlignment="1">
      <alignment horizontal="right" vertical="center"/>
    </xf>
    <xf numFmtId="172" fontId="46" fillId="0" borderId="25" xfId="52070" applyNumberFormat="1" applyFont="1" applyBorder="1" applyAlignment="1">
      <alignment horizontal="left" vertical="center"/>
    </xf>
    <xf numFmtId="172" fontId="46" fillId="6" borderId="25" xfId="52070" applyNumberFormat="1" applyFont="1" applyFill="1" applyBorder="1" applyAlignment="1">
      <alignment horizontal="left" vertical="center"/>
    </xf>
    <xf numFmtId="0" fontId="46" fillId="0" borderId="25" xfId="52070" applyNumberFormat="1" applyFont="1" applyBorder="1" applyAlignment="1">
      <alignment horizontal="left" vertical="center"/>
    </xf>
    <xf numFmtId="0" fontId="46" fillId="6" borderId="25" xfId="52070" applyNumberFormat="1" applyFont="1" applyFill="1" applyBorder="1" applyAlignment="1">
      <alignment horizontal="left" vertical="center"/>
    </xf>
    <xf numFmtId="171" fontId="46" fillId="6" borderId="25" xfId="52070" applyNumberFormat="1" applyFont="1" applyFill="1" applyBorder="1" applyAlignment="1">
      <alignment horizontal="left" vertical="center"/>
    </xf>
    <xf numFmtId="14" fontId="46" fillId="0" borderId="25" xfId="52070" applyNumberFormat="1" applyFont="1" applyBorder="1" applyAlignment="1">
      <alignment horizontal="right" vertical="center"/>
    </xf>
    <xf numFmtId="167" fontId="46" fillId="0" borderId="25" xfId="52070" applyNumberFormat="1" applyFont="1" applyBorder="1" applyAlignment="1">
      <alignment horizontal="left" vertical="center"/>
    </xf>
    <xf numFmtId="14" fontId="46" fillId="6" borderId="25" xfId="52070" applyNumberFormat="1" applyFont="1" applyFill="1" applyBorder="1" applyAlignment="1">
      <alignment horizontal="right" vertical="center"/>
    </xf>
    <xf numFmtId="167" fontId="46" fillId="6" borderId="25" xfId="52070" applyNumberFormat="1" applyFont="1" applyFill="1" applyBorder="1" applyAlignment="1">
      <alignment horizontal="left" vertical="center"/>
    </xf>
    <xf numFmtId="182" fontId="46" fillId="0" borderId="25" xfId="52070" applyNumberFormat="1" applyFont="1" applyBorder="1" applyAlignment="1">
      <alignment horizontal="right" vertical="center"/>
    </xf>
    <xf numFmtId="182" fontId="46" fillId="6" borderId="25" xfId="52070" applyNumberFormat="1" applyFont="1" applyFill="1" applyBorder="1" applyAlignment="1">
      <alignment horizontal="right" vertical="center"/>
    </xf>
    <xf numFmtId="14" fontId="0" fillId="0" borderId="0" xfId="1" applyNumberFormat="1" applyFont="1"/>
  </cellXfs>
  <cellStyles count="55788">
    <cellStyle name="%_Trading analysis " xfId="27521" xr:uid="{00000000-0005-0000-0000-000000000000}"/>
    <cellStyle name="_IAS BS MAY 2010 " xfId="27522" xr:uid="{00000000-0005-0000-0000-000001000000}"/>
    <cellStyle name="_Sirrah2_Trading analysis " xfId="27523" xr:uid="{00000000-0005-0000-0000-000002000000}"/>
    <cellStyle name="20% - Accent1" xfId="57" builtinId="30" customBuiltin="1"/>
    <cellStyle name="20% - Accent1 10" xfId="27568" xr:uid="{00000000-0005-0000-0000-000004000000}"/>
    <cellStyle name="20% - Accent1 10 2" xfId="27569" xr:uid="{00000000-0005-0000-0000-000005000000}"/>
    <cellStyle name="20% - Accent1 10 2 2" xfId="27570" xr:uid="{00000000-0005-0000-0000-000006000000}"/>
    <cellStyle name="20% - Accent1 10 2 2 2" xfId="27571" xr:uid="{00000000-0005-0000-0000-000007000000}"/>
    <cellStyle name="20% - Accent1 10 2 3" xfId="27572" xr:uid="{00000000-0005-0000-0000-000008000000}"/>
    <cellStyle name="20% - Accent1 10 3" xfId="27573" xr:uid="{00000000-0005-0000-0000-000009000000}"/>
    <cellStyle name="20% - Accent1 10 3 2" xfId="27574" xr:uid="{00000000-0005-0000-0000-00000A000000}"/>
    <cellStyle name="20% - Accent1 10 3 2 2" xfId="27575" xr:uid="{00000000-0005-0000-0000-00000B000000}"/>
    <cellStyle name="20% - Accent1 10 3 3" xfId="27576" xr:uid="{00000000-0005-0000-0000-00000C000000}"/>
    <cellStyle name="20% - Accent1 10 4" xfId="27577" xr:uid="{00000000-0005-0000-0000-00000D000000}"/>
    <cellStyle name="20% - Accent1 10 4 2" xfId="27578" xr:uid="{00000000-0005-0000-0000-00000E000000}"/>
    <cellStyle name="20% - Accent1 10 5" xfId="27579" xr:uid="{00000000-0005-0000-0000-00000F000000}"/>
    <cellStyle name="20% - Accent1 11" xfId="27580" xr:uid="{00000000-0005-0000-0000-000010000000}"/>
    <cellStyle name="20% - Accent1 11 2" xfId="27581" xr:uid="{00000000-0005-0000-0000-000011000000}"/>
    <cellStyle name="20% - Accent1 11 2 2" xfId="27582" xr:uid="{00000000-0005-0000-0000-000012000000}"/>
    <cellStyle name="20% - Accent1 11 3" xfId="27583" xr:uid="{00000000-0005-0000-0000-000013000000}"/>
    <cellStyle name="20% - Accent1 12" xfId="27584" xr:uid="{00000000-0005-0000-0000-000014000000}"/>
    <cellStyle name="20% - Accent1 12 2" xfId="27585" xr:uid="{00000000-0005-0000-0000-000015000000}"/>
    <cellStyle name="20% - Accent1 12 2 2" xfId="27586" xr:uid="{00000000-0005-0000-0000-000016000000}"/>
    <cellStyle name="20% - Accent1 12 3" xfId="27587" xr:uid="{00000000-0005-0000-0000-000017000000}"/>
    <cellStyle name="20% - Accent1 13" xfId="27588" xr:uid="{00000000-0005-0000-0000-000018000000}"/>
    <cellStyle name="20% - Accent1 13 2" xfId="27589" xr:uid="{00000000-0005-0000-0000-000019000000}"/>
    <cellStyle name="20% - Accent1 13 2 2" xfId="27590" xr:uid="{00000000-0005-0000-0000-00001A000000}"/>
    <cellStyle name="20% - Accent1 13 3" xfId="27591" xr:uid="{00000000-0005-0000-0000-00001B000000}"/>
    <cellStyle name="20% - Accent1 14" xfId="27592" xr:uid="{00000000-0005-0000-0000-00001C000000}"/>
    <cellStyle name="20% - Accent1 14 2" xfId="27593" xr:uid="{00000000-0005-0000-0000-00001D000000}"/>
    <cellStyle name="20% - Accent1 14 2 2" xfId="27594" xr:uid="{00000000-0005-0000-0000-00001E000000}"/>
    <cellStyle name="20% - Accent1 14 3" xfId="27595" xr:uid="{00000000-0005-0000-0000-00001F000000}"/>
    <cellStyle name="20% - Accent1 15" xfId="27596" xr:uid="{00000000-0005-0000-0000-000020000000}"/>
    <cellStyle name="20% - Accent1 15 2" xfId="27597" xr:uid="{00000000-0005-0000-0000-000021000000}"/>
    <cellStyle name="20% - Accent1 15 2 2" xfId="27598" xr:uid="{00000000-0005-0000-0000-000022000000}"/>
    <cellStyle name="20% - Accent1 15 3" xfId="27599" xr:uid="{00000000-0005-0000-0000-000023000000}"/>
    <cellStyle name="20% - Accent1 16" xfId="27600" xr:uid="{00000000-0005-0000-0000-000024000000}"/>
    <cellStyle name="20% - Accent1 16 2" xfId="27601" xr:uid="{00000000-0005-0000-0000-000025000000}"/>
    <cellStyle name="20% - Accent1 16 2 2" xfId="27602" xr:uid="{00000000-0005-0000-0000-000026000000}"/>
    <cellStyle name="20% - Accent1 16 2 2 2" xfId="27603" xr:uid="{00000000-0005-0000-0000-000027000000}"/>
    <cellStyle name="20% - Accent1 16 2 2 2 2" xfId="27604" xr:uid="{00000000-0005-0000-0000-000028000000}"/>
    <cellStyle name="20% - Accent1 16 2 2 2 2 2" xfId="27605" xr:uid="{00000000-0005-0000-0000-000029000000}"/>
    <cellStyle name="20% - Accent1 16 2 2 2 3" xfId="27606" xr:uid="{00000000-0005-0000-0000-00002A000000}"/>
    <cellStyle name="20% - Accent1 16 2 2 3" xfId="27607" xr:uid="{00000000-0005-0000-0000-00002B000000}"/>
    <cellStyle name="20% - Accent1 16 2 2 3 2" xfId="27608" xr:uid="{00000000-0005-0000-0000-00002C000000}"/>
    <cellStyle name="20% - Accent1 16 2 2 3 2 2" xfId="27609" xr:uid="{00000000-0005-0000-0000-00002D000000}"/>
    <cellStyle name="20% - Accent1 16 2 2 3 3" xfId="27610" xr:uid="{00000000-0005-0000-0000-00002E000000}"/>
    <cellStyle name="20% - Accent1 16 2 2 4" xfId="27611" xr:uid="{00000000-0005-0000-0000-00002F000000}"/>
    <cellStyle name="20% - Accent1 16 2 2 4 2" xfId="27612" xr:uid="{00000000-0005-0000-0000-000030000000}"/>
    <cellStyle name="20% - Accent1 16 2 2 5" xfId="27613" xr:uid="{00000000-0005-0000-0000-000031000000}"/>
    <cellStyle name="20% - Accent1 16 2 3" xfId="27614" xr:uid="{00000000-0005-0000-0000-000032000000}"/>
    <cellStyle name="20% - Accent1 16 2 3 2" xfId="27615" xr:uid="{00000000-0005-0000-0000-000033000000}"/>
    <cellStyle name="20% - Accent1 16 2 3 2 2" xfId="27616" xr:uid="{00000000-0005-0000-0000-000034000000}"/>
    <cellStyle name="20% - Accent1 16 2 3 2 2 2" xfId="27617" xr:uid="{00000000-0005-0000-0000-000035000000}"/>
    <cellStyle name="20% - Accent1 16 2 3 2 3" xfId="27618" xr:uid="{00000000-0005-0000-0000-000036000000}"/>
    <cellStyle name="20% - Accent1 16 2 3 3" xfId="27619" xr:uid="{00000000-0005-0000-0000-000037000000}"/>
    <cellStyle name="20% - Accent1 16 2 3 3 2" xfId="27620" xr:uid="{00000000-0005-0000-0000-000038000000}"/>
    <cellStyle name="20% - Accent1 16 2 3 3 2 2" xfId="27621" xr:uid="{00000000-0005-0000-0000-000039000000}"/>
    <cellStyle name="20% - Accent1 16 2 3 3 3" xfId="27622" xr:uid="{00000000-0005-0000-0000-00003A000000}"/>
    <cellStyle name="20% - Accent1 16 2 3 4" xfId="27623" xr:uid="{00000000-0005-0000-0000-00003B000000}"/>
    <cellStyle name="20% - Accent1 16 2 3 4 2" xfId="27624" xr:uid="{00000000-0005-0000-0000-00003C000000}"/>
    <cellStyle name="20% - Accent1 16 2 3 5" xfId="27625" xr:uid="{00000000-0005-0000-0000-00003D000000}"/>
    <cellStyle name="20% - Accent1 16 2 4" xfId="27626" xr:uid="{00000000-0005-0000-0000-00003E000000}"/>
    <cellStyle name="20% - Accent1 16 2 4 2" xfId="27627" xr:uid="{00000000-0005-0000-0000-00003F000000}"/>
    <cellStyle name="20% - Accent1 16 2 4 2 2" xfId="27628" xr:uid="{00000000-0005-0000-0000-000040000000}"/>
    <cellStyle name="20% - Accent1 16 2 4 2 2 2" xfId="27629" xr:uid="{00000000-0005-0000-0000-000041000000}"/>
    <cellStyle name="20% - Accent1 16 2 4 2 3" xfId="27630" xr:uid="{00000000-0005-0000-0000-000042000000}"/>
    <cellStyle name="20% - Accent1 16 2 4 3" xfId="27631" xr:uid="{00000000-0005-0000-0000-000043000000}"/>
    <cellStyle name="20% - Accent1 16 2 4 3 2" xfId="27632" xr:uid="{00000000-0005-0000-0000-000044000000}"/>
    <cellStyle name="20% - Accent1 16 2 4 3 2 2" xfId="27633" xr:uid="{00000000-0005-0000-0000-000045000000}"/>
    <cellStyle name="20% - Accent1 16 2 4 3 3" xfId="27634" xr:uid="{00000000-0005-0000-0000-000046000000}"/>
    <cellStyle name="20% - Accent1 16 2 4 4" xfId="27635" xr:uid="{00000000-0005-0000-0000-000047000000}"/>
    <cellStyle name="20% - Accent1 16 2 4 4 2" xfId="27636" xr:uid="{00000000-0005-0000-0000-000048000000}"/>
    <cellStyle name="20% - Accent1 16 2 4 5" xfId="27637" xr:uid="{00000000-0005-0000-0000-000049000000}"/>
    <cellStyle name="20% - Accent1 16 2 5" xfId="27638" xr:uid="{00000000-0005-0000-0000-00004A000000}"/>
    <cellStyle name="20% - Accent1 16 2 5 2" xfId="27639" xr:uid="{00000000-0005-0000-0000-00004B000000}"/>
    <cellStyle name="20% - Accent1 16 2 5 2 2" xfId="27640" xr:uid="{00000000-0005-0000-0000-00004C000000}"/>
    <cellStyle name="20% - Accent1 16 2 5 2 2 2" xfId="27641" xr:uid="{00000000-0005-0000-0000-00004D000000}"/>
    <cellStyle name="20% - Accent1 16 2 5 2 3" xfId="27642" xr:uid="{00000000-0005-0000-0000-00004E000000}"/>
    <cellStyle name="20% - Accent1 16 2 5 3" xfId="27643" xr:uid="{00000000-0005-0000-0000-00004F000000}"/>
    <cellStyle name="20% - Accent1 16 2 5 3 2" xfId="27644" xr:uid="{00000000-0005-0000-0000-000050000000}"/>
    <cellStyle name="20% - Accent1 16 2 5 4" xfId="27645" xr:uid="{00000000-0005-0000-0000-000051000000}"/>
    <cellStyle name="20% - Accent1 16 2 6" xfId="27646" xr:uid="{00000000-0005-0000-0000-000052000000}"/>
    <cellStyle name="20% - Accent1 16 2 6 2" xfId="27647" xr:uid="{00000000-0005-0000-0000-000053000000}"/>
    <cellStyle name="20% - Accent1 16 2 6 2 2" xfId="27648" xr:uid="{00000000-0005-0000-0000-000054000000}"/>
    <cellStyle name="20% - Accent1 16 2 6 3" xfId="27649" xr:uid="{00000000-0005-0000-0000-000055000000}"/>
    <cellStyle name="20% - Accent1 16 2 7" xfId="27650" xr:uid="{00000000-0005-0000-0000-000056000000}"/>
    <cellStyle name="20% - Accent1 16 2 7 2" xfId="27651" xr:uid="{00000000-0005-0000-0000-000057000000}"/>
    <cellStyle name="20% - Accent1 16 2 8" xfId="27652" xr:uid="{00000000-0005-0000-0000-000058000000}"/>
    <cellStyle name="20% - Accent1 16 3" xfId="27653" xr:uid="{00000000-0005-0000-0000-000059000000}"/>
    <cellStyle name="20% - Accent1 16 3 2" xfId="27654" xr:uid="{00000000-0005-0000-0000-00005A000000}"/>
    <cellStyle name="20% - Accent1 16 3 2 2" xfId="27655" xr:uid="{00000000-0005-0000-0000-00005B000000}"/>
    <cellStyle name="20% - Accent1 16 3 2 2 2" xfId="27656" xr:uid="{00000000-0005-0000-0000-00005C000000}"/>
    <cellStyle name="20% - Accent1 16 3 2 3" xfId="27657" xr:uid="{00000000-0005-0000-0000-00005D000000}"/>
    <cellStyle name="20% - Accent1 16 3 3" xfId="27658" xr:uid="{00000000-0005-0000-0000-00005E000000}"/>
    <cellStyle name="20% - Accent1 16 3 3 2" xfId="27659" xr:uid="{00000000-0005-0000-0000-00005F000000}"/>
    <cellStyle name="20% - Accent1 16 3 3 2 2" xfId="27660" xr:uid="{00000000-0005-0000-0000-000060000000}"/>
    <cellStyle name="20% - Accent1 16 3 3 3" xfId="27661" xr:uid="{00000000-0005-0000-0000-000061000000}"/>
    <cellStyle name="20% - Accent1 16 3 4" xfId="27662" xr:uid="{00000000-0005-0000-0000-000062000000}"/>
    <cellStyle name="20% - Accent1 16 3 4 2" xfId="27663" xr:uid="{00000000-0005-0000-0000-000063000000}"/>
    <cellStyle name="20% - Accent1 16 3 4 2 2" xfId="27664" xr:uid="{00000000-0005-0000-0000-000064000000}"/>
    <cellStyle name="20% - Accent1 16 3 4 3" xfId="27665" xr:uid="{00000000-0005-0000-0000-000065000000}"/>
    <cellStyle name="20% - Accent1 16 3 5" xfId="27666" xr:uid="{00000000-0005-0000-0000-000066000000}"/>
    <cellStyle name="20% - Accent1 16 3 5 2" xfId="27667" xr:uid="{00000000-0005-0000-0000-000067000000}"/>
    <cellStyle name="20% - Accent1 16 3 6" xfId="27668" xr:uid="{00000000-0005-0000-0000-000068000000}"/>
    <cellStyle name="20% - Accent1 16 4" xfId="27669" xr:uid="{00000000-0005-0000-0000-000069000000}"/>
    <cellStyle name="20% - Accent1 16 4 2" xfId="27670" xr:uid="{00000000-0005-0000-0000-00006A000000}"/>
    <cellStyle name="20% - Accent1 16 4 2 2" xfId="27671" xr:uid="{00000000-0005-0000-0000-00006B000000}"/>
    <cellStyle name="20% - Accent1 16 4 2 2 2" xfId="27672" xr:uid="{00000000-0005-0000-0000-00006C000000}"/>
    <cellStyle name="20% - Accent1 16 4 2 3" xfId="27673" xr:uid="{00000000-0005-0000-0000-00006D000000}"/>
    <cellStyle name="20% - Accent1 16 4 3" xfId="27674" xr:uid="{00000000-0005-0000-0000-00006E000000}"/>
    <cellStyle name="20% - Accent1 16 4 3 2" xfId="27675" xr:uid="{00000000-0005-0000-0000-00006F000000}"/>
    <cellStyle name="20% - Accent1 16 4 3 2 2" xfId="27676" xr:uid="{00000000-0005-0000-0000-000070000000}"/>
    <cellStyle name="20% - Accent1 16 4 3 3" xfId="27677" xr:uid="{00000000-0005-0000-0000-000071000000}"/>
    <cellStyle name="20% - Accent1 16 4 4" xfId="27678" xr:uid="{00000000-0005-0000-0000-000072000000}"/>
    <cellStyle name="20% - Accent1 16 4 4 2" xfId="27679" xr:uid="{00000000-0005-0000-0000-000073000000}"/>
    <cellStyle name="20% - Accent1 16 4 5" xfId="27680" xr:uid="{00000000-0005-0000-0000-000074000000}"/>
    <cellStyle name="20% - Accent1 16 5" xfId="27681" xr:uid="{00000000-0005-0000-0000-000075000000}"/>
    <cellStyle name="20% - Accent1 16 5 2" xfId="27682" xr:uid="{00000000-0005-0000-0000-000076000000}"/>
    <cellStyle name="20% - Accent1 16 5 2 2" xfId="27683" xr:uid="{00000000-0005-0000-0000-000077000000}"/>
    <cellStyle name="20% - Accent1 16 5 2 2 2" xfId="27684" xr:uid="{00000000-0005-0000-0000-000078000000}"/>
    <cellStyle name="20% - Accent1 16 5 2 3" xfId="27685" xr:uid="{00000000-0005-0000-0000-000079000000}"/>
    <cellStyle name="20% - Accent1 16 5 3" xfId="27686" xr:uid="{00000000-0005-0000-0000-00007A000000}"/>
    <cellStyle name="20% - Accent1 16 5 3 2" xfId="27687" xr:uid="{00000000-0005-0000-0000-00007B000000}"/>
    <cellStyle name="20% - Accent1 16 5 3 2 2" xfId="27688" xr:uid="{00000000-0005-0000-0000-00007C000000}"/>
    <cellStyle name="20% - Accent1 16 5 3 3" xfId="27689" xr:uid="{00000000-0005-0000-0000-00007D000000}"/>
    <cellStyle name="20% - Accent1 16 5 4" xfId="27690" xr:uid="{00000000-0005-0000-0000-00007E000000}"/>
    <cellStyle name="20% - Accent1 16 5 4 2" xfId="27691" xr:uid="{00000000-0005-0000-0000-00007F000000}"/>
    <cellStyle name="20% - Accent1 16 5 5" xfId="27692" xr:uid="{00000000-0005-0000-0000-000080000000}"/>
    <cellStyle name="20% - Accent1 16 6" xfId="27693" xr:uid="{00000000-0005-0000-0000-000081000000}"/>
    <cellStyle name="20% - Accent1 16 6 2" xfId="27694" xr:uid="{00000000-0005-0000-0000-000082000000}"/>
    <cellStyle name="20% - Accent1 16 6 2 2" xfId="27695" xr:uid="{00000000-0005-0000-0000-000083000000}"/>
    <cellStyle name="20% - Accent1 16 6 2 2 2" xfId="27696" xr:uid="{00000000-0005-0000-0000-000084000000}"/>
    <cellStyle name="20% - Accent1 16 6 2 3" xfId="27697" xr:uid="{00000000-0005-0000-0000-000085000000}"/>
    <cellStyle name="20% - Accent1 16 6 3" xfId="27698" xr:uid="{00000000-0005-0000-0000-000086000000}"/>
    <cellStyle name="20% - Accent1 16 6 3 2" xfId="27699" xr:uid="{00000000-0005-0000-0000-000087000000}"/>
    <cellStyle name="20% - Accent1 16 6 4" xfId="27700" xr:uid="{00000000-0005-0000-0000-000088000000}"/>
    <cellStyle name="20% - Accent1 16 7" xfId="27701" xr:uid="{00000000-0005-0000-0000-000089000000}"/>
    <cellStyle name="20% - Accent1 16 7 2" xfId="27702" xr:uid="{00000000-0005-0000-0000-00008A000000}"/>
    <cellStyle name="20% - Accent1 16 7 2 2" xfId="27703" xr:uid="{00000000-0005-0000-0000-00008B000000}"/>
    <cellStyle name="20% - Accent1 16 7 3" xfId="27704" xr:uid="{00000000-0005-0000-0000-00008C000000}"/>
    <cellStyle name="20% - Accent1 16 8" xfId="27705" xr:uid="{00000000-0005-0000-0000-00008D000000}"/>
    <cellStyle name="20% - Accent1 16 8 2" xfId="27706" xr:uid="{00000000-0005-0000-0000-00008E000000}"/>
    <cellStyle name="20% - Accent1 16 9" xfId="27707" xr:uid="{00000000-0005-0000-0000-00008F000000}"/>
    <cellStyle name="20% - Accent1 17" xfId="27708" xr:uid="{00000000-0005-0000-0000-000090000000}"/>
    <cellStyle name="20% - Accent1 17 2" xfId="27709" xr:uid="{00000000-0005-0000-0000-000091000000}"/>
    <cellStyle name="20% - Accent1 17 2 2" xfId="27710" xr:uid="{00000000-0005-0000-0000-000092000000}"/>
    <cellStyle name="20% - Accent1 17 2 2 2" xfId="27711" xr:uid="{00000000-0005-0000-0000-000093000000}"/>
    <cellStyle name="20% - Accent1 17 2 2 2 2" xfId="27712" xr:uid="{00000000-0005-0000-0000-000094000000}"/>
    <cellStyle name="20% - Accent1 17 2 2 3" xfId="27713" xr:uid="{00000000-0005-0000-0000-000095000000}"/>
    <cellStyle name="20% - Accent1 17 2 3" xfId="27714" xr:uid="{00000000-0005-0000-0000-000096000000}"/>
    <cellStyle name="20% - Accent1 17 2 3 2" xfId="27715" xr:uid="{00000000-0005-0000-0000-000097000000}"/>
    <cellStyle name="20% - Accent1 17 2 3 2 2" xfId="27716" xr:uid="{00000000-0005-0000-0000-000098000000}"/>
    <cellStyle name="20% - Accent1 17 2 3 3" xfId="27717" xr:uid="{00000000-0005-0000-0000-000099000000}"/>
    <cellStyle name="20% - Accent1 17 2 4" xfId="27718" xr:uid="{00000000-0005-0000-0000-00009A000000}"/>
    <cellStyle name="20% - Accent1 17 2 4 2" xfId="27719" xr:uid="{00000000-0005-0000-0000-00009B000000}"/>
    <cellStyle name="20% - Accent1 17 2 5" xfId="27720" xr:uid="{00000000-0005-0000-0000-00009C000000}"/>
    <cellStyle name="20% - Accent1 17 3" xfId="27721" xr:uid="{00000000-0005-0000-0000-00009D000000}"/>
    <cellStyle name="20% - Accent1 17 3 2" xfId="27722" xr:uid="{00000000-0005-0000-0000-00009E000000}"/>
    <cellStyle name="20% - Accent1 17 3 2 2" xfId="27723" xr:uid="{00000000-0005-0000-0000-00009F000000}"/>
    <cellStyle name="20% - Accent1 17 3 2 2 2" xfId="27724" xr:uid="{00000000-0005-0000-0000-0000A0000000}"/>
    <cellStyle name="20% - Accent1 17 3 2 3" xfId="27725" xr:uid="{00000000-0005-0000-0000-0000A1000000}"/>
    <cellStyle name="20% - Accent1 17 3 3" xfId="27726" xr:uid="{00000000-0005-0000-0000-0000A2000000}"/>
    <cellStyle name="20% - Accent1 17 3 3 2" xfId="27727" xr:uid="{00000000-0005-0000-0000-0000A3000000}"/>
    <cellStyle name="20% - Accent1 17 3 3 2 2" xfId="27728" xr:uid="{00000000-0005-0000-0000-0000A4000000}"/>
    <cellStyle name="20% - Accent1 17 3 3 3" xfId="27729" xr:uid="{00000000-0005-0000-0000-0000A5000000}"/>
    <cellStyle name="20% - Accent1 17 3 4" xfId="27730" xr:uid="{00000000-0005-0000-0000-0000A6000000}"/>
    <cellStyle name="20% - Accent1 17 3 4 2" xfId="27731" xr:uid="{00000000-0005-0000-0000-0000A7000000}"/>
    <cellStyle name="20% - Accent1 17 3 5" xfId="27732" xr:uid="{00000000-0005-0000-0000-0000A8000000}"/>
    <cellStyle name="20% - Accent1 17 4" xfId="27733" xr:uid="{00000000-0005-0000-0000-0000A9000000}"/>
    <cellStyle name="20% - Accent1 17 4 2" xfId="27734" xr:uid="{00000000-0005-0000-0000-0000AA000000}"/>
    <cellStyle name="20% - Accent1 17 4 2 2" xfId="27735" xr:uid="{00000000-0005-0000-0000-0000AB000000}"/>
    <cellStyle name="20% - Accent1 17 4 2 2 2" xfId="27736" xr:uid="{00000000-0005-0000-0000-0000AC000000}"/>
    <cellStyle name="20% - Accent1 17 4 2 3" xfId="27737" xr:uid="{00000000-0005-0000-0000-0000AD000000}"/>
    <cellStyle name="20% - Accent1 17 4 3" xfId="27738" xr:uid="{00000000-0005-0000-0000-0000AE000000}"/>
    <cellStyle name="20% - Accent1 17 4 3 2" xfId="27739" xr:uid="{00000000-0005-0000-0000-0000AF000000}"/>
    <cellStyle name="20% - Accent1 17 4 3 2 2" xfId="27740" xr:uid="{00000000-0005-0000-0000-0000B0000000}"/>
    <cellStyle name="20% - Accent1 17 4 3 3" xfId="27741" xr:uid="{00000000-0005-0000-0000-0000B1000000}"/>
    <cellStyle name="20% - Accent1 17 4 4" xfId="27742" xr:uid="{00000000-0005-0000-0000-0000B2000000}"/>
    <cellStyle name="20% - Accent1 17 4 4 2" xfId="27743" xr:uid="{00000000-0005-0000-0000-0000B3000000}"/>
    <cellStyle name="20% - Accent1 17 4 5" xfId="27744" xr:uid="{00000000-0005-0000-0000-0000B4000000}"/>
    <cellStyle name="20% - Accent1 17 5" xfId="27745" xr:uid="{00000000-0005-0000-0000-0000B5000000}"/>
    <cellStyle name="20% - Accent1 17 5 2" xfId="27746" xr:uid="{00000000-0005-0000-0000-0000B6000000}"/>
    <cellStyle name="20% - Accent1 17 5 2 2" xfId="27747" xr:uid="{00000000-0005-0000-0000-0000B7000000}"/>
    <cellStyle name="20% - Accent1 17 5 2 2 2" xfId="27748" xr:uid="{00000000-0005-0000-0000-0000B8000000}"/>
    <cellStyle name="20% - Accent1 17 5 2 3" xfId="27749" xr:uid="{00000000-0005-0000-0000-0000B9000000}"/>
    <cellStyle name="20% - Accent1 17 5 3" xfId="27750" xr:uid="{00000000-0005-0000-0000-0000BA000000}"/>
    <cellStyle name="20% - Accent1 17 5 3 2" xfId="27751" xr:uid="{00000000-0005-0000-0000-0000BB000000}"/>
    <cellStyle name="20% - Accent1 17 5 4" xfId="27752" xr:uid="{00000000-0005-0000-0000-0000BC000000}"/>
    <cellStyle name="20% - Accent1 17 6" xfId="27753" xr:uid="{00000000-0005-0000-0000-0000BD000000}"/>
    <cellStyle name="20% - Accent1 17 6 2" xfId="27754" xr:uid="{00000000-0005-0000-0000-0000BE000000}"/>
    <cellStyle name="20% - Accent1 17 6 2 2" xfId="27755" xr:uid="{00000000-0005-0000-0000-0000BF000000}"/>
    <cellStyle name="20% - Accent1 17 6 3" xfId="27756" xr:uid="{00000000-0005-0000-0000-0000C0000000}"/>
    <cellStyle name="20% - Accent1 17 7" xfId="27757" xr:uid="{00000000-0005-0000-0000-0000C1000000}"/>
    <cellStyle name="20% - Accent1 17 7 2" xfId="27758" xr:uid="{00000000-0005-0000-0000-0000C2000000}"/>
    <cellStyle name="20% - Accent1 17 8" xfId="27759" xr:uid="{00000000-0005-0000-0000-0000C3000000}"/>
    <cellStyle name="20% - Accent1 18" xfId="27760" xr:uid="{00000000-0005-0000-0000-0000C4000000}"/>
    <cellStyle name="20% - Accent1 18 2" xfId="27761" xr:uid="{00000000-0005-0000-0000-0000C5000000}"/>
    <cellStyle name="20% - Accent1 18 2 2" xfId="27762" xr:uid="{00000000-0005-0000-0000-0000C6000000}"/>
    <cellStyle name="20% - Accent1 18 2 2 2" xfId="27763" xr:uid="{00000000-0005-0000-0000-0000C7000000}"/>
    <cellStyle name="20% - Accent1 18 2 2 2 2" xfId="27764" xr:uid="{00000000-0005-0000-0000-0000C8000000}"/>
    <cellStyle name="20% - Accent1 18 2 2 3" xfId="27765" xr:uid="{00000000-0005-0000-0000-0000C9000000}"/>
    <cellStyle name="20% - Accent1 18 2 3" xfId="27766" xr:uid="{00000000-0005-0000-0000-0000CA000000}"/>
    <cellStyle name="20% - Accent1 18 2 3 2" xfId="27767" xr:uid="{00000000-0005-0000-0000-0000CB000000}"/>
    <cellStyle name="20% - Accent1 18 2 4" xfId="27768" xr:uid="{00000000-0005-0000-0000-0000CC000000}"/>
    <cellStyle name="20% - Accent1 18 3" xfId="27769" xr:uid="{00000000-0005-0000-0000-0000CD000000}"/>
    <cellStyle name="20% - Accent1 18 3 2" xfId="27770" xr:uid="{00000000-0005-0000-0000-0000CE000000}"/>
    <cellStyle name="20% - Accent1 18 3 2 2" xfId="27771" xr:uid="{00000000-0005-0000-0000-0000CF000000}"/>
    <cellStyle name="20% - Accent1 18 3 2 2 2" xfId="27772" xr:uid="{00000000-0005-0000-0000-0000D0000000}"/>
    <cellStyle name="20% - Accent1 18 3 2 3" xfId="27773" xr:uid="{00000000-0005-0000-0000-0000D1000000}"/>
    <cellStyle name="20% - Accent1 18 3 3" xfId="27774" xr:uid="{00000000-0005-0000-0000-0000D2000000}"/>
    <cellStyle name="20% - Accent1 18 3 3 2" xfId="27775" xr:uid="{00000000-0005-0000-0000-0000D3000000}"/>
    <cellStyle name="20% - Accent1 18 3 4" xfId="27776" xr:uid="{00000000-0005-0000-0000-0000D4000000}"/>
    <cellStyle name="20% - Accent1 18 4" xfId="27777" xr:uid="{00000000-0005-0000-0000-0000D5000000}"/>
    <cellStyle name="20% - Accent1 18 4 2" xfId="27778" xr:uid="{00000000-0005-0000-0000-0000D6000000}"/>
    <cellStyle name="20% - Accent1 18 4 2 2" xfId="27779" xr:uid="{00000000-0005-0000-0000-0000D7000000}"/>
    <cellStyle name="20% - Accent1 18 4 3" xfId="27780" xr:uid="{00000000-0005-0000-0000-0000D8000000}"/>
    <cellStyle name="20% - Accent1 18 5" xfId="27781" xr:uid="{00000000-0005-0000-0000-0000D9000000}"/>
    <cellStyle name="20% - Accent1 18 5 2" xfId="27782" xr:uid="{00000000-0005-0000-0000-0000DA000000}"/>
    <cellStyle name="20% - Accent1 18 6" xfId="27783" xr:uid="{00000000-0005-0000-0000-0000DB000000}"/>
    <cellStyle name="20% - Accent1 19" xfId="27784" xr:uid="{00000000-0005-0000-0000-0000DC000000}"/>
    <cellStyle name="20% - Accent1 19 2" xfId="27785" xr:uid="{00000000-0005-0000-0000-0000DD000000}"/>
    <cellStyle name="20% - Accent1 19 2 2" xfId="27786" xr:uid="{00000000-0005-0000-0000-0000DE000000}"/>
    <cellStyle name="20% - Accent1 19 3" xfId="27787" xr:uid="{00000000-0005-0000-0000-0000DF000000}"/>
    <cellStyle name="20% - Accent1 2" xfId="83" xr:uid="{00000000-0005-0000-0000-0000E0000000}"/>
    <cellStyle name="20% - Accent1 2 10" xfId="995" xr:uid="{00000000-0005-0000-0000-0000E1000000}"/>
    <cellStyle name="20% - Accent1 2 10 10" xfId="44794" xr:uid="{00000000-0005-0000-0000-0000E2000000}"/>
    <cellStyle name="20% - Accent1 2 10 11" xfId="50272" xr:uid="{00000000-0005-0000-0000-0000E3000000}"/>
    <cellStyle name="20% - Accent1 2 10 2" xfId="2756" xr:uid="{00000000-0005-0000-0000-0000E4000000}"/>
    <cellStyle name="20% - Accent1 2 10 2 2" xfId="8236" xr:uid="{00000000-0005-0000-0000-0000E5000000}"/>
    <cellStyle name="20% - Accent1 2 10 2 3" xfId="13712" xr:uid="{00000000-0005-0000-0000-0000E6000000}"/>
    <cellStyle name="20% - Accent1 2 10 2 4" xfId="19188" xr:uid="{00000000-0005-0000-0000-0000E7000000}"/>
    <cellStyle name="20% - Accent1 2 10 2 5" xfId="24664" xr:uid="{00000000-0005-0000-0000-0000E8000000}"/>
    <cellStyle name="20% - Accent1 2 10 2 6" xfId="36460" xr:uid="{00000000-0005-0000-0000-0000E9000000}"/>
    <cellStyle name="20% - Accent1 2 10 2 7" xfId="41937" xr:uid="{00000000-0005-0000-0000-0000EA000000}"/>
    <cellStyle name="20% - Accent1 2 10 2 8" xfId="47414" xr:uid="{00000000-0005-0000-0000-0000EB000000}"/>
    <cellStyle name="20% - Accent1 2 10 2 9" xfId="52932" xr:uid="{00000000-0005-0000-0000-0000EC000000}"/>
    <cellStyle name="20% - Accent1 2 10 3" xfId="4528" xr:uid="{00000000-0005-0000-0000-0000ED000000}"/>
    <cellStyle name="20% - Accent1 2 10 3 2" xfId="10008" xr:uid="{00000000-0005-0000-0000-0000EE000000}"/>
    <cellStyle name="20% - Accent1 2 10 3 3" xfId="15484" xr:uid="{00000000-0005-0000-0000-0000EF000000}"/>
    <cellStyle name="20% - Accent1 2 10 3 4" xfId="20960" xr:uid="{00000000-0005-0000-0000-0000F0000000}"/>
    <cellStyle name="20% - Accent1 2 10 3 5" xfId="26436" xr:uid="{00000000-0005-0000-0000-0000F1000000}"/>
    <cellStyle name="20% - Accent1 2 10 3 6" xfId="38232" xr:uid="{00000000-0005-0000-0000-0000F2000000}"/>
    <cellStyle name="20% - Accent1 2 10 3 7" xfId="43709" xr:uid="{00000000-0005-0000-0000-0000F3000000}"/>
    <cellStyle name="20% - Accent1 2 10 3 8" xfId="49186" xr:uid="{00000000-0005-0000-0000-0000F4000000}"/>
    <cellStyle name="20% - Accent1 2 10 3 9" xfId="54704" xr:uid="{00000000-0005-0000-0000-0000F5000000}"/>
    <cellStyle name="20% - Accent1 2 10 4" xfId="5613" xr:uid="{00000000-0005-0000-0000-0000F6000000}"/>
    <cellStyle name="20% - Accent1 2 10 5" xfId="11093" xr:uid="{00000000-0005-0000-0000-0000F7000000}"/>
    <cellStyle name="20% - Accent1 2 10 6" xfId="16569" xr:uid="{00000000-0005-0000-0000-0000F8000000}"/>
    <cellStyle name="20% - Accent1 2 10 7" xfId="22045" xr:uid="{00000000-0005-0000-0000-0000F9000000}"/>
    <cellStyle name="20% - Accent1 2 10 8" xfId="33840" xr:uid="{00000000-0005-0000-0000-0000FA000000}"/>
    <cellStyle name="20% - Accent1 2 10 9" xfId="39317" xr:uid="{00000000-0005-0000-0000-0000FB000000}"/>
    <cellStyle name="20% - Accent1 2 11" xfId="1012" xr:uid="{00000000-0005-0000-0000-0000FC000000}"/>
    <cellStyle name="20% - Accent1 2 11 10" xfId="44795" xr:uid="{00000000-0005-0000-0000-0000FD000000}"/>
    <cellStyle name="20% - Accent1 2 11 11" xfId="50273" xr:uid="{00000000-0005-0000-0000-0000FE000000}"/>
    <cellStyle name="20% - Accent1 2 11 2" xfId="2773" xr:uid="{00000000-0005-0000-0000-0000FF000000}"/>
    <cellStyle name="20% - Accent1 2 11 2 2" xfId="8253" xr:uid="{00000000-0005-0000-0000-000000010000}"/>
    <cellStyle name="20% - Accent1 2 11 2 3" xfId="13729" xr:uid="{00000000-0005-0000-0000-000001010000}"/>
    <cellStyle name="20% - Accent1 2 11 2 4" xfId="19205" xr:uid="{00000000-0005-0000-0000-000002010000}"/>
    <cellStyle name="20% - Accent1 2 11 2 5" xfId="24681" xr:uid="{00000000-0005-0000-0000-000003010000}"/>
    <cellStyle name="20% - Accent1 2 11 2 6" xfId="36477" xr:uid="{00000000-0005-0000-0000-000004010000}"/>
    <cellStyle name="20% - Accent1 2 11 2 7" xfId="41954" xr:uid="{00000000-0005-0000-0000-000005010000}"/>
    <cellStyle name="20% - Accent1 2 11 2 8" xfId="47431" xr:uid="{00000000-0005-0000-0000-000006010000}"/>
    <cellStyle name="20% - Accent1 2 11 2 9" xfId="52949" xr:uid="{00000000-0005-0000-0000-000007010000}"/>
    <cellStyle name="20% - Accent1 2 11 3" xfId="4545" xr:uid="{00000000-0005-0000-0000-000008010000}"/>
    <cellStyle name="20% - Accent1 2 11 3 2" xfId="10025" xr:uid="{00000000-0005-0000-0000-000009010000}"/>
    <cellStyle name="20% - Accent1 2 11 3 3" xfId="15501" xr:uid="{00000000-0005-0000-0000-00000A010000}"/>
    <cellStyle name="20% - Accent1 2 11 3 4" xfId="20977" xr:uid="{00000000-0005-0000-0000-00000B010000}"/>
    <cellStyle name="20% - Accent1 2 11 3 5" xfId="26453" xr:uid="{00000000-0005-0000-0000-00000C010000}"/>
    <cellStyle name="20% - Accent1 2 11 3 6" xfId="38249" xr:uid="{00000000-0005-0000-0000-00000D010000}"/>
    <cellStyle name="20% - Accent1 2 11 3 7" xfId="43726" xr:uid="{00000000-0005-0000-0000-00000E010000}"/>
    <cellStyle name="20% - Accent1 2 11 3 8" xfId="49203" xr:uid="{00000000-0005-0000-0000-00000F010000}"/>
    <cellStyle name="20% - Accent1 2 11 3 9" xfId="54721" xr:uid="{00000000-0005-0000-0000-000010010000}"/>
    <cellStyle name="20% - Accent1 2 11 4" xfId="5614" xr:uid="{00000000-0005-0000-0000-000011010000}"/>
    <cellStyle name="20% - Accent1 2 11 5" xfId="11094" xr:uid="{00000000-0005-0000-0000-000012010000}"/>
    <cellStyle name="20% - Accent1 2 11 6" xfId="16570" xr:uid="{00000000-0005-0000-0000-000013010000}"/>
    <cellStyle name="20% - Accent1 2 11 7" xfId="22046" xr:uid="{00000000-0005-0000-0000-000014010000}"/>
    <cellStyle name="20% - Accent1 2 11 8" xfId="33841" xr:uid="{00000000-0005-0000-0000-000015010000}"/>
    <cellStyle name="20% - Accent1 2 11 9" xfId="39318" xr:uid="{00000000-0005-0000-0000-000016010000}"/>
    <cellStyle name="20% - Accent1 2 12" xfId="1029" xr:uid="{00000000-0005-0000-0000-000017010000}"/>
    <cellStyle name="20% - Accent1 2 12 10" xfId="44796" xr:uid="{00000000-0005-0000-0000-000018010000}"/>
    <cellStyle name="20% - Accent1 2 12 11" xfId="50274" xr:uid="{00000000-0005-0000-0000-000019010000}"/>
    <cellStyle name="20% - Accent1 2 12 2" xfId="2790" xr:uid="{00000000-0005-0000-0000-00001A010000}"/>
    <cellStyle name="20% - Accent1 2 12 2 2" xfId="8270" xr:uid="{00000000-0005-0000-0000-00001B010000}"/>
    <cellStyle name="20% - Accent1 2 12 2 3" xfId="13746" xr:uid="{00000000-0005-0000-0000-00001C010000}"/>
    <cellStyle name="20% - Accent1 2 12 2 4" xfId="19222" xr:uid="{00000000-0005-0000-0000-00001D010000}"/>
    <cellStyle name="20% - Accent1 2 12 2 5" xfId="24698" xr:uid="{00000000-0005-0000-0000-00001E010000}"/>
    <cellStyle name="20% - Accent1 2 12 2 6" xfId="36494" xr:uid="{00000000-0005-0000-0000-00001F010000}"/>
    <cellStyle name="20% - Accent1 2 12 2 7" xfId="41971" xr:uid="{00000000-0005-0000-0000-000020010000}"/>
    <cellStyle name="20% - Accent1 2 12 2 8" xfId="47448" xr:uid="{00000000-0005-0000-0000-000021010000}"/>
    <cellStyle name="20% - Accent1 2 12 2 9" xfId="52966" xr:uid="{00000000-0005-0000-0000-000022010000}"/>
    <cellStyle name="20% - Accent1 2 12 3" xfId="4562" xr:uid="{00000000-0005-0000-0000-000023010000}"/>
    <cellStyle name="20% - Accent1 2 12 3 2" xfId="10042" xr:uid="{00000000-0005-0000-0000-000024010000}"/>
    <cellStyle name="20% - Accent1 2 12 3 3" xfId="15518" xr:uid="{00000000-0005-0000-0000-000025010000}"/>
    <cellStyle name="20% - Accent1 2 12 3 4" xfId="20994" xr:uid="{00000000-0005-0000-0000-000026010000}"/>
    <cellStyle name="20% - Accent1 2 12 3 5" xfId="26470" xr:uid="{00000000-0005-0000-0000-000027010000}"/>
    <cellStyle name="20% - Accent1 2 12 3 6" xfId="38266" xr:uid="{00000000-0005-0000-0000-000028010000}"/>
    <cellStyle name="20% - Accent1 2 12 3 7" xfId="43743" xr:uid="{00000000-0005-0000-0000-000029010000}"/>
    <cellStyle name="20% - Accent1 2 12 3 8" xfId="49220" xr:uid="{00000000-0005-0000-0000-00002A010000}"/>
    <cellStyle name="20% - Accent1 2 12 3 9" xfId="54738" xr:uid="{00000000-0005-0000-0000-00002B010000}"/>
    <cellStyle name="20% - Accent1 2 12 4" xfId="5615" xr:uid="{00000000-0005-0000-0000-00002C010000}"/>
    <cellStyle name="20% - Accent1 2 12 5" xfId="11095" xr:uid="{00000000-0005-0000-0000-00002D010000}"/>
    <cellStyle name="20% - Accent1 2 12 6" xfId="16571" xr:uid="{00000000-0005-0000-0000-00002E010000}"/>
    <cellStyle name="20% - Accent1 2 12 7" xfId="22047" xr:uid="{00000000-0005-0000-0000-00002F010000}"/>
    <cellStyle name="20% - Accent1 2 12 8" xfId="33842" xr:uid="{00000000-0005-0000-0000-000030010000}"/>
    <cellStyle name="20% - Accent1 2 12 9" xfId="39319" xr:uid="{00000000-0005-0000-0000-000031010000}"/>
    <cellStyle name="20% - Accent1 2 13" xfId="1201" xr:uid="{00000000-0005-0000-0000-000032010000}"/>
    <cellStyle name="20% - Accent1 2 13 10" xfId="44797" xr:uid="{00000000-0005-0000-0000-000033010000}"/>
    <cellStyle name="20% - Accent1 2 13 11" xfId="50275" xr:uid="{00000000-0005-0000-0000-000034010000}"/>
    <cellStyle name="20% - Accent1 2 13 2" xfId="2962" xr:uid="{00000000-0005-0000-0000-000035010000}"/>
    <cellStyle name="20% - Accent1 2 13 2 2" xfId="8442" xr:uid="{00000000-0005-0000-0000-000036010000}"/>
    <cellStyle name="20% - Accent1 2 13 2 3" xfId="13918" xr:uid="{00000000-0005-0000-0000-000037010000}"/>
    <cellStyle name="20% - Accent1 2 13 2 4" xfId="19394" xr:uid="{00000000-0005-0000-0000-000038010000}"/>
    <cellStyle name="20% - Accent1 2 13 2 5" xfId="24870" xr:uid="{00000000-0005-0000-0000-000039010000}"/>
    <cellStyle name="20% - Accent1 2 13 2 6" xfId="36666" xr:uid="{00000000-0005-0000-0000-00003A010000}"/>
    <cellStyle name="20% - Accent1 2 13 2 7" xfId="42143" xr:uid="{00000000-0005-0000-0000-00003B010000}"/>
    <cellStyle name="20% - Accent1 2 13 2 8" xfId="47620" xr:uid="{00000000-0005-0000-0000-00003C010000}"/>
    <cellStyle name="20% - Accent1 2 13 2 9" xfId="53138" xr:uid="{00000000-0005-0000-0000-00003D010000}"/>
    <cellStyle name="20% - Accent1 2 13 3" xfId="4734" xr:uid="{00000000-0005-0000-0000-00003E010000}"/>
    <cellStyle name="20% - Accent1 2 13 3 2" xfId="10214" xr:uid="{00000000-0005-0000-0000-00003F010000}"/>
    <cellStyle name="20% - Accent1 2 13 3 3" xfId="15690" xr:uid="{00000000-0005-0000-0000-000040010000}"/>
    <cellStyle name="20% - Accent1 2 13 3 4" xfId="21166" xr:uid="{00000000-0005-0000-0000-000041010000}"/>
    <cellStyle name="20% - Accent1 2 13 3 5" xfId="26642" xr:uid="{00000000-0005-0000-0000-000042010000}"/>
    <cellStyle name="20% - Accent1 2 13 3 6" xfId="38438" xr:uid="{00000000-0005-0000-0000-000043010000}"/>
    <cellStyle name="20% - Accent1 2 13 3 7" xfId="43915" xr:uid="{00000000-0005-0000-0000-000044010000}"/>
    <cellStyle name="20% - Accent1 2 13 3 8" xfId="49392" xr:uid="{00000000-0005-0000-0000-000045010000}"/>
    <cellStyle name="20% - Accent1 2 13 3 9" xfId="54910" xr:uid="{00000000-0005-0000-0000-000046010000}"/>
    <cellStyle name="20% - Accent1 2 13 4" xfId="5616" xr:uid="{00000000-0005-0000-0000-000047010000}"/>
    <cellStyle name="20% - Accent1 2 13 5" xfId="11096" xr:uid="{00000000-0005-0000-0000-000048010000}"/>
    <cellStyle name="20% - Accent1 2 13 6" xfId="16572" xr:uid="{00000000-0005-0000-0000-000049010000}"/>
    <cellStyle name="20% - Accent1 2 13 7" xfId="22048" xr:uid="{00000000-0005-0000-0000-00004A010000}"/>
    <cellStyle name="20% - Accent1 2 13 8" xfId="33843" xr:uid="{00000000-0005-0000-0000-00004B010000}"/>
    <cellStyle name="20% - Accent1 2 13 9" xfId="39320" xr:uid="{00000000-0005-0000-0000-00004C010000}"/>
    <cellStyle name="20% - Accent1 2 14" xfId="1373" xr:uid="{00000000-0005-0000-0000-00004D010000}"/>
    <cellStyle name="20% - Accent1 2 14 10" xfId="44798" xr:uid="{00000000-0005-0000-0000-00004E010000}"/>
    <cellStyle name="20% - Accent1 2 14 11" xfId="50276" xr:uid="{00000000-0005-0000-0000-00004F010000}"/>
    <cellStyle name="20% - Accent1 2 14 2" xfId="3134" xr:uid="{00000000-0005-0000-0000-000050010000}"/>
    <cellStyle name="20% - Accent1 2 14 2 2" xfId="8614" xr:uid="{00000000-0005-0000-0000-000051010000}"/>
    <cellStyle name="20% - Accent1 2 14 2 3" xfId="14090" xr:uid="{00000000-0005-0000-0000-000052010000}"/>
    <cellStyle name="20% - Accent1 2 14 2 4" xfId="19566" xr:uid="{00000000-0005-0000-0000-000053010000}"/>
    <cellStyle name="20% - Accent1 2 14 2 5" xfId="25042" xr:uid="{00000000-0005-0000-0000-000054010000}"/>
    <cellStyle name="20% - Accent1 2 14 2 6" xfId="36838" xr:uid="{00000000-0005-0000-0000-000055010000}"/>
    <cellStyle name="20% - Accent1 2 14 2 7" xfId="42315" xr:uid="{00000000-0005-0000-0000-000056010000}"/>
    <cellStyle name="20% - Accent1 2 14 2 8" xfId="47792" xr:uid="{00000000-0005-0000-0000-000057010000}"/>
    <cellStyle name="20% - Accent1 2 14 2 9" xfId="53310" xr:uid="{00000000-0005-0000-0000-000058010000}"/>
    <cellStyle name="20% - Accent1 2 14 3" xfId="4906" xr:uid="{00000000-0005-0000-0000-000059010000}"/>
    <cellStyle name="20% - Accent1 2 14 3 2" xfId="10386" xr:uid="{00000000-0005-0000-0000-00005A010000}"/>
    <cellStyle name="20% - Accent1 2 14 3 3" xfId="15862" xr:uid="{00000000-0005-0000-0000-00005B010000}"/>
    <cellStyle name="20% - Accent1 2 14 3 4" xfId="21338" xr:uid="{00000000-0005-0000-0000-00005C010000}"/>
    <cellStyle name="20% - Accent1 2 14 3 5" xfId="26814" xr:uid="{00000000-0005-0000-0000-00005D010000}"/>
    <cellStyle name="20% - Accent1 2 14 3 6" xfId="38610" xr:uid="{00000000-0005-0000-0000-00005E010000}"/>
    <cellStyle name="20% - Accent1 2 14 3 7" xfId="44087" xr:uid="{00000000-0005-0000-0000-00005F010000}"/>
    <cellStyle name="20% - Accent1 2 14 3 8" xfId="49564" xr:uid="{00000000-0005-0000-0000-000060010000}"/>
    <cellStyle name="20% - Accent1 2 14 3 9" xfId="55082" xr:uid="{00000000-0005-0000-0000-000061010000}"/>
    <cellStyle name="20% - Accent1 2 14 4" xfId="5617" xr:uid="{00000000-0005-0000-0000-000062010000}"/>
    <cellStyle name="20% - Accent1 2 14 5" xfId="11097" xr:uid="{00000000-0005-0000-0000-000063010000}"/>
    <cellStyle name="20% - Accent1 2 14 6" xfId="16573" xr:uid="{00000000-0005-0000-0000-000064010000}"/>
    <cellStyle name="20% - Accent1 2 14 7" xfId="22049" xr:uid="{00000000-0005-0000-0000-000065010000}"/>
    <cellStyle name="20% - Accent1 2 14 8" xfId="33844" xr:uid="{00000000-0005-0000-0000-000066010000}"/>
    <cellStyle name="20% - Accent1 2 14 9" xfId="39321" xr:uid="{00000000-0005-0000-0000-000067010000}"/>
    <cellStyle name="20% - Accent1 2 15" xfId="1545" xr:uid="{00000000-0005-0000-0000-000068010000}"/>
    <cellStyle name="20% - Accent1 2 15 10" xfId="44799" xr:uid="{00000000-0005-0000-0000-000069010000}"/>
    <cellStyle name="20% - Accent1 2 15 11" xfId="50277" xr:uid="{00000000-0005-0000-0000-00006A010000}"/>
    <cellStyle name="20% - Accent1 2 15 2" xfId="3306" xr:uid="{00000000-0005-0000-0000-00006B010000}"/>
    <cellStyle name="20% - Accent1 2 15 2 2" xfId="8786" xr:uid="{00000000-0005-0000-0000-00006C010000}"/>
    <cellStyle name="20% - Accent1 2 15 2 3" xfId="14262" xr:uid="{00000000-0005-0000-0000-00006D010000}"/>
    <cellStyle name="20% - Accent1 2 15 2 4" xfId="19738" xr:uid="{00000000-0005-0000-0000-00006E010000}"/>
    <cellStyle name="20% - Accent1 2 15 2 5" xfId="25214" xr:uid="{00000000-0005-0000-0000-00006F010000}"/>
    <cellStyle name="20% - Accent1 2 15 2 6" xfId="37010" xr:uid="{00000000-0005-0000-0000-000070010000}"/>
    <cellStyle name="20% - Accent1 2 15 2 7" xfId="42487" xr:uid="{00000000-0005-0000-0000-000071010000}"/>
    <cellStyle name="20% - Accent1 2 15 2 8" xfId="47964" xr:uid="{00000000-0005-0000-0000-000072010000}"/>
    <cellStyle name="20% - Accent1 2 15 2 9" xfId="53482" xr:uid="{00000000-0005-0000-0000-000073010000}"/>
    <cellStyle name="20% - Accent1 2 15 3" xfId="5078" xr:uid="{00000000-0005-0000-0000-000074010000}"/>
    <cellStyle name="20% - Accent1 2 15 3 2" xfId="10558" xr:uid="{00000000-0005-0000-0000-000075010000}"/>
    <cellStyle name="20% - Accent1 2 15 3 3" xfId="16034" xr:uid="{00000000-0005-0000-0000-000076010000}"/>
    <cellStyle name="20% - Accent1 2 15 3 4" xfId="21510" xr:uid="{00000000-0005-0000-0000-000077010000}"/>
    <cellStyle name="20% - Accent1 2 15 3 5" xfId="26986" xr:uid="{00000000-0005-0000-0000-000078010000}"/>
    <cellStyle name="20% - Accent1 2 15 3 6" xfId="38782" xr:uid="{00000000-0005-0000-0000-000079010000}"/>
    <cellStyle name="20% - Accent1 2 15 3 7" xfId="44259" xr:uid="{00000000-0005-0000-0000-00007A010000}"/>
    <cellStyle name="20% - Accent1 2 15 3 8" xfId="49736" xr:uid="{00000000-0005-0000-0000-00007B010000}"/>
    <cellStyle name="20% - Accent1 2 15 3 9" xfId="55254" xr:uid="{00000000-0005-0000-0000-00007C010000}"/>
    <cellStyle name="20% - Accent1 2 15 4" xfId="5618" xr:uid="{00000000-0005-0000-0000-00007D010000}"/>
    <cellStyle name="20% - Accent1 2 15 5" xfId="11098" xr:uid="{00000000-0005-0000-0000-00007E010000}"/>
    <cellStyle name="20% - Accent1 2 15 6" xfId="16574" xr:uid="{00000000-0005-0000-0000-00007F010000}"/>
    <cellStyle name="20% - Accent1 2 15 7" xfId="22050" xr:uid="{00000000-0005-0000-0000-000080010000}"/>
    <cellStyle name="20% - Accent1 2 15 8" xfId="33845" xr:uid="{00000000-0005-0000-0000-000081010000}"/>
    <cellStyle name="20% - Accent1 2 15 9" xfId="39322" xr:uid="{00000000-0005-0000-0000-000082010000}"/>
    <cellStyle name="20% - Accent1 2 16" xfId="1717" xr:uid="{00000000-0005-0000-0000-000083010000}"/>
    <cellStyle name="20% - Accent1 2 16 10" xfId="44800" xr:uid="{00000000-0005-0000-0000-000084010000}"/>
    <cellStyle name="20% - Accent1 2 16 11" xfId="50278" xr:uid="{00000000-0005-0000-0000-000085010000}"/>
    <cellStyle name="20% - Accent1 2 16 2" xfId="3478" xr:uid="{00000000-0005-0000-0000-000086010000}"/>
    <cellStyle name="20% - Accent1 2 16 2 2" xfId="8958" xr:uid="{00000000-0005-0000-0000-000087010000}"/>
    <cellStyle name="20% - Accent1 2 16 2 3" xfId="14434" xr:uid="{00000000-0005-0000-0000-000088010000}"/>
    <cellStyle name="20% - Accent1 2 16 2 4" xfId="19910" xr:uid="{00000000-0005-0000-0000-000089010000}"/>
    <cellStyle name="20% - Accent1 2 16 2 5" xfId="25386" xr:uid="{00000000-0005-0000-0000-00008A010000}"/>
    <cellStyle name="20% - Accent1 2 16 2 6" xfId="37182" xr:uid="{00000000-0005-0000-0000-00008B010000}"/>
    <cellStyle name="20% - Accent1 2 16 2 7" xfId="42659" xr:uid="{00000000-0005-0000-0000-00008C010000}"/>
    <cellStyle name="20% - Accent1 2 16 2 8" xfId="48136" xr:uid="{00000000-0005-0000-0000-00008D010000}"/>
    <cellStyle name="20% - Accent1 2 16 2 9" xfId="53654" xr:uid="{00000000-0005-0000-0000-00008E010000}"/>
    <cellStyle name="20% - Accent1 2 16 3" xfId="5250" xr:uid="{00000000-0005-0000-0000-00008F010000}"/>
    <cellStyle name="20% - Accent1 2 16 3 2" xfId="10730" xr:uid="{00000000-0005-0000-0000-000090010000}"/>
    <cellStyle name="20% - Accent1 2 16 3 3" xfId="16206" xr:uid="{00000000-0005-0000-0000-000091010000}"/>
    <cellStyle name="20% - Accent1 2 16 3 4" xfId="21682" xr:uid="{00000000-0005-0000-0000-000092010000}"/>
    <cellStyle name="20% - Accent1 2 16 3 5" xfId="27158" xr:uid="{00000000-0005-0000-0000-000093010000}"/>
    <cellStyle name="20% - Accent1 2 16 3 6" xfId="38954" xr:uid="{00000000-0005-0000-0000-000094010000}"/>
    <cellStyle name="20% - Accent1 2 16 3 7" xfId="44431" xr:uid="{00000000-0005-0000-0000-000095010000}"/>
    <cellStyle name="20% - Accent1 2 16 3 8" xfId="49908" xr:uid="{00000000-0005-0000-0000-000096010000}"/>
    <cellStyle name="20% - Accent1 2 16 3 9" xfId="55426" xr:uid="{00000000-0005-0000-0000-000097010000}"/>
    <cellStyle name="20% - Accent1 2 16 4" xfId="5619" xr:uid="{00000000-0005-0000-0000-000098010000}"/>
    <cellStyle name="20% - Accent1 2 16 5" xfId="11099" xr:uid="{00000000-0005-0000-0000-000099010000}"/>
    <cellStyle name="20% - Accent1 2 16 6" xfId="16575" xr:uid="{00000000-0005-0000-0000-00009A010000}"/>
    <cellStyle name="20% - Accent1 2 16 7" xfId="22051" xr:uid="{00000000-0005-0000-0000-00009B010000}"/>
    <cellStyle name="20% - Accent1 2 16 8" xfId="33846" xr:uid="{00000000-0005-0000-0000-00009C010000}"/>
    <cellStyle name="20% - Accent1 2 16 9" xfId="39323" xr:uid="{00000000-0005-0000-0000-00009D010000}"/>
    <cellStyle name="20% - Accent1 2 17" xfId="1735" xr:uid="{00000000-0005-0000-0000-00009E010000}"/>
    <cellStyle name="20% - Accent1 2 17 10" xfId="44801" xr:uid="{00000000-0005-0000-0000-00009F010000}"/>
    <cellStyle name="20% - Accent1 2 17 11" xfId="50279" xr:uid="{00000000-0005-0000-0000-0000A0010000}"/>
    <cellStyle name="20% - Accent1 2 17 2" xfId="3496" xr:uid="{00000000-0005-0000-0000-0000A1010000}"/>
    <cellStyle name="20% - Accent1 2 17 2 2" xfId="8976" xr:uid="{00000000-0005-0000-0000-0000A2010000}"/>
    <cellStyle name="20% - Accent1 2 17 2 3" xfId="14452" xr:uid="{00000000-0005-0000-0000-0000A3010000}"/>
    <cellStyle name="20% - Accent1 2 17 2 4" xfId="19928" xr:uid="{00000000-0005-0000-0000-0000A4010000}"/>
    <cellStyle name="20% - Accent1 2 17 2 5" xfId="25404" xr:uid="{00000000-0005-0000-0000-0000A5010000}"/>
    <cellStyle name="20% - Accent1 2 17 2 6" xfId="37200" xr:uid="{00000000-0005-0000-0000-0000A6010000}"/>
    <cellStyle name="20% - Accent1 2 17 2 7" xfId="42677" xr:uid="{00000000-0005-0000-0000-0000A7010000}"/>
    <cellStyle name="20% - Accent1 2 17 2 8" xfId="48154" xr:uid="{00000000-0005-0000-0000-0000A8010000}"/>
    <cellStyle name="20% - Accent1 2 17 2 9" xfId="53672" xr:uid="{00000000-0005-0000-0000-0000A9010000}"/>
    <cellStyle name="20% - Accent1 2 17 3" xfId="5268" xr:uid="{00000000-0005-0000-0000-0000AA010000}"/>
    <cellStyle name="20% - Accent1 2 17 3 2" xfId="10748" xr:uid="{00000000-0005-0000-0000-0000AB010000}"/>
    <cellStyle name="20% - Accent1 2 17 3 3" xfId="16224" xr:uid="{00000000-0005-0000-0000-0000AC010000}"/>
    <cellStyle name="20% - Accent1 2 17 3 4" xfId="21700" xr:uid="{00000000-0005-0000-0000-0000AD010000}"/>
    <cellStyle name="20% - Accent1 2 17 3 5" xfId="27176" xr:uid="{00000000-0005-0000-0000-0000AE010000}"/>
    <cellStyle name="20% - Accent1 2 17 3 6" xfId="38972" xr:uid="{00000000-0005-0000-0000-0000AF010000}"/>
    <cellStyle name="20% - Accent1 2 17 3 7" xfId="44449" xr:uid="{00000000-0005-0000-0000-0000B0010000}"/>
    <cellStyle name="20% - Accent1 2 17 3 8" xfId="49926" xr:uid="{00000000-0005-0000-0000-0000B1010000}"/>
    <cellStyle name="20% - Accent1 2 17 3 9" xfId="55444" xr:uid="{00000000-0005-0000-0000-0000B2010000}"/>
    <cellStyle name="20% - Accent1 2 17 4" xfId="5620" xr:uid="{00000000-0005-0000-0000-0000B3010000}"/>
    <cellStyle name="20% - Accent1 2 17 5" xfId="11100" xr:uid="{00000000-0005-0000-0000-0000B4010000}"/>
    <cellStyle name="20% - Accent1 2 17 6" xfId="16576" xr:uid="{00000000-0005-0000-0000-0000B5010000}"/>
    <cellStyle name="20% - Accent1 2 17 7" xfId="22052" xr:uid="{00000000-0005-0000-0000-0000B6010000}"/>
    <cellStyle name="20% - Accent1 2 17 8" xfId="33847" xr:uid="{00000000-0005-0000-0000-0000B7010000}"/>
    <cellStyle name="20% - Accent1 2 17 9" xfId="39324" xr:uid="{00000000-0005-0000-0000-0000B8010000}"/>
    <cellStyle name="20% - Accent1 2 18" xfId="1907" xr:uid="{00000000-0005-0000-0000-0000B9010000}"/>
    <cellStyle name="20% - Accent1 2 18 10" xfId="52084" xr:uid="{00000000-0005-0000-0000-0000BA010000}"/>
    <cellStyle name="20% - Accent1 2 18 2" xfId="5439" xr:uid="{00000000-0005-0000-0000-0000BB010000}"/>
    <cellStyle name="20% - Accent1 2 18 2 2" xfId="10919" xr:uid="{00000000-0005-0000-0000-0000BC010000}"/>
    <cellStyle name="20% - Accent1 2 18 2 3" xfId="16395" xr:uid="{00000000-0005-0000-0000-0000BD010000}"/>
    <cellStyle name="20% - Accent1 2 18 2 4" xfId="21871" xr:uid="{00000000-0005-0000-0000-0000BE010000}"/>
    <cellStyle name="20% - Accent1 2 18 2 5" xfId="27347" xr:uid="{00000000-0005-0000-0000-0000BF010000}"/>
    <cellStyle name="20% - Accent1 2 18 2 6" xfId="39143" xr:uid="{00000000-0005-0000-0000-0000C0010000}"/>
    <cellStyle name="20% - Accent1 2 18 2 7" xfId="44620" xr:uid="{00000000-0005-0000-0000-0000C1010000}"/>
    <cellStyle name="20% - Accent1 2 18 2 8" xfId="50097" xr:uid="{00000000-0005-0000-0000-0000C2010000}"/>
    <cellStyle name="20% - Accent1 2 18 2 9" xfId="55615" xr:uid="{00000000-0005-0000-0000-0000C3010000}"/>
    <cellStyle name="20% - Accent1 2 18 3" xfId="7388" xr:uid="{00000000-0005-0000-0000-0000C4010000}"/>
    <cellStyle name="20% - Accent1 2 18 4" xfId="12864" xr:uid="{00000000-0005-0000-0000-0000C5010000}"/>
    <cellStyle name="20% - Accent1 2 18 5" xfId="18340" xr:uid="{00000000-0005-0000-0000-0000C6010000}"/>
    <cellStyle name="20% - Accent1 2 18 6" xfId="23816" xr:uid="{00000000-0005-0000-0000-0000C7010000}"/>
    <cellStyle name="20% - Accent1 2 18 7" xfId="35612" xr:uid="{00000000-0005-0000-0000-0000C8010000}"/>
    <cellStyle name="20% - Accent1 2 18 8" xfId="41089" xr:uid="{00000000-0005-0000-0000-0000C9010000}"/>
    <cellStyle name="20% - Accent1 2 18 9" xfId="46566" xr:uid="{00000000-0005-0000-0000-0000CA010000}"/>
    <cellStyle name="20% - Accent1 2 19" xfId="3685" xr:uid="{00000000-0005-0000-0000-0000CB010000}"/>
    <cellStyle name="20% - Accent1 2 19 2" xfId="9165" xr:uid="{00000000-0005-0000-0000-0000CC010000}"/>
    <cellStyle name="20% - Accent1 2 19 3" xfId="14641" xr:uid="{00000000-0005-0000-0000-0000CD010000}"/>
    <cellStyle name="20% - Accent1 2 19 4" xfId="20117" xr:uid="{00000000-0005-0000-0000-0000CE010000}"/>
    <cellStyle name="20% - Accent1 2 19 5" xfId="25593" xr:uid="{00000000-0005-0000-0000-0000CF010000}"/>
    <cellStyle name="20% - Accent1 2 19 6" xfId="37389" xr:uid="{00000000-0005-0000-0000-0000D0010000}"/>
    <cellStyle name="20% - Accent1 2 19 7" xfId="42866" xr:uid="{00000000-0005-0000-0000-0000D1010000}"/>
    <cellStyle name="20% - Accent1 2 19 8" xfId="48343" xr:uid="{00000000-0005-0000-0000-0000D2010000}"/>
    <cellStyle name="20% - Accent1 2 19 9" xfId="53861" xr:uid="{00000000-0005-0000-0000-0000D3010000}"/>
    <cellStyle name="20% - Accent1 2 2" xfId="130" xr:uid="{00000000-0005-0000-0000-0000D4010000}"/>
    <cellStyle name="20% - Accent1 2 2 10" xfId="1546" xr:uid="{00000000-0005-0000-0000-0000D5010000}"/>
    <cellStyle name="20% - Accent1 2 2 10 10" xfId="44803" xr:uid="{00000000-0005-0000-0000-0000D6010000}"/>
    <cellStyle name="20% - Accent1 2 2 10 11" xfId="50281" xr:uid="{00000000-0005-0000-0000-0000D7010000}"/>
    <cellStyle name="20% - Accent1 2 2 10 2" xfId="3307" xr:uid="{00000000-0005-0000-0000-0000D8010000}"/>
    <cellStyle name="20% - Accent1 2 2 10 2 2" xfId="8787" xr:uid="{00000000-0005-0000-0000-0000D9010000}"/>
    <cellStyle name="20% - Accent1 2 2 10 2 3" xfId="14263" xr:uid="{00000000-0005-0000-0000-0000DA010000}"/>
    <cellStyle name="20% - Accent1 2 2 10 2 4" xfId="19739" xr:uid="{00000000-0005-0000-0000-0000DB010000}"/>
    <cellStyle name="20% - Accent1 2 2 10 2 5" xfId="25215" xr:uid="{00000000-0005-0000-0000-0000DC010000}"/>
    <cellStyle name="20% - Accent1 2 2 10 2 6" xfId="37011" xr:uid="{00000000-0005-0000-0000-0000DD010000}"/>
    <cellStyle name="20% - Accent1 2 2 10 2 7" xfId="42488" xr:uid="{00000000-0005-0000-0000-0000DE010000}"/>
    <cellStyle name="20% - Accent1 2 2 10 2 8" xfId="47965" xr:uid="{00000000-0005-0000-0000-0000DF010000}"/>
    <cellStyle name="20% - Accent1 2 2 10 2 9" xfId="53483" xr:uid="{00000000-0005-0000-0000-0000E0010000}"/>
    <cellStyle name="20% - Accent1 2 2 10 3" xfId="5079" xr:uid="{00000000-0005-0000-0000-0000E1010000}"/>
    <cellStyle name="20% - Accent1 2 2 10 3 2" xfId="10559" xr:uid="{00000000-0005-0000-0000-0000E2010000}"/>
    <cellStyle name="20% - Accent1 2 2 10 3 3" xfId="16035" xr:uid="{00000000-0005-0000-0000-0000E3010000}"/>
    <cellStyle name="20% - Accent1 2 2 10 3 4" xfId="21511" xr:uid="{00000000-0005-0000-0000-0000E4010000}"/>
    <cellStyle name="20% - Accent1 2 2 10 3 5" xfId="26987" xr:uid="{00000000-0005-0000-0000-0000E5010000}"/>
    <cellStyle name="20% - Accent1 2 2 10 3 6" xfId="38783" xr:uid="{00000000-0005-0000-0000-0000E6010000}"/>
    <cellStyle name="20% - Accent1 2 2 10 3 7" xfId="44260" xr:uid="{00000000-0005-0000-0000-0000E7010000}"/>
    <cellStyle name="20% - Accent1 2 2 10 3 8" xfId="49737" xr:uid="{00000000-0005-0000-0000-0000E8010000}"/>
    <cellStyle name="20% - Accent1 2 2 10 3 9" xfId="55255" xr:uid="{00000000-0005-0000-0000-0000E9010000}"/>
    <cellStyle name="20% - Accent1 2 2 10 4" xfId="5622" xr:uid="{00000000-0005-0000-0000-0000EA010000}"/>
    <cellStyle name="20% - Accent1 2 2 10 5" xfId="11102" xr:uid="{00000000-0005-0000-0000-0000EB010000}"/>
    <cellStyle name="20% - Accent1 2 2 10 6" xfId="16578" xr:uid="{00000000-0005-0000-0000-0000EC010000}"/>
    <cellStyle name="20% - Accent1 2 2 10 7" xfId="22054" xr:uid="{00000000-0005-0000-0000-0000ED010000}"/>
    <cellStyle name="20% - Accent1 2 2 10 8" xfId="33849" xr:uid="{00000000-0005-0000-0000-0000EE010000}"/>
    <cellStyle name="20% - Accent1 2 2 10 9" xfId="39326" xr:uid="{00000000-0005-0000-0000-0000EF010000}"/>
    <cellStyle name="20% - Accent1 2 2 11" xfId="1808" xr:uid="{00000000-0005-0000-0000-0000F0010000}"/>
    <cellStyle name="20% - Accent1 2 2 11 10" xfId="44804" xr:uid="{00000000-0005-0000-0000-0000F1010000}"/>
    <cellStyle name="20% - Accent1 2 2 11 11" xfId="50282" xr:uid="{00000000-0005-0000-0000-0000F2010000}"/>
    <cellStyle name="20% - Accent1 2 2 11 2" xfId="3569" xr:uid="{00000000-0005-0000-0000-0000F3010000}"/>
    <cellStyle name="20% - Accent1 2 2 11 2 2" xfId="9049" xr:uid="{00000000-0005-0000-0000-0000F4010000}"/>
    <cellStyle name="20% - Accent1 2 2 11 2 3" xfId="14525" xr:uid="{00000000-0005-0000-0000-0000F5010000}"/>
    <cellStyle name="20% - Accent1 2 2 11 2 4" xfId="20001" xr:uid="{00000000-0005-0000-0000-0000F6010000}"/>
    <cellStyle name="20% - Accent1 2 2 11 2 5" xfId="25477" xr:uid="{00000000-0005-0000-0000-0000F7010000}"/>
    <cellStyle name="20% - Accent1 2 2 11 2 6" xfId="37273" xr:uid="{00000000-0005-0000-0000-0000F8010000}"/>
    <cellStyle name="20% - Accent1 2 2 11 2 7" xfId="42750" xr:uid="{00000000-0005-0000-0000-0000F9010000}"/>
    <cellStyle name="20% - Accent1 2 2 11 2 8" xfId="48227" xr:uid="{00000000-0005-0000-0000-0000FA010000}"/>
    <cellStyle name="20% - Accent1 2 2 11 2 9" xfId="53745" xr:uid="{00000000-0005-0000-0000-0000FB010000}"/>
    <cellStyle name="20% - Accent1 2 2 11 3" xfId="5341" xr:uid="{00000000-0005-0000-0000-0000FC010000}"/>
    <cellStyle name="20% - Accent1 2 2 11 3 2" xfId="10821" xr:uid="{00000000-0005-0000-0000-0000FD010000}"/>
    <cellStyle name="20% - Accent1 2 2 11 3 3" xfId="16297" xr:uid="{00000000-0005-0000-0000-0000FE010000}"/>
    <cellStyle name="20% - Accent1 2 2 11 3 4" xfId="21773" xr:uid="{00000000-0005-0000-0000-0000FF010000}"/>
    <cellStyle name="20% - Accent1 2 2 11 3 5" xfId="27249" xr:uid="{00000000-0005-0000-0000-000000020000}"/>
    <cellStyle name="20% - Accent1 2 2 11 3 6" xfId="39045" xr:uid="{00000000-0005-0000-0000-000001020000}"/>
    <cellStyle name="20% - Accent1 2 2 11 3 7" xfId="44522" xr:uid="{00000000-0005-0000-0000-000002020000}"/>
    <cellStyle name="20% - Accent1 2 2 11 3 8" xfId="49999" xr:uid="{00000000-0005-0000-0000-000003020000}"/>
    <cellStyle name="20% - Accent1 2 2 11 3 9" xfId="55517" xr:uid="{00000000-0005-0000-0000-000004020000}"/>
    <cellStyle name="20% - Accent1 2 2 11 4" xfId="5623" xr:uid="{00000000-0005-0000-0000-000005020000}"/>
    <cellStyle name="20% - Accent1 2 2 11 5" xfId="11103" xr:uid="{00000000-0005-0000-0000-000006020000}"/>
    <cellStyle name="20% - Accent1 2 2 11 6" xfId="16579" xr:uid="{00000000-0005-0000-0000-000007020000}"/>
    <cellStyle name="20% - Accent1 2 2 11 7" xfId="22055" xr:uid="{00000000-0005-0000-0000-000008020000}"/>
    <cellStyle name="20% - Accent1 2 2 11 8" xfId="33850" xr:uid="{00000000-0005-0000-0000-000009020000}"/>
    <cellStyle name="20% - Accent1 2 2 11 9" xfId="39327" xr:uid="{00000000-0005-0000-0000-00000A020000}"/>
    <cellStyle name="20% - Accent1 2 2 12" xfId="1908" xr:uid="{00000000-0005-0000-0000-00000B020000}"/>
    <cellStyle name="20% - Accent1 2 2 12 10" xfId="52085" xr:uid="{00000000-0005-0000-0000-00000C020000}"/>
    <cellStyle name="20% - Accent1 2 2 12 2" xfId="5440" xr:uid="{00000000-0005-0000-0000-00000D020000}"/>
    <cellStyle name="20% - Accent1 2 2 12 2 2" xfId="10920" xr:uid="{00000000-0005-0000-0000-00000E020000}"/>
    <cellStyle name="20% - Accent1 2 2 12 2 3" xfId="16396" xr:uid="{00000000-0005-0000-0000-00000F020000}"/>
    <cellStyle name="20% - Accent1 2 2 12 2 4" xfId="21872" xr:uid="{00000000-0005-0000-0000-000010020000}"/>
    <cellStyle name="20% - Accent1 2 2 12 2 5" xfId="27348" xr:uid="{00000000-0005-0000-0000-000011020000}"/>
    <cellStyle name="20% - Accent1 2 2 12 2 6" xfId="39144" xr:uid="{00000000-0005-0000-0000-000012020000}"/>
    <cellStyle name="20% - Accent1 2 2 12 2 7" xfId="44621" xr:uid="{00000000-0005-0000-0000-000013020000}"/>
    <cellStyle name="20% - Accent1 2 2 12 2 8" xfId="50098" xr:uid="{00000000-0005-0000-0000-000014020000}"/>
    <cellStyle name="20% - Accent1 2 2 12 2 9" xfId="55616" xr:uid="{00000000-0005-0000-0000-000015020000}"/>
    <cellStyle name="20% - Accent1 2 2 12 3" xfId="7389" xr:uid="{00000000-0005-0000-0000-000016020000}"/>
    <cellStyle name="20% - Accent1 2 2 12 4" xfId="12865" xr:uid="{00000000-0005-0000-0000-000017020000}"/>
    <cellStyle name="20% - Accent1 2 2 12 5" xfId="18341" xr:uid="{00000000-0005-0000-0000-000018020000}"/>
    <cellStyle name="20% - Accent1 2 2 12 6" xfId="23817" xr:uid="{00000000-0005-0000-0000-000019020000}"/>
    <cellStyle name="20% - Accent1 2 2 12 7" xfId="35613" xr:uid="{00000000-0005-0000-0000-00001A020000}"/>
    <cellStyle name="20% - Accent1 2 2 12 8" xfId="41090" xr:uid="{00000000-0005-0000-0000-00001B020000}"/>
    <cellStyle name="20% - Accent1 2 2 12 9" xfId="46567" xr:uid="{00000000-0005-0000-0000-00001C020000}"/>
    <cellStyle name="20% - Accent1 2 2 13" xfId="3702" xr:uid="{00000000-0005-0000-0000-00001D020000}"/>
    <cellStyle name="20% - Accent1 2 2 13 2" xfId="9182" xr:uid="{00000000-0005-0000-0000-00001E020000}"/>
    <cellStyle name="20% - Accent1 2 2 13 3" xfId="14658" xr:uid="{00000000-0005-0000-0000-00001F020000}"/>
    <cellStyle name="20% - Accent1 2 2 13 4" xfId="20134" xr:uid="{00000000-0005-0000-0000-000020020000}"/>
    <cellStyle name="20% - Accent1 2 2 13 5" xfId="25610" xr:uid="{00000000-0005-0000-0000-000021020000}"/>
    <cellStyle name="20% - Accent1 2 2 13 6" xfId="37406" xr:uid="{00000000-0005-0000-0000-000022020000}"/>
    <cellStyle name="20% - Accent1 2 2 13 7" xfId="42883" xr:uid="{00000000-0005-0000-0000-000023020000}"/>
    <cellStyle name="20% - Accent1 2 2 13 8" xfId="48360" xr:uid="{00000000-0005-0000-0000-000024020000}"/>
    <cellStyle name="20% - Accent1 2 2 13 9" xfId="53878" xr:uid="{00000000-0005-0000-0000-000025020000}"/>
    <cellStyle name="20% - Accent1 2 2 14" xfId="5621" xr:uid="{00000000-0005-0000-0000-000026020000}"/>
    <cellStyle name="20% - Accent1 2 2 15" xfId="11101" xr:uid="{00000000-0005-0000-0000-000027020000}"/>
    <cellStyle name="20% - Accent1 2 2 16" xfId="16577" xr:uid="{00000000-0005-0000-0000-000028020000}"/>
    <cellStyle name="20% - Accent1 2 2 17" xfId="22053" xr:uid="{00000000-0005-0000-0000-000029020000}"/>
    <cellStyle name="20% - Accent1 2 2 18" xfId="27789" xr:uid="{00000000-0005-0000-0000-00002A020000}"/>
    <cellStyle name="20% - Accent1 2 2 19" xfId="33848" xr:uid="{00000000-0005-0000-0000-00002B020000}"/>
    <cellStyle name="20% - Accent1 2 2 2" xfId="222" xr:uid="{00000000-0005-0000-0000-00002C020000}"/>
    <cellStyle name="20% - Accent1 2 2 2 10" xfId="1807" xr:uid="{00000000-0005-0000-0000-00002D020000}"/>
    <cellStyle name="20% - Accent1 2 2 2 10 10" xfId="44806" xr:uid="{00000000-0005-0000-0000-00002E020000}"/>
    <cellStyle name="20% - Accent1 2 2 2 10 11" xfId="50284" xr:uid="{00000000-0005-0000-0000-00002F020000}"/>
    <cellStyle name="20% - Accent1 2 2 2 10 2" xfId="3568" xr:uid="{00000000-0005-0000-0000-000030020000}"/>
    <cellStyle name="20% - Accent1 2 2 2 10 2 2" xfId="9048" xr:uid="{00000000-0005-0000-0000-000031020000}"/>
    <cellStyle name="20% - Accent1 2 2 2 10 2 3" xfId="14524" xr:uid="{00000000-0005-0000-0000-000032020000}"/>
    <cellStyle name="20% - Accent1 2 2 2 10 2 4" xfId="20000" xr:uid="{00000000-0005-0000-0000-000033020000}"/>
    <cellStyle name="20% - Accent1 2 2 2 10 2 5" xfId="25476" xr:uid="{00000000-0005-0000-0000-000034020000}"/>
    <cellStyle name="20% - Accent1 2 2 2 10 2 6" xfId="37272" xr:uid="{00000000-0005-0000-0000-000035020000}"/>
    <cellStyle name="20% - Accent1 2 2 2 10 2 7" xfId="42749" xr:uid="{00000000-0005-0000-0000-000036020000}"/>
    <cellStyle name="20% - Accent1 2 2 2 10 2 8" xfId="48226" xr:uid="{00000000-0005-0000-0000-000037020000}"/>
    <cellStyle name="20% - Accent1 2 2 2 10 2 9" xfId="53744" xr:uid="{00000000-0005-0000-0000-000038020000}"/>
    <cellStyle name="20% - Accent1 2 2 2 10 3" xfId="5340" xr:uid="{00000000-0005-0000-0000-000039020000}"/>
    <cellStyle name="20% - Accent1 2 2 2 10 3 2" xfId="10820" xr:uid="{00000000-0005-0000-0000-00003A020000}"/>
    <cellStyle name="20% - Accent1 2 2 2 10 3 3" xfId="16296" xr:uid="{00000000-0005-0000-0000-00003B020000}"/>
    <cellStyle name="20% - Accent1 2 2 2 10 3 4" xfId="21772" xr:uid="{00000000-0005-0000-0000-00003C020000}"/>
    <cellStyle name="20% - Accent1 2 2 2 10 3 5" xfId="27248" xr:uid="{00000000-0005-0000-0000-00003D020000}"/>
    <cellStyle name="20% - Accent1 2 2 2 10 3 6" xfId="39044" xr:uid="{00000000-0005-0000-0000-00003E020000}"/>
    <cellStyle name="20% - Accent1 2 2 2 10 3 7" xfId="44521" xr:uid="{00000000-0005-0000-0000-00003F020000}"/>
    <cellStyle name="20% - Accent1 2 2 2 10 3 8" xfId="49998" xr:uid="{00000000-0005-0000-0000-000040020000}"/>
    <cellStyle name="20% - Accent1 2 2 2 10 3 9" xfId="55516" xr:uid="{00000000-0005-0000-0000-000041020000}"/>
    <cellStyle name="20% - Accent1 2 2 2 10 4" xfId="5625" xr:uid="{00000000-0005-0000-0000-000042020000}"/>
    <cellStyle name="20% - Accent1 2 2 2 10 5" xfId="11105" xr:uid="{00000000-0005-0000-0000-000043020000}"/>
    <cellStyle name="20% - Accent1 2 2 2 10 6" xfId="16581" xr:uid="{00000000-0005-0000-0000-000044020000}"/>
    <cellStyle name="20% - Accent1 2 2 2 10 7" xfId="22057" xr:uid="{00000000-0005-0000-0000-000045020000}"/>
    <cellStyle name="20% - Accent1 2 2 2 10 8" xfId="33852" xr:uid="{00000000-0005-0000-0000-000046020000}"/>
    <cellStyle name="20% - Accent1 2 2 2 10 9" xfId="39329" xr:uid="{00000000-0005-0000-0000-000047020000}"/>
    <cellStyle name="20% - Accent1 2 2 2 11" xfId="1909" xr:uid="{00000000-0005-0000-0000-000048020000}"/>
    <cellStyle name="20% - Accent1 2 2 2 11 10" xfId="52086" xr:uid="{00000000-0005-0000-0000-000049020000}"/>
    <cellStyle name="20% - Accent1 2 2 2 11 2" xfId="5441" xr:uid="{00000000-0005-0000-0000-00004A020000}"/>
    <cellStyle name="20% - Accent1 2 2 2 11 2 2" xfId="10921" xr:uid="{00000000-0005-0000-0000-00004B020000}"/>
    <cellStyle name="20% - Accent1 2 2 2 11 2 3" xfId="16397" xr:uid="{00000000-0005-0000-0000-00004C020000}"/>
    <cellStyle name="20% - Accent1 2 2 2 11 2 4" xfId="21873" xr:uid="{00000000-0005-0000-0000-00004D020000}"/>
    <cellStyle name="20% - Accent1 2 2 2 11 2 5" xfId="27349" xr:uid="{00000000-0005-0000-0000-00004E020000}"/>
    <cellStyle name="20% - Accent1 2 2 2 11 2 6" xfId="39145" xr:uid="{00000000-0005-0000-0000-00004F020000}"/>
    <cellStyle name="20% - Accent1 2 2 2 11 2 7" xfId="44622" xr:uid="{00000000-0005-0000-0000-000050020000}"/>
    <cellStyle name="20% - Accent1 2 2 2 11 2 8" xfId="50099" xr:uid="{00000000-0005-0000-0000-000051020000}"/>
    <cellStyle name="20% - Accent1 2 2 2 11 2 9" xfId="55617" xr:uid="{00000000-0005-0000-0000-000052020000}"/>
    <cellStyle name="20% - Accent1 2 2 2 11 3" xfId="7390" xr:uid="{00000000-0005-0000-0000-000053020000}"/>
    <cellStyle name="20% - Accent1 2 2 2 11 4" xfId="12866" xr:uid="{00000000-0005-0000-0000-000054020000}"/>
    <cellStyle name="20% - Accent1 2 2 2 11 5" xfId="18342" xr:uid="{00000000-0005-0000-0000-000055020000}"/>
    <cellStyle name="20% - Accent1 2 2 2 11 6" xfId="23818" xr:uid="{00000000-0005-0000-0000-000056020000}"/>
    <cellStyle name="20% - Accent1 2 2 2 11 7" xfId="35614" xr:uid="{00000000-0005-0000-0000-000057020000}"/>
    <cellStyle name="20% - Accent1 2 2 2 11 8" xfId="41091" xr:uid="{00000000-0005-0000-0000-000058020000}"/>
    <cellStyle name="20% - Accent1 2 2 2 11 9" xfId="46568" xr:uid="{00000000-0005-0000-0000-000059020000}"/>
    <cellStyle name="20% - Accent1 2 2 2 12" xfId="3788" xr:uid="{00000000-0005-0000-0000-00005A020000}"/>
    <cellStyle name="20% - Accent1 2 2 2 12 2" xfId="9268" xr:uid="{00000000-0005-0000-0000-00005B020000}"/>
    <cellStyle name="20% - Accent1 2 2 2 12 3" xfId="14744" xr:uid="{00000000-0005-0000-0000-00005C020000}"/>
    <cellStyle name="20% - Accent1 2 2 2 12 4" xfId="20220" xr:uid="{00000000-0005-0000-0000-00005D020000}"/>
    <cellStyle name="20% - Accent1 2 2 2 12 5" xfId="25696" xr:uid="{00000000-0005-0000-0000-00005E020000}"/>
    <cellStyle name="20% - Accent1 2 2 2 12 6" xfId="37492" xr:uid="{00000000-0005-0000-0000-00005F020000}"/>
    <cellStyle name="20% - Accent1 2 2 2 12 7" xfId="42969" xr:uid="{00000000-0005-0000-0000-000060020000}"/>
    <cellStyle name="20% - Accent1 2 2 2 12 8" xfId="48446" xr:uid="{00000000-0005-0000-0000-000061020000}"/>
    <cellStyle name="20% - Accent1 2 2 2 12 9" xfId="53964" xr:uid="{00000000-0005-0000-0000-000062020000}"/>
    <cellStyle name="20% - Accent1 2 2 2 13" xfId="5624" xr:uid="{00000000-0005-0000-0000-000063020000}"/>
    <cellStyle name="20% - Accent1 2 2 2 14" xfId="11104" xr:uid="{00000000-0005-0000-0000-000064020000}"/>
    <cellStyle name="20% - Accent1 2 2 2 15" xfId="16580" xr:uid="{00000000-0005-0000-0000-000065020000}"/>
    <cellStyle name="20% - Accent1 2 2 2 16" xfId="22056" xr:uid="{00000000-0005-0000-0000-000066020000}"/>
    <cellStyle name="20% - Accent1 2 2 2 17" xfId="27790" xr:uid="{00000000-0005-0000-0000-000067020000}"/>
    <cellStyle name="20% - Accent1 2 2 2 18" xfId="33851" xr:uid="{00000000-0005-0000-0000-000068020000}"/>
    <cellStyle name="20% - Accent1 2 2 2 19" xfId="39328" xr:uid="{00000000-0005-0000-0000-000069020000}"/>
    <cellStyle name="20% - Accent1 2 2 2 2" xfId="280" xr:uid="{00000000-0005-0000-0000-00006A020000}"/>
    <cellStyle name="20% - Accent1 2 2 2 2 10" xfId="39330" xr:uid="{00000000-0005-0000-0000-00006B020000}"/>
    <cellStyle name="20% - Accent1 2 2 2 2 11" xfId="44807" xr:uid="{00000000-0005-0000-0000-00006C020000}"/>
    <cellStyle name="20% - Accent1 2 2 2 2 12" xfId="50285" xr:uid="{00000000-0005-0000-0000-00006D020000}"/>
    <cellStyle name="20% - Accent1 2 2 2 2 2" xfId="2082" xr:uid="{00000000-0005-0000-0000-00006E020000}"/>
    <cellStyle name="20% - Accent1 2 2 2 2 2 2" xfId="7562" xr:uid="{00000000-0005-0000-0000-00006F020000}"/>
    <cellStyle name="20% - Accent1 2 2 2 2 2 3" xfId="13038" xr:uid="{00000000-0005-0000-0000-000070020000}"/>
    <cellStyle name="20% - Accent1 2 2 2 2 2 4" xfId="18514" xr:uid="{00000000-0005-0000-0000-000071020000}"/>
    <cellStyle name="20% - Accent1 2 2 2 2 2 5" xfId="23990" xr:uid="{00000000-0005-0000-0000-000072020000}"/>
    <cellStyle name="20% - Accent1 2 2 2 2 2 6" xfId="35786" xr:uid="{00000000-0005-0000-0000-000073020000}"/>
    <cellStyle name="20% - Accent1 2 2 2 2 2 7" xfId="41263" xr:uid="{00000000-0005-0000-0000-000074020000}"/>
    <cellStyle name="20% - Accent1 2 2 2 2 2 8" xfId="46740" xr:uid="{00000000-0005-0000-0000-000075020000}"/>
    <cellStyle name="20% - Accent1 2 2 2 2 2 9" xfId="52258" xr:uid="{00000000-0005-0000-0000-000076020000}"/>
    <cellStyle name="20% - Accent1 2 2 2 2 3" xfId="3842" xr:uid="{00000000-0005-0000-0000-000077020000}"/>
    <cellStyle name="20% - Accent1 2 2 2 2 3 2" xfId="9322" xr:uid="{00000000-0005-0000-0000-000078020000}"/>
    <cellStyle name="20% - Accent1 2 2 2 2 3 3" xfId="14798" xr:uid="{00000000-0005-0000-0000-000079020000}"/>
    <cellStyle name="20% - Accent1 2 2 2 2 3 4" xfId="20274" xr:uid="{00000000-0005-0000-0000-00007A020000}"/>
    <cellStyle name="20% - Accent1 2 2 2 2 3 5" xfId="25750" xr:uid="{00000000-0005-0000-0000-00007B020000}"/>
    <cellStyle name="20% - Accent1 2 2 2 2 3 6" xfId="37546" xr:uid="{00000000-0005-0000-0000-00007C020000}"/>
    <cellStyle name="20% - Accent1 2 2 2 2 3 7" xfId="43023" xr:uid="{00000000-0005-0000-0000-00007D020000}"/>
    <cellStyle name="20% - Accent1 2 2 2 2 3 8" xfId="48500" xr:uid="{00000000-0005-0000-0000-00007E020000}"/>
    <cellStyle name="20% - Accent1 2 2 2 2 3 9" xfId="54018" xr:uid="{00000000-0005-0000-0000-00007F020000}"/>
    <cellStyle name="20% - Accent1 2 2 2 2 4" xfId="5626" xr:uid="{00000000-0005-0000-0000-000080020000}"/>
    <cellStyle name="20% - Accent1 2 2 2 2 5" xfId="11106" xr:uid="{00000000-0005-0000-0000-000081020000}"/>
    <cellStyle name="20% - Accent1 2 2 2 2 6" xfId="16582" xr:uid="{00000000-0005-0000-0000-000082020000}"/>
    <cellStyle name="20% - Accent1 2 2 2 2 7" xfId="22058" xr:uid="{00000000-0005-0000-0000-000083020000}"/>
    <cellStyle name="20% - Accent1 2 2 2 2 8" xfId="27791" xr:uid="{00000000-0005-0000-0000-000084020000}"/>
    <cellStyle name="20% - Accent1 2 2 2 2 9" xfId="33853" xr:uid="{00000000-0005-0000-0000-000085020000}"/>
    <cellStyle name="20% - Accent1 2 2 2 20" xfId="44805" xr:uid="{00000000-0005-0000-0000-000086020000}"/>
    <cellStyle name="20% - Accent1 2 2 2 21" xfId="50283" xr:uid="{00000000-0005-0000-0000-000087020000}"/>
    <cellStyle name="20% - Accent1 2 2 2 3" xfId="481" xr:uid="{00000000-0005-0000-0000-000088020000}"/>
    <cellStyle name="20% - Accent1 2 2 2 3 10" xfId="44808" xr:uid="{00000000-0005-0000-0000-000089020000}"/>
    <cellStyle name="20% - Accent1 2 2 2 3 11" xfId="50286" xr:uid="{00000000-0005-0000-0000-00008A020000}"/>
    <cellStyle name="20% - Accent1 2 2 2 3 2" xfId="2242" xr:uid="{00000000-0005-0000-0000-00008B020000}"/>
    <cellStyle name="20% - Accent1 2 2 2 3 2 2" xfId="7722" xr:uid="{00000000-0005-0000-0000-00008C020000}"/>
    <cellStyle name="20% - Accent1 2 2 2 3 2 3" xfId="13198" xr:uid="{00000000-0005-0000-0000-00008D020000}"/>
    <cellStyle name="20% - Accent1 2 2 2 3 2 4" xfId="18674" xr:uid="{00000000-0005-0000-0000-00008E020000}"/>
    <cellStyle name="20% - Accent1 2 2 2 3 2 5" xfId="24150" xr:uid="{00000000-0005-0000-0000-00008F020000}"/>
    <cellStyle name="20% - Accent1 2 2 2 3 2 6" xfId="35946" xr:uid="{00000000-0005-0000-0000-000090020000}"/>
    <cellStyle name="20% - Accent1 2 2 2 3 2 7" xfId="41423" xr:uid="{00000000-0005-0000-0000-000091020000}"/>
    <cellStyle name="20% - Accent1 2 2 2 3 2 8" xfId="46900" xr:uid="{00000000-0005-0000-0000-000092020000}"/>
    <cellStyle name="20% - Accent1 2 2 2 3 2 9" xfId="52418" xr:uid="{00000000-0005-0000-0000-000093020000}"/>
    <cellStyle name="20% - Accent1 2 2 2 3 3" xfId="4014" xr:uid="{00000000-0005-0000-0000-000094020000}"/>
    <cellStyle name="20% - Accent1 2 2 2 3 3 2" xfId="9494" xr:uid="{00000000-0005-0000-0000-000095020000}"/>
    <cellStyle name="20% - Accent1 2 2 2 3 3 3" xfId="14970" xr:uid="{00000000-0005-0000-0000-000096020000}"/>
    <cellStyle name="20% - Accent1 2 2 2 3 3 4" xfId="20446" xr:uid="{00000000-0005-0000-0000-000097020000}"/>
    <cellStyle name="20% - Accent1 2 2 2 3 3 5" xfId="25922" xr:uid="{00000000-0005-0000-0000-000098020000}"/>
    <cellStyle name="20% - Accent1 2 2 2 3 3 6" xfId="37718" xr:uid="{00000000-0005-0000-0000-000099020000}"/>
    <cellStyle name="20% - Accent1 2 2 2 3 3 7" xfId="43195" xr:uid="{00000000-0005-0000-0000-00009A020000}"/>
    <cellStyle name="20% - Accent1 2 2 2 3 3 8" xfId="48672" xr:uid="{00000000-0005-0000-0000-00009B020000}"/>
    <cellStyle name="20% - Accent1 2 2 2 3 3 9" xfId="54190" xr:uid="{00000000-0005-0000-0000-00009C020000}"/>
    <cellStyle name="20% - Accent1 2 2 2 3 4" xfId="5627" xr:uid="{00000000-0005-0000-0000-00009D020000}"/>
    <cellStyle name="20% - Accent1 2 2 2 3 5" xfId="11107" xr:uid="{00000000-0005-0000-0000-00009E020000}"/>
    <cellStyle name="20% - Accent1 2 2 2 3 6" xfId="16583" xr:uid="{00000000-0005-0000-0000-00009F020000}"/>
    <cellStyle name="20% - Accent1 2 2 2 3 7" xfId="22059" xr:uid="{00000000-0005-0000-0000-0000A0020000}"/>
    <cellStyle name="20% - Accent1 2 2 2 3 8" xfId="33854" xr:uid="{00000000-0005-0000-0000-0000A1020000}"/>
    <cellStyle name="20% - Accent1 2 2 2 3 9" xfId="39331" xr:uid="{00000000-0005-0000-0000-0000A2020000}"/>
    <cellStyle name="20% - Accent1 2 2 2 4" xfId="653" xr:uid="{00000000-0005-0000-0000-0000A3020000}"/>
    <cellStyle name="20% - Accent1 2 2 2 4 10" xfId="44809" xr:uid="{00000000-0005-0000-0000-0000A4020000}"/>
    <cellStyle name="20% - Accent1 2 2 2 4 11" xfId="50287" xr:uid="{00000000-0005-0000-0000-0000A5020000}"/>
    <cellStyle name="20% - Accent1 2 2 2 4 2" xfId="2414" xr:uid="{00000000-0005-0000-0000-0000A6020000}"/>
    <cellStyle name="20% - Accent1 2 2 2 4 2 2" xfId="7894" xr:uid="{00000000-0005-0000-0000-0000A7020000}"/>
    <cellStyle name="20% - Accent1 2 2 2 4 2 3" xfId="13370" xr:uid="{00000000-0005-0000-0000-0000A8020000}"/>
    <cellStyle name="20% - Accent1 2 2 2 4 2 4" xfId="18846" xr:uid="{00000000-0005-0000-0000-0000A9020000}"/>
    <cellStyle name="20% - Accent1 2 2 2 4 2 5" xfId="24322" xr:uid="{00000000-0005-0000-0000-0000AA020000}"/>
    <cellStyle name="20% - Accent1 2 2 2 4 2 6" xfId="36118" xr:uid="{00000000-0005-0000-0000-0000AB020000}"/>
    <cellStyle name="20% - Accent1 2 2 2 4 2 7" xfId="41595" xr:uid="{00000000-0005-0000-0000-0000AC020000}"/>
    <cellStyle name="20% - Accent1 2 2 2 4 2 8" xfId="47072" xr:uid="{00000000-0005-0000-0000-0000AD020000}"/>
    <cellStyle name="20% - Accent1 2 2 2 4 2 9" xfId="52590" xr:uid="{00000000-0005-0000-0000-0000AE020000}"/>
    <cellStyle name="20% - Accent1 2 2 2 4 3" xfId="4186" xr:uid="{00000000-0005-0000-0000-0000AF020000}"/>
    <cellStyle name="20% - Accent1 2 2 2 4 3 2" xfId="9666" xr:uid="{00000000-0005-0000-0000-0000B0020000}"/>
    <cellStyle name="20% - Accent1 2 2 2 4 3 3" xfId="15142" xr:uid="{00000000-0005-0000-0000-0000B1020000}"/>
    <cellStyle name="20% - Accent1 2 2 2 4 3 4" xfId="20618" xr:uid="{00000000-0005-0000-0000-0000B2020000}"/>
    <cellStyle name="20% - Accent1 2 2 2 4 3 5" xfId="26094" xr:uid="{00000000-0005-0000-0000-0000B3020000}"/>
    <cellStyle name="20% - Accent1 2 2 2 4 3 6" xfId="37890" xr:uid="{00000000-0005-0000-0000-0000B4020000}"/>
    <cellStyle name="20% - Accent1 2 2 2 4 3 7" xfId="43367" xr:uid="{00000000-0005-0000-0000-0000B5020000}"/>
    <cellStyle name="20% - Accent1 2 2 2 4 3 8" xfId="48844" xr:uid="{00000000-0005-0000-0000-0000B6020000}"/>
    <cellStyle name="20% - Accent1 2 2 2 4 3 9" xfId="54362" xr:uid="{00000000-0005-0000-0000-0000B7020000}"/>
    <cellStyle name="20% - Accent1 2 2 2 4 4" xfId="5628" xr:uid="{00000000-0005-0000-0000-0000B8020000}"/>
    <cellStyle name="20% - Accent1 2 2 2 4 5" xfId="11108" xr:uid="{00000000-0005-0000-0000-0000B9020000}"/>
    <cellStyle name="20% - Accent1 2 2 2 4 6" xfId="16584" xr:uid="{00000000-0005-0000-0000-0000BA020000}"/>
    <cellStyle name="20% - Accent1 2 2 2 4 7" xfId="22060" xr:uid="{00000000-0005-0000-0000-0000BB020000}"/>
    <cellStyle name="20% - Accent1 2 2 2 4 8" xfId="33855" xr:uid="{00000000-0005-0000-0000-0000BC020000}"/>
    <cellStyle name="20% - Accent1 2 2 2 4 9" xfId="39332" xr:uid="{00000000-0005-0000-0000-0000BD020000}"/>
    <cellStyle name="20% - Accent1 2 2 2 5" xfId="825" xr:uid="{00000000-0005-0000-0000-0000BE020000}"/>
    <cellStyle name="20% - Accent1 2 2 2 5 10" xfId="44810" xr:uid="{00000000-0005-0000-0000-0000BF020000}"/>
    <cellStyle name="20% - Accent1 2 2 2 5 11" xfId="50288" xr:uid="{00000000-0005-0000-0000-0000C0020000}"/>
    <cellStyle name="20% - Accent1 2 2 2 5 2" xfId="2586" xr:uid="{00000000-0005-0000-0000-0000C1020000}"/>
    <cellStyle name="20% - Accent1 2 2 2 5 2 2" xfId="8066" xr:uid="{00000000-0005-0000-0000-0000C2020000}"/>
    <cellStyle name="20% - Accent1 2 2 2 5 2 3" xfId="13542" xr:uid="{00000000-0005-0000-0000-0000C3020000}"/>
    <cellStyle name="20% - Accent1 2 2 2 5 2 4" xfId="19018" xr:uid="{00000000-0005-0000-0000-0000C4020000}"/>
    <cellStyle name="20% - Accent1 2 2 2 5 2 5" xfId="24494" xr:uid="{00000000-0005-0000-0000-0000C5020000}"/>
    <cellStyle name="20% - Accent1 2 2 2 5 2 6" xfId="36290" xr:uid="{00000000-0005-0000-0000-0000C6020000}"/>
    <cellStyle name="20% - Accent1 2 2 2 5 2 7" xfId="41767" xr:uid="{00000000-0005-0000-0000-0000C7020000}"/>
    <cellStyle name="20% - Accent1 2 2 2 5 2 8" xfId="47244" xr:uid="{00000000-0005-0000-0000-0000C8020000}"/>
    <cellStyle name="20% - Accent1 2 2 2 5 2 9" xfId="52762" xr:uid="{00000000-0005-0000-0000-0000C9020000}"/>
    <cellStyle name="20% - Accent1 2 2 2 5 3" xfId="4358" xr:uid="{00000000-0005-0000-0000-0000CA020000}"/>
    <cellStyle name="20% - Accent1 2 2 2 5 3 2" xfId="9838" xr:uid="{00000000-0005-0000-0000-0000CB020000}"/>
    <cellStyle name="20% - Accent1 2 2 2 5 3 3" xfId="15314" xr:uid="{00000000-0005-0000-0000-0000CC020000}"/>
    <cellStyle name="20% - Accent1 2 2 2 5 3 4" xfId="20790" xr:uid="{00000000-0005-0000-0000-0000CD020000}"/>
    <cellStyle name="20% - Accent1 2 2 2 5 3 5" xfId="26266" xr:uid="{00000000-0005-0000-0000-0000CE020000}"/>
    <cellStyle name="20% - Accent1 2 2 2 5 3 6" xfId="38062" xr:uid="{00000000-0005-0000-0000-0000CF020000}"/>
    <cellStyle name="20% - Accent1 2 2 2 5 3 7" xfId="43539" xr:uid="{00000000-0005-0000-0000-0000D0020000}"/>
    <cellStyle name="20% - Accent1 2 2 2 5 3 8" xfId="49016" xr:uid="{00000000-0005-0000-0000-0000D1020000}"/>
    <cellStyle name="20% - Accent1 2 2 2 5 3 9" xfId="54534" xr:uid="{00000000-0005-0000-0000-0000D2020000}"/>
    <cellStyle name="20% - Accent1 2 2 2 5 4" xfId="5629" xr:uid="{00000000-0005-0000-0000-0000D3020000}"/>
    <cellStyle name="20% - Accent1 2 2 2 5 5" xfId="11109" xr:uid="{00000000-0005-0000-0000-0000D4020000}"/>
    <cellStyle name="20% - Accent1 2 2 2 5 6" xfId="16585" xr:uid="{00000000-0005-0000-0000-0000D5020000}"/>
    <cellStyle name="20% - Accent1 2 2 2 5 7" xfId="22061" xr:uid="{00000000-0005-0000-0000-0000D6020000}"/>
    <cellStyle name="20% - Accent1 2 2 2 5 8" xfId="33856" xr:uid="{00000000-0005-0000-0000-0000D7020000}"/>
    <cellStyle name="20% - Accent1 2 2 2 5 9" xfId="39333" xr:uid="{00000000-0005-0000-0000-0000D8020000}"/>
    <cellStyle name="20% - Accent1 2 2 2 6" xfId="1031" xr:uid="{00000000-0005-0000-0000-0000D9020000}"/>
    <cellStyle name="20% - Accent1 2 2 2 6 10" xfId="44811" xr:uid="{00000000-0005-0000-0000-0000DA020000}"/>
    <cellStyle name="20% - Accent1 2 2 2 6 11" xfId="50289" xr:uid="{00000000-0005-0000-0000-0000DB020000}"/>
    <cellStyle name="20% - Accent1 2 2 2 6 2" xfId="2792" xr:uid="{00000000-0005-0000-0000-0000DC020000}"/>
    <cellStyle name="20% - Accent1 2 2 2 6 2 2" xfId="8272" xr:uid="{00000000-0005-0000-0000-0000DD020000}"/>
    <cellStyle name="20% - Accent1 2 2 2 6 2 3" xfId="13748" xr:uid="{00000000-0005-0000-0000-0000DE020000}"/>
    <cellStyle name="20% - Accent1 2 2 2 6 2 4" xfId="19224" xr:uid="{00000000-0005-0000-0000-0000DF020000}"/>
    <cellStyle name="20% - Accent1 2 2 2 6 2 5" xfId="24700" xr:uid="{00000000-0005-0000-0000-0000E0020000}"/>
    <cellStyle name="20% - Accent1 2 2 2 6 2 6" xfId="36496" xr:uid="{00000000-0005-0000-0000-0000E1020000}"/>
    <cellStyle name="20% - Accent1 2 2 2 6 2 7" xfId="41973" xr:uid="{00000000-0005-0000-0000-0000E2020000}"/>
    <cellStyle name="20% - Accent1 2 2 2 6 2 8" xfId="47450" xr:uid="{00000000-0005-0000-0000-0000E3020000}"/>
    <cellStyle name="20% - Accent1 2 2 2 6 2 9" xfId="52968" xr:uid="{00000000-0005-0000-0000-0000E4020000}"/>
    <cellStyle name="20% - Accent1 2 2 2 6 3" xfId="4564" xr:uid="{00000000-0005-0000-0000-0000E5020000}"/>
    <cellStyle name="20% - Accent1 2 2 2 6 3 2" xfId="10044" xr:uid="{00000000-0005-0000-0000-0000E6020000}"/>
    <cellStyle name="20% - Accent1 2 2 2 6 3 3" xfId="15520" xr:uid="{00000000-0005-0000-0000-0000E7020000}"/>
    <cellStyle name="20% - Accent1 2 2 2 6 3 4" xfId="20996" xr:uid="{00000000-0005-0000-0000-0000E8020000}"/>
    <cellStyle name="20% - Accent1 2 2 2 6 3 5" xfId="26472" xr:uid="{00000000-0005-0000-0000-0000E9020000}"/>
    <cellStyle name="20% - Accent1 2 2 2 6 3 6" xfId="38268" xr:uid="{00000000-0005-0000-0000-0000EA020000}"/>
    <cellStyle name="20% - Accent1 2 2 2 6 3 7" xfId="43745" xr:uid="{00000000-0005-0000-0000-0000EB020000}"/>
    <cellStyle name="20% - Accent1 2 2 2 6 3 8" xfId="49222" xr:uid="{00000000-0005-0000-0000-0000EC020000}"/>
    <cellStyle name="20% - Accent1 2 2 2 6 3 9" xfId="54740" xr:uid="{00000000-0005-0000-0000-0000ED020000}"/>
    <cellStyle name="20% - Accent1 2 2 2 6 4" xfId="5630" xr:uid="{00000000-0005-0000-0000-0000EE020000}"/>
    <cellStyle name="20% - Accent1 2 2 2 6 5" xfId="11110" xr:uid="{00000000-0005-0000-0000-0000EF020000}"/>
    <cellStyle name="20% - Accent1 2 2 2 6 6" xfId="16586" xr:uid="{00000000-0005-0000-0000-0000F0020000}"/>
    <cellStyle name="20% - Accent1 2 2 2 6 7" xfId="22062" xr:uid="{00000000-0005-0000-0000-0000F1020000}"/>
    <cellStyle name="20% - Accent1 2 2 2 6 8" xfId="33857" xr:uid="{00000000-0005-0000-0000-0000F2020000}"/>
    <cellStyle name="20% - Accent1 2 2 2 6 9" xfId="39334" xr:uid="{00000000-0005-0000-0000-0000F3020000}"/>
    <cellStyle name="20% - Accent1 2 2 2 7" xfId="1203" xr:uid="{00000000-0005-0000-0000-0000F4020000}"/>
    <cellStyle name="20% - Accent1 2 2 2 7 10" xfId="44812" xr:uid="{00000000-0005-0000-0000-0000F5020000}"/>
    <cellStyle name="20% - Accent1 2 2 2 7 11" xfId="50290" xr:uid="{00000000-0005-0000-0000-0000F6020000}"/>
    <cellStyle name="20% - Accent1 2 2 2 7 2" xfId="2964" xr:uid="{00000000-0005-0000-0000-0000F7020000}"/>
    <cellStyle name="20% - Accent1 2 2 2 7 2 2" xfId="8444" xr:uid="{00000000-0005-0000-0000-0000F8020000}"/>
    <cellStyle name="20% - Accent1 2 2 2 7 2 3" xfId="13920" xr:uid="{00000000-0005-0000-0000-0000F9020000}"/>
    <cellStyle name="20% - Accent1 2 2 2 7 2 4" xfId="19396" xr:uid="{00000000-0005-0000-0000-0000FA020000}"/>
    <cellStyle name="20% - Accent1 2 2 2 7 2 5" xfId="24872" xr:uid="{00000000-0005-0000-0000-0000FB020000}"/>
    <cellStyle name="20% - Accent1 2 2 2 7 2 6" xfId="36668" xr:uid="{00000000-0005-0000-0000-0000FC020000}"/>
    <cellStyle name="20% - Accent1 2 2 2 7 2 7" xfId="42145" xr:uid="{00000000-0005-0000-0000-0000FD020000}"/>
    <cellStyle name="20% - Accent1 2 2 2 7 2 8" xfId="47622" xr:uid="{00000000-0005-0000-0000-0000FE020000}"/>
    <cellStyle name="20% - Accent1 2 2 2 7 2 9" xfId="53140" xr:uid="{00000000-0005-0000-0000-0000FF020000}"/>
    <cellStyle name="20% - Accent1 2 2 2 7 3" xfId="4736" xr:uid="{00000000-0005-0000-0000-000000030000}"/>
    <cellStyle name="20% - Accent1 2 2 2 7 3 2" xfId="10216" xr:uid="{00000000-0005-0000-0000-000001030000}"/>
    <cellStyle name="20% - Accent1 2 2 2 7 3 3" xfId="15692" xr:uid="{00000000-0005-0000-0000-000002030000}"/>
    <cellStyle name="20% - Accent1 2 2 2 7 3 4" xfId="21168" xr:uid="{00000000-0005-0000-0000-000003030000}"/>
    <cellStyle name="20% - Accent1 2 2 2 7 3 5" xfId="26644" xr:uid="{00000000-0005-0000-0000-000004030000}"/>
    <cellStyle name="20% - Accent1 2 2 2 7 3 6" xfId="38440" xr:uid="{00000000-0005-0000-0000-000005030000}"/>
    <cellStyle name="20% - Accent1 2 2 2 7 3 7" xfId="43917" xr:uid="{00000000-0005-0000-0000-000006030000}"/>
    <cellStyle name="20% - Accent1 2 2 2 7 3 8" xfId="49394" xr:uid="{00000000-0005-0000-0000-000007030000}"/>
    <cellStyle name="20% - Accent1 2 2 2 7 3 9" xfId="54912" xr:uid="{00000000-0005-0000-0000-000008030000}"/>
    <cellStyle name="20% - Accent1 2 2 2 7 4" xfId="5631" xr:uid="{00000000-0005-0000-0000-000009030000}"/>
    <cellStyle name="20% - Accent1 2 2 2 7 5" xfId="11111" xr:uid="{00000000-0005-0000-0000-00000A030000}"/>
    <cellStyle name="20% - Accent1 2 2 2 7 6" xfId="16587" xr:uid="{00000000-0005-0000-0000-00000B030000}"/>
    <cellStyle name="20% - Accent1 2 2 2 7 7" xfId="22063" xr:uid="{00000000-0005-0000-0000-00000C030000}"/>
    <cellStyle name="20% - Accent1 2 2 2 7 8" xfId="33858" xr:uid="{00000000-0005-0000-0000-00000D030000}"/>
    <cellStyle name="20% - Accent1 2 2 2 7 9" xfId="39335" xr:uid="{00000000-0005-0000-0000-00000E030000}"/>
    <cellStyle name="20% - Accent1 2 2 2 8" xfId="1375" xr:uid="{00000000-0005-0000-0000-00000F030000}"/>
    <cellStyle name="20% - Accent1 2 2 2 8 10" xfId="44813" xr:uid="{00000000-0005-0000-0000-000010030000}"/>
    <cellStyle name="20% - Accent1 2 2 2 8 11" xfId="50291" xr:uid="{00000000-0005-0000-0000-000011030000}"/>
    <cellStyle name="20% - Accent1 2 2 2 8 2" xfId="3136" xr:uid="{00000000-0005-0000-0000-000012030000}"/>
    <cellStyle name="20% - Accent1 2 2 2 8 2 2" xfId="8616" xr:uid="{00000000-0005-0000-0000-000013030000}"/>
    <cellStyle name="20% - Accent1 2 2 2 8 2 3" xfId="14092" xr:uid="{00000000-0005-0000-0000-000014030000}"/>
    <cellStyle name="20% - Accent1 2 2 2 8 2 4" xfId="19568" xr:uid="{00000000-0005-0000-0000-000015030000}"/>
    <cellStyle name="20% - Accent1 2 2 2 8 2 5" xfId="25044" xr:uid="{00000000-0005-0000-0000-000016030000}"/>
    <cellStyle name="20% - Accent1 2 2 2 8 2 6" xfId="36840" xr:uid="{00000000-0005-0000-0000-000017030000}"/>
    <cellStyle name="20% - Accent1 2 2 2 8 2 7" xfId="42317" xr:uid="{00000000-0005-0000-0000-000018030000}"/>
    <cellStyle name="20% - Accent1 2 2 2 8 2 8" xfId="47794" xr:uid="{00000000-0005-0000-0000-000019030000}"/>
    <cellStyle name="20% - Accent1 2 2 2 8 2 9" xfId="53312" xr:uid="{00000000-0005-0000-0000-00001A030000}"/>
    <cellStyle name="20% - Accent1 2 2 2 8 3" xfId="4908" xr:uid="{00000000-0005-0000-0000-00001B030000}"/>
    <cellStyle name="20% - Accent1 2 2 2 8 3 2" xfId="10388" xr:uid="{00000000-0005-0000-0000-00001C030000}"/>
    <cellStyle name="20% - Accent1 2 2 2 8 3 3" xfId="15864" xr:uid="{00000000-0005-0000-0000-00001D030000}"/>
    <cellStyle name="20% - Accent1 2 2 2 8 3 4" xfId="21340" xr:uid="{00000000-0005-0000-0000-00001E030000}"/>
    <cellStyle name="20% - Accent1 2 2 2 8 3 5" xfId="26816" xr:uid="{00000000-0005-0000-0000-00001F030000}"/>
    <cellStyle name="20% - Accent1 2 2 2 8 3 6" xfId="38612" xr:uid="{00000000-0005-0000-0000-000020030000}"/>
    <cellStyle name="20% - Accent1 2 2 2 8 3 7" xfId="44089" xr:uid="{00000000-0005-0000-0000-000021030000}"/>
    <cellStyle name="20% - Accent1 2 2 2 8 3 8" xfId="49566" xr:uid="{00000000-0005-0000-0000-000022030000}"/>
    <cellStyle name="20% - Accent1 2 2 2 8 3 9" xfId="55084" xr:uid="{00000000-0005-0000-0000-000023030000}"/>
    <cellStyle name="20% - Accent1 2 2 2 8 4" xfId="5632" xr:uid="{00000000-0005-0000-0000-000024030000}"/>
    <cellStyle name="20% - Accent1 2 2 2 8 5" xfId="11112" xr:uid="{00000000-0005-0000-0000-000025030000}"/>
    <cellStyle name="20% - Accent1 2 2 2 8 6" xfId="16588" xr:uid="{00000000-0005-0000-0000-000026030000}"/>
    <cellStyle name="20% - Accent1 2 2 2 8 7" xfId="22064" xr:uid="{00000000-0005-0000-0000-000027030000}"/>
    <cellStyle name="20% - Accent1 2 2 2 8 8" xfId="33859" xr:uid="{00000000-0005-0000-0000-000028030000}"/>
    <cellStyle name="20% - Accent1 2 2 2 8 9" xfId="39336" xr:uid="{00000000-0005-0000-0000-000029030000}"/>
    <cellStyle name="20% - Accent1 2 2 2 9" xfId="1547" xr:uid="{00000000-0005-0000-0000-00002A030000}"/>
    <cellStyle name="20% - Accent1 2 2 2 9 10" xfId="44814" xr:uid="{00000000-0005-0000-0000-00002B030000}"/>
    <cellStyle name="20% - Accent1 2 2 2 9 11" xfId="50292" xr:uid="{00000000-0005-0000-0000-00002C030000}"/>
    <cellStyle name="20% - Accent1 2 2 2 9 2" xfId="3308" xr:uid="{00000000-0005-0000-0000-00002D030000}"/>
    <cellStyle name="20% - Accent1 2 2 2 9 2 2" xfId="8788" xr:uid="{00000000-0005-0000-0000-00002E030000}"/>
    <cellStyle name="20% - Accent1 2 2 2 9 2 3" xfId="14264" xr:uid="{00000000-0005-0000-0000-00002F030000}"/>
    <cellStyle name="20% - Accent1 2 2 2 9 2 4" xfId="19740" xr:uid="{00000000-0005-0000-0000-000030030000}"/>
    <cellStyle name="20% - Accent1 2 2 2 9 2 5" xfId="25216" xr:uid="{00000000-0005-0000-0000-000031030000}"/>
    <cellStyle name="20% - Accent1 2 2 2 9 2 6" xfId="37012" xr:uid="{00000000-0005-0000-0000-000032030000}"/>
    <cellStyle name="20% - Accent1 2 2 2 9 2 7" xfId="42489" xr:uid="{00000000-0005-0000-0000-000033030000}"/>
    <cellStyle name="20% - Accent1 2 2 2 9 2 8" xfId="47966" xr:uid="{00000000-0005-0000-0000-000034030000}"/>
    <cellStyle name="20% - Accent1 2 2 2 9 2 9" xfId="53484" xr:uid="{00000000-0005-0000-0000-000035030000}"/>
    <cellStyle name="20% - Accent1 2 2 2 9 3" xfId="5080" xr:uid="{00000000-0005-0000-0000-000036030000}"/>
    <cellStyle name="20% - Accent1 2 2 2 9 3 2" xfId="10560" xr:uid="{00000000-0005-0000-0000-000037030000}"/>
    <cellStyle name="20% - Accent1 2 2 2 9 3 3" xfId="16036" xr:uid="{00000000-0005-0000-0000-000038030000}"/>
    <cellStyle name="20% - Accent1 2 2 2 9 3 4" xfId="21512" xr:uid="{00000000-0005-0000-0000-000039030000}"/>
    <cellStyle name="20% - Accent1 2 2 2 9 3 5" xfId="26988" xr:uid="{00000000-0005-0000-0000-00003A030000}"/>
    <cellStyle name="20% - Accent1 2 2 2 9 3 6" xfId="38784" xr:uid="{00000000-0005-0000-0000-00003B030000}"/>
    <cellStyle name="20% - Accent1 2 2 2 9 3 7" xfId="44261" xr:uid="{00000000-0005-0000-0000-00003C030000}"/>
    <cellStyle name="20% - Accent1 2 2 2 9 3 8" xfId="49738" xr:uid="{00000000-0005-0000-0000-00003D030000}"/>
    <cellStyle name="20% - Accent1 2 2 2 9 3 9" xfId="55256" xr:uid="{00000000-0005-0000-0000-00003E030000}"/>
    <cellStyle name="20% - Accent1 2 2 2 9 4" xfId="5633" xr:uid="{00000000-0005-0000-0000-00003F030000}"/>
    <cellStyle name="20% - Accent1 2 2 2 9 5" xfId="11113" xr:uid="{00000000-0005-0000-0000-000040030000}"/>
    <cellStyle name="20% - Accent1 2 2 2 9 6" xfId="16589" xr:uid="{00000000-0005-0000-0000-000041030000}"/>
    <cellStyle name="20% - Accent1 2 2 2 9 7" xfId="22065" xr:uid="{00000000-0005-0000-0000-000042030000}"/>
    <cellStyle name="20% - Accent1 2 2 2 9 8" xfId="33860" xr:uid="{00000000-0005-0000-0000-000043030000}"/>
    <cellStyle name="20% - Accent1 2 2 2 9 9" xfId="39337" xr:uid="{00000000-0005-0000-0000-000044030000}"/>
    <cellStyle name="20% - Accent1 2 2 20" xfId="39325" xr:uid="{00000000-0005-0000-0000-000045030000}"/>
    <cellStyle name="20% - Accent1 2 2 21" xfId="44802" xr:uid="{00000000-0005-0000-0000-000046030000}"/>
    <cellStyle name="20% - Accent1 2 2 22" xfId="50280" xr:uid="{00000000-0005-0000-0000-000047030000}"/>
    <cellStyle name="20% - Accent1 2 2 3" xfId="279" xr:uid="{00000000-0005-0000-0000-000048030000}"/>
    <cellStyle name="20% - Accent1 2 2 3 10" xfId="39338" xr:uid="{00000000-0005-0000-0000-000049030000}"/>
    <cellStyle name="20% - Accent1 2 2 3 11" xfId="44815" xr:uid="{00000000-0005-0000-0000-00004A030000}"/>
    <cellStyle name="20% - Accent1 2 2 3 12" xfId="50293" xr:uid="{00000000-0005-0000-0000-00004B030000}"/>
    <cellStyle name="20% - Accent1 2 2 3 2" xfId="2081" xr:uid="{00000000-0005-0000-0000-00004C030000}"/>
    <cellStyle name="20% - Accent1 2 2 3 2 2" xfId="7561" xr:uid="{00000000-0005-0000-0000-00004D030000}"/>
    <cellStyle name="20% - Accent1 2 2 3 2 3" xfId="13037" xr:uid="{00000000-0005-0000-0000-00004E030000}"/>
    <cellStyle name="20% - Accent1 2 2 3 2 4" xfId="18513" xr:uid="{00000000-0005-0000-0000-00004F030000}"/>
    <cellStyle name="20% - Accent1 2 2 3 2 5" xfId="23989" xr:uid="{00000000-0005-0000-0000-000050030000}"/>
    <cellStyle name="20% - Accent1 2 2 3 2 6" xfId="35785" xr:uid="{00000000-0005-0000-0000-000051030000}"/>
    <cellStyle name="20% - Accent1 2 2 3 2 7" xfId="41262" xr:uid="{00000000-0005-0000-0000-000052030000}"/>
    <cellStyle name="20% - Accent1 2 2 3 2 8" xfId="46739" xr:uid="{00000000-0005-0000-0000-000053030000}"/>
    <cellStyle name="20% - Accent1 2 2 3 2 9" xfId="52257" xr:uid="{00000000-0005-0000-0000-000054030000}"/>
    <cellStyle name="20% - Accent1 2 2 3 3" xfId="3841" xr:uid="{00000000-0005-0000-0000-000055030000}"/>
    <cellStyle name="20% - Accent1 2 2 3 3 2" xfId="9321" xr:uid="{00000000-0005-0000-0000-000056030000}"/>
    <cellStyle name="20% - Accent1 2 2 3 3 3" xfId="14797" xr:uid="{00000000-0005-0000-0000-000057030000}"/>
    <cellStyle name="20% - Accent1 2 2 3 3 4" xfId="20273" xr:uid="{00000000-0005-0000-0000-000058030000}"/>
    <cellStyle name="20% - Accent1 2 2 3 3 5" xfId="25749" xr:uid="{00000000-0005-0000-0000-000059030000}"/>
    <cellStyle name="20% - Accent1 2 2 3 3 6" xfId="37545" xr:uid="{00000000-0005-0000-0000-00005A030000}"/>
    <cellStyle name="20% - Accent1 2 2 3 3 7" xfId="43022" xr:uid="{00000000-0005-0000-0000-00005B030000}"/>
    <cellStyle name="20% - Accent1 2 2 3 3 8" xfId="48499" xr:uid="{00000000-0005-0000-0000-00005C030000}"/>
    <cellStyle name="20% - Accent1 2 2 3 3 9" xfId="54017" xr:uid="{00000000-0005-0000-0000-00005D030000}"/>
    <cellStyle name="20% - Accent1 2 2 3 4" xfId="5634" xr:uid="{00000000-0005-0000-0000-00005E030000}"/>
    <cellStyle name="20% - Accent1 2 2 3 5" xfId="11114" xr:uid="{00000000-0005-0000-0000-00005F030000}"/>
    <cellStyle name="20% - Accent1 2 2 3 6" xfId="16590" xr:uid="{00000000-0005-0000-0000-000060030000}"/>
    <cellStyle name="20% - Accent1 2 2 3 7" xfId="22066" xr:uid="{00000000-0005-0000-0000-000061030000}"/>
    <cellStyle name="20% - Accent1 2 2 3 8" xfId="27792" xr:uid="{00000000-0005-0000-0000-000062030000}"/>
    <cellStyle name="20% - Accent1 2 2 3 9" xfId="33861" xr:uid="{00000000-0005-0000-0000-000063030000}"/>
    <cellStyle name="20% - Accent1 2 2 4" xfId="480" xr:uid="{00000000-0005-0000-0000-000064030000}"/>
    <cellStyle name="20% - Accent1 2 2 4 10" xfId="44816" xr:uid="{00000000-0005-0000-0000-000065030000}"/>
    <cellStyle name="20% - Accent1 2 2 4 11" xfId="50294" xr:uid="{00000000-0005-0000-0000-000066030000}"/>
    <cellStyle name="20% - Accent1 2 2 4 2" xfId="2241" xr:uid="{00000000-0005-0000-0000-000067030000}"/>
    <cellStyle name="20% - Accent1 2 2 4 2 2" xfId="7721" xr:uid="{00000000-0005-0000-0000-000068030000}"/>
    <cellStyle name="20% - Accent1 2 2 4 2 3" xfId="13197" xr:uid="{00000000-0005-0000-0000-000069030000}"/>
    <cellStyle name="20% - Accent1 2 2 4 2 4" xfId="18673" xr:uid="{00000000-0005-0000-0000-00006A030000}"/>
    <cellStyle name="20% - Accent1 2 2 4 2 5" xfId="24149" xr:uid="{00000000-0005-0000-0000-00006B030000}"/>
    <cellStyle name="20% - Accent1 2 2 4 2 6" xfId="35945" xr:uid="{00000000-0005-0000-0000-00006C030000}"/>
    <cellStyle name="20% - Accent1 2 2 4 2 7" xfId="41422" xr:uid="{00000000-0005-0000-0000-00006D030000}"/>
    <cellStyle name="20% - Accent1 2 2 4 2 8" xfId="46899" xr:uid="{00000000-0005-0000-0000-00006E030000}"/>
    <cellStyle name="20% - Accent1 2 2 4 2 9" xfId="52417" xr:uid="{00000000-0005-0000-0000-00006F030000}"/>
    <cellStyle name="20% - Accent1 2 2 4 3" xfId="4013" xr:uid="{00000000-0005-0000-0000-000070030000}"/>
    <cellStyle name="20% - Accent1 2 2 4 3 2" xfId="9493" xr:uid="{00000000-0005-0000-0000-000071030000}"/>
    <cellStyle name="20% - Accent1 2 2 4 3 3" xfId="14969" xr:uid="{00000000-0005-0000-0000-000072030000}"/>
    <cellStyle name="20% - Accent1 2 2 4 3 4" xfId="20445" xr:uid="{00000000-0005-0000-0000-000073030000}"/>
    <cellStyle name="20% - Accent1 2 2 4 3 5" xfId="25921" xr:uid="{00000000-0005-0000-0000-000074030000}"/>
    <cellStyle name="20% - Accent1 2 2 4 3 6" xfId="37717" xr:uid="{00000000-0005-0000-0000-000075030000}"/>
    <cellStyle name="20% - Accent1 2 2 4 3 7" xfId="43194" xr:uid="{00000000-0005-0000-0000-000076030000}"/>
    <cellStyle name="20% - Accent1 2 2 4 3 8" xfId="48671" xr:uid="{00000000-0005-0000-0000-000077030000}"/>
    <cellStyle name="20% - Accent1 2 2 4 3 9" xfId="54189" xr:uid="{00000000-0005-0000-0000-000078030000}"/>
    <cellStyle name="20% - Accent1 2 2 4 4" xfId="5635" xr:uid="{00000000-0005-0000-0000-000079030000}"/>
    <cellStyle name="20% - Accent1 2 2 4 5" xfId="11115" xr:uid="{00000000-0005-0000-0000-00007A030000}"/>
    <cellStyle name="20% - Accent1 2 2 4 6" xfId="16591" xr:uid="{00000000-0005-0000-0000-00007B030000}"/>
    <cellStyle name="20% - Accent1 2 2 4 7" xfId="22067" xr:uid="{00000000-0005-0000-0000-00007C030000}"/>
    <cellStyle name="20% - Accent1 2 2 4 8" xfId="33862" xr:uid="{00000000-0005-0000-0000-00007D030000}"/>
    <cellStyle name="20% - Accent1 2 2 4 9" xfId="39339" xr:uid="{00000000-0005-0000-0000-00007E030000}"/>
    <cellStyle name="20% - Accent1 2 2 5" xfId="652" xr:uid="{00000000-0005-0000-0000-00007F030000}"/>
    <cellStyle name="20% - Accent1 2 2 5 10" xfId="44817" xr:uid="{00000000-0005-0000-0000-000080030000}"/>
    <cellStyle name="20% - Accent1 2 2 5 11" xfId="50295" xr:uid="{00000000-0005-0000-0000-000081030000}"/>
    <cellStyle name="20% - Accent1 2 2 5 2" xfId="2413" xr:uid="{00000000-0005-0000-0000-000082030000}"/>
    <cellStyle name="20% - Accent1 2 2 5 2 2" xfId="7893" xr:uid="{00000000-0005-0000-0000-000083030000}"/>
    <cellStyle name="20% - Accent1 2 2 5 2 3" xfId="13369" xr:uid="{00000000-0005-0000-0000-000084030000}"/>
    <cellStyle name="20% - Accent1 2 2 5 2 4" xfId="18845" xr:uid="{00000000-0005-0000-0000-000085030000}"/>
    <cellStyle name="20% - Accent1 2 2 5 2 5" xfId="24321" xr:uid="{00000000-0005-0000-0000-000086030000}"/>
    <cellStyle name="20% - Accent1 2 2 5 2 6" xfId="36117" xr:uid="{00000000-0005-0000-0000-000087030000}"/>
    <cellStyle name="20% - Accent1 2 2 5 2 7" xfId="41594" xr:uid="{00000000-0005-0000-0000-000088030000}"/>
    <cellStyle name="20% - Accent1 2 2 5 2 8" xfId="47071" xr:uid="{00000000-0005-0000-0000-000089030000}"/>
    <cellStyle name="20% - Accent1 2 2 5 2 9" xfId="52589" xr:uid="{00000000-0005-0000-0000-00008A030000}"/>
    <cellStyle name="20% - Accent1 2 2 5 3" xfId="4185" xr:uid="{00000000-0005-0000-0000-00008B030000}"/>
    <cellStyle name="20% - Accent1 2 2 5 3 2" xfId="9665" xr:uid="{00000000-0005-0000-0000-00008C030000}"/>
    <cellStyle name="20% - Accent1 2 2 5 3 3" xfId="15141" xr:uid="{00000000-0005-0000-0000-00008D030000}"/>
    <cellStyle name="20% - Accent1 2 2 5 3 4" xfId="20617" xr:uid="{00000000-0005-0000-0000-00008E030000}"/>
    <cellStyle name="20% - Accent1 2 2 5 3 5" xfId="26093" xr:uid="{00000000-0005-0000-0000-00008F030000}"/>
    <cellStyle name="20% - Accent1 2 2 5 3 6" xfId="37889" xr:uid="{00000000-0005-0000-0000-000090030000}"/>
    <cellStyle name="20% - Accent1 2 2 5 3 7" xfId="43366" xr:uid="{00000000-0005-0000-0000-000091030000}"/>
    <cellStyle name="20% - Accent1 2 2 5 3 8" xfId="48843" xr:uid="{00000000-0005-0000-0000-000092030000}"/>
    <cellStyle name="20% - Accent1 2 2 5 3 9" xfId="54361" xr:uid="{00000000-0005-0000-0000-000093030000}"/>
    <cellStyle name="20% - Accent1 2 2 5 4" xfId="5636" xr:uid="{00000000-0005-0000-0000-000094030000}"/>
    <cellStyle name="20% - Accent1 2 2 5 5" xfId="11116" xr:uid="{00000000-0005-0000-0000-000095030000}"/>
    <cellStyle name="20% - Accent1 2 2 5 6" xfId="16592" xr:uid="{00000000-0005-0000-0000-000096030000}"/>
    <cellStyle name="20% - Accent1 2 2 5 7" xfId="22068" xr:uid="{00000000-0005-0000-0000-000097030000}"/>
    <cellStyle name="20% - Accent1 2 2 5 8" xfId="33863" xr:uid="{00000000-0005-0000-0000-000098030000}"/>
    <cellStyle name="20% - Accent1 2 2 5 9" xfId="39340" xr:uid="{00000000-0005-0000-0000-000099030000}"/>
    <cellStyle name="20% - Accent1 2 2 6" xfId="824" xr:uid="{00000000-0005-0000-0000-00009A030000}"/>
    <cellStyle name="20% - Accent1 2 2 6 10" xfId="44818" xr:uid="{00000000-0005-0000-0000-00009B030000}"/>
    <cellStyle name="20% - Accent1 2 2 6 11" xfId="50296" xr:uid="{00000000-0005-0000-0000-00009C030000}"/>
    <cellStyle name="20% - Accent1 2 2 6 2" xfId="2585" xr:uid="{00000000-0005-0000-0000-00009D030000}"/>
    <cellStyle name="20% - Accent1 2 2 6 2 2" xfId="8065" xr:uid="{00000000-0005-0000-0000-00009E030000}"/>
    <cellStyle name="20% - Accent1 2 2 6 2 3" xfId="13541" xr:uid="{00000000-0005-0000-0000-00009F030000}"/>
    <cellStyle name="20% - Accent1 2 2 6 2 4" xfId="19017" xr:uid="{00000000-0005-0000-0000-0000A0030000}"/>
    <cellStyle name="20% - Accent1 2 2 6 2 5" xfId="24493" xr:uid="{00000000-0005-0000-0000-0000A1030000}"/>
    <cellStyle name="20% - Accent1 2 2 6 2 6" xfId="36289" xr:uid="{00000000-0005-0000-0000-0000A2030000}"/>
    <cellStyle name="20% - Accent1 2 2 6 2 7" xfId="41766" xr:uid="{00000000-0005-0000-0000-0000A3030000}"/>
    <cellStyle name="20% - Accent1 2 2 6 2 8" xfId="47243" xr:uid="{00000000-0005-0000-0000-0000A4030000}"/>
    <cellStyle name="20% - Accent1 2 2 6 2 9" xfId="52761" xr:uid="{00000000-0005-0000-0000-0000A5030000}"/>
    <cellStyle name="20% - Accent1 2 2 6 3" xfId="4357" xr:uid="{00000000-0005-0000-0000-0000A6030000}"/>
    <cellStyle name="20% - Accent1 2 2 6 3 2" xfId="9837" xr:uid="{00000000-0005-0000-0000-0000A7030000}"/>
    <cellStyle name="20% - Accent1 2 2 6 3 3" xfId="15313" xr:uid="{00000000-0005-0000-0000-0000A8030000}"/>
    <cellStyle name="20% - Accent1 2 2 6 3 4" xfId="20789" xr:uid="{00000000-0005-0000-0000-0000A9030000}"/>
    <cellStyle name="20% - Accent1 2 2 6 3 5" xfId="26265" xr:uid="{00000000-0005-0000-0000-0000AA030000}"/>
    <cellStyle name="20% - Accent1 2 2 6 3 6" xfId="38061" xr:uid="{00000000-0005-0000-0000-0000AB030000}"/>
    <cellStyle name="20% - Accent1 2 2 6 3 7" xfId="43538" xr:uid="{00000000-0005-0000-0000-0000AC030000}"/>
    <cellStyle name="20% - Accent1 2 2 6 3 8" xfId="49015" xr:uid="{00000000-0005-0000-0000-0000AD030000}"/>
    <cellStyle name="20% - Accent1 2 2 6 3 9" xfId="54533" xr:uid="{00000000-0005-0000-0000-0000AE030000}"/>
    <cellStyle name="20% - Accent1 2 2 6 4" xfId="5637" xr:uid="{00000000-0005-0000-0000-0000AF030000}"/>
    <cellStyle name="20% - Accent1 2 2 6 5" xfId="11117" xr:uid="{00000000-0005-0000-0000-0000B0030000}"/>
    <cellStyle name="20% - Accent1 2 2 6 6" xfId="16593" xr:uid="{00000000-0005-0000-0000-0000B1030000}"/>
    <cellStyle name="20% - Accent1 2 2 6 7" xfId="22069" xr:uid="{00000000-0005-0000-0000-0000B2030000}"/>
    <cellStyle name="20% - Accent1 2 2 6 8" xfId="33864" xr:uid="{00000000-0005-0000-0000-0000B3030000}"/>
    <cellStyle name="20% - Accent1 2 2 6 9" xfId="39341" xr:uid="{00000000-0005-0000-0000-0000B4030000}"/>
    <cellStyle name="20% - Accent1 2 2 7" xfId="1030" xr:uid="{00000000-0005-0000-0000-0000B5030000}"/>
    <cellStyle name="20% - Accent1 2 2 7 10" xfId="44819" xr:uid="{00000000-0005-0000-0000-0000B6030000}"/>
    <cellStyle name="20% - Accent1 2 2 7 11" xfId="50297" xr:uid="{00000000-0005-0000-0000-0000B7030000}"/>
    <cellStyle name="20% - Accent1 2 2 7 2" xfId="2791" xr:uid="{00000000-0005-0000-0000-0000B8030000}"/>
    <cellStyle name="20% - Accent1 2 2 7 2 2" xfId="8271" xr:uid="{00000000-0005-0000-0000-0000B9030000}"/>
    <cellStyle name="20% - Accent1 2 2 7 2 3" xfId="13747" xr:uid="{00000000-0005-0000-0000-0000BA030000}"/>
    <cellStyle name="20% - Accent1 2 2 7 2 4" xfId="19223" xr:uid="{00000000-0005-0000-0000-0000BB030000}"/>
    <cellStyle name="20% - Accent1 2 2 7 2 5" xfId="24699" xr:uid="{00000000-0005-0000-0000-0000BC030000}"/>
    <cellStyle name="20% - Accent1 2 2 7 2 6" xfId="36495" xr:uid="{00000000-0005-0000-0000-0000BD030000}"/>
    <cellStyle name="20% - Accent1 2 2 7 2 7" xfId="41972" xr:uid="{00000000-0005-0000-0000-0000BE030000}"/>
    <cellStyle name="20% - Accent1 2 2 7 2 8" xfId="47449" xr:uid="{00000000-0005-0000-0000-0000BF030000}"/>
    <cellStyle name="20% - Accent1 2 2 7 2 9" xfId="52967" xr:uid="{00000000-0005-0000-0000-0000C0030000}"/>
    <cellStyle name="20% - Accent1 2 2 7 3" xfId="4563" xr:uid="{00000000-0005-0000-0000-0000C1030000}"/>
    <cellStyle name="20% - Accent1 2 2 7 3 2" xfId="10043" xr:uid="{00000000-0005-0000-0000-0000C2030000}"/>
    <cellStyle name="20% - Accent1 2 2 7 3 3" xfId="15519" xr:uid="{00000000-0005-0000-0000-0000C3030000}"/>
    <cellStyle name="20% - Accent1 2 2 7 3 4" xfId="20995" xr:uid="{00000000-0005-0000-0000-0000C4030000}"/>
    <cellStyle name="20% - Accent1 2 2 7 3 5" xfId="26471" xr:uid="{00000000-0005-0000-0000-0000C5030000}"/>
    <cellStyle name="20% - Accent1 2 2 7 3 6" xfId="38267" xr:uid="{00000000-0005-0000-0000-0000C6030000}"/>
    <cellStyle name="20% - Accent1 2 2 7 3 7" xfId="43744" xr:uid="{00000000-0005-0000-0000-0000C7030000}"/>
    <cellStyle name="20% - Accent1 2 2 7 3 8" xfId="49221" xr:uid="{00000000-0005-0000-0000-0000C8030000}"/>
    <cellStyle name="20% - Accent1 2 2 7 3 9" xfId="54739" xr:uid="{00000000-0005-0000-0000-0000C9030000}"/>
    <cellStyle name="20% - Accent1 2 2 7 4" xfId="5638" xr:uid="{00000000-0005-0000-0000-0000CA030000}"/>
    <cellStyle name="20% - Accent1 2 2 7 5" xfId="11118" xr:uid="{00000000-0005-0000-0000-0000CB030000}"/>
    <cellStyle name="20% - Accent1 2 2 7 6" xfId="16594" xr:uid="{00000000-0005-0000-0000-0000CC030000}"/>
    <cellStyle name="20% - Accent1 2 2 7 7" xfId="22070" xr:uid="{00000000-0005-0000-0000-0000CD030000}"/>
    <cellStyle name="20% - Accent1 2 2 7 8" xfId="33865" xr:uid="{00000000-0005-0000-0000-0000CE030000}"/>
    <cellStyle name="20% - Accent1 2 2 7 9" xfId="39342" xr:uid="{00000000-0005-0000-0000-0000CF030000}"/>
    <cellStyle name="20% - Accent1 2 2 8" xfId="1202" xr:uid="{00000000-0005-0000-0000-0000D0030000}"/>
    <cellStyle name="20% - Accent1 2 2 8 10" xfId="44820" xr:uid="{00000000-0005-0000-0000-0000D1030000}"/>
    <cellStyle name="20% - Accent1 2 2 8 11" xfId="50298" xr:uid="{00000000-0005-0000-0000-0000D2030000}"/>
    <cellStyle name="20% - Accent1 2 2 8 2" xfId="2963" xr:uid="{00000000-0005-0000-0000-0000D3030000}"/>
    <cellStyle name="20% - Accent1 2 2 8 2 2" xfId="8443" xr:uid="{00000000-0005-0000-0000-0000D4030000}"/>
    <cellStyle name="20% - Accent1 2 2 8 2 3" xfId="13919" xr:uid="{00000000-0005-0000-0000-0000D5030000}"/>
    <cellStyle name="20% - Accent1 2 2 8 2 4" xfId="19395" xr:uid="{00000000-0005-0000-0000-0000D6030000}"/>
    <cellStyle name="20% - Accent1 2 2 8 2 5" xfId="24871" xr:uid="{00000000-0005-0000-0000-0000D7030000}"/>
    <cellStyle name="20% - Accent1 2 2 8 2 6" xfId="36667" xr:uid="{00000000-0005-0000-0000-0000D8030000}"/>
    <cellStyle name="20% - Accent1 2 2 8 2 7" xfId="42144" xr:uid="{00000000-0005-0000-0000-0000D9030000}"/>
    <cellStyle name="20% - Accent1 2 2 8 2 8" xfId="47621" xr:uid="{00000000-0005-0000-0000-0000DA030000}"/>
    <cellStyle name="20% - Accent1 2 2 8 2 9" xfId="53139" xr:uid="{00000000-0005-0000-0000-0000DB030000}"/>
    <cellStyle name="20% - Accent1 2 2 8 3" xfId="4735" xr:uid="{00000000-0005-0000-0000-0000DC030000}"/>
    <cellStyle name="20% - Accent1 2 2 8 3 2" xfId="10215" xr:uid="{00000000-0005-0000-0000-0000DD030000}"/>
    <cellStyle name="20% - Accent1 2 2 8 3 3" xfId="15691" xr:uid="{00000000-0005-0000-0000-0000DE030000}"/>
    <cellStyle name="20% - Accent1 2 2 8 3 4" xfId="21167" xr:uid="{00000000-0005-0000-0000-0000DF030000}"/>
    <cellStyle name="20% - Accent1 2 2 8 3 5" xfId="26643" xr:uid="{00000000-0005-0000-0000-0000E0030000}"/>
    <cellStyle name="20% - Accent1 2 2 8 3 6" xfId="38439" xr:uid="{00000000-0005-0000-0000-0000E1030000}"/>
    <cellStyle name="20% - Accent1 2 2 8 3 7" xfId="43916" xr:uid="{00000000-0005-0000-0000-0000E2030000}"/>
    <cellStyle name="20% - Accent1 2 2 8 3 8" xfId="49393" xr:uid="{00000000-0005-0000-0000-0000E3030000}"/>
    <cellStyle name="20% - Accent1 2 2 8 3 9" xfId="54911" xr:uid="{00000000-0005-0000-0000-0000E4030000}"/>
    <cellStyle name="20% - Accent1 2 2 8 4" xfId="5639" xr:uid="{00000000-0005-0000-0000-0000E5030000}"/>
    <cellStyle name="20% - Accent1 2 2 8 5" xfId="11119" xr:uid="{00000000-0005-0000-0000-0000E6030000}"/>
    <cellStyle name="20% - Accent1 2 2 8 6" xfId="16595" xr:uid="{00000000-0005-0000-0000-0000E7030000}"/>
    <cellStyle name="20% - Accent1 2 2 8 7" xfId="22071" xr:uid="{00000000-0005-0000-0000-0000E8030000}"/>
    <cellStyle name="20% - Accent1 2 2 8 8" xfId="33866" xr:uid="{00000000-0005-0000-0000-0000E9030000}"/>
    <cellStyle name="20% - Accent1 2 2 8 9" xfId="39343" xr:uid="{00000000-0005-0000-0000-0000EA030000}"/>
    <cellStyle name="20% - Accent1 2 2 9" xfId="1374" xr:uid="{00000000-0005-0000-0000-0000EB030000}"/>
    <cellStyle name="20% - Accent1 2 2 9 10" xfId="44821" xr:uid="{00000000-0005-0000-0000-0000EC030000}"/>
    <cellStyle name="20% - Accent1 2 2 9 11" xfId="50299" xr:uid="{00000000-0005-0000-0000-0000ED030000}"/>
    <cellStyle name="20% - Accent1 2 2 9 2" xfId="3135" xr:uid="{00000000-0005-0000-0000-0000EE030000}"/>
    <cellStyle name="20% - Accent1 2 2 9 2 2" xfId="8615" xr:uid="{00000000-0005-0000-0000-0000EF030000}"/>
    <cellStyle name="20% - Accent1 2 2 9 2 3" xfId="14091" xr:uid="{00000000-0005-0000-0000-0000F0030000}"/>
    <cellStyle name="20% - Accent1 2 2 9 2 4" xfId="19567" xr:uid="{00000000-0005-0000-0000-0000F1030000}"/>
    <cellStyle name="20% - Accent1 2 2 9 2 5" xfId="25043" xr:uid="{00000000-0005-0000-0000-0000F2030000}"/>
    <cellStyle name="20% - Accent1 2 2 9 2 6" xfId="36839" xr:uid="{00000000-0005-0000-0000-0000F3030000}"/>
    <cellStyle name="20% - Accent1 2 2 9 2 7" xfId="42316" xr:uid="{00000000-0005-0000-0000-0000F4030000}"/>
    <cellStyle name="20% - Accent1 2 2 9 2 8" xfId="47793" xr:uid="{00000000-0005-0000-0000-0000F5030000}"/>
    <cellStyle name="20% - Accent1 2 2 9 2 9" xfId="53311" xr:uid="{00000000-0005-0000-0000-0000F6030000}"/>
    <cellStyle name="20% - Accent1 2 2 9 3" xfId="4907" xr:uid="{00000000-0005-0000-0000-0000F7030000}"/>
    <cellStyle name="20% - Accent1 2 2 9 3 2" xfId="10387" xr:uid="{00000000-0005-0000-0000-0000F8030000}"/>
    <cellStyle name="20% - Accent1 2 2 9 3 3" xfId="15863" xr:uid="{00000000-0005-0000-0000-0000F9030000}"/>
    <cellStyle name="20% - Accent1 2 2 9 3 4" xfId="21339" xr:uid="{00000000-0005-0000-0000-0000FA030000}"/>
    <cellStyle name="20% - Accent1 2 2 9 3 5" xfId="26815" xr:uid="{00000000-0005-0000-0000-0000FB030000}"/>
    <cellStyle name="20% - Accent1 2 2 9 3 6" xfId="38611" xr:uid="{00000000-0005-0000-0000-0000FC030000}"/>
    <cellStyle name="20% - Accent1 2 2 9 3 7" xfId="44088" xr:uid="{00000000-0005-0000-0000-0000FD030000}"/>
    <cellStyle name="20% - Accent1 2 2 9 3 8" xfId="49565" xr:uid="{00000000-0005-0000-0000-0000FE030000}"/>
    <cellStyle name="20% - Accent1 2 2 9 3 9" xfId="55083" xr:uid="{00000000-0005-0000-0000-0000FF030000}"/>
    <cellStyle name="20% - Accent1 2 2 9 4" xfId="5640" xr:uid="{00000000-0005-0000-0000-000000040000}"/>
    <cellStyle name="20% - Accent1 2 2 9 5" xfId="11120" xr:uid="{00000000-0005-0000-0000-000001040000}"/>
    <cellStyle name="20% - Accent1 2 2 9 6" xfId="16596" xr:uid="{00000000-0005-0000-0000-000002040000}"/>
    <cellStyle name="20% - Accent1 2 2 9 7" xfId="22072" xr:uid="{00000000-0005-0000-0000-000003040000}"/>
    <cellStyle name="20% - Accent1 2 2 9 8" xfId="33867" xr:uid="{00000000-0005-0000-0000-000004040000}"/>
    <cellStyle name="20% - Accent1 2 2 9 9" xfId="39344" xr:uid="{00000000-0005-0000-0000-000005040000}"/>
    <cellStyle name="20% - Accent1 2 20" xfId="5612" xr:uid="{00000000-0005-0000-0000-000006040000}"/>
    <cellStyle name="20% - Accent1 2 21" xfId="11092" xr:uid="{00000000-0005-0000-0000-000007040000}"/>
    <cellStyle name="20% - Accent1 2 22" xfId="16568" xr:uid="{00000000-0005-0000-0000-000008040000}"/>
    <cellStyle name="20% - Accent1 2 23" xfId="22044" xr:uid="{00000000-0005-0000-0000-000009040000}"/>
    <cellStyle name="20% - Accent1 2 24" xfId="27788" xr:uid="{00000000-0005-0000-0000-00000A040000}"/>
    <cellStyle name="20% - Accent1 2 25" xfId="33839" xr:uid="{00000000-0005-0000-0000-00000B040000}"/>
    <cellStyle name="20% - Accent1 2 26" xfId="39316" xr:uid="{00000000-0005-0000-0000-00000C040000}"/>
    <cellStyle name="20% - Accent1 2 27" xfId="44793" xr:uid="{00000000-0005-0000-0000-00000D040000}"/>
    <cellStyle name="20% - Accent1 2 28" xfId="50271" xr:uid="{00000000-0005-0000-0000-00000E040000}"/>
    <cellStyle name="20% - Accent1 2 3" xfId="147" xr:uid="{00000000-0005-0000-0000-00000F040000}"/>
    <cellStyle name="20% - Accent1 2 3 10" xfId="1548" xr:uid="{00000000-0005-0000-0000-000010040000}"/>
    <cellStyle name="20% - Accent1 2 3 10 10" xfId="44823" xr:uid="{00000000-0005-0000-0000-000011040000}"/>
    <cellStyle name="20% - Accent1 2 3 10 11" xfId="50301" xr:uid="{00000000-0005-0000-0000-000012040000}"/>
    <cellStyle name="20% - Accent1 2 3 10 2" xfId="3309" xr:uid="{00000000-0005-0000-0000-000013040000}"/>
    <cellStyle name="20% - Accent1 2 3 10 2 2" xfId="8789" xr:uid="{00000000-0005-0000-0000-000014040000}"/>
    <cellStyle name="20% - Accent1 2 3 10 2 3" xfId="14265" xr:uid="{00000000-0005-0000-0000-000015040000}"/>
    <cellStyle name="20% - Accent1 2 3 10 2 4" xfId="19741" xr:uid="{00000000-0005-0000-0000-000016040000}"/>
    <cellStyle name="20% - Accent1 2 3 10 2 5" xfId="25217" xr:uid="{00000000-0005-0000-0000-000017040000}"/>
    <cellStyle name="20% - Accent1 2 3 10 2 6" xfId="37013" xr:uid="{00000000-0005-0000-0000-000018040000}"/>
    <cellStyle name="20% - Accent1 2 3 10 2 7" xfId="42490" xr:uid="{00000000-0005-0000-0000-000019040000}"/>
    <cellStyle name="20% - Accent1 2 3 10 2 8" xfId="47967" xr:uid="{00000000-0005-0000-0000-00001A040000}"/>
    <cellStyle name="20% - Accent1 2 3 10 2 9" xfId="53485" xr:uid="{00000000-0005-0000-0000-00001B040000}"/>
    <cellStyle name="20% - Accent1 2 3 10 3" xfId="5081" xr:uid="{00000000-0005-0000-0000-00001C040000}"/>
    <cellStyle name="20% - Accent1 2 3 10 3 2" xfId="10561" xr:uid="{00000000-0005-0000-0000-00001D040000}"/>
    <cellStyle name="20% - Accent1 2 3 10 3 3" xfId="16037" xr:uid="{00000000-0005-0000-0000-00001E040000}"/>
    <cellStyle name="20% - Accent1 2 3 10 3 4" xfId="21513" xr:uid="{00000000-0005-0000-0000-00001F040000}"/>
    <cellStyle name="20% - Accent1 2 3 10 3 5" xfId="26989" xr:uid="{00000000-0005-0000-0000-000020040000}"/>
    <cellStyle name="20% - Accent1 2 3 10 3 6" xfId="38785" xr:uid="{00000000-0005-0000-0000-000021040000}"/>
    <cellStyle name="20% - Accent1 2 3 10 3 7" xfId="44262" xr:uid="{00000000-0005-0000-0000-000022040000}"/>
    <cellStyle name="20% - Accent1 2 3 10 3 8" xfId="49739" xr:uid="{00000000-0005-0000-0000-000023040000}"/>
    <cellStyle name="20% - Accent1 2 3 10 3 9" xfId="55257" xr:uid="{00000000-0005-0000-0000-000024040000}"/>
    <cellStyle name="20% - Accent1 2 3 10 4" xfId="5642" xr:uid="{00000000-0005-0000-0000-000025040000}"/>
    <cellStyle name="20% - Accent1 2 3 10 5" xfId="11122" xr:uid="{00000000-0005-0000-0000-000026040000}"/>
    <cellStyle name="20% - Accent1 2 3 10 6" xfId="16598" xr:uid="{00000000-0005-0000-0000-000027040000}"/>
    <cellStyle name="20% - Accent1 2 3 10 7" xfId="22074" xr:uid="{00000000-0005-0000-0000-000028040000}"/>
    <cellStyle name="20% - Accent1 2 3 10 8" xfId="33869" xr:uid="{00000000-0005-0000-0000-000029040000}"/>
    <cellStyle name="20% - Accent1 2 3 10 9" xfId="39346" xr:uid="{00000000-0005-0000-0000-00002A040000}"/>
    <cellStyle name="20% - Accent1 2 3 11" xfId="1806" xr:uid="{00000000-0005-0000-0000-00002B040000}"/>
    <cellStyle name="20% - Accent1 2 3 11 10" xfId="44824" xr:uid="{00000000-0005-0000-0000-00002C040000}"/>
    <cellStyle name="20% - Accent1 2 3 11 11" xfId="50302" xr:uid="{00000000-0005-0000-0000-00002D040000}"/>
    <cellStyle name="20% - Accent1 2 3 11 2" xfId="3567" xr:uid="{00000000-0005-0000-0000-00002E040000}"/>
    <cellStyle name="20% - Accent1 2 3 11 2 2" xfId="9047" xr:uid="{00000000-0005-0000-0000-00002F040000}"/>
    <cellStyle name="20% - Accent1 2 3 11 2 3" xfId="14523" xr:uid="{00000000-0005-0000-0000-000030040000}"/>
    <cellStyle name="20% - Accent1 2 3 11 2 4" xfId="19999" xr:uid="{00000000-0005-0000-0000-000031040000}"/>
    <cellStyle name="20% - Accent1 2 3 11 2 5" xfId="25475" xr:uid="{00000000-0005-0000-0000-000032040000}"/>
    <cellStyle name="20% - Accent1 2 3 11 2 6" xfId="37271" xr:uid="{00000000-0005-0000-0000-000033040000}"/>
    <cellStyle name="20% - Accent1 2 3 11 2 7" xfId="42748" xr:uid="{00000000-0005-0000-0000-000034040000}"/>
    <cellStyle name="20% - Accent1 2 3 11 2 8" xfId="48225" xr:uid="{00000000-0005-0000-0000-000035040000}"/>
    <cellStyle name="20% - Accent1 2 3 11 2 9" xfId="53743" xr:uid="{00000000-0005-0000-0000-000036040000}"/>
    <cellStyle name="20% - Accent1 2 3 11 3" xfId="5339" xr:uid="{00000000-0005-0000-0000-000037040000}"/>
    <cellStyle name="20% - Accent1 2 3 11 3 2" xfId="10819" xr:uid="{00000000-0005-0000-0000-000038040000}"/>
    <cellStyle name="20% - Accent1 2 3 11 3 3" xfId="16295" xr:uid="{00000000-0005-0000-0000-000039040000}"/>
    <cellStyle name="20% - Accent1 2 3 11 3 4" xfId="21771" xr:uid="{00000000-0005-0000-0000-00003A040000}"/>
    <cellStyle name="20% - Accent1 2 3 11 3 5" xfId="27247" xr:uid="{00000000-0005-0000-0000-00003B040000}"/>
    <cellStyle name="20% - Accent1 2 3 11 3 6" xfId="39043" xr:uid="{00000000-0005-0000-0000-00003C040000}"/>
    <cellStyle name="20% - Accent1 2 3 11 3 7" xfId="44520" xr:uid="{00000000-0005-0000-0000-00003D040000}"/>
    <cellStyle name="20% - Accent1 2 3 11 3 8" xfId="49997" xr:uid="{00000000-0005-0000-0000-00003E040000}"/>
    <cellStyle name="20% - Accent1 2 3 11 3 9" xfId="55515" xr:uid="{00000000-0005-0000-0000-00003F040000}"/>
    <cellStyle name="20% - Accent1 2 3 11 4" xfId="5643" xr:uid="{00000000-0005-0000-0000-000040040000}"/>
    <cellStyle name="20% - Accent1 2 3 11 5" xfId="11123" xr:uid="{00000000-0005-0000-0000-000041040000}"/>
    <cellStyle name="20% - Accent1 2 3 11 6" xfId="16599" xr:uid="{00000000-0005-0000-0000-000042040000}"/>
    <cellStyle name="20% - Accent1 2 3 11 7" xfId="22075" xr:uid="{00000000-0005-0000-0000-000043040000}"/>
    <cellStyle name="20% - Accent1 2 3 11 8" xfId="33870" xr:uid="{00000000-0005-0000-0000-000044040000}"/>
    <cellStyle name="20% - Accent1 2 3 11 9" xfId="39347" xr:uid="{00000000-0005-0000-0000-000045040000}"/>
    <cellStyle name="20% - Accent1 2 3 12" xfId="1910" xr:uid="{00000000-0005-0000-0000-000046040000}"/>
    <cellStyle name="20% - Accent1 2 3 12 10" xfId="52087" xr:uid="{00000000-0005-0000-0000-000047040000}"/>
    <cellStyle name="20% - Accent1 2 3 12 2" xfId="5442" xr:uid="{00000000-0005-0000-0000-000048040000}"/>
    <cellStyle name="20% - Accent1 2 3 12 2 2" xfId="10922" xr:uid="{00000000-0005-0000-0000-000049040000}"/>
    <cellStyle name="20% - Accent1 2 3 12 2 3" xfId="16398" xr:uid="{00000000-0005-0000-0000-00004A040000}"/>
    <cellStyle name="20% - Accent1 2 3 12 2 4" xfId="21874" xr:uid="{00000000-0005-0000-0000-00004B040000}"/>
    <cellStyle name="20% - Accent1 2 3 12 2 5" xfId="27350" xr:uid="{00000000-0005-0000-0000-00004C040000}"/>
    <cellStyle name="20% - Accent1 2 3 12 2 6" xfId="39146" xr:uid="{00000000-0005-0000-0000-00004D040000}"/>
    <cellStyle name="20% - Accent1 2 3 12 2 7" xfId="44623" xr:uid="{00000000-0005-0000-0000-00004E040000}"/>
    <cellStyle name="20% - Accent1 2 3 12 2 8" xfId="50100" xr:uid="{00000000-0005-0000-0000-00004F040000}"/>
    <cellStyle name="20% - Accent1 2 3 12 2 9" xfId="55618" xr:uid="{00000000-0005-0000-0000-000050040000}"/>
    <cellStyle name="20% - Accent1 2 3 12 3" xfId="7391" xr:uid="{00000000-0005-0000-0000-000051040000}"/>
    <cellStyle name="20% - Accent1 2 3 12 4" xfId="12867" xr:uid="{00000000-0005-0000-0000-000052040000}"/>
    <cellStyle name="20% - Accent1 2 3 12 5" xfId="18343" xr:uid="{00000000-0005-0000-0000-000053040000}"/>
    <cellStyle name="20% - Accent1 2 3 12 6" xfId="23819" xr:uid="{00000000-0005-0000-0000-000054040000}"/>
    <cellStyle name="20% - Accent1 2 3 12 7" xfId="35615" xr:uid="{00000000-0005-0000-0000-000055040000}"/>
    <cellStyle name="20% - Accent1 2 3 12 8" xfId="41092" xr:uid="{00000000-0005-0000-0000-000056040000}"/>
    <cellStyle name="20% - Accent1 2 3 12 9" xfId="46569" xr:uid="{00000000-0005-0000-0000-000057040000}"/>
    <cellStyle name="20% - Accent1 2 3 13" xfId="3719" xr:uid="{00000000-0005-0000-0000-000058040000}"/>
    <cellStyle name="20% - Accent1 2 3 13 2" xfId="9199" xr:uid="{00000000-0005-0000-0000-000059040000}"/>
    <cellStyle name="20% - Accent1 2 3 13 3" xfId="14675" xr:uid="{00000000-0005-0000-0000-00005A040000}"/>
    <cellStyle name="20% - Accent1 2 3 13 4" xfId="20151" xr:uid="{00000000-0005-0000-0000-00005B040000}"/>
    <cellStyle name="20% - Accent1 2 3 13 5" xfId="25627" xr:uid="{00000000-0005-0000-0000-00005C040000}"/>
    <cellStyle name="20% - Accent1 2 3 13 6" xfId="37423" xr:uid="{00000000-0005-0000-0000-00005D040000}"/>
    <cellStyle name="20% - Accent1 2 3 13 7" xfId="42900" xr:uid="{00000000-0005-0000-0000-00005E040000}"/>
    <cellStyle name="20% - Accent1 2 3 13 8" xfId="48377" xr:uid="{00000000-0005-0000-0000-00005F040000}"/>
    <cellStyle name="20% - Accent1 2 3 13 9" xfId="53895" xr:uid="{00000000-0005-0000-0000-000060040000}"/>
    <cellStyle name="20% - Accent1 2 3 14" xfId="5641" xr:uid="{00000000-0005-0000-0000-000061040000}"/>
    <cellStyle name="20% - Accent1 2 3 15" xfId="11121" xr:uid="{00000000-0005-0000-0000-000062040000}"/>
    <cellStyle name="20% - Accent1 2 3 16" xfId="16597" xr:uid="{00000000-0005-0000-0000-000063040000}"/>
    <cellStyle name="20% - Accent1 2 3 17" xfId="22073" xr:uid="{00000000-0005-0000-0000-000064040000}"/>
    <cellStyle name="20% - Accent1 2 3 18" xfId="27793" xr:uid="{00000000-0005-0000-0000-000065040000}"/>
    <cellStyle name="20% - Accent1 2 3 19" xfId="33868" xr:uid="{00000000-0005-0000-0000-000066040000}"/>
    <cellStyle name="20% - Accent1 2 3 2" xfId="239" xr:uid="{00000000-0005-0000-0000-000067040000}"/>
    <cellStyle name="20% - Accent1 2 3 2 10" xfId="1805" xr:uid="{00000000-0005-0000-0000-000068040000}"/>
    <cellStyle name="20% - Accent1 2 3 2 10 10" xfId="44826" xr:uid="{00000000-0005-0000-0000-000069040000}"/>
    <cellStyle name="20% - Accent1 2 3 2 10 11" xfId="50304" xr:uid="{00000000-0005-0000-0000-00006A040000}"/>
    <cellStyle name="20% - Accent1 2 3 2 10 2" xfId="3566" xr:uid="{00000000-0005-0000-0000-00006B040000}"/>
    <cellStyle name="20% - Accent1 2 3 2 10 2 2" xfId="9046" xr:uid="{00000000-0005-0000-0000-00006C040000}"/>
    <cellStyle name="20% - Accent1 2 3 2 10 2 3" xfId="14522" xr:uid="{00000000-0005-0000-0000-00006D040000}"/>
    <cellStyle name="20% - Accent1 2 3 2 10 2 4" xfId="19998" xr:uid="{00000000-0005-0000-0000-00006E040000}"/>
    <cellStyle name="20% - Accent1 2 3 2 10 2 5" xfId="25474" xr:uid="{00000000-0005-0000-0000-00006F040000}"/>
    <cellStyle name="20% - Accent1 2 3 2 10 2 6" xfId="37270" xr:uid="{00000000-0005-0000-0000-000070040000}"/>
    <cellStyle name="20% - Accent1 2 3 2 10 2 7" xfId="42747" xr:uid="{00000000-0005-0000-0000-000071040000}"/>
    <cellStyle name="20% - Accent1 2 3 2 10 2 8" xfId="48224" xr:uid="{00000000-0005-0000-0000-000072040000}"/>
    <cellStyle name="20% - Accent1 2 3 2 10 2 9" xfId="53742" xr:uid="{00000000-0005-0000-0000-000073040000}"/>
    <cellStyle name="20% - Accent1 2 3 2 10 3" xfId="5338" xr:uid="{00000000-0005-0000-0000-000074040000}"/>
    <cellStyle name="20% - Accent1 2 3 2 10 3 2" xfId="10818" xr:uid="{00000000-0005-0000-0000-000075040000}"/>
    <cellStyle name="20% - Accent1 2 3 2 10 3 3" xfId="16294" xr:uid="{00000000-0005-0000-0000-000076040000}"/>
    <cellStyle name="20% - Accent1 2 3 2 10 3 4" xfId="21770" xr:uid="{00000000-0005-0000-0000-000077040000}"/>
    <cellStyle name="20% - Accent1 2 3 2 10 3 5" xfId="27246" xr:uid="{00000000-0005-0000-0000-000078040000}"/>
    <cellStyle name="20% - Accent1 2 3 2 10 3 6" xfId="39042" xr:uid="{00000000-0005-0000-0000-000079040000}"/>
    <cellStyle name="20% - Accent1 2 3 2 10 3 7" xfId="44519" xr:uid="{00000000-0005-0000-0000-00007A040000}"/>
    <cellStyle name="20% - Accent1 2 3 2 10 3 8" xfId="49996" xr:uid="{00000000-0005-0000-0000-00007B040000}"/>
    <cellStyle name="20% - Accent1 2 3 2 10 3 9" xfId="55514" xr:uid="{00000000-0005-0000-0000-00007C040000}"/>
    <cellStyle name="20% - Accent1 2 3 2 10 4" xfId="5645" xr:uid="{00000000-0005-0000-0000-00007D040000}"/>
    <cellStyle name="20% - Accent1 2 3 2 10 5" xfId="11125" xr:uid="{00000000-0005-0000-0000-00007E040000}"/>
    <cellStyle name="20% - Accent1 2 3 2 10 6" xfId="16601" xr:uid="{00000000-0005-0000-0000-00007F040000}"/>
    <cellStyle name="20% - Accent1 2 3 2 10 7" xfId="22077" xr:uid="{00000000-0005-0000-0000-000080040000}"/>
    <cellStyle name="20% - Accent1 2 3 2 10 8" xfId="33872" xr:uid="{00000000-0005-0000-0000-000081040000}"/>
    <cellStyle name="20% - Accent1 2 3 2 10 9" xfId="39349" xr:uid="{00000000-0005-0000-0000-000082040000}"/>
    <cellStyle name="20% - Accent1 2 3 2 11" xfId="1911" xr:uid="{00000000-0005-0000-0000-000083040000}"/>
    <cellStyle name="20% - Accent1 2 3 2 11 10" xfId="52088" xr:uid="{00000000-0005-0000-0000-000084040000}"/>
    <cellStyle name="20% - Accent1 2 3 2 11 2" xfId="5443" xr:uid="{00000000-0005-0000-0000-000085040000}"/>
    <cellStyle name="20% - Accent1 2 3 2 11 2 2" xfId="10923" xr:uid="{00000000-0005-0000-0000-000086040000}"/>
    <cellStyle name="20% - Accent1 2 3 2 11 2 3" xfId="16399" xr:uid="{00000000-0005-0000-0000-000087040000}"/>
    <cellStyle name="20% - Accent1 2 3 2 11 2 4" xfId="21875" xr:uid="{00000000-0005-0000-0000-000088040000}"/>
    <cellStyle name="20% - Accent1 2 3 2 11 2 5" xfId="27351" xr:uid="{00000000-0005-0000-0000-000089040000}"/>
    <cellStyle name="20% - Accent1 2 3 2 11 2 6" xfId="39147" xr:uid="{00000000-0005-0000-0000-00008A040000}"/>
    <cellStyle name="20% - Accent1 2 3 2 11 2 7" xfId="44624" xr:uid="{00000000-0005-0000-0000-00008B040000}"/>
    <cellStyle name="20% - Accent1 2 3 2 11 2 8" xfId="50101" xr:uid="{00000000-0005-0000-0000-00008C040000}"/>
    <cellStyle name="20% - Accent1 2 3 2 11 2 9" xfId="55619" xr:uid="{00000000-0005-0000-0000-00008D040000}"/>
    <cellStyle name="20% - Accent1 2 3 2 11 3" xfId="7392" xr:uid="{00000000-0005-0000-0000-00008E040000}"/>
    <cellStyle name="20% - Accent1 2 3 2 11 4" xfId="12868" xr:uid="{00000000-0005-0000-0000-00008F040000}"/>
    <cellStyle name="20% - Accent1 2 3 2 11 5" xfId="18344" xr:uid="{00000000-0005-0000-0000-000090040000}"/>
    <cellStyle name="20% - Accent1 2 3 2 11 6" xfId="23820" xr:uid="{00000000-0005-0000-0000-000091040000}"/>
    <cellStyle name="20% - Accent1 2 3 2 11 7" xfId="35616" xr:uid="{00000000-0005-0000-0000-000092040000}"/>
    <cellStyle name="20% - Accent1 2 3 2 11 8" xfId="41093" xr:uid="{00000000-0005-0000-0000-000093040000}"/>
    <cellStyle name="20% - Accent1 2 3 2 11 9" xfId="46570" xr:uid="{00000000-0005-0000-0000-000094040000}"/>
    <cellStyle name="20% - Accent1 2 3 2 12" xfId="3805" xr:uid="{00000000-0005-0000-0000-000095040000}"/>
    <cellStyle name="20% - Accent1 2 3 2 12 2" xfId="9285" xr:uid="{00000000-0005-0000-0000-000096040000}"/>
    <cellStyle name="20% - Accent1 2 3 2 12 3" xfId="14761" xr:uid="{00000000-0005-0000-0000-000097040000}"/>
    <cellStyle name="20% - Accent1 2 3 2 12 4" xfId="20237" xr:uid="{00000000-0005-0000-0000-000098040000}"/>
    <cellStyle name="20% - Accent1 2 3 2 12 5" xfId="25713" xr:uid="{00000000-0005-0000-0000-000099040000}"/>
    <cellStyle name="20% - Accent1 2 3 2 12 6" xfId="37509" xr:uid="{00000000-0005-0000-0000-00009A040000}"/>
    <cellStyle name="20% - Accent1 2 3 2 12 7" xfId="42986" xr:uid="{00000000-0005-0000-0000-00009B040000}"/>
    <cellStyle name="20% - Accent1 2 3 2 12 8" xfId="48463" xr:uid="{00000000-0005-0000-0000-00009C040000}"/>
    <cellStyle name="20% - Accent1 2 3 2 12 9" xfId="53981" xr:uid="{00000000-0005-0000-0000-00009D040000}"/>
    <cellStyle name="20% - Accent1 2 3 2 13" xfId="5644" xr:uid="{00000000-0005-0000-0000-00009E040000}"/>
    <cellStyle name="20% - Accent1 2 3 2 14" xfId="11124" xr:uid="{00000000-0005-0000-0000-00009F040000}"/>
    <cellStyle name="20% - Accent1 2 3 2 15" xfId="16600" xr:uid="{00000000-0005-0000-0000-0000A0040000}"/>
    <cellStyle name="20% - Accent1 2 3 2 16" xfId="22076" xr:uid="{00000000-0005-0000-0000-0000A1040000}"/>
    <cellStyle name="20% - Accent1 2 3 2 17" xfId="27794" xr:uid="{00000000-0005-0000-0000-0000A2040000}"/>
    <cellStyle name="20% - Accent1 2 3 2 18" xfId="33871" xr:uid="{00000000-0005-0000-0000-0000A3040000}"/>
    <cellStyle name="20% - Accent1 2 3 2 19" xfId="39348" xr:uid="{00000000-0005-0000-0000-0000A4040000}"/>
    <cellStyle name="20% - Accent1 2 3 2 2" xfId="282" xr:uid="{00000000-0005-0000-0000-0000A5040000}"/>
    <cellStyle name="20% - Accent1 2 3 2 2 10" xfId="39350" xr:uid="{00000000-0005-0000-0000-0000A6040000}"/>
    <cellStyle name="20% - Accent1 2 3 2 2 11" xfId="44827" xr:uid="{00000000-0005-0000-0000-0000A7040000}"/>
    <cellStyle name="20% - Accent1 2 3 2 2 12" xfId="50305" xr:uid="{00000000-0005-0000-0000-0000A8040000}"/>
    <cellStyle name="20% - Accent1 2 3 2 2 2" xfId="2084" xr:uid="{00000000-0005-0000-0000-0000A9040000}"/>
    <cellStyle name="20% - Accent1 2 3 2 2 2 2" xfId="7564" xr:uid="{00000000-0005-0000-0000-0000AA040000}"/>
    <cellStyle name="20% - Accent1 2 3 2 2 2 3" xfId="13040" xr:uid="{00000000-0005-0000-0000-0000AB040000}"/>
    <cellStyle name="20% - Accent1 2 3 2 2 2 4" xfId="18516" xr:uid="{00000000-0005-0000-0000-0000AC040000}"/>
    <cellStyle name="20% - Accent1 2 3 2 2 2 5" xfId="23992" xr:uid="{00000000-0005-0000-0000-0000AD040000}"/>
    <cellStyle name="20% - Accent1 2 3 2 2 2 6" xfId="35788" xr:uid="{00000000-0005-0000-0000-0000AE040000}"/>
    <cellStyle name="20% - Accent1 2 3 2 2 2 7" xfId="41265" xr:uid="{00000000-0005-0000-0000-0000AF040000}"/>
    <cellStyle name="20% - Accent1 2 3 2 2 2 8" xfId="46742" xr:uid="{00000000-0005-0000-0000-0000B0040000}"/>
    <cellStyle name="20% - Accent1 2 3 2 2 2 9" xfId="52260" xr:uid="{00000000-0005-0000-0000-0000B1040000}"/>
    <cellStyle name="20% - Accent1 2 3 2 2 3" xfId="3844" xr:uid="{00000000-0005-0000-0000-0000B2040000}"/>
    <cellStyle name="20% - Accent1 2 3 2 2 3 2" xfId="9324" xr:uid="{00000000-0005-0000-0000-0000B3040000}"/>
    <cellStyle name="20% - Accent1 2 3 2 2 3 3" xfId="14800" xr:uid="{00000000-0005-0000-0000-0000B4040000}"/>
    <cellStyle name="20% - Accent1 2 3 2 2 3 4" xfId="20276" xr:uid="{00000000-0005-0000-0000-0000B5040000}"/>
    <cellStyle name="20% - Accent1 2 3 2 2 3 5" xfId="25752" xr:uid="{00000000-0005-0000-0000-0000B6040000}"/>
    <cellStyle name="20% - Accent1 2 3 2 2 3 6" xfId="37548" xr:uid="{00000000-0005-0000-0000-0000B7040000}"/>
    <cellStyle name="20% - Accent1 2 3 2 2 3 7" xfId="43025" xr:uid="{00000000-0005-0000-0000-0000B8040000}"/>
    <cellStyle name="20% - Accent1 2 3 2 2 3 8" xfId="48502" xr:uid="{00000000-0005-0000-0000-0000B9040000}"/>
    <cellStyle name="20% - Accent1 2 3 2 2 3 9" xfId="54020" xr:uid="{00000000-0005-0000-0000-0000BA040000}"/>
    <cellStyle name="20% - Accent1 2 3 2 2 4" xfId="5646" xr:uid="{00000000-0005-0000-0000-0000BB040000}"/>
    <cellStyle name="20% - Accent1 2 3 2 2 5" xfId="11126" xr:uid="{00000000-0005-0000-0000-0000BC040000}"/>
    <cellStyle name="20% - Accent1 2 3 2 2 6" xfId="16602" xr:uid="{00000000-0005-0000-0000-0000BD040000}"/>
    <cellStyle name="20% - Accent1 2 3 2 2 7" xfId="22078" xr:uid="{00000000-0005-0000-0000-0000BE040000}"/>
    <cellStyle name="20% - Accent1 2 3 2 2 8" xfId="27795" xr:uid="{00000000-0005-0000-0000-0000BF040000}"/>
    <cellStyle name="20% - Accent1 2 3 2 2 9" xfId="33873" xr:uid="{00000000-0005-0000-0000-0000C0040000}"/>
    <cellStyle name="20% - Accent1 2 3 2 20" xfId="44825" xr:uid="{00000000-0005-0000-0000-0000C1040000}"/>
    <cellStyle name="20% - Accent1 2 3 2 21" xfId="50303" xr:uid="{00000000-0005-0000-0000-0000C2040000}"/>
    <cellStyle name="20% - Accent1 2 3 2 3" xfId="483" xr:uid="{00000000-0005-0000-0000-0000C3040000}"/>
    <cellStyle name="20% - Accent1 2 3 2 3 10" xfId="44828" xr:uid="{00000000-0005-0000-0000-0000C4040000}"/>
    <cellStyle name="20% - Accent1 2 3 2 3 11" xfId="50306" xr:uid="{00000000-0005-0000-0000-0000C5040000}"/>
    <cellStyle name="20% - Accent1 2 3 2 3 2" xfId="2244" xr:uid="{00000000-0005-0000-0000-0000C6040000}"/>
    <cellStyle name="20% - Accent1 2 3 2 3 2 2" xfId="7724" xr:uid="{00000000-0005-0000-0000-0000C7040000}"/>
    <cellStyle name="20% - Accent1 2 3 2 3 2 3" xfId="13200" xr:uid="{00000000-0005-0000-0000-0000C8040000}"/>
    <cellStyle name="20% - Accent1 2 3 2 3 2 4" xfId="18676" xr:uid="{00000000-0005-0000-0000-0000C9040000}"/>
    <cellStyle name="20% - Accent1 2 3 2 3 2 5" xfId="24152" xr:uid="{00000000-0005-0000-0000-0000CA040000}"/>
    <cellStyle name="20% - Accent1 2 3 2 3 2 6" xfId="35948" xr:uid="{00000000-0005-0000-0000-0000CB040000}"/>
    <cellStyle name="20% - Accent1 2 3 2 3 2 7" xfId="41425" xr:uid="{00000000-0005-0000-0000-0000CC040000}"/>
    <cellStyle name="20% - Accent1 2 3 2 3 2 8" xfId="46902" xr:uid="{00000000-0005-0000-0000-0000CD040000}"/>
    <cellStyle name="20% - Accent1 2 3 2 3 2 9" xfId="52420" xr:uid="{00000000-0005-0000-0000-0000CE040000}"/>
    <cellStyle name="20% - Accent1 2 3 2 3 3" xfId="4016" xr:uid="{00000000-0005-0000-0000-0000CF040000}"/>
    <cellStyle name="20% - Accent1 2 3 2 3 3 2" xfId="9496" xr:uid="{00000000-0005-0000-0000-0000D0040000}"/>
    <cellStyle name="20% - Accent1 2 3 2 3 3 3" xfId="14972" xr:uid="{00000000-0005-0000-0000-0000D1040000}"/>
    <cellStyle name="20% - Accent1 2 3 2 3 3 4" xfId="20448" xr:uid="{00000000-0005-0000-0000-0000D2040000}"/>
    <cellStyle name="20% - Accent1 2 3 2 3 3 5" xfId="25924" xr:uid="{00000000-0005-0000-0000-0000D3040000}"/>
    <cellStyle name="20% - Accent1 2 3 2 3 3 6" xfId="37720" xr:uid="{00000000-0005-0000-0000-0000D4040000}"/>
    <cellStyle name="20% - Accent1 2 3 2 3 3 7" xfId="43197" xr:uid="{00000000-0005-0000-0000-0000D5040000}"/>
    <cellStyle name="20% - Accent1 2 3 2 3 3 8" xfId="48674" xr:uid="{00000000-0005-0000-0000-0000D6040000}"/>
    <cellStyle name="20% - Accent1 2 3 2 3 3 9" xfId="54192" xr:uid="{00000000-0005-0000-0000-0000D7040000}"/>
    <cellStyle name="20% - Accent1 2 3 2 3 4" xfId="5647" xr:uid="{00000000-0005-0000-0000-0000D8040000}"/>
    <cellStyle name="20% - Accent1 2 3 2 3 5" xfId="11127" xr:uid="{00000000-0005-0000-0000-0000D9040000}"/>
    <cellStyle name="20% - Accent1 2 3 2 3 6" xfId="16603" xr:uid="{00000000-0005-0000-0000-0000DA040000}"/>
    <cellStyle name="20% - Accent1 2 3 2 3 7" xfId="22079" xr:uid="{00000000-0005-0000-0000-0000DB040000}"/>
    <cellStyle name="20% - Accent1 2 3 2 3 8" xfId="33874" xr:uid="{00000000-0005-0000-0000-0000DC040000}"/>
    <cellStyle name="20% - Accent1 2 3 2 3 9" xfId="39351" xr:uid="{00000000-0005-0000-0000-0000DD040000}"/>
    <cellStyle name="20% - Accent1 2 3 2 4" xfId="655" xr:uid="{00000000-0005-0000-0000-0000DE040000}"/>
    <cellStyle name="20% - Accent1 2 3 2 4 10" xfId="44829" xr:uid="{00000000-0005-0000-0000-0000DF040000}"/>
    <cellStyle name="20% - Accent1 2 3 2 4 11" xfId="50307" xr:uid="{00000000-0005-0000-0000-0000E0040000}"/>
    <cellStyle name="20% - Accent1 2 3 2 4 2" xfId="2416" xr:uid="{00000000-0005-0000-0000-0000E1040000}"/>
    <cellStyle name="20% - Accent1 2 3 2 4 2 2" xfId="7896" xr:uid="{00000000-0005-0000-0000-0000E2040000}"/>
    <cellStyle name="20% - Accent1 2 3 2 4 2 3" xfId="13372" xr:uid="{00000000-0005-0000-0000-0000E3040000}"/>
    <cellStyle name="20% - Accent1 2 3 2 4 2 4" xfId="18848" xr:uid="{00000000-0005-0000-0000-0000E4040000}"/>
    <cellStyle name="20% - Accent1 2 3 2 4 2 5" xfId="24324" xr:uid="{00000000-0005-0000-0000-0000E5040000}"/>
    <cellStyle name="20% - Accent1 2 3 2 4 2 6" xfId="36120" xr:uid="{00000000-0005-0000-0000-0000E6040000}"/>
    <cellStyle name="20% - Accent1 2 3 2 4 2 7" xfId="41597" xr:uid="{00000000-0005-0000-0000-0000E7040000}"/>
    <cellStyle name="20% - Accent1 2 3 2 4 2 8" xfId="47074" xr:uid="{00000000-0005-0000-0000-0000E8040000}"/>
    <cellStyle name="20% - Accent1 2 3 2 4 2 9" xfId="52592" xr:uid="{00000000-0005-0000-0000-0000E9040000}"/>
    <cellStyle name="20% - Accent1 2 3 2 4 3" xfId="4188" xr:uid="{00000000-0005-0000-0000-0000EA040000}"/>
    <cellStyle name="20% - Accent1 2 3 2 4 3 2" xfId="9668" xr:uid="{00000000-0005-0000-0000-0000EB040000}"/>
    <cellStyle name="20% - Accent1 2 3 2 4 3 3" xfId="15144" xr:uid="{00000000-0005-0000-0000-0000EC040000}"/>
    <cellStyle name="20% - Accent1 2 3 2 4 3 4" xfId="20620" xr:uid="{00000000-0005-0000-0000-0000ED040000}"/>
    <cellStyle name="20% - Accent1 2 3 2 4 3 5" xfId="26096" xr:uid="{00000000-0005-0000-0000-0000EE040000}"/>
    <cellStyle name="20% - Accent1 2 3 2 4 3 6" xfId="37892" xr:uid="{00000000-0005-0000-0000-0000EF040000}"/>
    <cellStyle name="20% - Accent1 2 3 2 4 3 7" xfId="43369" xr:uid="{00000000-0005-0000-0000-0000F0040000}"/>
    <cellStyle name="20% - Accent1 2 3 2 4 3 8" xfId="48846" xr:uid="{00000000-0005-0000-0000-0000F1040000}"/>
    <cellStyle name="20% - Accent1 2 3 2 4 3 9" xfId="54364" xr:uid="{00000000-0005-0000-0000-0000F2040000}"/>
    <cellStyle name="20% - Accent1 2 3 2 4 4" xfId="5648" xr:uid="{00000000-0005-0000-0000-0000F3040000}"/>
    <cellStyle name="20% - Accent1 2 3 2 4 5" xfId="11128" xr:uid="{00000000-0005-0000-0000-0000F4040000}"/>
    <cellStyle name="20% - Accent1 2 3 2 4 6" xfId="16604" xr:uid="{00000000-0005-0000-0000-0000F5040000}"/>
    <cellStyle name="20% - Accent1 2 3 2 4 7" xfId="22080" xr:uid="{00000000-0005-0000-0000-0000F6040000}"/>
    <cellStyle name="20% - Accent1 2 3 2 4 8" xfId="33875" xr:uid="{00000000-0005-0000-0000-0000F7040000}"/>
    <cellStyle name="20% - Accent1 2 3 2 4 9" xfId="39352" xr:uid="{00000000-0005-0000-0000-0000F8040000}"/>
    <cellStyle name="20% - Accent1 2 3 2 5" xfId="827" xr:uid="{00000000-0005-0000-0000-0000F9040000}"/>
    <cellStyle name="20% - Accent1 2 3 2 5 10" xfId="44830" xr:uid="{00000000-0005-0000-0000-0000FA040000}"/>
    <cellStyle name="20% - Accent1 2 3 2 5 11" xfId="50308" xr:uid="{00000000-0005-0000-0000-0000FB040000}"/>
    <cellStyle name="20% - Accent1 2 3 2 5 2" xfId="2588" xr:uid="{00000000-0005-0000-0000-0000FC040000}"/>
    <cellStyle name="20% - Accent1 2 3 2 5 2 2" xfId="8068" xr:uid="{00000000-0005-0000-0000-0000FD040000}"/>
    <cellStyle name="20% - Accent1 2 3 2 5 2 3" xfId="13544" xr:uid="{00000000-0005-0000-0000-0000FE040000}"/>
    <cellStyle name="20% - Accent1 2 3 2 5 2 4" xfId="19020" xr:uid="{00000000-0005-0000-0000-0000FF040000}"/>
    <cellStyle name="20% - Accent1 2 3 2 5 2 5" xfId="24496" xr:uid="{00000000-0005-0000-0000-000000050000}"/>
    <cellStyle name="20% - Accent1 2 3 2 5 2 6" xfId="36292" xr:uid="{00000000-0005-0000-0000-000001050000}"/>
    <cellStyle name="20% - Accent1 2 3 2 5 2 7" xfId="41769" xr:uid="{00000000-0005-0000-0000-000002050000}"/>
    <cellStyle name="20% - Accent1 2 3 2 5 2 8" xfId="47246" xr:uid="{00000000-0005-0000-0000-000003050000}"/>
    <cellStyle name="20% - Accent1 2 3 2 5 2 9" xfId="52764" xr:uid="{00000000-0005-0000-0000-000004050000}"/>
    <cellStyle name="20% - Accent1 2 3 2 5 3" xfId="4360" xr:uid="{00000000-0005-0000-0000-000005050000}"/>
    <cellStyle name="20% - Accent1 2 3 2 5 3 2" xfId="9840" xr:uid="{00000000-0005-0000-0000-000006050000}"/>
    <cellStyle name="20% - Accent1 2 3 2 5 3 3" xfId="15316" xr:uid="{00000000-0005-0000-0000-000007050000}"/>
    <cellStyle name="20% - Accent1 2 3 2 5 3 4" xfId="20792" xr:uid="{00000000-0005-0000-0000-000008050000}"/>
    <cellStyle name="20% - Accent1 2 3 2 5 3 5" xfId="26268" xr:uid="{00000000-0005-0000-0000-000009050000}"/>
    <cellStyle name="20% - Accent1 2 3 2 5 3 6" xfId="38064" xr:uid="{00000000-0005-0000-0000-00000A050000}"/>
    <cellStyle name="20% - Accent1 2 3 2 5 3 7" xfId="43541" xr:uid="{00000000-0005-0000-0000-00000B050000}"/>
    <cellStyle name="20% - Accent1 2 3 2 5 3 8" xfId="49018" xr:uid="{00000000-0005-0000-0000-00000C050000}"/>
    <cellStyle name="20% - Accent1 2 3 2 5 3 9" xfId="54536" xr:uid="{00000000-0005-0000-0000-00000D050000}"/>
    <cellStyle name="20% - Accent1 2 3 2 5 4" xfId="5649" xr:uid="{00000000-0005-0000-0000-00000E050000}"/>
    <cellStyle name="20% - Accent1 2 3 2 5 5" xfId="11129" xr:uid="{00000000-0005-0000-0000-00000F050000}"/>
    <cellStyle name="20% - Accent1 2 3 2 5 6" xfId="16605" xr:uid="{00000000-0005-0000-0000-000010050000}"/>
    <cellStyle name="20% - Accent1 2 3 2 5 7" xfId="22081" xr:uid="{00000000-0005-0000-0000-000011050000}"/>
    <cellStyle name="20% - Accent1 2 3 2 5 8" xfId="33876" xr:uid="{00000000-0005-0000-0000-000012050000}"/>
    <cellStyle name="20% - Accent1 2 3 2 5 9" xfId="39353" xr:uid="{00000000-0005-0000-0000-000013050000}"/>
    <cellStyle name="20% - Accent1 2 3 2 6" xfId="1033" xr:uid="{00000000-0005-0000-0000-000014050000}"/>
    <cellStyle name="20% - Accent1 2 3 2 6 10" xfId="44831" xr:uid="{00000000-0005-0000-0000-000015050000}"/>
    <cellStyle name="20% - Accent1 2 3 2 6 11" xfId="50309" xr:uid="{00000000-0005-0000-0000-000016050000}"/>
    <cellStyle name="20% - Accent1 2 3 2 6 2" xfId="2794" xr:uid="{00000000-0005-0000-0000-000017050000}"/>
    <cellStyle name="20% - Accent1 2 3 2 6 2 2" xfId="8274" xr:uid="{00000000-0005-0000-0000-000018050000}"/>
    <cellStyle name="20% - Accent1 2 3 2 6 2 3" xfId="13750" xr:uid="{00000000-0005-0000-0000-000019050000}"/>
    <cellStyle name="20% - Accent1 2 3 2 6 2 4" xfId="19226" xr:uid="{00000000-0005-0000-0000-00001A050000}"/>
    <cellStyle name="20% - Accent1 2 3 2 6 2 5" xfId="24702" xr:uid="{00000000-0005-0000-0000-00001B050000}"/>
    <cellStyle name="20% - Accent1 2 3 2 6 2 6" xfId="36498" xr:uid="{00000000-0005-0000-0000-00001C050000}"/>
    <cellStyle name="20% - Accent1 2 3 2 6 2 7" xfId="41975" xr:uid="{00000000-0005-0000-0000-00001D050000}"/>
    <cellStyle name="20% - Accent1 2 3 2 6 2 8" xfId="47452" xr:uid="{00000000-0005-0000-0000-00001E050000}"/>
    <cellStyle name="20% - Accent1 2 3 2 6 2 9" xfId="52970" xr:uid="{00000000-0005-0000-0000-00001F050000}"/>
    <cellStyle name="20% - Accent1 2 3 2 6 3" xfId="4566" xr:uid="{00000000-0005-0000-0000-000020050000}"/>
    <cellStyle name="20% - Accent1 2 3 2 6 3 2" xfId="10046" xr:uid="{00000000-0005-0000-0000-000021050000}"/>
    <cellStyle name="20% - Accent1 2 3 2 6 3 3" xfId="15522" xr:uid="{00000000-0005-0000-0000-000022050000}"/>
    <cellStyle name="20% - Accent1 2 3 2 6 3 4" xfId="20998" xr:uid="{00000000-0005-0000-0000-000023050000}"/>
    <cellStyle name="20% - Accent1 2 3 2 6 3 5" xfId="26474" xr:uid="{00000000-0005-0000-0000-000024050000}"/>
    <cellStyle name="20% - Accent1 2 3 2 6 3 6" xfId="38270" xr:uid="{00000000-0005-0000-0000-000025050000}"/>
    <cellStyle name="20% - Accent1 2 3 2 6 3 7" xfId="43747" xr:uid="{00000000-0005-0000-0000-000026050000}"/>
    <cellStyle name="20% - Accent1 2 3 2 6 3 8" xfId="49224" xr:uid="{00000000-0005-0000-0000-000027050000}"/>
    <cellStyle name="20% - Accent1 2 3 2 6 3 9" xfId="54742" xr:uid="{00000000-0005-0000-0000-000028050000}"/>
    <cellStyle name="20% - Accent1 2 3 2 6 4" xfId="5650" xr:uid="{00000000-0005-0000-0000-000029050000}"/>
    <cellStyle name="20% - Accent1 2 3 2 6 5" xfId="11130" xr:uid="{00000000-0005-0000-0000-00002A050000}"/>
    <cellStyle name="20% - Accent1 2 3 2 6 6" xfId="16606" xr:uid="{00000000-0005-0000-0000-00002B050000}"/>
    <cellStyle name="20% - Accent1 2 3 2 6 7" xfId="22082" xr:uid="{00000000-0005-0000-0000-00002C050000}"/>
    <cellStyle name="20% - Accent1 2 3 2 6 8" xfId="33877" xr:uid="{00000000-0005-0000-0000-00002D050000}"/>
    <cellStyle name="20% - Accent1 2 3 2 6 9" xfId="39354" xr:uid="{00000000-0005-0000-0000-00002E050000}"/>
    <cellStyle name="20% - Accent1 2 3 2 7" xfId="1205" xr:uid="{00000000-0005-0000-0000-00002F050000}"/>
    <cellStyle name="20% - Accent1 2 3 2 7 10" xfId="44832" xr:uid="{00000000-0005-0000-0000-000030050000}"/>
    <cellStyle name="20% - Accent1 2 3 2 7 11" xfId="50310" xr:uid="{00000000-0005-0000-0000-000031050000}"/>
    <cellStyle name="20% - Accent1 2 3 2 7 2" xfId="2966" xr:uid="{00000000-0005-0000-0000-000032050000}"/>
    <cellStyle name="20% - Accent1 2 3 2 7 2 2" xfId="8446" xr:uid="{00000000-0005-0000-0000-000033050000}"/>
    <cellStyle name="20% - Accent1 2 3 2 7 2 3" xfId="13922" xr:uid="{00000000-0005-0000-0000-000034050000}"/>
    <cellStyle name="20% - Accent1 2 3 2 7 2 4" xfId="19398" xr:uid="{00000000-0005-0000-0000-000035050000}"/>
    <cellStyle name="20% - Accent1 2 3 2 7 2 5" xfId="24874" xr:uid="{00000000-0005-0000-0000-000036050000}"/>
    <cellStyle name="20% - Accent1 2 3 2 7 2 6" xfId="36670" xr:uid="{00000000-0005-0000-0000-000037050000}"/>
    <cellStyle name="20% - Accent1 2 3 2 7 2 7" xfId="42147" xr:uid="{00000000-0005-0000-0000-000038050000}"/>
    <cellStyle name="20% - Accent1 2 3 2 7 2 8" xfId="47624" xr:uid="{00000000-0005-0000-0000-000039050000}"/>
    <cellStyle name="20% - Accent1 2 3 2 7 2 9" xfId="53142" xr:uid="{00000000-0005-0000-0000-00003A050000}"/>
    <cellStyle name="20% - Accent1 2 3 2 7 3" xfId="4738" xr:uid="{00000000-0005-0000-0000-00003B050000}"/>
    <cellStyle name="20% - Accent1 2 3 2 7 3 2" xfId="10218" xr:uid="{00000000-0005-0000-0000-00003C050000}"/>
    <cellStyle name="20% - Accent1 2 3 2 7 3 3" xfId="15694" xr:uid="{00000000-0005-0000-0000-00003D050000}"/>
    <cellStyle name="20% - Accent1 2 3 2 7 3 4" xfId="21170" xr:uid="{00000000-0005-0000-0000-00003E050000}"/>
    <cellStyle name="20% - Accent1 2 3 2 7 3 5" xfId="26646" xr:uid="{00000000-0005-0000-0000-00003F050000}"/>
    <cellStyle name="20% - Accent1 2 3 2 7 3 6" xfId="38442" xr:uid="{00000000-0005-0000-0000-000040050000}"/>
    <cellStyle name="20% - Accent1 2 3 2 7 3 7" xfId="43919" xr:uid="{00000000-0005-0000-0000-000041050000}"/>
    <cellStyle name="20% - Accent1 2 3 2 7 3 8" xfId="49396" xr:uid="{00000000-0005-0000-0000-000042050000}"/>
    <cellStyle name="20% - Accent1 2 3 2 7 3 9" xfId="54914" xr:uid="{00000000-0005-0000-0000-000043050000}"/>
    <cellStyle name="20% - Accent1 2 3 2 7 4" xfId="5651" xr:uid="{00000000-0005-0000-0000-000044050000}"/>
    <cellStyle name="20% - Accent1 2 3 2 7 5" xfId="11131" xr:uid="{00000000-0005-0000-0000-000045050000}"/>
    <cellStyle name="20% - Accent1 2 3 2 7 6" xfId="16607" xr:uid="{00000000-0005-0000-0000-000046050000}"/>
    <cellStyle name="20% - Accent1 2 3 2 7 7" xfId="22083" xr:uid="{00000000-0005-0000-0000-000047050000}"/>
    <cellStyle name="20% - Accent1 2 3 2 7 8" xfId="33878" xr:uid="{00000000-0005-0000-0000-000048050000}"/>
    <cellStyle name="20% - Accent1 2 3 2 7 9" xfId="39355" xr:uid="{00000000-0005-0000-0000-000049050000}"/>
    <cellStyle name="20% - Accent1 2 3 2 8" xfId="1377" xr:uid="{00000000-0005-0000-0000-00004A050000}"/>
    <cellStyle name="20% - Accent1 2 3 2 8 10" xfId="44833" xr:uid="{00000000-0005-0000-0000-00004B050000}"/>
    <cellStyle name="20% - Accent1 2 3 2 8 11" xfId="50311" xr:uid="{00000000-0005-0000-0000-00004C050000}"/>
    <cellStyle name="20% - Accent1 2 3 2 8 2" xfId="3138" xr:uid="{00000000-0005-0000-0000-00004D050000}"/>
    <cellStyle name="20% - Accent1 2 3 2 8 2 2" xfId="8618" xr:uid="{00000000-0005-0000-0000-00004E050000}"/>
    <cellStyle name="20% - Accent1 2 3 2 8 2 3" xfId="14094" xr:uid="{00000000-0005-0000-0000-00004F050000}"/>
    <cellStyle name="20% - Accent1 2 3 2 8 2 4" xfId="19570" xr:uid="{00000000-0005-0000-0000-000050050000}"/>
    <cellStyle name="20% - Accent1 2 3 2 8 2 5" xfId="25046" xr:uid="{00000000-0005-0000-0000-000051050000}"/>
    <cellStyle name="20% - Accent1 2 3 2 8 2 6" xfId="36842" xr:uid="{00000000-0005-0000-0000-000052050000}"/>
    <cellStyle name="20% - Accent1 2 3 2 8 2 7" xfId="42319" xr:uid="{00000000-0005-0000-0000-000053050000}"/>
    <cellStyle name="20% - Accent1 2 3 2 8 2 8" xfId="47796" xr:uid="{00000000-0005-0000-0000-000054050000}"/>
    <cellStyle name="20% - Accent1 2 3 2 8 2 9" xfId="53314" xr:uid="{00000000-0005-0000-0000-000055050000}"/>
    <cellStyle name="20% - Accent1 2 3 2 8 3" xfId="4910" xr:uid="{00000000-0005-0000-0000-000056050000}"/>
    <cellStyle name="20% - Accent1 2 3 2 8 3 2" xfId="10390" xr:uid="{00000000-0005-0000-0000-000057050000}"/>
    <cellStyle name="20% - Accent1 2 3 2 8 3 3" xfId="15866" xr:uid="{00000000-0005-0000-0000-000058050000}"/>
    <cellStyle name="20% - Accent1 2 3 2 8 3 4" xfId="21342" xr:uid="{00000000-0005-0000-0000-000059050000}"/>
    <cellStyle name="20% - Accent1 2 3 2 8 3 5" xfId="26818" xr:uid="{00000000-0005-0000-0000-00005A050000}"/>
    <cellStyle name="20% - Accent1 2 3 2 8 3 6" xfId="38614" xr:uid="{00000000-0005-0000-0000-00005B050000}"/>
    <cellStyle name="20% - Accent1 2 3 2 8 3 7" xfId="44091" xr:uid="{00000000-0005-0000-0000-00005C050000}"/>
    <cellStyle name="20% - Accent1 2 3 2 8 3 8" xfId="49568" xr:uid="{00000000-0005-0000-0000-00005D050000}"/>
    <cellStyle name="20% - Accent1 2 3 2 8 3 9" xfId="55086" xr:uid="{00000000-0005-0000-0000-00005E050000}"/>
    <cellStyle name="20% - Accent1 2 3 2 8 4" xfId="5652" xr:uid="{00000000-0005-0000-0000-00005F050000}"/>
    <cellStyle name="20% - Accent1 2 3 2 8 5" xfId="11132" xr:uid="{00000000-0005-0000-0000-000060050000}"/>
    <cellStyle name="20% - Accent1 2 3 2 8 6" xfId="16608" xr:uid="{00000000-0005-0000-0000-000061050000}"/>
    <cellStyle name="20% - Accent1 2 3 2 8 7" xfId="22084" xr:uid="{00000000-0005-0000-0000-000062050000}"/>
    <cellStyle name="20% - Accent1 2 3 2 8 8" xfId="33879" xr:uid="{00000000-0005-0000-0000-000063050000}"/>
    <cellStyle name="20% - Accent1 2 3 2 8 9" xfId="39356" xr:uid="{00000000-0005-0000-0000-000064050000}"/>
    <cellStyle name="20% - Accent1 2 3 2 9" xfId="1549" xr:uid="{00000000-0005-0000-0000-000065050000}"/>
    <cellStyle name="20% - Accent1 2 3 2 9 10" xfId="44834" xr:uid="{00000000-0005-0000-0000-000066050000}"/>
    <cellStyle name="20% - Accent1 2 3 2 9 11" xfId="50312" xr:uid="{00000000-0005-0000-0000-000067050000}"/>
    <cellStyle name="20% - Accent1 2 3 2 9 2" xfId="3310" xr:uid="{00000000-0005-0000-0000-000068050000}"/>
    <cellStyle name="20% - Accent1 2 3 2 9 2 2" xfId="8790" xr:uid="{00000000-0005-0000-0000-000069050000}"/>
    <cellStyle name="20% - Accent1 2 3 2 9 2 3" xfId="14266" xr:uid="{00000000-0005-0000-0000-00006A050000}"/>
    <cellStyle name="20% - Accent1 2 3 2 9 2 4" xfId="19742" xr:uid="{00000000-0005-0000-0000-00006B050000}"/>
    <cellStyle name="20% - Accent1 2 3 2 9 2 5" xfId="25218" xr:uid="{00000000-0005-0000-0000-00006C050000}"/>
    <cellStyle name="20% - Accent1 2 3 2 9 2 6" xfId="37014" xr:uid="{00000000-0005-0000-0000-00006D050000}"/>
    <cellStyle name="20% - Accent1 2 3 2 9 2 7" xfId="42491" xr:uid="{00000000-0005-0000-0000-00006E050000}"/>
    <cellStyle name="20% - Accent1 2 3 2 9 2 8" xfId="47968" xr:uid="{00000000-0005-0000-0000-00006F050000}"/>
    <cellStyle name="20% - Accent1 2 3 2 9 2 9" xfId="53486" xr:uid="{00000000-0005-0000-0000-000070050000}"/>
    <cellStyle name="20% - Accent1 2 3 2 9 3" xfId="5082" xr:uid="{00000000-0005-0000-0000-000071050000}"/>
    <cellStyle name="20% - Accent1 2 3 2 9 3 2" xfId="10562" xr:uid="{00000000-0005-0000-0000-000072050000}"/>
    <cellStyle name="20% - Accent1 2 3 2 9 3 3" xfId="16038" xr:uid="{00000000-0005-0000-0000-000073050000}"/>
    <cellStyle name="20% - Accent1 2 3 2 9 3 4" xfId="21514" xr:uid="{00000000-0005-0000-0000-000074050000}"/>
    <cellStyle name="20% - Accent1 2 3 2 9 3 5" xfId="26990" xr:uid="{00000000-0005-0000-0000-000075050000}"/>
    <cellStyle name="20% - Accent1 2 3 2 9 3 6" xfId="38786" xr:uid="{00000000-0005-0000-0000-000076050000}"/>
    <cellStyle name="20% - Accent1 2 3 2 9 3 7" xfId="44263" xr:uid="{00000000-0005-0000-0000-000077050000}"/>
    <cellStyle name="20% - Accent1 2 3 2 9 3 8" xfId="49740" xr:uid="{00000000-0005-0000-0000-000078050000}"/>
    <cellStyle name="20% - Accent1 2 3 2 9 3 9" xfId="55258" xr:uid="{00000000-0005-0000-0000-000079050000}"/>
    <cellStyle name="20% - Accent1 2 3 2 9 4" xfId="5653" xr:uid="{00000000-0005-0000-0000-00007A050000}"/>
    <cellStyle name="20% - Accent1 2 3 2 9 5" xfId="11133" xr:uid="{00000000-0005-0000-0000-00007B050000}"/>
    <cellStyle name="20% - Accent1 2 3 2 9 6" xfId="16609" xr:uid="{00000000-0005-0000-0000-00007C050000}"/>
    <cellStyle name="20% - Accent1 2 3 2 9 7" xfId="22085" xr:uid="{00000000-0005-0000-0000-00007D050000}"/>
    <cellStyle name="20% - Accent1 2 3 2 9 8" xfId="33880" xr:uid="{00000000-0005-0000-0000-00007E050000}"/>
    <cellStyle name="20% - Accent1 2 3 2 9 9" xfId="39357" xr:uid="{00000000-0005-0000-0000-00007F050000}"/>
    <cellStyle name="20% - Accent1 2 3 20" xfId="39345" xr:uid="{00000000-0005-0000-0000-000080050000}"/>
    <cellStyle name="20% - Accent1 2 3 21" xfId="44822" xr:uid="{00000000-0005-0000-0000-000081050000}"/>
    <cellStyle name="20% - Accent1 2 3 22" xfId="50300" xr:uid="{00000000-0005-0000-0000-000082050000}"/>
    <cellStyle name="20% - Accent1 2 3 3" xfId="281" xr:uid="{00000000-0005-0000-0000-000083050000}"/>
    <cellStyle name="20% - Accent1 2 3 3 10" xfId="39358" xr:uid="{00000000-0005-0000-0000-000084050000}"/>
    <cellStyle name="20% - Accent1 2 3 3 11" xfId="44835" xr:uid="{00000000-0005-0000-0000-000085050000}"/>
    <cellStyle name="20% - Accent1 2 3 3 12" xfId="50313" xr:uid="{00000000-0005-0000-0000-000086050000}"/>
    <cellStyle name="20% - Accent1 2 3 3 2" xfId="2083" xr:uid="{00000000-0005-0000-0000-000087050000}"/>
    <cellStyle name="20% - Accent1 2 3 3 2 2" xfId="7563" xr:uid="{00000000-0005-0000-0000-000088050000}"/>
    <cellStyle name="20% - Accent1 2 3 3 2 3" xfId="13039" xr:uid="{00000000-0005-0000-0000-000089050000}"/>
    <cellStyle name="20% - Accent1 2 3 3 2 4" xfId="18515" xr:uid="{00000000-0005-0000-0000-00008A050000}"/>
    <cellStyle name="20% - Accent1 2 3 3 2 5" xfId="23991" xr:uid="{00000000-0005-0000-0000-00008B050000}"/>
    <cellStyle name="20% - Accent1 2 3 3 2 6" xfId="35787" xr:uid="{00000000-0005-0000-0000-00008C050000}"/>
    <cellStyle name="20% - Accent1 2 3 3 2 7" xfId="41264" xr:uid="{00000000-0005-0000-0000-00008D050000}"/>
    <cellStyle name="20% - Accent1 2 3 3 2 8" xfId="46741" xr:uid="{00000000-0005-0000-0000-00008E050000}"/>
    <cellStyle name="20% - Accent1 2 3 3 2 9" xfId="52259" xr:uid="{00000000-0005-0000-0000-00008F050000}"/>
    <cellStyle name="20% - Accent1 2 3 3 3" xfId="3843" xr:uid="{00000000-0005-0000-0000-000090050000}"/>
    <cellStyle name="20% - Accent1 2 3 3 3 2" xfId="9323" xr:uid="{00000000-0005-0000-0000-000091050000}"/>
    <cellStyle name="20% - Accent1 2 3 3 3 3" xfId="14799" xr:uid="{00000000-0005-0000-0000-000092050000}"/>
    <cellStyle name="20% - Accent1 2 3 3 3 4" xfId="20275" xr:uid="{00000000-0005-0000-0000-000093050000}"/>
    <cellStyle name="20% - Accent1 2 3 3 3 5" xfId="25751" xr:uid="{00000000-0005-0000-0000-000094050000}"/>
    <cellStyle name="20% - Accent1 2 3 3 3 6" xfId="37547" xr:uid="{00000000-0005-0000-0000-000095050000}"/>
    <cellStyle name="20% - Accent1 2 3 3 3 7" xfId="43024" xr:uid="{00000000-0005-0000-0000-000096050000}"/>
    <cellStyle name="20% - Accent1 2 3 3 3 8" xfId="48501" xr:uid="{00000000-0005-0000-0000-000097050000}"/>
    <cellStyle name="20% - Accent1 2 3 3 3 9" xfId="54019" xr:uid="{00000000-0005-0000-0000-000098050000}"/>
    <cellStyle name="20% - Accent1 2 3 3 4" xfId="5654" xr:uid="{00000000-0005-0000-0000-000099050000}"/>
    <cellStyle name="20% - Accent1 2 3 3 5" xfId="11134" xr:uid="{00000000-0005-0000-0000-00009A050000}"/>
    <cellStyle name="20% - Accent1 2 3 3 6" xfId="16610" xr:uid="{00000000-0005-0000-0000-00009B050000}"/>
    <cellStyle name="20% - Accent1 2 3 3 7" xfId="22086" xr:uid="{00000000-0005-0000-0000-00009C050000}"/>
    <cellStyle name="20% - Accent1 2 3 3 8" xfId="27796" xr:uid="{00000000-0005-0000-0000-00009D050000}"/>
    <cellStyle name="20% - Accent1 2 3 3 9" xfId="33881" xr:uid="{00000000-0005-0000-0000-00009E050000}"/>
    <cellStyle name="20% - Accent1 2 3 4" xfId="482" xr:uid="{00000000-0005-0000-0000-00009F050000}"/>
    <cellStyle name="20% - Accent1 2 3 4 10" xfId="44836" xr:uid="{00000000-0005-0000-0000-0000A0050000}"/>
    <cellStyle name="20% - Accent1 2 3 4 11" xfId="50314" xr:uid="{00000000-0005-0000-0000-0000A1050000}"/>
    <cellStyle name="20% - Accent1 2 3 4 2" xfId="2243" xr:uid="{00000000-0005-0000-0000-0000A2050000}"/>
    <cellStyle name="20% - Accent1 2 3 4 2 2" xfId="7723" xr:uid="{00000000-0005-0000-0000-0000A3050000}"/>
    <cellStyle name="20% - Accent1 2 3 4 2 3" xfId="13199" xr:uid="{00000000-0005-0000-0000-0000A4050000}"/>
    <cellStyle name="20% - Accent1 2 3 4 2 4" xfId="18675" xr:uid="{00000000-0005-0000-0000-0000A5050000}"/>
    <cellStyle name="20% - Accent1 2 3 4 2 5" xfId="24151" xr:uid="{00000000-0005-0000-0000-0000A6050000}"/>
    <cellStyle name="20% - Accent1 2 3 4 2 6" xfId="35947" xr:uid="{00000000-0005-0000-0000-0000A7050000}"/>
    <cellStyle name="20% - Accent1 2 3 4 2 7" xfId="41424" xr:uid="{00000000-0005-0000-0000-0000A8050000}"/>
    <cellStyle name="20% - Accent1 2 3 4 2 8" xfId="46901" xr:uid="{00000000-0005-0000-0000-0000A9050000}"/>
    <cellStyle name="20% - Accent1 2 3 4 2 9" xfId="52419" xr:uid="{00000000-0005-0000-0000-0000AA050000}"/>
    <cellStyle name="20% - Accent1 2 3 4 3" xfId="4015" xr:uid="{00000000-0005-0000-0000-0000AB050000}"/>
    <cellStyle name="20% - Accent1 2 3 4 3 2" xfId="9495" xr:uid="{00000000-0005-0000-0000-0000AC050000}"/>
    <cellStyle name="20% - Accent1 2 3 4 3 3" xfId="14971" xr:uid="{00000000-0005-0000-0000-0000AD050000}"/>
    <cellStyle name="20% - Accent1 2 3 4 3 4" xfId="20447" xr:uid="{00000000-0005-0000-0000-0000AE050000}"/>
    <cellStyle name="20% - Accent1 2 3 4 3 5" xfId="25923" xr:uid="{00000000-0005-0000-0000-0000AF050000}"/>
    <cellStyle name="20% - Accent1 2 3 4 3 6" xfId="37719" xr:uid="{00000000-0005-0000-0000-0000B0050000}"/>
    <cellStyle name="20% - Accent1 2 3 4 3 7" xfId="43196" xr:uid="{00000000-0005-0000-0000-0000B1050000}"/>
    <cellStyle name="20% - Accent1 2 3 4 3 8" xfId="48673" xr:uid="{00000000-0005-0000-0000-0000B2050000}"/>
    <cellStyle name="20% - Accent1 2 3 4 3 9" xfId="54191" xr:uid="{00000000-0005-0000-0000-0000B3050000}"/>
    <cellStyle name="20% - Accent1 2 3 4 4" xfId="5655" xr:uid="{00000000-0005-0000-0000-0000B4050000}"/>
    <cellStyle name="20% - Accent1 2 3 4 5" xfId="11135" xr:uid="{00000000-0005-0000-0000-0000B5050000}"/>
    <cellStyle name="20% - Accent1 2 3 4 6" xfId="16611" xr:uid="{00000000-0005-0000-0000-0000B6050000}"/>
    <cellStyle name="20% - Accent1 2 3 4 7" xfId="22087" xr:uid="{00000000-0005-0000-0000-0000B7050000}"/>
    <cellStyle name="20% - Accent1 2 3 4 8" xfId="33882" xr:uid="{00000000-0005-0000-0000-0000B8050000}"/>
    <cellStyle name="20% - Accent1 2 3 4 9" xfId="39359" xr:uid="{00000000-0005-0000-0000-0000B9050000}"/>
    <cellStyle name="20% - Accent1 2 3 5" xfId="654" xr:uid="{00000000-0005-0000-0000-0000BA050000}"/>
    <cellStyle name="20% - Accent1 2 3 5 10" xfId="44837" xr:uid="{00000000-0005-0000-0000-0000BB050000}"/>
    <cellStyle name="20% - Accent1 2 3 5 11" xfId="50315" xr:uid="{00000000-0005-0000-0000-0000BC050000}"/>
    <cellStyle name="20% - Accent1 2 3 5 2" xfId="2415" xr:uid="{00000000-0005-0000-0000-0000BD050000}"/>
    <cellStyle name="20% - Accent1 2 3 5 2 2" xfId="7895" xr:uid="{00000000-0005-0000-0000-0000BE050000}"/>
    <cellStyle name="20% - Accent1 2 3 5 2 3" xfId="13371" xr:uid="{00000000-0005-0000-0000-0000BF050000}"/>
    <cellStyle name="20% - Accent1 2 3 5 2 4" xfId="18847" xr:uid="{00000000-0005-0000-0000-0000C0050000}"/>
    <cellStyle name="20% - Accent1 2 3 5 2 5" xfId="24323" xr:uid="{00000000-0005-0000-0000-0000C1050000}"/>
    <cellStyle name="20% - Accent1 2 3 5 2 6" xfId="36119" xr:uid="{00000000-0005-0000-0000-0000C2050000}"/>
    <cellStyle name="20% - Accent1 2 3 5 2 7" xfId="41596" xr:uid="{00000000-0005-0000-0000-0000C3050000}"/>
    <cellStyle name="20% - Accent1 2 3 5 2 8" xfId="47073" xr:uid="{00000000-0005-0000-0000-0000C4050000}"/>
    <cellStyle name="20% - Accent1 2 3 5 2 9" xfId="52591" xr:uid="{00000000-0005-0000-0000-0000C5050000}"/>
    <cellStyle name="20% - Accent1 2 3 5 3" xfId="4187" xr:uid="{00000000-0005-0000-0000-0000C6050000}"/>
    <cellStyle name="20% - Accent1 2 3 5 3 2" xfId="9667" xr:uid="{00000000-0005-0000-0000-0000C7050000}"/>
    <cellStyle name="20% - Accent1 2 3 5 3 3" xfId="15143" xr:uid="{00000000-0005-0000-0000-0000C8050000}"/>
    <cellStyle name="20% - Accent1 2 3 5 3 4" xfId="20619" xr:uid="{00000000-0005-0000-0000-0000C9050000}"/>
    <cellStyle name="20% - Accent1 2 3 5 3 5" xfId="26095" xr:uid="{00000000-0005-0000-0000-0000CA050000}"/>
    <cellStyle name="20% - Accent1 2 3 5 3 6" xfId="37891" xr:uid="{00000000-0005-0000-0000-0000CB050000}"/>
    <cellStyle name="20% - Accent1 2 3 5 3 7" xfId="43368" xr:uid="{00000000-0005-0000-0000-0000CC050000}"/>
    <cellStyle name="20% - Accent1 2 3 5 3 8" xfId="48845" xr:uid="{00000000-0005-0000-0000-0000CD050000}"/>
    <cellStyle name="20% - Accent1 2 3 5 3 9" xfId="54363" xr:uid="{00000000-0005-0000-0000-0000CE050000}"/>
    <cellStyle name="20% - Accent1 2 3 5 4" xfId="5656" xr:uid="{00000000-0005-0000-0000-0000CF050000}"/>
    <cellStyle name="20% - Accent1 2 3 5 5" xfId="11136" xr:uid="{00000000-0005-0000-0000-0000D0050000}"/>
    <cellStyle name="20% - Accent1 2 3 5 6" xfId="16612" xr:uid="{00000000-0005-0000-0000-0000D1050000}"/>
    <cellStyle name="20% - Accent1 2 3 5 7" xfId="22088" xr:uid="{00000000-0005-0000-0000-0000D2050000}"/>
    <cellStyle name="20% - Accent1 2 3 5 8" xfId="33883" xr:uid="{00000000-0005-0000-0000-0000D3050000}"/>
    <cellStyle name="20% - Accent1 2 3 5 9" xfId="39360" xr:uid="{00000000-0005-0000-0000-0000D4050000}"/>
    <cellStyle name="20% - Accent1 2 3 6" xfId="826" xr:uid="{00000000-0005-0000-0000-0000D5050000}"/>
    <cellStyle name="20% - Accent1 2 3 6 10" xfId="44838" xr:uid="{00000000-0005-0000-0000-0000D6050000}"/>
    <cellStyle name="20% - Accent1 2 3 6 11" xfId="50316" xr:uid="{00000000-0005-0000-0000-0000D7050000}"/>
    <cellStyle name="20% - Accent1 2 3 6 2" xfId="2587" xr:uid="{00000000-0005-0000-0000-0000D8050000}"/>
    <cellStyle name="20% - Accent1 2 3 6 2 2" xfId="8067" xr:uid="{00000000-0005-0000-0000-0000D9050000}"/>
    <cellStyle name="20% - Accent1 2 3 6 2 3" xfId="13543" xr:uid="{00000000-0005-0000-0000-0000DA050000}"/>
    <cellStyle name="20% - Accent1 2 3 6 2 4" xfId="19019" xr:uid="{00000000-0005-0000-0000-0000DB050000}"/>
    <cellStyle name="20% - Accent1 2 3 6 2 5" xfId="24495" xr:uid="{00000000-0005-0000-0000-0000DC050000}"/>
    <cellStyle name="20% - Accent1 2 3 6 2 6" xfId="36291" xr:uid="{00000000-0005-0000-0000-0000DD050000}"/>
    <cellStyle name="20% - Accent1 2 3 6 2 7" xfId="41768" xr:uid="{00000000-0005-0000-0000-0000DE050000}"/>
    <cellStyle name="20% - Accent1 2 3 6 2 8" xfId="47245" xr:uid="{00000000-0005-0000-0000-0000DF050000}"/>
    <cellStyle name="20% - Accent1 2 3 6 2 9" xfId="52763" xr:uid="{00000000-0005-0000-0000-0000E0050000}"/>
    <cellStyle name="20% - Accent1 2 3 6 3" xfId="4359" xr:uid="{00000000-0005-0000-0000-0000E1050000}"/>
    <cellStyle name="20% - Accent1 2 3 6 3 2" xfId="9839" xr:uid="{00000000-0005-0000-0000-0000E2050000}"/>
    <cellStyle name="20% - Accent1 2 3 6 3 3" xfId="15315" xr:uid="{00000000-0005-0000-0000-0000E3050000}"/>
    <cellStyle name="20% - Accent1 2 3 6 3 4" xfId="20791" xr:uid="{00000000-0005-0000-0000-0000E4050000}"/>
    <cellStyle name="20% - Accent1 2 3 6 3 5" xfId="26267" xr:uid="{00000000-0005-0000-0000-0000E5050000}"/>
    <cellStyle name="20% - Accent1 2 3 6 3 6" xfId="38063" xr:uid="{00000000-0005-0000-0000-0000E6050000}"/>
    <cellStyle name="20% - Accent1 2 3 6 3 7" xfId="43540" xr:uid="{00000000-0005-0000-0000-0000E7050000}"/>
    <cellStyle name="20% - Accent1 2 3 6 3 8" xfId="49017" xr:uid="{00000000-0005-0000-0000-0000E8050000}"/>
    <cellStyle name="20% - Accent1 2 3 6 3 9" xfId="54535" xr:uid="{00000000-0005-0000-0000-0000E9050000}"/>
    <cellStyle name="20% - Accent1 2 3 6 4" xfId="5657" xr:uid="{00000000-0005-0000-0000-0000EA050000}"/>
    <cellStyle name="20% - Accent1 2 3 6 5" xfId="11137" xr:uid="{00000000-0005-0000-0000-0000EB050000}"/>
    <cellStyle name="20% - Accent1 2 3 6 6" xfId="16613" xr:uid="{00000000-0005-0000-0000-0000EC050000}"/>
    <cellStyle name="20% - Accent1 2 3 6 7" xfId="22089" xr:uid="{00000000-0005-0000-0000-0000ED050000}"/>
    <cellStyle name="20% - Accent1 2 3 6 8" xfId="33884" xr:uid="{00000000-0005-0000-0000-0000EE050000}"/>
    <cellStyle name="20% - Accent1 2 3 6 9" xfId="39361" xr:uid="{00000000-0005-0000-0000-0000EF050000}"/>
    <cellStyle name="20% - Accent1 2 3 7" xfId="1032" xr:uid="{00000000-0005-0000-0000-0000F0050000}"/>
    <cellStyle name="20% - Accent1 2 3 7 10" xfId="44839" xr:uid="{00000000-0005-0000-0000-0000F1050000}"/>
    <cellStyle name="20% - Accent1 2 3 7 11" xfId="50317" xr:uid="{00000000-0005-0000-0000-0000F2050000}"/>
    <cellStyle name="20% - Accent1 2 3 7 2" xfId="2793" xr:uid="{00000000-0005-0000-0000-0000F3050000}"/>
    <cellStyle name="20% - Accent1 2 3 7 2 2" xfId="8273" xr:uid="{00000000-0005-0000-0000-0000F4050000}"/>
    <cellStyle name="20% - Accent1 2 3 7 2 3" xfId="13749" xr:uid="{00000000-0005-0000-0000-0000F5050000}"/>
    <cellStyle name="20% - Accent1 2 3 7 2 4" xfId="19225" xr:uid="{00000000-0005-0000-0000-0000F6050000}"/>
    <cellStyle name="20% - Accent1 2 3 7 2 5" xfId="24701" xr:uid="{00000000-0005-0000-0000-0000F7050000}"/>
    <cellStyle name="20% - Accent1 2 3 7 2 6" xfId="36497" xr:uid="{00000000-0005-0000-0000-0000F8050000}"/>
    <cellStyle name="20% - Accent1 2 3 7 2 7" xfId="41974" xr:uid="{00000000-0005-0000-0000-0000F9050000}"/>
    <cellStyle name="20% - Accent1 2 3 7 2 8" xfId="47451" xr:uid="{00000000-0005-0000-0000-0000FA050000}"/>
    <cellStyle name="20% - Accent1 2 3 7 2 9" xfId="52969" xr:uid="{00000000-0005-0000-0000-0000FB050000}"/>
    <cellStyle name="20% - Accent1 2 3 7 3" xfId="4565" xr:uid="{00000000-0005-0000-0000-0000FC050000}"/>
    <cellStyle name="20% - Accent1 2 3 7 3 2" xfId="10045" xr:uid="{00000000-0005-0000-0000-0000FD050000}"/>
    <cellStyle name="20% - Accent1 2 3 7 3 3" xfId="15521" xr:uid="{00000000-0005-0000-0000-0000FE050000}"/>
    <cellStyle name="20% - Accent1 2 3 7 3 4" xfId="20997" xr:uid="{00000000-0005-0000-0000-0000FF050000}"/>
    <cellStyle name="20% - Accent1 2 3 7 3 5" xfId="26473" xr:uid="{00000000-0005-0000-0000-000000060000}"/>
    <cellStyle name="20% - Accent1 2 3 7 3 6" xfId="38269" xr:uid="{00000000-0005-0000-0000-000001060000}"/>
    <cellStyle name="20% - Accent1 2 3 7 3 7" xfId="43746" xr:uid="{00000000-0005-0000-0000-000002060000}"/>
    <cellStyle name="20% - Accent1 2 3 7 3 8" xfId="49223" xr:uid="{00000000-0005-0000-0000-000003060000}"/>
    <cellStyle name="20% - Accent1 2 3 7 3 9" xfId="54741" xr:uid="{00000000-0005-0000-0000-000004060000}"/>
    <cellStyle name="20% - Accent1 2 3 7 4" xfId="5658" xr:uid="{00000000-0005-0000-0000-000005060000}"/>
    <cellStyle name="20% - Accent1 2 3 7 5" xfId="11138" xr:uid="{00000000-0005-0000-0000-000006060000}"/>
    <cellStyle name="20% - Accent1 2 3 7 6" xfId="16614" xr:uid="{00000000-0005-0000-0000-000007060000}"/>
    <cellStyle name="20% - Accent1 2 3 7 7" xfId="22090" xr:uid="{00000000-0005-0000-0000-000008060000}"/>
    <cellStyle name="20% - Accent1 2 3 7 8" xfId="33885" xr:uid="{00000000-0005-0000-0000-000009060000}"/>
    <cellStyle name="20% - Accent1 2 3 7 9" xfId="39362" xr:uid="{00000000-0005-0000-0000-00000A060000}"/>
    <cellStyle name="20% - Accent1 2 3 8" xfId="1204" xr:uid="{00000000-0005-0000-0000-00000B060000}"/>
    <cellStyle name="20% - Accent1 2 3 8 10" xfId="44840" xr:uid="{00000000-0005-0000-0000-00000C060000}"/>
    <cellStyle name="20% - Accent1 2 3 8 11" xfId="50318" xr:uid="{00000000-0005-0000-0000-00000D060000}"/>
    <cellStyle name="20% - Accent1 2 3 8 2" xfId="2965" xr:uid="{00000000-0005-0000-0000-00000E060000}"/>
    <cellStyle name="20% - Accent1 2 3 8 2 2" xfId="8445" xr:uid="{00000000-0005-0000-0000-00000F060000}"/>
    <cellStyle name="20% - Accent1 2 3 8 2 3" xfId="13921" xr:uid="{00000000-0005-0000-0000-000010060000}"/>
    <cellStyle name="20% - Accent1 2 3 8 2 4" xfId="19397" xr:uid="{00000000-0005-0000-0000-000011060000}"/>
    <cellStyle name="20% - Accent1 2 3 8 2 5" xfId="24873" xr:uid="{00000000-0005-0000-0000-000012060000}"/>
    <cellStyle name="20% - Accent1 2 3 8 2 6" xfId="36669" xr:uid="{00000000-0005-0000-0000-000013060000}"/>
    <cellStyle name="20% - Accent1 2 3 8 2 7" xfId="42146" xr:uid="{00000000-0005-0000-0000-000014060000}"/>
    <cellStyle name="20% - Accent1 2 3 8 2 8" xfId="47623" xr:uid="{00000000-0005-0000-0000-000015060000}"/>
    <cellStyle name="20% - Accent1 2 3 8 2 9" xfId="53141" xr:uid="{00000000-0005-0000-0000-000016060000}"/>
    <cellStyle name="20% - Accent1 2 3 8 3" xfId="4737" xr:uid="{00000000-0005-0000-0000-000017060000}"/>
    <cellStyle name="20% - Accent1 2 3 8 3 2" xfId="10217" xr:uid="{00000000-0005-0000-0000-000018060000}"/>
    <cellStyle name="20% - Accent1 2 3 8 3 3" xfId="15693" xr:uid="{00000000-0005-0000-0000-000019060000}"/>
    <cellStyle name="20% - Accent1 2 3 8 3 4" xfId="21169" xr:uid="{00000000-0005-0000-0000-00001A060000}"/>
    <cellStyle name="20% - Accent1 2 3 8 3 5" xfId="26645" xr:uid="{00000000-0005-0000-0000-00001B060000}"/>
    <cellStyle name="20% - Accent1 2 3 8 3 6" xfId="38441" xr:uid="{00000000-0005-0000-0000-00001C060000}"/>
    <cellStyle name="20% - Accent1 2 3 8 3 7" xfId="43918" xr:uid="{00000000-0005-0000-0000-00001D060000}"/>
    <cellStyle name="20% - Accent1 2 3 8 3 8" xfId="49395" xr:uid="{00000000-0005-0000-0000-00001E060000}"/>
    <cellStyle name="20% - Accent1 2 3 8 3 9" xfId="54913" xr:uid="{00000000-0005-0000-0000-00001F060000}"/>
    <cellStyle name="20% - Accent1 2 3 8 4" xfId="5659" xr:uid="{00000000-0005-0000-0000-000020060000}"/>
    <cellStyle name="20% - Accent1 2 3 8 5" xfId="11139" xr:uid="{00000000-0005-0000-0000-000021060000}"/>
    <cellStyle name="20% - Accent1 2 3 8 6" xfId="16615" xr:uid="{00000000-0005-0000-0000-000022060000}"/>
    <cellStyle name="20% - Accent1 2 3 8 7" xfId="22091" xr:uid="{00000000-0005-0000-0000-000023060000}"/>
    <cellStyle name="20% - Accent1 2 3 8 8" xfId="33886" xr:uid="{00000000-0005-0000-0000-000024060000}"/>
    <cellStyle name="20% - Accent1 2 3 8 9" xfId="39363" xr:uid="{00000000-0005-0000-0000-000025060000}"/>
    <cellStyle name="20% - Accent1 2 3 9" xfId="1376" xr:uid="{00000000-0005-0000-0000-000026060000}"/>
    <cellStyle name="20% - Accent1 2 3 9 10" xfId="44841" xr:uid="{00000000-0005-0000-0000-000027060000}"/>
    <cellStyle name="20% - Accent1 2 3 9 11" xfId="50319" xr:uid="{00000000-0005-0000-0000-000028060000}"/>
    <cellStyle name="20% - Accent1 2 3 9 2" xfId="3137" xr:uid="{00000000-0005-0000-0000-000029060000}"/>
    <cellStyle name="20% - Accent1 2 3 9 2 2" xfId="8617" xr:uid="{00000000-0005-0000-0000-00002A060000}"/>
    <cellStyle name="20% - Accent1 2 3 9 2 3" xfId="14093" xr:uid="{00000000-0005-0000-0000-00002B060000}"/>
    <cellStyle name="20% - Accent1 2 3 9 2 4" xfId="19569" xr:uid="{00000000-0005-0000-0000-00002C060000}"/>
    <cellStyle name="20% - Accent1 2 3 9 2 5" xfId="25045" xr:uid="{00000000-0005-0000-0000-00002D060000}"/>
    <cellStyle name="20% - Accent1 2 3 9 2 6" xfId="36841" xr:uid="{00000000-0005-0000-0000-00002E060000}"/>
    <cellStyle name="20% - Accent1 2 3 9 2 7" xfId="42318" xr:uid="{00000000-0005-0000-0000-00002F060000}"/>
    <cellStyle name="20% - Accent1 2 3 9 2 8" xfId="47795" xr:uid="{00000000-0005-0000-0000-000030060000}"/>
    <cellStyle name="20% - Accent1 2 3 9 2 9" xfId="53313" xr:uid="{00000000-0005-0000-0000-000031060000}"/>
    <cellStyle name="20% - Accent1 2 3 9 3" xfId="4909" xr:uid="{00000000-0005-0000-0000-000032060000}"/>
    <cellStyle name="20% - Accent1 2 3 9 3 2" xfId="10389" xr:uid="{00000000-0005-0000-0000-000033060000}"/>
    <cellStyle name="20% - Accent1 2 3 9 3 3" xfId="15865" xr:uid="{00000000-0005-0000-0000-000034060000}"/>
    <cellStyle name="20% - Accent1 2 3 9 3 4" xfId="21341" xr:uid="{00000000-0005-0000-0000-000035060000}"/>
    <cellStyle name="20% - Accent1 2 3 9 3 5" xfId="26817" xr:uid="{00000000-0005-0000-0000-000036060000}"/>
    <cellStyle name="20% - Accent1 2 3 9 3 6" xfId="38613" xr:uid="{00000000-0005-0000-0000-000037060000}"/>
    <cellStyle name="20% - Accent1 2 3 9 3 7" xfId="44090" xr:uid="{00000000-0005-0000-0000-000038060000}"/>
    <cellStyle name="20% - Accent1 2 3 9 3 8" xfId="49567" xr:uid="{00000000-0005-0000-0000-000039060000}"/>
    <cellStyle name="20% - Accent1 2 3 9 3 9" xfId="55085" xr:uid="{00000000-0005-0000-0000-00003A060000}"/>
    <cellStyle name="20% - Accent1 2 3 9 4" xfId="5660" xr:uid="{00000000-0005-0000-0000-00003B060000}"/>
    <cellStyle name="20% - Accent1 2 3 9 5" xfId="11140" xr:uid="{00000000-0005-0000-0000-00003C060000}"/>
    <cellStyle name="20% - Accent1 2 3 9 6" xfId="16616" xr:uid="{00000000-0005-0000-0000-00003D060000}"/>
    <cellStyle name="20% - Accent1 2 3 9 7" xfId="22092" xr:uid="{00000000-0005-0000-0000-00003E060000}"/>
    <cellStyle name="20% - Accent1 2 3 9 8" xfId="33887" xr:uid="{00000000-0005-0000-0000-00003F060000}"/>
    <cellStyle name="20% - Accent1 2 3 9 9" xfId="39364" xr:uid="{00000000-0005-0000-0000-000040060000}"/>
    <cellStyle name="20% - Accent1 2 4" xfId="164" xr:uid="{00000000-0005-0000-0000-000041060000}"/>
    <cellStyle name="20% - Accent1 2 4 10" xfId="1550" xr:uid="{00000000-0005-0000-0000-000042060000}"/>
    <cellStyle name="20% - Accent1 2 4 10 10" xfId="44843" xr:uid="{00000000-0005-0000-0000-000043060000}"/>
    <cellStyle name="20% - Accent1 2 4 10 11" xfId="50321" xr:uid="{00000000-0005-0000-0000-000044060000}"/>
    <cellStyle name="20% - Accent1 2 4 10 2" xfId="3311" xr:uid="{00000000-0005-0000-0000-000045060000}"/>
    <cellStyle name="20% - Accent1 2 4 10 2 2" xfId="8791" xr:uid="{00000000-0005-0000-0000-000046060000}"/>
    <cellStyle name="20% - Accent1 2 4 10 2 3" xfId="14267" xr:uid="{00000000-0005-0000-0000-000047060000}"/>
    <cellStyle name="20% - Accent1 2 4 10 2 4" xfId="19743" xr:uid="{00000000-0005-0000-0000-000048060000}"/>
    <cellStyle name="20% - Accent1 2 4 10 2 5" xfId="25219" xr:uid="{00000000-0005-0000-0000-000049060000}"/>
    <cellStyle name="20% - Accent1 2 4 10 2 6" xfId="37015" xr:uid="{00000000-0005-0000-0000-00004A060000}"/>
    <cellStyle name="20% - Accent1 2 4 10 2 7" xfId="42492" xr:uid="{00000000-0005-0000-0000-00004B060000}"/>
    <cellStyle name="20% - Accent1 2 4 10 2 8" xfId="47969" xr:uid="{00000000-0005-0000-0000-00004C060000}"/>
    <cellStyle name="20% - Accent1 2 4 10 2 9" xfId="53487" xr:uid="{00000000-0005-0000-0000-00004D060000}"/>
    <cellStyle name="20% - Accent1 2 4 10 3" xfId="5083" xr:uid="{00000000-0005-0000-0000-00004E060000}"/>
    <cellStyle name="20% - Accent1 2 4 10 3 2" xfId="10563" xr:uid="{00000000-0005-0000-0000-00004F060000}"/>
    <cellStyle name="20% - Accent1 2 4 10 3 3" xfId="16039" xr:uid="{00000000-0005-0000-0000-000050060000}"/>
    <cellStyle name="20% - Accent1 2 4 10 3 4" xfId="21515" xr:uid="{00000000-0005-0000-0000-000051060000}"/>
    <cellStyle name="20% - Accent1 2 4 10 3 5" xfId="26991" xr:uid="{00000000-0005-0000-0000-000052060000}"/>
    <cellStyle name="20% - Accent1 2 4 10 3 6" xfId="38787" xr:uid="{00000000-0005-0000-0000-000053060000}"/>
    <cellStyle name="20% - Accent1 2 4 10 3 7" xfId="44264" xr:uid="{00000000-0005-0000-0000-000054060000}"/>
    <cellStyle name="20% - Accent1 2 4 10 3 8" xfId="49741" xr:uid="{00000000-0005-0000-0000-000055060000}"/>
    <cellStyle name="20% - Accent1 2 4 10 3 9" xfId="55259" xr:uid="{00000000-0005-0000-0000-000056060000}"/>
    <cellStyle name="20% - Accent1 2 4 10 4" xfId="5662" xr:uid="{00000000-0005-0000-0000-000057060000}"/>
    <cellStyle name="20% - Accent1 2 4 10 5" xfId="11142" xr:uid="{00000000-0005-0000-0000-000058060000}"/>
    <cellStyle name="20% - Accent1 2 4 10 6" xfId="16618" xr:uid="{00000000-0005-0000-0000-000059060000}"/>
    <cellStyle name="20% - Accent1 2 4 10 7" xfId="22094" xr:uid="{00000000-0005-0000-0000-00005A060000}"/>
    <cellStyle name="20% - Accent1 2 4 10 8" xfId="33889" xr:uid="{00000000-0005-0000-0000-00005B060000}"/>
    <cellStyle name="20% - Accent1 2 4 10 9" xfId="39366" xr:uid="{00000000-0005-0000-0000-00005C060000}"/>
    <cellStyle name="20% - Accent1 2 4 11" xfId="1803" xr:uid="{00000000-0005-0000-0000-00005D060000}"/>
    <cellStyle name="20% - Accent1 2 4 11 10" xfId="44844" xr:uid="{00000000-0005-0000-0000-00005E060000}"/>
    <cellStyle name="20% - Accent1 2 4 11 11" xfId="50322" xr:uid="{00000000-0005-0000-0000-00005F060000}"/>
    <cellStyle name="20% - Accent1 2 4 11 2" xfId="3564" xr:uid="{00000000-0005-0000-0000-000060060000}"/>
    <cellStyle name="20% - Accent1 2 4 11 2 2" xfId="9044" xr:uid="{00000000-0005-0000-0000-000061060000}"/>
    <cellStyle name="20% - Accent1 2 4 11 2 3" xfId="14520" xr:uid="{00000000-0005-0000-0000-000062060000}"/>
    <cellStyle name="20% - Accent1 2 4 11 2 4" xfId="19996" xr:uid="{00000000-0005-0000-0000-000063060000}"/>
    <cellStyle name="20% - Accent1 2 4 11 2 5" xfId="25472" xr:uid="{00000000-0005-0000-0000-000064060000}"/>
    <cellStyle name="20% - Accent1 2 4 11 2 6" xfId="37268" xr:uid="{00000000-0005-0000-0000-000065060000}"/>
    <cellStyle name="20% - Accent1 2 4 11 2 7" xfId="42745" xr:uid="{00000000-0005-0000-0000-000066060000}"/>
    <cellStyle name="20% - Accent1 2 4 11 2 8" xfId="48222" xr:uid="{00000000-0005-0000-0000-000067060000}"/>
    <cellStyle name="20% - Accent1 2 4 11 2 9" xfId="53740" xr:uid="{00000000-0005-0000-0000-000068060000}"/>
    <cellStyle name="20% - Accent1 2 4 11 3" xfId="5336" xr:uid="{00000000-0005-0000-0000-000069060000}"/>
    <cellStyle name="20% - Accent1 2 4 11 3 2" xfId="10816" xr:uid="{00000000-0005-0000-0000-00006A060000}"/>
    <cellStyle name="20% - Accent1 2 4 11 3 3" xfId="16292" xr:uid="{00000000-0005-0000-0000-00006B060000}"/>
    <cellStyle name="20% - Accent1 2 4 11 3 4" xfId="21768" xr:uid="{00000000-0005-0000-0000-00006C060000}"/>
    <cellStyle name="20% - Accent1 2 4 11 3 5" xfId="27244" xr:uid="{00000000-0005-0000-0000-00006D060000}"/>
    <cellStyle name="20% - Accent1 2 4 11 3 6" xfId="39040" xr:uid="{00000000-0005-0000-0000-00006E060000}"/>
    <cellStyle name="20% - Accent1 2 4 11 3 7" xfId="44517" xr:uid="{00000000-0005-0000-0000-00006F060000}"/>
    <cellStyle name="20% - Accent1 2 4 11 3 8" xfId="49994" xr:uid="{00000000-0005-0000-0000-000070060000}"/>
    <cellStyle name="20% - Accent1 2 4 11 3 9" xfId="55512" xr:uid="{00000000-0005-0000-0000-000071060000}"/>
    <cellStyle name="20% - Accent1 2 4 11 4" xfId="5663" xr:uid="{00000000-0005-0000-0000-000072060000}"/>
    <cellStyle name="20% - Accent1 2 4 11 5" xfId="11143" xr:uid="{00000000-0005-0000-0000-000073060000}"/>
    <cellStyle name="20% - Accent1 2 4 11 6" xfId="16619" xr:uid="{00000000-0005-0000-0000-000074060000}"/>
    <cellStyle name="20% - Accent1 2 4 11 7" xfId="22095" xr:uid="{00000000-0005-0000-0000-000075060000}"/>
    <cellStyle name="20% - Accent1 2 4 11 8" xfId="33890" xr:uid="{00000000-0005-0000-0000-000076060000}"/>
    <cellStyle name="20% - Accent1 2 4 11 9" xfId="39367" xr:uid="{00000000-0005-0000-0000-000077060000}"/>
    <cellStyle name="20% - Accent1 2 4 12" xfId="1912" xr:uid="{00000000-0005-0000-0000-000078060000}"/>
    <cellStyle name="20% - Accent1 2 4 12 10" xfId="52089" xr:uid="{00000000-0005-0000-0000-000079060000}"/>
    <cellStyle name="20% - Accent1 2 4 12 2" xfId="5444" xr:uid="{00000000-0005-0000-0000-00007A060000}"/>
    <cellStyle name="20% - Accent1 2 4 12 2 2" xfId="10924" xr:uid="{00000000-0005-0000-0000-00007B060000}"/>
    <cellStyle name="20% - Accent1 2 4 12 2 3" xfId="16400" xr:uid="{00000000-0005-0000-0000-00007C060000}"/>
    <cellStyle name="20% - Accent1 2 4 12 2 4" xfId="21876" xr:uid="{00000000-0005-0000-0000-00007D060000}"/>
    <cellStyle name="20% - Accent1 2 4 12 2 5" xfId="27352" xr:uid="{00000000-0005-0000-0000-00007E060000}"/>
    <cellStyle name="20% - Accent1 2 4 12 2 6" xfId="39148" xr:uid="{00000000-0005-0000-0000-00007F060000}"/>
    <cellStyle name="20% - Accent1 2 4 12 2 7" xfId="44625" xr:uid="{00000000-0005-0000-0000-000080060000}"/>
    <cellStyle name="20% - Accent1 2 4 12 2 8" xfId="50102" xr:uid="{00000000-0005-0000-0000-000081060000}"/>
    <cellStyle name="20% - Accent1 2 4 12 2 9" xfId="55620" xr:uid="{00000000-0005-0000-0000-000082060000}"/>
    <cellStyle name="20% - Accent1 2 4 12 3" xfId="7393" xr:uid="{00000000-0005-0000-0000-000083060000}"/>
    <cellStyle name="20% - Accent1 2 4 12 4" xfId="12869" xr:uid="{00000000-0005-0000-0000-000084060000}"/>
    <cellStyle name="20% - Accent1 2 4 12 5" xfId="18345" xr:uid="{00000000-0005-0000-0000-000085060000}"/>
    <cellStyle name="20% - Accent1 2 4 12 6" xfId="23821" xr:uid="{00000000-0005-0000-0000-000086060000}"/>
    <cellStyle name="20% - Accent1 2 4 12 7" xfId="35617" xr:uid="{00000000-0005-0000-0000-000087060000}"/>
    <cellStyle name="20% - Accent1 2 4 12 8" xfId="41094" xr:uid="{00000000-0005-0000-0000-000088060000}"/>
    <cellStyle name="20% - Accent1 2 4 12 9" xfId="46571" xr:uid="{00000000-0005-0000-0000-000089060000}"/>
    <cellStyle name="20% - Accent1 2 4 13" xfId="3736" xr:uid="{00000000-0005-0000-0000-00008A060000}"/>
    <cellStyle name="20% - Accent1 2 4 13 2" xfId="9216" xr:uid="{00000000-0005-0000-0000-00008B060000}"/>
    <cellStyle name="20% - Accent1 2 4 13 3" xfId="14692" xr:uid="{00000000-0005-0000-0000-00008C060000}"/>
    <cellStyle name="20% - Accent1 2 4 13 4" xfId="20168" xr:uid="{00000000-0005-0000-0000-00008D060000}"/>
    <cellStyle name="20% - Accent1 2 4 13 5" xfId="25644" xr:uid="{00000000-0005-0000-0000-00008E060000}"/>
    <cellStyle name="20% - Accent1 2 4 13 6" xfId="37440" xr:uid="{00000000-0005-0000-0000-00008F060000}"/>
    <cellStyle name="20% - Accent1 2 4 13 7" xfId="42917" xr:uid="{00000000-0005-0000-0000-000090060000}"/>
    <cellStyle name="20% - Accent1 2 4 13 8" xfId="48394" xr:uid="{00000000-0005-0000-0000-000091060000}"/>
    <cellStyle name="20% - Accent1 2 4 13 9" xfId="53912" xr:uid="{00000000-0005-0000-0000-000092060000}"/>
    <cellStyle name="20% - Accent1 2 4 14" xfId="5661" xr:uid="{00000000-0005-0000-0000-000093060000}"/>
    <cellStyle name="20% - Accent1 2 4 15" xfId="11141" xr:uid="{00000000-0005-0000-0000-000094060000}"/>
    <cellStyle name="20% - Accent1 2 4 16" xfId="16617" xr:uid="{00000000-0005-0000-0000-000095060000}"/>
    <cellStyle name="20% - Accent1 2 4 17" xfId="22093" xr:uid="{00000000-0005-0000-0000-000096060000}"/>
    <cellStyle name="20% - Accent1 2 4 18" xfId="27797" xr:uid="{00000000-0005-0000-0000-000097060000}"/>
    <cellStyle name="20% - Accent1 2 4 19" xfId="33888" xr:uid="{00000000-0005-0000-0000-000098060000}"/>
    <cellStyle name="20% - Accent1 2 4 2" xfId="256" xr:uid="{00000000-0005-0000-0000-000099060000}"/>
    <cellStyle name="20% - Accent1 2 4 2 10" xfId="1801" xr:uid="{00000000-0005-0000-0000-00009A060000}"/>
    <cellStyle name="20% - Accent1 2 4 2 10 10" xfId="44846" xr:uid="{00000000-0005-0000-0000-00009B060000}"/>
    <cellStyle name="20% - Accent1 2 4 2 10 11" xfId="50324" xr:uid="{00000000-0005-0000-0000-00009C060000}"/>
    <cellStyle name="20% - Accent1 2 4 2 10 2" xfId="3562" xr:uid="{00000000-0005-0000-0000-00009D060000}"/>
    <cellStyle name="20% - Accent1 2 4 2 10 2 2" xfId="9042" xr:uid="{00000000-0005-0000-0000-00009E060000}"/>
    <cellStyle name="20% - Accent1 2 4 2 10 2 3" xfId="14518" xr:uid="{00000000-0005-0000-0000-00009F060000}"/>
    <cellStyle name="20% - Accent1 2 4 2 10 2 4" xfId="19994" xr:uid="{00000000-0005-0000-0000-0000A0060000}"/>
    <cellStyle name="20% - Accent1 2 4 2 10 2 5" xfId="25470" xr:uid="{00000000-0005-0000-0000-0000A1060000}"/>
    <cellStyle name="20% - Accent1 2 4 2 10 2 6" xfId="37266" xr:uid="{00000000-0005-0000-0000-0000A2060000}"/>
    <cellStyle name="20% - Accent1 2 4 2 10 2 7" xfId="42743" xr:uid="{00000000-0005-0000-0000-0000A3060000}"/>
    <cellStyle name="20% - Accent1 2 4 2 10 2 8" xfId="48220" xr:uid="{00000000-0005-0000-0000-0000A4060000}"/>
    <cellStyle name="20% - Accent1 2 4 2 10 2 9" xfId="53738" xr:uid="{00000000-0005-0000-0000-0000A5060000}"/>
    <cellStyle name="20% - Accent1 2 4 2 10 3" xfId="5334" xr:uid="{00000000-0005-0000-0000-0000A6060000}"/>
    <cellStyle name="20% - Accent1 2 4 2 10 3 2" xfId="10814" xr:uid="{00000000-0005-0000-0000-0000A7060000}"/>
    <cellStyle name="20% - Accent1 2 4 2 10 3 3" xfId="16290" xr:uid="{00000000-0005-0000-0000-0000A8060000}"/>
    <cellStyle name="20% - Accent1 2 4 2 10 3 4" xfId="21766" xr:uid="{00000000-0005-0000-0000-0000A9060000}"/>
    <cellStyle name="20% - Accent1 2 4 2 10 3 5" xfId="27242" xr:uid="{00000000-0005-0000-0000-0000AA060000}"/>
    <cellStyle name="20% - Accent1 2 4 2 10 3 6" xfId="39038" xr:uid="{00000000-0005-0000-0000-0000AB060000}"/>
    <cellStyle name="20% - Accent1 2 4 2 10 3 7" xfId="44515" xr:uid="{00000000-0005-0000-0000-0000AC060000}"/>
    <cellStyle name="20% - Accent1 2 4 2 10 3 8" xfId="49992" xr:uid="{00000000-0005-0000-0000-0000AD060000}"/>
    <cellStyle name="20% - Accent1 2 4 2 10 3 9" xfId="55510" xr:uid="{00000000-0005-0000-0000-0000AE060000}"/>
    <cellStyle name="20% - Accent1 2 4 2 10 4" xfId="5665" xr:uid="{00000000-0005-0000-0000-0000AF060000}"/>
    <cellStyle name="20% - Accent1 2 4 2 10 5" xfId="11145" xr:uid="{00000000-0005-0000-0000-0000B0060000}"/>
    <cellStyle name="20% - Accent1 2 4 2 10 6" xfId="16621" xr:uid="{00000000-0005-0000-0000-0000B1060000}"/>
    <cellStyle name="20% - Accent1 2 4 2 10 7" xfId="22097" xr:uid="{00000000-0005-0000-0000-0000B2060000}"/>
    <cellStyle name="20% - Accent1 2 4 2 10 8" xfId="33892" xr:uid="{00000000-0005-0000-0000-0000B3060000}"/>
    <cellStyle name="20% - Accent1 2 4 2 10 9" xfId="39369" xr:uid="{00000000-0005-0000-0000-0000B4060000}"/>
    <cellStyle name="20% - Accent1 2 4 2 11" xfId="1913" xr:uid="{00000000-0005-0000-0000-0000B5060000}"/>
    <cellStyle name="20% - Accent1 2 4 2 11 10" xfId="52090" xr:uid="{00000000-0005-0000-0000-0000B6060000}"/>
    <cellStyle name="20% - Accent1 2 4 2 11 2" xfId="5445" xr:uid="{00000000-0005-0000-0000-0000B7060000}"/>
    <cellStyle name="20% - Accent1 2 4 2 11 2 2" xfId="10925" xr:uid="{00000000-0005-0000-0000-0000B8060000}"/>
    <cellStyle name="20% - Accent1 2 4 2 11 2 3" xfId="16401" xr:uid="{00000000-0005-0000-0000-0000B9060000}"/>
    <cellStyle name="20% - Accent1 2 4 2 11 2 4" xfId="21877" xr:uid="{00000000-0005-0000-0000-0000BA060000}"/>
    <cellStyle name="20% - Accent1 2 4 2 11 2 5" xfId="27353" xr:uid="{00000000-0005-0000-0000-0000BB060000}"/>
    <cellStyle name="20% - Accent1 2 4 2 11 2 6" xfId="39149" xr:uid="{00000000-0005-0000-0000-0000BC060000}"/>
    <cellStyle name="20% - Accent1 2 4 2 11 2 7" xfId="44626" xr:uid="{00000000-0005-0000-0000-0000BD060000}"/>
    <cellStyle name="20% - Accent1 2 4 2 11 2 8" xfId="50103" xr:uid="{00000000-0005-0000-0000-0000BE060000}"/>
    <cellStyle name="20% - Accent1 2 4 2 11 2 9" xfId="55621" xr:uid="{00000000-0005-0000-0000-0000BF060000}"/>
    <cellStyle name="20% - Accent1 2 4 2 11 3" xfId="7394" xr:uid="{00000000-0005-0000-0000-0000C0060000}"/>
    <cellStyle name="20% - Accent1 2 4 2 11 4" xfId="12870" xr:uid="{00000000-0005-0000-0000-0000C1060000}"/>
    <cellStyle name="20% - Accent1 2 4 2 11 5" xfId="18346" xr:uid="{00000000-0005-0000-0000-0000C2060000}"/>
    <cellStyle name="20% - Accent1 2 4 2 11 6" xfId="23822" xr:uid="{00000000-0005-0000-0000-0000C3060000}"/>
    <cellStyle name="20% - Accent1 2 4 2 11 7" xfId="35618" xr:uid="{00000000-0005-0000-0000-0000C4060000}"/>
    <cellStyle name="20% - Accent1 2 4 2 11 8" xfId="41095" xr:uid="{00000000-0005-0000-0000-0000C5060000}"/>
    <cellStyle name="20% - Accent1 2 4 2 11 9" xfId="46572" xr:uid="{00000000-0005-0000-0000-0000C6060000}"/>
    <cellStyle name="20% - Accent1 2 4 2 12" xfId="3822" xr:uid="{00000000-0005-0000-0000-0000C7060000}"/>
    <cellStyle name="20% - Accent1 2 4 2 12 2" xfId="9302" xr:uid="{00000000-0005-0000-0000-0000C8060000}"/>
    <cellStyle name="20% - Accent1 2 4 2 12 3" xfId="14778" xr:uid="{00000000-0005-0000-0000-0000C9060000}"/>
    <cellStyle name="20% - Accent1 2 4 2 12 4" xfId="20254" xr:uid="{00000000-0005-0000-0000-0000CA060000}"/>
    <cellStyle name="20% - Accent1 2 4 2 12 5" xfId="25730" xr:uid="{00000000-0005-0000-0000-0000CB060000}"/>
    <cellStyle name="20% - Accent1 2 4 2 12 6" xfId="37526" xr:uid="{00000000-0005-0000-0000-0000CC060000}"/>
    <cellStyle name="20% - Accent1 2 4 2 12 7" xfId="43003" xr:uid="{00000000-0005-0000-0000-0000CD060000}"/>
    <cellStyle name="20% - Accent1 2 4 2 12 8" xfId="48480" xr:uid="{00000000-0005-0000-0000-0000CE060000}"/>
    <cellStyle name="20% - Accent1 2 4 2 12 9" xfId="53998" xr:uid="{00000000-0005-0000-0000-0000CF060000}"/>
    <cellStyle name="20% - Accent1 2 4 2 13" xfId="5664" xr:uid="{00000000-0005-0000-0000-0000D0060000}"/>
    <cellStyle name="20% - Accent1 2 4 2 14" xfId="11144" xr:uid="{00000000-0005-0000-0000-0000D1060000}"/>
    <cellStyle name="20% - Accent1 2 4 2 15" xfId="16620" xr:uid="{00000000-0005-0000-0000-0000D2060000}"/>
    <cellStyle name="20% - Accent1 2 4 2 16" xfId="22096" xr:uid="{00000000-0005-0000-0000-0000D3060000}"/>
    <cellStyle name="20% - Accent1 2 4 2 17" xfId="27798" xr:uid="{00000000-0005-0000-0000-0000D4060000}"/>
    <cellStyle name="20% - Accent1 2 4 2 18" xfId="33891" xr:uid="{00000000-0005-0000-0000-0000D5060000}"/>
    <cellStyle name="20% - Accent1 2 4 2 19" xfId="39368" xr:uid="{00000000-0005-0000-0000-0000D6060000}"/>
    <cellStyle name="20% - Accent1 2 4 2 2" xfId="284" xr:uid="{00000000-0005-0000-0000-0000D7060000}"/>
    <cellStyle name="20% - Accent1 2 4 2 2 10" xfId="39370" xr:uid="{00000000-0005-0000-0000-0000D8060000}"/>
    <cellStyle name="20% - Accent1 2 4 2 2 11" xfId="44847" xr:uid="{00000000-0005-0000-0000-0000D9060000}"/>
    <cellStyle name="20% - Accent1 2 4 2 2 12" xfId="50325" xr:uid="{00000000-0005-0000-0000-0000DA060000}"/>
    <cellStyle name="20% - Accent1 2 4 2 2 2" xfId="2086" xr:uid="{00000000-0005-0000-0000-0000DB060000}"/>
    <cellStyle name="20% - Accent1 2 4 2 2 2 2" xfId="7566" xr:uid="{00000000-0005-0000-0000-0000DC060000}"/>
    <cellStyle name="20% - Accent1 2 4 2 2 2 3" xfId="13042" xr:uid="{00000000-0005-0000-0000-0000DD060000}"/>
    <cellStyle name="20% - Accent1 2 4 2 2 2 4" xfId="18518" xr:uid="{00000000-0005-0000-0000-0000DE060000}"/>
    <cellStyle name="20% - Accent1 2 4 2 2 2 5" xfId="23994" xr:uid="{00000000-0005-0000-0000-0000DF060000}"/>
    <cellStyle name="20% - Accent1 2 4 2 2 2 6" xfId="35790" xr:uid="{00000000-0005-0000-0000-0000E0060000}"/>
    <cellStyle name="20% - Accent1 2 4 2 2 2 7" xfId="41267" xr:uid="{00000000-0005-0000-0000-0000E1060000}"/>
    <cellStyle name="20% - Accent1 2 4 2 2 2 8" xfId="46744" xr:uid="{00000000-0005-0000-0000-0000E2060000}"/>
    <cellStyle name="20% - Accent1 2 4 2 2 2 9" xfId="52262" xr:uid="{00000000-0005-0000-0000-0000E3060000}"/>
    <cellStyle name="20% - Accent1 2 4 2 2 3" xfId="3846" xr:uid="{00000000-0005-0000-0000-0000E4060000}"/>
    <cellStyle name="20% - Accent1 2 4 2 2 3 2" xfId="9326" xr:uid="{00000000-0005-0000-0000-0000E5060000}"/>
    <cellStyle name="20% - Accent1 2 4 2 2 3 3" xfId="14802" xr:uid="{00000000-0005-0000-0000-0000E6060000}"/>
    <cellStyle name="20% - Accent1 2 4 2 2 3 4" xfId="20278" xr:uid="{00000000-0005-0000-0000-0000E7060000}"/>
    <cellStyle name="20% - Accent1 2 4 2 2 3 5" xfId="25754" xr:uid="{00000000-0005-0000-0000-0000E8060000}"/>
    <cellStyle name="20% - Accent1 2 4 2 2 3 6" xfId="37550" xr:uid="{00000000-0005-0000-0000-0000E9060000}"/>
    <cellStyle name="20% - Accent1 2 4 2 2 3 7" xfId="43027" xr:uid="{00000000-0005-0000-0000-0000EA060000}"/>
    <cellStyle name="20% - Accent1 2 4 2 2 3 8" xfId="48504" xr:uid="{00000000-0005-0000-0000-0000EB060000}"/>
    <cellStyle name="20% - Accent1 2 4 2 2 3 9" xfId="54022" xr:uid="{00000000-0005-0000-0000-0000EC060000}"/>
    <cellStyle name="20% - Accent1 2 4 2 2 4" xfId="5666" xr:uid="{00000000-0005-0000-0000-0000ED060000}"/>
    <cellStyle name="20% - Accent1 2 4 2 2 5" xfId="11146" xr:uid="{00000000-0005-0000-0000-0000EE060000}"/>
    <cellStyle name="20% - Accent1 2 4 2 2 6" xfId="16622" xr:uid="{00000000-0005-0000-0000-0000EF060000}"/>
    <cellStyle name="20% - Accent1 2 4 2 2 7" xfId="22098" xr:uid="{00000000-0005-0000-0000-0000F0060000}"/>
    <cellStyle name="20% - Accent1 2 4 2 2 8" xfId="27799" xr:uid="{00000000-0005-0000-0000-0000F1060000}"/>
    <cellStyle name="20% - Accent1 2 4 2 2 9" xfId="33893" xr:uid="{00000000-0005-0000-0000-0000F2060000}"/>
    <cellStyle name="20% - Accent1 2 4 2 20" xfId="44845" xr:uid="{00000000-0005-0000-0000-0000F3060000}"/>
    <cellStyle name="20% - Accent1 2 4 2 21" xfId="50323" xr:uid="{00000000-0005-0000-0000-0000F4060000}"/>
    <cellStyle name="20% - Accent1 2 4 2 3" xfId="485" xr:uid="{00000000-0005-0000-0000-0000F5060000}"/>
    <cellStyle name="20% - Accent1 2 4 2 3 10" xfId="44848" xr:uid="{00000000-0005-0000-0000-0000F6060000}"/>
    <cellStyle name="20% - Accent1 2 4 2 3 11" xfId="50326" xr:uid="{00000000-0005-0000-0000-0000F7060000}"/>
    <cellStyle name="20% - Accent1 2 4 2 3 2" xfId="2246" xr:uid="{00000000-0005-0000-0000-0000F8060000}"/>
    <cellStyle name="20% - Accent1 2 4 2 3 2 2" xfId="7726" xr:uid="{00000000-0005-0000-0000-0000F9060000}"/>
    <cellStyle name="20% - Accent1 2 4 2 3 2 3" xfId="13202" xr:uid="{00000000-0005-0000-0000-0000FA060000}"/>
    <cellStyle name="20% - Accent1 2 4 2 3 2 4" xfId="18678" xr:uid="{00000000-0005-0000-0000-0000FB060000}"/>
    <cellStyle name="20% - Accent1 2 4 2 3 2 5" xfId="24154" xr:uid="{00000000-0005-0000-0000-0000FC060000}"/>
    <cellStyle name="20% - Accent1 2 4 2 3 2 6" xfId="35950" xr:uid="{00000000-0005-0000-0000-0000FD060000}"/>
    <cellStyle name="20% - Accent1 2 4 2 3 2 7" xfId="41427" xr:uid="{00000000-0005-0000-0000-0000FE060000}"/>
    <cellStyle name="20% - Accent1 2 4 2 3 2 8" xfId="46904" xr:uid="{00000000-0005-0000-0000-0000FF060000}"/>
    <cellStyle name="20% - Accent1 2 4 2 3 2 9" xfId="52422" xr:uid="{00000000-0005-0000-0000-000000070000}"/>
    <cellStyle name="20% - Accent1 2 4 2 3 3" xfId="4018" xr:uid="{00000000-0005-0000-0000-000001070000}"/>
    <cellStyle name="20% - Accent1 2 4 2 3 3 2" xfId="9498" xr:uid="{00000000-0005-0000-0000-000002070000}"/>
    <cellStyle name="20% - Accent1 2 4 2 3 3 3" xfId="14974" xr:uid="{00000000-0005-0000-0000-000003070000}"/>
    <cellStyle name="20% - Accent1 2 4 2 3 3 4" xfId="20450" xr:uid="{00000000-0005-0000-0000-000004070000}"/>
    <cellStyle name="20% - Accent1 2 4 2 3 3 5" xfId="25926" xr:uid="{00000000-0005-0000-0000-000005070000}"/>
    <cellStyle name="20% - Accent1 2 4 2 3 3 6" xfId="37722" xr:uid="{00000000-0005-0000-0000-000006070000}"/>
    <cellStyle name="20% - Accent1 2 4 2 3 3 7" xfId="43199" xr:uid="{00000000-0005-0000-0000-000007070000}"/>
    <cellStyle name="20% - Accent1 2 4 2 3 3 8" xfId="48676" xr:uid="{00000000-0005-0000-0000-000008070000}"/>
    <cellStyle name="20% - Accent1 2 4 2 3 3 9" xfId="54194" xr:uid="{00000000-0005-0000-0000-000009070000}"/>
    <cellStyle name="20% - Accent1 2 4 2 3 4" xfId="5667" xr:uid="{00000000-0005-0000-0000-00000A070000}"/>
    <cellStyle name="20% - Accent1 2 4 2 3 5" xfId="11147" xr:uid="{00000000-0005-0000-0000-00000B070000}"/>
    <cellStyle name="20% - Accent1 2 4 2 3 6" xfId="16623" xr:uid="{00000000-0005-0000-0000-00000C070000}"/>
    <cellStyle name="20% - Accent1 2 4 2 3 7" xfId="22099" xr:uid="{00000000-0005-0000-0000-00000D070000}"/>
    <cellStyle name="20% - Accent1 2 4 2 3 8" xfId="33894" xr:uid="{00000000-0005-0000-0000-00000E070000}"/>
    <cellStyle name="20% - Accent1 2 4 2 3 9" xfId="39371" xr:uid="{00000000-0005-0000-0000-00000F070000}"/>
    <cellStyle name="20% - Accent1 2 4 2 4" xfId="657" xr:uid="{00000000-0005-0000-0000-000010070000}"/>
    <cellStyle name="20% - Accent1 2 4 2 4 10" xfId="44849" xr:uid="{00000000-0005-0000-0000-000011070000}"/>
    <cellStyle name="20% - Accent1 2 4 2 4 11" xfId="50327" xr:uid="{00000000-0005-0000-0000-000012070000}"/>
    <cellStyle name="20% - Accent1 2 4 2 4 2" xfId="2418" xr:uid="{00000000-0005-0000-0000-000013070000}"/>
    <cellStyle name="20% - Accent1 2 4 2 4 2 2" xfId="7898" xr:uid="{00000000-0005-0000-0000-000014070000}"/>
    <cellStyle name="20% - Accent1 2 4 2 4 2 3" xfId="13374" xr:uid="{00000000-0005-0000-0000-000015070000}"/>
    <cellStyle name="20% - Accent1 2 4 2 4 2 4" xfId="18850" xr:uid="{00000000-0005-0000-0000-000016070000}"/>
    <cellStyle name="20% - Accent1 2 4 2 4 2 5" xfId="24326" xr:uid="{00000000-0005-0000-0000-000017070000}"/>
    <cellStyle name="20% - Accent1 2 4 2 4 2 6" xfId="36122" xr:uid="{00000000-0005-0000-0000-000018070000}"/>
    <cellStyle name="20% - Accent1 2 4 2 4 2 7" xfId="41599" xr:uid="{00000000-0005-0000-0000-000019070000}"/>
    <cellStyle name="20% - Accent1 2 4 2 4 2 8" xfId="47076" xr:uid="{00000000-0005-0000-0000-00001A070000}"/>
    <cellStyle name="20% - Accent1 2 4 2 4 2 9" xfId="52594" xr:uid="{00000000-0005-0000-0000-00001B070000}"/>
    <cellStyle name="20% - Accent1 2 4 2 4 3" xfId="4190" xr:uid="{00000000-0005-0000-0000-00001C070000}"/>
    <cellStyle name="20% - Accent1 2 4 2 4 3 2" xfId="9670" xr:uid="{00000000-0005-0000-0000-00001D070000}"/>
    <cellStyle name="20% - Accent1 2 4 2 4 3 3" xfId="15146" xr:uid="{00000000-0005-0000-0000-00001E070000}"/>
    <cellStyle name="20% - Accent1 2 4 2 4 3 4" xfId="20622" xr:uid="{00000000-0005-0000-0000-00001F070000}"/>
    <cellStyle name="20% - Accent1 2 4 2 4 3 5" xfId="26098" xr:uid="{00000000-0005-0000-0000-000020070000}"/>
    <cellStyle name="20% - Accent1 2 4 2 4 3 6" xfId="37894" xr:uid="{00000000-0005-0000-0000-000021070000}"/>
    <cellStyle name="20% - Accent1 2 4 2 4 3 7" xfId="43371" xr:uid="{00000000-0005-0000-0000-000022070000}"/>
    <cellStyle name="20% - Accent1 2 4 2 4 3 8" xfId="48848" xr:uid="{00000000-0005-0000-0000-000023070000}"/>
    <cellStyle name="20% - Accent1 2 4 2 4 3 9" xfId="54366" xr:uid="{00000000-0005-0000-0000-000024070000}"/>
    <cellStyle name="20% - Accent1 2 4 2 4 4" xfId="5668" xr:uid="{00000000-0005-0000-0000-000025070000}"/>
    <cellStyle name="20% - Accent1 2 4 2 4 5" xfId="11148" xr:uid="{00000000-0005-0000-0000-000026070000}"/>
    <cellStyle name="20% - Accent1 2 4 2 4 6" xfId="16624" xr:uid="{00000000-0005-0000-0000-000027070000}"/>
    <cellStyle name="20% - Accent1 2 4 2 4 7" xfId="22100" xr:uid="{00000000-0005-0000-0000-000028070000}"/>
    <cellStyle name="20% - Accent1 2 4 2 4 8" xfId="33895" xr:uid="{00000000-0005-0000-0000-000029070000}"/>
    <cellStyle name="20% - Accent1 2 4 2 4 9" xfId="39372" xr:uid="{00000000-0005-0000-0000-00002A070000}"/>
    <cellStyle name="20% - Accent1 2 4 2 5" xfId="829" xr:uid="{00000000-0005-0000-0000-00002B070000}"/>
    <cellStyle name="20% - Accent1 2 4 2 5 10" xfId="44850" xr:uid="{00000000-0005-0000-0000-00002C070000}"/>
    <cellStyle name="20% - Accent1 2 4 2 5 11" xfId="50328" xr:uid="{00000000-0005-0000-0000-00002D070000}"/>
    <cellStyle name="20% - Accent1 2 4 2 5 2" xfId="2590" xr:uid="{00000000-0005-0000-0000-00002E070000}"/>
    <cellStyle name="20% - Accent1 2 4 2 5 2 2" xfId="8070" xr:uid="{00000000-0005-0000-0000-00002F070000}"/>
    <cellStyle name="20% - Accent1 2 4 2 5 2 3" xfId="13546" xr:uid="{00000000-0005-0000-0000-000030070000}"/>
    <cellStyle name="20% - Accent1 2 4 2 5 2 4" xfId="19022" xr:uid="{00000000-0005-0000-0000-000031070000}"/>
    <cellStyle name="20% - Accent1 2 4 2 5 2 5" xfId="24498" xr:uid="{00000000-0005-0000-0000-000032070000}"/>
    <cellStyle name="20% - Accent1 2 4 2 5 2 6" xfId="36294" xr:uid="{00000000-0005-0000-0000-000033070000}"/>
    <cellStyle name="20% - Accent1 2 4 2 5 2 7" xfId="41771" xr:uid="{00000000-0005-0000-0000-000034070000}"/>
    <cellStyle name="20% - Accent1 2 4 2 5 2 8" xfId="47248" xr:uid="{00000000-0005-0000-0000-000035070000}"/>
    <cellStyle name="20% - Accent1 2 4 2 5 2 9" xfId="52766" xr:uid="{00000000-0005-0000-0000-000036070000}"/>
    <cellStyle name="20% - Accent1 2 4 2 5 3" xfId="4362" xr:uid="{00000000-0005-0000-0000-000037070000}"/>
    <cellStyle name="20% - Accent1 2 4 2 5 3 2" xfId="9842" xr:uid="{00000000-0005-0000-0000-000038070000}"/>
    <cellStyle name="20% - Accent1 2 4 2 5 3 3" xfId="15318" xr:uid="{00000000-0005-0000-0000-000039070000}"/>
    <cellStyle name="20% - Accent1 2 4 2 5 3 4" xfId="20794" xr:uid="{00000000-0005-0000-0000-00003A070000}"/>
    <cellStyle name="20% - Accent1 2 4 2 5 3 5" xfId="26270" xr:uid="{00000000-0005-0000-0000-00003B070000}"/>
    <cellStyle name="20% - Accent1 2 4 2 5 3 6" xfId="38066" xr:uid="{00000000-0005-0000-0000-00003C070000}"/>
    <cellStyle name="20% - Accent1 2 4 2 5 3 7" xfId="43543" xr:uid="{00000000-0005-0000-0000-00003D070000}"/>
    <cellStyle name="20% - Accent1 2 4 2 5 3 8" xfId="49020" xr:uid="{00000000-0005-0000-0000-00003E070000}"/>
    <cellStyle name="20% - Accent1 2 4 2 5 3 9" xfId="54538" xr:uid="{00000000-0005-0000-0000-00003F070000}"/>
    <cellStyle name="20% - Accent1 2 4 2 5 4" xfId="5669" xr:uid="{00000000-0005-0000-0000-000040070000}"/>
    <cellStyle name="20% - Accent1 2 4 2 5 5" xfId="11149" xr:uid="{00000000-0005-0000-0000-000041070000}"/>
    <cellStyle name="20% - Accent1 2 4 2 5 6" xfId="16625" xr:uid="{00000000-0005-0000-0000-000042070000}"/>
    <cellStyle name="20% - Accent1 2 4 2 5 7" xfId="22101" xr:uid="{00000000-0005-0000-0000-000043070000}"/>
    <cellStyle name="20% - Accent1 2 4 2 5 8" xfId="33896" xr:uid="{00000000-0005-0000-0000-000044070000}"/>
    <cellStyle name="20% - Accent1 2 4 2 5 9" xfId="39373" xr:uid="{00000000-0005-0000-0000-000045070000}"/>
    <cellStyle name="20% - Accent1 2 4 2 6" xfId="1035" xr:uid="{00000000-0005-0000-0000-000046070000}"/>
    <cellStyle name="20% - Accent1 2 4 2 6 10" xfId="44851" xr:uid="{00000000-0005-0000-0000-000047070000}"/>
    <cellStyle name="20% - Accent1 2 4 2 6 11" xfId="50329" xr:uid="{00000000-0005-0000-0000-000048070000}"/>
    <cellStyle name="20% - Accent1 2 4 2 6 2" xfId="2796" xr:uid="{00000000-0005-0000-0000-000049070000}"/>
    <cellStyle name="20% - Accent1 2 4 2 6 2 2" xfId="8276" xr:uid="{00000000-0005-0000-0000-00004A070000}"/>
    <cellStyle name="20% - Accent1 2 4 2 6 2 3" xfId="13752" xr:uid="{00000000-0005-0000-0000-00004B070000}"/>
    <cellStyle name="20% - Accent1 2 4 2 6 2 4" xfId="19228" xr:uid="{00000000-0005-0000-0000-00004C070000}"/>
    <cellStyle name="20% - Accent1 2 4 2 6 2 5" xfId="24704" xr:uid="{00000000-0005-0000-0000-00004D070000}"/>
    <cellStyle name="20% - Accent1 2 4 2 6 2 6" xfId="36500" xr:uid="{00000000-0005-0000-0000-00004E070000}"/>
    <cellStyle name="20% - Accent1 2 4 2 6 2 7" xfId="41977" xr:uid="{00000000-0005-0000-0000-00004F070000}"/>
    <cellStyle name="20% - Accent1 2 4 2 6 2 8" xfId="47454" xr:uid="{00000000-0005-0000-0000-000050070000}"/>
    <cellStyle name="20% - Accent1 2 4 2 6 2 9" xfId="52972" xr:uid="{00000000-0005-0000-0000-000051070000}"/>
    <cellStyle name="20% - Accent1 2 4 2 6 3" xfId="4568" xr:uid="{00000000-0005-0000-0000-000052070000}"/>
    <cellStyle name="20% - Accent1 2 4 2 6 3 2" xfId="10048" xr:uid="{00000000-0005-0000-0000-000053070000}"/>
    <cellStyle name="20% - Accent1 2 4 2 6 3 3" xfId="15524" xr:uid="{00000000-0005-0000-0000-000054070000}"/>
    <cellStyle name="20% - Accent1 2 4 2 6 3 4" xfId="21000" xr:uid="{00000000-0005-0000-0000-000055070000}"/>
    <cellStyle name="20% - Accent1 2 4 2 6 3 5" xfId="26476" xr:uid="{00000000-0005-0000-0000-000056070000}"/>
    <cellStyle name="20% - Accent1 2 4 2 6 3 6" xfId="38272" xr:uid="{00000000-0005-0000-0000-000057070000}"/>
    <cellStyle name="20% - Accent1 2 4 2 6 3 7" xfId="43749" xr:uid="{00000000-0005-0000-0000-000058070000}"/>
    <cellStyle name="20% - Accent1 2 4 2 6 3 8" xfId="49226" xr:uid="{00000000-0005-0000-0000-000059070000}"/>
    <cellStyle name="20% - Accent1 2 4 2 6 3 9" xfId="54744" xr:uid="{00000000-0005-0000-0000-00005A070000}"/>
    <cellStyle name="20% - Accent1 2 4 2 6 4" xfId="5670" xr:uid="{00000000-0005-0000-0000-00005B070000}"/>
    <cellStyle name="20% - Accent1 2 4 2 6 5" xfId="11150" xr:uid="{00000000-0005-0000-0000-00005C070000}"/>
    <cellStyle name="20% - Accent1 2 4 2 6 6" xfId="16626" xr:uid="{00000000-0005-0000-0000-00005D070000}"/>
    <cellStyle name="20% - Accent1 2 4 2 6 7" xfId="22102" xr:uid="{00000000-0005-0000-0000-00005E070000}"/>
    <cellStyle name="20% - Accent1 2 4 2 6 8" xfId="33897" xr:uid="{00000000-0005-0000-0000-00005F070000}"/>
    <cellStyle name="20% - Accent1 2 4 2 6 9" xfId="39374" xr:uid="{00000000-0005-0000-0000-000060070000}"/>
    <cellStyle name="20% - Accent1 2 4 2 7" xfId="1207" xr:uid="{00000000-0005-0000-0000-000061070000}"/>
    <cellStyle name="20% - Accent1 2 4 2 7 10" xfId="44852" xr:uid="{00000000-0005-0000-0000-000062070000}"/>
    <cellStyle name="20% - Accent1 2 4 2 7 11" xfId="50330" xr:uid="{00000000-0005-0000-0000-000063070000}"/>
    <cellStyle name="20% - Accent1 2 4 2 7 2" xfId="2968" xr:uid="{00000000-0005-0000-0000-000064070000}"/>
    <cellStyle name="20% - Accent1 2 4 2 7 2 2" xfId="8448" xr:uid="{00000000-0005-0000-0000-000065070000}"/>
    <cellStyle name="20% - Accent1 2 4 2 7 2 3" xfId="13924" xr:uid="{00000000-0005-0000-0000-000066070000}"/>
    <cellStyle name="20% - Accent1 2 4 2 7 2 4" xfId="19400" xr:uid="{00000000-0005-0000-0000-000067070000}"/>
    <cellStyle name="20% - Accent1 2 4 2 7 2 5" xfId="24876" xr:uid="{00000000-0005-0000-0000-000068070000}"/>
    <cellStyle name="20% - Accent1 2 4 2 7 2 6" xfId="36672" xr:uid="{00000000-0005-0000-0000-000069070000}"/>
    <cellStyle name="20% - Accent1 2 4 2 7 2 7" xfId="42149" xr:uid="{00000000-0005-0000-0000-00006A070000}"/>
    <cellStyle name="20% - Accent1 2 4 2 7 2 8" xfId="47626" xr:uid="{00000000-0005-0000-0000-00006B070000}"/>
    <cellStyle name="20% - Accent1 2 4 2 7 2 9" xfId="53144" xr:uid="{00000000-0005-0000-0000-00006C070000}"/>
    <cellStyle name="20% - Accent1 2 4 2 7 3" xfId="4740" xr:uid="{00000000-0005-0000-0000-00006D070000}"/>
    <cellStyle name="20% - Accent1 2 4 2 7 3 2" xfId="10220" xr:uid="{00000000-0005-0000-0000-00006E070000}"/>
    <cellStyle name="20% - Accent1 2 4 2 7 3 3" xfId="15696" xr:uid="{00000000-0005-0000-0000-00006F070000}"/>
    <cellStyle name="20% - Accent1 2 4 2 7 3 4" xfId="21172" xr:uid="{00000000-0005-0000-0000-000070070000}"/>
    <cellStyle name="20% - Accent1 2 4 2 7 3 5" xfId="26648" xr:uid="{00000000-0005-0000-0000-000071070000}"/>
    <cellStyle name="20% - Accent1 2 4 2 7 3 6" xfId="38444" xr:uid="{00000000-0005-0000-0000-000072070000}"/>
    <cellStyle name="20% - Accent1 2 4 2 7 3 7" xfId="43921" xr:uid="{00000000-0005-0000-0000-000073070000}"/>
    <cellStyle name="20% - Accent1 2 4 2 7 3 8" xfId="49398" xr:uid="{00000000-0005-0000-0000-000074070000}"/>
    <cellStyle name="20% - Accent1 2 4 2 7 3 9" xfId="54916" xr:uid="{00000000-0005-0000-0000-000075070000}"/>
    <cellStyle name="20% - Accent1 2 4 2 7 4" xfId="5671" xr:uid="{00000000-0005-0000-0000-000076070000}"/>
    <cellStyle name="20% - Accent1 2 4 2 7 5" xfId="11151" xr:uid="{00000000-0005-0000-0000-000077070000}"/>
    <cellStyle name="20% - Accent1 2 4 2 7 6" xfId="16627" xr:uid="{00000000-0005-0000-0000-000078070000}"/>
    <cellStyle name="20% - Accent1 2 4 2 7 7" xfId="22103" xr:uid="{00000000-0005-0000-0000-000079070000}"/>
    <cellStyle name="20% - Accent1 2 4 2 7 8" xfId="33898" xr:uid="{00000000-0005-0000-0000-00007A070000}"/>
    <cellStyle name="20% - Accent1 2 4 2 7 9" xfId="39375" xr:uid="{00000000-0005-0000-0000-00007B070000}"/>
    <cellStyle name="20% - Accent1 2 4 2 8" xfId="1379" xr:uid="{00000000-0005-0000-0000-00007C070000}"/>
    <cellStyle name="20% - Accent1 2 4 2 8 10" xfId="44853" xr:uid="{00000000-0005-0000-0000-00007D070000}"/>
    <cellStyle name="20% - Accent1 2 4 2 8 11" xfId="50331" xr:uid="{00000000-0005-0000-0000-00007E070000}"/>
    <cellStyle name="20% - Accent1 2 4 2 8 2" xfId="3140" xr:uid="{00000000-0005-0000-0000-00007F070000}"/>
    <cellStyle name="20% - Accent1 2 4 2 8 2 2" xfId="8620" xr:uid="{00000000-0005-0000-0000-000080070000}"/>
    <cellStyle name="20% - Accent1 2 4 2 8 2 3" xfId="14096" xr:uid="{00000000-0005-0000-0000-000081070000}"/>
    <cellStyle name="20% - Accent1 2 4 2 8 2 4" xfId="19572" xr:uid="{00000000-0005-0000-0000-000082070000}"/>
    <cellStyle name="20% - Accent1 2 4 2 8 2 5" xfId="25048" xr:uid="{00000000-0005-0000-0000-000083070000}"/>
    <cellStyle name="20% - Accent1 2 4 2 8 2 6" xfId="36844" xr:uid="{00000000-0005-0000-0000-000084070000}"/>
    <cellStyle name="20% - Accent1 2 4 2 8 2 7" xfId="42321" xr:uid="{00000000-0005-0000-0000-000085070000}"/>
    <cellStyle name="20% - Accent1 2 4 2 8 2 8" xfId="47798" xr:uid="{00000000-0005-0000-0000-000086070000}"/>
    <cellStyle name="20% - Accent1 2 4 2 8 2 9" xfId="53316" xr:uid="{00000000-0005-0000-0000-000087070000}"/>
    <cellStyle name="20% - Accent1 2 4 2 8 3" xfId="4912" xr:uid="{00000000-0005-0000-0000-000088070000}"/>
    <cellStyle name="20% - Accent1 2 4 2 8 3 2" xfId="10392" xr:uid="{00000000-0005-0000-0000-000089070000}"/>
    <cellStyle name="20% - Accent1 2 4 2 8 3 3" xfId="15868" xr:uid="{00000000-0005-0000-0000-00008A070000}"/>
    <cellStyle name="20% - Accent1 2 4 2 8 3 4" xfId="21344" xr:uid="{00000000-0005-0000-0000-00008B070000}"/>
    <cellStyle name="20% - Accent1 2 4 2 8 3 5" xfId="26820" xr:uid="{00000000-0005-0000-0000-00008C070000}"/>
    <cellStyle name="20% - Accent1 2 4 2 8 3 6" xfId="38616" xr:uid="{00000000-0005-0000-0000-00008D070000}"/>
    <cellStyle name="20% - Accent1 2 4 2 8 3 7" xfId="44093" xr:uid="{00000000-0005-0000-0000-00008E070000}"/>
    <cellStyle name="20% - Accent1 2 4 2 8 3 8" xfId="49570" xr:uid="{00000000-0005-0000-0000-00008F070000}"/>
    <cellStyle name="20% - Accent1 2 4 2 8 3 9" xfId="55088" xr:uid="{00000000-0005-0000-0000-000090070000}"/>
    <cellStyle name="20% - Accent1 2 4 2 8 4" xfId="5672" xr:uid="{00000000-0005-0000-0000-000091070000}"/>
    <cellStyle name="20% - Accent1 2 4 2 8 5" xfId="11152" xr:uid="{00000000-0005-0000-0000-000092070000}"/>
    <cellStyle name="20% - Accent1 2 4 2 8 6" xfId="16628" xr:uid="{00000000-0005-0000-0000-000093070000}"/>
    <cellStyle name="20% - Accent1 2 4 2 8 7" xfId="22104" xr:uid="{00000000-0005-0000-0000-000094070000}"/>
    <cellStyle name="20% - Accent1 2 4 2 8 8" xfId="33899" xr:uid="{00000000-0005-0000-0000-000095070000}"/>
    <cellStyle name="20% - Accent1 2 4 2 8 9" xfId="39376" xr:uid="{00000000-0005-0000-0000-000096070000}"/>
    <cellStyle name="20% - Accent1 2 4 2 9" xfId="1551" xr:uid="{00000000-0005-0000-0000-000097070000}"/>
    <cellStyle name="20% - Accent1 2 4 2 9 10" xfId="44854" xr:uid="{00000000-0005-0000-0000-000098070000}"/>
    <cellStyle name="20% - Accent1 2 4 2 9 11" xfId="50332" xr:uid="{00000000-0005-0000-0000-000099070000}"/>
    <cellStyle name="20% - Accent1 2 4 2 9 2" xfId="3312" xr:uid="{00000000-0005-0000-0000-00009A070000}"/>
    <cellStyle name="20% - Accent1 2 4 2 9 2 2" xfId="8792" xr:uid="{00000000-0005-0000-0000-00009B070000}"/>
    <cellStyle name="20% - Accent1 2 4 2 9 2 3" xfId="14268" xr:uid="{00000000-0005-0000-0000-00009C070000}"/>
    <cellStyle name="20% - Accent1 2 4 2 9 2 4" xfId="19744" xr:uid="{00000000-0005-0000-0000-00009D070000}"/>
    <cellStyle name="20% - Accent1 2 4 2 9 2 5" xfId="25220" xr:uid="{00000000-0005-0000-0000-00009E070000}"/>
    <cellStyle name="20% - Accent1 2 4 2 9 2 6" xfId="37016" xr:uid="{00000000-0005-0000-0000-00009F070000}"/>
    <cellStyle name="20% - Accent1 2 4 2 9 2 7" xfId="42493" xr:uid="{00000000-0005-0000-0000-0000A0070000}"/>
    <cellStyle name="20% - Accent1 2 4 2 9 2 8" xfId="47970" xr:uid="{00000000-0005-0000-0000-0000A1070000}"/>
    <cellStyle name="20% - Accent1 2 4 2 9 2 9" xfId="53488" xr:uid="{00000000-0005-0000-0000-0000A2070000}"/>
    <cellStyle name="20% - Accent1 2 4 2 9 3" xfId="5084" xr:uid="{00000000-0005-0000-0000-0000A3070000}"/>
    <cellStyle name="20% - Accent1 2 4 2 9 3 2" xfId="10564" xr:uid="{00000000-0005-0000-0000-0000A4070000}"/>
    <cellStyle name="20% - Accent1 2 4 2 9 3 3" xfId="16040" xr:uid="{00000000-0005-0000-0000-0000A5070000}"/>
    <cellStyle name="20% - Accent1 2 4 2 9 3 4" xfId="21516" xr:uid="{00000000-0005-0000-0000-0000A6070000}"/>
    <cellStyle name="20% - Accent1 2 4 2 9 3 5" xfId="26992" xr:uid="{00000000-0005-0000-0000-0000A7070000}"/>
    <cellStyle name="20% - Accent1 2 4 2 9 3 6" xfId="38788" xr:uid="{00000000-0005-0000-0000-0000A8070000}"/>
    <cellStyle name="20% - Accent1 2 4 2 9 3 7" xfId="44265" xr:uid="{00000000-0005-0000-0000-0000A9070000}"/>
    <cellStyle name="20% - Accent1 2 4 2 9 3 8" xfId="49742" xr:uid="{00000000-0005-0000-0000-0000AA070000}"/>
    <cellStyle name="20% - Accent1 2 4 2 9 3 9" xfId="55260" xr:uid="{00000000-0005-0000-0000-0000AB070000}"/>
    <cellStyle name="20% - Accent1 2 4 2 9 4" xfId="5673" xr:uid="{00000000-0005-0000-0000-0000AC070000}"/>
    <cellStyle name="20% - Accent1 2 4 2 9 5" xfId="11153" xr:uid="{00000000-0005-0000-0000-0000AD070000}"/>
    <cellStyle name="20% - Accent1 2 4 2 9 6" xfId="16629" xr:uid="{00000000-0005-0000-0000-0000AE070000}"/>
    <cellStyle name="20% - Accent1 2 4 2 9 7" xfId="22105" xr:uid="{00000000-0005-0000-0000-0000AF070000}"/>
    <cellStyle name="20% - Accent1 2 4 2 9 8" xfId="33900" xr:uid="{00000000-0005-0000-0000-0000B0070000}"/>
    <cellStyle name="20% - Accent1 2 4 2 9 9" xfId="39377" xr:uid="{00000000-0005-0000-0000-0000B1070000}"/>
    <cellStyle name="20% - Accent1 2 4 20" xfId="39365" xr:uid="{00000000-0005-0000-0000-0000B2070000}"/>
    <cellStyle name="20% - Accent1 2 4 21" xfId="44842" xr:uid="{00000000-0005-0000-0000-0000B3070000}"/>
    <cellStyle name="20% - Accent1 2 4 22" xfId="50320" xr:uid="{00000000-0005-0000-0000-0000B4070000}"/>
    <cellStyle name="20% - Accent1 2 4 3" xfId="283" xr:uid="{00000000-0005-0000-0000-0000B5070000}"/>
    <cellStyle name="20% - Accent1 2 4 3 10" xfId="39378" xr:uid="{00000000-0005-0000-0000-0000B6070000}"/>
    <cellStyle name="20% - Accent1 2 4 3 11" xfId="44855" xr:uid="{00000000-0005-0000-0000-0000B7070000}"/>
    <cellStyle name="20% - Accent1 2 4 3 12" xfId="50333" xr:uid="{00000000-0005-0000-0000-0000B8070000}"/>
    <cellStyle name="20% - Accent1 2 4 3 2" xfId="2085" xr:uid="{00000000-0005-0000-0000-0000B9070000}"/>
    <cellStyle name="20% - Accent1 2 4 3 2 2" xfId="7565" xr:uid="{00000000-0005-0000-0000-0000BA070000}"/>
    <cellStyle name="20% - Accent1 2 4 3 2 3" xfId="13041" xr:uid="{00000000-0005-0000-0000-0000BB070000}"/>
    <cellStyle name="20% - Accent1 2 4 3 2 4" xfId="18517" xr:uid="{00000000-0005-0000-0000-0000BC070000}"/>
    <cellStyle name="20% - Accent1 2 4 3 2 5" xfId="23993" xr:uid="{00000000-0005-0000-0000-0000BD070000}"/>
    <cellStyle name="20% - Accent1 2 4 3 2 6" xfId="35789" xr:uid="{00000000-0005-0000-0000-0000BE070000}"/>
    <cellStyle name="20% - Accent1 2 4 3 2 7" xfId="41266" xr:uid="{00000000-0005-0000-0000-0000BF070000}"/>
    <cellStyle name="20% - Accent1 2 4 3 2 8" xfId="46743" xr:uid="{00000000-0005-0000-0000-0000C0070000}"/>
    <cellStyle name="20% - Accent1 2 4 3 2 9" xfId="52261" xr:uid="{00000000-0005-0000-0000-0000C1070000}"/>
    <cellStyle name="20% - Accent1 2 4 3 3" xfId="3845" xr:uid="{00000000-0005-0000-0000-0000C2070000}"/>
    <cellStyle name="20% - Accent1 2 4 3 3 2" xfId="9325" xr:uid="{00000000-0005-0000-0000-0000C3070000}"/>
    <cellStyle name="20% - Accent1 2 4 3 3 3" xfId="14801" xr:uid="{00000000-0005-0000-0000-0000C4070000}"/>
    <cellStyle name="20% - Accent1 2 4 3 3 4" xfId="20277" xr:uid="{00000000-0005-0000-0000-0000C5070000}"/>
    <cellStyle name="20% - Accent1 2 4 3 3 5" xfId="25753" xr:uid="{00000000-0005-0000-0000-0000C6070000}"/>
    <cellStyle name="20% - Accent1 2 4 3 3 6" xfId="37549" xr:uid="{00000000-0005-0000-0000-0000C7070000}"/>
    <cellStyle name="20% - Accent1 2 4 3 3 7" xfId="43026" xr:uid="{00000000-0005-0000-0000-0000C8070000}"/>
    <cellStyle name="20% - Accent1 2 4 3 3 8" xfId="48503" xr:uid="{00000000-0005-0000-0000-0000C9070000}"/>
    <cellStyle name="20% - Accent1 2 4 3 3 9" xfId="54021" xr:uid="{00000000-0005-0000-0000-0000CA070000}"/>
    <cellStyle name="20% - Accent1 2 4 3 4" xfId="5674" xr:uid="{00000000-0005-0000-0000-0000CB070000}"/>
    <cellStyle name="20% - Accent1 2 4 3 5" xfId="11154" xr:uid="{00000000-0005-0000-0000-0000CC070000}"/>
    <cellStyle name="20% - Accent1 2 4 3 6" xfId="16630" xr:uid="{00000000-0005-0000-0000-0000CD070000}"/>
    <cellStyle name="20% - Accent1 2 4 3 7" xfId="22106" xr:uid="{00000000-0005-0000-0000-0000CE070000}"/>
    <cellStyle name="20% - Accent1 2 4 3 8" xfId="27800" xr:uid="{00000000-0005-0000-0000-0000CF070000}"/>
    <cellStyle name="20% - Accent1 2 4 3 9" xfId="33901" xr:uid="{00000000-0005-0000-0000-0000D0070000}"/>
    <cellStyle name="20% - Accent1 2 4 4" xfId="484" xr:uid="{00000000-0005-0000-0000-0000D1070000}"/>
    <cellStyle name="20% - Accent1 2 4 4 10" xfId="44856" xr:uid="{00000000-0005-0000-0000-0000D2070000}"/>
    <cellStyle name="20% - Accent1 2 4 4 11" xfId="50334" xr:uid="{00000000-0005-0000-0000-0000D3070000}"/>
    <cellStyle name="20% - Accent1 2 4 4 2" xfId="2245" xr:uid="{00000000-0005-0000-0000-0000D4070000}"/>
    <cellStyle name="20% - Accent1 2 4 4 2 2" xfId="7725" xr:uid="{00000000-0005-0000-0000-0000D5070000}"/>
    <cellStyle name="20% - Accent1 2 4 4 2 3" xfId="13201" xr:uid="{00000000-0005-0000-0000-0000D6070000}"/>
    <cellStyle name="20% - Accent1 2 4 4 2 4" xfId="18677" xr:uid="{00000000-0005-0000-0000-0000D7070000}"/>
    <cellStyle name="20% - Accent1 2 4 4 2 5" xfId="24153" xr:uid="{00000000-0005-0000-0000-0000D8070000}"/>
    <cellStyle name="20% - Accent1 2 4 4 2 6" xfId="35949" xr:uid="{00000000-0005-0000-0000-0000D9070000}"/>
    <cellStyle name="20% - Accent1 2 4 4 2 7" xfId="41426" xr:uid="{00000000-0005-0000-0000-0000DA070000}"/>
    <cellStyle name="20% - Accent1 2 4 4 2 8" xfId="46903" xr:uid="{00000000-0005-0000-0000-0000DB070000}"/>
    <cellStyle name="20% - Accent1 2 4 4 2 9" xfId="52421" xr:uid="{00000000-0005-0000-0000-0000DC070000}"/>
    <cellStyle name="20% - Accent1 2 4 4 3" xfId="4017" xr:uid="{00000000-0005-0000-0000-0000DD070000}"/>
    <cellStyle name="20% - Accent1 2 4 4 3 2" xfId="9497" xr:uid="{00000000-0005-0000-0000-0000DE070000}"/>
    <cellStyle name="20% - Accent1 2 4 4 3 3" xfId="14973" xr:uid="{00000000-0005-0000-0000-0000DF070000}"/>
    <cellStyle name="20% - Accent1 2 4 4 3 4" xfId="20449" xr:uid="{00000000-0005-0000-0000-0000E0070000}"/>
    <cellStyle name="20% - Accent1 2 4 4 3 5" xfId="25925" xr:uid="{00000000-0005-0000-0000-0000E1070000}"/>
    <cellStyle name="20% - Accent1 2 4 4 3 6" xfId="37721" xr:uid="{00000000-0005-0000-0000-0000E2070000}"/>
    <cellStyle name="20% - Accent1 2 4 4 3 7" xfId="43198" xr:uid="{00000000-0005-0000-0000-0000E3070000}"/>
    <cellStyle name="20% - Accent1 2 4 4 3 8" xfId="48675" xr:uid="{00000000-0005-0000-0000-0000E4070000}"/>
    <cellStyle name="20% - Accent1 2 4 4 3 9" xfId="54193" xr:uid="{00000000-0005-0000-0000-0000E5070000}"/>
    <cellStyle name="20% - Accent1 2 4 4 4" xfId="5675" xr:uid="{00000000-0005-0000-0000-0000E6070000}"/>
    <cellStyle name="20% - Accent1 2 4 4 5" xfId="11155" xr:uid="{00000000-0005-0000-0000-0000E7070000}"/>
    <cellStyle name="20% - Accent1 2 4 4 6" xfId="16631" xr:uid="{00000000-0005-0000-0000-0000E8070000}"/>
    <cellStyle name="20% - Accent1 2 4 4 7" xfId="22107" xr:uid="{00000000-0005-0000-0000-0000E9070000}"/>
    <cellStyle name="20% - Accent1 2 4 4 8" xfId="33902" xr:uid="{00000000-0005-0000-0000-0000EA070000}"/>
    <cellStyle name="20% - Accent1 2 4 4 9" xfId="39379" xr:uid="{00000000-0005-0000-0000-0000EB070000}"/>
    <cellStyle name="20% - Accent1 2 4 5" xfId="656" xr:uid="{00000000-0005-0000-0000-0000EC070000}"/>
    <cellStyle name="20% - Accent1 2 4 5 10" xfId="44857" xr:uid="{00000000-0005-0000-0000-0000ED070000}"/>
    <cellStyle name="20% - Accent1 2 4 5 11" xfId="50335" xr:uid="{00000000-0005-0000-0000-0000EE070000}"/>
    <cellStyle name="20% - Accent1 2 4 5 2" xfId="2417" xr:uid="{00000000-0005-0000-0000-0000EF070000}"/>
    <cellStyle name="20% - Accent1 2 4 5 2 2" xfId="7897" xr:uid="{00000000-0005-0000-0000-0000F0070000}"/>
    <cellStyle name="20% - Accent1 2 4 5 2 3" xfId="13373" xr:uid="{00000000-0005-0000-0000-0000F1070000}"/>
    <cellStyle name="20% - Accent1 2 4 5 2 4" xfId="18849" xr:uid="{00000000-0005-0000-0000-0000F2070000}"/>
    <cellStyle name="20% - Accent1 2 4 5 2 5" xfId="24325" xr:uid="{00000000-0005-0000-0000-0000F3070000}"/>
    <cellStyle name="20% - Accent1 2 4 5 2 6" xfId="36121" xr:uid="{00000000-0005-0000-0000-0000F4070000}"/>
    <cellStyle name="20% - Accent1 2 4 5 2 7" xfId="41598" xr:uid="{00000000-0005-0000-0000-0000F5070000}"/>
    <cellStyle name="20% - Accent1 2 4 5 2 8" xfId="47075" xr:uid="{00000000-0005-0000-0000-0000F6070000}"/>
    <cellStyle name="20% - Accent1 2 4 5 2 9" xfId="52593" xr:uid="{00000000-0005-0000-0000-0000F7070000}"/>
    <cellStyle name="20% - Accent1 2 4 5 3" xfId="4189" xr:uid="{00000000-0005-0000-0000-0000F8070000}"/>
    <cellStyle name="20% - Accent1 2 4 5 3 2" xfId="9669" xr:uid="{00000000-0005-0000-0000-0000F9070000}"/>
    <cellStyle name="20% - Accent1 2 4 5 3 3" xfId="15145" xr:uid="{00000000-0005-0000-0000-0000FA070000}"/>
    <cellStyle name="20% - Accent1 2 4 5 3 4" xfId="20621" xr:uid="{00000000-0005-0000-0000-0000FB070000}"/>
    <cellStyle name="20% - Accent1 2 4 5 3 5" xfId="26097" xr:uid="{00000000-0005-0000-0000-0000FC070000}"/>
    <cellStyle name="20% - Accent1 2 4 5 3 6" xfId="37893" xr:uid="{00000000-0005-0000-0000-0000FD070000}"/>
    <cellStyle name="20% - Accent1 2 4 5 3 7" xfId="43370" xr:uid="{00000000-0005-0000-0000-0000FE070000}"/>
    <cellStyle name="20% - Accent1 2 4 5 3 8" xfId="48847" xr:uid="{00000000-0005-0000-0000-0000FF070000}"/>
    <cellStyle name="20% - Accent1 2 4 5 3 9" xfId="54365" xr:uid="{00000000-0005-0000-0000-000000080000}"/>
    <cellStyle name="20% - Accent1 2 4 5 4" xfId="5676" xr:uid="{00000000-0005-0000-0000-000001080000}"/>
    <cellStyle name="20% - Accent1 2 4 5 5" xfId="11156" xr:uid="{00000000-0005-0000-0000-000002080000}"/>
    <cellStyle name="20% - Accent1 2 4 5 6" xfId="16632" xr:uid="{00000000-0005-0000-0000-000003080000}"/>
    <cellStyle name="20% - Accent1 2 4 5 7" xfId="22108" xr:uid="{00000000-0005-0000-0000-000004080000}"/>
    <cellStyle name="20% - Accent1 2 4 5 8" xfId="33903" xr:uid="{00000000-0005-0000-0000-000005080000}"/>
    <cellStyle name="20% - Accent1 2 4 5 9" xfId="39380" xr:uid="{00000000-0005-0000-0000-000006080000}"/>
    <cellStyle name="20% - Accent1 2 4 6" xfId="828" xr:uid="{00000000-0005-0000-0000-000007080000}"/>
    <cellStyle name="20% - Accent1 2 4 6 10" xfId="44858" xr:uid="{00000000-0005-0000-0000-000008080000}"/>
    <cellStyle name="20% - Accent1 2 4 6 11" xfId="50336" xr:uid="{00000000-0005-0000-0000-000009080000}"/>
    <cellStyle name="20% - Accent1 2 4 6 2" xfId="2589" xr:uid="{00000000-0005-0000-0000-00000A080000}"/>
    <cellStyle name="20% - Accent1 2 4 6 2 2" xfId="8069" xr:uid="{00000000-0005-0000-0000-00000B080000}"/>
    <cellStyle name="20% - Accent1 2 4 6 2 3" xfId="13545" xr:uid="{00000000-0005-0000-0000-00000C080000}"/>
    <cellStyle name="20% - Accent1 2 4 6 2 4" xfId="19021" xr:uid="{00000000-0005-0000-0000-00000D080000}"/>
    <cellStyle name="20% - Accent1 2 4 6 2 5" xfId="24497" xr:uid="{00000000-0005-0000-0000-00000E080000}"/>
    <cellStyle name="20% - Accent1 2 4 6 2 6" xfId="36293" xr:uid="{00000000-0005-0000-0000-00000F080000}"/>
    <cellStyle name="20% - Accent1 2 4 6 2 7" xfId="41770" xr:uid="{00000000-0005-0000-0000-000010080000}"/>
    <cellStyle name="20% - Accent1 2 4 6 2 8" xfId="47247" xr:uid="{00000000-0005-0000-0000-000011080000}"/>
    <cellStyle name="20% - Accent1 2 4 6 2 9" xfId="52765" xr:uid="{00000000-0005-0000-0000-000012080000}"/>
    <cellStyle name="20% - Accent1 2 4 6 3" xfId="4361" xr:uid="{00000000-0005-0000-0000-000013080000}"/>
    <cellStyle name="20% - Accent1 2 4 6 3 2" xfId="9841" xr:uid="{00000000-0005-0000-0000-000014080000}"/>
    <cellStyle name="20% - Accent1 2 4 6 3 3" xfId="15317" xr:uid="{00000000-0005-0000-0000-000015080000}"/>
    <cellStyle name="20% - Accent1 2 4 6 3 4" xfId="20793" xr:uid="{00000000-0005-0000-0000-000016080000}"/>
    <cellStyle name="20% - Accent1 2 4 6 3 5" xfId="26269" xr:uid="{00000000-0005-0000-0000-000017080000}"/>
    <cellStyle name="20% - Accent1 2 4 6 3 6" xfId="38065" xr:uid="{00000000-0005-0000-0000-000018080000}"/>
    <cellStyle name="20% - Accent1 2 4 6 3 7" xfId="43542" xr:uid="{00000000-0005-0000-0000-000019080000}"/>
    <cellStyle name="20% - Accent1 2 4 6 3 8" xfId="49019" xr:uid="{00000000-0005-0000-0000-00001A080000}"/>
    <cellStyle name="20% - Accent1 2 4 6 3 9" xfId="54537" xr:uid="{00000000-0005-0000-0000-00001B080000}"/>
    <cellStyle name="20% - Accent1 2 4 6 4" xfId="5677" xr:uid="{00000000-0005-0000-0000-00001C080000}"/>
    <cellStyle name="20% - Accent1 2 4 6 5" xfId="11157" xr:uid="{00000000-0005-0000-0000-00001D080000}"/>
    <cellStyle name="20% - Accent1 2 4 6 6" xfId="16633" xr:uid="{00000000-0005-0000-0000-00001E080000}"/>
    <cellStyle name="20% - Accent1 2 4 6 7" xfId="22109" xr:uid="{00000000-0005-0000-0000-00001F080000}"/>
    <cellStyle name="20% - Accent1 2 4 6 8" xfId="33904" xr:uid="{00000000-0005-0000-0000-000020080000}"/>
    <cellStyle name="20% - Accent1 2 4 6 9" xfId="39381" xr:uid="{00000000-0005-0000-0000-000021080000}"/>
    <cellStyle name="20% - Accent1 2 4 7" xfId="1034" xr:uid="{00000000-0005-0000-0000-000022080000}"/>
    <cellStyle name="20% - Accent1 2 4 7 10" xfId="44859" xr:uid="{00000000-0005-0000-0000-000023080000}"/>
    <cellStyle name="20% - Accent1 2 4 7 11" xfId="50337" xr:uid="{00000000-0005-0000-0000-000024080000}"/>
    <cellStyle name="20% - Accent1 2 4 7 2" xfId="2795" xr:uid="{00000000-0005-0000-0000-000025080000}"/>
    <cellStyle name="20% - Accent1 2 4 7 2 2" xfId="8275" xr:uid="{00000000-0005-0000-0000-000026080000}"/>
    <cellStyle name="20% - Accent1 2 4 7 2 3" xfId="13751" xr:uid="{00000000-0005-0000-0000-000027080000}"/>
    <cellStyle name="20% - Accent1 2 4 7 2 4" xfId="19227" xr:uid="{00000000-0005-0000-0000-000028080000}"/>
    <cellStyle name="20% - Accent1 2 4 7 2 5" xfId="24703" xr:uid="{00000000-0005-0000-0000-000029080000}"/>
    <cellStyle name="20% - Accent1 2 4 7 2 6" xfId="36499" xr:uid="{00000000-0005-0000-0000-00002A080000}"/>
    <cellStyle name="20% - Accent1 2 4 7 2 7" xfId="41976" xr:uid="{00000000-0005-0000-0000-00002B080000}"/>
    <cellStyle name="20% - Accent1 2 4 7 2 8" xfId="47453" xr:uid="{00000000-0005-0000-0000-00002C080000}"/>
    <cellStyle name="20% - Accent1 2 4 7 2 9" xfId="52971" xr:uid="{00000000-0005-0000-0000-00002D080000}"/>
    <cellStyle name="20% - Accent1 2 4 7 3" xfId="4567" xr:uid="{00000000-0005-0000-0000-00002E080000}"/>
    <cellStyle name="20% - Accent1 2 4 7 3 2" xfId="10047" xr:uid="{00000000-0005-0000-0000-00002F080000}"/>
    <cellStyle name="20% - Accent1 2 4 7 3 3" xfId="15523" xr:uid="{00000000-0005-0000-0000-000030080000}"/>
    <cellStyle name="20% - Accent1 2 4 7 3 4" xfId="20999" xr:uid="{00000000-0005-0000-0000-000031080000}"/>
    <cellStyle name="20% - Accent1 2 4 7 3 5" xfId="26475" xr:uid="{00000000-0005-0000-0000-000032080000}"/>
    <cellStyle name="20% - Accent1 2 4 7 3 6" xfId="38271" xr:uid="{00000000-0005-0000-0000-000033080000}"/>
    <cellStyle name="20% - Accent1 2 4 7 3 7" xfId="43748" xr:uid="{00000000-0005-0000-0000-000034080000}"/>
    <cellStyle name="20% - Accent1 2 4 7 3 8" xfId="49225" xr:uid="{00000000-0005-0000-0000-000035080000}"/>
    <cellStyle name="20% - Accent1 2 4 7 3 9" xfId="54743" xr:uid="{00000000-0005-0000-0000-000036080000}"/>
    <cellStyle name="20% - Accent1 2 4 7 4" xfId="5678" xr:uid="{00000000-0005-0000-0000-000037080000}"/>
    <cellStyle name="20% - Accent1 2 4 7 5" xfId="11158" xr:uid="{00000000-0005-0000-0000-000038080000}"/>
    <cellStyle name="20% - Accent1 2 4 7 6" xfId="16634" xr:uid="{00000000-0005-0000-0000-000039080000}"/>
    <cellStyle name="20% - Accent1 2 4 7 7" xfId="22110" xr:uid="{00000000-0005-0000-0000-00003A080000}"/>
    <cellStyle name="20% - Accent1 2 4 7 8" xfId="33905" xr:uid="{00000000-0005-0000-0000-00003B080000}"/>
    <cellStyle name="20% - Accent1 2 4 7 9" xfId="39382" xr:uid="{00000000-0005-0000-0000-00003C080000}"/>
    <cellStyle name="20% - Accent1 2 4 8" xfId="1206" xr:uid="{00000000-0005-0000-0000-00003D080000}"/>
    <cellStyle name="20% - Accent1 2 4 8 10" xfId="44860" xr:uid="{00000000-0005-0000-0000-00003E080000}"/>
    <cellStyle name="20% - Accent1 2 4 8 11" xfId="50338" xr:uid="{00000000-0005-0000-0000-00003F080000}"/>
    <cellStyle name="20% - Accent1 2 4 8 2" xfId="2967" xr:uid="{00000000-0005-0000-0000-000040080000}"/>
    <cellStyle name="20% - Accent1 2 4 8 2 2" xfId="8447" xr:uid="{00000000-0005-0000-0000-000041080000}"/>
    <cellStyle name="20% - Accent1 2 4 8 2 3" xfId="13923" xr:uid="{00000000-0005-0000-0000-000042080000}"/>
    <cellStyle name="20% - Accent1 2 4 8 2 4" xfId="19399" xr:uid="{00000000-0005-0000-0000-000043080000}"/>
    <cellStyle name="20% - Accent1 2 4 8 2 5" xfId="24875" xr:uid="{00000000-0005-0000-0000-000044080000}"/>
    <cellStyle name="20% - Accent1 2 4 8 2 6" xfId="36671" xr:uid="{00000000-0005-0000-0000-000045080000}"/>
    <cellStyle name="20% - Accent1 2 4 8 2 7" xfId="42148" xr:uid="{00000000-0005-0000-0000-000046080000}"/>
    <cellStyle name="20% - Accent1 2 4 8 2 8" xfId="47625" xr:uid="{00000000-0005-0000-0000-000047080000}"/>
    <cellStyle name="20% - Accent1 2 4 8 2 9" xfId="53143" xr:uid="{00000000-0005-0000-0000-000048080000}"/>
    <cellStyle name="20% - Accent1 2 4 8 3" xfId="4739" xr:uid="{00000000-0005-0000-0000-000049080000}"/>
    <cellStyle name="20% - Accent1 2 4 8 3 2" xfId="10219" xr:uid="{00000000-0005-0000-0000-00004A080000}"/>
    <cellStyle name="20% - Accent1 2 4 8 3 3" xfId="15695" xr:uid="{00000000-0005-0000-0000-00004B080000}"/>
    <cellStyle name="20% - Accent1 2 4 8 3 4" xfId="21171" xr:uid="{00000000-0005-0000-0000-00004C080000}"/>
    <cellStyle name="20% - Accent1 2 4 8 3 5" xfId="26647" xr:uid="{00000000-0005-0000-0000-00004D080000}"/>
    <cellStyle name="20% - Accent1 2 4 8 3 6" xfId="38443" xr:uid="{00000000-0005-0000-0000-00004E080000}"/>
    <cellStyle name="20% - Accent1 2 4 8 3 7" xfId="43920" xr:uid="{00000000-0005-0000-0000-00004F080000}"/>
    <cellStyle name="20% - Accent1 2 4 8 3 8" xfId="49397" xr:uid="{00000000-0005-0000-0000-000050080000}"/>
    <cellStyle name="20% - Accent1 2 4 8 3 9" xfId="54915" xr:uid="{00000000-0005-0000-0000-000051080000}"/>
    <cellStyle name="20% - Accent1 2 4 8 4" xfId="5679" xr:uid="{00000000-0005-0000-0000-000052080000}"/>
    <cellStyle name="20% - Accent1 2 4 8 5" xfId="11159" xr:uid="{00000000-0005-0000-0000-000053080000}"/>
    <cellStyle name="20% - Accent1 2 4 8 6" xfId="16635" xr:uid="{00000000-0005-0000-0000-000054080000}"/>
    <cellStyle name="20% - Accent1 2 4 8 7" xfId="22111" xr:uid="{00000000-0005-0000-0000-000055080000}"/>
    <cellStyle name="20% - Accent1 2 4 8 8" xfId="33906" xr:uid="{00000000-0005-0000-0000-000056080000}"/>
    <cellStyle name="20% - Accent1 2 4 8 9" xfId="39383" xr:uid="{00000000-0005-0000-0000-000057080000}"/>
    <cellStyle name="20% - Accent1 2 4 9" xfId="1378" xr:uid="{00000000-0005-0000-0000-000058080000}"/>
    <cellStyle name="20% - Accent1 2 4 9 10" xfId="44861" xr:uid="{00000000-0005-0000-0000-000059080000}"/>
    <cellStyle name="20% - Accent1 2 4 9 11" xfId="50339" xr:uid="{00000000-0005-0000-0000-00005A080000}"/>
    <cellStyle name="20% - Accent1 2 4 9 2" xfId="3139" xr:uid="{00000000-0005-0000-0000-00005B080000}"/>
    <cellStyle name="20% - Accent1 2 4 9 2 2" xfId="8619" xr:uid="{00000000-0005-0000-0000-00005C080000}"/>
    <cellStyle name="20% - Accent1 2 4 9 2 3" xfId="14095" xr:uid="{00000000-0005-0000-0000-00005D080000}"/>
    <cellStyle name="20% - Accent1 2 4 9 2 4" xfId="19571" xr:uid="{00000000-0005-0000-0000-00005E080000}"/>
    <cellStyle name="20% - Accent1 2 4 9 2 5" xfId="25047" xr:uid="{00000000-0005-0000-0000-00005F080000}"/>
    <cellStyle name="20% - Accent1 2 4 9 2 6" xfId="36843" xr:uid="{00000000-0005-0000-0000-000060080000}"/>
    <cellStyle name="20% - Accent1 2 4 9 2 7" xfId="42320" xr:uid="{00000000-0005-0000-0000-000061080000}"/>
    <cellStyle name="20% - Accent1 2 4 9 2 8" xfId="47797" xr:uid="{00000000-0005-0000-0000-000062080000}"/>
    <cellStyle name="20% - Accent1 2 4 9 2 9" xfId="53315" xr:uid="{00000000-0005-0000-0000-000063080000}"/>
    <cellStyle name="20% - Accent1 2 4 9 3" xfId="4911" xr:uid="{00000000-0005-0000-0000-000064080000}"/>
    <cellStyle name="20% - Accent1 2 4 9 3 2" xfId="10391" xr:uid="{00000000-0005-0000-0000-000065080000}"/>
    <cellStyle name="20% - Accent1 2 4 9 3 3" xfId="15867" xr:uid="{00000000-0005-0000-0000-000066080000}"/>
    <cellStyle name="20% - Accent1 2 4 9 3 4" xfId="21343" xr:uid="{00000000-0005-0000-0000-000067080000}"/>
    <cellStyle name="20% - Accent1 2 4 9 3 5" xfId="26819" xr:uid="{00000000-0005-0000-0000-000068080000}"/>
    <cellStyle name="20% - Accent1 2 4 9 3 6" xfId="38615" xr:uid="{00000000-0005-0000-0000-000069080000}"/>
    <cellStyle name="20% - Accent1 2 4 9 3 7" xfId="44092" xr:uid="{00000000-0005-0000-0000-00006A080000}"/>
    <cellStyle name="20% - Accent1 2 4 9 3 8" xfId="49569" xr:uid="{00000000-0005-0000-0000-00006B080000}"/>
    <cellStyle name="20% - Accent1 2 4 9 3 9" xfId="55087" xr:uid="{00000000-0005-0000-0000-00006C080000}"/>
    <cellStyle name="20% - Accent1 2 4 9 4" xfId="5680" xr:uid="{00000000-0005-0000-0000-00006D080000}"/>
    <cellStyle name="20% - Accent1 2 4 9 5" xfId="11160" xr:uid="{00000000-0005-0000-0000-00006E080000}"/>
    <cellStyle name="20% - Accent1 2 4 9 6" xfId="16636" xr:uid="{00000000-0005-0000-0000-00006F080000}"/>
    <cellStyle name="20% - Accent1 2 4 9 7" xfId="22112" xr:uid="{00000000-0005-0000-0000-000070080000}"/>
    <cellStyle name="20% - Accent1 2 4 9 8" xfId="33907" xr:uid="{00000000-0005-0000-0000-000071080000}"/>
    <cellStyle name="20% - Accent1 2 4 9 9" xfId="39384" xr:uid="{00000000-0005-0000-0000-000072080000}"/>
    <cellStyle name="20% - Accent1 2 5" xfId="205" xr:uid="{00000000-0005-0000-0000-000073080000}"/>
    <cellStyle name="20% - Accent1 2 5 10" xfId="1800" xr:uid="{00000000-0005-0000-0000-000074080000}"/>
    <cellStyle name="20% - Accent1 2 5 10 10" xfId="44863" xr:uid="{00000000-0005-0000-0000-000075080000}"/>
    <cellStyle name="20% - Accent1 2 5 10 11" xfId="50341" xr:uid="{00000000-0005-0000-0000-000076080000}"/>
    <cellStyle name="20% - Accent1 2 5 10 2" xfId="3561" xr:uid="{00000000-0005-0000-0000-000077080000}"/>
    <cellStyle name="20% - Accent1 2 5 10 2 2" xfId="9041" xr:uid="{00000000-0005-0000-0000-000078080000}"/>
    <cellStyle name="20% - Accent1 2 5 10 2 3" xfId="14517" xr:uid="{00000000-0005-0000-0000-000079080000}"/>
    <cellStyle name="20% - Accent1 2 5 10 2 4" xfId="19993" xr:uid="{00000000-0005-0000-0000-00007A080000}"/>
    <cellStyle name="20% - Accent1 2 5 10 2 5" xfId="25469" xr:uid="{00000000-0005-0000-0000-00007B080000}"/>
    <cellStyle name="20% - Accent1 2 5 10 2 6" xfId="37265" xr:uid="{00000000-0005-0000-0000-00007C080000}"/>
    <cellStyle name="20% - Accent1 2 5 10 2 7" xfId="42742" xr:uid="{00000000-0005-0000-0000-00007D080000}"/>
    <cellStyle name="20% - Accent1 2 5 10 2 8" xfId="48219" xr:uid="{00000000-0005-0000-0000-00007E080000}"/>
    <cellStyle name="20% - Accent1 2 5 10 2 9" xfId="53737" xr:uid="{00000000-0005-0000-0000-00007F080000}"/>
    <cellStyle name="20% - Accent1 2 5 10 3" xfId="5333" xr:uid="{00000000-0005-0000-0000-000080080000}"/>
    <cellStyle name="20% - Accent1 2 5 10 3 2" xfId="10813" xr:uid="{00000000-0005-0000-0000-000081080000}"/>
    <cellStyle name="20% - Accent1 2 5 10 3 3" xfId="16289" xr:uid="{00000000-0005-0000-0000-000082080000}"/>
    <cellStyle name="20% - Accent1 2 5 10 3 4" xfId="21765" xr:uid="{00000000-0005-0000-0000-000083080000}"/>
    <cellStyle name="20% - Accent1 2 5 10 3 5" xfId="27241" xr:uid="{00000000-0005-0000-0000-000084080000}"/>
    <cellStyle name="20% - Accent1 2 5 10 3 6" xfId="39037" xr:uid="{00000000-0005-0000-0000-000085080000}"/>
    <cellStyle name="20% - Accent1 2 5 10 3 7" xfId="44514" xr:uid="{00000000-0005-0000-0000-000086080000}"/>
    <cellStyle name="20% - Accent1 2 5 10 3 8" xfId="49991" xr:uid="{00000000-0005-0000-0000-000087080000}"/>
    <cellStyle name="20% - Accent1 2 5 10 3 9" xfId="55509" xr:uid="{00000000-0005-0000-0000-000088080000}"/>
    <cellStyle name="20% - Accent1 2 5 10 4" xfId="5682" xr:uid="{00000000-0005-0000-0000-000089080000}"/>
    <cellStyle name="20% - Accent1 2 5 10 5" xfId="11162" xr:uid="{00000000-0005-0000-0000-00008A080000}"/>
    <cellStyle name="20% - Accent1 2 5 10 6" xfId="16638" xr:uid="{00000000-0005-0000-0000-00008B080000}"/>
    <cellStyle name="20% - Accent1 2 5 10 7" xfId="22114" xr:uid="{00000000-0005-0000-0000-00008C080000}"/>
    <cellStyle name="20% - Accent1 2 5 10 8" xfId="33909" xr:uid="{00000000-0005-0000-0000-00008D080000}"/>
    <cellStyle name="20% - Accent1 2 5 10 9" xfId="39386" xr:uid="{00000000-0005-0000-0000-00008E080000}"/>
    <cellStyle name="20% - Accent1 2 5 11" xfId="1914" xr:uid="{00000000-0005-0000-0000-00008F080000}"/>
    <cellStyle name="20% - Accent1 2 5 11 10" xfId="52091" xr:uid="{00000000-0005-0000-0000-000090080000}"/>
    <cellStyle name="20% - Accent1 2 5 11 2" xfId="5446" xr:uid="{00000000-0005-0000-0000-000091080000}"/>
    <cellStyle name="20% - Accent1 2 5 11 2 2" xfId="10926" xr:uid="{00000000-0005-0000-0000-000092080000}"/>
    <cellStyle name="20% - Accent1 2 5 11 2 3" xfId="16402" xr:uid="{00000000-0005-0000-0000-000093080000}"/>
    <cellStyle name="20% - Accent1 2 5 11 2 4" xfId="21878" xr:uid="{00000000-0005-0000-0000-000094080000}"/>
    <cellStyle name="20% - Accent1 2 5 11 2 5" xfId="27354" xr:uid="{00000000-0005-0000-0000-000095080000}"/>
    <cellStyle name="20% - Accent1 2 5 11 2 6" xfId="39150" xr:uid="{00000000-0005-0000-0000-000096080000}"/>
    <cellStyle name="20% - Accent1 2 5 11 2 7" xfId="44627" xr:uid="{00000000-0005-0000-0000-000097080000}"/>
    <cellStyle name="20% - Accent1 2 5 11 2 8" xfId="50104" xr:uid="{00000000-0005-0000-0000-000098080000}"/>
    <cellStyle name="20% - Accent1 2 5 11 2 9" xfId="55622" xr:uid="{00000000-0005-0000-0000-000099080000}"/>
    <cellStyle name="20% - Accent1 2 5 11 3" xfId="7395" xr:uid="{00000000-0005-0000-0000-00009A080000}"/>
    <cellStyle name="20% - Accent1 2 5 11 4" xfId="12871" xr:uid="{00000000-0005-0000-0000-00009B080000}"/>
    <cellStyle name="20% - Accent1 2 5 11 5" xfId="18347" xr:uid="{00000000-0005-0000-0000-00009C080000}"/>
    <cellStyle name="20% - Accent1 2 5 11 6" xfId="23823" xr:uid="{00000000-0005-0000-0000-00009D080000}"/>
    <cellStyle name="20% - Accent1 2 5 11 7" xfId="35619" xr:uid="{00000000-0005-0000-0000-00009E080000}"/>
    <cellStyle name="20% - Accent1 2 5 11 8" xfId="41096" xr:uid="{00000000-0005-0000-0000-00009F080000}"/>
    <cellStyle name="20% - Accent1 2 5 11 9" xfId="46573" xr:uid="{00000000-0005-0000-0000-0000A0080000}"/>
    <cellStyle name="20% - Accent1 2 5 12" xfId="3771" xr:uid="{00000000-0005-0000-0000-0000A1080000}"/>
    <cellStyle name="20% - Accent1 2 5 12 2" xfId="9251" xr:uid="{00000000-0005-0000-0000-0000A2080000}"/>
    <cellStyle name="20% - Accent1 2 5 12 3" xfId="14727" xr:uid="{00000000-0005-0000-0000-0000A3080000}"/>
    <cellStyle name="20% - Accent1 2 5 12 4" xfId="20203" xr:uid="{00000000-0005-0000-0000-0000A4080000}"/>
    <cellStyle name="20% - Accent1 2 5 12 5" xfId="25679" xr:uid="{00000000-0005-0000-0000-0000A5080000}"/>
    <cellStyle name="20% - Accent1 2 5 12 6" xfId="37475" xr:uid="{00000000-0005-0000-0000-0000A6080000}"/>
    <cellStyle name="20% - Accent1 2 5 12 7" xfId="42952" xr:uid="{00000000-0005-0000-0000-0000A7080000}"/>
    <cellStyle name="20% - Accent1 2 5 12 8" xfId="48429" xr:uid="{00000000-0005-0000-0000-0000A8080000}"/>
    <cellStyle name="20% - Accent1 2 5 12 9" xfId="53947" xr:uid="{00000000-0005-0000-0000-0000A9080000}"/>
    <cellStyle name="20% - Accent1 2 5 13" xfId="5681" xr:uid="{00000000-0005-0000-0000-0000AA080000}"/>
    <cellStyle name="20% - Accent1 2 5 14" xfId="11161" xr:uid="{00000000-0005-0000-0000-0000AB080000}"/>
    <cellStyle name="20% - Accent1 2 5 15" xfId="16637" xr:uid="{00000000-0005-0000-0000-0000AC080000}"/>
    <cellStyle name="20% - Accent1 2 5 16" xfId="22113" xr:uid="{00000000-0005-0000-0000-0000AD080000}"/>
    <cellStyle name="20% - Accent1 2 5 17" xfId="27801" xr:uid="{00000000-0005-0000-0000-0000AE080000}"/>
    <cellStyle name="20% - Accent1 2 5 18" xfId="33908" xr:uid="{00000000-0005-0000-0000-0000AF080000}"/>
    <cellStyle name="20% - Accent1 2 5 19" xfId="39385" xr:uid="{00000000-0005-0000-0000-0000B0080000}"/>
    <cellStyle name="20% - Accent1 2 5 2" xfId="285" xr:uid="{00000000-0005-0000-0000-0000B1080000}"/>
    <cellStyle name="20% - Accent1 2 5 2 10" xfId="39387" xr:uid="{00000000-0005-0000-0000-0000B2080000}"/>
    <cellStyle name="20% - Accent1 2 5 2 11" xfId="44864" xr:uid="{00000000-0005-0000-0000-0000B3080000}"/>
    <cellStyle name="20% - Accent1 2 5 2 12" xfId="50342" xr:uid="{00000000-0005-0000-0000-0000B4080000}"/>
    <cellStyle name="20% - Accent1 2 5 2 2" xfId="2087" xr:uid="{00000000-0005-0000-0000-0000B5080000}"/>
    <cellStyle name="20% - Accent1 2 5 2 2 10" xfId="52263" xr:uid="{00000000-0005-0000-0000-0000B6080000}"/>
    <cellStyle name="20% - Accent1 2 5 2 2 2" xfId="7567" xr:uid="{00000000-0005-0000-0000-0000B7080000}"/>
    <cellStyle name="20% - Accent1 2 5 2 2 3" xfId="13043" xr:uid="{00000000-0005-0000-0000-0000B8080000}"/>
    <cellStyle name="20% - Accent1 2 5 2 2 4" xfId="18519" xr:uid="{00000000-0005-0000-0000-0000B9080000}"/>
    <cellStyle name="20% - Accent1 2 5 2 2 5" xfId="23995" xr:uid="{00000000-0005-0000-0000-0000BA080000}"/>
    <cellStyle name="20% - Accent1 2 5 2 2 6" xfId="27803" xr:uid="{00000000-0005-0000-0000-0000BB080000}"/>
    <cellStyle name="20% - Accent1 2 5 2 2 7" xfId="35791" xr:uid="{00000000-0005-0000-0000-0000BC080000}"/>
    <cellStyle name="20% - Accent1 2 5 2 2 8" xfId="41268" xr:uid="{00000000-0005-0000-0000-0000BD080000}"/>
    <cellStyle name="20% - Accent1 2 5 2 2 9" xfId="46745" xr:uid="{00000000-0005-0000-0000-0000BE080000}"/>
    <cellStyle name="20% - Accent1 2 5 2 3" xfId="3847" xr:uid="{00000000-0005-0000-0000-0000BF080000}"/>
    <cellStyle name="20% - Accent1 2 5 2 3 2" xfId="9327" xr:uid="{00000000-0005-0000-0000-0000C0080000}"/>
    <cellStyle name="20% - Accent1 2 5 2 3 3" xfId="14803" xr:uid="{00000000-0005-0000-0000-0000C1080000}"/>
    <cellStyle name="20% - Accent1 2 5 2 3 4" xfId="20279" xr:uid="{00000000-0005-0000-0000-0000C2080000}"/>
    <cellStyle name="20% - Accent1 2 5 2 3 5" xfId="25755" xr:uid="{00000000-0005-0000-0000-0000C3080000}"/>
    <cellStyle name="20% - Accent1 2 5 2 3 6" xfId="37551" xr:uid="{00000000-0005-0000-0000-0000C4080000}"/>
    <cellStyle name="20% - Accent1 2 5 2 3 7" xfId="43028" xr:uid="{00000000-0005-0000-0000-0000C5080000}"/>
    <cellStyle name="20% - Accent1 2 5 2 3 8" xfId="48505" xr:uid="{00000000-0005-0000-0000-0000C6080000}"/>
    <cellStyle name="20% - Accent1 2 5 2 3 9" xfId="54023" xr:uid="{00000000-0005-0000-0000-0000C7080000}"/>
    <cellStyle name="20% - Accent1 2 5 2 4" xfId="5683" xr:uid="{00000000-0005-0000-0000-0000C8080000}"/>
    <cellStyle name="20% - Accent1 2 5 2 5" xfId="11163" xr:uid="{00000000-0005-0000-0000-0000C9080000}"/>
    <cellStyle name="20% - Accent1 2 5 2 6" xfId="16639" xr:uid="{00000000-0005-0000-0000-0000CA080000}"/>
    <cellStyle name="20% - Accent1 2 5 2 7" xfId="22115" xr:uid="{00000000-0005-0000-0000-0000CB080000}"/>
    <cellStyle name="20% - Accent1 2 5 2 8" xfId="27802" xr:uid="{00000000-0005-0000-0000-0000CC080000}"/>
    <cellStyle name="20% - Accent1 2 5 2 9" xfId="33910" xr:uid="{00000000-0005-0000-0000-0000CD080000}"/>
    <cellStyle name="20% - Accent1 2 5 20" xfId="44862" xr:uid="{00000000-0005-0000-0000-0000CE080000}"/>
    <cellStyle name="20% - Accent1 2 5 21" xfId="50340" xr:uid="{00000000-0005-0000-0000-0000CF080000}"/>
    <cellStyle name="20% - Accent1 2 5 3" xfId="486" xr:uid="{00000000-0005-0000-0000-0000D0080000}"/>
    <cellStyle name="20% - Accent1 2 5 3 10" xfId="39388" xr:uid="{00000000-0005-0000-0000-0000D1080000}"/>
    <cellStyle name="20% - Accent1 2 5 3 11" xfId="44865" xr:uid="{00000000-0005-0000-0000-0000D2080000}"/>
    <cellStyle name="20% - Accent1 2 5 3 12" xfId="50343" xr:uid="{00000000-0005-0000-0000-0000D3080000}"/>
    <cellStyle name="20% - Accent1 2 5 3 2" xfId="2247" xr:uid="{00000000-0005-0000-0000-0000D4080000}"/>
    <cellStyle name="20% - Accent1 2 5 3 2 2" xfId="7727" xr:uid="{00000000-0005-0000-0000-0000D5080000}"/>
    <cellStyle name="20% - Accent1 2 5 3 2 3" xfId="13203" xr:uid="{00000000-0005-0000-0000-0000D6080000}"/>
    <cellStyle name="20% - Accent1 2 5 3 2 4" xfId="18679" xr:uid="{00000000-0005-0000-0000-0000D7080000}"/>
    <cellStyle name="20% - Accent1 2 5 3 2 5" xfId="24155" xr:uid="{00000000-0005-0000-0000-0000D8080000}"/>
    <cellStyle name="20% - Accent1 2 5 3 2 6" xfId="35951" xr:uid="{00000000-0005-0000-0000-0000D9080000}"/>
    <cellStyle name="20% - Accent1 2 5 3 2 7" xfId="41428" xr:uid="{00000000-0005-0000-0000-0000DA080000}"/>
    <cellStyle name="20% - Accent1 2 5 3 2 8" xfId="46905" xr:uid="{00000000-0005-0000-0000-0000DB080000}"/>
    <cellStyle name="20% - Accent1 2 5 3 2 9" xfId="52423" xr:uid="{00000000-0005-0000-0000-0000DC080000}"/>
    <cellStyle name="20% - Accent1 2 5 3 3" xfId="4019" xr:uid="{00000000-0005-0000-0000-0000DD080000}"/>
    <cellStyle name="20% - Accent1 2 5 3 3 2" xfId="9499" xr:uid="{00000000-0005-0000-0000-0000DE080000}"/>
    <cellStyle name="20% - Accent1 2 5 3 3 3" xfId="14975" xr:uid="{00000000-0005-0000-0000-0000DF080000}"/>
    <cellStyle name="20% - Accent1 2 5 3 3 4" xfId="20451" xr:uid="{00000000-0005-0000-0000-0000E0080000}"/>
    <cellStyle name="20% - Accent1 2 5 3 3 5" xfId="25927" xr:uid="{00000000-0005-0000-0000-0000E1080000}"/>
    <cellStyle name="20% - Accent1 2 5 3 3 6" xfId="37723" xr:uid="{00000000-0005-0000-0000-0000E2080000}"/>
    <cellStyle name="20% - Accent1 2 5 3 3 7" xfId="43200" xr:uid="{00000000-0005-0000-0000-0000E3080000}"/>
    <cellStyle name="20% - Accent1 2 5 3 3 8" xfId="48677" xr:uid="{00000000-0005-0000-0000-0000E4080000}"/>
    <cellStyle name="20% - Accent1 2 5 3 3 9" xfId="54195" xr:uid="{00000000-0005-0000-0000-0000E5080000}"/>
    <cellStyle name="20% - Accent1 2 5 3 4" xfId="5684" xr:uid="{00000000-0005-0000-0000-0000E6080000}"/>
    <cellStyle name="20% - Accent1 2 5 3 5" xfId="11164" xr:uid="{00000000-0005-0000-0000-0000E7080000}"/>
    <cellStyle name="20% - Accent1 2 5 3 6" xfId="16640" xr:uid="{00000000-0005-0000-0000-0000E8080000}"/>
    <cellStyle name="20% - Accent1 2 5 3 7" xfId="22116" xr:uid="{00000000-0005-0000-0000-0000E9080000}"/>
    <cellStyle name="20% - Accent1 2 5 3 8" xfId="27804" xr:uid="{00000000-0005-0000-0000-0000EA080000}"/>
    <cellStyle name="20% - Accent1 2 5 3 9" xfId="33911" xr:uid="{00000000-0005-0000-0000-0000EB080000}"/>
    <cellStyle name="20% - Accent1 2 5 4" xfId="658" xr:uid="{00000000-0005-0000-0000-0000EC080000}"/>
    <cellStyle name="20% - Accent1 2 5 4 10" xfId="44866" xr:uid="{00000000-0005-0000-0000-0000ED080000}"/>
    <cellStyle name="20% - Accent1 2 5 4 11" xfId="50344" xr:uid="{00000000-0005-0000-0000-0000EE080000}"/>
    <cellStyle name="20% - Accent1 2 5 4 2" xfId="2419" xr:uid="{00000000-0005-0000-0000-0000EF080000}"/>
    <cellStyle name="20% - Accent1 2 5 4 2 2" xfId="7899" xr:uid="{00000000-0005-0000-0000-0000F0080000}"/>
    <cellStyle name="20% - Accent1 2 5 4 2 3" xfId="13375" xr:uid="{00000000-0005-0000-0000-0000F1080000}"/>
    <cellStyle name="20% - Accent1 2 5 4 2 4" xfId="18851" xr:uid="{00000000-0005-0000-0000-0000F2080000}"/>
    <cellStyle name="20% - Accent1 2 5 4 2 5" xfId="24327" xr:uid="{00000000-0005-0000-0000-0000F3080000}"/>
    <cellStyle name="20% - Accent1 2 5 4 2 6" xfId="36123" xr:uid="{00000000-0005-0000-0000-0000F4080000}"/>
    <cellStyle name="20% - Accent1 2 5 4 2 7" xfId="41600" xr:uid="{00000000-0005-0000-0000-0000F5080000}"/>
    <cellStyle name="20% - Accent1 2 5 4 2 8" xfId="47077" xr:uid="{00000000-0005-0000-0000-0000F6080000}"/>
    <cellStyle name="20% - Accent1 2 5 4 2 9" xfId="52595" xr:uid="{00000000-0005-0000-0000-0000F7080000}"/>
    <cellStyle name="20% - Accent1 2 5 4 3" xfId="4191" xr:uid="{00000000-0005-0000-0000-0000F8080000}"/>
    <cellStyle name="20% - Accent1 2 5 4 3 2" xfId="9671" xr:uid="{00000000-0005-0000-0000-0000F9080000}"/>
    <cellStyle name="20% - Accent1 2 5 4 3 3" xfId="15147" xr:uid="{00000000-0005-0000-0000-0000FA080000}"/>
    <cellStyle name="20% - Accent1 2 5 4 3 4" xfId="20623" xr:uid="{00000000-0005-0000-0000-0000FB080000}"/>
    <cellStyle name="20% - Accent1 2 5 4 3 5" xfId="26099" xr:uid="{00000000-0005-0000-0000-0000FC080000}"/>
    <cellStyle name="20% - Accent1 2 5 4 3 6" xfId="37895" xr:uid="{00000000-0005-0000-0000-0000FD080000}"/>
    <cellStyle name="20% - Accent1 2 5 4 3 7" xfId="43372" xr:uid="{00000000-0005-0000-0000-0000FE080000}"/>
    <cellStyle name="20% - Accent1 2 5 4 3 8" xfId="48849" xr:uid="{00000000-0005-0000-0000-0000FF080000}"/>
    <cellStyle name="20% - Accent1 2 5 4 3 9" xfId="54367" xr:uid="{00000000-0005-0000-0000-000000090000}"/>
    <cellStyle name="20% - Accent1 2 5 4 4" xfId="5685" xr:uid="{00000000-0005-0000-0000-000001090000}"/>
    <cellStyle name="20% - Accent1 2 5 4 5" xfId="11165" xr:uid="{00000000-0005-0000-0000-000002090000}"/>
    <cellStyle name="20% - Accent1 2 5 4 6" xfId="16641" xr:uid="{00000000-0005-0000-0000-000003090000}"/>
    <cellStyle name="20% - Accent1 2 5 4 7" xfId="22117" xr:uid="{00000000-0005-0000-0000-000004090000}"/>
    <cellStyle name="20% - Accent1 2 5 4 8" xfId="33912" xr:uid="{00000000-0005-0000-0000-000005090000}"/>
    <cellStyle name="20% - Accent1 2 5 4 9" xfId="39389" xr:uid="{00000000-0005-0000-0000-000006090000}"/>
    <cellStyle name="20% - Accent1 2 5 5" xfId="830" xr:uid="{00000000-0005-0000-0000-000007090000}"/>
    <cellStyle name="20% - Accent1 2 5 5 10" xfId="44867" xr:uid="{00000000-0005-0000-0000-000008090000}"/>
    <cellStyle name="20% - Accent1 2 5 5 11" xfId="50345" xr:uid="{00000000-0005-0000-0000-000009090000}"/>
    <cellStyle name="20% - Accent1 2 5 5 2" xfId="2591" xr:uid="{00000000-0005-0000-0000-00000A090000}"/>
    <cellStyle name="20% - Accent1 2 5 5 2 2" xfId="8071" xr:uid="{00000000-0005-0000-0000-00000B090000}"/>
    <cellStyle name="20% - Accent1 2 5 5 2 3" xfId="13547" xr:uid="{00000000-0005-0000-0000-00000C090000}"/>
    <cellStyle name="20% - Accent1 2 5 5 2 4" xfId="19023" xr:uid="{00000000-0005-0000-0000-00000D090000}"/>
    <cellStyle name="20% - Accent1 2 5 5 2 5" xfId="24499" xr:uid="{00000000-0005-0000-0000-00000E090000}"/>
    <cellStyle name="20% - Accent1 2 5 5 2 6" xfId="36295" xr:uid="{00000000-0005-0000-0000-00000F090000}"/>
    <cellStyle name="20% - Accent1 2 5 5 2 7" xfId="41772" xr:uid="{00000000-0005-0000-0000-000010090000}"/>
    <cellStyle name="20% - Accent1 2 5 5 2 8" xfId="47249" xr:uid="{00000000-0005-0000-0000-000011090000}"/>
    <cellStyle name="20% - Accent1 2 5 5 2 9" xfId="52767" xr:uid="{00000000-0005-0000-0000-000012090000}"/>
    <cellStyle name="20% - Accent1 2 5 5 3" xfId="4363" xr:uid="{00000000-0005-0000-0000-000013090000}"/>
    <cellStyle name="20% - Accent1 2 5 5 3 2" xfId="9843" xr:uid="{00000000-0005-0000-0000-000014090000}"/>
    <cellStyle name="20% - Accent1 2 5 5 3 3" xfId="15319" xr:uid="{00000000-0005-0000-0000-000015090000}"/>
    <cellStyle name="20% - Accent1 2 5 5 3 4" xfId="20795" xr:uid="{00000000-0005-0000-0000-000016090000}"/>
    <cellStyle name="20% - Accent1 2 5 5 3 5" xfId="26271" xr:uid="{00000000-0005-0000-0000-000017090000}"/>
    <cellStyle name="20% - Accent1 2 5 5 3 6" xfId="38067" xr:uid="{00000000-0005-0000-0000-000018090000}"/>
    <cellStyle name="20% - Accent1 2 5 5 3 7" xfId="43544" xr:uid="{00000000-0005-0000-0000-000019090000}"/>
    <cellStyle name="20% - Accent1 2 5 5 3 8" xfId="49021" xr:uid="{00000000-0005-0000-0000-00001A090000}"/>
    <cellStyle name="20% - Accent1 2 5 5 3 9" xfId="54539" xr:uid="{00000000-0005-0000-0000-00001B090000}"/>
    <cellStyle name="20% - Accent1 2 5 5 4" xfId="5686" xr:uid="{00000000-0005-0000-0000-00001C090000}"/>
    <cellStyle name="20% - Accent1 2 5 5 5" xfId="11166" xr:uid="{00000000-0005-0000-0000-00001D090000}"/>
    <cellStyle name="20% - Accent1 2 5 5 6" xfId="16642" xr:uid="{00000000-0005-0000-0000-00001E090000}"/>
    <cellStyle name="20% - Accent1 2 5 5 7" xfId="22118" xr:uid="{00000000-0005-0000-0000-00001F090000}"/>
    <cellStyle name="20% - Accent1 2 5 5 8" xfId="33913" xr:uid="{00000000-0005-0000-0000-000020090000}"/>
    <cellStyle name="20% - Accent1 2 5 5 9" xfId="39390" xr:uid="{00000000-0005-0000-0000-000021090000}"/>
    <cellStyle name="20% - Accent1 2 5 6" xfId="1036" xr:uid="{00000000-0005-0000-0000-000022090000}"/>
    <cellStyle name="20% - Accent1 2 5 6 10" xfId="44868" xr:uid="{00000000-0005-0000-0000-000023090000}"/>
    <cellStyle name="20% - Accent1 2 5 6 11" xfId="50346" xr:uid="{00000000-0005-0000-0000-000024090000}"/>
    <cellStyle name="20% - Accent1 2 5 6 2" xfId="2797" xr:uid="{00000000-0005-0000-0000-000025090000}"/>
    <cellStyle name="20% - Accent1 2 5 6 2 2" xfId="8277" xr:uid="{00000000-0005-0000-0000-000026090000}"/>
    <cellStyle name="20% - Accent1 2 5 6 2 3" xfId="13753" xr:uid="{00000000-0005-0000-0000-000027090000}"/>
    <cellStyle name="20% - Accent1 2 5 6 2 4" xfId="19229" xr:uid="{00000000-0005-0000-0000-000028090000}"/>
    <cellStyle name="20% - Accent1 2 5 6 2 5" xfId="24705" xr:uid="{00000000-0005-0000-0000-000029090000}"/>
    <cellStyle name="20% - Accent1 2 5 6 2 6" xfId="36501" xr:uid="{00000000-0005-0000-0000-00002A090000}"/>
    <cellStyle name="20% - Accent1 2 5 6 2 7" xfId="41978" xr:uid="{00000000-0005-0000-0000-00002B090000}"/>
    <cellStyle name="20% - Accent1 2 5 6 2 8" xfId="47455" xr:uid="{00000000-0005-0000-0000-00002C090000}"/>
    <cellStyle name="20% - Accent1 2 5 6 2 9" xfId="52973" xr:uid="{00000000-0005-0000-0000-00002D090000}"/>
    <cellStyle name="20% - Accent1 2 5 6 3" xfId="4569" xr:uid="{00000000-0005-0000-0000-00002E090000}"/>
    <cellStyle name="20% - Accent1 2 5 6 3 2" xfId="10049" xr:uid="{00000000-0005-0000-0000-00002F090000}"/>
    <cellStyle name="20% - Accent1 2 5 6 3 3" xfId="15525" xr:uid="{00000000-0005-0000-0000-000030090000}"/>
    <cellStyle name="20% - Accent1 2 5 6 3 4" xfId="21001" xr:uid="{00000000-0005-0000-0000-000031090000}"/>
    <cellStyle name="20% - Accent1 2 5 6 3 5" xfId="26477" xr:uid="{00000000-0005-0000-0000-000032090000}"/>
    <cellStyle name="20% - Accent1 2 5 6 3 6" xfId="38273" xr:uid="{00000000-0005-0000-0000-000033090000}"/>
    <cellStyle name="20% - Accent1 2 5 6 3 7" xfId="43750" xr:uid="{00000000-0005-0000-0000-000034090000}"/>
    <cellStyle name="20% - Accent1 2 5 6 3 8" xfId="49227" xr:uid="{00000000-0005-0000-0000-000035090000}"/>
    <cellStyle name="20% - Accent1 2 5 6 3 9" xfId="54745" xr:uid="{00000000-0005-0000-0000-000036090000}"/>
    <cellStyle name="20% - Accent1 2 5 6 4" xfId="5687" xr:uid="{00000000-0005-0000-0000-000037090000}"/>
    <cellStyle name="20% - Accent1 2 5 6 5" xfId="11167" xr:uid="{00000000-0005-0000-0000-000038090000}"/>
    <cellStyle name="20% - Accent1 2 5 6 6" xfId="16643" xr:uid="{00000000-0005-0000-0000-000039090000}"/>
    <cellStyle name="20% - Accent1 2 5 6 7" xfId="22119" xr:uid="{00000000-0005-0000-0000-00003A090000}"/>
    <cellStyle name="20% - Accent1 2 5 6 8" xfId="33914" xr:uid="{00000000-0005-0000-0000-00003B090000}"/>
    <cellStyle name="20% - Accent1 2 5 6 9" xfId="39391" xr:uid="{00000000-0005-0000-0000-00003C090000}"/>
    <cellStyle name="20% - Accent1 2 5 7" xfId="1208" xr:uid="{00000000-0005-0000-0000-00003D090000}"/>
    <cellStyle name="20% - Accent1 2 5 7 10" xfId="44869" xr:uid="{00000000-0005-0000-0000-00003E090000}"/>
    <cellStyle name="20% - Accent1 2 5 7 11" xfId="50347" xr:uid="{00000000-0005-0000-0000-00003F090000}"/>
    <cellStyle name="20% - Accent1 2 5 7 2" xfId="2969" xr:uid="{00000000-0005-0000-0000-000040090000}"/>
    <cellStyle name="20% - Accent1 2 5 7 2 2" xfId="8449" xr:uid="{00000000-0005-0000-0000-000041090000}"/>
    <cellStyle name="20% - Accent1 2 5 7 2 3" xfId="13925" xr:uid="{00000000-0005-0000-0000-000042090000}"/>
    <cellStyle name="20% - Accent1 2 5 7 2 4" xfId="19401" xr:uid="{00000000-0005-0000-0000-000043090000}"/>
    <cellStyle name="20% - Accent1 2 5 7 2 5" xfId="24877" xr:uid="{00000000-0005-0000-0000-000044090000}"/>
    <cellStyle name="20% - Accent1 2 5 7 2 6" xfId="36673" xr:uid="{00000000-0005-0000-0000-000045090000}"/>
    <cellStyle name="20% - Accent1 2 5 7 2 7" xfId="42150" xr:uid="{00000000-0005-0000-0000-000046090000}"/>
    <cellStyle name="20% - Accent1 2 5 7 2 8" xfId="47627" xr:uid="{00000000-0005-0000-0000-000047090000}"/>
    <cellStyle name="20% - Accent1 2 5 7 2 9" xfId="53145" xr:uid="{00000000-0005-0000-0000-000048090000}"/>
    <cellStyle name="20% - Accent1 2 5 7 3" xfId="4741" xr:uid="{00000000-0005-0000-0000-000049090000}"/>
    <cellStyle name="20% - Accent1 2 5 7 3 2" xfId="10221" xr:uid="{00000000-0005-0000-0000-00004A090000}"/>
    <cellStyle name="20% - Accent1 2 5 7 3 3" xfId="15697" xr:uid="{00000000-0005-0000-0000-00004B090000}"/>
    <cellStyle name="20% - Accent1 2 5 7 3 4" xfId="21173" xr:uid="{00000000-0005-0000-0000-00004C090000}"/>
    <cellStyle name="20% - Accent1 2 5 7 3 5" xfId="26649" xr:uid="{00000000-0005-0000-0000-00004D090000}"/>
    <cellStyle name="20% - Accent1 2 5 7 3 6" xfId="38445" xr:uid="{00000000-0005-0000-0000-00004E090000}"/>
    <cellStyle name="20% - Accent1 2 5 7 3 7" xfId="43922" xr:uid="{00000000-0005-0000-0000-00004F090000}"/>
    <cellStyle name="20% - Accent1 2 5 7 3 8" xfId="49399" xr:uid="{00000000-0005-0000-0000-000050090000}"/>
    <cellStyle name="20% - Accent1 2 5 7 3 9" xfId="54917" xr:uid="{00000000-0005-0000-0000-000051090000}"/>
    <cellStyle name="20% - Accent1 2 5 7 4" xfId="5688" xr:uid="{00000000-0005-0000-0000-000052090000}"/>
    <cellStyle name="20% - Accent1 2 5 7 5" xfId="11168" xr:uid="{00000000-0005-0000-0000-000053090000}"/>
    <cellStyle name="20% - Accent1 2 5 7 6" xfId="16644" xr:uid="{00000000-0005-0000-0000-000054090000}"/>
    <cellStyle name="20% - Accent1 2 5 7 7" xfId="22120" xr:uid="{00000000-0005-0000-0000-000055090000}"/>
    <cellStyle name="20% - Accent1 2 5 7 8" xfId="33915" xr:uid="{00000000-0005-0000-0000-000056090000}"/>
    <cellStyle name="20% - Accent1 2 5 7 9" xfId="39392" xr:uid="{00000000-0005-0000-0000-000057090000}"/>
    <cellStyle name="20% - Accent1 2 5 8" xfId="1380" xr:uid="{00000000-0005-0000-0000-000058090000}"/>
    <cellStyle name="20% - Accent1 2 5 8 10" xfId="44870" xr:uid="{00000000-0005-0000-0000-000059090000}"/>
    <cellStyle name="20% - Accent1 2 5 8 11" xfId="50348" xr:uid="{00000000-0005-0000-0000-00005A090000}"/>
    <cellStyle name="20% - Accent1 2 5 8 2" xfId="3141" xr:uid="{00000000-0005-0000-0000-00005B090000}"/>
    <cellStyle name="20% - Accent1 2 5 8 2 2" xfId="8621" xr:uid="{00000000-0005-0000-0000-00005C090000}"/>
    <cellStyle name="20% - Accent1 2 5 8 2 3" xfId="14097" xr:uid="{00000000-0005-0000-0000-00005D090000}"/>
    <cellStyle name="20% - Accent1 2 5 8 2 4" xfId="19573" xr:uid="{00000000-0005-0000-0000-00005E090000}"/>
    <cellStyle name="20% - Accent1 2 5 8 2 5" xfId="25049" xr:uid="{00000000-0005-0000-0000-00005F090000}"/>
    <cellStyle name="20% - Accent1 2 5 8 2 6" xfId="36845" xr:uid="{00000000-0005-0000-0000-000060090000}"/>
    <cellStyle name="20% - Accent1 2 5 8 2 7" xfId="42322" xr:uid="{00000000-0005-0000-0000-000061090000}"/>
    <cellStyle name="20% - Accent1 2 5 8 2 8" xfId="47799" xr:uid="{00000000-0005-0000-0000-000062090000}"/>
    <cellStyle name="20% - Accent1 2 5 8 2 9" xfId="53317" xr:uid="{00000000-0005-0000-0000-000063090000}"/>
    <cellStyle name="20% - Accent1 2 5 8 3" xfId="4913" xr:uid="{00000000-0005-0000-0000-000064090000}"/>
    <cellStyle name="20% - Accent1 2 5 8 3 2" xfId="10393" xr:uid="{00000000-0005-0000-0000-000065090000}"/>
    <cellStyle name="20% - Accent1 2 5 8 3 3" xfId="15869" xr:uid="{00000000-0005-0000-0000-000066090000}"/>
    <cellStyle name="20% - Accent1 2 5 8 3 4" xfId="21345" xr:uid="{00000000-0005-0000-0000-000067090000}"/>
    <cellStyle name="20% - Accent1 2 5 8 3 5" xfId="26821" xr:uid="{00000000-0005-0000-0000-000068090000}"/>
    <cellStyle name="20% - Accent1 2 5 8 3 6" xfId="38617" xr:uid="{00000000-0005-0000-0000-000069090000}"/>
    <cellStyle name="20% - Accent1 2 5 8 3 7" xfId="44094" xr:uid="{00000000-0005-0000-0000-00006A090000}"/>
    <cellStyle name="20% - Accent1 2 5 8 3 8" xfId="49571" xr:uid="{00000000-0005-0000-0000-00006B090000}"/>
    <cellStyle name="20% - Accent1 2 5 8 3 9" xfId="55089" xr:uid="{00000000-0005-0000-0000-00006C090000}"/>
    <cellStyle name="20% - Accent1 2 5 8 4" xfId="5689" xr:uid="{00000000-0005-0000-0000-00006D090000}"/>
    <cellStyle name="20% - Accent1 2 5 8 5" xfId="11169" xr:uid="{00000000-0005-0000-0000-00006E090000}"/>
    <cellStyle name="20% - Accent1 2 5 8 6" xfId="16645" xr:uid="{00000000-0005-0000-0000-00006F090000}"/>
    <cellStyle name="20% - Accent1 2 5 8 7" xfId="22121" xr:uid="{00000000-0005-0000-0000-000070090000}"/>
    <cellStyle name="20% - Accent1 2 5 8 8" xfId="33916" xr:uid="{00000000-0005-0000-0000-000071090000}"/>
    <cellStyle name="20% - Accent1 2 5 8 9" xfId="39393" xr:uid="{00000000-0005-0000-0000-000072090000}"/>
    <cellStyle name="20% - Accent1 2 5 9" xfId="1552" xr:uid="{00000000-0005-0000-0000-000073090000}"/>
    <cellStyle name="20% - Accent1 2 5 9 10" xfId="44871" xr:uid="{00000000-0005-0000-0000-000074090000}"/>
    <cellStyle name="20% - Accent1 2 5 9 11" xfId="50349" xr:uid="{00000000-0005-0000-0000-000075090000}"/>
    <cellStyle name="20% - Accent1 2 5 9 2" xfId="3313" xr:uid="{00000000-0005-0000-0000-000076090000}"/>
    <cellStyle name="20% - Accent1 2 5 9 2 2" xfId="8793" xr:uid="{00000000-0005-0000-0000-000077090000}"/>
    <cellStyle name="20% - Accent1 2 5 9 2 3" xfId="14269" xr:uid="{00000000-0005-0000-0000-000078090000}"/>
    <cellStyle name="20% - Accent1 2 5 9 2 4" xfId="19745" xr:uid="{00000000-0005-0000-0000-000079090000}"/>
    <cellStyle name="20% - Accent1 2 5 9 2 5" xfId="25221" xr:uid="{00000000-0005-0000-0000-00007A090000}"/>
    <cellStyle name="20% - Accent1 2 5 9 2 6" xfId="37017" xr:uid="{00000000-0005-0000-0000-00007B090000}"/>
    <cellStyle name="20% - Accent1 2 5 9 2 7" xfId="42494" xr:uid="{00000000-0005-0000-0000-00007C090000}"/>
    <cellStyle name="20% - Accent1 2 5 9 2 8" xfId="47971" xr:uid="{00000000-0005-0000-0000-00007D090000}"/>
    <cellStyle name="20% - Accent1 2 5 9 2 9" xfId="53489" xr:uid="{00000000-0005-0000-0000-00007E090000}"/>
    <cellStyle name="20% - Accent1 2 5 9 3" xfId="5085" xr:uid="{00000000-0005-0000-0000-00007F090000}"/>
    <cellStyle name="20% - Accent1 2 5 9 3 2" xfId="10565" xr:uid="{00000000-0005-0000-0000-000080090000}"/>
    <cellStyle name="20% - Accent1 2 5 9 3 3" xfId="16041" xr:uid="{00000000-0005-0000-0000-000081090000}"/>
    <cellStyle name="20% - Accent1 2 5 9 3 4" xfId="21517" xr:uid="{00000000-0005-0000-0000-000082090000}"/>
    <cellStyle name="20% - Accent1 2 5 9 3 5" xfId="26993" xr:uid="{00000000-0005-0000-0000-000083090000}"/>
    <cellStyle name="20% - Accent1 2 5 9 3 6" xfId="38789" xr:uid="{00000000-0005-0000-0000-000084090000}"/>
    <cellStyle name="20% - Accent1 2 5 9 3 7" xfId="44266" xr:uid="{00000000-0005-0000-0000-000085090000}"/>
    <cellStyle name="20% - Accent1 2 5 9 3 8" xfId="49743" xr:uid="{00000000-0005-0000-0000-000086090000}"/>
    <cellStyle name="20% - Accent1 2 5 9 3 9" xfId="55261" xr:uid="{00000000-0005-0000-0000-000087090000}"/>
    <cellStyle name="20% - Accent1 2 5 9 4" xfId="5690" xr:uid="{00000000-0005-0000-0000-000088090000}"/>
    <cellStyle name="20% - Accent1 2 5 9 5" xfId="11170" xr:uid="{00000000-0005-0000-0000-000089090000}"/>
    <cellStyle name="20% - Accent1 2 5 9 6" xfId="16646" xr:uid="{00000000-0005-0000-0000-00008A090000}"/>
    <cellStyle name="20% - Accent1 2 5 9 7" xfId="22122" xr:uid="{00000000-0005-0000-0000-00008B090000}"/>
    <cellStyle name="20% - Accent1 2 5 9 8" xfId="33917" xr:uid="{00000000-0005-0000-0000-00008C090000}"/>
    <cellStyle name="20% - Accent1 2 5 9 9" xfId="39394" xr:uid="{00000000-0005-0000-0000-00008D090000}"/>
    <cellStyle name="20% - Accent1 2 6" xfId="278" xr:uid="{00000000-0005-0000-0000-00008E090000}"/>
    <cellStyle name="20% - Accent1 2 6 10" xfId="39395" xr:uid="{00000000-0005-0000-0000-00008F090000}"/>
    <cellStyle name="20% - Accent1 2 6 11" xfId="44872" xr:uid="{00000000-0005-0000-0000-000090090000}"/>
    <cellStyle name="20% - Accent1 2 6 12" xfId="50350" xr:uid="{00000000-0005-0000-0000-000091090000}"/>
    <cellStyle name="20% - Accent1 2 6 2" xfId="2080" xr:uid="{00000000-0005-0000-0000-000092090000}"/>
    <cellStyle name="20% - Accent1 2 6 2 10" xfId="52256" xr:uid="{00000000-0005-0000-0000-000093090000}"/>
    <cellStyle name="20% - Accent1 2 6 2 2" xfId="7560" xr:uid="{00000000-0005-0000-0000-000094090000}"/>
    <cellStyle name="20% - Accent1 2 6 2 2 2" xfId="27807" xr:uid="{00000000-0005-0000-0000-000095090000}"/>
    <cellStyle name="20% - Accent1 2 6 2 3" xfId="13036" xr:uid="{00000000-0005-0000-0000-000096090000}"/>
    <cellStyle name="20% - Accent1 2 6 2 4" xfId="18512" xr:uid="{00000000-0005-0000-0000-000097090000}"/>
    <cellStyle name="20% - Accent1 2 6 2 5" xfId="23988" xr:uid="{00000000-0005-0000-0000-000098090000}"/>
    <cellStyle name="20% - Accent1 2 6 2 6" xfId="27806" xr:uid="{00000000-0005-0000-0000-000099090000}"/>
    <cellStyle name="20% - Accent1 2 6 2 7" xfId="35784" xr:uid="{00000000-0005-0000-0000-00009A090000}"/>
    <cellStyle name="20% - Accent1 2 6 2 8" xfId="41261" xr:uid="{00000000-0005-0000-0000-00009B090000}"/>
    <cellStyle name="20% - Accent1 2 6 2 9" xfId="46738" xr:uid="{00000000-0005-0000-0000-00009C090000}"/>
    <cellStyle name="20% - Accent1 2 6 3" xfId="3840" xr:uid="{00000000-0005-0000-0000-00009D090000}"/>
    <cellStyle name="20% - Accent1 2 6 3 10" xfId="54016" xr:uid="{00000000-0005-0000-0000-00009E090000}"/>
    <cellStyle name="20% - Accent1 2 6 3 2" xfId="9320" xr:uid="{00000000-0005-0000-0000-00009F090000}"/>
    <cellStyle name="20% - Accent1 2 6 3 3" xfId="14796" xr:uid="{00000000-0005-0000-0000-0000A0090000}"/>
    <cellStyle name="20% - Accent1 2 6 3 4" xfId="20272" xr:uid="{00000000-0005-0000-0000-0000A1090000}"/>
    <cellStyle name="20% - Accent1 2 6 3 5" xfId="25748" xr:uid="{00000000-0005-0000-0000-0000A2090000}"/>
    <cellStyle name="20% - Accent1 2 6 3 6" xfId="27808" xr:uid="{00000000-0005-0000-0000-0000A3090000}"/>
    <cellStyle name="20% - Accent1 2 6 3 7" xfId="37544" xr:uid="{00000000-0005-0000-0000-0000A4090000}"/>
    <cellStyle name="20% - Accent1 2 6 3 8" xfId="43021" xr:uid="{00000000-0005-0000-0000-0000A5090000}"/>
    <cellStyle name="20% - Accent1 2 6 3 9" xfId="48498" xr:uid="{00000000-0005-0000-0000-0000A6090000}"/>
    <cellStyle name="20% - Accent1 2 6 4" xfId="5691" xr:uid="{00000000-0005-0000-0000-0000A7090000}"/>
    <cellStyle name="20% - Accent1 2 6 5" xfId="11171" xr:uid="{00000000-0005-0000-0000-0000A8090000}"/>
    <cellStyle name="20% - Accent1 2 6 6" xfId="16647" xr:uid="{00000000-0005-0000-0000-0000A9090000}"/>
    <cellStyle name="20% - Accent1 2 6 7" xfId="22123" xr:uid="{00000000-0005-0000-0000-0000AA090000}"/>
    <cellStyle name="20% - Accent1 2 6 8" xfId="27805" xr:uid="{00000000-0005-0000-0000-0000AB090000}"/>
    <cellStyle name="20% - Accent1 2 6 9" xfId="33918" xr:uid="{00000000-0005-0000-0000-0000AC090000}"/>
    <cellStyle name="20% - Accent1 2 7" xfId="479" xr:uid="{00000000-0005-0000-0000-0000AD090000}"/>
    <cellStyle name="20% - Accent1 2 7 10" xfId="39396" xr:uid="{00000000-0005-0000-0000-0000AE090000}"/>
    <cellStyle name="20% - Accent1 2 7 11" xfId="44873" xr:uid="{00000000-0005-0000-0000-0000AF090000}"/>
    <cellStyle name="20% - Accent1 2 7 12" xfId="50351" xr:uid="{00000000-0005-0000-0000-0000B0090000}"/>
    <cellStyle name="20% - Accent1 2 7 2" xfId="2240" xr:uid="{00000000-0005-0000-0000-0000B1090000}"/>
    <cellStyle name="20% - Accent1 2 7 2 10" xfId="52416" xr:uid="{00000000-0005-0000-0000-0000B2090000}"/>
    <cellStyle name="20% - Accent1 2 7 2 2" xfId="7720" xr:uid="{00000000-0005-0000-0000-0000B3090000}"/>
    <cellStyle name="20% - Accent1 2 7 2 2 2" xfId="27811" xr:uid="{00000000-0005-0000-0000-0000B4090000}"/>
    <cellStyle name="20% - Accent1 2 7 2 3" xfId="13196" xr:uid="{00000000-0005-0000-0000-0000B5090000}"/>
    <cellStyle name="20% - Accent1 2 7 2 4" xfId="18672" xr:uid="{00000000-0005-0000-0000-0000B6090000}"/>
    <cellStyle name="20% - Accent1 2 7 2 5" xfId="24148" xr:uid="{00000000-0005-0000-0000-0000B7090000}"/>
    <cellStyle name="20% - Accent1 2 7 2 6" xfId="27810" xr:uid="{00000000-0005-0000-0000-0000B8090000}"/>
    <cellStyle name="20% - Accent1 2 7 2 7" xfId="35944" xr:uid="{00000000-0005-0000-0000-0000B9090000}"/>
    <cellStyle name="20% - Accent1 2 7 2 8" xfId="41421" xr:uid="{00000000-0005-0000-0000-0000BA090000}"/>
    <cellStyle name="20% - Accent1 2 7 2 9" xfId="46898" xr:uid="{00000000-0005-0000-0000-0000BB090000}"/>
    <cellStyle name="20% - Accent1 2 7 3" xfId="4012" xr:uid="{00000000-0005-0000-0000-0000BC090000}"/>
    <cellStyle name="20% - Accent1 2 7 3 10" xfId="54188" xr:uid="{00000000-0005-0000-0000-0000BD090000}"/>
    <cellStyle name="20% - Accent1 2 7 3 2" xfId="9492" xr:uid="{00000000-0005-0000-0000-0000BE090000}"/>
    <cellStyle name="20% - Accent1 2 7 3 3" xfId="14968" xr:uid="{00000000-0005-0000-0000-0000BF090000}"/>
    <cellStyle name="20% - Accent1 2 7 3 4" xfId="20444" xr:uid="{00000000-0005-0000-0000-0000C0090000}"/>
    <cellStyle name="20% - Accent1 2 7 3 5" xfId="25920" xr:uid="{00000000-0005-0000-0000-0000C1090000}"/>
    <cellStyle name="20% - Accent1 2 7 3 6" xfId="27812" xr:uid="{00000000-0005-0000-0000-0000C2090000}"/>
    <cellStyle name="20% - Accent1 2 7 3 7" xfId="37716" xr:uid="{00000000-0005-0000-0000-0000C3090000}"/>
    <cellStyle name="20% - Accent1 2 7 3 8" xfId="43193" xr:uid="{00000000-0005-0000-0000-0000C4090000}"/>
    <cellStyle name="20% - Accent1 2 7 3 9" xfId="48670" xr:uid="{00000000-0005-0000-0000-0000C5090000}"/>
    <cellStyle name="20% - Accent1 2 7 4" xfId="5692" xr:uid="{00000000-0005-0000-0000-0000C6090000}"/>
    <cellStyle name="20% - Accent1 2 7 5" xfId="11172" xr:uid="{00000000-0005-0000-0000-0000C7090000}"/>
    <cellStyle name="20% - Accent1 2 7 6" xfId="16648" xr:uid="{00000000-0005-0000-0000-0000C8090000}"/>
    <cellStyle name="20% - Accent1 2 7 7" xfId="22124" xr:uid="{00000000-0005-0000-0000-0000C9090000}"/>
    <cellStyle name="20% - Accent1 2 7 8" xfId="27809" xr:uid="{00000000-0005-0000-0000-0000CA090000}"/>
    <cellStyle name="20% - Accent1 2 7 9" xfId="33919" xr:uid="{00000000-0005-0000-0000-0000CB090000}"/>
    <cellStyle name="20% - Accent1 2 8" xfId="651" xr:uid="{00000000-0005-0000-0000-0000CC090000}"/>
    <cellStyle name="20% - Accent1 2 8 10" xfId="39397" xr:uid="{00000000-0005-0000-0000-0000CD090000}"/>
    <cellStyle name="20% - Accent1 2 8 11" xfId="44874" xr:uid="{00000000-0005-0000-0000-0000CE090000}"/>
    <cellStyle name="20% - Accent1 2 8 12" xfId="50352" xr:uid="{00000000-0005-0000-0000-0000CF090000}"/>
    <cellStyle name="20% - Accent1 2 8 2" xfId="2412" xr:uid="{00000000-0005-0000-0000-0000D0090000}"/>
    <cellStyle name="20% - Accent1 2 8 2 10" xfId="52588" xr:uid="{00000000-0005-0000-0000-0000D1090000}"/>
    <cellStyle name="20% - Accent1 2 8 2 2" xfId="7892" xr:uid="{00000000-0005-0000-0000-0000D2090000}"/>
    <cellStyle name="20% - Accent1 2 8 2 3" xfId="13368" xr:uid="{00000000-0005-0000-0000-0000D3090000}"/>
    <cellStyle name="20% - Accent1 2 8 2 4" xfId="18844" xr:uid="{00000000-0005-0000-0000-0000D4090000}"/>
    <cellStyle name="20% - Accent1 2 8 2 5" xfId="24320" xr:uid="{00000000-0005-0000-0000-0000D5090000}"/>
    <cellStyle name="20% - Accent1 2 8 2 6" xfId="27814" xr:uid="{00000000-0005-0000-0000-0000D6090000}"/>
    <cellStyle name="20% - Accent1 2 8 2 7" xfId="36116" xr:uid="{00000000-0005-0000-0000-0000D7090000}"/>
    <cellStyle name="20% - Accent1 2 8 2 8" xfId="41593" xr:uid="{00000000-0005-0000-0000-0000D8090000}"/>
    <cellStyle name="20% - Accent1 2 8 2 9" xfId="47070" xr:uid="{00000000-0005-0000-0000-0000D9090000}"/>
    <cellStyle name="20% - Accent1 2 8 3" xfId="4184" xr:uid="{00000000-0005-0000-0000-0000DA090000}"/>
    <cellStyle name="20% - Accent1 2 8 3 2" xfId="9664" xr:uid="{00000000-0005-0000-0000-0000DB090000}"/>
    <cellStyle name="20% - Accent1 2 8 3 3" xfId="15140" xr:uid="{00000000-0005-0000-0000-0000DC090000}"/>
    <cellStyle name="20% - Accent1 2 8 3 4" xfId="20616" xr:uid="{00000000-0005-0000-0000-0000DD090000}"/>
    <cellStyle name="20% - Accent1 2 8 3 5" xfId="26092" xr:uid="{00000000-0005-0000-0000-0000DE090000}"/>
    <cellStyle name="20% - Accent1 2 8 3 6" xfId="37888" xr:uid="{00000000-0005-0000-0000-0000DF090000}"/>
    <cellStyle name="20% - Accent1 2 8 3 7" xfId="43365" xr:uid="{00000000-0005-0000-0000-0000E0090000}"/>
    <cellStyle name="20% - Accent1 2 8 3 8" xfId="48842" xr:uid="{00000000-0005-0000-0000-0000E1090000}"/>
    <cellStyle name="20% - Accent1 2 8 3 9" xfId="54360" xr:uid="{00000000-0005-0000-0000-0000E2090000}"/>
    <cellStyle name="20% - Accent1 2 8 4" xfId="5693" xr:uid="{00000000-0005-0000-0000-0000E3090000}"/>
    <cellStyle name="20% - Accent1 2 8 5" xfId="11173" xr:uid="{00000000-0005-0000-0000-0000E4090000}"/>
    <cellStyle name="20% - Accent1 2 8 6" xfId="16649" xr:uid="{00000000-0005-0000-0000-0000E5090000}"/>
    <cellStyle name="20% - Accent1 2 8 7" xfId="22125" xr:uid="{00000000-0005-0000-0000-0000E6090000}"/>
    <cellStyle name="20% - Accent1 2 8 8" xfId="27813" xr:uid="{00000000-0005-0000-0000-0000E7090000}"/>
    <cellStyle name="20% - Accent1 2 8 9" xfId="33920" xr:uid="{00000000-0005-0000-0000-0000E8090000}"/>
    <cellStyle name="20% - Accent1 2 9" xfId="823" xr:uid="{00000000-0005-0000-0000-0000E9090000}"/>
    <cellStyle name="20% - Accent1 2 9 10" xfId="39398" xr:uid="{00000000-0005-0000-0000-0000EA090000}"/>
    <cellStyle name="20% - Accent1 2 9 11" xfId="44875" xr:uid="{00000000-0005-0000-0000-0000EB090000}"/>
    <cellStyle name="20% - Accent1 2 9 12" xfId="50353" xr:uid="{00000000-0005-0000-0000-0000EC090000}"/>
    <cellStyle name="20% - Accent1 2 9 2" xfId="2584" xr:uid="{00000000-0005-0000-0000-0000ED090000}"/>
    <cellStyle name="20% - Accent1 2 9 2 2" xfId="8064" xr:uid="{00000000-0005-0000-0000-0000EE090000}"/>
    <cellStyle name="20% - Accent1 2 9 2 3" xfId="13540" xr:uid="{00000000-0005-0000-0000-0000EF090000}"/>
    <cellStyle name="20% - Accent1 2 9 2 4" xfId="19016" xr:uid="{00000000-0005-0000-0000-0000F0090000}"/>
    <cellStyle name="20% - Accent1 2 9 2 5" xfId="24492" xr:uid="{00000000-0005-0000-0000-0000F1090000}"/>
    <cellStyle name="20% - Accent1 2 9 2 6" xfId="36288" xr:uid="{00000000-0005-0000-0000-0000F2090000}"/>
    <cellStyle name="20% - Accent1 2 9 2 7" xfId="41765" xr:uid="{00000000-0005-0000-0000-0000F3090000}"/>
    <cellStyle name="20% - Accent1 2 9 2 8" xfId="47242" xr:uid="{00000000-0005-0000-0000-0000F4090000}"/>
    <cellStyle name="20% - Accent1 2 9 2 9" xfId="52760" xr:uid="{00000000-0005-0000-0000-0000F5090000}"/>
    <cellStyle name="20% - Accent1 2 9 3" xfId="4356" xr:uid="{00000000-0005-0000-0000-0000F6090000}"/>
    <cellStyle name="20% - Accent1 2 9 3 2" xfId="9836" xr:uid="{00000000-0005-0000-0000-0000F7090000}"/>
    <cellStyle name="20% - Accent1 2 9 3 3" xfId="15312" xr:uid="{00000000-0005-0000-0000-0000F8090000}"/>
    <cellStyle name="20% - Accent1 2 9 3 4" xfId="20788" xr:uid="{00000000-0005-0000-0000-0000F9090000}"/>
    <cellStyle name="20% - Accent1 2 9 3 5" xfId="26264" xr:uid="{00000000-0005-0000-0000-0000FA090000}"/>
    <cellStyle name="20% - Accent1 2 9 3 6" xfId="38060" xr:uid="{00000000-0005-0000-0000-0000FB090000}"/>
    <cellStyle name="20% - Accent1 2 9 3 7" xfId="43537" xr:uid="{00000000-0005-0000-0000-0000FC090000}"/>
    <cellStyle name="20% - Accent1 2 9 3 8" xfId="49014" xr:uid="{00000000-0005-0000-0000-0000FD090000}"/>
    <cellStyle name="20% - Accent1 2 9 3 9" xfId="54532" xr:uid="{00000000-0005-0000-0000-0000FE090000}"/>
    <cellStyle name="20% - Accent1 2 9 4" xfId="5694" xr:uid="{00000000-0005-0000-0000-0000FF090000}"/>
    <cellStyle name="20% - Accent1 2 9 5" xfId="11174" xr:uid="{00000000-0005-0000-0000-0000000A0000}"/>
    <cellStyle name="20% - Accent1 2 9 6" xfId="16650" xr:uid="{00000000-0005-0000-0000-0000010A0000}"/>
    <cellStyle name="20% - Accent1 2 9 7" xfId="22126" xr:uid="{00000000-0005-0000-0000-0000020A0000}"/>
    <cellStyle name="20% - Accent1 2 9 8" xfId="27815" xr:uid="{00000000-0005-0000-0000-0000030A0000}"/>
    <cellStyle name="20% - Accent1 2 9 9" xfId="33921" xr:uid="{00000000-0005-0000-0000-0000040A0000}"/>
    <cellStyle name="20% - Accent1 20" xfId="27816" xr:uid="{00000000-0005-0000-0000-0000050A0000}"/>
    <cellStyle name="20% - Accent1 20 2" xfId="27817" xr:uid="{00000000-0005-0000-0000-0000060A0000}"/>
    <cellStyle name="20% - Accent1 20 2 2" xfId="27818" xr:uid="{00000000-0005-0000-0000-0000070A0000}"/>
    <cellStyle name="20% - Accent1 20 3" xfId="27819" xr:uid="{00000000-0005-0000-0000-0000080A0000}"/>
    <cellStyle name="20% - Accent1 21" xfId="27820" xr:uid="{00000000-0005-0000-0000-0000090A0000}"/>
    <cellStyle name="20% - Accent1 21 2" xfId="27821" xr:uid="{00000000-0005-0000-0000-00000A0A0000}"/>
    <cellStyle name="20% - Accent1 22" xfId="27822" xr:uid="{00000000-0005-0000-0000-00000B0A0000}"/>
    <cellStyle name="20% - Accent1 23" xfId="27823" xr:uid="{00000000-0005-0000-0000-00000C0A0000}"/>
    <cellStyle name="20% - Accent1 23 2" xfId="27824" xr:uid="{00000000-0005-0000-0000-00000D0A0000}"/>
    <cellStyle name="20% - Accent1 24" xfId="27825" xr:uid="{00000000-0005-0000-0000-00000E0A0000}"/>
    <cellStyle name="20% - Accent1 24 2" xfId="27826" xr:uid="{00000000-0005-0000-0000-00000F0A0000}"/>
    <cellStyle name="20% - Accent1 25" xfId="27827" xr:uid="{00000000-0005-0000-0000-0000100A0000}"/>
    <cellStyle name="20% - Accent1 26" xfId="27555" xr:uid="{00000000-0005-0000-0000-0000110A0000}"/>
    <cellStyle name="20% - Accent1 27" xfId="35600" xr:uid="{00000000-0005-0000-0000-0000120A0000}"/>
    <cellStyle name="20% - Accent1 28" xfId="41077" xr:uid="{00000000-0005-0000-0000-0000130A0000}"/>
    <cellStyle name="20% - Accent1 29" xfId="46554" xr:uid="{00000000-0005-0000-0000-0000140A0000}"/>
    <cellStyle name="20% - Accent1 3" xfId="184" xr:uid="{00000000-0005-0000-0000-0000150A0000}"/>
    <cellStyle name="20% - Accent1 3 10" xfId="1799" xr:uid="{00000000-0005-0000-0000-0000160A0000}"/>
    <cellStyle name="20% - Accent1 3 10 10" xfId="44877" xr:uid="{00000000-0005-0000-0000-0000170A0000}"/>
    <cellStyle name="20% - Accent1 3 10 11" xfId="50355" xr:uid="{00000000-0005-0000-0000-0000180A0000}"/>
    <cellStyle name="20% - Accent1 3 10 2" xfId="3560" xr:uid="{00000000-0005-0000-0000-0000190A0000}"/>
    <cellStyle name="20% - Accent1 3 10 2 2" xfId="9040" xr:uid="{00000000-0005-0000-0000-00001A0A0000}"/>
    <cellStyle name="20% - Accent1 3 10 2 3" xfId="14516" xr:uid="{00000000-0005-0000-0000-00001B0A0000}"/>
    <cellStyle name="20% - Accent1 3 10 2 4" xfId="19992" xr:uid="{00000000-0005-0000-0000-00001C0A0000}"/>
    <cellStyle name="20% - Accent1 3 10 2 5" xfId="25468" xr:uid="{00000000-0005-0000-0000-00001D0A0000}"/>
    <cellStyle name="20% - Accent1 3 10 2 6" xfId="37264" xr:uid="{00000000-0005-0000-0000-00001E0A0000}"/>
    <cellStyle name="20% - Accent1 3 10 2 7" xfId="42741" xr:uid="{00000000-0005-0000-0000-00001F0A0000}"/>
    <cellStyle name="20% - Accent1 3 10 2 8" xfId="48218" xr:uid="{00000000-0005-0000-0000-0000200A0000}"/>
    <cellStyle name="20% - Accent1 3 10 2 9" xfId="53736" xr:uid="{00000000-0005-0000-0000-0000210A0000}"/>
    <cellStyle name="20% - Accent1 3 10 3" xfId="5332" xr:uid="{00000000-0005-0000-0000-0000220A0000}"/>
    <cellStyle name="20% - Accent1 3 10 3 2" xfId="10812" xr:uid="{00000000-0005-0000-0000-0000230A0000}"/>
    <cellStyle name="20% - Accent1 3 10 3 3" xfId="16288" xr:uid="{00000000-0005-0000-0000-0000240A0000}"/>
    <cellStyle name="20% - Accent1 3 10 3 4" xfId="21764" xr:uid="{00000000-0005-0000-0000-0000250A0000}"/>
    <cellStyle name="20% - Accent1 3 10 3 5" xfId="27240" xr:uid="{00000000-0005-0000-0000-0000260A0000}"/>
    <cellStyle name="20% - Accent1 3 10 3 6" xfId="39036" xr:uid="{00000000-0005-0000-0000-0000270A0000}"/>
    <cellStyle name="20% - Accent1 3 10 3 7" xfId="44513" xr:uid="{00000000-0005-0000-0000-0000280A0000}"/>
    <cellStyle name="20% - Accent1 3 10 3 8" xfId="49990" xr:uid="{00000000-0005-0000-0000-0000290A0000}"/>
    <cellStyle name="20% - Accent1 3 10 3 9" xfId="55508" xr:uid="{00000000-0005-0000-0000-00002A0A0000}"/>
    <cellStyle name="20% - Accent1 3 10 4" xfId="5696" xr:uid="{00000000-0005-0000-0000-00002B0A0000}"/>
    <cellStyle name="20% - Accent1 3 10 5" xfId="11176" xr:uid="{00000000-0005-0000-0000-00002C0A0000}"/>
    <cellStyle name="20% - Accent1 3 10 6" xfId="16652" xr:uid="{00000000-0005-0000-0000-00002D0A0000}"/>
    <cellStyle name="20% - Accent1 3 10 7" xfId="22128" xr:uid="{00000000-0005-0000-0000-00002E0A0000}"/>
    <cellStyle name="20% - Accent1 3 10 8" xfId="33923" xr:uid="{00000000-0005-0000-0000-00002F0A0000}"/>
    <cellStyle name="20% - Accent1 3 10 9" xfId="39400" xr:uid="{00000000-0005-0000-0000-0000300A0000}"/>
    <cellStyle name="20% - Accent1 3 11" xfId="1915" xr:uid="{00000000-0005-0000-0000-0000310A0000}"/>
    <cellStyle name="20% - Accent1 3 11 10" xfId="52092" xr:uid="{00000000-0005-0000-0000-0000320A0000}"/>
    <cellStyle name="20% - Accent1 3 11 2" xfId="5447" xr:uid="{00000000-0005-0000-0000-0000330A0000}"/>
    <cellStyle name="20% - Accent1 3 11 2 2" xfId="10927" xr:uid="{00000000-0005-0000-0000-0000340A0000}"/>
    <cellStyle name="20% - Accent1 3 11 2 3" xfId="16403" xr:uid="{00000000-0005-0000-0000-0000350A0000}"/>
    <cellStyle name="20% - Accent1 3 11 2 4" xfId="21879" xr:uid="{00000000-0005-0000-0000-0000360A0000}"/>
    <cellStyle name="20% - Accent1 3 11 2 5" xfId="27355" xr:uid="{00000000-0005-0000-0000-0000370A0000}"/>
    <cellStyle name="20% - Accent1 3 11 2 6" xfId="39151" xr:uid="{00000000-0005-0000-0000-0000380A0000}"/>
    <cellStyle name="20% - Accent1 3 11 2 7" xfId="44628" xr:uid="{00000000-0005-0000-0000-0000390A0000}"/>
    <cellStyle name="20% - Accent1 3 11 2 8" xfId="50105" xr:uid="{00000000-0005-0000-0000-00003A0A0000}"/>
    <cellStyle name="20% - Accent1 3 11 2 9" xfId="55623" xr:uid="{00000000-0005-0000-0000-00003B0A0000}"/>
    <cellStyle name="20% - Accent1 3 11 3" xfId="7396" xr:uid="{00000000-0005-0000-0000-00003C0A0000}"/>
    <cellStyle name="20% - Accent1 3 11 4" xfId="12872" xr:uid="{00000000-0005-0000-0000-00003D0A0000}"/>
    <cellStyle name="20% - Accent1 3 11 5" xfId="18348" xr:uid="{00000000-0005-0000-0000-00003E0A0000}"/>
    <cellStyle name="20% - Accent1 3 11 6" xfId="23824" xr:uid="{00000000-0005-0000-0000-00003F0A0000}"/>
    <cellStyle name="20% - Accent1 3 11 7" xfId="35620" xr:uid="{00000000-0005-0000-0000-0000400A0000}"/>
    <cellStyle name="20% - Accent1 3 11 8" xfId="41097" xr:uid="{00000000-0005-0000-0000-0000410A0000}"/>
    <cellStyle name="20% - Accent1 3 11 9" xfId="46574" xr:uid="{00000000-0005-0000-0000-0000420A0000}"/>
    <cellStyle name="20% - Accent1 3 12" xfId="3754" xr:uid="{00000000-0005-0000-0000-0000430A0000}"/>
    <cellStyle name="20% - Accent1 3 12 2" xfId="9234" xr:uid="{00000000-0005-0000-0000-0000440A0000}"/>
    <cellStyle name="20% - Accent1 3 12 3" xfId="14710" xr:uid="{00000000-0005-0000-0000-0000450A0000}"/>
    <cellStyle name="20% - Accent1 3 12 4" xfId="20186" xr:uid="{00000000-0005-0000-0000-0000460A0000}"/>
    <cellStyle name="20% - Accent1 3 12 5" xfId="25662" xr:uid="{00000000-0005-0000-0000-0000470A0000}"/>
    <cellStyle name="20% - Accent1 3 12 6" xfId="37458" xr:uid="{00000000-0005-0000-0000-0000480A0000}"/>
    <cellStyle name="20% - Accent1 3 12 7" xfId="42935" xr:uid="{00000000-0005-0000-0000-0000490A0000}"/>
    <cellStyle name="20% - Accent1 3 12 8" xfId="48412" xr:uid="{00000000-0005-0000-0000-00004A0A0000}"/>
    <cellStyle name="20% - Accent1 3 12 9" xfId="53930" xr:uid="{00000000-0005-0000-0000-00004B0A0000}"/>
    <cellStyle name="20% - Accent1 3 13" xfId="5695" xr:uid="{00000000-0005-0000-0000-00004C0A0000}"/>
    <cellStyle name="20% - Accent1 3 14" xfId="11175" xr:uid="{00000000-0005-0000-0000-00004D0A0000}"/>
    <cellStyle name="20% - Accent1 3 15" xfId="16651" xr:uid="{00000000-0005-0000-0000-00004E0A0000}"/>
    <cellStyle name="20% - Accent1 3 16" xfId="22127" xr:uid="{00000000-0005-0000-0000-00004F0A0000}"/>
    <cellStyle name="20% - Accent1 3 17" xfId="27828" xr:uid="{00000000-0005-0000-0000-0000500A0000}"/>
    <cellStyle name="20% - Accent1 3 18" xfId="33922" xr:uid="{00000000-0005-0000-0000-0000510A0000}"/>
    <cellStyle name="20% - Accent1 3 19" xfId="39399" xr:uid="{00000000-0005-0000-0000-0000520A0000}"/>
    <cellStyle name="20% - Accent1 3 2" xfId="286" xr:uid="{00000000-0005-0000-0000-0000530A0000}"/>
    <cellStyle name="20% - Accent1 3 2 10" xfId="39401" xr:uid="{00000000-0005-0000-0000-0000540A0000}"/>
    <cellStyle name="20% - Accent1 3 2 11" xfId="44878" xr:uid="{00000000-0005-0000-0000-0000550A0000}"/>
    <cellStyle name="20% - Accent1 3 2 12" xfId="50356" xr:uid="{00000000-0005-0000-0000-0000560A0000}"/>
    <cellStyle name="20% - Accent1 3 2 2" xfId="2088" xr:uid="{00000000-0005-0000-0000-0000570A0000}"/>
    <cellStyle name="20% - Accent1 3 2 2 10" xfId="52264" xr:uid="{00000000-0005-0000-0000-0000580A0000}"/>
    <cellStyle name="20% - Accent1 3 2 2 2" xfId="7568" xr:uid="{00000000-0005-0000-0000-0000590A0000}"/>
    <cellStyle name="20% - Accent1 3 2 2 2 2" xfId="27831" xr:uid="{00000000-0005-0000-0000-00005A0A0000}"/>
    <cellStyle name="20% - Accent1 3 2 2 3" xfId="13044" xr:uid="{00000000-0005-0000-0000-00005B0A0000}"/>
    <cellStyle name="20% - Accent1 3 2 2 4" xfId="18520" xr:uid="{00000000-0005-0000-0000-00005C0A0000}"/>
    <cellStyle name="20% - Accent1 3 2 2 5" xfId="23996" xr:uid="{00000000-0005-0000-0000-00005D0A0000}"/>
    <cellStyle name="20% - Accent1 3 2 2 6" xfId="27830" xr:uid="{00000000-0005-0000-0000-00005E0A0000}"/>
    <cellStyle name="20% - Accent1 3 2 2 7" xfId="35792" xr:uid="{00000000-0005-0000-0000-00005F0A0000}"/>
    <cellStyle name="20% - Accent1 3 2 2 8" xfId="41269" xr:uid="{00000000-0005-0000-0000-0000600A0000}"/>
    <cellStyle name="20% - Accent1 3 2 2 9" xfId="46746" xr:uid="{00000000-0005-0000-0000-0000610A0000}"/>
    <cellStyle name="20% - Accent1 3 2 3" xfId="3848" xr:uid="{00000000-0005-0000-0000-0000620A0000}"/>
    <cellStyle name="20% - Accent1 3 2 3 10" xfId="54024" xr:uid="{00000000-0005-0000-0000-0000630A0000}"/>
    <cellStyle name="20% - Accent1 3 2 3 2" xfId="9328" xr:uid="{00000000-0005-0000-0000-0000640A0000}"/>
    <cellStyle name="20% - Accent1 3 2 3 3" xfId="14804" xr:uid="{00000000-0005-0000-0000-0000650A0000}"/>
    <cellStyle name="20% - Accent1 3 2 3 4" xfId="20280" xr:uid="{00000000-0005-0000-0000-0000660A0000}"/>
    <cellStyle name="20% - Accent1 3 2 3 5" xfId="25756" xr:uid="{00000000-0005-0000-0000-0000670A0000}"/>
    <cellStyle name="20% - Accent1 3 2 3 6" xfId="27832" xr:uid="{00000000-0005-0000-0000-0000680A0000}"/>
    <cellStyle name="20% - Accent1 3 2 3 7" xfId="37552" xr:uid="{00000000-0005-0000-0000-0000690A0000}"/>
    <cellStyle name="20% - Accent1 3 2 3 8" xfId="43029" xr:uid="{00000000-0005-0000-0000-00006A0A0000}"/>
    <cellStyle name="20% - Accent1 3 2 3 9" xfId="48506" xr:uid="{00000000-0005-0000-0000-00006B0A0000}"/>
    <cellStyle name="20% - Accent1 3 2 4" xfId="5697" xr:uid="{00000000-0005-0000-0000-00006C0A0000}"/>
    <cellStyle name="20% - Accent1 3 2 5" xfId="11177" xr:uid="{00000000-0005-0000-0000-00006D0A0000}"/>
    <cellStyle name="20% - Accent1 3 2 6" xfId="16653" xr:uid="{00000000-0005-0000-0000-00006E0A0000}"/>
    <cellStyle name="20% - Accent1 3 2 7" xfId="22129" xr:uid="{00000000-0005-0000-0000-00006F0A0000}"/>
    <cellStyle name="20% - Accent1 3 2 8" xfId="27829" xr:uid="{00000000-0005-0000-0000-0000700A0000}"/>
    <cellStyle name="20% - Accent1 3 2 9" xfId="33924" xr:uid="{00000000-0005-0000-0000-0000710A0000}"/>
    <cellStyle name="20% - Accent1 3 20" xfId="44876" xr:uid="{00000000-0005-0000-0000-0000720A0000}"/>
    <cellStyle name="20% - Accent1 3 21" xfId="50354" xr:uid="{00000000-0005-0000-0000-0000730A0000}"/>
    <cellStyle name="20% - Accent1 3 3" xfId="487" xr:uid="{00000000-0005-0000-0000-0000740A0000}"/>
    <cellStyle name="20% - Accent1 3 3 10" xfId="39402" xr:uid="{00000000-0005-0000-0000-0000750A0000}"/>
    <cellStyle name="20% - Accent1 3 3 11" xfId="44879" xr:uid="{00000000-0005-0000-0000-0000760A0000}"/>
    <cellStyle name="20% - Accent1 3 3 12" xfId="50357" xr:uid="{00000000-0005-0000-0000-0000770A0000}"/>
    <cellStyle name="20% - Accent1 3 3 2" xfId="2248" xr:uid="{00000000-0005-0000-0000-0000780A0000}"/>
    <cellStyle name="20% - Accent1 3 3 2 10" xfId="52424" xr:uid="{00000000-0005-0000-0000-0000790A0000}"/>
    <cellStyle name="20% - Accent1 3 3 2 2" xfId="7728" xr:uid="{00000000-0005-0000-0000-00007A0A0000}"/>
    <cellStyle name="20% - Accent1 3 3 2 2 2" xfId="27835" xr:uid="{00000000-0005-0000-0000-00007B0A0000}"/>
    <cellStyle name="20% - Accent1 3 3 2 3" xfId="13204" xr:uid="{00000000-0005-0000-0000-00007C0A0000}"/>
    <cellStyle name="20% - Accent1 3 3 2 4" xfId="18680" xr:uid="{00000000-0005-0000-0000-00007D0A0000}"/>
    <cellStyle name="20% - Accent1 3 3 2 5" xfId="24156" xr:uid="{00000000-0005-0000-0000-00007E0A0000}"/>
    <cellStyle name="20% - Accent1 3 3 2 6" xfId="27834" xr:uid="{00000000-0005-0000-0000-00007F0A0000}"/>
    <cellStyle name="20% - Accent1 3 3 2 7" xfId="35952" xr:uid="{00000000-0005-0000-0000-0000800A0000}"/>
    <cellStyle name="20% - Accent1 3 3 2 8" xfId="41429" xr:uid="{00000000-0005-0000-0000-0000810A0000}"/>
    <cellStyle name="20% - Accent1 3 3 2 9" xfId="46906" xr:uid="{00000000-0005-0000-0000-0000820A0000}"/>
    <cellStyle name="20% - Accent1 3 3 3" xfId="4020" xr:uid="{00000000-0005-0000-0000-0000830A0000}"/>
    <cellStyle name="20% - Accent1 3 3 3 10" xfId="54196" xr:uid="{00000000-0005-0000-0000-0000840A0000}"/>
    <cellStyle name="20% - Accent1 3 3 3 2" xfId="9500" xr:uid="{00000000-0005-0000-0000-0000850A0000}"/>
    <cellStyle name="20% - Accent1 3 3 3 3" xfId="14976" xr:uid="{00000000-0005-0000-0000-0000860A0000}"/>
    <cellStyle name="20% - Accent1 3 3 3 4" xfId="20452" xr:uid="{00000000-0005-0000-0000-0000870A0000}"/>
    <cellStyle name="20% - Accent1 3 3 3 5" xfId="25928" xr:uid="{00000000-0005-0000-0000-0000880A0000}"/>
    <cellStyle name="20% - Accent1 3 3 3 6" xfId="27836" xr:uid="{00000000-0005-0000-0000-0000890A0000}"/>
    <cellStyle name="20% - Accent1 3 3 3 7" xfId="37724" xr:uid="{00000000-0005-0000-0000-00008A0A0000}"/>
    <cellStyle name="20% - Accent1 3 3 3 8" xfId="43201" xr:uid="{00000000-0005-0000-0000-00008B0A0000}"/>
    <cellStyle name="20% - Accent1 3 3 3 9" xfId="48678" xr:uid="{00000000-0005-0000-0000-00008C0A0000}"/>
    <cellStyle name="20% - Accent1 3 3 4" xfId="5698" xr:uid="{00000000-0005-0000-0000-00008D0A0000}"/>
    <cellStyle name="20% - Accent1 3 3 5" xfId="11178" xr:uid="{00000000-0005-0000-0000-00008E0A0000}"/>
    <cellStyle name="20% - Accent1 3 3 6" xfId="16654" xr:uid="{00000000-0005-0000-0000-00008F0A0000}"/>
    <cellStyle name="20% - Accent1 3 3 7" xfId="22130" xr:uid="{00000000-0005-0000-0000-0000900A0000}"/>
    <cellStyle name="20% - Accent1 3 3 8" xfId="27833" xr:uid="{00000000-0005-0000-0000-0000910A0000}"/>
    <cellStyle name="20% - Accent1 3 3 9" xfId="33925" xr:uid="{00000000-0005-0000-0000-0000920A0000}"/>
    <cellStyle name="20% - Accent1 3 4" xfId="659" xr:uid="{00000000-0005-0000-0000-0000930A0000}"/>
    <cellStyle name="20% - Accent1 3 4 10" xfId="39403" xr:uid="{00000000-0005-0000-0000-0000940A0000}"/>
    <cellStyle name="20% - Accent1 3 4 11" xfId="44880" xr:uid="{00000000-0005-0000-0000-0000950A0000}"/>
    <cellStyle name="20% - Accent1 3 4 12" xfId="50358" xr:uid="{00000000-0005-0000-0000-0000960A0000}"/>
    <cellStyle name="20% - Accent1 3 4 2" xfId="2420" xr:uid="{00000000-0005-0000-0000-0000970A0000}"/>
    <cellStyle name="20% - Accent1 3 4 2 10" xfId="52596" xr:uid="{00000000-0005-0000-0000-0000980A0000}"/>
    <cellStyle name="20% - Accent1 3 4 2 2" xfId="7900" xr:uid="{00000000-0005-0000-0000-0000990A0000}"/>
    <cellStyle name="20% - Accent1 3 4 2 2 2" xfId="27839" xr:uid="{00000000-0005-0000-0000-00009A0A0000}"/>
    <cellStyle name="20% - Accent1 3 4 2 3" xfId="13376" xr:uid="{00000000-0005-0000-0000-00009B0A0000}"/>
    <cellStyle name="20% - Accent1 3 4 2 4" xfId="18852" xr:uid="{00000000-0005-0000-0000-00009C0A0000}"/>
    <cellStyle name="20% - Accent1 3 4 2 5" xfId="24328" xr:uid="{00000000-0005-0000-0000-00009D0A0000}"/>
    <cellStyle name="20% - Accent1 3 4 2 6" xfId="27838" xr:uid="{00000000-0005-0000-0000-00009E0A0000}"/>
    <cellStyle name="20% - Accent1 3 4 2 7" xfId="36124" xr:uid="{00000000-0005-0000-0000-00009F0A0000}"/>
    <cellStyle name="20% - Accent1 3 4 2 8" xfId="41601" xr:uid="{00000000-0005-0000-0000-0000A00A0000}"/>
    <cellStyle name="20% - Accent1 3 4 2 9" xfId="47078" xr:uid="{00000000-0005-0000-0000-0000A10A0000}"/>
    <cellStyle name="20% - Accent1 3 4 3" xfId="4192" xr:uid="{00000000-0005-0000-0000-0000A20A0000}"/>
    <cellStyle name="20% - Accent1 3 4 3 10" xfId="54368" xr:uid="{00000000-0005-0000-0000-0000A30A0000}"/>
    <cellStyle name="20% - Accent1 3 4 3 2" xfId="9672" xr:uid="{00000000-0005-0000-0000-0000A40A0000}"/>
    <cellStyle name="20% - Accent1 3 4 3 3" xfId="15148" xr:uid="{00000000-0005-0000-0000-0000A50A0000}"/>
    <cellStyle name="20% - Accent1 3 4 3 4" xfId="20624" xr:uid="{00000000-0005-0000-0000-0000A60A0000}"/>
    <cellStyle name="20% - Accent1 3 4 3 5" xfId="26100" xr:uid="{00000000-0005-0000-0000-0000A70A0000}"/>
    <cellStyle name="20% - Accent1 3 4 3 6" xfId="27840" xr:uid="{00000000-0005-0000-0000-0000A80A0000}"/>
    <cellStyle name="20% - Accent1 3 4 3 7" xfId="37896" xr:uid="{00000000-0005-0000-0000-0000A90A0000}"/>
    <cellStyle name="20% - Accent1 3 4 3 8" xfId="43373" xr:uid="{00000000-0005-0000-0000-0000AA0A0000}"/>
    <cellStyle name="20% - Accent1 3 4 3 9" xfId="48850" xr:uid="{00000000-0005-0000-0000-0000AB0A0000}"/>
    <cellStyle name="20% - Accent1 3 4 4" xfId="5699" xr:uid="{00000000-0005-0000-0000-0000AC0A0000}"/>
    <cellStyle name="20% - Accent1 3 4 5" xfId="11179" xr:uid="{00000000-0005-0000-0000-0000AD0A0000}"/>
    <cellStyle name="20% - Accent1 3 4 6" xfId="16655" xr:uid="{00000000-0005-0000-0000-0000AE0A0000}"/>
    <cellStyle name="20% - Accent1 3 4 7" xfId="22131" xr:uid="{00000000-0005-0000-0000-0000AF0A0000}"/>
    <cellStyle name="20% - Accent1 3 4 8" xfId="27837" xr:uid="{00000000-0005-0000-0000-0000B00A0000}"/>
    <cellStyle name="20% - Accent1 3 4 9" xfId="33926" xr:uid="{00000000-0005-0000-0000-0000B10A0000}"/>
    <cellStyle name="20% - Accent1 3 5" xfId="831" xr:uid="{00000000-0005-0000-0000-0000B20A0000}"/>
    <cellStyle name="20% - Accent1 3 5 10" xfId="39404" xr:uid="{00000000-0005-0000-0000-0000B30A0000}"/>
    <cellStyle name="20% - Accent1 3 5 11" xfId="44881" xr:uid="{00000000-0005-0000-0000-0000B40A0000}"/>
    <cellStyle name="20% - Accent1 3 5 12" xfId="50359" xr:uid="{00000000-0005-0000-0000-0000B50A0000}"/>
    <cellStyle name="20% - Accent1 3 5 2" xfId="2592" xr:uid="{00000000-0005-0000-0000-0000B60A0000}"/>
    <cellStyle name="20% - Accent1 3 5 2 10" xfId="52768" xr:uid="{00000000-0005-0000-0000-0000B70A0000}"/>
    <cellStyle name="20% - Accent1 3 5 2 2" xfId="8072" xr:uid="{00000000-0005-0000-0000-0000B80A0000}"/>
    <cellStyle name="20% - Accent1 3 5 2 2 2" xfId="27843" xr:uid="{00000000-0005-0000-0000-0000B90A0000}"/>
    <cellStyle name="20% - Accent1 3 5 2 3" xfId="13548" xr:uid="{00000000-0005-0000-0000-0000BA0A0000}"/>
    <cellStyle name="20% - Accent1 3 5 2 4" xfId="19024" xr:uid="{00000000-0005-0000-0000-0000BB0A0000}"/>
    <cellStyle name="20% - Accent1 3 5 2 5" xfId="24500" xr:uid="{00000000-0005-0000-0000-0000BC0A0000}"/>
    <cellStyle name="20% - Accent1 3 5 2 6" xfId="27842" xr:uid="{00000000-0005-0000-0000-0000BD0A0000}"/>
    <cellStyle name="20% - Accent1 3 5 2 7" xfId="36296" xr:uid="{00000000-0005-0000-0000-0000BE0A0000}"/>
    <cellStyle name="20% - Accent1 3 5 2 8" xfId="41773" xr:uid="{00000000-0005-0000-0000-0000BF0A0000}"/>
    <cellStyle name="20% - Accent1 3 5 2 9" xfId="47250" xr:uid="{00000000-0005-0000-0000-0000C00A0000}"/>
    <cellStyle name="20% - Accent1 3 5 3" xfId="4364" xr:uid="{00000000-0005-0000-0000-0000C10A0000}"/>
    <cellStyle name="20% - Accent1 3 5 3 10" xfId="54540" xr:uid="{00000000-0005-0000-0000-0000C20A0000}"/>
    <cellStyle name="20% - Accent1 3 5 3 2" xfId="9844" xr:uid="{00000000-0005-0000-0000-0000C30A0000}"/>
    <cellStyle name="20% - Accent1 3 5 3 3" xfId="15320" xr:uid="{00000000-0005-0000-0000-0000C40A0000}"/>
    <cellStyle name="20% - Accent1 3 5 3 4" xfId="20796" xr:uid="{00000000-0005-0000-0000-0000C50A0000}"/>
    <cellStyle name="20% - Accent1 3 5 3 5" xfId="26272" xr:uid="{00000000-0005-0000-0000-0000C60A0000}"/>
    <cellStyle name="20% - Accent1 3 5 3 6" xfId="27844" xr:uid="{00000000-0005-0000-0000-0000C70A0000}"/>
    <cellStyle name="20% - Accent1 3 5 3 7" xfId="38068" xr:uid="{00000000-0005-0000-0000-0000C80A0000}"/>
    <cellStyle name="20% - Accent1 3 5 3 8" xfId="43545" xr:uid="{00000000-0005-0000-0000-0000C90A0000}"/>
    <cellStyle name="20% - Accent1 3 5 3 9" xfId="49022" xr:uid="{00000000-0005-0000-0000-0000CA0A0000}"/>
    <cellStyle name="20% - Accent1 3 5 4" xfId="5700" xr:uid="{00000000-0005-0000-0000-0000CB0A0000}"/>
    <cellStyle name="20% - Accent1 3 5 5" xfId="11180" xr:uid="{00000000-0005-0000-0000-0000CC0A0000}"/>
    <cellStyle name="20% - Accent1 3 5 6" xfId="16656" xr:uid="{00000000-0005-0000-0000-0000CD0A0000}"/>
    <cellStyle name="20% - Accent1 3 5 7" xfId="22132" xr:uid="{00000000-0005-0000-0000-0000CE0A0000}"/>
    <cellStyle name="20% - Accent1 3 5 8" xfId="27841" xr:uid="{00000000-0005-0000-0000-0000CF0A0000}"/>
    <cellStyle name="20% - Accent1 3 5 9" xfId="33927" xr:uid="{00000000-0005-0000-0000-0000D00A0000}"/>
    <cellStyle name="20% - Accent1 3 6" xfId="1037" xr:uid="{00000000-0005-0000-0000-0000D10A0000}"/>
    <cellStyle name="20% - Accent1 3 6 10" xfId="39405" xr:uid="{00000000-0005-0000-0000-0000D20A0000}"/>
    <cellStyle name="20% - Accent1 3 6 11" xfId="44882" xr:uid="{00000000-0005-0000-0000-0000D30A0000}"/>
    <cellStyle name="20% - Accent1 3 6 12" xfId="50360" xr:uid="{00000000-0005-0000-0000-0000D40A0000}"/>
    <cellStyle name="20% - Accent1 3 6 2" xfId="2798" xr:uid="{00000000-0005-0000-0000-0000D50A0000}"/>
    <cellStyle name="20% - Accent1 3 6 2 10" xfId="52974" xr:uid="{00000000-0005-0000-0000-0000D60A0000}"/>
    <cellStyle name="20% - Accent1 3 6 2 2" xfId="8278" xr:uid="{00000000-0005-0000-0000-0000D70A0000}"/>
    <cellStyle name="20% - Accent1 3 6 2 2 2" xfId="27847" xr:uid="{00000000-0005-0000-0000-0000D80A0000}"/>
    <cellStyle name="20% - Accent1 3 6 2 3" xfId="13754" xr:uid="{00000000-0005-0000-0000-0000D90A0000}"/>
    <cellStyle name="20% - Accent1 3 6 2 4" xfId="19230" xr:uid="{00000000-0005-0000-0000-0000DA0A0000}"/>
    <cellStyle name="20% - Accent1 3 6 2 5" xfId="24706" xr:uid="{00000000-0005-0000-0000-0000DB0A0000}"/>
    <cellStyle name="20% - Accent1 3 6 2 6" xfId="27846" xr:uid="{00000000-0005-0000-0000-0000DC0A0000}"/>
    <cellStyle name="20% - Accent1 3 6 2 7" xfId="36502" xr:uid="{00000000-0005-0000-0000-0000DD0A0000}"/>
    <cellStyle name="20% - Accent1 3 6 2 8" xfId="41979" xr:uid="{00000000-0005-0000-0000-0000DE0A0000}"/>
    <cellStyle name="20% - Accent1 3 6 2 9" xfId="47456" xr:uid="{00000000-0005-0000-0000-0000DF0A0000}"/>
    <cellStyle name="20% - Accent1 3 6 3" xfId="4570" xr:uid="{00000000-0005-0000-0000-0000E00A0000}"/>
    <cellStyle name="20% - Accent1 3 6 3 10" xfId="54746" xr:uid="{00000000-0005-0000-0000-0000E10A0000}"/>
    <cellStyle name="20% - Accent1 3 6 3 2" xfId="10050" xr:uid="{00000000-0005-0000-0000-0000E20A0000}"/>
    <cellStyle name="20% - Accent1 3 6 3 3" xfId="15526" xr:uid="{00000000-0005-0000-0000-0000E30A0000}"/>
    <cellStyle name="20% - Accent1 3 6 3 4" xfId="21002" xr:uid="{00000000-0005-0000-0000-0000E40A0000}"/>
    <cellStyle name="20% - Accent1 3 6 3 5" xfId="26478" xr:uid="{00000000-0005-0000-0000-0000E50A0000}"/>
    <cellStyle name="20% - Accent1 3 6 3 6" xfId="27848" xr:uid="{00000000-0005-0000-0000-0000E60A0000}"/>
    <cellStyle name="20% - Accent1 3 6 3 7" xfId="38274" xr:uid="{00000000-0005-0000-0000-0000E70A0000}"/>
    <cellStyle name="20% - Accent1 3 6 3 8" xfId="43751" xr:uid="{00000000-0005-0000-0000-0000E80A0000}"/>
    <cellStyle name="20% - Accent1 3 6 3 9" xfId="49228" xr:uid="{00000000-0005-0000-0000-0000E90A0000}"/>
    <cellStyle name="20% - Accent1 3 6 4" xfId="5701" xr:uid="{00000000-0005-0000-0000-0000EA0A0000}"/>
    <cellStyle name="20% - Accent1 3 6 5" xfId="11181" xr:uid="{00000000-0005-0000-0000-0000EB0A0000}"/>
    <cellStyle name="20% - Accent1 3 6 6" xfId="16657" xr:uid="{00000000-0005-0000-0000-0000EC0A0000}"/>
    <cellStyle name="20% - Accent1 3 6 7" xfId="22133" xr:uid="{00000000-0005-0000-0000-0000ED0A0000}"/>
    <cellStyle name="20% - Accent1 3 6 8" xfId="27845" xr:uid="{00000000-0005-0000-0000-0000EE0A0000}"/>
    <cellStyle name="20% - Accent1 3 6 9" xfId="33928" xr:uid="{00000000-0005-0000-0000-0000EF0A0000}"/>
    <cellStyle name="20% - Accent1 3 7" xfId="1209" xr:uid="{00000000-0005-0000-0000-0000F00A0000}"/>
    <cellStyle name="20% - Accent1 3 7 10" xfId="39406" xr:uid="{00000000-0005-0000-0000-0000F10A0000}"/>
    <cellStyle name="20% - Accent1 3 7 11" xfId="44883" xr:uid="{00000000-0005-0000-0000-0000F20A0000}"/>
    <cellStyle name="20% - Accent1 3 7 12" xfId="50361" xr:uid="{00000000-0005-0000-0000-0000F30A0000}"/>
    <cellStyle name="20% - Accent1 3 7 2" xfId="2970" xr:uid="{00000000-0005-0000-0000-0000F40A0000}"/>
    <cellStyle name="20% - Accent1 3 7 2 10" xfId="53146" xr:uid="{00000000-0005-0000-0000-0000F50A0000}"/>
    <cellStyle name="20% - Accent1 3 7 2 2" xfId="8450" xr:uid="{00000000-0005-0000-0000-0000F60A0000}"/>
    <cellStyle name="20% - Accent1 3 7 2 2 2" xfId="27851" xr:uid="{00000000-0005-0000-0000-0000F70A0000}"/>
    <cellStyle name="20% - Accent1 3 7 2 3" xfId="13926" xr:uid="{00000000-0005-0000-0000-0000F80A0000}"/>
    <cellStyle name="20% - Accent1 3 7 2 4" xfId="19402" xr:uid="{00000000-0005-0000-0000-0000F90A0000}"/>
    <cellStyle name="20% - Accent1 3 7 2 5" xfId="24878" xr:uid="{00000000-0005-0000-0000-0000FA0A0000}"/>
    <cellStyle name="20% - Accent1 3 7 2 6" xfId="27850" xr:uid="{00000000-0005-0000-0000-0000FB0A0000}"/>
    <cellStyle name="20% - Accent1 3 7 2 7" xfId="36674" xr:uid="{00000000-0005-0000-0000-0000FC0A0000}"/>
    <cellStyle name="20% - Accent1 3 7 2 8" xfId="42151" xr:uid="{00000000-0005-0000-0000-0000FD0A0000}"/>
    <cellStyle name="20% - Accent1 3 7 2 9" xfId="47628" xr:uid="{00000000-0005-0000-0000-0000FE0A0000}"/>
    <cellStyle name="20% - Accent1 3 7 3" xfId="4742" xr:uid="{00000000-0005-0000-0000-0000FF0A0000}"/>
    <cellStyle name="20% - Accent1 3 7 3 10" xfId="54918" xr:uid="{00000000-0005-0000-0000-0000000B0000}"/>
    <cellStyle name="20% - Accent1 3 7 3 2" xfId="10222" xr:uid="{00000000-0005-0000-0000-0000010B0000}"/>
    <cellStyle name="20% - Accent1 3 7 3 3" xfId="15698" xr:uid="{00000000-0005-0000-0000-0000020B0000}"/>
    <cellStyle name="20% - Accent1 3 7 3 4" xfId="21174" xr:uid="{00000000-0005-0000-0000-0000030B0000}"/>
    <cellStyle name="20% - Accent1 3 7 3 5" xfId="26650" xr:uid="{00000000-0005-0000-0000-0000040B0000}"/>
    <cellStyle name="20% - Accent1 3 7 3 6" xfId="27852" xr:uid="{00000000-0005-0000-0000-0000050B0000}"/>
    <cellStyle name="20% - Accent1 3 7 3 7" xfId="38446" xr:uid="{00000000-0005-0000-0000-0000060B0000}"/>
    <cellStyle name="20% - Accent1 3 7 3 8" xfId="43923" xr:uid="{00000000-0005-0000-0000-0000070B0000}"/>
    <cellStyle name="20% - Accent1 3 7 3 9" xfId="49400" xr:uid="{00000000-0005-0000-0000-0000080B0000}"/>
    <cellStyle name="20% - Accent1 3 7 4" xfId="5702" xr:uid="{00000000-0005-0000-0000-0000090B0000}"/>
    <cellStyle name="20% - Accent1 3 7 5" xfId="11182" xr:uid="{00000000-0005-0000-0000-00000A0B0000}"/>
    <cellStyle name="20% - Accent1 3 7 6" xfId="16658" xr:uid="{00000000-0005-0000-0000-00000B0B0000}"/>
    <cellStyle name="20% - Accent1 3 7 7" xfId="22134" xr:uid="{00000000-0005-0000-0000-00000C0B0000}"/>
    <cellStyle name="20% - Accent1 3 7 8" xfId="27849" xr:uid="{00000000-0005-0000-0000-00000D0B0000}"/>
    <cellStyle name="20% - Accent1 3 7 9" xfId="33929" xr:uid="{00000000-0005-0000-0000-00000E0B0000}"/>
    <cellStyle name="20% - Accent1 3 8" xfId="1381" xr:uid="{00000000-0005-0000-0000-00000F0B0000}"/>
    <cellStyle name="20% - Accent1 3 8 10" xfId="39407" xr:uid="{00000000-0005-0000-0000-0000100B0000}"/>
    <cellStyle name="20% - Accent1 3 8 11" xfId="44884" xr:uid="{00000000-0005-0000-0000-0000110B0000}"/>
    <cellStyle name="20% - Accent1 3 8 12" xfId="50362" xr:uid="{00000000-0005-0000-0000-0000120B0000}"/>
    <cellStyle name="20% - Accent1 3 8 2" xfId="3142" xr:uid="{00000000-0005-0000-0000-0000130B0000}"/>
    <cellStyle name="20% - Accent1 3 8 2 10" xfId="53318" xr:uid="{00000000-0005-0000-0000-0000140B0000}"/>
    <cellStyle name="20% - Accent1 3 8 2 2" xfId="8622" xr:uid="{00000000-0005-0000-0000-0000150B0000}"/>
    <cellStyle name="20% - Accent1 3 8 2 3" xfId="14098" xr:uid="{00000000-0005-0000-0000-0000160B0000}"/>
    <cellStyle name="20% - Accent1 3 8 2 4" xfId="19574" xr:uid="{00000000-0005-0000-0000-0000170B0000}"/>
    <cellStyle name="20% - Accent1 3 8 2 5" xfId="25050" xr:uid="{00000000-0005-0000-0000-0000180B0000}"/>
    <cellStyle name="20% - Accent1 3 8 2 6" xfId="27854" xr:uid="{00000000-0005-0000-0000-0000190B0000}"/>
    <cellStyle name="20% - Accent1 3 8 2 7" xfId="36846" xr:uid="{00000000-0005-0000-0000-00001A0B0000}"/>
    <cellStyle name="20% - Accent1 3 8 2 8" xfId="42323" xr:uid="{00000000-0005-0000-0000-00001B0B0000}"/>
    <cellStyle name="20% - Accent1 3 8 2 9" xfId="47800" xr:uid="{00000000-0005-0000-0000-00001C0B0000}"/>
    <cellStyle name="20% - Accent1 3 8 3" xfId="4914" xr:uid="{00000000-0005-0000-0000-00001D0B0000}"/>
    <cellStyle name="20% - Accent1 3 8 3 2" xfId="10394" xr:uid="{00000000-0005-0000-0000-00001E0B0000}"/>
    <cellStyle name="20% - Accent1 3 8 3 3" xfId="15870" xr:uid="{00000000-0005-0000-0000-00001F0B0000}"/>
    <cellStyle name="20% - Accent1 3 8 3 4" xfId="21346" xr:uid="{00000000-0005-0000-0000-0000200B0000}"/>
    <cellStyle name="20% - Accent1 3 8 3 5" xfId="26822" xr:uid="{00000000-0005-0000-0000-0000210B0000}"/>
    <cellStyle name="20% - Accent1 3 8 3 6" xfId="38618" xr:uid="{00000000-0005-0000-0000-0000220B0000}"/>
    <cellStyle name="20% - Accent1 3 8 3 7" xfId="44095" xr:uid="{00000000-0005-0000-0000-0000230B0000}"/>
    <cellStyle name="20% - Accent1 3 8 3 8" xfId="49572" xr:uid="{00000000-0005-0000-0000-0000240B0000}"/>
    <cellStyle name="20% - Accent1 3 8 3 9" xfId="55090" xr:uid="{00000000-0005-0000-0000-0000250B0000}"/>
    <cellStyle name="20% - Accent1 3 8 4" xfId="5703" xr:uid="{00000000-0005-0000-0000-0000260B0000}"/>
    <cellStyle name="20% - Accent1 3 8 5" xfId="11183" xr:uid="{00000000-0005-0000-0000-0000270B0000}"/>
    <cellStyle name="20% - Accent1 3 8 6" xfId="16659" xr:uid="{00000000-0005-0000-0000-0000280B0000}"/>
    <cellStyle name="20% - Accent1 3 8 7" xfId="22135" xr:uid="{00000000-0005-0000-0000-0000290B0000}"/>
    <cellStyle name="20% - Accent1 3 8 8" xfId="27853" xr:uid="{00000000-0005-0000-0000-00002A0B0000}"/>
    <cellStyle name="20% - Accent1 3 8 9" xfId="33930" xr:uid="{00000000-0005-0000-0000-00002B0B0000}"/>
    <cellStyle name="20% - Accent1 3 9" xfId="1553" xr:uid="{00000000-0005-0000-0000-00002C0B0000}"/>
    <cellStyle name="20% - Accent1 3 9 10" xfId="39408" xr:uid="{00000000-0005-0000-0000-00002D0B0000}"/>
    <cellStyle name="20% - Accent1 3 9 11" xfId="44885" xr:uid="{00000000-0005-0000-0000-00002E0B0000}"/>
    <cellStyle name="20% - Accent1 3 9 12" xfId="50363" xr:uid="{00000000-0005-0000-0000-00002F0B0000}"/>
    <cellStyle name="20% - Accent1 3 9 2" xfId="3314" xr:uid="{00000000-0005-0000-0000-0000300B0000}"/>
    <cellStyle name="20% - Accent1 3 9 2 2" xfId="8794" xr:uid="{00000000-0005-0000-0000-0000310B0000}"/>
    <cellStyle name="20% - Accent1 3 9 2 3" xfId="14270" xr:uid="{00000000-0005-0000-0000-0000320B0000}"/>
    <cellStyle name="20% - Accent1 3 9 2 4" xfId="19746" xr:uid="{00000000-0005-0000-0000-0000330B0000}"/>
    <cellStyle name="20% - Accent1 3 9 2 5" xfId="25222" xr:uid="{00000000-0005-0000-0000-0000340B0000}"/>
    <cellStyle name="20% - Accent1 3 9 2 6" xfId="37018" xr:uid="{00000000-0005-0000-0000-0000350B0000}"/>
    <cellStyle name="20% - Accent1 3 9 2 7" xfId="42495" xr:uid="{00000000-0005-0000-0000-0000360B0000}"/>
    <cellStyle name="20% - Accent1 3 9 2 8" xfId="47972" xr:uid="{00000000-0005-0000-0000-0000370B0000}"/>
    <cellStyle name="20% - Accent1 3 9 2 9" xfId="53490" xr:uid="{00000000-0005-0000-0000-0000380B0000}"/>
    <cellStyle name="20% - Accent1 3 9 3" xfId="5086" xr:uid="{00000000-0005-0000-0000-0000390B0000}"/>
    <cellStyle name="20% - Accent1 3 9 3 2" xfId="10566" xr:uid="{00000000-0005-0000-0000-00003A0B0000}"/>
    <cellStyle name="20% - Accent1 3 9 3 3" xfId="16042" xr:uid="{00000000-0005-0000-0000-00003B0B0000}"/>
    <cellStyle name="20% - Accent1 3 9 3 4" xfId="21518" xr:uid="{00000000-0005-0000-0000-00003C0B0000}"/>
    <cellStyle name="20% - Accent1 3 9 3 5" xfId="26994" xr:uid="{00000000-0005-0000-0000-00003D0B0000}"/>
    <cellStyle name="20% - Accent1 3 9 3 6" xfId="38790" xr:uid="{00000000-0005-0000-0000-00003E0B0000}"/>
    <cellStyle name="20% - Accent1 3 9 3 7" xfId="44267" xr:uid="{00000000-0005-0000-0000-00003F0B0000}"/>
    <cellStyle name="20% - Accent1 3 9 3 8" xfId="49744" xr:uid="{00000000-0005-0000-0000-0000400B0000}"/>
    <cellStyle name="20% - Accent1 3 9 3 9" xfId="55262" xr:uid="{00000000-0005-0000-0000-0000410B0000}"/>
    <cellStyle name="20% - Accent1 3 9 4" xfId="5704" xr:uid="{00000000-0005-0000-0000-0000420B0000}"/>
    <cellStyle name="20% - Accent1 3 9 5" xfId="11184" xr:uid="{00000000-0005-0000-0000-0000430B0000}"/>
    <cellStyle name="20% - Accent1 3 9 6" xfId="16660" xr:uid="{00000000-0005-0000-0000-0000440B0000}"/>
    <cellStyle name="20% - Accent1 3 9 7" xfId="22136" xr:uid="{00000000-0005-0000-0000-0000450B0000}"/>
    <cellStyle name="20% - Accent1 3 9 8" xfId="27855" xr:uid="{00000000-0005-0000-0000-0000460B0000}"/>
    <cellStyle name="20% - Accent1 3 9 9" xfId="33931" xr:uid="{00000000-0005-0000-0000-0000470B0000}"/>
    <cellStyle name="20% - Accent1 4" xfId="287" xr:uid="{00000000-0005-0000-0000-0000480B0000}"/>
    <cellStyle name="20% - Accent1 4 10" xfId="1916" xr:uid="{00000000-0005-0000-0000-0000490B0000}"/>
    <cellStyle name="20% - Accent1 4 10 10" xfId="52093" xr:uid="{00000000-0005-0000-0000-00004A0B0000}"/>
    <cellStyle name="20% - Accent1 4 10 2" xfId="5448" xr:uid="{00000000-0005-0000-0000-00004B0B0000}"/>
    <cellStyle name="20% - Accent1 4 10 2 2" xfId="10928" xr:uid="{00000000-0005-0000-0000-00004C0B0000}"/>
    <cellStyle name="20% - Accent1 4 10 2 3" xfId="16404" xr:uid="{00000000-0005-0000-0000-00004D0B0000}"/>
    <cellStyle name="20% - Accent1 4 10 2 4" xfId="21880" xr:uid="{00000000-0005-0000-0000-00004E0B0000}"/>
    <cellStyle name="20% - Accent1 4 10 2 5" xfId="27356" xr:uid="{00000000-0005-0000-0000-00004F0B0000}"/>
    <cellStyle name="20% - Accent1 4 10 2 6" xfId="39152" xr:uid="{00000000-0005-0000-0000-0000500B0000}"/>
    <cellStyle name="20% - Accent1 4 10 2 7" xfId="44629" xr:uid="{00000000-0005-0000-0000-0000510B0000}"/>
    <cellStyle name="20% - Accent1 4 10 2 8" xfId="50106" xr:uid="{00000000-0005-0000-0000-0000520B0000}"/>
    <cellStyle name="20% - Accent1 4 10 2 9" xfId="55624" xr:uid="{00000000-0005-0000-0000-0000530B0000}"/>
    <cellStyle name="20% - Accent1 4 10 3" xfId="7397" xr:uid="{00000000-0005-0000-0000-0000540B0000}"/>
    <cellStyle name="20% - Accent1 4 10 4" xfId="12873" xr:uid="{00000000-0005-0000-0000-0000550B0000}"/>
    <cellStyle name="20% - Accent1 4 10 5" xfId="18349" xr:uid="{00000000-0005-0000-0000-0000560B0000}"/>
    <cellStyle name="20% - Accent1 4 10 6" xfId="23825" xr:uid="{00000000-0005-0000-0000-0000570B0000}"/>
    <cellStyle name="20% - Accent1 4 10 7" xfId="35621" xr:uid="{00000000-0005-0000-0000-0000580B0000}"/>
    <cellStyle name="20% - Accent1 4 10 8" xfId="41098" xr:uid="{00000000-0005-0000-0000-0000590B0000}"/>
    <cellStyle name="20% - Accent1 4 10 9" xfId="46575" xr:uid="{00000000-0005-0000-0000-00005A0B0000}"/>
    <cellStyle name="20% - Accent1 4 11" xfId="3849" xr:uid="{00000000-0005-0000-0000-00005B0B0000}"/>
    <cellStyle name="20% - Accent1 4 11 2" xfId="9329" xr:uid="{00000000-0005-0000-0000-00005C0B0000}"/>
    <cellStyle name="20% - Accent1 4 11 3" xfId="14805" xr:uid="{00000000-0005-0000-0000-00005D0B0000}"/>
    <cellStyle name="20% - Accent1 4 11 4" xfId="20281" xr:uid="{00000000-0005-0000-0000-00005E0B0000}"/>
    <cellStyle name="20% - Accent1 4 11 5" xfId="25757" xr:uid="{00000000-0005-0000-0000-00005F0B0000}"/>
    <cellStyle name="20% - Accent1 4 11 6" xfId="37553" xr:uid="{00000000-0005-0000-0000-0000600B0000}"/>
    <cellStyle name="20% - Accent1 4 11 7" xfId="43030" xr:uid="{00000000-0005-0000-0000-0000610B0000}"/>
    <cellStyle name="20% - Accent1 4 11 8" xfId="48507" xr:uid="{00000000-0005-0000-0000-0000620B0000}"/>
    <cellStyle name="20% - Accent1 4 11 9" xfId="54025" xr:uid="{00000000-0005-0000-0000-0000630B0000}"/>
    <cellStyle name="20% - Accent1 4 12" xfId="5705" xr:uid="{00000000-0005-0000-0000-0000640B0000}"/>
    <cellStyle name="20% - Accent1 4 13" xfId="11185" xr:uid="{00000000-0005-0000-0000-0000650B0000}"/>
    <cellStyle name="20% - Accent1 4 14" xfId="16661" xr:uid="{00000000-0005-0000-0000-0000660B0000}"/>
    <cellStyle name="20% - Accent1 4 15" xfId="22137" xr:uid="{00000000-0005-0000-0000-0000670B0000}"/>
    <cellStyle name="20% - Accent1 4 16" xfId="27856" xr:uid="{00000000-0005-0000-0000-0000680B0000}"/>
    <cellStyle name="20% - Accent1 4 17" xfId="33932" xr:uid="{00000000-0005-0000-0000-0000690B0000}"/>
    <cellStyle name="20% - Accent1 4 18" xfId="39409" xr:uid="{00000000-0005-0000-0000-00006A0B0000}"/>
    <cellStyle name="20% - Accent1 4 19" xfId="44886" xr:uid="{00000000-0005-0000-0000-00006B0B0000}"/>
    <cellStyle name="20% - Accent1 4 2" xfId="488" xr:uid="{00000000-0005-0000-0000-00006C0B0000}"/>
    <cellStyle name="20% - Accent1 4 2 10" xfId="39410" xr:uid="{00000000-0005-0000-0000-00006D0B0000}"/>
    <cellStyle name="20% - Accent1 4 2 11" xfId="44887" xr:uid="{00000000-0005-0000-0000-00006E0B0000}"/>
    <cellStyle name="20% - Accent1 4 2 12" xfId="50365" xr:uid="{00000000-0005-0000-0000-00006F0B0000}"/>
    <cellStyle name="20% - Accent1 4 2 2" xfId="2249" xr:uid="{00000000-0005-0000-0000-0000700B0000}"/>
    <cellStyle name="20% - Accent1 4 2 2 10" xfId="52425" xr:uid="{00000000-0005-0000-0000-0000710B0000}"/>
    <cellStyle name="20% - Accent1 4 2 2 2" xfId="7729" xr:uid="{00000000-0005-0000-0000-0000720B0000}"/>
    <cellStyle name="20% - Accent1 4 2 2 2 2" xfId="27859" xr:uid="{00000000-0005-0000-0000-0000730B0000}"/>
    <cellStyle name="20% - Accent1 4 2 2 3" xfId="13205" xr:uid="{00000000-0005-0000-0000-0000740B0000}"/>
    <cellStyle name="20% - Accent1 4 2 2 4" xfId="18681" xr:uid="{00000000-0005-0000-0000-0000750B0000}"/>
    <cellStyle name="20% - Accent1 4 2 2 5" xfId="24157" xr:uid="{00000000-0005-0000-0000-0000760B0000}"/>
    <cellStyle name="20% - Accent1 4 2 2 6" xfId="27858" xr:uid="{00000000-0005-0000-0000-0000770B0000}"/>
    <cellStyle name="20% - Accent1 4 2 2 7" xfId="35953" xr:uid="{00000000-0005-0000-0000-0000780B0000}"/>
    <cellStyle name="20% - Accent1 4 2 2 8" xfId="41430" xr:uid="{00000000-0005-0000-0000-0000790B0000}"/>
    <cellStyle name="20% - Accent1 4 2 2 9" xfId="46907" xr:uid="{00000000-0005-0000-0000-00007A0B0000}"/>
    <cellStyle name="20% - Accent1 4 2 3" xfId="4021" xr:uid="{00000000-0005-0000-0000-00007B0B0000}"/>
    <cellStyle name="20% - Accent1 4 2 3 10" xfId="54197" xr:uid="{00000000-0005-0000-0000-00007C0B0000}"/>
    <cellStyle name="20% - Accent1 4 2 3 2" xfId="9501" xr:uid="{00000000-0005-0000-0000-00007D0B0000}"/>
    <cellStyle name="20% - Accent1 4 2 3 3" xfId="14977" xr:uid="{00000000-0005-0000-0000-00007E0B0000}"/>
    <cellStyle name="20% - Accent1 4 2 3 4" xfId="20453" xr:uid="{00000000-0005-0000-0000-00007F0B0000}"/>
    <cellStyle name="20% - Accent1 4 2 3 5" xfId="25929" xr:uid="{00000000-0005-0000-0000-0000800B0000}"/>
    <cellStyle name="20% - Accent1 4 2 3 6" xfId="27860" xr:uid="{00000000-0005-0000-0000-0000810B0000}"/>
    <cellStyle name="20% - Accent1 4 2 3 7" xfId="37725" xr:uid="{00000000-0005-0000-0000-0000820B0000}"/>
    <cellStyle name="20% - Accent1 4 2 3 8" xfId="43202" xr:uid="{00000000-0005-0000-0000-0000830B0000}"/>
    <cellStyle name="20% - Accent1 4 2 3 9" xfId="48679" xr:uid="{00000000-0005-0000-0000-0000840B0000}"/>
    <cellStyle name="20% - Accent1 4 2 4" xfId="5706" xr:uid="{00000000-0005-0000-0000-0000850B0000}"/>
    <cellStyle name="20% - Accent1 4 2 5" xfId="11186" xr:uid="{00000000-0005-0000-0000-0000860B0000}"/>
    <cellStyle name="20% - Accent1 4 2 6" xfId="16662" xr:uid="{00000000-0005-0000-0000-0000870B0000}"/>
    <cellStyle name="20% - Accent1 4 2 7" xfId="22138" xr:uid="{00000000-0005-0000-0000-0000880B0000}"/>
    <cellStyle name="20% - Accent1 4 2 8" xfId="27857" xr:uid="{00000000-0005-0000-0000-0000890B0000}"/>
    <cellStyle name="20% - Accent1 4 2 9" xfId="33933" xr:uid="{00000000-0005-0000-0000-00008A0B0000}"/>
    <cellStyle name="20% - Accent1 4 20" xfId="50364" xr:uid="{00000000-0005-0000-0000-00008B0B0000}"/>
    <cellStyle name="20% - Accent1 4 3" xfId="660" xr:uid="{00000000-0005-0000-0000-00008C0B0000}"/>
    <cellStyle name="20% - Accent1 4 3 10" xfId="39411" xr:uid="{00000000-0005-0000-0000-00008D0B0000}"/>
    <cellStyle name="20% - Accent1 4 3 11" xfId="44888" xr:uid="{00000000-0005-0000-0000-00008E0B0000}"/>
    <cellStyle name="20% - Accent1 4 3 12" xfId="50366" xr:uid="{00000000-0005-0000-0000-00008F0B0000}"/>
    <cellStyle name="20% - Accent1 4 3 2" xfId="2421" xr:uid="{00000000-0005-0000-0000-0000900B0000}"/>
    <cellStyle name="20% - Accent1 4 3 2 10" xfId="52597" xr:uid="{00000000-0005-0000-0000-0000910B0000}"/>
    <cellStyle name="20% - Accent1 4 3 2 2" xfId="7901" xr:uid="{00000000-0005-0000-0000-0000920B0000}"/>
    <cellStyle name="20% - Accent1 4 3 2 2 2" xfId="27863" xr:uid="{00000000-0005-0000-0000-0000930B0000}"/>
    <cellStyle name="20% - Accent1 4 3 2 3" xfId="13377" xr:uid="{00000000-0005-0000-0000-0000940B0000}"/>
    <cellStyle name="20% - Accent1 4 3 2 4" xfId="18853" xr:uid="{00000000-0005-0000-0000-0000950B0000}"/>
    <cellStyle name="20% - Accent1 4 3 2 5" xfId="24329" xr:uid="{00000000-0005-0000-0000-0000960B0000}"/>
    <cellStyle name="20% - Accent1 4 3 2 6" xfId="27862" xr:uid="{00000000-0005-0000-0000-0000970B0000}"/>
    <cellStyle name="20% - Accent1 4 3 2 7" xfId="36125" xr:uid="{00000000-0005-0000-0000-0000980B0000}"/>
    <cellStyle name="20% - Accent1 4 3 2 8" xfId="41602" xr:uid="{00000000-0005-0000-0000-0000990B0000}"/>
    <cellStyle name="20% - Accent1 4 3 2 9" xfId="47079" xr:uid="{00000000-0005-0000-0000-00009A0B0000}"/>
    <cellStyle name="20% - Accent1 4 3 3" xfId="4193" xr:uid="{00000000-0005-0000-0000-00009B0B0000}"/>
    <cellStyle name="20% - Accent1 4 3 3 10" xfId="54369" xr:uid="{00000000-0005-0000-0000-00009C0B0000}"/>
    <cellStyle name="20% - Accent1 4 3 3 2" xfId="9673" xr:uid="{00000000-0005-0000-0000-00009D0B0000}"/>
    <cellStyle name="20% - Accent1 4 3 3 3" xfId="15149" xr:uid="{00000000-0005-0000-0000-00009E0B0000}"/>
    <cellStyle name="20% - Accent1 4 3 3 4" xfId="20625" xr:uid="{00000000-0005-0000-0000-00009F0B0000}"/>
    <cellStyle name="20% - Accent1 4 3 3 5" xfId="26101" xr:uid="{00000000-0005-0000-0000-0000A00B0000}"/>
    <cellStyle name="20% - Accent1 4 3 3 6" xfId="27864" xr:uid="{00000000-0005-0000-0000-0000A10B0000}"/>
    <cellStyle name="20% - Accent1 4 3 3 7" xfId="37897" xr:uid="{00000000-0005-0000-0000-0000A20B0000}"/>
    <cellStyle name="20% - Accent1 4 3 3 8" xfId="43374" xr:uid="{00000000-0005-0000-0000-0000A30B0000}"/>
    <cellStyle name="20% - Accent1 4 3 3 9" xfId="48851" xr:uid="{00000000-0005-0000-0000-0000A40B0000}"/>
    <cellStyle name="20% - Accent1 4 3 4" xfId="5707" xr:uid="{00000000-0005-0000-0000-0000A50B0000}"/>
    <cellStyle name="20% - Accent1 4 3 5" xfId="11187" xr:uid="{00000000-0005-0000-0000-0000A60B0000}"/>
    <cellStyle name="20% - Accent1 4 3 6" xfId="16663" xr:uid="{00000000-0005-0000-0000-0000A70B0000}"/>
    <cellStyle name="20% - Accent1 4 3 7" xfId="22139" xr:uid="{00000000-0005-0000-0000-0000A80B0000}"/>
    <cellStyle name="20% - Accent1 4 3 8" xfId="27861" xr:uid="{00000000-0005-0000-0000-0000A90B0000}"/>
    <cellStyle name="20% - Accent1 4 3 9" xfId="33934" xr:uid="{00000000-0005-0000-0000-0000AA0B0000}"/>
    <cellStyle name="20% - Accent1 4 4" xfId="832" xr:uid="{00000000-0005-0000-0000-0000AB0B0000}"/>
    <cellStyle name="20% - Accent1 4 4 10" xfId="39412" xr:uid="{00000000-0005-0000-0000-0000AC0B0000}"/>
    <cellStyle name="20% - Accent1 4 4 11" xfId="44889" xr:uid="{00000000-0005-0000-0000-0000AD0B0000}"/>
    <cellStyle name="20% - Accent1 4 4 12" xfId="50367" xr:uid="{00000000-0005-0000-0000-0000AE0B0000}"/>
    <cellStyle name="20% - Accent1 4 4 2" xfId="2593" xr:uid="{00000000-0005-0000-0000-0000AF0B0000}"/>
    <cellStyle name="20% - Accent1 4 4 2 10" xfId="52769" xr:uid="{00000000-0005-0000-0000-0000B00B0000}"/>
    <cellStyle name="20% - Accent1 4 4 2 2" xfId="8073" xr:uid="{00000000-0005-0000-0000-0000B10B0000}"/>
    <cellStyle name="20% - Accent1 4 4 2 2 2" xfId="27867" xr:uid="{00000000-0005-0000-0000-0000B20B0000}"/>
    <cellStyle name="20% - Accent1 4 4 2 3" xfId="13549" xr:uid="{00000000-0005-0000-0000-0000B30B0000}"/>
    <cellStyle name="20% - Accent1 4 4 2 4" xfId="19025" xr:uid="{00000000-0005-0000-0000-0000B40B0000}"/>
    <cellStyle name="20% - Accent1 4 4 2 5" xfId="24501" xr:uid="{00000000-0005-0000-0000-0000B50B0000}"/>
    <cellStyle name="20% - Accent1 4 4 2 6" xfId="27866" xr:uid="{00000000-0005-0000-0000-0000B60B0000}"/>
    <cellStyle name="20% - Accent1 4 4 2 7" xfId="36297" xr:uid="{00000000-0005-0000-0000-0000B70B0000}"/>
    <cellStyle name="20% - Accent1 4 4 2 8" xfId="41774" xr:uid="{00000000-0005-0000-0000-0000B80B0000}"/>
    <cellStyle name="20% - Accent1 4 4 2 9" xfId="47251" xr:uid="{00000000-0005-0000-0000-0000B90B0000}"/>
    <cellStyle name="20% - Accent1 4 4 3" xfId="4365" xr:uid="{00000000-0005-0000-0000-0000BA0B0000}"/>
    <cellStyle name="20% - Accent1 4 4 3 10" xfId="54541" xr:uid="{00000000-0005-0000-0000-0000BB0B0000}"/>
    <cellStyle name="20% - Accent1 4 4 3 2" xfId="9845" xr:uid="{00000000-0005-0000-0000-0000BC0B0000}"/>
    <cellStyle name="20% - Accent1 4 4 3 3" xfId="15321" xr:uid="{00000000-0005-0000-0000-0000BD0B0000}"/>
    <cellStyle name="20% - Accent1 4 4 3 4" xfId="20797" xr:uid="{00000000-0005-0000-0000-0000BE0B0000}"/>
    <cellStyle name="20% - Accent1 4 4 3 5" xfId="26273" xr:uid="{00000000-0005-0000-0000-0000BF0B0000}"/>
    <cellStyle name="20% - Accent1 4 4 3 6" xfId="27868" xr:uid="{00000000-0005-0000-0000-0000C00B0000}"/>
    <cellStyle name="20% - Accent1 4 4 3 7" xfId="38069" xr:uid="{00000000-0005-0000-0000-0000C10B0000}"/>
    <cellStyle name="20% - Accent1 4 4 3 8" xfId="43546" xr:uid="{00000000-0005-0000-0000-0000C20B0000}"/>
    <cellStyle name="20% - Accent1 4 4 3 9" xfId="49023" xr:uid="{00000000-0005-0000-0000-0000C30B0000}"/>
    <cellStyle name="20% - Accent1 4 4 4" xfId="5708" xr:uid="{00000000-0005-0000-0000-0000C40B0000}"/>
    <cellStyle name="20% - Accent1 4 4 5" xfId="11188" xr:uid="{00000000-0005-0000-0000-0000C50B0000}"/>
    <cellStyle name="20% - Accent1 4 4 6" xfId="16664" xr:uid="{00000000-0005-0000-0000-0000C60B0000}"/>
    <cellStyle name="20% - Accent1 4 4 7" xfId="22140" xr:uid="{00000000-0005-0000-0000-0000C70B0000}"/>
    <cellStyle name="20% - Accent1 4 4 8" xfId="27865" xr:uid="{00000000-0005-0000-0000-0000C80B0000}"/>
    <cellStyle name="20% - Accent1 4 4 9" xfId="33935" xr:uid="{00000000-0005-0000-0000-0000C90B0000}"/>
    <cellStyle name="20% - Accent1 4 5" xfId="1038" xr:uid="{00000000-0005-0000-0000-0000CA0B0000}"/>
    <cellStyle name="20% - Accent1 4 5 10" xfId="39413" xr:uid="{00000000-0005-0000-0000-0000CB0B0000}"/>
    <cellStyle name="20% - Accent1 4 5 11" xfId="44890" xr:uid="{00000000-0005-0000-0000-0000CC0B0000}"/>
    <cellStyle name="20% - Accent1 4 5 12" xfId="50368" xr:uid="{00000000-0005-0000-0000-0000CD0B0000}"/>
    <cellStyle name="20% - Accent1 4 5 2" xfId="2799" xr:uid="{00000000-0005-0000-0000-0000CE0B0000}"/>
    <cellStyle name="20% - Accent1 4 5 2 10" xfId="52975" xr:uid="{00000000-0005-0000-0000-0000CF0B0000}"/>
    <cellStyle name="20% - Accent1 4 5 2 2" xfId="8279" xr:uid="{00000000-0005-0000-0000-0000D00B0000}"/>
    <cellStyle name="20% - Accent1 4 5 2 2 2" xfId="27871" xr:uid="{00000000-0005-0000-0000-0000D10B0000}"/>
    <cellStyle name="20% - Accent1 4 5 2 3" xfId="13755" xr:uid="{00000000-0005-0000-0000-0000D20B0000}"/>
    <cellStyle name="20% - Accent1 4 5 2 4" xfId="19231" xr:uid="{00000000-0005-0000-0000-0000D30B0000}"/>
    <cellStyle name="20% - Accent1 4 5 2 5" xfId="24707" xr:uid="{00000000-0005-0000-0000-0000D40B0000}"/>
    <cellStyle name="20% - Accent1 4 5 2 6" xfId="27870" xr:uid="{00000000-0005-0000-0000-0000D50B0000}"/>
    <cellStyle name="20% - Accent1 4 5 2 7" xfId="36503" xr:uid="{00000000-0005-0000-0000-0000D60B0000}"/>
    <cellStyle name="20% - Accent1 4 5 2 8" xfId="41980" xr:uid="{00000000-0005-0000-0000-0000D70B0000}"/>
    <cellStyle name="20% - Accent1 4 5 2 9" xfId="47457" xr:uid="{00000000-0005-0000-0000-0000D80B0000}"/>
    <cellStyle name="20% - Accent1 4 5 3" xfId="4571" xr:uid="{00000000-0005-0000-0000-0000D90B0000}"/>
    <cellStyle name="20% - Accent1 4 5 3 10" xfId="54747" xr:uid="{00000000-0005-0000-0000-0000DA0B0000}"/>
    <cellStyle name="20% - Accent1 4 5 3 2" xfId="10051" xr:uid="{00000000-0005-0000-0000-0000DB0B0000}"/>
    <cellStyle name="20% - Accent1 4 5 3 3" xfId="15527" xr:uid="{00000000-0005-0000-0000-0000DC0B0000}"/>
    <cellStyle name="20% - Accent1 4 5 3 4" xfId="21003" xr:uid="{00000000-0005-0000-0000-0000DD0B0000}"/>
    <cellStyle name="20% - Accent1 4 5 3 5" xfId="26479" xr:uid="{00000000-0005-0000-0000-0000DE0B0000}"/>
    <cellStyle name="20% - Accent1 4 5 3 6" xfId="27872" xr:uid="{00000000-0005-0000-0000-0000DF0B0000}"/>
    <cellStyle name="20% - Accent1 4 5 3 7" xfId="38275" xr:uid="{00000000-0005-0000-0000-0000E00B0000}"/>
    <cellStyle name="20% - Accent1 4 5 3 8" xfId="43752" xr:uid="{00000000-0005-0000-0000-0000E10B0000}"/>
    <cellStyle name="20% - Accent1 4 5 3 9" xfId="49229" xr:uid="{00000000-0005-0000-0000-0000E20B0000}"/>
    <cellStyle name="20% - Accent1 4 5 4" xfId="5709" xr:uid="{00000000-0005-0000-0000-0000E30B0000}"/>
    <cellStyle name="20% - Accent1 4 5 5" xfId="11189" xr:uid="{00000000-0005-0000-0000-0000E40B0000}"/>
    <cellStyle name="20% - Accent1 4 5 6" xfId="16665" xr:uid="{00000000-0005-0000-0000-0000E50B0000}"/>
    <cellStyle name="20% - Accent1 4 5 7" xfId="22141" xr:uid="{00000000-0005-0000-0000-0000E60B0000}"/>
    <cellStyle name="20% - Accent1 4 5 8" xfId="27869" xr:uid="{00000000-0005-0000-0000-0000E70B0000}"/>
    <cellStyle name="20% - Accent1 4 5 9" xfId="33936" xr:uid="{00000000-0005-0000-0000-0000E80B0000}"/>
    <cellStyle name="20% - Accent1 4 6" xfId="1210" xr:uid="{00000000-0005-0000-0000-0000E90B0000}"/>
    <cellStyle name="20% - Accent1 4 6 10" xfId="39414" xr:uid="{00000000-0005-0000-0000-0000EA0B0000}"/>
    <cellStyle name="20% - Accent1 4 6 11" xfId="44891" xr:uid="{00000000-0005-0000-0000-0000EB0B0000}"/>
    <cellStyle name="20% - Accent1 4 6 12" xfId="50369" xr:uid="{00000000-0005-0000-0000-0000EC0B0000}"/>
    <cellStyle name="20% - Accent1 4 6 2" xfId="2971" xr:uid="{00000000-0005-0000-0000-0000ED0B0000}"/>
    <cellStyle name="20% - Accent1 4 6 2 10" xfId="53147" xr:uid="{00000000-0005-0000-0000-0000EE0B0000}"/>
    <cellStyle name="20% - Accent1 4 6 2 2" xfId="8451" xr:uid="{00000000-0005-0000-0000-0000EF0B0000}"/>
    <cellStyle name="20% - Accent1 4 6 2 2 2" xfId="27875" xr:uid="{00000000-0005-0000-0000-0000F00B0000}"/>
    <cellStyle name="20% - Accent1 4 6 2 3" xfId="13927" xr:uid="{00000000-0005-0000-0000-0000F10B0000}"/>
    <cellStyle name="20% - Accent1 4 6 2 4" xfId="19403" xr:uid="{00000000-0005-0000-0000-0000F20B0000}"/>
    <cellStyle name="20% - Accent1 4 6 2 5" xfId="24879" xr:uid="{00000000-0005-0000-0000-0000F30B0000}"/>
    <cellStyle name="20% - Accent1 4 6 2 6" xfId="27874" xr:uid="{00000000-0005-0000-0000-0000F40B0000}"/>
    <cellStyle name="20% - Accent1 4 6 2 7" xfId="36675" xr:uid="{00000000-0005-0000-0000-0000F50B0000}"/>
    <cellStyle name="20% - Accent1 4 6 2 8" xfId="42152" xr:uid="{00000000-0005-0000-0000-0000F60B0000}"/>
    <cellStyle name="20% - Accent1 4 6 2 9" xfId="47629" xr:uid="{00000000-0005-0000-0000-0000F70B0000}"/>
    <cellStyle name="20% - Accent1 4 6 3" xfId="4743" xr:uid="{00000000-0005-0000-0000-0000F80B0000}"/>
    <cellStyle name="20% - Accent1 4 6 3 10" xfId="54919" xr:uid="{00000000-0005-0000-0000-0000F90B0000}"/>
    <cellStyle name="20% - Accent1 4 6 3 2" xfId="10223" xr:uid="{00000000-0005-0000-0000-0000FA0B0000}"/>
    <cellStyle name="20% - Accent1 4 6 3 3" xfId="15699" xr:uid="{00000000-0005-0000-0000-0000FB0B0000}"/>
    <cellStyle name="20% - Accent1 4 6 3 4" xfId="21175" xr:uid="{00000000-0005-0000-0000-0000FC0B0000}"/>
    <cellStyle name="20% - Accent1 4 6 3 5" xfId="26651" xr:uid="{00000000-0005-0000-0000-0000FD0B0000}"/>
    <cellStyle name="20% - Accent1 4 6 3 6" xfId="27876" xr:uid="{00000000-0005-0000-0000-0000FE0B0000}"/>
    <cellStyle name="20% - Accent1 4 6 3 7" xfId="38447" xr:uid="{00000000-0005-0000-0000-0000FF0B0000}"/>
    <cellStyle name="20% - Accent1 4 6 3 8" xfId="43924" xr:uid="{00000000-0005-0000-0000-0000000C0000}"/>
    <cellStyle name="20% - Accent1 4 6 3 9" xfId="49401" xr:uid="{00000000-0005-0000-0000-0000010C0000}"/>
    <cellStyle name="20% - Accent1 4 6 4" xfId="5710" xr:uid="{00000000-0005-0000-0000-0000020C0000}"/>
    <cellStyle name="20% - Accent1 4 6 5" xfId="11190" xr:uid="{00000000-0005-0000-0000-0000030C0000}"/>
    <cellStyle name="20% - Accent1 4 6 6" xfId="16666" xr:uid="{00000000-0005-0000-0000-0000040C0000}"/>
    <cellStyle name="20% - Accent1 4 6 7" xfId="22142" xr:uid="{00000000-0005-0000-0000-0000050C0000}"/>
    <cellStyle name="20% - Accent1 4 6 8" xfId="27873" xr:uid="{00000000-0005-0000-0000-0000060C0000}"/>
    <cellStyle name="20% - Accent1 4 6 9" xfId="33937" xr:uid="{00000000-0005-0000-0000-0000070C0000}"/>
    <cellStyle name="20% - Accent1 4 7" xfId="1382" xr:uid="{00000000-0005-0000-0000-0000080C0000}"/>
    <cellStyle name="20% - Accent1 4 7 10" xfId="39415" xr:uid="{00000000-0005-0000-0000-0000090C0000}"/>
    <cellStyle name="20% - Accent1 4 7 11" xfId="44892" xr:uid="{00000000-0005-0000-0000-00000A0C0000}"/>
    <cellStyle name="20% - Accent1 4 7 12" xfId="50370" xr:uid="{00000000-0005-0000-0000-00000B0C0000}"/>
    <cellStyle name="20% - Accent1 4 7 2" xfId="3143" xr:uid="{00000000-0005-0000-0000-00000C0C0000}"/>
    <cellStyle name="20% - Accent1 4 7 2 10" xfId="53319" xr:uid="{00000000-0005-0000-0000-00000D0C0000}"/>
    <cellStyle name="20% - Accent1 4 7 2 2" xfId="8623" xr:uid="{00000000-0005-0000-0000-00000E0C0000}"/>
    <cellStyle name="20% - Accent1 4 7 2 2 2" xfId="27879" xr:uid="{00000000-0005-0000-0000-00000F0C0000}"/>
    <cellStyle name="20% - Accent1 4 7 2 3" xfId="14099" xr:uid="{00000000-0005-0000-0000-0000100C0000}"/>
    <cellStyle name="20% - Accent1 4 7 2 4" xfId="19575" xr:uid="{00000000-0005-0000-0000-0000110C0000}"/>
    <cellStyle name="20% - Accent1 4 7 2 5" xfId="25051" xr:uid="{00000000-0005-0000-0000-0000120C0000}"/>
    <cellStyle name="20% - Accent1 4 7 2 6" xfId="27878" xr:uid="{00000000-0005-0000-0000-0000130C0000}"/>
    <cellStyle name="20% - Accent1 4 7 2 7" xfId="36847" xr:uid="{00000000-0005-0000-0000-0000140C0000}"/>
    <cellStyle name="20% - Accent1 4 7 2 8" xfId="42324" xr:uid="{00000000-0005-0000-0000-0000150C0000}"/>
    <cellStyle name="20% - Accent1 4 7 2 9" xfId="47801" xr:uid="{00000000-0005-0000-0000-0000160C0000}"/>
    <cellStyle name="20% - Accent1 4 7 3" xfId="4915" xr:uid="{00000000-0005-0000-0000-0000170C0000}"/>
    <cellStyle name="20% - Accent1 4 7 3 10" xfId="55091" xr:uid="{00000000-0005-0000-0000-0000180C0000}"/>
    <cellStyle name="20% - Accent1 4 7 3 2" xfId="10395" xr:uid="{00000000-0005-0000-0000-0000190C0000}"/>
    <cellStyle name="20% - Accent1 4 7 3 3" xfId="15871" xr:uid="{00000000-0005-0000-0000-00001A0C0000}"/>
    <cellStyle name="20% - Accent1 4 7 3 4" xfId="21347" xr:uid="{00000000-0005-0000-0000-00001B0C0000}"/>
    <cellStyle name="20% - Accent1 4 7 3 5" xfId="26823" xr:uid="{00000000-0005-0000-0000-00001C0C0000}"/>
    <cellStyle name="20% - Accent1 4 7 3 6" xfId="27880" xr:uid="{00000000-0005-0000-0000-00001D0C0000}"/>
    <cellStyle name="20% - Accent1 4 7 3 7" xfId="38619" xr:uid="{00000000-0005-0000-0000-00001E0C0000}"/>
    <cellStyle name="20% - Accent1 4 7 3 8" xfId="44096" xr:uid="{00000000-0005-0000-0000-00001F0C0000}"/>
    <cellStyle name="20% - Accent1 4 7 3 9" xfId="49573" xr:uid="{00000000-0005-0000-0000-0000200C0000}"/>
    <cellStyle name="20% - Accent1 4 7 4" xfId="5711" xr:uid="{00000000-0005-0000-0000-0000210C0000}"/>
    <cellStyle name="20% - Accent1 4 7 5" xfId="11191" xr:uid="{00000000-0005-0000-0000-0000220C0000}"/>
    <cellStyle name="20% - Accent1 4 7 6" xfId="16667" xr:uid="{00000000-0005-0000-0000-0000230C0000}"/>
    <cellStyle name="20% - Accent1 4 7 7" xfId="22143" xr:uid="{00000000-0005-0000-0000-0000240C0000}"/>
    <cellStyle name="20% - Accent1 4 7 8" xfId="27877" xr:uid="{00000000-0005-0000-0000-0000250C0000}"/>
    <cellStyle name="20% - Accent1 4 7 9" xfId="33938" xr:uid="{00000000-0005-0000-0000-0000260C0000}"/>
    <cellStyle name="20% - Accent1 4 8" xfId="1554" xr:uid="{00000000-0005-0000-0000-0000270C0000}"/>
    <cellStyle name="20% - Accent1 4 8 10" xfId="39416" xr:uid="{00000000-0005-0000-0000-0000280C0000}"/>
    <cellStyle name="20% - Accent1 4 8 11" xfId="44893" xr:uid="{00000000-0005-0000-0000-0000290C0000}"/>
    <cellStyle name="20% - Accent1 4 8 12" xfId="50371" xr:uid="{00000000-0005-0000-0000-00002A0C0000}"/>
    <cellStyle name="20% - Accent1 4 8 2" xfId="3315" xr:uid="{00000000-0005-0000-0000-00002B0C0000}"/>
    <cellStyle name="20% - Accent1 4 8 2 10" xfId="53491" xr:uid="{00000000-0005-0000-0000-00002C0C0000}"/>
    <cellStyle name="20% - Accent1 4 8 2 2" xfId="8795" xr:uid="{00000000-0005-0000-0000-00002D0C0000}"/>
    <cellStyle name="20% - Accent1 4 8 2 3" xfId="14271" xr:uid="{00000000-0005-0000-0000-00002E0C0000}"/>
    <cellStyle name="20% - Accent1 4 8 2 4" xfId="19747" xr:uid="{00000000-0005-0000-0000-00002F0C0000}"/>
    <cellStyle name="20% - Accent1 4 8 2 5" xfId="25223" xr:uid="{00000000-0005-0000-0000-0000300C0000}"/>
    <cellStyle name="20% - Accent1 4 8 2 6" xfId="27882" xr:uid="{00000000-0005-0000-0000-0000310C0000}"/>
    <cellStyle name="20% - Accent1 4 8 2 7" xfId="37019" xr:uid="{00000000-0005-0000-0000-0000320C0000}"/>
    <cellStyle name="20% - Accent1 4 8 2 8" xfId="42496" xr:uid="{00000000-0005-0000-0000-0000330C0000}"/>
    <cellStyle name="20% - Accent1 4 8 2 9" xfId="47973" xr:uid="{00000000-0005-0000-0000-0000340C0000}"/>
    <cellStyle name="20% - Accent1 4 8 3" xfId="5087" xr:uid="{00000000-0005-0000-0000-0000350C0000}"/>
    <cellStyle name="20% - Accent1 4 8 3 2" xfId="10567" xr:uid="{00000000-0005-0000-0000-0000360C0000}"/>
    <cellStyle name="20% - Accent1 4 8 3 3" xfId="16043" xr:uid="{00000000-0005-0000-0000-0000370C0000}"/>
    <cellStyle name="20% - Accent1 4 8 3 4" xfId="21519" xr:uid="{00000000-0005-0000-0000-0000380C0000}"/>
    <cellStyle name="20% - Accent1 4 8 3 5" xfId="26995" xr:uid="{00000000-0005-0000-0000-0000390C0000}"/>
    <cellStyle name="20% - Accent1 4 8 3 6" xfId="38791" xr:uid="{00000000-0005-0000-0000-00003A0C0000}"/>
    <cellStyle name="20% - Accent1 4 8 3 7" xfId="44268" xr:uid="{00000000-0005-0000-0000-00003B0C0000}"/>
    <cellStyle name="20% - Accent1 4 8 3 8" xfId="49745" xr:uid="{00000000-0005-0000-0000-00003C0C0000}"/>
    <cellStyle name="20% - Accent1 4 8 3 9" xfId="55263" xr:uid="{00000000-0005-0000-0000-00003D0C0000}"/>
    <cellStyle name="20% - Accent1 4 8 4" xfId="5712" xr:uid="{00000000-0005-0000-0000-00003E0C0000}"/>
    <cellStyle name="20% - Accent1 4 8 5" xfId="11192" xr:uid="{00000000-0005-0000-0000-00003F0C0000}"/>
    <cellStyle name="20% - Accent1 4 8 6" xfId="16668" xr:uid="{00000000-0005-0000-0000-0000400C0000}"/>
    <cellStyle name="20% - Accent1 4 8 7" xfId="22144" xr:uid="{00000000-0005-0000-0000-0000410C0000}"/>
    <cellStyle name="20% - Accent1 4 8 8" xfId="27881" xr:uid="{00000000-0005-0000-0000-0000420C0000}"/>
    <cellStyle name="20% - Accent1 4 8 9" xfId="33939" xr:uid="{00000000-0005-0000-0000-0000430C0000}"/>
    <cellStyle name="20% - Accent1 4 9" xfId="1798" xr:uid="{00000000-0005-0000-0000-0000440C0000}"/>
    <cellStyle name="20% - Accent1 4 9 10" xfId="39417" xr:uid="{00000000-0005-0000-0000-0000450C0000}"/>
    <cellStyle name="20% - Accent1 4 9 11" xfId="44894" xr:uid="{00000000-0005-0000-0000-0000460C0000}"/>
    <cellStyle name="20% - Accent1 4 9 12" xfId="50372" xr:uid="{00000000-0005-0000-0000-0000470C0000}"/>
    <cellStyle name="20% - Accent1 4 9 2" xfId="3559" xr:uid="{00000000-0005-0000-0000-0000480C0000}"/>
    <cellStyle name="20% - Accent1 4 9 2 2" xfId="9039" xr:uid="{00000000-0005-0000-0000-0000490C0000}"/>
    <cellStyle name="20% - Accent1 4 9 2 3" xfId="14515" xr:uid="{00000000-0005-0000-0000-00004A0C0000}"/>
    <cellStyle name="20% - Accent1 4 9 2 4" xfId="19991" xr:uid="{00000000-0005-0000-0000-00004B0C0000}"/>
    <cellStyle name="20% - Accent1 4 9 2 5" xfId="25467" xr:uid="{00000000-0005-0000-0000-00004C0C0000}"/>
    <cellStyle name="20% - Accent1 4 9 2 6" xfId="37263" xr:uid="{00000000-0005-0000-0000-00004D0C0000}"/>
    <cellStyle name="20% - Accent1 4 9 2 7" xfId="42740" xr:uid="{00000000-0005-0000-0000-00004E0C0000}"/>
    <cellStyle name="20% - Accent1 4 9 2 8" xfId="48217" xr:uid="{00000000-0005-0000-0000-00004F0C0000}"/>
    <cellStyle name="20% - Accent1 4 9 2 9" xfId="53735" xr:uid="{00000000-0005-0000-0000-0000500C0000}"/>
    <cellStyle name="20% - Accent1 4 9 3" xfId="5331" xr:uid="{00000000-0005-0000-0000-0000510C0000}"/>
    <cellStyle name="20% - Accent1 4 9 3 2" xfId="10811" xr:uid="{00000000-0005-0000-0000-0000520C0000}"/>
    <cellStyle name="20% - Accent1 4 9 3 3" xfId="16287" xr:uid="{00000000-0005-0000-0000-0000530C0000}"/>
    <cellStyle name="20% - Accent1 4 9 3 4" xfId="21763" xr:uid="{00000000-0005-0000-0000-0000540C0000}"/>
    <cellStyle name="20% - Accent1 4 9 3 5" xfId="27239" xr:uid="{00000000-0005-0000-0000-0000550C0000}"/>
    <cellStyle name="20% - Accent1 4 9 3 6" xfId="39035" xr:uid="{00000000-0005-0000-0000-0000560C0000}"/>
    <cellStyle name="20% - Accent1 4 9 3 7" xfId="44512" xr:uid="{00000000-0005-0000-0000-0000570C0000}"/>
    <cellStyle name="20% - Accent1 4 9 3 8" xfId="49989" xr:uid="{00000000-0005-0000-0000-0000580C0000}"/>
    <cellStyle name="20% - Accent1 4 9 3 9" xfId="55507" xr:uid="{00000000-0005-0000-0000-0000590C0000}"/>
    <cellStyle name="20% - Accent1 4 9 4" xfId="5713" xr:uid="{00000000-0005-0000-0000-00005A0C0000}"/>
    <cellStyle name="20% - Accent1 4 9 5" xfId="11193" xr:uid="{00000000-0005-0000-0000-00005B0C0000}"/>
    <cellStyle name="20% - Accent1 4 9 6" xfId="16669" xr:uid="{00000000-0005-0000-0000-00005C0C0000}"/>
    <cellStyle name="20% - Accent1 4 9 7" xfId="22145" xr:uid="{00000000-0005-0000-0000-00005D0C0000}"/>
    <cellStyle name="20% - Accent1 4 9 8" xfId="27883" xr:uid="{00000000-0005-0000-0000-00005E0C0000}"/>
    <cellStyle name="20% - Accent1 4 9 9" xfId="33940" xr:uid="{00000000-0005-0000-0000-00005F0C0000}"/>
    <cellStyle name="20% - Accent1 5" xfId="3670" xr:uid="{00000000-0005-0000-0000-0000600C0000}"/>
    <cellStyle name="20% - Accent1 5 10" xfId="27884" xr:uid="{00000000-0005-0000-0000-0000610C0000}"/>
    <cellStyle name="20% - Accent1 5 11" xfId="37374" xr:uid="{00000000-0005-0000-0000-0000620C0000}"/>
    <cellStyle name="20% - Accent1 5 12" xfId="42851" xr:uid="{00000000-0005-0000-0000-0000630C0000}"/>
    <cellStyle name="20% - Accent1 5 13" xfId="48328" xr:uid="{00000000-0005-0000-0000-0000640C0000}"/>
    <cellStyle name="20% - Accent1 5 14" xfId="52032" xr:uid="{00000000-0005-0000-0000-0000650C0000}"/>
    <cellStyle name="20% - Accent1 5 2" xfId="9150" xr:uid="{00000000-0005-0000-0000-0000660C0000}"/>
    <cellStyle name="20% - Accent1 5 2 2" xfId="27886" xr:uid="{00000000-0005-0000-0000-0000670C0000}"/>
    <cellStyle name="20% - Accent1 5 2 2 2" xfId="27887" xr:uid="{00000000-0005-0000-0000-0000680C0000}"/>
    <cellStyle name="20% - Accent1 5 2 3" xfId="27888" xr:uid="{00000000-0005-0000-0000-0000690C0000}"/>
    <cellStyle name="20% - Accent1 5 2 4" xfId="27885" xr:uid="{00000000-0005-0000-0000-00006A0C0000}"/>
    <cellStyle name="20% - Accent1 5 2 5" xfId="53846" xr:uid="{00000000-0005-0000-0000-00006B0C0000}"/>
    <cellStyle name="20% - Accent1 5 3" xfId="14626" xr:uid="{00000000-0005-0000-0000-00006C0C0000}"/>
    <cellStyle name="20% - Accent1 5 3 2" xfId="27890" xr:uid="{00000000-0005-0000-0000-00006D0C0000}"/>
    <cellStyle name="20% - Accent1 5 3 2 2" xfId="27891" xr:uid="{00000000-0005-0000-0000-00006E0C0000}"/>
    <cellStyle name="20% - Accent1 5 3 3" xfId="27892" xr:uid="{00000000-0005-0000-0000-00006F0C0000}"/>
    <cellStyle name="20% - Accent1 5 3 4" xfId="27889" xr:uid="{00000000-0005-0000-0000-0000700C0000}"/>
    <cellStyle name="20% - Accent1 5 4" xfId="20102" xr:uid="{00000000-0005-0000-0000-0000710C0000}"/>
    <cellStyle name="20% - Accent1 5 4 2" xfId="27894" xr:uid="{00000000-0005-0000-0000-0000720C0000}"/>
    <cellStyle name="20% - Accent1 5 4 2 2" xfId="27895" xr:uid="{00000000-0005-0000-0000-0000730C0000}"/>
    <cellStyle name="20% - Accent1 5 4 3" xfId="27896" xr:uid="{00000000-0005-0000-0000-0000740C0000}"/>
    <cellStyle name="20% - Accent1 5 4 4" xfId="27893" xr:uid="{00000000-0005-0000-0000-0000750C0000}"/>
    <cellStyle name="20% - Accent1 5 5" xfId="25578" xr:uid="{00000000-0005-0000-0000-0000760C0000}"/>
    <cellStyle name="20% - Accent1 5 5 2" xfId="27898" xr:uid="{00000000-0005-0000-0000-0000770C0000}"/>
    <cellStyle name="20% - Accent1 5 5 2 2" xfId="27899" xr:uid="{00000000-0005-0000-0000-0000780C0000}"/>
    <cellStyle name="20% - Accent1 5 5 3" xfId="27900" xr:uid="{00000000-0005-0000-0000-0000790C0000}"/>
    <cellStyle name="20% - Accent1 5 5 4" xfId="27897" xr:uid="{00000000-0005-0000-0000-00007A0C0000}"/>
    <cellStyle name="20% - Accent1 5 6" xfId="27901" xr:uid="{00000000-0005-0000-0000-00007B0C0000}"/>
    <cellStyle name="20% - Accent1 5 6 2" xfId="27902" xr:uid="{00000000-0005-0000-0000-00007C0C0000}"/>
    <cellStyle name="20% - Accent1 5 6 2 2" xfId="27903" xr:uid="{00000000-0005-0000-0000-00007D0C0000}"/>
    <cellStyle name="20% - Accent1 5 6 3" xfId="27904" xr:uid="{00000000-0005-0000-0000-00007E0C0000}"/>
    <cellStyle name="20% - Accent1 5 7" xfId="27905" xr:uid="{00000000-0005-0000-0000-00007F0C0000}"/>
    <cellStyle name="20% - Accent1 5 7 2" xfId="27906" xr:uid="{00000000-0005-0000-0000-0000800C0000}"/>
    <cellStyle name="20% - Accent1 5 7 2 2" xfId="27907" xr:uid="{00000000-0005-0000-0000-0000810C0000}"/>
    <cellStyle name="20% - Accent1 5 7 3" xfId="27908" xr:uid="{00000000-0005-0000-0000-0000820C0000}"/>
    <cellStyle name="20% - Accent1 5 8" xfId="27909" xr:uid="{00000000-0005-0000-0000-0000830C0000}"/>
    <cellStyle name="20% - Accent1 5 8 2" xfId="27910" xr:uid="{00000000-0005-0000-0000-0000840C0000}"/>
    <cellStyle name="20% - Accent1 5 9" xfId="27911" xr:uid="{00000000-0005-0000-0000-0000850C0000}"/>
    <cellStyle name="20% - Accent1 6" xfId="7375" xr:uid="{00000000-0005-0000-0000-0000860C0000}"/>
    <cellStyle name="20% - Accent1 6 10" xfId="27912" xr:uid="{00000000-0005-0000-0000-0000870C0000}"/>
    <cellStyle name="20% - Accent1 6 2" xfId="27913" xr:uid="{00000000-0005-0000-0000-0000880C0000}"/>
    <cellStyle name="20% - Accent1 6 2 2" xfId="27914" xr:uid="{00000000-0005-0000-0000-0000890C0000}"/>
    <cellStyle name="20% - Accent1 6 2 2 2" xfId="27915" xr:uid="{00000000-0005-0000-0000-00008A0C0000}"/>
    <cellStyle name="20% - Accent1 6 2 3" xfId="27916" xr:uid="{00000000-0005-0000-0000-00008B0C0000}"/>
    <cellStyle name="20% - Accent1 6 3" xfId="27917" xr:uid="{00000000-0005-0000-0000-00008C0C0000}"/>
    <cellStyle name="20% - Accent1 6 3 2" xfId="27918" xr:uid="{00000000-0005-0000-0000-00008D0C0000}"/>
    <cellStyle name="20% - Accent1 6 3 2 2" xfId="27919" xr:uid="{00000000-0005-0000-0000-00008E0C0000}"/>
    <cellStyle name="20% - Accent1 6 3 3" xfId="27920" xr:uid="{00000000-0005-0000-0000-00008F0C0000}"/>
    <cellStyle name="20% - Accent1 6 4" xfId="27921" xr:uid="{00000000-0005-0000-0000-0000900C0000}"/>
    <cellStyle name="20% - Accent1 6 4 2" xfId="27922" xr:uid="{00000000-0005-0000-0000-0000910C0000}"/>
    <cellStyle name="20% - Accent1 6 4 2 2" xfId="27923" xr:uid="{00000000-0005-0000-0000-0000920C0000}"/>
    <cellStyle name="20% - Accent1 6 4 3" xfId="27924" xr:uid="{00000000-0005-0000-0000-0000930C0000}"/>
    <cellStyle name="20% - Accent1 6 5" xfId="27925" xr:uid="{00000000-0005-0000-0000-0000940C0000}"/>
    <cellStyle name="20% - Accent1 6 5 2" xfId="27926" xr:uid="{00000000-0005-0000-0000-0000950C0000}"/>
    <cellStyle name="20% - Accent1 6 5 2 2" xfId="27927" xr:uid="{00000000-0005-0000-0000-0000960C0000}"/>
    <cellStyle name="20% - Accent1 6 5 3" xfId="27928" xr:uid="{00000000-0005-0000-0000-0000970C0000}"/>
    <cellStyle name="20% - Accent1 6 6" xfId="27929" xr:uid="{00000000-0005-0000-0000-0000980C0000}"/>
    <cellStyle name="20% - Accent1 6 6 2" xfId="27930" xr:uid="{00000000-0005-0000-0000-0000990C0000}"/>
    <cellStyle name="20% - Accent1 6 6 2 2" xfId="27931" xr:uid="{00000000-0005-0000-0000-00009A0C0000}"/>
    <cellStyle name="20% - Accent1 6 6 3" xfId="27932" xr:uid="{00000000-0005-0000-0000-00009B0C0000}"/>
    <cellStyle name="20% - Accent1 6 7" xfId="27933" xr:uid="{00000000-0005-0000-0000-00009C0C0000}"/>
    <cellStyle name="20% - Accent1 6 7 2" xfId="27934" xr:uid="{00000000-0005-0000-0000-00009D0C0000}"/>
    <cellStyle name="20% - Accent1 6 7 2 2" xfId="27935" xr:uid="{00000000-0005-0000-0000-00009E0C0000}"/>
    <cellStyle name="20% - Accent1 6 7 3" xfId="27936" xr:uid="{00000000-0005-0000-0000-00009F0C0000}"/>
    <cellStyle name="20% - Accent1 6 8" xfId="27937" xr:uid="{00000000-0005-0000-0000-0000A00C0000}"/>
    <cellStyle name="20% - Accent1 6 8 2" xfId="27938" xr:uid="{00000000-0005-0000-0000-0000A10C0000}"/>
    <cellStyle name="20% - Accent1 6 9" xfId="27939" xr:uid="{00000000-0005-0000-0000-0000A20C0000}"/>
    <cellStyle name="20% - Accent1 7" xfId="12852" xr:uid="{00000000-0005-0000-0000-0000A30C0000}"/>
    <cellStyle name="20% - Accent1 7 10" xfId="27940" xr:uid="{00000000-0005-0000-0000-0000A40C0000}"/>
    <cellStyle name="20% - Accent1 7 2" xfId="27941" xr:uid="{00000000-0005-0000-0000-0000A50C0000}"/>
    <cellStyle name="20% - Accent1 7 2 2" xfId="27942" xr:uid="{00000000-0005-0000-0000-0000A60C0000}"/>
    <cellStyle name="20% - Accent1 7 2 2 2" xfId="27943" xr:uid="{00000000-0005-0000-0000-0000A70C0000}"/>
    <cellStyle name="20% - Accent1 7 2 3" xfId="27944" xr:uid="{00000000-0005-0000-0000-0000A80C0000}"/>
    <cellStyle name="20% - Accent1 7 3" xfId="27945" xr:uid="{00000000-0005-0000-0000-0000A90C0000}"/>
    <cellStyle name="20% - Accent1 7 3 2" xfId="27946" xr:uid="{00000000-0005-0000-0000-0000AA0C0000}"/>
    <cellStyle name="20% - Accent1 7 3 2 2" xfId="27947" xr:uid="{00000000-0005-0000-0000-0000AB0C0000}"/>
    <cellStyle name="20% - Accent1 7 3 3" xfId="27948" xr:uid="{00000000-0005-0000-0000-0000AC0C0000}"/>
    <cellStyle name="20% - Accent1 7 4" xfId="27949" xr:uid="{00000000-0005-0000-0000-0000AD0C0000}"/>
    <cellStyle name="20% - Accent1 7 4 2" xfId="27950" xr:uid="{00000000-0005-0000-0000-0000AE0C0000}"/>
    <cellStyle name="20% - Accent1 7 4 2 2" xfId="27951" xr:uid="{00000000-0005-0000-0000-0000AF0C0000}"/>
    <cellStyle name="20% - Accent1 7 4 3" xfId="27952" xr:uid="{00000000-0005-0000-0000-0000B00C0000}"/>
    <cellStyle name="20% - Accent1 7 5" xfId="27953" xr:uid="{00000000-0005-0000-0000-0000B10C0000}"/>
    <cellStyle name="20% - Accent1 7 5 2" xfId="27954" xr:uid="{00000000-0005-0000-0000-0000B20C0000}"/>
    <cellStyle name="20% - Accent1 7 5 2 2" xfId="27955" xr:uid="{00000000-0005-0000-0000-0000B30C0000}"/>
    <cellStyle name="20% - Accent1 7 5 3" xfId="27956" xr:uid="{00000000-0005-0000-0000-0000B40C0000}"/>
    <cellStyle name="20% - Accent1 7 6" xfId="27957" xr:uid="{00000000-0005-0000-0000-0000B50C0000}"/>
    <cellStyle name="20% - Accent1 7 6 2" xfId="27958" xr:uid="{00000000-0005-0000-0000-0000B60C0000}"/>
    <cellStyle name="20% - Accent1 7 6 2 2" xfId="27959" xr:uid="{00000000-0005-0000-0000-0000B70C0000}"/>
    <cellStyle name="20% - Accent1 7 6 3" xfId="27960" xr:uid="{00000000-0005-0000-0000-0000B80C0000}"/>
    <cellStyle name="20% - Accent1 7 7" xfId="27961" xr:uid="{00000000-0005-0000-0000-0000B90C0000}"/>
    <cellStyle name="20% - Accent1 7 7 2" xfId="27962" xr:uid="{00000000-0005-0000-0000-0000BA0C0000}"/>
    <cellStyle name="20% - Accent1 7 7 2 2" xfId="27963" xr:uid="{00000000-0005-0000-0000-0000BB0C0000}"/>
    <cellStyle name="20% - Accent1 7 7 3" xfId="27964" xr:uid="{00000000-0005-0000-0000-0000BC0C0000}"/>
    <cellStyle name="20% - Accent1 7 8" xfId="27965" xr:uid="{00000000-0005-0000-0000-0000BD0C0000}"/>
    <cellStyle name="20% - Accent1 7 8 2" xfId="27966" xr:uid="{00000000-0005-0000-0000-0000BE0C0000}"/>
    <cellStyle name="20% - Accent1 7 9" xfId="27967" xr:uid="{00000000-0005-0000-0000-0000BF0C0000}"/>
    <cellStyle name="20% - Accent1 8" xfId="18328" xr:uid="{00000000-0005-0000-0000-0000C00C0000}"/>
    <cellStyle name="20% - Accent1 8 2" xfId="27969" xr:uid="{00000000-0005-0000-0000-0000C10C0000}"/>
    <cellStyle name="20% - Accent1 8 2 2" xfId="27970" xr:uid="{00000000-0005-0000-0000-0000C20C0000}"/>
    <cellStyle name="20% - Accent1 8 3" xfId="27971" xr:uid="{00000000-0005-0000-0000-0000C30C0000}"/>
    <cellStyle name="20% - Accent1 8 4" xfId="27968" xr:uid="{00000000-0005-0000-0000-0000C40C0000}"/>
    <cellStyle name="20% - Accent1 9" xfId="23804" xr:uid="{00000000-0005-0000-0000-0000C50C0000}"/>
    <cellStyle name="20% - Accent1 9 10" xfId="27972" xr:uid="{00000000-0005-0000-0000-0000C60C0000}"/>
    <cellStyle name="20% - Accent1 9 2" xfId="27973" xr:uid="{00000000-0005-0000-0000-0000C70C0000}"/>
    <cellStyle name="20% - Accent1 9 2 2" xfId="27974" xr:uid="{00000000-0005-0000-0000-0000C80C0000}"/>
    <cellStyle name="20% - Accent1 9 2 2 2" xfId="27975" xr:uid="{00000000-0005-0000-0000-0000C90C0000}"/>
    <cellStyle name="20% - Accent1 9 2 3" xfId="27976" xr:uid="{00000000-0005-0000-0000-0000CA0C0000}"/>
    <cellStyle name="20% - Accent1 9 3" xfId="27977" xr:uid="{00000000-0005-0000-0000-0000CB0C0000}"/>
    <cellStyle name="20% - Accent1 9 3 2" xfId="27978" xr:uid="{00000000-0005-0000-0000-0000CC0C0000}"/>
    <cellStyle name="20% - Accent1 9 3 2 2" xfId="27979" xr:uid="{00000000-0005-0000-0000-0000CD0C0000}"/>
    <cellStyle name="20% - Accent1 9 3 3" xfId="27980" xr:uid="{00000000-0005-0000-0000-0000CE0C0000}"/>
    <cellStyle name="20% - Accent1 9 4" xfId="27981" xr:uid="{00000000-0005-0000-0000-0000CF0C0000}"/>
    <cellStyle name="20% - Accent1 9 4 2" xfId="27982" xr:uid="{00000000-0005-0000-0000-0000D00C0000}"/>
    <cellStyle name="20% - Accent1 9 4 2 2" xfId="27983" xr:uid="{00000000-0005-0000-0000-0000D10C0000}"/>
    <cellStyle name="20% - Accent1 9 4 3" xfId="27984" xr:uid="{00000000-0005-0000-0000-0000D20C0000}"/>
    <cellStyle name="20% - Accent1 9 5" xfId="27985" xr:uid="{00000000-0005-0000-0000-0000D30C0000}"/>
    <cellStyle name="20% - Accent1 9 5 2" xfId="27986" xr:uid="{00000000-0005-0000-0000-0000D40C0000}"/>
    <cellStyle name="20% - Accent1 9 5 2 2" xfId="27987" xr:uid="{00000000-0005-0000-0000-0000D50C0000}"/>
    <cellStyle name="20% - Accent1 9 5 3" xfId="27988" xr:uid="{00000000-0005-0000-0000-0000D60C0000}"/>
    <cellStyle name="20% - Accent1 9 6" xfId="27989" xr:uid="{00000000-0005-0000-0000-0000D70C0000}"/>
    <cellStyle name="20% - Accent1 9 6 2" xfId="27990" xr:uid="{00000000-0005-0000-0000-0000D80C0000}"/>
    <cellStyle name="20% - Accent1 9 6 2 2" xfId="27991" xr:uid="{00000000-0005-0000-0000-0000D90C0000}"/>
    <cellStyle name="20% - Accent1 9 6 3" xfId="27992" xr:uid="{00000000-0005-0000-0000-0000DA0C0000}"/>
    <cellStyle name="20% - Accent1 9 7" xfId="27993" xr:uid="{00000000-0005-0000-0000-0000DB0C0000}"/>
    <cellStyle name="20% - Accent1 9 7 2" xfId="27994" xr:uid="{00000000-0005-0000-0000-0000DC0C0000}"/>
    <cellStyle name="20% - Accent1 9 7 2 2" xfId="27995" xr:uid="{00000000-0005-0000-0000-0000DD0C0000}"/>
    <cellStyle name="20% - Accent1 9 7 3" xfId="27996" xr:uid="{00000000-0005-0000-0000-0000DE0C0000}"/>
    <cellStyle name="20% - Accent1 9 8" xfId="27997" xr:uid="{00000000-0005-0000-0000-0000DF0C0000}"/>
    <cellStyle name="20% - Accent1 9 8 2" xfId="27998" xr:uid="{00000000-0005-0000-0000-0000E00C0000}"/>
    <cellStyle name="20% - Accent1 9 9" xfId="27999" xr:uid="{00000000-0005-0000-0000-0000E10C0000}"/>
    <cellStyle name="20% - Accent2" xfId="61" builtinId="34" customBuiltin="1"/>
    <cellStyle name="20% - Accent2 10" xfId="28000" xr:uid="{00000000-0005-0000-0000-0000E30C0000}"/>
    <cellStyle name="20% - Accent2 10 2" xfId="28001" xr:uid="{00000000-0005-0000-0000-0000E40C0000}"/>
    <cellStyle name="20% - Accent2 10 2 2" xfId="28002" xr:uid="{00000000-0005-0000-0000-0000E50C0000}"/>
    <cellStyle name="20% - Accent2 10 2 2 2" xfId="28003" xr:uid="{00000000-0005-0000-0000-0000E60C0000}"/>
    <cellStyle name="20% - Accent2 10 2 3" xfId="28004" xr:uid="{00000000-0005-0000-0000-0000E70C0000}"/>
    <cellStyle name="20% - Accent2 10 3" xfId="28005" xr:uid="{00000000-0005-0000-0000-0000E80C0000}"/>
    <cellStyle name="20% - Accent2 10 3 2" xfId="28006" xr:uid="{00000000-0005-0000-0000-0000E90C0000}"/>
    <cellStyle name="20% - Accent2 10 3 2 2" xfId="28007" xr:uid="{00000000-0005-0000-0000-0000EA0C0000}"/>
    <cellStyle name="20% - Accent2 10 3 3" xfId="28008" xr:uid="{00000000-0005-0000-0000-0000EB0C0000}"/>
    <cellStyle name="20% - Accent2 10 4" xfId="28009" xr:uid="{00000000-0005-0000-0000-0000EC0C0000}"/>
    <cellStyle name="20% - Accent2 10 4 2" xfId="28010" xr:uid="{00000000-0005-0000-0000-0000ED0C0000}"/>
    <cellStyle name="20% - Accent2 10 5" xfId="28011" xr:uid="{00000000-0005-0000-0000-0000EE0C0000}"/>
    <cellStyle name="20% - Accent2 11" xfId="28012" xr:uid="{00000000-0005-0000-0000-0000EF0C0000}"/>
    <cellStyle name="20% - Accent2 11 2" xfId="28013" xr:uid="{00000000-0005-0000-0000-0000F00C0000}"/>
    <cellStyle name="20% - Accent2 11 2 2" xfId="28014" xr:uid="{00000000-0005-0000-0000-0000F10C0000}"/>
    <cellStyle name="20% - Accent2 11 3" xfId="28015" xr:uid="{00000000-0005-0000-0000-0000F20C0000}"/>
    <cellStyle name="20% - Accent2 12" xfId="28016" xr:uid="{00000000-0005-0000-0000-0000F30C0000}"/>
    <cellStyle name="20% - Accent2 12 2" xfId="28017" xr:uid="{00000000-0005-0000-0000-0000F40C0000}"/>
    <cellStyle name="20% - Accent2 12 2 2" xfId="28018" xr:uid="{00000000-0005-0000-0000-0000F50C0000}"/>
    <cellStyle name="20% - Accent2 12 3" xfId="28019" xr:uid="{00000000-0005-0000-0000-0000F60C0000}"/>
    <cellStyle name="20% - Accent2 13" xfId="28020" xr:uid="{00000000-0005-0000-0000-0000F70C0000}"/>
    <cellStyle name="20% - Accent2 13 2" xfId="28021" xr:uid="{00000000-0005-0000-0000-0000F80C0000}"/>
    <cellStyle name="20% - Accent2 13 2 2" xfId="28022" xr:uid="{00000000-0005-0000-0000-0000F90C0000}"/>
    <cellStyle name="20% - Accent2 13 3" xfId="28023" xr:uid="{00000000-0005-0000-0000-0000FA0C0000}"/>
    <cellStyle name="20% - Accent2 14" xfId="28024" xr:uid="{00000000-0005-0000-0000-0000FB0C0000}"/>
    <cellStyle name="20% - Accent2 14 2" xfId="28025" xr:uid="{00000000-0005-0000-0000-0000FC0C0000}"/>
    <cellStyle name="20% - Accent2 14 2 2" xfId="28026" xr:uid="{00000000-0005-0000-0000-0000FD0C0000}"/>
    <cellStyle name="20% - Accent2 14 3" xfId="28027" xr:uid="{00000000-0005-0000-0000-0000FE0C0000}"/>
    <cellStyle name="20% - Accent2 15" xfId="28028" xr:uid="{00000000-0005-0000-0000-0000FF0C0000}"/>
    <cellStyle name="20% - Accent2 15 2" xfId="28029" xr:uid="{00000000-0005-0000-0000-0000000D0000}"/>
    <cellStyle name="20% - Accent2 15 2 2" xfId="28030" xr:uid="{00000000-0005-0000-0000-0000010D0000}"/>
    <cellStyle name="20% - Accent2 15 3" xfId="28031" xr:uid="{00000000-0005-0000-0000-0000020D0000}"/>
    <cellStyle name="20% - Accent2 16" xfId="28032" xr:uid="{00000000-0005-0000-0000-0000030D0000}"/>
    <cellStyle name="20% - Accent2 16 2" xfId="28033" xr:uid="{00000000-0005-0000-0000-0000040D0000}"/>
    <cellStyle name="20% - Accent2 16 2 2" xfId="28034" xr:uid="{00000000-0005-0000-0000-0000050D0000}"/>
    <cellStyle name="20% - Accent2 16 2 2 2" xfId="28035" xr:uid="{00000000-0005-0000-0000-0000060D0000}"/>
    <cellStyle name="20% - Accent2 16 2 2 2 2" xfId="28036" xr:uid="{00000000-0005-0000-0000-0000070D0000}"/>
    <cellStyle name="20% - Accent2 16 2 2 2 2 2" xfId="28037" xr:uid="{00000000-0005-0000-0000-0000080D0000}"/>
    <cellStyle name="20% - Accent2 16 2 2 2 3" xfId="28038" xr:uid="{00000000-0005-0000-0000-0000090D0000}"/>
    <cellStyle name="20% - Accent2 16 2 2 3" xfId="28039" xr:uid="{00000000-0005-0000-0000-00000A0D0000}"/>
    <cellStyle name="20% - Accent2 16 2 2 3 2" xfId="28040" xr:uid="{00000000-0005-0000-0000-00000B0D0000}"/>
    <cellStyle name="20% - Accent2 16 2 2 3 2 2" xfId="28041" xr:uid="{00000000-0005-0000-0000-00000C0D0000}"/>
    <cellStyle name="20% - Accent2 16 2 2 3 3" xfId="28042" xr:uid="{00000000-0005-0000-0000-00000D0D0000}"/>
    <cellStyle name="20% - Accent2 16 2 2 4" xfId="28043" xr:uid="{00000000-0005-0000-0000-00000E0D0000}"/>
    <cellStyle name="20% - Accent2 16 2 2 4 2" xfId="28044" xr:uid="{00000000-0005-0000-0000-00000F0D0000}"/>
    <cellStyle name="20% - Accent2 16 2 2 5" xfId="28045" xr:uid="{00000000-0005-0000-0000-0000100D0000}"/>
    <cellStyle name="20% - Accent2 16 2 3" xfId="28046" xr:uid="{00000000-0005-0000-0000-0000110D0000}"/>
    <cellStyle name="20% - Accent2 16 2 3 2" xfId="28047" xr:uid="{00000000-0005-0000-0000-0000120D0000}"/>
    <cellStyle name="20% - Accent2 16 2 3 2 2" xfId="28048" xr:uid="{00000000-0005-0000-0000-0000130D0000}"/>
    <cellStyle name="20% - Accent2 16 2 3 2 2 2" xfId="28049" xr:uid="{00000000-0005-0000-0000-0000140D0000}"/>
    <cellStyle name="20% - Accent2 16 2 3 2 3" xfId="28050" xr:uid="{00000000-0005-0000-0000-0000150D0000}"/>
    <cellStyle name="20% - Accent2 16 2 3 3" xfId="28051" xr:uid="{00000000-0005-0000-0000-0000160D0000}"/>
    <cellStyle name="20% - Accent2 16 2 3 3 2" xfId="28052" xr:uid="{00000000-0005-0000-0000-0000170D0000}"/>
    <cellStyle name="20% - Accent2 16 2 3 3 2 2" xfId="28053" xr:uid="{00000000-0005-0000-0000-0000180D0000}"/>
    <cellStyle name="20% - Accent2 16 2 3 3 3" xfId="28054" xr:uid="{00000000-0005-0000-0000-0000190D0000}"/>
    <cellStyle name="20% - Accent2 16 2 3 4" xfId="28055" xr:uid="{00000000-0005-0000-0000-00001A0D0000}"/>
    <cellStyle name="20% - Accent2 16 2 3 4 2" xfId="28056" xr:uid="{00000000-0005-0000-0000-00001B0D0000}"/>
    <cellStyle name="20% - Accent2 16 2 3 5" xfId="28057" xr:uid="{00000000-0005-0000-0000-00001C0D0000}"/>
    <cellStyle name="20% - Accent2 16 2 4" xfId="28058" xr:uid="{00000000-0005-0000-0000-00001D0D0000}"/>
    <cellStyle name="20% - Accent2 16 2 4 2" xfId="28059" xr:uid="{00000000-0005-0000-0000-00001E0D0000}"/>
    <cellStyle name="20% - Accent2 16 2 4 2 2" xfId="28060" xr:uid="{00000000-0005-0000-0000-00001F0D0000}"/>
    <cellStyle name="20% - Accent2 16 2 4 2 2 2" xfId="28061" xr:uid="{00000000-0005-0000-0000-0000200D0000}"/>
    <cellStyle name="20% - Accent2 16 2 4 2 3" xfId="28062" xr:uid="{00000000-0005-0000-0000-0000210D0000}"/>
    <cellStyle name="20% - Accent2 16 2 4 3" xfId="28063" xr:uid="{00000000-0005-0000-0000-0000220D0000}"/>
    <cellStyle name="20% - Accent2 16 2 4 3 2" xfId="28064" xr:uid="{00000000-0005-0000-0000-0000230D0000}"/>
    <cellStyle name="20% - Accent2 16 2 4 3 2 2" xfId="28065" xr:uid="{00000000-0005-0000-0000-0000240D0000}"/>
    <cellStyle name="20% - Accent2 16 2 4 3 3" xfId="28066" xr:uid="{00000000-0005-0000-0000-0000250D0000}"/>
    <cellStyle name="20% - Accent2 16 2 4 4" xfId="28067" xr:uid="{00000000-0005-0000-0000-0000260D0000}"/>
    <cellStyle name="20% - Accent2 16 2 4 4 2" xfId="28068" xr:uid="{00000000-0005-0000-0000-0000270D0000}"/>
    <cellStyle name="20% - Accent2 16 2 4 5" xfId="28069" xr:uid="{00000000-0005-0000-0000-0000280D0000}"/>
    <cellStyle name="20% - Accent2 16 2 5" xfId="28070" xr:uid="{00000000-0005-0000-0000-0000290D0000}"/>
    <cellStyle name="20% - Accent2 16 2 5 2" xfId="28071" xr:uid="{00000000-0005-0000-0000-00002A0D0000}"/>
    <cellStyle name="20% - Accent2 16 2 5 2 2" xfId="28072" xr:uid="{00000000-0005-0000-0000-00002B0D0000}"/>
    <cellStyle name="20% - Accent2 16 2 5 2 2 2" xfId="28073" xr:uid="{00000000-0005-0000-0000-00002C0D0000}"/>
    <cellStyle name="20% - Accent2 16 2 5 2 3" xfId="28074" xr:uid="{00000000-0005-0000-0000-00002D0D0000}"/>
    <cellStyle name="20% - Accent2 16 2 5 3" xfId="28075" xr:uid="{00000000-0005-0000-0000-00002E0D0000}"/>
    <cellStyle name="20% - Accent2 16 2 5 3 2" xfId="28076" xr:uid="{00000000-0005-0000-0000-00002F0D0000}"/>
    <cellStyle name="20% - Accent2 16 2 5 4" xfId="28077" xr:uid="{00000000-0005-0000-0000-0000300D0000}"/>
    <cellStyle name="20% - Accent2 16 2 6" xfId="28078" xr:uid="{00000000-0005-0000-0000-0000310D0000}"/>
    <cellStyle name="20% - Accent2 16 2 6 2" xfId="28079" xr:uid="{00000000-0005-0000-0000-0000320D0000}"/>
    <cellStyle name="20% - Accent2 16 2 6 2 2" xfId="28080" xr:uid="{00000000-0005-0000-0000-0000330D0000}"/>
    <cellStyle name="20% - Accent2 16 2 6 3" xfId="28081" xr:uid="{00000000-0005-0000-0000-0000340D0000}"/>
    <cellStyle name="20% - Accent2 16 2 7" xfId="28082" xr:uid="{00000000-0005-0000-0000-0000350D0000}"/>
    <cellStyle name="20% - Accent2 16 2 7 2" xfId="28083" xr:uid="{00000000-0005-0000-0000-0000360D0000}"/>
    <cellStyle name="20% - Accent2 16 2 8" xfId="28084" xr:uid="{00000000-0005-0000-0000-0000370D0000}"/>
    <cellStyle name="20% - Accent2 16 3" xfId="28085" xr:uid="{00000000-0005-0000-0000-0000380D0000}"/>
    <cellStyle name="20% - Accent2 16 3 2" xfId="28086" xr:uid="{00000000-0005-0000-0000-0000390D0000}"/>
    <cellStyle name="20% - Accent2 16 3 2 2" xfId="28087" xr:uid="{00000000-0005-0000-0000-00003A0D0000}"/>
    <cellStyle name="20% - Accent2 16 3 2 2 2" xfId="28088" xr:uid="{00000000-0005-0000-0000-00003B0D0000}"/>
    <cellStyle name="20% - Accent2 16 3 2 3" xfId="28089" xr:uid="{00000000-0005-0000-0000-00003C0D0000}"/>
    <cellStyle name="20% - Accent2 16 3 3" xfId="28090" xr:uid="{00000000-0005-0000-0000-00003D0D0000}"/>
    <cellStyle name="20% - Accent2 16 3 3 2" xfId="28091" xr:uid="{00000000-0005-0000-0000-00003E0D0000}"/>
    <cellStyle name="20% - Accent2 16 3 3 2 2" xfId="28092" xr:uid="{00000000-0005-0000-0000-00003F0D0000}"/>
    <cellStyle name="20% - Accent2 16 3 3 3" xfId="28093" xr:uid="{00000000-0005-0000-0000-0000400D0000}"/>
    <cellStyle name="20% - Accent2 16 3 4" xfId="28094" xr:uid="{00000000-0005-0000-0000-0000410D0000}"/>
    <cellStyle name="20% - Accent2 16 3 4 2" xfId="28095" xr:uid="{00000000-0005-0000-0000-0000420D0000}"/>
    <cellStyle name="20% - Accent2 16 3 4 2 2" xfId="28096" xr:uid="{00000000-0005-0000-0000-0000430D0000}"/>
    <cellStyle name="20% - Accent2 16 3 4 3" xfId="28097" xr:uid="{00000000-0005-0000-0000-0000440D0000}"/>
    <cellStyle name="20% - Accent2 16 3 5" xfId="28098" xr:uid="{00000000-0005-0000-0000-0000450D0000}"/>
    <cellStyle name="20% - Accent2 16 3 5 2" xfId="28099" xr:uid="{00000000-0005-0000-0000-0000460D0000}"/>
    <cellStyle name="20% - Accent2 16 3 6" xfId="28100" xr:uid="{00000000-0005-0000-0000-0000470D0000}"/>
    <cellStyle name="20% - Accent2 16 4" xfId="28101" xr:uid="{00000000-0005-0000-0000-0000480D0000}"/>
    <cellStyle name="20% - Accent2 16 4 2" xfId="28102" xr:uid="{00000000-0005-0000-0000-0000490D0000}"/>
    <cellStyle name="20% - Accent2 16 4 2 2" xfId="28103" xr:uid="{00000000-0005-0000-0000-00004A0D0000}"/>
    <cellStyle name="20% - Accent2 16 4 2 2 2" xfId="28104" xr:uid="{00000000-0005-0000-0000-00004B0D0000}"/>
    <cellStyle name="20% - Accent2 16 4 2 3" xfId="28105" xr:uid="{00000000-0005-0000-0000-00004C0D0000}"/>
    <cellStyle name="20% - Accent2 16 4 3" xfId="28106" xr:uid="{00000000-0005-0000-0000-00004D0D0000}"/>
    <cellStyle name="20% - Accent2 16 4 3 2" xfId="28107" xr:uid="{00000000-0005-0000-0000-00004E0D0000}"/>
    <cellStyle name="20% - Accent2 16 4 3 2 2" xfId="28108" xr:uid="{00000000-0005-0000-0000-00004F0D0000}"/>
    <cellStyle name="20% - Accent2 16 4 3 3" xfId="28109" xr:uid="{00000000-0005-0000-0000-0000500D0000}"/>
    <cellStyle name="20% - Accent2 16 4 4" xfId="28110" xr:uid="{00000000-0005-0000-0000-0000510D0000}"/>
    <cellStyle name="20% - Accent2 16 4 4 2" xfId="28111" xr:uid="{00000000-0005-0000-0000-0000520D0000}"/>
    <cellStyle name="20% - Accent2 16 4 5" xfId="28112" xr:uid="{00000000-0005-0000-0000-0000530D0000}"/>
    <cellStyle name="20% - Accent2 16 5" xfId="28113" xr:uid="{00000000-0005-0000-0000-0000540D0000}"/>
    <cellStyle name="20% - Accent2 16 5 2" xfId="28114" xr:uid="{00000000-0005-0000-0000-0000550D0000}"/>
    <cellStyle name="20% - Accent2 16 5 2 2" xfId="28115" xr:uid="{00000000-0005-0000-0000-0000560D0000}"/>
    <cellStyle name="20% - Accent2 16 5 2 2 2" xfId="28116" xr:uid="{00000000-0005-0000-0000-0000570D0000}"/>
    <cellStyle name="20% - Accent2 16 5 2 3" xfId="28117" xr:uid="{00000000-0005-0000-0000-0000580D0000}"/>
    <cellStyle name="20% - Accent2 16 5 3" xfId="28118" xr:uid="{00000000-0005-0000-0000-0000590D0000}"/>
    <cellStyle name="20% - Accent2 16 5 3 2" xfId="28119" xr:uid="{00000000-0005-0000-0000-00005A0D0000}"/>
    <cellStyle name="20% - Accent2 16 5 3 2 2" xfId="28120" xr:uid="{00000000-0005-0000-0000-00005B0D0000}"/>
    <cellStyle name="20% - Accent2 16 5 3 3" xfId="28121" xr:uid="{00000000-0005-0000-0000-00005C0D0000}"/>
    <cellStyle name="20% - Accent2 16 5 4" xfId="28122" xr:uid="{00000000-0005-0000-0000-00005D0D0000}"/>
    <cellStyle name="20% - Accent2 16 5 4 2" xfId="28123" xr:uid="{00000000-0005-0000-0000-00005E0D0000}"/>
    <cellStyle name="20% - Accent2 16 5 5" xfId="28124" xr:uid="{00000000-0005-0000-0000-00005F0D0000}"/>
    <cellStyle name="20% - Accent2 16 6" xfId="28125" xr:uid="{00000000-0005-0000-0000-0000600D0000}"/>
    <cellStyle name="20% - Accent2 16 6 2" xfId="28126" xr:uid="{00000000-0005-0000-0000-0000610D0000}"/>
    <cellStyle name="20% - Accent2 16 6 2 2" xfId="28127" xr:uid="{00000000-0005-0000-0000-0000620D0000}"/>
    <cellStyle name="20% - Accent2 16 6 2 2 2" xfId="28128" xr:uid="{00000000-0005-0000-0000-0000630D0000}"/>
    <cellStyle name="20% - Accent2 16 6 2 3" xfId="28129" xr:uid="{00000000-0005-0000-0000-0000640D0000}"/>
    <cellStyle name="20% - Accent2 16 6 3" xfId="28130" xr:uid="{00000000-0005-0000-0000-0000650D0000}"/>
    <cellStyle name="20% - Accent2 16 6 3 2" xfId="28131" xr:uid="{00000000-0005-0000-0000-0000660D0000}"/>
    <cellStyle name="20% - Accent2 16 6 4" xfId="28132" xr:uid="{00000000-0005-0000-0000-0000670D0000}"/>
    <cellStyle name="20% - Accent2 16 7" xfId="28133" xr:uid="{00000000-0005-0000-0000-0000680D0000}"/>
    <cellStyle name="20% - Accent2 16 7 2" xfId="28134" xr:uid="{00000000-0005-0000-0000-0000690D0000}"/>
    <cellStyle name="20% - Accent2 16 7 2 2" xfId="28135" xr:uid="{00000000-0005-0000-0000-00006A0D0000}"/>
    <cellStyle name="20% - Accent2 16 7 3" xfId="28136" xr:uid="{00000000-0005-0000-0000-00006B0D0000}"/>
    <cellStyle name="20% - Accent2 16 8" xfId="28137" xr:uid="{00000000-0005-0000-0000-00006C0D0000}"/>
    <cellStyle name="20% - Accent2 16 8 2" xfId="28138" xr:uid="{00000000-0005-0000-0000-00006D0D0000}"/>
    <cellStyle name="20% - Accent2 16 9" xfId="28139" xr:uid="{00000000-0005-0000-0000-00006E0D0000}"/>
    <cellStyle name="20% - Accent2 17" xfId="28140" xr:uid="{00000000-0005-0000-0000-00006F0D0000}"/>
    <cellStyle name="20% - Accent2 17 2" xfId="28141" xr:uid="{00000000-0005-0000-0000-0000700D0000}"/>
    <cellStyle name="20% - Accent2 17 2 2" xfId="28142" xr:uid="{00000000-0005-0000-0000-0000710D0000}"/>
    <cellStyle name="20% - Accent2 17 2 2 2" xfId="28143" xr:uid="{00000000-0005-0000-0000-0000720D0000}"/>
    <cellStyle name="20% - Accent2 17 2 2 2 2" xfId="28144" xr:uid="{00000000-0005-0000-0000-0000730D0000}"/>
    <cellStyle name="20% - Accent2 17 2 2 3" xfId="28145" xr:uid="{00000000-0005-0000-0000-0000740D0000}"/>
    <cellStyle name="20% - Accent2 17 2 3" xfId="28146" xr:uid="{00000000-0005-0000-0000-0000750D0000}"/>
    <cellStyle name="20% - Accent2 17 2 3 2" xfId="28147" xr:uid="{00000000-0005-0000-0000-0000760D0000}"/>
    <cellStyle name="20% - Accent2 17 2 3 2 2" xfId="28148" xr:uid="{00000000-0005-0000-0000-0000770D0000}"/>
    <cellStyle name="20% - Accent2 17 2 3 3" xfId="28149" xr:uid="{00000000-0005-0000-0000-0000780D0000}"/>
    <cellStyle name="20% - Accent2 17 2 4" xfId="28150" xr:uid="{00000000-0005-0000-0000-0000790D0000}"/>
    <cellStyle name="20% - Accent2 17 2 4 2" xfId="28151" xr:uid="{00000000-0005-0000-0000-00007A0D0000}"/>
    <cellStyle name="20% - Accent2 17 2 5" xfId="28152" xr:uid="{00000000-0005-0000-0000-00007B0D0000}"/>
    <cellStyle name="20% - Accent2 17 3" xfId="28153" xr:uid="{00000000-0005-0000-0000-00007C0D0000}"/>
    <cellStyle name="20% - Accent2 17 3 2" xfId="28154" xr:uid="{00000000-0005-0000-0000-00007D0D0000}"/>
    <cellStyle name="20% - Accent2 17 3 2 2" xfId="28155" xr:uid="{00000000-0005-0000-0000-00007E0D0000}"/>
    <cellStyle name="20% - Accent2 17 3 2 2 2" xfId="28156" xr:uid="{00000000-0005-0000-0000-00007F0D0000}"/>
    <cellStyle name="20% - Accent2 17 3 2 3" xfId="28157" xr:uid="{00000000-0005-0000-0000-0000800D0000}"/>
    <cellStyle name="20% - Accent2 17 3 3" xfId="28158" xr:uid="{00000000-0005-0000-0000-0000810D0000}"/>
    <cellStyle name="20% - Accent2 17 3 3 2" xfId="28159" xr:uid="{00000000-0005-0000-0000-0000820D0000}"/>
    <cellStyle name="20% - Accent2 17 3 3 2 2" xfId="28160" xr:uid="{00000000-0005-0000-0000-0000830D0000}"/>
    <cellStyle name="20% - Accent2 17 3 3 3" xfId="28161" xr:uid="{00000000-0005-0000-0000-0000840D0000}"/>
    <cellStyle name="20% - Accent2 17 3 4" xfId="28162" xr:uid="{00000000-0005-0000-0000-0000850D0000}"/>
    <cellStyle name="20% - Accent2 17 3 4 2" xfId="28163" xr:uid="{00000000-0005-0000-0000-0000860D0000}"/>
    <cellStyle name="20% - Accent2 17 3 5" xfId="28164" xr:uid="{00000000-0005-0000-0000-0000870D0000}"/>
    <cellStyle name="20% - Accent2 17 4" xfId="28165" xr:uid="{00000000-0005-0000-0000-0000880D0000}"/>
    <cellStyle name="20% - Accent2 17 4 2" xfId="28166" xr:uid="{00000000-0005-0000-0000-0000890D0000}"/>
    <cellStyle name="20% - Accent2 17 4 2 2" xfId="28167" xr:uid="{00000000-0005-0000-0000-00008A0D0000}"/>
    <cellStyle name="20% - Accent2 17 4 2 2 2" xfId="28168" xr:uid="{00000000-0005-0000-0000-00008B0D0000}"/>
    <cellStyle name="20% - Accent2 17 4 2 3" xfId="28169" xr:uid="{00000000-0005-0000-0000-00008C0D0000}"/>
    <cellStyle name="20% - Accent2 17 4 3" xfId="28170" xr:uid="{00000000-0005-0000-0000-00008D0D0000}"/>
    <cellStyle name="20% - Accent2 17 4 3 2" xfId="28171" xr:uid="{00000000-0005-0000-0000-00008E0D0000}"/>
    <cellStyle name="20% - Accent2 17 4 3 2 2" xfId="28172" xr:uid="{00000000-0005-0000-0000-00008F0D0000}"/>
    <cellStyle name="20% - Accent2 17 4 3 3" xfId="28173" xr:uid="{00000000-0005-0000-0000-0000900D0000}"/>
    <cellStyle name="20% - Accent2 17 4 4" xfId="28174" xr:uid="{00000000-0005-0000-0000-0000910D0000}"/>
    <cellStyle name="20% - Accent2 17 4 4 2" xfId="28175" xr:uid="{00000000-0005-0000-0000-0000920D0000}"/>
    <cellStyle name="20% - Accent2 17 4 5" xfId="28176" xr:uid="{00000000-0005-0000-0000-0000930D0000}"/>
    <cellStyle name="20% - Accent2 17 5" xfId="28177" xr:uid="{00000000-0005-0000-0000-0000940D0000}"/>
    <cellStyle name="20% - Accent2 17 5 2" xfId="28178" xr:uid="{00000000-0005-0000-0000-0000950D0000}"/>
    <cellStyle name="20% - Accent2 17 5 2 2" xfId="28179" xr:uid="{00000000-0005-0000-0000-0000960D0000}"/>
    <cellStyle name="20% - Accent2 17 5 2 2 2" xfId="28180" xr:uid="{00000000-0005-0000-0000-0000970D0000}"/>
    <cellStyle name="20% - Accent2 17 5 2 3" xfId="28181" xr:uid="{00000000-0005-0000-0000-0000980D0000}"/>
    <cellStyle name="20% - Accent2 17 5 3" xfId="28182" xr:uid="{00000000-0005-0000-0000-0000990D0000}"/>
    <cellStyle name="20% - Accent2 17 5 3 2" xfId="28183" xr:uid="{00000000-0005-0000-0000-00009A0D0000}"/>
    <cellStyle name="20% - Accent2 17 5 4" xfId="28184" xr:uid="{00000000-0005-0000-0000-00009B0D0000}"/>
    <cellStyle name="20% - Accent2 17 6" xfId="28185" xr:uid="{00000000-0005-0000-0000-00009C0D0000}"/>
    <cellStyle name="20% - Accent2 17 6 2" xfId="28186" xr:uid="{00000000-0005-0000-0000-00009D0D0000}"/>
    <cellStyle name="20% - Accent2 17 6 2 2" xfId="28187" xr:uid="{00000000-0005-0000-0000-00009E0D0000}"/>
    <cellStyle name="20% - Accent2 17 6 3" xfId="28188" xr:uid="{00000000-0005-0000-0000-00009F0D0000}"/>
    <cellStyle name="20% - Accent2 17 7" xfId="28189" xr:uid="{00000000-0005-0000-0000-0000A00D0000}"/>
    <cellStyle name="20% - Accent2 17 7 2" xfId="28190" xr:uid="{00000000-0005-0000-0000-0000A10D0000}"/>
    <cellStyle name="20% - Accent2 17 8" xfId="28191" xr:uid="{00000000-0005-0000-0000-0000A20D0000}"/>
    <cellStyle name="20% - Accent2 18" xfId="28192" xr:uid="{00000000-0005-0000-0000-0000A30D0000}"/>
    <cellStyle name="20% - Accent2 18 2" xfId="28193" xr:uid="{00000000-0005-0000-0000-0000A40D0000}"/>
    <cellStyle name="20% - Accent2 18 2 2" xfId="28194" xr:uid="{00000000-0005-0000-0000-0000A50D0000}"/>
    <cellStyle name="20% - Accent2 18 2 2 2" xfId="28195" xr:uid="{00000000-0005-0000-0000-0000A60D0000}"/>
    <cellStyle name="20% - Accent2 18 2 2 2 2" xfId="28196" xr:uid="{00000000-0005-0000-0000-0000A70D0000}"/>
    <cellStyle name="20% - Accent2 18 2 2 3" xfId="28197" xr:uid="{00000000-0005-0000-0000-0000A80D0000}"/>
    <cellStyle name="20% - Accent2 18 2 3" xfId="28198" xr:uid="{00000000-0005-0000-0000-0000A90D0000}"/>
    <cellStyle name="20% - Accent2 18 2 3 2" xfId="28199" xr:uid="{00000000-0005-0000-0000-0000AA0D0000}"/>
    <cellStyle name="20% - Accent2 18 2 4" xfId="28200" xr:uid="{00000000-0005-0000-0000-0000AB0D0000}"/>
    <cellStyle name="20% - Accent2 18 3" xfId="28201" xr:uid="{00000000-0005-0000-0000-0000AC0D0000}"/>
    <cellStyle name="20% - Accent2 18 3 2" xfId="28202" xr:uid="{00000000-0005-0000-0000-0000AD0D0000}"/>
    <cellStyle name="20% - Accent2 18 3 2 2" xfId="28203" xr:uid="{00000000-0005-0000-0000-0000AE0D0000}"/>
    <cellStyle name="20% - Accent2 18 3 2 2 2" xfId="28204" xr:uid="{00000000-0005-0000-0000-0000AF0D0000}"/>
    <cellStyle name="20% - Accent2 18 3 2 3" xfId="28205" xr:uid="{00000000-0005-0000-0000-0000B00D0000}"/>
    <cellStyle name="20% - Accent2 18 3 3" xfId="28206" xr:uid="{00000000-0005-0000-0000-0000B10D0000}"/>
    <cellStyle name="20% - Accent2 18 3 3 2" xfId="28207" xr:uid="{00000000-0005-0000-0000-0000B20D0000}"/>
    <cellStyle name="20% - Accent2 18 3 4" xfId="28208" xr:uid="{00000000-0005-0000-0000-0000B30D0000}"/>
    <cellStyle name="20% - Accent2 18 4" xfId="28209" xr:uid="{00000000-0005-0000-0000-0000B40D0000}"/>
    <cellStyle name="20% - Accent2 18 4 2" xfId="28210" xr:uid="{00000000-0005-0000-0000-0000B50D0000}"/>
    <cellStyle name="20% - Accent2 18 4 2 2" xfId="28211" xr:uid="{00000000-0005-0000-0000-0000B60D0000}"/>
    <cellStyle name="20% - Accent2 18 4 3" xfId="28212" xr:uid="{00000000-0005-0000-0000-0000B70D0000}"/>
    <cellStyle name="20% - Accent2 18 5" xfId="28213" xr:uid="{00000000-0005-0000-0000-0000B80D0000}"/>
    <cellStyle name="20% - Accent2 18 5 2" xfId="28214" xr:uid="{00000000-0005-0000-0000-0000B90D0000}"/>
    <cellStyle name="20% - Accent2 18 6" xfId="28215" xr:uid="{00000000-0005-0000-0000-0000BA0D0000}"/>
    <cellStyle name="20% - Accent2 19" xfId="28216" xr:uid="{00000000-0005-0000-0000-0000BB0D0000}"/>
    <cellStyle name="20% - Accent2 19 2" xfId="28217" xr:uid="{00000000-0005-0000-0000-0000BC0D0000}"/>
    <cellStyle name="20% - Accent2 19 2 2" xfId="28218" xr:uid="{00000000-0005-0000-0000-0000BD0D0000}"/>
    <cellStyle name="20% - Accent2 19 3" xfId="28219" xr:uid="{00000000-0005-0000-0000-0000BE0D0000}"/>
    <cellStyle name="20% - Accent2 2" xfId="84" xr:uid="{00000000-0005-0000-0000-0000BF0D0000}"/>
    <cellStyle name="20% - Accent2 2 10" xfId="996" xr:uid="{00000000-0005-0000-0000-0000C00D0000}"/>
    <cellStyle name="20% - Accent2 2 10 10" xfId="44896" xr:uid="{00000000-0005-0000-0000-0000C10D0000}"/>
    <cellStyle name="20% - Accent2 2 10 11" xfId="50374" xr:uid="{00000000-0005-0000-0000-0000C20D0000}"/>
    <cellStyle name="20% - Accent2 2 10 2" xfId="2757" xr:uid="{00000000-0005-0000-0000-0000C30D0000}"/>
    <cellStyle name="20% - Accent2 2 10 2 2" xfId="8237" xr:uid="{00000000-0005-0000-0000-0000C40D0000}"/>
    <cellStyle name="20% - Accent2 2 10 2 3" xfId="13713" xr:uid="{00000000-0005-0000-0000-0000C50D0000}"/>
    <cellStyle name="20% - Accent2 2 10 2 4" xfId="19189" xr:uid="{00000000-0005-0000-0000-0000C60D0000}"/>
    <cellStyle name="20% - Accent2 2 10 2 5" xfId="24665" xr:uid="{00000000-0005-0000-0000-0000C70D0000}"/>
    <cellStyle name="20% - Accent2 2 10 2 6" xfId="36461" xr:uid="{00000000-0005-0000-0000-0000C80D0000}"/>
    <cellStyle name="20% - Accent2 2 10 2 7" xfId="41938" xr:uid="{00000000-0005-0000-0000-0000C90D0000}"/>
    <cellStyle name="20% - Accent2 2 10 2 8" xfId="47415" xr:uid="{00000000-0005-0000-0000-0000CA0D0000}"/>
    <cellStyle name="20% - Accent2 2 10 2 9" xfId="52933" xr:uid="{00000000-0005-0000-0000-0000CB0D0000}"/>
    <cellStyle name="20% - Accent2 2 10 3" xfId="4529" xr:uid="{00000000-0005-0000-0000-0000CC0D0000}"/>
    <cellStyle name="20% - Accent2 2 10 3 2" xfId="10009" xr:uid="{00000000-0005-0000-0000-0000CD0D0000}"/>
    <cellStyle name="20% - Accent2 2 10 3 3" xfId="15485" xr:uid="{00000000-0005-0000-0000-0000CE0D0000}"/>
    <cellStyle name="20% - Accent2 2 10 3 4" xfId="20961" xr:uid="{00000000-0005-0000-0000-0000CF0D0000}"/>
    <cellStyle name="20% - Accent2 2 10 3 5" xfId="26437" xr:uid="{00000000-0005-0000-0000-0000D00D0000}"/>
    <cellStyle name="20% - Accent2 2 10 3 6" xfId="38233" xr:uid="{00000000-0005-0000-0000-0000D10D0000}"/>
    <cellStyle name="20% - Accent2 2 10 3 7" xfId="43710" xr:uid="{00000000-0005-0000-0000-0000D20D0000}"/>
    <cellStyle name="20% - Accent2 2 10 3 8" xfId="49187" xr:uid="{00000000-0005-0000-0000-0000D30D0000}"/>
    <cellStyle name="20% - Accent2 2 10 3 9" xfId="54705" xr:uid="{00000000-0005-0000-0000-0000D40D0000}"/>
    <cellStyle name="20% - Accent2 2 10 4" xfId="5715" xr:uid="{00000000-0005-0000-0000-0000D50D0000}"/>
    <cellStyle name="20% - Accent2 2 10 5" xfId="11195" xr:uid="{00000000-0005-0000-0000-0000D60D0000}"/>
    <cellStyle name="20% - Accent2 2 10 6" xfId="16671" xr:uid="{00000000-0005-0000-0000-0000D70D0000}"/>
    <cellStyle name="20% - Accent2 2 10 7" xfId="22147" xr:uid="{00000000-0005-0000-0000-0000D80D0000}"/>
    <cellStyle name="20% - Accent2 2 10 8" xfId="33942" xr:uid="{00000000-0005-0000-0000-0000D90D0000}"/>
    <cellStyle name="20% - Accent2 2 10 9" xfId="39419" xr:uid="{00000000-0005-0000-0000-0000DA0D0000}"/>
    <cellStyle name="20% - Accent2 2 11" xfId="1013" xr:uid="{00000000-0005-0000-0000-0000DB0D0000}"/>
    <cellStyle name="20% - Accent2 2 11 10" xfId="44897" xr:uid="{00000000-0005-0000-0000-0000DC0D0000}"/>
    <cellStyle name="20% - Accent2 2 11 11" xfId="50375" xr:uid="{00000000-0005-0000-0000-0000DD0D0000}"/>
    <cellStyle name="20% - Accent2 2 11 2" xfId="2774" xr:uid="{00000000-0005-0000-0000-0000DE0D0000}"/>
    <cellStyle name="20% - Accent2 2 11 2 2" xfId="8254" xr:uid="{00000000-0005-0000-0000-0000DF0D0000}"/>
    <cellStyle name="20% - Accent2 2 11 2 3" xfId="13730" xr:uid="{00000000-0005-0000-0000-0000E00D0000}"/>
    <cellStyle name="20% - Accent2 2 11 2 4" xfId="19206" xr:uid="{00000000-0005-0000-0000-0000E10D0000}"/>
    <cellStyle name="20% - Accent2 2 11 2 5" xfId="24682" xr:uid="{00000000-0005-0000-0000-0000E20D0000}"/>
    <cellStyle name="20% - Accent2 2 11 2 6" xfId="36478" xr:uid="{00000000-0005-0000-0000-0000E30D0000}"/>
    <cellStyle name="20% - Accent2 2 11 2 7" xfId="41955" xr:uid="{00000000-0005-0000-0000-0000E40D0000}"/>
    <cellStyle name="20% - Accent2 2 11 2 8" xfId="47432" xr:uid="{00000000-0005-0000-0000-0000E50D0000}"/>
    <cellStyle name="20% - Accent2 2 11 2 9" xfId="52950" xr:uid="{00000000-0005-0000-0000-0000E60D0000}"/>
    <cellStyle name="20% - Accent2 2 11 3" xfId="4546" xr:uid="{00000000-0005-0000-0000-0000E70D0000}"/>
    <cellStyle name="20% - Accent2 2 11 3 2" xfId="10026" xr:uid="{00000000-0005-0000-0000-0000E80D0000}"/>
    <cellStyle name="20% - Accent2 2 11 3 3" xfId="15502" xr:uid="{00000000-0005-0000-0000-0000E90D0000}"/>
    <cellStyle name="20% - Accent2 2 11 3 4" xfId="20978" xr:uid="{00000000-0005-0000-0000-0000EA0D0000}"/>
    <cellStyle name="20% - Accent2 2 11 3 5" xfId="26454" xr:uid="{00000000-0005-0000-0000-0000EB0D0000}"/>
    <cellStyle name="20% - Accent2 2 11 3 6" xfId="38250" xr:uid="{00000000-0005-0000-0000-0000EC0D0000}"/>
    <cellStyle name="20% - Accent2 2 11 3 7" xfId="43727" xr:uid="{00000000-0005-0000-0000-0000ED0D0000}"/>
    <cellStyle name="20% - Accent2 2 11 3 8" xfId="49204" xr:uid="{00000000-0005-0000-0000-0000EE0D0000}"/>
    <cellStyle name="20% - Accent2 2 11 3 9" xfId="54722" xr:uid="{00000000-0005-0000-0000-0000EF0D0000}"/>
    <cellStyle name="20% - Accent2 2 11 4" xfId="5716" xr:uid="{00000000-0005-0000-0000-0000F00D0000}"/>
    <cellStyle name="20% - Accent2 2 11 5" xfId="11196" xr:uid="{00000000-0005-0000-0000-0000F10D0000}"/>
    <cellStyle name="20% - Accent2 2 11 6" xfId="16672" xr:uid="{00000000-0005-0000-0000-0000F20D0000}"/>
    <cellStyle name="20% - Accent2 2 11 7" xfId="22148" xr:uid="{00000000-0005-0000-0000-0000F30D0000}"/>
    <cellStyle name="20% - Accent2 2 11 8" xfId="33943" xr:uid="{00000000-0005-0000-0000-0000F40D0000}"/>
    <cellStyle name="20% - Accent2 2 11 9" xfId="39420" xr:uid="{00000000-0005-0000-0000-0000F50D0000}"/>
    <cellStyle name="20% - Accent2 2 12" xfId="1039" xr:uid="{00000000-0005-0000-0000-0000F60D0000}"/>
    <cellStyle name="20% - Accent2 2 12 10" xfId="44898" xr:uid="{00000000-0005-0000-0000-0000F70D0000}"/>
    <cellStyle name="20% - Accent2 2 12 11" xfId="50376" xr:uid="{00000000-0005-0000-0000-0000F80D0000}"/>
    <cellStyle name="20% - Accent2 2 12 2" xfId="2800" xr:uid="{00000000-0005-0000-0000-0000F90D0000}"/>
    <cellStyle name="20% - Accent2 2 12 2 2" xfId="8280" xr:uid="{00000000-0005-0000-0000-0000FA0D0000}"/>
    <cellStyle name="20% - Accent2 2 12 2 3" xfId="13756" xr:uid="{00000000-0005-0000-0000-0000FB0D0000}"/>
    <cellStyle name="20% - Accent2 2 12 2 4" xfId="19232" xr:uid="{00000000-0005-0000-0000-0000FC0D0000}"/>
    <cellStyle name="20% - Accent2 2 12 2 5" xfId="24708" xr:uid="{00000000-0005-0000-0000-0000FD0D0000}"/>
    <cellStyle name="20% - Accent2 2 12 2 6" xfId="36504" xr:uid="{00000000-0005-0000-0000-0000FE0D0000}"/>
    <cellStyle name="20% - Accent2 2 12 2 7" xfId="41981" xr:uid="{00000000-0005-0000-0000-0000FF0D0000}"/>
    <cellStyle name="20% - Accent2 2 12 2 8" xfId="47458" xr:uid="{00000000-0005-0000-0000-0000000E0000}"/>
    <cellStyle name="20% - Accent2 2 12 2 9" xfId="52976" xr:uid="{00000000-0005-0000-0000-0000010E0000}"/>
    <cellStyle name="20% - Accent2 2 12 3" xfId="4572" xr:uid="{00000000-0005-0000-0000-0000020E0000}"/>
    <cellStyle name="20% - Accent2 2 12 3 2" xfId="10052" xr:uid="{00000000-0005-0000-0000-0000030E0000}"/>
    <cellStyle name="20% - Accent2 2 12 3 3" xfId="15528" xr:uid="{00000000-0005-0000-0000-0000040E0000}"/>
    <cellStyle name="20% - Accent2 2 12 3 4" xfId="21004" xr:uid="{00000000-0005-0000-0000-0000050E0000}"/>
    <cellStyle name="20% - Accent2 2 12 3 5" xfId="26480" xr:uid="{00000000-0005-0000-0000-0000060E0000}"/>
    <cellStyle name="20% - Accent2 2 12 3 6" xfId="38276" xr:uid="{00000000-0005-0000-0000-0000070E0000}"/>
    <cellStyle name="20% - Accent2 2 12 3 7" xfId="43753" xr:uid="{00000000-0005-0000-0000-0000080E0000}"/>
    <cellStyle name="20% - Accent2 2 12 3 8" xfId="49230" xr:uid="{00000000-0005-0000-0000-0000090E0000}"/>
    <cellStyle name="20% - Accent2 2 12 3 9" xfId="54748" xr:uid="{00000000-0005-0000-0000-00000A0E0000}"/>
    <cellStyle name="20% - Accent2 2 12 4" xfId="5717" xr:uid="{00000000-0005-0000-0000-00000B0E0000}"/>
    <cellStyle name="20% - Accent2 2 12 5" xfId="11197" xr:uid="{00000000-0005-0000-0000-00000C0E0000}"/>
    <cellStyle name="20% - Accent2 2 12 6" xfId="16673" xr:uid="{00000000-0005-0000-0000-00000D0E0000}"/>
    <cellStyle name="20% - Accent2 2 12 7" xfId="22149" xr:uid="{00000000-0005-0000-0000-00000E0E0000}"/>
    <cellStyle name="20% - Accent2 2 12 8" xfId="33944" xr:uid="{00000000-0005-0000-0000-00000F0E0000}"/>
    <cellStyle name="20% - Accent2 2 12 9" xfId="39421" xr:uid="{00000000-0005-0000-0000-0000100E0000}"/>
    <cellStyle name="20% - Accent2 2 13" xfId="1211" xr:uid="{00000000-0005-0000-0000-0000110E0000}"/>
    <cellStyle name="20% - Accent2 2 13 10" xfId="44899" xr:uid="{00000000-0005-0000-0000-0000120E0000}"/>
    <cellStyle name="20% - Accent2 2 13 11" xfId="50377" xr:uid="{00000000-0005-0000-0000-0000130E0000}"/>
    <cellStyle name="20% - Accent2 2 13 2" xfId="2972" xr:uid="{00000000-0005-0000-0000-0000140E0000}"/>
    <cellStyle name="20% - Accent2 2 13 2 2" xfId="8452" xr:uid="{00000000-0005-0000-0000-0000150E0000}"/>
    <cellStyle name="20% - Accent2 2 13 2 3" xfId="13928" xr:uid="{00000000-0005-0000-0000-0000160E0000}"/>
    <cellStyle name="20% - Accent2 2 13 2 4" xfId="19404" xr:uid="{00000000-0005-0000-0000-0000170E0000}"/>
    <cellStyle name="20% - Accent2 2 13 2 5" xfId="24880" xr:uid="{00000000-0005-0000-0000-0000180E0000}"/>
    <cellStyle name="20% - Accent2 2 13 2 6" xfId="36676" xr:uid="{00000000-0005-0000-0000-0000190E0000}"/>
    <cellStyle name="20% - Accent2 2 13 2 7" xfId="42153" xr:uid="{00000000-0005-0000-0000-00001A0E0000}"/>
    <cellStyle name="20% - Accent2 2 13 2 8" xfId="47630" xr:uid="{00000000-0005-0000-0000-00001B0E0000}"/>
    <cellStyle name="20% - Accent2 2 13 2 9" xfId="53148" xr:uid="{00000000-0005-0000-0000-00001C0E0000}"/>
    <cellStyle name="20% - Accent2 2 13 3" xfId="4744" xr:uid="{00000000-0005-0000-0000-00001D0E0000}"/>
    <cellStyle name="20% - Accent2 2 13 3 2" xfId="10224" xr:uid="{00000000-0005-0000-0000-00001E0E0000}"/>
    <cellStyle name="20% - Accent2 2 13 3 3" xfId="15700" xr:uid="{00000000-0005-0000-0000-00001F0E0000}"/>
    <cellStyle name="20% - Accent2 2 13 3 4" xfId="21176" xr:uid="{00000000-0005-0000-0000-0000200E0000}"/>
    <cellStyle name="20% - Accent2 2 13 3 5" xfId="26652" xr:uid="{00000000-0005-0000-0000-0000210E0000}"/>
    <cellStyle name="20% - Accent2 2 13 3 6" xfId="38448" xr:uid="{00000000-0005-0000-0000-0000220E0000}"/>
    <cellStyle name="20% - Accent2 2 13 3 7" xfId="43925" xr:uid="{00000000-0005-0000-0000-0000230E0000}"/>
    <cellStyle name="20% - Accent2 2 13 3 8" xfId="49402" xr:uid="{00000000-0005-0000-0000-0000240E0000}"/>
    <cellStyle name="20% - Accent2 2 13 3 9" xfId="54920" xr:uid="{00000000-0005-0000-0000-0000250E0000}"/>
    <cellStyle name="20% - Accent2 2 13 4" xfId="5718" xr:uid="{00000000-0005-0000-0000-0000260E0000}"/>
    <cellStyle name="20% - Accent2 2 13 5" xfId="11198" xr:uid="{00000000-0005-0000-0000-0000270E0000}"/>
    <cellStyle name="20% - Accent2 2 13 6" xfId="16674" xr:uid="{00000000-0005-0000-0000-0000280E0000}"/>
    <cellStyle name="20% - Accent2 2 13 7" xfId="22150" xr:uid="{00000000-0005-0000-0000-0000290E0000}"/>
    <cellStyle name="20% - Accent2 2 13 8" xfId="33945" xr:uid="{00000000-0005-0000-0000-00002A0E0000}"/>
    <cellStyle name="20% - Accent2 2 13 9" xfId="39422" xr:uid="{00000000-0005-0000-0000-00002B0E0000}"/>
    <cellStyle name="20% - Accent2 2 14" xfId="1383" xr:uid="{00000000-0005-0000-0000-00002C0E0000}"/>
    <cellStyle name="20% - Accent2 2 14 10" xfId="44900" xr:uid="{00000000-0005-0000-0000-00002D0E0000}"/>
    <cellStyle name="20% - Accent2 2 14 11" xfId="50378" xr:uid="{00000000-0005-0000-0000-00002E0E0000}"/>
    <cellStyle name="20% - Accent2 2 14 2" xfId="3144" xr:uid="{00000000-0005-0000-0000-00002F0E0000}"/>
    <cellStyle name="20% - Accent2 2 14 2 2" xfId="8624" xr:uid="{00000000-0005-0000-0000-0000300E0000}"/>
    <cellStyle name="20% - Accent2 2 14 2 3" xfId="14100" xr:uid="{00000000-0005-0000-0000-0000310E0000}"/>
    <cellStyle name="20% - Accent2 2 14 2 4" xfId="19576" xr:uid="{00000000-0005-0000-0000-0000320E0000}"/>
    <cellStyle name="20% - Accent2 2 14 2 5" xfId="25052" xr:uid="{00000000-0005-0000-0000-0000330E0000}"/>
    <cellStyle name="20% - Accent2 2 14 2 6" xfId="36848" xr:uid="{00000000-0005-0000-0000-0000340E0000}"/>
    <cellStyle name="20% - Accent2 2 14 2 7" xfId="42325" xr:uid="{00000000-0005-0000-0000-0000350E0000}"/>
    <cellStyle name="20% - Accent2 2 14 2 8" xfId="47802" xr:uid="{00000000-0005-0000-0000-0000360E0000}"/>
    <cellStyle name="20% - Accent2 2 14 2 9" xfId="53320" xr:uid="{00000000-0005-0000-0000-0000370E0000}"/>
    <cellStyle name="20% - Accent2 2 14 3" xfId="4916" xr:uid="{00000000-0005-0000-0000-0000380E0000}"/>
    <cellStyle name="20% - Accent2 2 14 3 2" xfId="10396" xr:uid="{00000000-0005-0000-0000-0000390E0000}"/>
    <cellStyle name="20% - Accent2 2 14 3 3" xfId="15872" xr:uid="{00000000-0005-0000-0000-00003A0E0000}"/>
    <cellStyle name="20% - Accent2 2 14 3 4" xfId="21348" xr:uid="{00000000-0005-0000-0000-00003B0E0000}"/>
    <cellStyle name="20% - Accent2 2 14 3 5" xfId="26824" xr:uid="{00000000-0005-0000-0000-00003C0E0000}"/>
    <cellStyle name="20% - Accent2 2 14 3 6" xfId="38620" xr:uid="{00000000-0005-0000-0000-00003D0E0000}"/>
    <cellStyle name="20% - Accent2 2 14 3 7" xfId="44097" xr:uid="{00000000-0005-0000-0000-00003E0E0000}"/>
    <cellStyle name="20% - Accent2 2 14 3 8" xfId="49574" xr:uid="{00000000-0005-0000-0000-00003F0E0000}"/>
    <cellStyle name="20% - Accent2 2 14 3 9" xfId="55092" xr:uid="{00000000-0005-0000-0000-0000400E0000}"/>
    <cellStyle name="20% - Accent2 2 14 4" xfId="5719" xr:uid="{00000000-0005-0000-0000-0000410E0000}"/>
    <cellStyle name="20% - Accent2 2 14 5" xfId="11199" xr:uid="{00000000-0005-0000-0000-0000420E0000}"/>
    <cellStyle name="20% - Accent2 2 14 6" xfId="16675" xr:uid="{00000000-0005-0000-0000-0000430E0000}"/>
    <cellStyle name="20% - Accent2 2 14 7" xfId="22151" xr:uid="{00000000-0005-0000-0000-0000440E0000}"/>
    <cellStyle name="20% - Accent2 2 14 8" xfId="33946" xr:uid="{00000000-0005-0000-0000-0000450E0000}"/>
    <cellStyle name="20% - Accent2 2 14 9" xfId="39423" xr:uid="{00000000-0005-0000-0000-0000460E0000}"/>
    <cellStyle name="20% - Accent2 2 15" xfId="1555" xr:uid="{00000000-0005-0000-0000-0000470E0000}"/>
    <cellStyle name="20% - Accent2 2 15 10" xfId="44901" xr:uid="{00000000-0005-0000-0000-0000480E0000}"/>
    <cellStyle name="20% - Accent2 2 15 11" xfId="50379" xr:uid="{00000000-0005-0000-0000-0000490E0000}"/>
    <cellStyle name="20% - Accent2 2 15 2" xfId="3316" xr:uid="{00000000-0005-0000-0000-00004A0E0000}"/>
    <cellStyle name="20% - Accent2 2 15 2 2" xfId="8796" xr:uid="{00000000-0005-0000-0000-00004B0E0000}"/>
    <cellStyle name="20% - Accent2 2 15 2 3" xfId="14272" xr:uid="{00000000-0005-0000-0000-00004C0E0000}"/>
    <cellStyle name="20% - Accent2 2 15 2 4" xfId="19748" xr:uid="{00000000-0005-0000-0000-00004D0E0000}"/>
    <cellStyle name="20% - Accent2 2 15 2 5" xfId="25224" xr:uid="{00000000-0005-0000-0000-00004E0E0000}"/>
    <cellStyle name="20% - Accent2 2 15 2 6" xfId="37020" xr:uid="{00000000-0005-0000-0000-00004F0E0000}"/>
    <cellStyle name="20% - Accent2 2 15 2 7" xfId="42497" xr:uid="{00000000-0005-0000-0000-0000500E0000}"/>
    <cellStyle name="20% - Accent2 2 15 2 8" xfId="47974" xr:uid="{00000000-0005-0000-0000-0000510E0000}"/>
    <cellStyle name="20% - Accent2 2 15 2 9" xfId="53492" xr:uid="{00000000-0005-0000-0000-0000520E0000}"/>
    <cellStyle name="20% - Accent2 2 15 3" xfId="5088" xr:uid="{00000000-0005-0000-0000-0000530E0000}"/>
    <cellStyle name="20% - Accent2 2 15 3 2" xfId="10568" xr:uid="{00000000-0005-0000-0000-0000540E0000}"/>
    <cellStyle name="20% - Accent2 2 15 3 3" xfId="16044" xr:uid="{00000000-0005-0000-0000-0000550E0000}"/>
    <cellStyle name="20% - Accent2 2 15 3 4" xfId="21520" xr:uid="{00000000-0005-0000-0000-0000560E0000}"/>
    <cellStyle name="20% - Accent2 2 15 3 5" xfId="26996" xr:uid="{00000000-0005-0000-0000-0000570E0000}"/>
    <cellStyle name="20% - Accent2 2 15 3 6" xfId="38792" xr:uid="{00000000-0005-0000-0000-0000580E0000}"/>
    <cellStyle name="20% - Accent2 2 15 3 7" xfId="44269" xr:uid="{00000000-0005-0000-0000-0000590E0000}"/>
    <cellStyle name="20% - Accent2 2 15 3 8" xfId="49746" xr:uid="{00000000-0005-0000-0000-00005A0E0000}"/>
    <cellStyle name="20% - Accent2 2 15 3 9" xfId="55264" xr:uid="{00000000-0005-0000-0000-00005B0E0000}"/>
    <cellStyle name="20% - Accent2 2 15 4" xfId="5720" xr:uid="{00000000-0005-0000-0000-00005C0E0000}"/>
    <cellStyle name="20% - Accent2 2 15 5" xfId="11200" xr:uid="{00000000-0005-0000-0000-00005D0E0000}"/>
    <cellStyle name="20% - Accent2 2 15 6" xfId="16676" xr:uid="{00000000-0005-0000-0000-00005E0E0000}"/>
    <cellStyle name="20% - Accent2 2 15 7" xfId="22152" xr:uid="{00000000-0005-0000-0000-00005F0E0000}"/>
    <cellStyle name="20% - Accent2 2 15 8" xfId="33947" xr:uid="{00000000-0005-0000-0000-0000600E0000}"/>
    <cellStyle name="20% - Accent2 2 15 9" xfId="39424" xr:uid="{00000000-0005-0000-0000-0000610E0000}"/>
    <cellStyle name="20% - Accent2 2 16" xfId="1718" xr:uid="{00000000-0005-0000-0000-0000620E0000}"/>
    <cellStyle name="20% - Accent2 2 16 10" xfId="44902" xr:uid="{00000000-0005-0000-0000-0000630E0000}"/>
    <cellStyle name="20% - Accent2 2 16 11" xfId="50380" xr:uid="{00000000-0005-0000-0000-0000640E0000}"/>
    <cellStyle name="20% - Accent2 2 16 2" xfId="3479" xr:uid="{00000000-0005-0000-0000-0000650E0000}"/>
    <cellStyle name="20% - Accent2 2 16 2 2" xfId="8959" xr:uid="{00000000-0005-0000-0000-0000660E0000}"/>
    <cellStyle name="20% - Accent2 2 16 2 3" xfId="14435" xr:uid="{00000000-0005-0000-0000-0000670E0000}"/>
    <cellStyle name="20% - Accent2 2 16 2 4" xfId="19911" xr:uid="{00000000-0005-0000-0000-0000680E0000}"/>
    <cellStyle name="20% - Accent2 2 16 2 5" xfId="25387" xr:uid="{00000000-0005-0000-0000-0000690E0000}"/>
    <cellStyle name="20% - Accent2 2 16 2 6" xfId="37183" xr:uid="{00000000-0005-0000-0000-00006A0E0000}"/>
    <cellStyle name="20% - Accent2 2 16 2 7" xfId="42660" xr:uid="{00000000-0005-0000-0000-00006B0E0000}"/>
    <cellStyle name="20% - Accent2 2 16 2 8" xfId="48137" xr:uid="{00000000-0005-0000-0000-00006C0E0000}"/>
    <cellStyle name="20% - Accent2 2 16 2 9" xfId="53655" xr:uid="{00000000-0005-0000-0000-00006D0E0000}"/>
    <cellStyle name="20% - Accent2 2 16 3" xfId="5251" xr:uid="{00000000-0005-0000-0000-00006E0E0000}"/>
    <cellStyle name="20% - Accent2 2 16 3 2" xfId="10731" xr:uid="{00000000-0005-0000-0000-00006F0E0000}"/>
    <cellStyle name="20% - Accent2 2 16 3 3" xfId="16207" xr:uid="{00000000-0005-0000-0000-0000700E0000}"/>
    <cellStyle name="20% - Accent2 2 16 3 4" xfId="21683" xr:uid="{00000000-0005-0000-0000-0000710E0000}"/>
    <cellStyle name="20% - Accent2 2 16 3 5" xfId="27159" xr:uid="{00000000-0005-0000-0000-0000720E0000}"/>
    <cellStyle name="20% - Accent2 2 16 3 6" xfId="38955" xr:uid="{00000000-0005-0000-0000-0000730E0000}"/>
    <cellStyle name="20% - Accent2 2 16 3 7" xfId="44432" xr:uid="{00000000-0005-0000-0000-0000740E0000}"/>
    <cellStyle name="20% - Accent2 2 16 3 8" xfId="49909" xr:uid="{00000000-0005-0000-0000-0000750E0000}"/>
    <cellStyle name="20% - Accent2 2 16 3 9" xfId="55427" xr:uid="{00000000-0005-0000-0000-0000760E0000}"/>
    <cellStyle name="20% - Accent2 2 16 4" xfId="5721" xr:uid="{00000000-0005-0000-0000-0000770E0000}"/>
    <cellStyle name="20% - Accent2 2 16 5" xfId="11201" xr:uid="{00000000-0005-0000-0000-0000780E0000}"/>
    <cellStyle name="20% - Accent2 2 16 6" xfId="16677" xr:uid="{00000000-0005-0000-0000-0000790E0000}"/>
    <cellStyle name="20% - Accent2 2 16 7" xfId="22153" xr:uid="{00000000-0005-0000-0000-00007A0E0000}"/>
    <cellStyle name="20% - Accent2 2 16 8" xfId="33948" xr:uid="{00000000-0005-0000-0000-00007B0E0000}"/>
    <cellStyle name="20% - Accent2 2 16 9" xfId="39425" xr:uid="{00000000-0005-0000-0000-00007C0E0000}"/>
    <cellStyle name="20% - Accent2 2 17" xfId="1736" xr:uid="{00000000-0005-0000-0000-00007D0E0000}"/>
    <cellStyle name="20% - Accent2 2 17 10" xfId="44903" xr:uid="{00000000-0005-0000-0000-00007E0E0000}"/>
    <cellStyle name="20% - Accent2 2 17 11" xfId="50381" xr:uid="{00000000-0005-0000-0000-00007F0E0000}"/>
    <cellStyle name="20% - Accent2 2 17 2" xfId="3497" xr:uid="{00000000-0005-0000-0000-0000800E0000}"/>
    <cellStyle name="20% - Accent2 2 17 2 2" xfId="8977" xr:uid="{00000000-0005-0000-0000-0000810E0000}"/>
    <cellStyle name="20% - Accent2 2 17 2 3" xfId="14453" xr:uid="{00000000-0005-0000-0000-0000820E0000}"/>
    <cellStyle name="20% - Accent2 2 17 2 4" xfId="19929" xr:uid="{00000000-0005-0000-0000-0000830E0000}"/>
    <cellStyle name="20% - Accent2 2 17 2 5" xfId="25405" xr:uid="{00000000-0005-0000-0000-0000840E0000}"/>
    <cellStyle name="20% - Accent2 2 17 2 6" xfId="37201" xr:uid="{00000000-0005-0000-0000-0000850E0000}"/>
    <cellStyle name="20% - Accent2 2 17 2 7" xfId="42678" xr:uid="{00000000-0005-0000-0000-0000860E0000}"/>
    <cellStyle name="20% - Accent2 2 17 2 8" xfId="48155" xr:uid="{00000000-0005-0000-0000-0000870E0000}"/>
    <cellStyle name="20% - Accent2 2 17 2 9" xfId="53673" xr:uid="{00000000-0005-0000-0000-0000880E0000}"/>
    <cellStyle name="20% - Accent2 2 17 3" xfId="5269" xr:uid="{00000000-0005-0000-0000-0000890E0000}"/>
    <cellStyle name="20% - Accent2 2 17 3 2" xfId="10749" xr:uid="{00000000-0005-0000-0000-00008A0E0000}"/>
    <cellStyle name="20% - Accent2 2 17 3 3" xfId="16225" xr:uid="{00000000-0005-0000-0000-00008B0E0000}"/>
    <cellStyle name="20% - Accent2 2 17 3 4" xfId="21701" xr:uid="{00000000-0005-0000-0000-00008C0E0000}"/>
    <cellStyle name="20% - Accent2 2 17 3 5" xfId="27177" xr:uid="{00000000-0005-0000-0000-00008D0E0000}"/>
    <cellStyle name="20% - Accent2 2 17 3 6" xfId="38973" xr:uid="{00000000-0005-0000-0000-00008E0E0000}"/>
    <cellStyle name="20% - Accent2 2 17 3 7" xfId="44450" xr:uid="{00000000-0005-0000-0000-00008F0E0000}"/>
    <cellStyle name="20% - Accent2 2 17 3 8" xfId="49927" xr:uid="{00000000-0005-0000-0000-0000900E0000}"/>
    <cellStyle name="20% - Accent2 2 17 3 9" xfId="55445" xr:uid="{00000000-0005-0000-0000-0000910E0000}"/>
    <cellStyle name="20% - Accent2 2 17 4" xfId="5722" xr:uid="{00000000-0005-0000-0000-0000920E0000}"/>
    <cellStyle name="20% - Accent2 2 17 5" xfId="11202" xr:uid="{00000000-0005-0000-0000-0000930E0000}"/>
    <cellStyle name="20% - Accent2 2 17 6" xfId="16678" xr:uid="{00000000-0005-0000-0000-0000940E0000}"/>
    <cellStyle name="20% - Accent2 2 17 7" xfId="22154" xr:uid="{00000000-0005-0000-0000-0000950E0000}"/>
    <cellStyle name="20% - Accent2 2 17 8" xfId="33949" xr:uid="{00000000-0005-0000-0000-0000960E0000}"/>
    <cellStyle name="20% - Accent2 2 17 9" xfId="39426" xr:uid="{00000000-0005-0000-0000-0000970E0000}"/>
    <cellStyle name="20% - Accent2 2 18" xfId="1917" xr:uid="{00000000-0005-0000-0000-0000980E0000}"/>
    <cellStyle name="20% - Accent2 2 18 10" xfId="52094" xr:uid="{00000000-0005-0000-0000-0000990E0000}"/>
    <cellStyle name="20% - Accent2 2 18 2" xfId="5449" xr:uid="{00000000-0005-0000-0000-00009A0E0000}"/>
    <cellStyle name="20% - Accent2 2 18 2 2" xfId="10929" xr:uid="{00000000-0005-0000-0000-00009B0E0000}"/>
    <cellStyle name="20% - Accent2 2 18 2 3" xfId="16405" xr:uid="{00000000-0005-0000-0000-00009C0E0000}"/>
    <cellStyle name="20% - Accent2 2 18 2 4" xfId="21881" xr:uid="{00000000-0005-0000-0000-00009D0E0000}"/>
    <cellStyle name="20% - Accent2 2 18 2 5" xfId="27357" xr:uid="{00000000-0005-0000-0000-00009E0E0000}"/>
    <cellStyle name="20% - Accent2 2 18 2 6" xfId="39153" xr:uid="{00000000-0005-0000-0000-00009F0E0000}"/>
    <cellStyle name="20% - Accent2 2 18 2 7" xfId="44630" xr:uid="{00000000-0005-0000-0000-0000A00E0000}"/>
    <cellStyle name="20% - Accent2 2 18 2 8" xfId="50107" xr:uid="{00000000-0005-0000-0000-0000A10E0000}"/>
    <cellStyle name="20% - Accent2 2 18 2 9" xfId="55625" xr:uid="{00000000-0005-0000-0000-0000A20E0000}"/>
    <cellStyle name="20% - Accent2 2 18 3" xfId="7398" xr:uid="{00000000-0005-0000-0000-0000A30E0000}"/>
    <cellStyle name="20% - Accent2 2 18 4" xfId="12874" xr:uid="{00000000-0005-0000-0000-0000A40E0000}"/>
    <cellStyle name="20% - Accent2 2 18 5" xfId="18350" xr:uid="{00000000-0005-0000-0000-0000A50E0000}"/>
    <cellStyle name="20% - Accent2 2 18 6" xfId="23826" xr:uid="{00000000-0005-0000-0000-0000A60E0000}"/>
    <cellStyle name="20% - Accent2 2 18 7" xfId="35622" xr:uid="{00000000-0005-0000-0000-0000A70E0000}"/>
    <cellStyle name="20% - Accent2 2 18 8" xfId="41099" xr:uid="{00000000-0005-0000-0000-0000A80E0000}"/>
    <cellStyle name="20% - Accent2 2 18 9" xfId="46576" xr:uid="{00000000-0005-0000-0000-0000A90E0000}"/>
    <cellStyle name="20% - Accent2 2 19" xfId="3686" xr:uid="{00000000-0005-0000-0000-0000AA0E0000}"/>
    <cellStyle name="20% - Accent2 2 19 2" xfId="9166" xr:uid="{00000000-0005-0000-0000-0000AB0E0000}"/>
    <cellStyle name="20% - Accent2 2 19 3" xfId="14642" xr:uid="{00000000-0005-0000-0000-0000AC0E0000}"/>
    <cellStyle name="20% - Accent2 2 19 4" xfId="20118" xr:uid="{00000000-0005-0000-0000-0000AD0E0000}"/>
    <cellStyle name="20% - Accent2 2 19 5" xfId="25594" xr:uid="{00000000-0005-0000-0000-0000AE0E0000}"/>
    <cellStyle name="20% - Accent2 2 19 6" xfId="37390" xr:uid="{00000000-0005-0000-0000-0000AF0E0000}"/>
    <cellStyle name="20% - Accent2 2 19 7" xfId="42867" xr:uid="{00000000-0005-0000-0000-0000B00E0000}"/>
    <cellStyle name="20% - Accent2 2 19 8" xfId="48344" xr:uid="{00000000-0005-0000-0000-0000B10E0000}"/>
    <cellStyle name="20% - Accent2 2 19 9" xfId="53862" xr:uid="{00000000-0005-0000-0000-0000B20E0000}"/>
    <cellStyle name="20% - Accent2 2 2" xfId="131" xr:uid="{00000000-0005-0000-0000-0000B30E0000}"/>
    <cellStyle name="20% - Accent2 2 2 10" xfId="1556" xr:uid="{00000000-0005-0000-0000-0000B40E0000}"/>
    <cellStyle name="20% - Accent2 2 2 10 10" xfId="44905" xr:uid="{00000000-0005-0000-0000-0000B50E0000}"/>
    <cellStyle name="20% - Accent2 2 2 10 11" xfId="50383" xr:uid="{00000000-0005-0000-0000-0000B60E0000}"/>
    <cellStyle name="20% - Accent2 2 2 10 2" xfId="3317" xr:uid="{00000000-0005-0000-0000-0000B70E0000}"/>
    <cellStyle name="20% - Accent2 2 2 10 2 2" xfId="8797" xr:uid="{00000000-0005-0000-0000-0000B80E0000}"/>
    <cellStyle name="20% - Accent2 2 2 10 2 3" xfId="14273" xr:uid="{00000000-0005-0000-0000-0000B90E0000}"/>
    <cellStyle name="20% - Accent2 2 2 10 2 4" xfId="19749" xr:uid="{00000000-0005-0000-0000-0000BA0E0000}"/>
    <cellStyle name="20% - Accent2 2 2 10 2 5" xfId="25225" xr:uid="{00000000-0005-0000-0000-0000BB0E0000}"/>
    <cellStyle name="20% - Accent2 2 2 10 2 6" xfId="37021" xr:uid="{00000000-0005-0000-0000-0000BC0E0000}"/>
    <cellStyle name="20% - Accent2 2 2 10 2 7" xfId="42498" xr:uid="{00000000-0005-0000-0000-0000BD0E0000}"/>
    <cellStyle name="20% - Accent2 2 2 10 2 8" xfId="47975" xr:uid="{00000000-0005-0000-0000-0000BE0E0000}"/>
    <cellStyle name="20% - Accent2 2 2 10 2 9" xfId="53493" xr:uid="{00000000-0005-0000-0000-0000BF0E0000}"/>
    <cellStyle name="20% - Accent2 2 2 10 3" xfId="5089" xr:uid="{00000000-0005-0000-0000-0000C00E0000}"/>
    <cellStyle name="20% - Accent2 2 2 10 3 2" xfId="10569" xr:uid="{00000000-0005-0000-0000-0000C10E0000}"/>
    <cellStyle name="20% - Accent2 2 2 10 3 3" xfId="16045" xr:uid="{00000000-0005-0000-0000-0000C20E0000}"/>
    <cellStyle name="20% - Accent2 2 2 10 3 4" xfId="21521" xr:uid="{00000000-0005-0000-0000-0000C30E0000}"/>
    <cellStyle name="20% - Accent2 2 2 10 3 5" xfId="26997" xr:uid="{00000000-0005-0000-0000-0000C40E0000}"/>
    <cellStyle name="20% - Accent2 2 2 10 3 6" xfId="38793" xr:uid="{00000000-0005-0000-0000-0000C50E0000}"/>
    <cellStyle name="20% - Accent2 2 2 10 3 7" xfId="44270" xr:uid="{00000000-0005-0000-0000-0000C60E0000}"/>
    <cellStyle name="20% - Accent2 2 2 10 3 8" xfId="49747" xr:uid="{00000000-0005-0000-0000-0000C70E0000}"/>
    <cellStyle name="20% - Accent2 2 2 10 3 9" xfId="55265" xr:uid="{00000000-0005-0000-0000-0000C80E0000}"/>
    <cellStyle name="20% - Accent2 2 2 10 4" xfId="5724" xr:uid="{00000000-0005-0000-0000-0000C90E0000}"/>
    <cellStyle name="20% - Accent2 2 2 10 5" xfId="11204" xr:uid="{00000000-0005-0000-0000-0000CA0E0000}"/>
    <cellStyle name="20% - Accent2 2 2 10 6" xfId="16680" xr:uid="{00000000-0005-0000-0000-0000CB0E0000}"/>
    <cellStyle name="20% - Accent2 2 2 10 7" xfId="22156" xr:uid="{00000000-0005-0000-0000-0000CC0E0000}"/>
    <cellStyle name="20% - Accent2 2 2 10 8" xfId="33951" xr:uid="{00000000-0005-0000-0000-0000CD0E0000}"/>
    <cellStyle name="20% - Accent2 2 2 10 9" xfId="39428" xr:uid="{00000000-0005-0000-0000-0000CE0E0000}"/>
    <cellStyle name="20% - Accent2 2 2 11" xfId="1797" xr:uid="{00000000-0005-0000-0000-0000CF0E0000}"/>
    <cellStyle name="20% - Accent2 2 2 11 10" xfId="44906" xr:uid="{00000000-0005-0000-0000-0000D00E0000}"/>
    <cellStyle name="20% - Accent2 2 2 11 11" xfId="50384" xr:uid="{00000000-0005-0000-0000-0000D10E0000}"/>
    <cellStyle name="20% - Accent2 2 2 11 2" xfId="3558" xr:uid="{00000000-0005-0000-0000-0000D20E0000}"/>
    <cellStyle name="20% - Accent2 2 2 11 2 2" xfId="9038" xr:uid="{00000000-0005-0000-0000-0000D30E0000}"/>
    <cellStyle name="20% - Accent2 2 2 11 2 3" xfId="14514" xr:uid="{00000000-0005-0000-0000-0000D40E0000}"/>
    <cellStyle name="20% - Accent2 2 2 11 2 4" xfId="19990" xr:uid="{00000000-0005-0000-0000-0000D50E0000}"/>
    <cellStyle name="20% - Accent2 2 2 11 2 5" xfId="25466" xr:uid="{00000000-0005-0000-0000-0000D60E0000}"/>
    <cellStyle name="20% - Accent2 2 2 11 2 6" xfId="37262" xr:uid="{00000000-0005-0000-0000-0000D70E0000}"/>
    <cellStyle name="20% - Accent2 2 2 11 2 7" xfId="42739" xr:uid="{00000000-0005-0000-0000-0000D80E0000}"/>
    <cellStyle name="20% - Accent2 2 2 11 2 8" xfId="48216" xr:uid="{00000000-0005-0000-0000-0000D90E0000}"/>
    <cellStyle name="20% - Accent2 2 2 11 2 9" xfId="53734" xr:uid="{00000000-0005-0000-0000-0000DA0E0000}"/>
    <cellStyle name="20% - Accent2 2 2 11 3" xfId="5330" xr:uid="{00000000-0005-0000-0000-0000DB0E0000}"/>
    <cellStyle name="20% - Accent2 2 2 11 3 2" xfId="10810" xr:uid="{00000000-0005-0000-0000-0000DC0E0000}"/>
    <cellStyle name="20% - Accent2 2 2 11 3 3" xfId="16286" xr:uid="{00000000-0005-0000-0000-0000DD0E0000}"/>
    <cellStyle name="20% - Accent2 2 2 11 3 4" xfId="21762" xr:uid="{00000000-0005-0000-0000-0000DE0E0000}"/>
    <cellStyle name="20% - Accent2 2 2 11 3 5" xfId="27238" xr:uid="{00000000-0005-0000-0000-0000DF0E0000}"/>
    <cellStyle name="20% - Accent2 2 2 11 3 6" xfId="39034" xr:uid="{00000000-0005-0000-0000-0000E00E0000}"/>
    <cellStyle name="20% - Accent2 2 2 11 3 7" xfId="44511" xr:uid="{00000000-0005-0000-0000-0000E10E0000}"/>
    <cellStyle name="20% - Accent2 2 2 11 3 8" xfId="49988" xr:uid="{00000000-0005-0000-0000-0000E20E0000}"/>
    <cellStyle name="20% - Accent2 2 2 11 3 9" xfId="55506" xr:uid="{00000000-0005-0000-0000-0000E30E0000}"/>
    <cellStyle name="20% - Accent2 2 2 11 4" xfId="5725" xr:uid="{00000000-0005-0000-0000-0000E40E0000}"/>
    <cellStyle name="20% - Accent2 2 2 11 5" xfId="11205" xr:uid="{00000000-0005-0000-0000-0000E50E0000}"/>
    <cellStyle name="20% - Accent2 2 2 11 6" xfId="16681" xr:uid="{00000000-0005-0000-0000-0000E60E0000}"/>
    <cellStyle name="20% - Accent2 2 2 11 7" xfId="22157" xr:uid="{00000000-0005-0000-0000-0000E70E0000}"/>
    <cellStyle name="20% - Accent2 2 2 11 8" xfId="33952" xr:uid="{00000000-0005-0000-0000-0000E80E0000}"/>
    <cellStyle name="20% - Accent2 2 2 11 9" xfId="39429" xr:uid="{00000000-0005-0000-0000-0000E90E0000}"/>
    <cellStyle name="20% - Accent2 2 2 12" xfId="1918" xr:uid="{00000000-0005-0000-0000-0000EA0E0000}"/>
    <cellStyle name="20% - Accent2 2 2 12 10" xfId="52095" xr:uid="{00000000-0005-0000-0000-0000EB0E0000}"/>
    <cellStyle name="20% - Accent2 2 2 12 2" xfId="5450" xr:uid="{00000000-0005-0000-0000-0000EC0E0000}"/>
    <cellStyle name="20% - Accent2 2 2 12 2 2" xfId="10930" xr:uid="{00000000-0005-0000-0000-0000ED0E0000}"/>
    <cellStyle name="20% - Accent2 2 2 12 2 3" xfId="16406" xr:uid="{00000000-0005-0000-0000-0000EE0E0000}"/>
    <cellStyle name="20% - Accent2 2 2 12 2 4" xfId="21882" xr:uid="{00000000-0005-0000-0000-0000EF0E0000}"/>
    <cellStyle name="20% - Accent2 2 2 12 2 5" xfId="27358" xr:uid="{00000000-0005-0000-0000-0000F00E0000}"/>
    <cellStyle name="20% - Accent2 2 2 12 2 6" xfId="39154" xr:uid="{00000000-0005-0000-0000-0000F10E0000}"/>
    <cellStyle name="20% - Accent2 2 2 12 2 7" xfId="44631" xr:uid="{00000000-0005-0000-0000-0000F20E0000}"/>
    <cellStyle name="20% - Accent2 2 2 12 2 8" xfId="50108" xr:uid="{00000000-0005-0000-0000-0000F30E0000}"/>
    <cellStyle name="20% - Accent2 2 2 12 2 9" xfId="55626" xr:uid="{00000000-0005-0000-0000-0000F40E0000}"/>
    <cellStyle name="20% - Accent2 2 2 12 3" xfId="7399" xr:uid="{00000000-0005-0000-0000-0000F50E0000}"/>
    <cellStyle name="20% - Accent2 2 2 12 4" xfId="12875" xr:uid="{00000000-0005-0000-0000-0000F60E0000}"/>
    <cellStyle name="20% - Accent2 2 2 12 5" xfId="18351" xr:uid="{00000000-0005-0000-0000-0000F70E0000}"/>
    <cellStyle name="20% - Accent2 2 2 12 6" xfId="23827" xr:uid="{00000000-0005-0000-0000-0000F80E0000}"/>
    <cellStyle name="20% - Accent2 2 2 12 7" xfId="35623" xr:uid="{00000000-0005-0000-0000-0000F90E0000}"/>
    <cellStyle name="20% - Accent2 2 2 12 8" xfId="41100" xr:uid="{00000000-0005-0000-0000-0000FA0E0000}"/>
    <cellStyle name="20% - Accent2 2 2 12 9" xfId="46577" xr:uid="{00000000-0005-0000-0000-0000FB0E0000}"/>
    <cellStyle name="20% - Accent2 2 2 13" xfId="3703" xr:uid="{00000000-0005-0000-0000-0000FC0E0000}"/>
    <cellStyle name="20% - Accent2 2 2 13 2" xfId="9183" xr:uid="{00000000-0005-0000-0000-0000FD0E0000}"/>
    <cellStyle name="20% - Accent2 2 2 13 3" xfId="14659" xr:uid="{00000000-0005-0000-0000-0000FE0E0000}"/>
    <cellStyle name="20% - Accent2 2 2 13 4" xfId="20135" xr:uid="{00000000-0005-0000-0000-0000FF0E0000}"/>
    <cellStyle name="20% - Accent2 2 2 13 5" xfId="25611" xr:uid="{00000000-0005-0000-0000-0000000F0000}"/>
    <cellStyle name="20% - Accent2 2 2 13 6" xfId="37407" xr:uid="{00000000-0005-0000-0000-0000010F0000}"/>
    <cellStyle name="20% - Accent2 2 2 13 7" xfId="42884" xr:uid="{00000000-0005-0000-0000-0000020F0000}"/>
    <cellStyle name="20% - Accent2 2 2 13 8" xfId="48361" xr:uid="{00000000-0005-0000-0000-0000030F0000}"/>
    <cellStyle name="20% - Accent2 2 2 13 9" xfId="53879" xr:uid="{00000000-0005-0000-0000-0000040F0000}"/>
    <cellStyle name="20% - Accent2 2 2 14" xfId="5723" xr:uid="{00000000-0005-0000-0000-0000050F0000}"/>
    <cellStyle name="20% - Accent2 2 2 15" xfId="11203" xr:uid="{00000000-0005-0000-0000-0000060F0000}"/>
    <cellStyle name="20% - Accent2 2 2 16" xfId="16679" xr:uid="{00000000-0005-0000-0000-0000070F0000}"/>
    <cellStyle name="20% - Accent2 2 2 17" xfId="22155" xr:uid="{00000000-0005-0000-0000-0000080F0000}"/>
    <cellStyle name="20% - Accent2 2 2 18" xfId="28221" xr:uid="{00000000-0005-0000-0000-0000090F0000}"/>
    <cellStyle name="20% - Accent2 2 2 19" xfId="33950" xr:uid="{00000000-0005-0000-0000-00000A0F0000}"/>
    <cellStyle name="20% - Accent2 2 2 2" xfId="223" xr:uid="{00000000-0005-0000-0000-00000B0F0000}"/>
    <cellStyle name="20% - Accent2 2 2 2 10" xfId="1796" xr:uid="{00000000-0005-0000-0000-00000C0F0000}"/>
    <cellStyle name="20% - Accent2 2 2 2 10 10" xfId="44908" xr:uid="{00000000-0005-0000-0000-00000D0F0000}"/>
    <cellStyle name="20% - Accent2 2 2 2 10 11" xfId="50386" xr:uid="{00000000-0005-0000-0000-00000E0F0000}"/>
    <cellStyle name="20% - Accent2 2 2 2 10 2" xfId="3557" xr:uid="{00000000-0005-0000-0000-00000F0F0000}"/>
    <cellStyle name="20% - Accent2 2 2 2 10 2 2" xfId="9037" xr:uid="{00000000-0005-0000-0000-0000100F0000}"/>
    <cellStyle name="20% - Accent2 2 2 2 10 2 3" xfId="14513" xr:uid="{00000000-0005-0000-0000-0000110F0000}"/>
    <cellStyle name="20% - Accent2 2 2 2 10 2 4" xfId="19989" xr:uid="{00000000-0005-0000-0000-0000120F0000}"/>
    <cellStyle name="20% - Accent2 2 2 2 10 2 5" xfId="25465" xr:uid="{00000000-0005-0000-0000-0000130F0000}"/>
    <cellStyle name="20% - Accent2 2 2 2 10 2 6" xfId="37261" xr:uid="{00000000-0005-0000-0000-0000140F0000}"/>
    <cellStyle name="20% - Accent2 2 2 2 10 2 7" xfId="42738" xr:uid="{00000000-0005-0000-0000-0000150F0000}"/>
    <cellStyle name="20% - Accent2 2 2 2 10 2 8" xfId="48215" xr:uid="{00000000-0005-0000-0000-0000160F0000}"/>
    <cellStyle name="20% - Accent2 2 2 2 10 2 9" xfId="53733" xr:uid="{00000000-0005-0000-0000-0000170F0000}"/>
    <cellStyle name="20% - Accent2 2 2 2 10 3" xfId="5329" xr:uid="{00000000-0005-0000-0000-0000180F0000}"/>
    <cellStyle name="20% - Accent2 2 2 2 10 3 2" xfId="10809" xr:uid="{00000000-0005-0000-0000-0000190F0000}"/>
    <cellStyle name="20% - Accent2 2 2 2 10 3 3" xfId="16285" xr:uid="{00000000-0005-0000-0000-00001A0F0000}"/>
    <cellStyle name="20% - Accent2 2 2 2 10 3 4" xfId="21761" xr:uid="{00000000-0005-0000-0000-00001B0F0000}"/>
    <cellStyle name="20% - Accent2 2 2 2 10 3 5" xfId="27237" xr:uid="{00000000-0005-0000-0000-00001C0F0000}"/>
    <cellStyle name="20% - Accent2 2 2 2 10 3 6" xfId="39033" xr:uid="{00000000-0005-0000-0000-00001D0F0000}"/>
    <cellStyle name="20% - Accent2 2 2 2 10 3 7" xfId="44510" xr:uid="{00000000-0005-0000-0000-00001E0F0000}"/>
    <cellStyle name="20% - Accent2 2 2 2 10 3 8" xfId="49987" xr:uid="{00000000-0005-0000-0000-00001F0F0000}"/>
    <cellStyle name="20% - Accent2 2 2 2 10 3 9" xfId="55505" xr:uid="{00000000-0005-0000-0000-0000200F0000}"/>
    <cellStyle name="20% - Accent2 2 2 2 10 4" xfId="5727" xr:uid="{00000000-0005-0000-0000-0000210F0000}"/>
    <cellStyle name="20% - Accent2 2 2 2 10 5" xfId="11207" xr:uid="{00000000-0005-0000-0000-0000220F0000}"/>
    <cellStyle name="20% - Accent2 2 2 2 10 6" xfId="16683" xr:uid="{00000000-0005-0000-0000-0000230F0000}"/>
    <cellStyle name="20% - Accent2 2 2 2 10 7" xfId="22159" xr:uid="{00000000-0005-0000-0000-0000240F0000}"/>
    <cellStyle name="20% - Accent2 2 2 2 10 8" xfId="33954" xr:uid="{00000000-0005-0000-0000-0000250F0000}"/>
    <cellStyle name="20% - Accent2 2 2 2 10 9" xfId="39431" xr:uid="{00000000-0005-0000-0000-0000260F0000}"/>
    <cellStyle name="20% - Accent2 2 2 2 11" xfId="1919" xr:uid="{00000000-0005-0000-0000-0000270F0000}"/>
    <cellStyle name="20% - Accent2 2 2 2 11 10" xfId="52096" xr:uid="{00000000-0005-0000-0000-0000280F0000}"/>
    <cellStyle name="20% - Accent2 2 2 2 11 2" xfId="5451" xr:uid="{00000000-0005-0000-0000-0000290F0000}"/>
    <cellStyle name="20% - Accent2 2 2 2 11 2 2" xfId="10931" xr:uid="{00000000-0005-0000-0000-00002A0F0000}"/>
    <cellStyle name="20% - Accent2 2 2 2 11 2 3" xfId="16407" xr:uid="{00000000-0005-0000-0000-00002B0F0000}"/>
    <cellStyle name="20% - Accent2 2 2 2 11 2 4" xfId="21883" xr:uid="{00000000-0005-0000-0000-00002C0F0000}"/>
    <cellStyle name="20% - Accent2 2 2 2 11 2 5" xfId="27359" xr:uid="{00000000-0005-0000-0000-00002D0F0000}"/>
    <cellStyle name="20% - Accent2 2 2 2 11 2 6" xfId="39155" xr:uid="{00000000-0005-0000-0000-00002E0F0000}"/>
    <cellStyle name="20% - Accent2 2 2 2 11 2 7" xfId="44632" xr:uid="{00000000-0005-0000-0000-00002F0F0000}"/>
    <cellStyle name="20% - Accent2 2 2 2 11 2 8" xfId="50109" xr:uid="{00000000-0005-0000-0000-0000300F0000}"/>
    <cellStyle name="20% - Accent2 2 2 2 11 2 9" xfId="55627" xr:uid="{00000000-0005-0000-0000-0000310F0000}"/>
    <cellStyle name="20% - Accent2 2 2 2 11 3" xfId="7400" xr:uid="{00000000-0005-0000-0000-0000320F0000}"/>
    <cellStyle name="20% - Accent2 2 2 2 11 4" xfId="12876" xr:uid="{00000000-0005-0000-0000-0000330F0000}"/>
    <cellStyle name="20% - Accent2 2 2 2 11 5" xfId="18352" xr:uid="{00000000-0005-0000-0000-0000340F0000}"/>
    <cellStyle name="20% - Accent2 2 2 2 11 6" xfId="23828" xr:uid="{00000000-0005-0000-0000-0000350F0000}"/>
    <cellStyle name="20% - Accent2 2 2 2 11 7" xfId="35624" xr:uid="{00000000-0005-0000-0000-0000360F0000}"/>
    <cellStyle name="20% - Accent2 2 2 2 11 8" xfId="41101" xr:uid="{00000000-0005-0000-0000-0000370F0000}"/>
    <cellStyle name="20% - Accent2 2 2 2 11 9" xfId="46578" xr:uid="{00000000-0005-0000-0000-0000380F0000}"/>
    <cellStyle name="20% - Accent2 2 2 2 12" xfId="3789" xr:uid="{00000000-0005-0000-0000-0000390F0000}"/>
    <cellStyle name="20% - Accent2 2 2 2 12 2" xfId="9269" xr:uid="{00000000-0005-0000-0000-00003A0F0000}"/>
    <cellStyle name="20% - Accent2 2 2 2 12 3" xfId="14745" xr:uid="{00000000-0005-0000-0000-00003B0F0000}"/>
    <cellStyle name="20% - Accent2 2 2 2 12 4" xfId="20221" xr:uid="{00000000-0005-0000-0000-00003C0F0000}"/>
    <cellStyle name="20% - Accent2 2 2 2 12 5" xfId="25697" xr:uid="{00000000-0005-0000-0000-00003D0F0000}"/>
    <cellStyle name="20% - Accent2 2 2 2 12 6" xfId="37493" xr:uid="{00000000-0005-0000-0000-00003E0F0000}"/>
    <cellStyle name="20% - Accent2 2 2 2 12 7" xfId="42970" xr:uid="{00000000-0005-0000-0000-00003F0F0000}"/>
    <cellStyle name="20% - Accent2 2 2 2 12 8" xfId="48447" xr:uid="{00000000-0005-0000-0000-0000400F0000}"/>
    <cellStyle name="20% - Accent2 2 2 2 12 9" xfId="53965" xr:uid="{00000000-0005-0000-0000-0000410F0000}"/>
    <cellStyle name="20% - Accent2 2 2 2 13" xfId="5726" xr:uid="{00000000-0005-0000-0000-0000420F0000}"/>
    <cellStyle name="20% - Accent2 2 2 2 14" xfId="11206" xr:uid="{00000000-0005-0000-0000-0000430F0000}"/>
    <cellStyle name="20% - Accent2 2 2 2 15" xfId="16682" xr:uid="{00000000-0005-0000-0000-0000440F0000}"/>
    <cellStyle name="20% - Accent2 2 2 2 16" xfId="22158" xr:uid="{00000000-0005-0000-0000-0000450F0000}"/>
    <cellStyle name="20% - Accent2 2 2 2 17" xfId="28222" xr:uid="{00000000-0005-0000-0000-0000460F0000}"/>
    <cellStyle name="20% - Accent2 2 2 2 18" xfId="33953" xr:uid="{00000000-0005-0000-0000-0000470F0000}"/>
    <cellStyle name="20% - Accent2 2 2 2 19" xfId="39430" xr:uid="{00000000-0005-0000-0000-0000480F0000}"/>
    <cellStyle name="20% - Accent2 2 2 2 2" xfId="290" xr:uid="{00000000-0005-0000-0000-0000490F0000}"/>
    <cellStyle name="20% - Accent2 2 2 2 2 10" xfId="39432" xr:uid="{00000000-0005-0000-0000-00004A0F0000}"/>
    <cellStyle name="20% - Accent2 2 2 2 2 11" xfId="44909" xr:uid="{00000000-0005-0000-0000-00004B0F0000}"/>
    <cellStyle name="20% - Accent2 2 2 2 2 12" xfId="50387" xr:uid="{00000000-0005-0000-0000-00004C0F0000}"/>
    <cellStyle name="20% - Accent2 2 2 2 2 2" xfId="2091" xr:uid="{00000000-0005-0000-0000-00004D0F0000}"/>
    <cellStyle name="20% - Accent2 2 2 2 2 2 2" xfId="7571" xr:uid="{00000000-0005-0000-0000-00004E0F0000}"/>
    <cellStyle name="20% - Accent2 2 2 2 2 2 3" xfId="13047" xr:uid="{00000000-0005-0000-0000-00004F0F0000}"/>
    <cellStyle name="20% - Accent2 2 2 2 2 2 4" xfId="18523" xr:uid="{00000000-0005-0000-0000-0000500F0000}"/>
    <cellStyle name="20% - Accent2 2 2 2 2 2 5" xfId="23999" xr:uid="{00000000-0005-0000-0000-0000510F0000}"/>
    <cellStyle name="20% - Accent2 2 2 2 2 2 6" xfId="35795" xr:uid="{00000000-0005-0000-0000-0000520F0000}"/>
    <cellStyle name="20% - Accent2 2 2 2 2 2 7" xfId="41272" xr:uid="{00000000-0005-0000-0000-0000530F0000}"/>
    <cellStyle name="20% - Accent2 2 2 2 2 2 8" xfId="46749" xr:uid="{00000000-0005-0000-0000-0000540F0000}"/>
    <cellStyle name="20% - Accent2 2 2 2 2 2 9" xfId="52267" xr:uid="{00000000-0005-0000-0000-0000550F0000}"/>
    <cellStyle name="20% - Accent2 2 2 2 2 3" xfId="3852" xr:uid="{00000000-0005-0000-0000-0000560F0000}"/>
    <cellStyle name="20% - Accent2 2 2 2 2 3 2" xfId="9332" xr:uid="{00000000-0005-0000-0000-0000570F0000}"/>
    <cellStyle name="20% - Accent2 2 2 2 2 3 3" xfId="14808" xr:uid="{00000000-0005-0000-0000-0000580F0000}"/>
    <cellStyle name="20% - Accent2 2 2 2 2 3 4" xfId="20284" xr:uid="{00000000-0005-0000-0000-0000590F0000}"/>
    <cellStyle name="20% - Accent2 2 2 2 2 3 5" xfId="25760" xr:uid="{00000000-0005-0000-0000-00005A0F0000}"/>
    <cellStyle name="20% - Accent2 2 2 2 2 3 6" xfId="37556" xr:uid="{00000000-0005-0000-0000-00005B0F0000}"/>
    <cellStyle name="20% - Accent2 2 2 2 2 3 7" xfId="43033" xr:uid="{00000000-0005-0000-0000-00005C0F0000}"/>
    <cellStyle name="20% - Accent2 2 2 2 2 3 8" xfId="48510" xr:uid="{00000000-0005-0000-0000-00005D0F0000}"/>
    <cellStyle name="20% - Accent2 2 2 2 2 3 9" xfId="54028" xr:uid="{00000000-0005-0000-0000-00005E0F0000}"/>
    <cellStyle name="20% - Accent2 2 2 2 2 4" xfId="5728" xr:uid="{00000000-0005-0000-0000-00005F0F0000}"/>
    <cellStyle name="20% - Accent2 2 2 2 2 5" xfId="11208" xr:uid="{00000000-0005-0000-0000-0000600F0000}"/>
    <cellStyle name="20% - Accent2 2 2 2 2 6" xfId="16684" xr:uid="{00000000-0005-0000-0000-0000610F0000}"/>
    <cellStyle name="20% - Accent2 2 2 2 2 7" xfId="22160" xr:uid="{00000000-0005-0000-0000-0000620F0000}"/>
    <cellStyle name="20% - Accent2 2 2 2 2 8" xfId="28223" xr:uid="{00000000-0005-0000-0000-0000630F0000}"/>
    <cellStyle name="20% - Accent2 2 2 2 2 9" xfId="33955" xr:uid="{00000000-0005-0000-0000-0000640F0000}"/>
    <cellStyle name="20% - Accent2 2 2 2 20" xfId="44907" xr:uid="{00000000-0005-0000-0000-0000650F0000}"/>
    <cellStyle name="20% - Accent2 2 2 2 21" xfId="50385" xr:uid="{00000000-0005-0000-0000-0000660F0000}"/>
    <cellStyle name="20% - Accent2 2 2 2 3" xfId="491" xr:uid="{00000000-0005-0000-0000-0000670F0000}"/>
    <cellStyle name="20% - Accent2 2 2 2 3 10" xfId="44910" xr:uid="{00000000-0005-0000-0000-0000680F0000}"/>
    <cellStyle name="20% - Accent2 2 2 2 3 11" xfId="50388" xr:uid="{00000000-0005-0000-0000-0000690F0000}"/>
    <cellStyle name="20% - Accent2 2 2 2 3 2" xfId="2252" xr:uid="{00000000-0005-0000-0000-00006A0F0000}"/>
    <cellStyle name="20% - Accent2 2 2 2 3 2 2" xfId="7732" xr:uid="{00000000-0005-0000-0000-00006B0F0000}"/>
    <cellStyle name="20% - Accent2 2 2 2 3 2 3" xfId="13208" xr:uid="{00000000-0005-0000-0000-00006C0F0000}"/>
    <cellStyle name="20% - Accent2 2 2 2 3 2 4" xfId="18684" xr:uid="{00000000-0005-0000-0000-00006D0F0000}"/>
    <cellStyle name="20% - Accent2 2 2 2 3 2 5" xfId="24160" xr:uid="{00000000-0005-0000-0000-00006E0F0000}"/>
    <cellStyle name="20% - Accent2 2 2 2 3 2 6" xfId="35956" xr:uid="{00000000-0005-0000-0000-00006F0F0000}"/>
    <cellStyle name="20% - Accent2 2 2 2 3 2 7" xfId="41433" xr:uid="{00000000-0005-0000-0000-0000700F0000}"/>
    <cellStyle name="20% - Accent2 2 2 2 3 2 8" xfId="46910" xr:uid="{00000000-0005-0000-0000-0000710F0000}"/>
    <cellStyle name="20% - Accent2 2 2 2 3 2 9" xfId="52428" xr:uid="{00000000-0005-0000-0000-0000720F0000}"/>
    <cellStyle name="20% - Accent2 2 2 2 3 3" xfId="4024" xr:uid="{00000000-0005-0000-0000-0000730F0000}"/>
    <cellStyle name="20% - Accent2 2 2 2 3 3 2" xfId="9504" xr:uid="{00000000-0005-0000-0000-0000740F0000}"/>
    <cellStyle name="20% - Accent2 2 2 2 3 3 3" xfId="14980" xr:uid="{00000000-0005-0000-0000-0000750F0000}"/>
    <cellStyle name="20% - Accent2 2 2 2 3 3 4" xfId="20456" xr:uid="{00000000-0005-0000-0000-0000760F0000}"/>
    <cellStyle name="20% - Accent2 2 2 2 3 3 5" xfId="25932" xr:uid="{00000000-0005-0000-0000-0000770F0000}"/>
    <cellStyle name="20% - Accent2 2 2 2 3 3 6" xfId="37728" xr:uid="{00000000-0005-0000-0000-0000780F0000}"/>
    <cellStyle name="20% - Accent2 2 2 2 3 3 7" xfId="43205" xr:uid="{00000000-0005-0000-0000-0000790F0000}"/>
    <cellStyle name="20% - Accent2 2 2 2 3 3 8" xfId="48682" xr:uid="{00000000-0005-0000-0000-00007A0F0000}"/>
    <cellStyle name="20% - Accent2 2 2 2 3 3 9" xfId="54200" xr:uid="{00000000-0005-0000-0000-00007B0F0000}"/>
    <cellStyle name="20% - Accent2 2 2 2 3 4" xfId="5729" xr:uid="{00000000-0005-0000-0000-00007C0F0000}"/>
    <cellStyle name="20% - Accent2 2 2 2 3 5" xfId="11209" xr:uid="{00000000-0005-0000-0000-00007D0F0000}"/>
    <cellStyle name="20% - Accent2 2 2 2 3 6" xfId="16685" xr:uid="{00000000-0005-0000-0000-00007E0F0000}"/>
    <cellStyle name="20% - Accent2 2 2 2 3 7" xfId="22161" xr:uid="{00000000-0005-0000-0000-00007F0F0000}"/>
    <cellStyle name="20% - Accent2 2 2 2 3 8" xfId="33956" xr:uid="{00000000-0005-0000-0000-0000800F0000}"/>
    <cellStyle name="20% - Accent2 2 2 2 3 9" xfId="39433" xr:uid="{00000000-0005-0000-0000-0000810F0000}"/>
    <cellStyle name="20% - Accent2 2 2 2 4" xfId="663" xr:uid="{00000000-0005-0000-0000-0000820F0000}"/>
    <cellStyle name="20% - Accent2 2 2 2 4 10" xfId="44911" xr:uid="{00000000-0005-0000-0000-0000830F0000}"/>
    <cellStyle name="20% - Accent2 2 2 2 4 11" xfId="50389" xr:uid="{00000000-0005-0000-0000-0000840F0000}"/>
    <cellStyle name="20% - Accent2 2 2 2 4 2" xfId="2424" xr:uid="{00000000-0005-0000-0000-0000850F0000}"/>
    <cellStyle name="20% - Accent2 2 2 2 4 2 2" xfId="7904" xr:uid="{00000000-0005-0000-0000-0000860F0000}"/>
    <cellStyle name="20% - Accent2 2 2 2 4 2 3" xfId="13380" xr:uid="{00000000-0005-0000-0000-0000870F0000}"/>
    <cellStyle name="20% - Accent2 2 2 2 4 2 4" xfId="18856" xr:uid="{00000000-0005-0000-0000-0000880F0000}"/>
    <cellStyle name="20% - Accent2 2 2 2 4 2 5" xfId="24332" xr:uid="{00000000-0005-0000-0000-0000890F0000}"/>
    <cellStyle name="20% - Accent2 2 2 2 4 2 6" xfId="36128" xr:uid="{00000000-0005-0000-0000-00008A0F0000}"/>
    <cellStyle name="20% - Accent2 2 2 2 4 2 7" xfId="41605" xr:uid="{00000000-0005-0000-0000-00008B0F0000}"/>
    <cellStyle name="20% - Accent2 2 2 2 4 2 8" xfId="47082" xr:uid="{00000000-0005-0000-0000-00008C0F0000}"/>
    <cellStyle name="20% - Accent2 2 2 2 4 2 9" xfId="52600" xr:uid="{00000000-0005-0000-0000-00008D0F0000}"/>
    <cellStyle name="20% - Accent2 2 2 2 4 3" xfId="4196" xr:uid="{00000000-0005-0000-0000-00008E0F0000}"/>
    <cellStyle name="20% - Accent2 2 2 2 4 3 2" xfId="9676" xr:uid="{00000000-0005-0000-0000-00008F0F0000}"/>
    <cellStyle name="20% - Accent2 2 2 2 4 3 3" xfId="15152" xr:uid="{00000000-0005-0000-0000-0000900F0000}"/>
    <cellStyle name="20% - Accent2 2 2 2 4 3 4" xfId="20628" xr:uid="{00000000-0005-0000-0000-0000910F0000}"/>
    <cellStyle name="20% - Accent2 2 2 2 4 3 5" xfId="26104" xr:uid="{00000000-0005-0000-0000-0000920F0000}"/>
    <cellStyle name="20% - Accent2 2 2 2 4 3 6" xfId="37900" xr:uid="{00000000-0005-0000-0000-0000930F0000}"/>
    <cellStyle name="20% - Accent2 2 2 2 4 3 7" xfId="43377" xr:uid="{00000000-0005-0000-0000-0000940F0000}"/>
    <cellStyle name="20% - Accent2 2 2 2 4 3 8" xfId="48854" xr:uid="{00000000-0005-0000-0000-0000950F0000}"/>
    <cellStyle name="20% - Accent2 2 2 2 4 3 9" xfId="54372" xr:uid="{00000000-0005-0000-0000-0000960F0000}"/>
    <cellStyle name="20% - Accent2 2 2 2 4 4" xfId="5730" xr:uid="{00000000-0005-0000-0000-0000970F0000}"/>
    <cellStyle name="20% - Accent2 2 2 2 4 5" xfId="11210" xr:uid="{00000000-0005-0000-0000-0000980F0000}"/>
    <cellStyle name="20% - Accent2 2 2 2 4 6" xfId="16686" xr:uid="{00000000-0005-0000-0000-0000990F0000}"/>
    <cellStyle name="20% - Accent2 2 2 2 4 7" xfId="22162" xr:uid="{00000000-0005-0000-0000-00009A0F0000}"/>
    <cellStyle name="20% - Accent2 2 2 2 4 8" xfId="33957" xr:uid="{00000000-0005-0000-0000-00009B0F0000}"/>
    <cellStyle name="20% - Accent2 2 2 2 4 9" xfId="39434" xr:uid="{00000000-0005-0000-0000-00009C0F0000}"/>
    <cellStyle name="20% - Accent2 2 2 2 5" xfId="835" xr:uid="{00000000-0005-0000-0000-00009D0F0000}"/>
    <cellStyle name="20% - Accent2 2 2 2 5 10" xfId="44912" xr:uid="{00000000-0005-0000-0000-00009E0F0000}"/>
    <cellStyle name="20% - Accent2 2 2 2 5 11" xfId="50390" xr:uid="{00000000-0005-0000-0000-00009F0F0000}"/>
    <cellStyle name="20% - Accent2 2 2 2 5 2" xfId="2596" xr:uid="{00000000-0005-0000-0000-0000A00F0000}"/>
    <cellStyle name="20% - Accent2 2 2 2 5 2 2" xfId="8076" xr:uid="{00000000-0005-0000-0000-0000A10F0000}"/>
    <cellStyle name="20% - Accent2 2 2 2 5 2 3" xfId="13552" xr:uid="{00000000-0005-0000-0000-0000A20F0000}"/>
    <cellStyle name="20% - Accent2 2 2 2 5 2 4" xfId="19028" xr:uid="{00000000-0005-0000-0000-0000A30F0000}"/>
    <cellStyle name="20% - Accent2 2 2 2 5 2 5" xfId="24504" xr:uid="{00000000-0005-0000-0000-0000A40F0000}"/>
    <cellStyle name="20% - Accent2 2 2 2 5 2 6" xfId="36300" xr:uid="{00000000-0005-0000-0000-0000A50F0000}"/>
    <cellStyle name="20% - Accent2 2 2 2 5 2 7" xfId="41777" xr:uid="{00000000-0005-0000-0000-0000A60F0000}"/>
    <cellStyle name="20% - Accent2 2 2 2 5 2 8" xfId="47254" xr:uid="{00000000-0005-0000-0000-0000A70F0000}"/>
    <cellStyle name="20% - Accent2 2 2 2 5 2 9" xfId="52772" xr:uid="{00000000-0005-0000-0000-0000A80F0000}"/>
    <cellStyle name="20% - Accent2 2 2 2 5 3" xfId="4368" xr:uid="{00000000-0005-0000-0000-0000A90F0000}"/>
    <cellStyle name="20% - Accent2 2 2 2 5 3 2" xfId="9848" xr:uid="{00000000-0005-0000-0000-0000AA0F0000}"/>
    <cellStyle name="20% - Accent2 2 2 2 5 3 3" xfId="15324" xr:uid="{00000000-0005-0000-0000-0000AB0F0000}"/>
    <cellStyle name="20% - Accent2 2 2 2 5 3 4" xfId="20800" xr:uid="{00000000-0005-0000-0000-0000AC0F0000}"/>
    <cellStyle name="20% - Accent2 2 2 2 5 3 5" xfId="26276" xr:uid="{00000000-0005-0000-0000-0000AD0F0000}"/>
    <cellStyle name="20% - Accent2 2 2 2 5 3 6" xfId="38072" xr:uid="{00000000-0005-0000-0000-0000AE0F0000}"/>
    <cellStyle name="20% - Accent2 2 2 2 5 3 7" xfId="43549" xr:uid="{00000000-0005-0000-0000-0000AF0F0000}"/>
    <cellStyle name="20% - Accent2 2 2 2 5 3 8" xfId="49026" xr:uid="{00000000-0005-0000-0000-0000B00F0000}"/>
    <cellStyle name="20% - Accent2 2 2 2 5 3 9" xfId="54544" xr:uid="{00000000-0005-0000-0000-0000B10F0000}"/>
    <cellStyle name="20% - Accent2 2 2 2 5 4" xfId="5731" xr:uid="{00000000-0005-0000-0000-0000B20F0000}"/>
    <cellStyle name="20% - Accent2 2 2 2 5 5" xfId="11211" xr:uid="{00000000-0005-0000-0000-0000B30F0000}"/>
    <cellStyle name="20% - Accent2 2 2 2 5 6" xfId="16687" xr:uid="{00000000-0005-0000-0000-0000B40F0000}"/>
    <cellStyle name="20% - Accent2 2 2 2 5 7" xfId="22163" xr:uid="{00000000-0005-0000-0000-0000B50F0000}"/>
    <cellStyle name="20% - Accent2 2 2 2 5 8" xfId="33958" xr:uid="{00000000-0005-0000-0000-0000B60F0000}"/>
    <cellStyle name="20% - Accent2 2 2 2 5 9" xfId="39435" xr:uid="{00000000-0005-0000-0000-0000B70F0000}"/>
    <cellStyle name="20% - Accent2 2 2 2 6" xfId="1041" xr:uid="{00000000-0005-0000-0000-0000B80F0000}"/>
    <cellStyle name="20% - Accent2 2 2 2 6 10" xfId="44913" xr:uid="{00000000-0005-0000-0000-0000B90F0000}"/>
    <cellStyle name="20% - Accent2 2 2 2 6 11" xfId="50391" xr:uid="{00000000-0005-0000-0000-0000BA0F0000}"/>
    <cellStyle name="20% - Accent2 2 2 2 6 2" xfId="2802" xr:uid="{00000000-0005-0000-0000-0000BB0F0000}"/>
    <cellStyle name="20% - Accent2 2 2 2 6 2 2" xfId="8282" xr:uid="{00000000-0005-0000-0000-0000BC0F0000}"/>
    <cellStyle name="20% - Accent2 2 2 2 6 2 3" xfId="13758" xr:uid="{00000000-0005-0000-0000-0000BD0F0000}"/>
    <cellStyle name="20% - Accent2 2 2 2 6 2 4" xfId="19234" xr:uid="{00000000-0005-0000-0000-0000BE0F0000}"/>
    <cellStyle name="20% - Accent2 2 2 2 6 2 5" xfId="24710" xr:uid="{00000000-0005-0000-0000-0000BF0F0000}"/>
    <cellStyle name="20% - Accent2 2 2 2 6 2 6" xfId="36506" xr:uid="{00000000-0005-0000-0000-0000C00F0000}"/>
    <cellStyle name="20% - Accent2 2 2 2 6 2 7" xfId="41983" xr:uid="{00000000-0005-0000-0000-0000C10F0000}"/>
    <cellStyle name="20% - Accent2 2 2 2 6 2 8" xfId="47460" xr:uid="{00000000-0005-0000-0000-0000C20F0000}"/>
    <cellStyle name="20% - Accent2 2 2 2 6 2 9" xfId="52978" xr:uid="{00000000-0005-0000-0000-0000C30F0000}"/>
    <cellStyle name="20% - Accent2 2 2 2 6 3" xfId="4574" xr:uid="{00000000-0005-0000-0000-0000C40F0000}"/>
    <cellStyle name="20% - Accent2 2 2 2 6 3 2" xfId="10054" xr:uid="{00000000-0005-0000-0000-0000C50F0000}"/>
    <cellStyle name="20% - Accent2 2 2 2 6 3 3" xfId="15530" xr:uid="{00000000-0005-0000-0000-0000C60F0000}"/>
    <cellStyle name="20% - Accent2 2 2 2 6 3 4" xfId="21006" xr:uid="{00000000-0005-0000-0000-0000C70F0000}"/>
    <cellStyle name="20% - Accent2 2 2 2 6 3 5" xfId="26482" xr:uid="{00000000-0005-0000-0000-0000C80F0000}"/>
    <cellStyle name="20% - Accent2 2 2 2 6 3 6" xfId="38278" xr:uid="{00000000-0005-0000-0000-0000C90F0000}"/>
    <cellStyle name="20% - Accent2 2 2 2 6 3 7" xfId="43755" xr:uid="{00000000-0005-0000-0000-0000CA0F0000}"/>
    <cellStyle name="20% - Accent2 2 2 2 6 3 8" xfId="49232" xr:uid="{00000000-0005-0000-0000-0000CB0F0000}"/>
    <cellStyle name="20% - Accent2 2 2 2 6 3 9" xfId="54750" xr:uid="{00000000-0005-0000-0000-0000CC0F0000}"/>
    <cellStyle name="20% - Accent2 2 2 2 6 4" xfId="5732" xr:uid="{00000000-0005-0000-0000-0000CD0F0000}"/>
    <cellStyle name="20% - Accent2 2 2 2 6 5" xfId="11212" xr:uid="{00000000-0005-0000-0000-0000CE0F0000}"/>
    <cellStyle name="20% - Accent2 2 2 2 6 6" xfId="16688" xr:uid="{00000000-0005-0000-0000-0000CF0F0000}"/>
    <cellStyle name="20% - Accent2 2 2 2 6 7" xfId="22164" xr:uid="{00000000-0005-0000-0000-0000D00F0000}"/>
    <cellStyle name="20% - Accent2 2 2 2 6 8" xfId="33959" xr:uid="{00000000-0005-0000-0000-0000D10F0000}"/>
    <cellStyle name="20% - Accent2 2 2 2 6 9" xfId="39436" xr:uid="{00000000-0005-0000-0000-0000D20F0000}"/>
    <cellStyle name="20% - Accent2 2 2 2 7" xfId="1213" xr:uid="{00000000-0005-0000-0000-0000D30F0000}"/>
    <cellStyle name="20% - Accent2 2 2 2 7 10" xfId="44914" xr:uid="{00000000-0005-0000-0000-0000D40F0000}"/>
    <cellStyle name="20% - Accent2 2 2 2 7 11" xfId="50392" xr:uid="{00000000-0005-0000-0000-0000D50F0000}"/>
    <cellStyle name="20% - Accent2 2 2 2 7 2" xfId="2974" xr:uid="{00000000-0005-0000-0000-0000D60F0000}"/>
    <cellStyle name="20% - Accent2 2 2 2 7 2 2" xfId="8454" xr:uid="{00000000-0005-0000-0000-0000D70F0000}"/>
    <cellStyle name="20% - Accent2 2 2 2 7 2 3" xfId="13930" xr:uid="{00000000-0005-0000-0000-0000D80F0000}"/>
    <cellStyle name="20% - Accent2 2 2 2 7 2 4" xfId="19406" xr:uid="{00000000-0005-0000-0000-0000D90F0000}"/>
    <cellStyle name="20% - Accent2 2 2 2 7 2 5" xfId="24882" xr:uid="{00000000-0005-0000-0000-0000DA0F0000}"/>
    <cellStyle name="20% - Accent2 2 2 2 7 2 6" xfId="36678" xr:uid="{00000000-0005-0000-0000-0000DB0F0000}"/>
    <cellStyle name="20% - Accent2 2 2 2 7 2 7" xfId="42155" xr:uid="{00000000-0005-0000-0000-0000DC0F0000}"/>
    <cellStyle name="20% - Accent2 2 2 2 7 2 8" xfId="47632" xr:uid="{00000000-0005-0000-0000-0000DD0F0000}"/>
    <cellStyle name="20% - Accent2 2 2 2 7 2 9" xfId="53150" xr:uid="{00000000-0005-0000-0000-0000DE0F0000}"/>
    <cellStyle name="20% - Accent2 2 2 2 7 3" xfId="4746" xr:uid="{00000000-0005-0000-0000-0000DF0F0000}"/>
    <cellStyle name="20% - Accent2 2 2 2 7 3 2" xfId="10226" xr:uid="{00000000-0005-0000-0000-0000E00F0000}"/>
    <cellStyle name="20% - Accent2 2 2 2 7 3 3" xfId="15702" xr:uid="{00000000-0005-0000-0000-0000E10F0000}"/>
    <cellStyle name="20% - Accent2 2 2 2 7 3 4" xfId="21178" xr:uid="{00000000-0005-0000-0000-0000E20F0000}"/>
    <cellStyle name="20% - Accent2 2 2 2 7 3 5" xfId="26654" xr:uid="{00000000-0005-0000-0000-0000E30F0000}"/>
    <cellStyle name="20% - Accent2 2 2 2 7 3 6" xfId="38450" xr:uid="{00000000-0005-0000-0000-0000E40F0000}"/>
    <cellStyle name="20% - Accent2 2 2 2 7 3 7" xfId="43927" xr:uid="{00000000-0005-0000-0000-0000E50F0000}"/>
    <cellStyle name="20% - Accent2 2 2 2 7 3 8" xfId="49404" xr:uid="{00000000-0005-0000-0000-0000E60F0000}"/>
    <cellStyle name="20% - Accent2 2 2 2 7 3 9" xfId="54922" xr:uid="{00000000-0005-0000-0000-0000E70F0000}"/>
    <cellStyle name="20% - Accent2 2 2 2 7 4" xfId="5733" xr:uid="{00000000-0005-0000-0000-0000E80F0000}"/>
    <cellStyle name="20% - Accent2 2 2 2 7 5" xfId="11213" xr:uid="{00000000-0005-0000-0000-0000E90F0000}"/>
    <cellStyle name="20% - Accent2 2 2 2 7 6" xfId="16689" xr:uid="{00000000-0005-0000-0000-0000EA0F0000}"/>
    <cellStyle name="20% - Accent2 2 2 2 7 7" xfId="22165" xr:uid="{00000000-0005-0000-0000-0000EB0F0000}"/>
    <cellStyle name="20% - Accent2 2 2 2 7 8" xfId="33960" xr:uid="{00000000-0005-0000-0000-0000EC0F0000}"/>
    <cellStyle name="20% - Accent2 2 2 2 7 9" xfId="39437" xr:uid="{00000000-0005-0000-0000-0000ED0F0000}"/>
    <cellStyle name="20% - Accent2 2 2 2 8" xfId="1385" xr:uid="{00000000-0005-0000-0000-0000EE0F0000}"/>
    <cellStyle name="20% - Accent2 2 2 2 8 10" xfId="44915" xr:uid="{00000000-0005-0000-0000-0000EF0F0000}"/>
    <cellStyle name="20% - Accent2 2 2 2 8 11" xfId="50393" xr:uid="{00000000-0005-0000-0000-0000F00F0000}"/>
    <cellStyle name="20% - Accent2 2 2 2 8 2" xfId="3146" xr:uid="{00000000-0005-0000-0000-0000F10F0000}"/>
    <cellStyle name="20% - Accent2 2 2 2 8 2 2" xfId="8626" xr:uid="{00000000-0005-0000-0000-0000F20F0000}"/>
    <cellStyle name="20% - Accent2 2 2 2 8 2 3" xfId="14102" xr:uid="{00000000-0005-0000-0000-0000F30F0000}"/>
    <cellStyle name="20% - Accent2 2 2 2 8 2 4" xfId="19578" xr:uid="{00000000-0005-0000-0000-0000F40F0000}"/>
    <cellStyle name="20% - Accent2 2 2 2 8 2 5" xfId="25054" xr:uid="{00000000-0005-0000-0000-0000F50F0000}"/>
    <cellStyle name="20% - Accent2 2 2 2 8 2 6" xfId="36850" xr:uid="{00000000-0005-0000-0000-0000F60F0000}"/>
    <cellStyle name="20% - Accent2 2 2 2 8 2 7" xfId="42327" xr:uid="{00000000-0005-0000-0000-0000F70F0000}"/>
    <cellStyle name="20% - Accent2 2 2 2 8 2 8" xfId="47804" xr:uid="{00000000-0005-0000-0000-0000F80F0000}"/>
    <cellStyle name="20% - Accent2 2 2 2 8 2 9" xfId="53322" xr:uid="{00000000-0005-0000-0000-0000F90F0000}"/>
    <cellStyle name="20% - Accent2 2 2 2 8 3" xfId="4918" xr:uid="{00000000-0005-0000-0000-0000FA0F0000}"/>
    <cellStyle name="20% - Accent2 2 2 2 8 3 2" xfId="10398" xr:uid="{00000000-0005-0000-0000-0000FB0F0000}"/>
    <cellStyle name="20% - Accent2 2 2 2 8 3 3" xfId="15874" xr:uid="{00000000-0005-0000-0000-0000FC0F0000}"/>
    <cellStyle name="20% - Accent2 2 2 2 8 3 4" xfId="21350" xr:uid="{00000000-0005-0000-0000-0000FD0F0000}"/>
    <cellStyle name="20% - Accent2 2 2 2 8 3 5" xfId="26826" xr:uid="{00000000-0005-0000-0000-0000FE0F0000}"/>
    <cellStyle name="20% - Accent2 2 2 2 8 3 6" xfId="38622" xr:uid="{00000000-0005-0000-0000-0000FF0F0000}"/>
    <cellStyle name="20% - Accent2 2 2 2 8 3 7" xfId="44099" xr:uid="{00000000-0005-0000-0000-000000100000}"/>
    <cellStyle name="20% - Accent2 2 2 2 8 3 8" xfId="49576" xr:uid="{00000000-0005-0000-0000-000001100000}"/>
    <cellStyle name="20% - Accent2 2 2 2 8 3 9" xfId="55094" xr:uid="{00000000-0005-0000-0000-000002100000}"/>
    <cellStyle name="20% - Accent2 2 2 2 8 4" xfId="5734" xr:uid="{00000000-0005-0000-0000-000003100000}"/>
    <cellStyle name="20% - Accent2 2 2 2 8 5" xfId="11214" xr:uid="{00000000-0005-0000-0000-000004100000}"/>
    <cellStyle name="20% - Accent2 2 2 2 8 6" xfId="16690" xr:uid="{00000000-0005-0000-0000-000005100000}"/>
    <cellStyle name="20% - Accent2 2 2 2 8 7" xfId="22166" xr:uid="{00000000-0005-0000-0000-000006100000}"/>
    <cellStyle name="20% - Accent2 2 2 2 8 8" xfId="33961" xr:uid="{00000000-0005-0000-0000-000007100000}"/>
    <cellStyle name="20% - Accent2 2 2 2 8 9" xfId="39438" xr:uid="{00000000-0005-0000-0000-000008100000}"/>
    <cellStyle name="20% - Accent2 2 2 2 9" xfId="1557" xr:uid="{00000000-0005-0000-0000-000009100000}"/>
    <cellStyle name="20% - Accent2 2 2 2 9 10" xfId="44916" xr:uid="{00000000-0005-0000-0000-00000A100000}"/>
    <cellStyle name="20% - Accent2 2 2 2 9 11" xfId="50394" xr:uid="{00000000-0005-0000-0000-00000B100000}"/>
    <cellStyle name="20% - Accent2 2 2 2 9 2" xfId="3318" xr:uid="{00000000-0005-0000-0000-00000C100000}"/>
    <cellStyle name="20% - Accent2 2 2 2 9 2 2" xfId="8798" xr:uid="{00000000-0005-0000-0000-00000D100000}"/>
    <cellStyle name="20% - Accent2 2 2 2 9 2 3" xfId="14274" xr:uid="{00000000-0005-0000-0000-00000E100000}"/>
    <cellStyle name="20% - Accent2 2 2 2 9 2 4" xfId="19750" xr:uid="{00000000-0005-0000-0000-00000F100000}"/>
    <cellStyle name="20% - Accent2 2 2 2 9 2 5" xfId="25226" xr:uid="{00000000-0005-0000-0000-000010100000}"/>
    <cellStyle name="20% - Accent2 2 2 2 9 2 6" xfId="37022" xr:uid="{00000000-0005-0000-0000-000011100000}"/>
    <cellStyle name="20% - Accent2 2 2 2 9 2 7" xfId="42499" xr:uid="{00000000-0005-0000-0000-000012100000}"/>
    <cellStyle name="20% - Accent2 2 2 2 9 2 8" xfId="47976" xr:uid="{00000000-0005-0000-0000-000013100000}"/>
    <cellStyle name="20% - Accent2 2 2 2 9 2 9" xfId="53494" xr:uid="{00000000-0005-0000-0000-000014100000}"/>
    <cellStyle name="20% - Accent2 2 2 2 9 3" xfId="5090" xr:uid="{00000000-0005-0000-0000-000015100000}"/>
    <cellStyle name="20% - Accent2 2 2 2 9 3 2" xfId="10570" xr:uid="{00000000-0005-0000-0000-000016100000}"/>
    <cellStyle name="20% - Accent2 2 2 2 9 3 3" xfId="16046" xr:uid="{00000000-0005-0000-0000-000017100000}"/>
    <cellStyle name="20% - Accent2 2 2 2 9 3 4" xfId="21522" xr:uid="{00000000-0005-0000-0000-000018100000}"/>
    <cellStyle name="20% - Accent2 2 2 2 9 3 5" xfId="26998" xr:uid="{00000000-0005-0000-0000-000019100000}"/>
    <cellStyle name="20% - Accent2 2 2 2 9 3 6" xfId="38794" xr:uid="{00000000-0005-0000-0000-00001A100000}"/>
    <cellStyle name="20% - Accent2 2 2 2 9 3 7" xfId="44271" xr:uid="{00000000-0005-0000-0000-00001B100000}"/>
    <cellStyle name="20% - Accent2 2 2 2 9 3 8" xfId="49748" xr:uid="{00000000-0005-0000-0000-00001C100000}"/>
    <cellStyle name="20% - Accent2 2 2 2 9 3 9" xfId="55266" xr:uid="{00000000-0005-0000-0000-00001D100000}"/>
    <cellStyle name="20% - Accent2 2 2 2 9 4" xfId="5735" xr:uid="{00000000-0005-0000-0000-00001E100000}"/>
    <cellStyle name="20% - Accent2 2 2 2 9 5" xfId="11215" xr:uid="{00000000-0005-0000-0000-00001F100000}"/>
    <cellStyle name="20% - Accent2 2 2 2 9 6" xfId="16691" xr:uid="{00000000-0005-0000-0000-000020100000}"/>
    <cellStyle name="20% - Accent2 2 2 2 9 7" xfId="22167" xr:uid="{00000000-0005-0000-0000-000021100000}"/>
    <cellStyle name="20% - Accent2 2 2 2 9 8" xfId="33962" xr:uid="{00000000-0005-0000-0000-000022100000}"/>
    <cellStyle name="20% - Accent2 2 2 2 9 9" xfId="39439" xr:uid="{00000000-0005-0000-0000-000023100000}"/>
    <cellStyle name="20% - Accent2 2 2 20" xfId="39427" xr:uid="{00000000-0005-0000-0000-000024100000}"/>
    <cellStyle name="20% - Accent2 2 2 21" xfId="44904" xr:uid="{00000000-0005-0000-0000-000025100000}"/>
    <cellStyle name="20% - Accent2 2 2 22" xfId="50382" xr:uid="{00000000-0005-0000-0000-000026100000}"/>
    <cellStyle name="20% - Accent2 2 2 3" xfId="289" xr:uid="{00000000-0005-0000-0000-000027100000}"/>
    <cellStyle name="20% - Accent2 2 2 3 10" xfId="39440" xr:uid="{00000000-0005-0000-0000-000028100000}"/>
    <cellStyle name="20% - Accent2 2 2 3 11" xfId="44917" xr:uid="{00000000-0005-0000-0000-000029100000}"/>
    <cellStyle name="20% - Accent2 2 2 3 12" xfId="50395" xr:uid="{00000000-0005-0000-0000-00002A100000}"/>
    <cellStyle name="20% - Accent2 2 2 3 2" xfId="2090" xr:uid="{00000000-0005-0000-0000-00002B100000}"/>
    <cellStyle name="20% - Accent2 2 2 3 2 2" xfId="7570" xr:uid="{00000000-0005-0000-0000-00002C100000}"/>
    <cellStyle name="20% - Accent2 2 2 3 2 3" xfId="13046" xr:uid="{00000000-0005-0000-0000-00002D100000}"/>
    <cellStyle name="20% - Accent2 2 2 3 2 4" xfId="18522" xr:uid="{00000000-0005-0000-0000-00002E100000}"/>
    <cellStyle name="20% - Accent2 2 2 3 2 5" xfId="23998" xr:uid="{00000000-0005-0000-0000-00002F100000}"/>
    <cellStyle name="20% - Accent2 2 2 3 2 6" xfId="35794" xr:uid="{00000000-0005-0000-0000-000030100000}"/>
    <cellStyle name="20% - Accent2 2 2 3 2 7" xfId="41271" xr:uid="{00000000-0005-0000-0000-000031100000}"/>
    <cellStyle name="20% - Accent2 2 2 3 2 8" xfId="46748" xr:uid="{00000000-0005-0000-0000-000032100000}"/>
    <cellStyle name="20% - Accent2 2 2 3 2 9" xfId="52266" xr:uid="{00000000-0005-0000-0000-000033100000}"/>
    <cellStyle name="20% - Accent2 2 2 3 3" xfId="3851" xr:uid="{00000000-0005-0000-0000-000034100000}"/>
    <cellStyle name="20% - Accent2 2 2 3 3 2" xfId="9331" xr:uid="{00000000-0005-0000-0000-000035100000}"/>
    <cellStyle name="20% - Accent2 2 2 3 3 3" xfId="14807" xr:uid="{00000000-0005-0000-0000-000036100000}"/>
    <cellStyle name="20% - Accent2 2 2 3 3 4" xfId="20283" xr:uid="{00000000-0005-0000-0000-000037100000}"/>
    <cellStyle name="20% - Accent2 2 2 3 3 5" xfId="25759" xr:uid="{00000000-0005-0000-0000-000038100000}"/>
    <cellStyle name="20% - Accent2 2 2 3 3 6" xfId="37555" xr:uid="{00000000-0005-0000-0000-000039100000}"/>
    <cellStyle name="20% - Accent2 2 2 3 3 7" xfId="43032" xr:uid="{00000000-0005-0000-0000-00003A100000}"/>
    <cellStyle name="20% - Accent2 2 2 3 3 8" xfId="48509" xr:uid="{00000000-0005-0000-0000-00003B100000}"/>
    <cellStyle name="20% - Accent2 2 2 3 3 9" xfId="54027" xr:uid="{00000000-0005-0000-0000-00003C100000}"/>
    <cellStyle name="20% - Accent2 2 2 3 4" xfId="5736" xr:uid="{00000000-0005-0000-0000-00003D100000}"/>
    <cellStyle name="20% - Accent2 2 2 3 5" xfId="11216" xr:uid="{00000000-0005-0000-0000-00003E100000}"/>
    <cellStyle name="20% - Accent2 2 2 3 6" xfId="16692" xr:uid="{00000000-0005-0000-0000-00003F100000}"/>
    <cellStyle name="20% - Accent2 2 2 3 7" xfId="22168" xr:uid="{00000000-0005-0000-0000-000040100000}"/>
    <cellStyle name="20% - Accent2 2 2 3 8" xfId="28224" xr:uid="{00000000-0005-0000-0000-000041100000}"/>
    <cellStyle name="20% - Accent2 2 2 3 9" xfId="33963" xr:uid="{00000000-0005-0000-0000-000042100000}"/>
    <cellStyle name="20% - Accent2 2 2 4" xfId="490" xr:uid="{00000000-0005-0000-0000-000043100000}"/>
    <cellStyle name="20% - Accent2 2 2 4 10" xfId="44918" xr:uid="{00000000-0005-0000-0000-000044100000}"/>
    <cellStyle name="20% - Accent2 2 2 4 11" xfId="50396" xr:uid="{00000000-0005-0000-0000-000045100000}"/>
    <cellStyle name="20% - Accent2 2 2 4 2" xfId="2251" xr:uid="{00000000-0005-0000-0000-000046100000}"/>
    <cellStyle name="20% - Accent2 2 2 4 2 2" xfId="7731" xr:uid="{00000000-0005-0000-0000-000047100000}"/>
    <cellStyle name="20% - Accent2 2 2 4 2 3" xfId="13207" xr:uid="{00000000-0005-0000-0000-000048100000}"/>
    <cellStyle name="20% - Accent2 2 2 4 2 4" xfId="18683" xr:uid="{00000000-0005-0000-0000-000049100000}"/>
    <cellStyle name="20% - Accent2 2 2 4 2 5" xfId="24159" xr:uid="{00000000-0005-0000-0000-00004A100000}"/>
    <cellStyle name="20% - Accent2 2 2 4 2 6" xfId="35955" xr:uid="{00000000-0005-0000-0000-00004B100000}"/>
    <cellStyle name="20% - Accent2 2 2 4 2 7" xfId="41432" xr:uid="{00000000-0005-0000-0000-00004C100000}"/>
    <cellStyle name="20% - Accent2 2 2 4 2 8" xfId="46909" xr:uid="{00000000-0005-0000-0000-00004D100000}"/>
    <cellStyle name="20% - Accent2 2 2 4 2 9" xfId="52427" xr:uid="{00000000-0005-0000-0000-00004E100000}"/>
    <cellStyle name="20% - Accent2 2 2 4 3" xfId="4023" xr:uid="{00000000-0005-0000-0000-00004F100000}"/>
    <cellStyle name="20% - Accent2 2 2 4 3 2" xfId="9503" xr:uid="{00000000-0005-0000-0000-000050100000}"/>
    <cellStyle name="20% - Accent2 2 2 4 3 3" xfId="14979" xr:uid="{00000000-0005-0000-0000-000051100000}"/>
    <cellStyle name="20% - Accent2 2 2 4 3 4" xfId="20455" xr:uid="{00000000-0005-0000-0000-000052100000}"/>
    <cellStyle name="20% - Accent2 2 2 4 3 5" xfId="25931" xr:uid="{00000000-0005-0000-0000-000053100000}"/>
    <cellStyle name="20% - Accent2 2 2 4 3 6" xfId="37727" xr:uid="{00000000-0005-0000-0000-000054100000}"/>
    <cellStyle name="20% - Accent2 2 2 4 3 7" xfId="43204" xr:uid="{00000000-0005-0000-0000-000055100000}"/>
    <cellStyle name="20% - Accent2 2 2 4 3 8" xfId="48681" xr:uid="{00000000-0005-0000-0000-000056100000}"/>
    <cellStyle name="20% - Accent2 2 2 4 3 9" xfId="54199" xr:uid="{00000000-0005-0000-0000-000057100000}"/>
    <cellStyle name="20% - Accent2 2 2 4 4" xfId="5737" xr:uid="{00000000-0005-0000-0000-000058100000}"/>
    <cellStyle name="20% - Accent2 2 2 4 5" xfId="11217" xr:uid="{00000000-0005-0000-0000-000059100000}"/>
    <cellStyle name="20% - Accent2 2 2 4 6" xfId="16693" xr:uid="{00000000-0005-0000-0000-00005A100000}"/>
    <cellStyle name="20% - Accent2 2 2 4 7" xfId="22169" xr:uid="{00000000-0005-0000-0000-00005B100000}"/>
    <cellStyle name="20% - Accent2 2 2 4 8" xfId="33964" xr:uid="{00000000-0005-0000-0000-00005C100000}"/>
    <cellStyle name="20% - Accent2 2 2 4 9" xfId="39441" xr:uid="{00000000-0005-0000-0000-00005D100000}"/>
    <cellStyle name="20% - Accent2 2 2 5" xfId="662" xr:uid="{00000000-0005-0000-0000-00005E100000}"/>
    <cellStyle name="20% - Accent2 2 2 5 10" xfId="44919" xr:uid="{00000000-0005-0000-0000-00005F100000}"/>
    <cellStyle name="20% - Accent2 2 2 5 11" xfId="50397" xr:uid="{00000000-0005-0000-0000-000060100000}"/>
    <cellStyle name="20% - Accent2 2 2 5 2" xfId="2423" xr:uid="{00000000-0005-0000-0000-000061100000}"/>
    <cellStyle name="20% - Accent2 2 2 5 2 2" xfId="7903" xr:uid="{00000000-0005-0000-0000-000062100000}"/>
    <cellStyle name="20% - Accent2 2 2 5 2 3" xfId="13379" xr:uid="{00000000-0005-0000-0000-000063100000}"/>
    <cellStyle name="20% - Accent2 2 2 5 2 4" xfId="18855" xr:uid="{00000000-0005-0000-0000-000064100000}"/>
    <cellStyle name="20% - Accent2 2 2 5 2 5" xfId="24331" xr:uid="{00000000-0005-0000-0000-000065100000}"/>
    <cellStyle name="20% - Accent2 2 2 5 2 6" xfId="36127" xr:uid="{00000000-0005-0000-0000-000066100000}"/>
    <cellStyle name="20% - Accent2 2 2 5 2 7" xfId="41604" xr:uid="{00000000-0005-0000-0000-000067100000}"/>
    <cellStyle name="20% - Accent2 2 2 5 2 8" xfId="47081" xr:uid="{00000000-0005-0000-0000-000068100000}"/>
    <cellStyle name="20% - Accent2 2 2 5 2 9" xfId="52599" xr:uid="{00000000-0005-0000-0000-000069100000}"/>
    <cellStyle name="20% - Accent2 2 2 5 3" xfId="4195" xr:uid="{00000000-0005-0000-0000-00006A100000}"/>
    <cellStyle name="20% - Accent2 2 2 5 3 2" xfId="9675" xr:uid="{00000000-0005-0000-0000-00006B100000}"/>
    <cellStyle name="20% - Accent2 2 2 5 3 3" xfId="15151" xr:uid="{00000000-0005-0000-0000-00006C100000}"/>
    <cellStyle name="20% - Accent2 2 2 5 3 4" xfId="20627" xr:uid="{00000000-0005-0000-0000-00006D100000}"/>
    <cellStyle name="20% - Accent2 2 2 5 3 5" xfId="26103" xr:uid="{00000000-0005-0000-0000-00006E100000}"/>
    <cellStyle name="20% - Accent2 2 2 5 3 6" xfId="37899" xr:uid="{00000000-0005-0000-0000-00006F100000}"/>
    <cellStyle name="20% - Accent2 2 2 5 3 7" xfId="43376" xr:uid="{00000000-0005-0000-0000-000070100000}"/>
    <cellStyle name="20% - Accent2 2 2 5 3 8" xfId="48853" xr:uid="{00000000-0005-0000-0000-000071100000}"/>
    <cellStyle name="20% - Accent2 2 2 5 3 9" xfId="54371" xr:uid="{00000000-0005-0000-0000-000072100000}"/>
    <cellStyle name="20% - Accent2 2 2 5 4" xfId="5738" xr:uid="{00000000-0005-0000-0000-000073100000}"/>
    <cellStyle name="20% - Accent2 2 2 5 5" xfId="11218" xr:uid="{00000000-0005-0000-0000-000074100000}"/>
    <cellStyle name="20% - Accent2 2 2 5 6" xfId="16694" xr:uid="{00000000-0005-0000-0000-000075100000}"/>
    <cellStyle name="20% - Accent2 2 2 5 7" xfId="22170" xr:uid="{00000000-0005-0000-0000-000076100000}"/>
    <cellStyle name="20% - Accent2 2 2 5 8" xfId="33965" xr:uid="{00000000-0005-0000-0000-000077100000}"/>
    <cellStyle name="20% - Accent2 2 2 5 9" xfId="39442" xr:uid="{00000000-0005-0000-0000-000078100000}"/>
    <cellStyle name="20% - Accent2 2 2 6" xfId="834" xr:uid="{00000000-0005-0000-0000-000079100000}"/>
    <cellStyle name="20% - Accent2 2 2 6 10" xfId="44920" xr:uid="{00000000-0005-0000-0000-00007A100000}"/>
    <cellStyle name="20% - Accent2 2 2 6 11" xfId="50398" xr:uid="{00000000-0005-0000-0000-00007B100000}"/>
    <cellStyle name="20% - Accent2 2 2 6 2" xfId="2595" xr:uid="{00000000-0005-0000-0000-00007C100000}"/>
    <cellStyle name="20% - Accent2 2 2 6 2 2" xfId="8075" xr:uid="{00000000-0005-0000-0000-00007D100000}"/>
    <cellStyle name="20% - Accent2 2 2 6 2 3" xfId="13551" xr:uid="{00000000-0005-0000-0000-00007E100000}"/>
    <cellStyle name="20% - Accent2 2 2 6 2 4" xfId="19027" xr:uid="{00000000-0005-0000-0000-00007F100000}"/>
    <cellStyle name="20% - Accent2 2 2 6 2 5" xfId="24503" xr:uid="{00000000-0005-0000-0000-000080100000}"/>
    <cellStyle name="20% - Accent2 2 2 6 2 6" xfId="36299" xr:uid="{00000000-0005-0000-0000-000081100000}"/>
    <cellStyle name="20% - Accent2 2 2 6 2 7" xfId="41776" xr:uid="{00000000-0005-0000-0000-000082100000}"/>
    <cellStyle name="20% - Accent2 2 2 6 2 8" xfId="47253" xr:uid="{00000000-0005-0000-0000-000083100000}"/>
    <cellStyle name="20% - Accent2 2 2 6 2 9" xfId="52771" xr:uid="{00000000-0005-0000-0000-000084100000}"/>
    <cellStyle name="20% - Accent2 2 2 6 3" xfId="4367" xr:uid="{00000000-0005-0000-0000-000085100000}"/>
    <cellStyle name="20% - Accent2 2 2 6 3 2" xfId="9847" xr:uid="{00000000-0005-0000-0000-000086100000}"/>
    <cellStyle name="20% - Accent2 2 2 6 3 3" xfId="15323" xr:uid="{00000000-0005-0000-0000-000087100000}"/>
    <cellStyle name="20% - Accent2 2 2 6 3 4" xfId="20799" xr:uid="{00000000-0005-0000-0000-000088100000}"/>
    <cellStyle name="20% - Accent2 2 2 6 3 5" xfId="26275" xr:uid="{00000000-0005-0000-0000-000089100000}"/>
    <cellStyle name="20% - Accent2 2 2 6 3 6" xfId="38071" xr:uid="{00000000-0005-0000-0000-00008A100000}"/>
    <cellStyle name="20% - Accent2 2 2 6 3 7" xfId="43548" xr:uid="{00000000-0005-0000-0000-00008B100000}"/>
    <cellStyle name="20% - Accent2 2 2 6 3 8" xfId="49025" xr:uid="{00000000-0005-0000-0000-00008C100000}"/>
    <cellStyle name="20% - Accent2 2 2 6 3 9" xfId="54543" xr:uid="{00000000-0005-0000-0000-00008D100000}"/>
    <cellStyle name="20% - Accent2 2 2 6 4" xfId="5739" xr:uid="{00000000-0005-0000-0000-00008E100000}"/>
    <cellStyle name="20% - Accent2 2 2 6 5" xfId="11219" xr:uid="{00000000-0005-0000-0000-00008F100000}"/>
    <cellStyle name="20% - Accent2 2 2 6 6" xfId="16695" xr:uid="{00000000-0005-0000-0000-000090100000}"/>
    <cellStyle name="20% - Accent2 2 2 6 7" xfId="22171" xr:uid="{00000000-0005-0000-0000-000091100000}"/>
    <cellStyle name="20% - Accent2 2 2 6 8" xfId="33966" xr:uid="{00000000-0005-0000-0000-000092100000}"/>
    <cellStyle name="20% - Accent2 2 2 6 9" xfId="39443" xr:uid="{00000000-0005-0000-0000-000093100000}"/>
    <cellStyle name="20% - Accent2 2 2 7" xfId="1040" xr:uid="{00000000-0005-0000-0000-000094100000}"/>
    <cellStyle name="20% - Accent2 2 2 7 10" xfId="44921" xr:uid="{00000000-0005-0000-0000-000095100000}"/>
    <cellStyle name="20% - Accent2 2 2 7 11" xfId="50399" xr:uid="{00000000-0005-0000-0000-000096100000}"/>
    <cellStyle name="20% - Accent2 2 2 7 2" xfId="2801" xr:uid="{00000000-0005-0000-0000-000097100000}"/>
    <cellStyle name="20% - Accent2 2 2 7 2 2" xfId="8281" xr:uid="{00000000-0005-0000-0000-000098100000}"/>
    <cellStyle name="20% - Accent2 2 2 7 2 3" xfId="13757" xr:uid="{00000000-0005-0000-0000-000099100000}"/>
    <cellStyle name="20% - Accent2 2 2 7 2 4" xfId="19233" xr:uid="{00000000-0005-0000-0000-00009A100000}"/>
    <cellStyle name="20% - Accent2 2 2 7 2 5" xfId="24709" xr:uid="{00000000-0005-0000-0000-00009B100000}"/>
    <cellStyle name="20% - Accent2 2 2 7 2 6" xfId="36505" xr:uid="{00000000-0005-0000-0000-00009C100000}"/>
    <cellStyle name="20% - Accent2 2 2 7 2 7" xfId="41982" xr:uid="{00000000-0005-0000-0000-00009D100000}"/>
    <cellStyle name="20% - Accent2 2 2 7 2 8" xfId="47459" xr:uid="{00000000-0005-0000-0000-00009E100000}"/>
    <cellStyle name="20% - Accent2 2 2 7 2 9" xfId="52977" xr:uid="{00000000-0005-0000-0000-00009F100000}"/>
    <cellStyle name="20% - Accent2 2 2 7 3" xfId="4573" xr:uid="{00000000-0005-0000-0000-0000A0100000}"/>
    <cellStyle name="20% - Accent2 2 2 7 3 2" xfId="10053" xr:uid="{00000000-0005-0000-0000-0000A1100000}"/>
    <cellStyle name="20% - Accent2 2 2 7 3 3" xfId="15529" xr:uid="{00000000-0005-0000-0000-0000A2100000}"/>
    <cellStyle name="20% - Accent2 2 2 7 3 4" xfId="21005" xr:uid="{00000000-0005-0000-0000-0000A3100000}"/>
    <cellStyle name="20% - Accent2 2 2 7 3 5" xfId="26481" xr:uid="{00000000-0005-0000-0000-0000A4100000}"/>
    <cellStyle name="20% - Accent2 2 2 7 3 6" xfId="38277" xr:uid="{00000000-0005-0000-0000-0000A5100000}"/>
    <cellStyle name="20% - Accent2 2 2 7 3 7" xfId="43754" xr:uid="{00000000-0005-0000-0000-0000A6100000}"/>
    <cellStyle name="20% - Accent2 2 2 7 3 8" xfId="49231" xr:uid="{00000000-0005-0000-0000-0000A7100000}"/>
    <cellStyle name="20% - Accent2 2 2 7 3 9" xfId="54749" xr:uid="{00000000-0005-0000-0000-0000A8100000}"/>
    <cellStyle name="20% - Accent2 2 2 7 4" xfId="5740" xr:uid="{00000000-0005-0000-0000-0000A9100000}"/>
    <cellStyle name="20% - Accent2 2 2 7 5" xfId="11220" xr:uid="{00000000-0005-0000-0000-0000AA100000}"/>
    <cellStyle name="20% - Accent2 2 2 7 6" xfId="16696" xr:uid="{00000000-0005-0000-0000-0000AB100000}"/>
    <cellStyle name="20% - Accent2 2 2 7 7" xfId="22172" xr:uid="{00000000-0005-0000-0000-0000AC100000}"/>
    <cellStyle name="20% - Accent2 2 2 7 8" xfId="33967" xr:uid="{00000000-0005-0000-0000-0000AD100000}"/>
    <cellStyle name="20% - Accent2 2 2 7 9" xfId="39444" xr:uid="{00000000-0005-0000-0000-0000AE100000}"/>
    <cellStyle name="20% - Accent2 2 2 8" xfId="1212" xr:uid="{00000000-0005-0000-0000-0000AF100000}"/>
    <cellStyle name="20% - Accent2 2 2 8 10" xfId="44922" xr:uid="{00000000-0005-0000-0000-0000B0100000}"/>
    <cellStyle name="20% - Accent2 2 2 8 11" xfId="50400" xr:uid="{00000000-0005-0000-0000-0000B1100000}"/>
    <cellStyle name="20% - Accent2 2 2 8 2" xfId="2973" xr:uid="{00000000-0005-0000-0000-0000B2100000}"/>
    <cellStyle name="20% - Accent2 2 2 8 2 2" xfId="8453" xr:uid="{00000000-0005-0000-0000-0000B3100000}"/>
    <cellStyle name="20% - Accent2 2 2 8 2 3" xfId="13929" xr:uid="{00000000-0005-0000-0000-0000B4100000}"/>
    <cellStyle name="20% - Accent2 2 2 8 2 4" xfId="19405" xr:uid="{00000000-0005-0000-0000-0000B5100000}"/>
    <cellStyle name="20% - Accent2 2 2 8 2 5" xfId="24881" xr:uid="{00000000-0005-0000-0000-0000B6100000}"/>
    <cellStyle name="20% - Accent2 2 2 8 2 6" xfId="36677" xr:uid="{00000000-0005-0000-0000-0000B7100000}"/>
    <cellStyle name="20% - Accent2 2 2 8 2 7" xfId="42154" xr:uid="{00000000-0005-0000-0000-0000B8100000}"/>
    <cellStyle name="20% - Accent2 2 2 8 2 8" xfId="47631" xr:uid="{00000000-0005-0000-0000-0000B9100000}"/>
    <cellStyle name="20% - Accent2 2 2 8 2 9" xfId="53149" xr:uid="{00000000-0005-0000-0000-0000BA100000}"/>
    <cellStyle name="20% - Accent2 2 2 8 3" xfId="4745" xr:uid="{00000000-0005-0000-0000-0000BB100000}"/>
    <cellStyle name="20% - Accent2 2 2 8 3 2" xfId="10225" xr:uid="{00000000-0005-0000-0000-0000BC100000}"/>
    <cellStyle name="20% - Accent2 2 2 8 3 3" xfId="15701" xr:uid="{00000000-0005-0000-0000-0000BD100000}"/>
    <cellStyle name="20% - Accent2 2 2 8 3 4" xfId="21177" xr:uid="{00000000-0005-0000-0000-0000BE100000}"/>
    <cellStyle name="20% - Accent2 2 2 8 3 5" xfId="26653" xr:uid="{00000000-0005-0000-0000-0000BF100000}"/>
    <cellStyle name="20% - Accent2 2 2 8 3 6" xfId="38449" xr:uid="{00000000-0005-0000-0000-0000C0100000}"/>
    <cellStyle name="20% - Accent2 2 2 8 3 7" xfId="43926" xr:uid="{00000000-0005-0000-0000-0000C1100000}"/>
    <cellStyle name="20% - Accent2 2 2 8 3 8" xfId="49403" xr:uid="{00000000-0005-0000-0000-0000C2100000}"/>
    <cellStyle name="20% - Accent2 2 2 8 3 9" xfId="54921" xr:uid="{00000000-0005-0000-0000-0000C3100000}"/>
    <cellStyle name="20% - Accent2 2 2 8 4" xfId="5741" xr:uid="{00000000-0005-0000-0000-0000C4100000}"/>
    <cellStyle name="20% - Accent2 2 2 8 5" xfId="11221" xr:uid="{00000000-0005-0000-0000-0000C5100000}"/>
    <cellStyle name="20% - Accent2 2 2 8 6" xfId="16697" xr:uid="{00000000-0005-0000-0000-0000C6100000}"/>
    <cellStyle name="20% - Accent2 2 2 8 7" xfId="22173" xr:uid="{00000000-0005-0000-0000-0000C7100000}"/>
    <cellStyle name="20% - Accent2 2 2 8 8" xfId="33968" xr:uid="{00000000-0005-0000-0000-0000C8100000}"/>
    <cellStyle name="20% - Accent2 2 2 8 9" xfId="39445" xr:uid="{00000000-0005-0000-0000-0000C9100000}"/>
    <cellStyle name="20% - Accent2 2 2 9" xfId="1384" xr:uid="{00000000-0005-0000-0000-0000CA100000}"/>
    <cellStyle name="20% - Accent2 2 2 9 10" xfId="44923" xr:uid="{00000000-0005-0000-0000-0000CB100000}"/>
    <cellStyle name="20% - Accent2 2 2 9 11" xfId="50401" xr:uid="{00000000-0005-0000-0000-0000CC100000}"/>
    <cellStyle name="20% - Accent2 2 2 9 2" xfId="3145" xr:uid="{00000000-0005-0000-0000-0000CD100000}"/>
    <cellStyle name="20% - Accent2 2 2 9 2 2" xfId="8625" xr:uid="{00000000-0005-0000-0000-0000CE100000}"/>
    <cellStyle name="20% - Accent2 2 2 9 2 3" xfId="14101" xr:uid="{00000000-0005-0000-0000-0000CF100000}"/>
    <cellStyle name="20% - Accent2 2 2 9 2 4" xfId="19577" xr:uid="{00000000-0005-0000-0000-0000D0100000}"/>
    <cellStyle name="20% - Accent2 2 2 9 2 5" xfId="25053" xr:uid="{00000000-0005-0000-0000-0000D1100000}"/>
    <cellStyle name="20% - Accent2 2 2 9 2 6" xfId="36849" xr:uid="{00000000-0005-0000-0000-0000D2100000}"/>
    <cellStyle name="20% - Accent2 2 2 9 2 7" xfId="42326" xr:uid="{00000000-0005-0000-0000-0000D3100000}"/>
    <cellStyle name="20% - Accent2 2 2 9 2 8" xfId="47803" xr:uid="{00000000-0005-0000-0000-0000D4100000}"/>
    <cellStyle name="20% - Accent2 2 2 9 2 9" xfId="53321" xr:uid="{00000000-0005-0000-0000-0000D5100000}"/>
    <cellStyle name="20% - Accent2 2 2 9 3" xfId="4917" xr:uid="{00000000-0005-0000-0000-0000D6100000}"/>
    <cellStyle name="20% - Accent2 2 2 9 3 2" xfId="10397" xr:uid="{00000000-0005-0000-0000-0000D7100000}"/>
    <cellStyle name="20% - Accent2 2 2 9 3 3" xfId="15873" xr:uid="{00000000-0005-0000-0000-0000D8100000}"/>
    <cellStyle name="20% - Accent2 2 2 9 3 4" xfId="21349" xr:uid="{00000000-0005-0000-0000-0000D9100000}"/>
    <cellStyle name="20% - Accent2 2 2 9 3 5" xfId="26825" xr:uid="{00000000-0005-0000-0000-0000DA100000}"/>
    <cellStyle name="20% - Accent2 2 2 9 3 6" xfId="38621" xr:uid="{00000000-0005-0000-0000-0000DB100000}"/>
    <cellStyle name="20% - Accent2 2 2 9 3 7" xfId="44098" xr:uid="{00000000-0005-0000-0000-0000DC100000}"/>
    <cellStyle name="20% - Accent2 2 2 9 3 8" xfId="49575" xr:uid="{00000000-0005-0000-0000-0000DD100000}"/>
    <cellStyle name="20% - Accent2 2 2 9 3 9" xfId="55093" xr:uid="{00000000-0005-0000-0000-0000DE100000}"/>
    <cellStyle name="20% - Accent2 2 2 9 4" xfId="5742" xr:uid="{00000000-0005-0000-0000-0000DF100000}"/>
    <cellStyle name="20% - Accent2 2 2 9 5" xfId="11222" xr:uid="{00000000-0005-0000-0000-0000E0100000}"/>
    <cellStyle name="20% - Accent2 2 2 9 6" xfId="16698" xr:uid="{00000000-0005-0000-0000-0000E1100000}"/>
    <cellStyle name="20% - Accent2 2 2 9 7" xfId="22174" xr:uid="{00000000-0005-0000-0000-0000E2100000}"/>
    <cellStyle name="20% - Accent2 2 2 9 8" xfId="33969" xr:uid="{00000000-0005-0000-0000-0000E3100000}"/>
    <cellStyle name="20% - Accent2 2 2 9 9" xfId="39446" xr:uid="{00000000-0005-0000-0000-0000E4100000}"/>
    <cellStyle name="20% - Accent2 2 20" xfId="5714" xr:uid="{00000000-0005-0000-0000-0000E5100000}"/>
    <cellStyle name="20% - Accent2 2 21" xfId="11194" xr:uid="{00000000-0005-0000-0000-0000E6100000}"/>
    <cellStyle name="20% - Accent2 2 22" xfId="16670" xr:uid="{00000000-0005-0000-0000-0000E7100000}"/>
    <cellStyle name="20% - Accent2 2 23" xfId="22146" xr:uid="{00000000-0005-0000-0000-0000E8100000}"/>
    <cellStyle name="20% - Accent2 2 24" xfId="28220" xr:uid="{00000000-0005-0000-0000-0000E9100000}"/>
    <cellStyle name="20% - Accent2 2 25" xfId="33941" xr:uid="{00000000-0005-0000-0000-0000EA100000}"/>
    <cellStyle name="20% - Accent2 2 26" xfId="39418" xr:uid="{00000000-0005-0000-0000-0000EB100000}"/>
    <cellStyle name="20% - Accent2 2 27" xfId="44895" xr:uid="{00000000-0005-0000-0000-0000EC100000}"/>
    <cellStyle name="20% - Accent2 2 28" xfId="50373" xr:uid="{00000000-0005-0000-0000-0000ED100000}"/>
    <cellStyle name="20% - Accent2 2 3" xfId="148" xr:uid="{00000000-0005-0000-0000-0000EE100000}"/>
    <cellStyle name="20% - Accent2 2 3 10" xfId="1558" xr:uid="{00000000-0005-0000-0000-0000EF100000}"/>
    <cellStyle name="20% - Accent2 2 3 10 10" xfId="44925" xr:uid="{00000000-0005-0000-0000-0000F0100000}"/>
    <cellStyle name="20% - Accent2 2 3 10 11" xfId="50403" xr:uid="{00000000-0005-0000-0000-0000F1100000}"/>
    <cellStyle name="20% - Accent2 2 3 10 2" xfId="3319" xr:uid="{00000000-0005-0000-0000-0000F2100000}"/>
    <cellStyle name="20% - Accent2 2 3 10 2 2" xfId="8799" xr:uid="{00000000-0005-0000-0000-0000F3100000}"/>
    <cellStyle name="20% - Accent2 2 3 10 2 3" xfId="14275" xr:uid="{00000000-0005-0000-0000-0000F4100000}"/>
    <cellStyle name="20% - Accent2 2 3 10 2 4" xfId="19751" xr:uid="{00000000-0005-0000-0000-0000F5100000}"/>
    <cellStyle name="20% - Accent2 2 3 10 2 5" xfId="25227" xr:uid="{00000000-0005-0000-0000-0000F6100000}"/>
    <cellStyle name="20% - Accent2 2 3 10 2 6" xfId="37023" xr:uid="{00000000-0005-0000-0000-0000F7100000}"/>
    <cellStyle name="20% - Accent2 2 3 10 2 7" xfId="42500" xr:uid="{00000000-0005-0000-0000-0000F8100000}"/>
    <cellStyle name="20% - Accent2 2 3 10 2 8" xfId="47977" xr:uid="{00000000-0005-0000-0000-0000F9100000}"/>
    <cellStyle name="20% - Accent2 2 3 10 2 9" xfId="53495" xr:uid="{00000000-0005-0000-0000-0000FA100000}"/>
    <cellStyle name="20% - Accent2 2 3 10 3" xfId="5091" xr:uid="{00000000-0005-0000-0000-0000FB100000}"/>
    <cellStyle name="20% - Accent2 2 3 10 3 2" xfId="10571" xr:uid="{00000000-0005-0000-0000-0000FC100000}"/>
    <cellStyle name="20% - Accent2 2 3 10 3 3" xfId="16047" xr:uid="{00000000-0005-0000-0000-0000FD100000}"/>
    <cellStyle name="20% - Accent2 2 3 10 3 4" xfId="21523" xr:uid="{00000000-0005-0000-0000-0000FE100000}"/>
    <cellStyle name="20% - Accent2 2 3 10 3 5" xfId="26999" xr:uid="{00000000-0005-0000-0000-0000FF100000}"/>
    <cellStyle name="20% - Accent2 2 3 10 3 6" xfId="38795" xr:uid="{00000000-0005-0000-0000-000000110000}"/>
    <cellStyle name="20% - Accent2 2 3 10 3 7" xfId="44272" xr:uid="{00000000-0005-0000-0000-000001110000}"/>
    <cellStyle name="20% - Accent2 2 3 10 3 8" xfId="49749" xr:uid="{00000000-0005-0000-0000-000002110000}"/>
    <cellStyle name="20% - Accent2 2 3 10 3 9" xfId="55267" xr:uid="{00000000-0005-0000-0000-000003110000}"/>
    <cellStyle name="20% - Accent2 2 3 10 4" xfId="5744" xr:uid="{00000000-0005-0000-0000-000004110000}"/>
    <cellStyle name="20% - Accent2 2 3 10 5" xfId="11224" xr:uid="{00000000-0005-0000-0000-000005110000}"/>
    <cellStyle name="20% - Accent2 2 3 10 6" xfId="16700" xr:uid="{00000000-0005-0000-0000-000006110000}"/>
    <cellStyle name="20% - Accent2 2 3 10 7" xfId="22176" xr:uid="{00000000-0005-0000-0000-000007110000}"/>
    <cellStyle name="20% - Accent2 2 3 10 8" xfId="33971" xr:uid="{00000000-0005-0000-0000-000008110000}"/>
    <cellStyle name="20% - Accent2 2 3 10 9" xfId="39448" xr:uid="{00000000-0005-0000-0000-000009110000}"/>
    <cellStyle name="20% - Accent2 2 3 11" xfId="1795" xr:uid="{00000000-0005-0000-0000-00000A110000}"/>
    <cellStyle name="20% - Accent2 2 3 11 10" xfId="44926" xr:uid="{00000000-0005-0000-0000-00000B110000}"/>
    <cellStyle name="20% - Accent2 2 3 11 11" xfId="50404" xr:uid="{00000000-0005-0000-0000-00000C110000}"/>
    <cellStyle name="20% - Accent2 2 3 11 2" xfId="3556" xr:uid="{00000000-0005-0000-0000-00000D110000}"/>
    <cellStyle name="20% - Accent2 2 3 11 2 2" xfId="9036" xr:uid="{00000000-0005-0000-0000-00000E110000}"/>
    <cellStyle name="20% - Accent2 2 3 11 2 3" xfId="14512" xr:uid="{00000000-0005-0000-0000-00000F110000}"/>
    <cellStyle name="20% - Accent2 2 3 11 2 4" xfId="19988" xr:uid="{00000000-0005-0000-0000-000010110000}"/>
    <cellStyle name="20% - Accent2 2 3 11 2 5" xfId="25464" xr:uid="{00000000-0005-0000-0000-000011110000}"/>
    <cellStyle name="20% - Accent2 2 3 11 2 6" xfId="37260" xr:uid="{00000000-0005-0000-0000-000012110000}"/>
    <cellStyle name="20% - Accent2 2 3 11 2 7" xfId="42737" xr:uid="{00000000-0005-0000-0000-000013110000}"/>
    <cellStyle name="20% - Accent2 2 3 11 2 8" xfId="48214" xr:uid="{00000000-0005-0000-0000-000014110000}"/>
    <cellStyle name="20% - Accent2 2 3 11 2 9" xfId="53732" xr:uid="{00000000-0005-0000-0000-000015110000}"/>
    <cellStyle name="20% - Accent2 2 3 11 3" xfId="5328" xr:uid="{00000000-0005-0000-0000-000016110000}"/>
    <cellStyle name="20% - Accent2 2 3 11 3 2" xfId="10808" xr:uid="{00000000-0005-0000-0000-000017110000}"/>
    <cellStyle name="20% - Accent2 2 3 11 3 3" xfId="16284" xr:uid="{00000000-0005-0000-0000-000018110000}"/>
    <cellStyle name="20% - Accent2 2 3 11 3 4" xfId="21760" xr:uid="{00000000-0005-0000-0000-000019110000}"/>
    <cellStyle name="20% - Accent2 2 3 11 3 5" xfId="27236" xr:uid="{00000000-0005-0000-0000-00001A110000}"/>
    <cellStyle name="20% - Accent2 2 3 11 3 6" xfId="39032" xr:uid="{00000000-0005-0000-0000-00001B110000}"/>
    <cellStyle name="20% - Accent2 2 3 11 3 7" xfId="44509" xr:uid="{00000000-0005-0000-0000-00001C110000}"/>
    <cellStyle name="20% - Accent2 2 3 11 3 8" xfId="49986" xr:uid="{00000000-0005-0000-0000-00001D110000}"/>
    <cellStyle name="20% - Accent2 2 3 11 3 9" xfId="55504" xr:uid="{00000000-0005-0000-0000-00001E110000}"/>
    <cellStyle name="20% - Accent2 2 3 11 4" xfId="5745" xr:uid="{00000000-0005-0000-0000-00001F110000}"/>
    <cellStyle name="20% - Accent2 2 3 11 5" xfId="11225" xr:uid="{00000000-0005-0000-0000-000020110000}"/>
    <cellStyle name="20% - Accent2 2 3 11 6" xfId="16701" xr:uid="{00000000-0005-0000-0000-000021110000}"/>
    <cellStyle name="20% - Accent2 2 3 11 7" xfId="22177" xr:uid="{00000000-0005-0000-0000-000022110000}"/>
    <cellStyle name="20% - Accent2 2 3 11 8" xfId="33972" xr:uid="{00000000-0005-0000-0000-000023110000}"/>
    <cellStyle name="20% - Accent2 2 3 11 9" xfId="39449" xr:uid="{00000000-0005-0000-0000-000024110000}"/>
    <cellStyle name="20% - Accent2 2 3 12" xfId="1920" xr:uid="{00000000-0005-0000-0000-000025110000}"/>
    <cellStyle name="20% - Accent2 2 3 12 10" xfId="52097" xr:uid="{00000000-0005-0000-0000-000026110000}"/>
    <cellStyle name="20% - Accent2 2 3 12 2" xfId="5452" xr:uid="{00000000-0005-0000-0000-000027110000}"/>
    <cellStyle name="20% - Accent2 2 3 12 2 2" xfId="10932" xr:uid="{00000000-0005-0000-0000-000028110000}"/>
    <cellStyle name="20% - Accent2 2 3 12 2 3" xfId="16408" xr:uid="{00000000-0005-0000-0000-000029110000}"/>
    <cellStyle name="20% - Accent2 2 3 12 2 4" xfId="21884" xr:uid="{00000000-0005-0000-0000-00002A110000}"/>
    <cellStyle name="20% - Accent2 2 3 12 2 5" xfId="27360" xr:uid="{00000000-0005-0000-0000-00002B110000}"/>
    <cellStyle name="20% - Accent2 2 3 12 2 6" xfId="39156" xr:uid="{00000000-0005-0000-0000-00002C110000}"/>
    <cellStyle name="20% - Accent2 2 3 12 2 7" xfId="44633" xr:uid="{00000000-0005-0000-0000-00002D110000}"/>
    <cellStyle name="20% - Accent2 2 3 12 2 8" xfId="50110" xr:uid="{00000000-0005-0000-0000-00002E110000}"/>
    <cellStyle name="20% - Accent2 2 3 12 2 9" xfId="55628" xr:uid="{00000000-0005-0000-0000-00002F110000}"/>
    <cellStyle name="20% - Accent2 2 3 12 3" xfId="7401" xr:uid="{00000000-0005-0000-0000-000030110000}"/>
    <cellStyle name="20% - Accent2 2 3 12 4" xfId="12877" xr:uid="{00000000-0005-0000-0000-000031110000}"/>
    <cellStyle name="20% - Accent2 2 3 12 5" xfId="18353" xr:uid="{00000000-0005-0000-0000-000032110000}"/>
    <cellStyle name="20% - Accent2 2 3 12 6" xfId="23829" xr:uid="{00000000-0005-0000-0000-000033110000}"/>
    <cellStyle name="20% - Accent2 2 3 12 7" xfId="35625" xr:uid="{00000000-0005-0000-0000-000034110000}"/>
    <cellStyle name="20% - Accent2 2 3 12 8" xfId="41102" xr:uid="{00000000-0005-0000-0000-000035110000}"/>
    <cellStyle name="20% - Accent2 2 3 12 9" xfId="46579" xr:uid="{00000000-0005-0000-0000-000036110000}"/>
    <cellStyle name="20% - Accent2 2 3 13" xfId="3720" xr:uid="{00000000-0005-0000-0000-000037110000}"/>
    <cellStyle name="20% - Accent2 2 3 13 2" xfId="9200" xr:uid="{00000000-0005-0000-0000-000038110000}"/>
    <cellStyle name="20% - Accent2 2 3 13 3" xfId="14676" xr:uid="{00000000-0005-0000-0000-000039110000}"/>
    <cellStyle name="20% - Accent2 2 3 13 4" xfId="20152" xr:uid="{00000000-0005-0000-0000-00003A110000}"/>
    <cellStyle name="20% - Accent2 2 3 13 5" xfId="25628" xr:uid="{00000000-0005-0000-0000-00003B110000}"/>
    <cellStyle name="20% - Accent2 2 3 13 6" xfId="37424" xr:uid="{00000000-0005-0000-0000-00003C110000}"/>
    <cellStyle name="20% - Accent2 2 3 13 7" xfId="42901" xr:uid="{00000000-0005-0000-0000-00003D110000}"/>
    <cellStyle name="20% - Accent2 2 3 13 8" xfId="48378" xr:uid="{00000000-0005-0000-0000-00003E110000}"/>
    <cellStyle name="20% - Accent2 2 3 13 9" xfId="53896" xr:uid="{00000000-0005-0000-0000-00003F110000}"/>
    <cellStyle name="20% - Accent2 2 3 14" xfId="5743" xr:uid="{00000000-0005-0000-0000-000040110000}"/>
    <cellStyle name="20% - Accent2 2 3 15" xfId="11223" xr:uid="{00000000-0005-0000-0000-000041110000}"/>
    <cellStyle name="20% - Accent2 2 3 16" xfId="16699" xr:uid="{00000000-0005-0000-0000-000042110000}"/>
    <cellStyle name="20% - Accent2 2 3 17" xfId="22175" xr:uid="{00000000-0005-0000-0000-000043110000}"/>
    <cellStyle name="20% - Accent2 2 3 18" xfId="28225" xr:uid="{00000000-0005-0000-0000-000044110000}"/>
    <cellStyle name="20% - Accent2 2 3 19" xfId="33970" xr:uid="{00000000-0005-0000-0000-000045110000}"/>
    <cellStyle name="20% - Accent2 2 3 2" xfId="240" xr:uid="{00000000-0005-0000-0000-000046110000}"/>
    <cellStyle name="20% - Accent2 2 3 2 10" xfId="1794" xr:uid="{00000000-0005-0000-0000-000047110000}"/>
    <cellStyle name="20% - Accent2 2 3 2 10 10" xfId="44928" xr:uid="{00000000-0005-0000-0000-000048110000}"/>
    <cellStyle name="20% - Accent2 2 3 2 10 11" xfId="50406" xr:uid="{00000000-0005-0000-0000-000049110000}"/>
    <cellStyle name="20% - Accent2 2 3 2 10 2" xfId="3555" xr:uid="{00000000-0005-0000-0000-00004A110000}"/>
    <cellStyle name="20% - Accent2 2 3 2 10 2 2" xfId="9035" xr:uid="{00000000-0005-0000-0000-00004B110000}"/>
    <cellStyle name="20% - Accent2 2 3 2 10 2 3" xfId="14511" xr:uid="{00000000-0005-0000-0000-00004C110000}"/>
    <cellStyle name="20% - Accent2 2 3 2 10 2 4" xfId="19987" xr:uid="{00000000-0005-0000-0000-00004D110000}"/>
    <cellStyle name="20% - Accent2 2 3 2 10 2 5" xfId="25463" xr:uid="{00000000-0005-0000-0000-00004E110000}"/>
    <cellStyle name="20% - Accent2 2 3 2 10 2 6" xfId="37259" xr:uid="{00000000-0005-0000-0000-00004F110000}"/>
    <cellStyle name="20% - Accent2 2 3 2 10 2 7" xfId="42736" xr:uid="{00000000-0005-0000-0000-000050110000}"/>
    <cellStyle name="20% - Accent2 2 3 2 10 2 8" xfId="48213" xr:uid="{00000000-0005-0000-0000-000051110000}"/>
    <cellStyle name="20% - Accent2 2 3 2 10 2 9" xfId="53731" xr:uid="{00000000-0005-0000-0000-000052110000}"/>
    <cellStyle name="20% - Accent2 2 3 2 10 3" xfId="5327" xr:uid="{00000000-0005-0000-0000-000053110000}"/>
    <cellStyle name="20% - Accent2 2 3 2 10 3 2" xfId="10807" xr:uid="{00000000-0005-0000-0000-000054110000}"/>
    <cellStyle name="20% - Accent2 2 3 2 10 3 3" xfId="16283" xr:uid="{00000000-0005-0000-0000-000055110000}"/>
    <cellStyle name="20% - Accent2 2 3 2 10 3 4" xfId="21759" xr:uid="{00000000-0005-0000-0000-000056110000}"/>
    <cellStyle name="20% - Accent2 2 3 2 10 3 5" xfId="27235" xr:uid="{00000000-0005-0000-0000-000057110000}"/>
    <cellStyle name="20% - Accent2 2 3 2 10 3 6" xfId="39031" xr:uid="{00000000-0005-0000-0000-000058110000}"/>
    <cellStyle name="20% - Accent2 2 3 2 10 3 7" xfId="44508" xr:uid="{00000000-0005-0000-0000-000059110000}"/>
    <cellStyle name="20% - Accent2 2 3 2 10 3 8" xfId="49985" xr:uid="{00000000-0005-0000-0000-00005A110000}"/>
    <cellStyle name="20% - Accent2 2 3 2 10 3 9" xfId="55503" xr:uid="{00000000-0005-0000-0000-00005B110000}"/>
    <cellStyle name="20% - Accent2 2 3 2 10 4" xfId="5747" xr:uid="{00000000-0005-0000-0000-00005C110000}"/>
    <cellStyle name="20% - Accent2 2 3 2 10 5" xfId="11227" xr:uid="{00000000-0005-0000-0000-00005D110000}"/>
    <cellStyle name="20% - Accent2 2 3 2 10 6" xfId="16703" xr:uid="{00000000-0005-0000-0000-00005E110000}"/>
    <cellStyle name="20% - Accent2 2 3 2 10 7" xfId="22179" xr:uid="{00000000-0005-0000-0000-00005F110000}"/>
    <cellStyle name="20% - Accent2 2 3 2 10 8" xfId="33974" xr:uid="{00000000-0005-0000-0000-000060110000}"/>
    <cellStyle name="20% - Accent2 2 3 2 10 9" xfId="39451" xr:uid="{00000000-0005-0000-0000-000061110000}"/>
    <cellStyle name="20% - Accent2 2 3 2 11" xfId="1921" xr:uid="{00000000-0005-0000-0000-000062110000}"/>
    <cellStyle name="20% - Accent2 2 3 2 11 10" xfId="52098" xr:uid="{00000000-0005-0000-0000-000063110000}"/>
    <cellStyle name="20% - Accent2 2 3 2 11 2" xfId="5453" xr:uid="{00000000-0005-0000-0000-000064110000}"/>
    <cellStyle name="20% - Accent2 2 3 2 11 2 2" xfId="10933" xr:uid="{00000000-0005-0000-0000-000065110000}"/>
    <cellStyle name="20% - Accent2 2 3 2 11 2 3" xfId="16409" xr:uid="{00000000-0005-0000-0000-000066110000}"/>
    <cellStyle name="20% - Accent2 2 3 2 11 2 4" xfId="21885" xr:uid="{00000000-0005-0000-0000-000067110000}"/>
    <cellStyle name="20% - Accent2 2 3 2 11 2 5" xfId="27361" xr:uid="{00000000-0005-0000-0000-000068110000}"/>
    <cellStyle name="20% - Accent2 2 3 2 11 2 6" xfId="39157" xr:uid="{00000000-0005-0000-0000-000069110000}"/>
    <cellStyle name="20% - Accent2 2 3 2 11 2 7" xfId="44634" xr:uid="{00000000-0005-0000-0000-00006A110000}"/>
    <cellStyle name="20% - Accent2 2 3 2 11 2 8" xfId="50111" xr:uid="{00000000-0005-0000-0000-00006B110000}"/>
    <cellStyle name="20% - Accent2 2 3 2 11 2 9" xfId="55629" xr:uid="{00000000-0005-0000-0000-00006C110000}"/>
    <cellStyle name="20% - Accent2 2 3 2 11 3" xfId="7402" xr:uid="{00000000-0005-0000-0000-00006D110000}"/>
    <cellStyle name="20% - Accent2 2 3 2 11 4" xfId="12878" xr:uid="{00000000-0005-0000-0000-00006E110000}"/>
    <cellStyle name="20% - Accent2 2 3 2 11 5" xfId="18354" xr:uid="{00000000-0005-0000-0000-00006F110000}"/>
    <cellStyle name="20% - Accent2 2 3 2 11 6" xfId="23830" xr:uid="{00000000-0005-0000-0000-000070110000}"/>
    <cellStyle name="20% - Accent2 2 3 2 11 7" xfId="35626" xr:uid="{00000000-0005-0000-0000-000071110000}"/>
    <cellStyle name="20% - Accent2 2 3 2 11 8" xfId="41103" xr:uid="{00000000-0005-0000-0000-000072110000}"/>
    <cellStyle name="20% - Accent2 2 3 2 11 9" xfId="46580" xr:uid="{00000000-0005-0000-0000-000073110000}"/>
    <cellStyle name="20% - Accent2 2 3 2 12" xfId="3806" xr:uid="{00000000-0005-0000-0000-000074110000}"/>
    <cellStyle name="20% - Accent2 2 3 2 12 2" xfId="9286" xr:uid="{00000000-0005-0000-0000-000075110000}"/>
    <cellStyle name="20% - Accent2 2 3 2 12 3" xfId="14762" xr:uid="{00000000-0005-0000-0000-000076110000}"/>
    <cellStyle name="20% - Accent2 2 3 2 12 4" xfId="20238" xr:uid="{00000000-0005-0000-0000-000077110000}"/>
    <cellStyle name="20% - Accent2 2 3 2 12 5" xfId="25714" xr:uid="{00000000-0005-0000-0000-000078110000}"/>
    <cellStyle name="20% - Accent2 2 3 2 12 6" xfId="37510" xr:uid="{00000000-0005-0000-0000-000079110000}"/>
    <cellStyle name="20% - Accent2 2 3 2 12 7" xfId="42987" xr:uid="{00000000-0005-0000-0000-00007A110000}"/>
    <cellStyle name="20% - Accent2 2 3 2 12 8" xfId="48464" xr:uid="{00000000-0005-0000-0000-00007B110000}"/>
    <cellStyle name="20% - Accent2 2 3 2 12 9" xfId="53982" xr:uid="{00000000-0005-0000-0000-00007C110000}"/>
    <cellStyle name="20% - Accent2 2 3 2 13" xfId="5746" xr:uid="{00000000-0005-0000-0000-00007D110000}"/>
    <cellStyle name="20% - Accent2 2 3 2 14" xfId="11226" xr:uid="{00000000-0005-0000-0000-00007E110000}"/>
    <cellStyle name="20% - Accent2 2 3 2 15" xfId="16702" xr:uid="{00000000-0005-0000-0000-00007F110000}"/>
    <cellStyle name="20% - Accent2 2 3 2 16" xfId="22178" xr:uid="{00000000-0005-0000-0000-000080110000}"/>
    <cellStyle name="20% - Accent2 2 3 2 17" xfId="28226" xr:uid="{00000000-0005-0000-0000-000081110000}"/>
    <cellStyle name="20% - Accent2 2 3 2 18" xfId="33973" xr:uid="{00000000-0005-0000-0000-000082110000}"/>
    <cellStyle name="20% - Accent2 2 3 2 19" xfId="39450" xr:uid="{00000000-0005-0000-0000-000083110000}"/>
    <cellStyle name="20% - Accent2 2 3 2 2" xfId="292" xr:uid="{00000000-0005-0000-0000-000084110000}"/>
    <cellStyle name="20% - Accent2 2 3 2 2 10" xfId="39452" xr:uid="{00000000-0005-0000-0000-000085110000}"/>
    <cellStyle name="20% - Accent2 2 3 2 2 11" xfId="44929" xr:uid="{00000000-0005-0000-0000-000086110000}"/>
    <cellStyle name="20% - Accent2 2 3 2 2 12" xfId="50407" xr:uid="{00000000-0005-0000-0000-000087110000}"/>
    <cellStyle name="20% - Accent2 2 3 2 2 2" xfId="2093" xr:uid="{00000000-0005-0000-0000-000088110000}"/>
    <cellStyle name="20% - Accent2 2 3 2 2 2 2" xfId="7573" xr:uid="{00000000-0005-0000-0000-000089110000}"/>
    <cellStyle name="20% - Accent2 2 3 2 2 2 3" xfId="13049" xr:uid="{00000000-0005-0000-0000-00008A110000}"/>
    <cellStyle name="20% - Accent2 2 3 2 2 2 4" xfId="18525" xr:uid="{00000000-0005-0000-0000-00008B110000}"/>
    <cellStyle name="20% - Accent2 2 3 2 2 2 5" xfId="24001" xr:uid="{00000000-0005-0000-0000-00008C110000}"/>
    <cellStyle name="20% - Accent2 2 3 2 2 2 6" xfId="35797" xr:uid="{00000000-0005-0000-0000-00008D110000}"/>
    <cellStyle name="20% - Accent2 2 3 2 2 2 7" xfId="41274" xr:uid="{00000000-0005-0000-0000-00008E110000}"/>
    <cellStyle name="20% - Accent2 2 3 2 2 2 8" xfId="46751" xr:uid="{00000000-0005-0000-0000-00008F110000}"/>
    <cellStyle name="20% - Accent2 2 3 2 2 2 9" xfId="52269" xr:uid="{00000000-0005-0000-0000-000090110000}"/>
    <cellStyle name="20% - Accent2 2 3 2 2 3" xfId="3854" xr:uid="{00000000-0005-0000-0000-000091110000}"/>
    <cellStyle name="20% - Accent2 2 3 2 2 3 2" xfId="9334" xr:uid="{00000000-0005-0000-0000-000092110000}"/>
    <cellStyle name="20% - Accent2 2 3 2 2 3 3" xfId="14810" xr:uid="{00000000-0005-0000-0000-000093110000}"/>
    <cellStyle name="20% - Accent2 2 3 2 2 3 4" xfId="20286" xr:uid="{00000000-0005-0000-0000-000094110000}"/>
    <cellStyle name="20% - Accent2 2 3 2 2 3 5" xfId="25762" xr:uid="{00000000-0005-0000-0000-000095110000}"/>
    <cellStyle name="20% - Accent2 2 3 2 2 3 6" xfId="37558" xr:uid="{00000000-0005-0000-0000-000096110000}"/>
    <cellStyle name="20% - Accent2 2 3 2 2 3 7" xfId="43035" xr:uid="{00000000-0005-0000-0000-000097110000}"/>
    <cellStyle name="20% - Accent2 2 3 2 2 3 8" xfId="48512" xr:uid="{00000000-0005-0000-0000-000098110000}"/>
    <cellStyle name="20% - Accent2 2 3 2 2 3 9" xfId="54030" xr:uid="{00000000-0005-0000-0000-000099110000}"/>
    <cellStyle name="20% - Accent2 2 3 2 2 4" xfId="5748" xr:uid="{00000000-0005-0000-0000-00009A110000}"/>
    <cellStyle name="20% - Accent2 2 3 2 2 5" xfId="11228" xr:uid="{00000000-0005-0000-0000-00009B110000}"/>
    <cellStyle name="20% - Accent2 2 3 2 2 6" xfId="16704" xr:uid="{00000000-0005-0000-0000-00009C110000}"/>
    <cellStyle name="20% - Accent2 2 3 2 2 7" xfId="22180" xr:uid="{00000000-0005-0000-0000-00009D110000}"/>
    <cellStyle name="20% - Accent2 2 3 2 2 8" xfId="28227" xr:uid="{00000000-0005-0000-0000-00009E110000}"/>
    <cellStyle name="20% - Accent2 2 3 2 2 9" xfId="33975" xr:uid="{00000000-0005-0000-0000-00009F110000}"/>
    <cellStyle name="20% - Accent2 2 3 2 20" xfId="44927" xr:uid="{00000000-0005-0000-0000-0000A0110000}"/>
    <cellStyle name="20% - Accent2 2 3 2 21" xfId="50405" xr:uid="{00000000-0005-0000-0000-0000A1110000}"/>
    <cellStyle name="20% - Accent2 2 3 2 3" xfId="493" xr:uid="{00000000-0005-0000-0000-0000A2110000}"/>
    <cellStyle name="20% - Accent2 2 3 2 3 10" xfId="44930" xr:uid="{00000000-0005-0000-0000-0000A3110000}"/>
    <cellStyle name="20% - Accent2 2 3 2 3 11" xfId="50408" xr:uid="{00000000-0005-0000-0000-0000A4110000}"/>
    <cellStyle name="20% - Accent2 2 3 2 3 2" xfId="2254" xr:uid="{00000000-0005-0000-0000-0000A5110000}"/>
    <cellStyle name="20% - Accent2 2 3 2 3 2 2" xfId="7734" xr:uid="{00000000-0005-0000-0000-0000A6110000}"/>
    <cellStyle name="20% - Accent2 2 3 2 3 2 3" xfId="13210" xr:uid="{00000000-0005-0000-0000-0000A7110000}"/>
    <cellStyle name="20% - Accent2 2 3 2 3 2 4" xfId="18686" xr:uid="{00000000-0005-0000-0000-0000A8110000}"/>
    <cellStyle name="20% - Accent2 2 3 2 3 2 5" xfId="24162" xr:uid="{00000000-0005-0000-0000-0000A9110000}"/>
    <cellStyle name="20% - Accent2 2 3 2 3 2 6" xfId="35958" xr:uid="{00000000-0005-0000-0000-0000AA110000}"/>
    <cellStyle name="20% - Accent2 2 3 2 3 2 7" xfId="41435" xr:uid="{00000000-0005-0000-0000-0000AB110000}"/>
    <cellStyle name="20% - Accent2 2 3 2 3 2 8" xfId="46912" xr:uid="{00000000-0005-0000-0000-0000AC110000}"/>
    <cellStyle name="20% - Accent2 2 3 2 3 2 9" xfId="52430" xr:uid="{00000000-0005-0000-0000-0000AD110000}"/>
    <cellStyle name="20% - Accent2 2 3 2 3 3" xfId="4026" xr:uid="{00000000-0005-0000-0000-0000AE110000}"/>
    <cellStyle name="20% - Accent2 2 3 2 3 3 2" xfId="9506" xr:uid="{00000000-0005-0000-0000-0000AF110000}"/>
    <cellStyle name="20% - Accent2 2 3 2 3 3 3" xfId="14982" xr:uid="{00000000-0005-0000-0000-0000B0110000}"/>
    <cellStyle name="20% - Accent2 2 3 2 3 3 4" xfId="20458" xr:uid="{00000000-0005-0000-0000-0000B1110000}"/>
    <cellStyle name="20% - Accent2 2 3 2 3 3 5" xfId="25934" xr:uid="{00000000-0005-0000-0000-0000B2110000}"/>
    <cellStyle name="20% - Accent2 2 3 2 3 3 6" xfId="37730" xr:uid="{00000000-0005-0000-0000-0000B3110000}"/>
    <cellStyle name="20% - Accent2 2 3 2 3 3 7" xfId="43207" xr:uid="{00000000-0005-0000-0000-0000B4110000}"/>
    <cellStyle name="20% - Accent2 2 3 2 3 3 8" xfId="48684" xr:uid="{00000000-0005-0000-0000-0000B5110000}"/>
    <cellStyle name="20% - Accent2 2 3 2 3 3 9" xfId="54202" xr:uid="{00000000-0005-0000-0000-0000B6110000}"/>
    <cellStyle name="20% - Accent2 2 3 2 3 4" xfId="5749" xr:uid="{00000000-0005-0000-0000-0000B7110000}"/>
    <cellStyle name="20% - Accent2 2 3 2 3 5" xfId="11229" xr:uid="{00000000-0005-0000-0000-0000B8110000}"/>
    <cellStyle name="20% - Accent2 2 3 2 3 6" xfId="16705" xr:uid="{00000000-0005-0000-0000-0000B9110000}"/>
    <cellStyle name="20% - Accent2 2 3 2 3 7" xfId="22181" xr:uid="{00000000-0005-0000-0000-0000BA110000}"/>
    <cellStyle name="20% - Accent2 2 3 2 3 8" xfId="33976" xr:uid="{00000000-0005-0000-0000-0000BB110000}"/>
    <cellStyle name="20% - Accent2 2 3 2 3 9" xfId="39453" xr:uid="{00000000-0005-0000-0000-0000BC110000}"/>
    <cellStyle name="20% - Accent2 2 3 2 4" xfId="665" xr:uid="{00000000-0005-0000-0000-0000BD110000}"/>
    <cellStyle name="20% - Accent2 2 3 2 4 10" xfId="44931" xr:uid="{00000000-0005-0000-0000-0000BE110000}"/>
    <cellStyle name="20% - Accent2 2 3 2 4 11" xfId="50409" xr:uid="{00000000-0005-0000-0000-0000BF110000}"/>
    <cellStyle name="20% - Accent2 2 3 2 4 2" xfId="2426" xr:uid="{00000000-0005-0000-0000-0000C0110000}"/>
    <cellStyle name="20% - Accent2 2 3 2 4 2 2" xfId="7906" xr:uid="{00000000-0005-0000-0000-0000C1110000}"/>
    <cellStyle name="20% - Accent2 2 3 2 4 2 3" xfId="13382" xr:uid="{00000000-0005-0000-0000-0000C2110000}"/>
    <cellStyle name="20% - Accent2 2 3 2 4 2 4" xfId="18858" xr:uid="{00000000-0005-0000-0000-0000C3110000}"/>
    <cellStyle name="20% - Accent2 2 3 2 4 2 5" xfId="24334" xr:uid="{00000000-0005-0000-0000-0000C4110000}"/>
    <cellStyle name="20% - Accent2 2 3 2 4 2 6" xfId="36130" xr:uid="{00000000-0005-0000-0000-0000C5110000}"/>
    <cellStyle name="20% - Accent2 2 3 2 4 2 7" xfId="41607" xr:uid="{00000000-0005-0000-0000-0000C6110000}"/>
    <cellStyle name="20% - Accent2 2 3 2 4 2 8" xfId="47084" xr:uid="{00000000-0005-0000-0000-0000C7110000}"/>
    <cellStyle name="20% - Accent2 2 3 2 4 2 9" xfId="52602" xr:uid="{00000000-0005-0000-0000-0000C8110000}"/>
    <cellStyle name="20% - Accent2 2 3 2 4 3" xfId="4198" xr:uid="{00000000-0005-0000-0000-0000C9110000}"/>
    <cellStyle name="20% - Accent2 2 3 2 4 3 2" xfId="9678" xr:uid="{00000000-0005-0000-0000-0000CA110000}"/>
    <cellStyle name="20% - Accent2 2 3 2 4 3 3" xfId="15154" xr:uid="{00000000-0005-0000-0000-0000CB110000}"/>
    <cellStyle name="20% - Accent2 2 3 2 4 3 4" xfId="20630" xr:uid="{00000000-0005-0000-0000-0000CC110000}"/>
    <cellStyle name="20% - Accent2 2 3 2 4 3 5" xfId="26106" xr:uid="{00000000-0005-0000-0000-0000CD110000}"/>
    <cellStyle name="20% - Accent2 2 3 2 4 3 6" xfId="37902" xr:uid="{00000000-0005-0000-0000-0000CE110000}"/>
    <cellStyle name="20% - Accent2 2 3 2 4 3 7" xfId="43379" xr:uid="{00000000-0005-0000-0000-0000CF110000}"/>
    <cellStyle name="20% - Accent2 2 3 2 4 3 8" xfId="48856" xr:uid="{00000000-0005-0000-0000-0000D0110000}"/>
    <cellStyle name="20% - Accent2 2 3 2 4 3 9" xfId="54374" xr:uid="{00000000-0005-0000-0000-0000D1110000}"/>
    <cellStyle name="20% - Accent2 2 3 2 4 4" xfId="5750" xr:uid="{00000000-0005-0000-0000-0000D2110000}"/>
    <cellStyle name="20% - Accent2 2 3 2 4 5" xfId="11230" xr:uid="{00000000-0005-0000-0000-0000D3110000}"/>
    <cellStyle name="20% - Accent2 2 3 2 4 6" xfId="16706" xr:uid="{00000000-0005-0000-0000-0000D4110000}"/>
    <cellStyle name="20% - Accent2 2 3 2 4 7" xfId="22182" xr:uid="{00000000-0005-0000-0000-0000D5110000}"/>
    <cellStyle name="20% - Accent2 2 3 2 4 8" xfId="33977" xr:uid="{00000000-0005-0000-0000-0000D6110000}"/>
    <cellStyle name="20% - Accent2 2 3 2 4 9" xfId="39454" xr:uid="{00000000-0005-0000-0000-0000D7110000}"/>
    <cellStyle name="20% - Accent2 2 3 2 5" xfId="837" xr:uid="{00000000-0005-0000-0000-0000D8110000}"/>
    <cellStyle name="20% - Accent2 2 3 2 5 10" xfId="44932" xr:uid="{00000000-0005-0000-0000-0000D9110000}"/>
    <cellStyle name="20% - Accent2 2 3 2 5 11" xfId="50410" xr:uid="{00000000-0005-0000-0000-0000DA110000}"/>
    <cellStyle name="20% - Accent2 2 3 2 5 2" xfId="2598" xr:uid="{00000000-0005-0000-0000-0000DB110000}"/>
    <cellStyle name="20% - Accent2 2 3 2 5 2 2" xfId="8078" xr:uid="{00000000-0005-0000-0000-0000DC110000}"/>
    <cellStyle name="20% - Accent2 2 3 2 5 2 3" xfId="13554" xr:uid="{00000000-0005-0000-0000-0000DD110000}"/>
    <cellStyle name="20% - Accent2 2 3 2 5 2 4" xfId="19030" xr:uid="{00000000-0005-0000-0000-0000DE110000}"/>
    <cellStyle name="20% - Accent2 2 3 2 5 2 5" xfId="24506" xr:uid="{00000000-0005-0000-0000-0000DF110000}"/>
    <cellStyle name="20% - Accent2 2 3 2 5 2 6" xfId="36302" xr:uid="{00000000-0005-0000-0000-0000E0110000}"/>
    <cellStyle name="20% - Accent2 2 3 2 5 2 7" xfId="41779" xr:uid="{00000000-0005-0000-0000-0000E1110000}"/>
    <cellStyle name="20% - Accent2 2 3 2 5 2 8" xfId="47256" xr:uid="{00000000-0005-0000-0000-0000E2110000}"/>
    <cellStyle name="20% - Accent2 2 3 2 5 2 9" xfId="52774" xr:uid="{00000000-0005-0000-0000-0000E3110000}"/>
    <cellStyle name="20% - Accent2 2 3 2 5 3" xfId="4370" xr:uid="{00000000-0005-0000-0000-0000E4110000}"/>
    <cellStyle name="20% - Accent2 2 3 2 5 3 2" xfId="9850" xr:uid="{00000000-0005-0000-0000-0000E5110000}"/>
    <cellStyle name="20% - Accent2 2 3 2 5 3 3" xfId="15326" xr:uid="{00000000-0005-0000-0000-0000E6110000}"/>
    <cellStyle name="20% - Accent2 2 3 2 5 3 4" xfId="20802" xr:uid="{00000000-0005-0000-0000-0000E7110000}"/>
    <cellStyle name="20% - Accent2 2 3 2 5 3 5" xfId="26278" xr:uid="{00000000-0005-0000-0000-0000E8110000}"/>
    <cellStyle name="20% - Accent2 2 3 2 5 3 6" xfId="38074" xr:uid="{00000000-0005-0000-0000-0000E9110000}"/>
    <cellStyle name="20% - Accent2 2 3 2 5 3 7" xfId="43551" xr:uid="{00000000-0005-0000-0000-0000EA110000}"/>
    <cellStyle name="20% - Accent2 2 3 2 5 3 8" xfId="49028" xr:uid="{00000000-0005-0000-0000-0000EB110000}"/>
    <cellStyle name="20% - Accent2 2 3 2 5 3 9" xfId="54546" xr:uid="{00000000-0005-0000-0000-0000EC110000}"/>
    <cellStyle name="20% - Accent2 2 3 2 5 4" xfId="5751" xr:uid="{00000000-0005-0000-0000-0000ED110000}"/>
    <cellStyle name="20% - Accent2 2 3 2 5 5" xfId="11231" xr:uid="{00000000-0005-0000-0000-0000EE110000}"/>
    <cellStyle name="20% - Accent2 2 3 2 5 6" xfId="16707" xr:uid="{00000000-0005-0000-0000-0000EF110000}"/>
    <cellStyle name="20% - Accent2 2 3 2 5 7" xfId="22183" xr:uid="{00000000-0005-0000-0000-0000F0110000}"/>
    <cellStyle name="20% - Accent2 2 3 2 5 8" xfId="33978" xr:uid="{00000000-0005-0000-0000-0000F1110000}"/>
    <cellStyle name="20% - Accent2 2 3 2 5 9" xfId="39455" xr:uid="{00000000-0005-0000-0000-0000F2110000}"/>
    <cellStyle name="20% - Accent2 2 3 2 6" xfId="1043" xr:uid="{00000000-0005-0000-0000-0000F3110000}"/>
    <cellStyle name="20% - Accent2 2 3 2 6 10" xfId="44933" xr:uid="{00000000-0005-0000-0000-0000F4110000}"/>
    <cellStyle name="20% - Accent2 2 3 2 6 11" xfId="50411" xr:uid="{00000000-0005-0000-0000-0000F5110000}"/>
    <cellStyle name="20% - Accent2 2 3 2 6 2" xfId="2804" xr:uid="{00000000-0005-0000-0000-0000F6110000}"/>
    <cellStyle name="20% - Accent2 2 3 2 6 2 2" xfId="8284" xr:uid="{00000000-0005-0000-0000-0000F7110000}"/>
    <cellStyle name="20% - Accent2 2 3 2 6 2 3" xfId="13760" xr:uid="{00000000-0005-0000-0000-0000F8110000}"/>
    <cellStyle name="20% - Accent2 2 3 2 6 2 4" xfId="19236" xr:uid="{00000000-0005-0000-0000-0000F9110000}"/>
    <cellStyle name="20% - Accent2 2 3 2 6 2 5" xfId="24712" xr:uid="{00000000-0005-0000-0000-0000FA110000}"/>
    <cellStyle name="20% - Accent2 2 3 2 6 2 6" xfId="36508" xr:uid="{00000000-0005-0000-0000-0000FB110000}"/>
    <cellStyle name="20% - Accent2 2 3 2 6 2 7" xfId="41985" xr:uid="{00000000-0005-0000-0000-0000FC110000}"/>
    <cellStyle name="20% - Accent2 2 3 2 6 2 8" xfId="47462" xr:uid="{00000000-0005-0000-0000-0000FD110000}"/>
    <cellStyle name="20% - Accent2 2 3 2 6 2 9" xfId="52980" xr:uid="{00000000-0005-0000-0000-0000FE110000}"/>
    <cellStyle name="20% - Accent2 2 3 2 6 3" xfId="4576" xr:uid="{00000000-0005-0000-0000-0000FF110000}"/>
    <cellStyle name="20% - Accent2 2 3 2 6 3 2" xfId="10056" xr:uid="{00000000-0005-0000-0000-000000120000}"/>
    <cellStyle name="20% - Accent2 2 3 2 6 3 3" xfId="15532" xr:uid="{00000000-0005-0000-0000-000001120000}"/>
    <cellStyle name="20% - Accent2 2 3 2 6 3 4" xfId="21008" xr:uid="{00000000-0005-0000-0000-000002120000}"/>
    <cellStyle name="20% - Accent2 2 3 2 6 3 5" xfId="26484" xr:uid="{00000000-0005-0000-0000-000003120000}"/>
    <cellStyle name="20% - Accent2 2 3 2 6 3 6" xfId="38280" xr:uid="{00000000-0005-0000-0000-000004120000}"/>
    <cellStyle name="20% - Accent2 2 3 2 6 3 7" xfId="43757" xr:uid="{00000000-0005-0000-0000-000005120000}"/>
    <cellStyle name="20% - Accent2 2 3 2 6 3 8" xfId="49234" xr:uid="{00000000-0005-0000-0000-000006120000}"/>
    <cellStyle name="20% - Accent2 2 3 2 6 3 9" xfId="54752" xr:uid="{00000000-0005-0000-0000-000007120000}"/>
    <cellStyle name="20% - Accent2 2 3 2 6 4" xfId="5752" xr:uid="{00000000-0005-0000-0000-000008120000}"/>
    <cellStyle name="20% - Accent2 2 3 2 6 5" xfId="11232" xr:uid="{00000000-0005-0000-0000-000009120000}"/>
    <cellStyle name="20% - Accent2 2 3 2 6 6" xfId="16708" xr:uid="{00000000-0005-0000-0000-00000A120000}"/>
    <cellStyle name="20% - Accent2 2 3 2 6 7" xfId="22184" xr:uid="{00000000-0005-0000-0000-00000B120000}"/>
    <cellStyle name="20% - Accent2 2 3 2 6 8" xfId="33979" xr:uid="{00000000-0005-0000-0000-00000C120000}"/>
    <cellStyle name="20% - Accent2 2 3 2 6 9" xfId="39456" xr:uid="{00000000-0005-0000-0000-00000D120000}"/>
    <cellStyle name="20% - Accent2 2 3 2 7" xfId="1215" xr:uid="{00000000-0005-0000-0000-00000E120000}"/>
    <cellStyle name="20% - Accent2 2 3 2 7 10" xfId="44934" xr:uid="{00000000-0005-0000-0000-00000F120000}"/>
    <cellStyle name="20% - Accent2 2 3 2 7 11" xfId="50412" xr:uid="{00000000-0005-0000-0000-000010120000}"/>
    <cellStyle name="20% - Accent2 2 3 2 7 2" xfId="2976" xr:uid="{00000000-0005-0000-0000-000011120000}"/>
    <cellStyle name="20% - Accent2 2 3 2 7 2 2" xfId="8456" xr:uid="{00000000-0005-0000-0000-000012120000}"/>
    <cellStyle name="20% - Accent2 2 3 2 7 2 3" xfId="13932" xr:uid="{00000000-0005-0000-0000-000013120000}"/>
    <cellStyle name="20% - Accent2 2 3 2 7 2 4" xfId="19408" xr:uid="{00000000-0005-0000-0000-000014120000}"/>
    <cellStyle name="20% - Accent2 2 3 2 7 2 5" xfId="24884" xr:uid="{00000000-0005-0000-0000-000015120000}"/>
    <cellStyle name="20% - Accent2 2 3 2 7 2 6" xfId="36680" xr:uid="{00000000-0005-0000-0000-000016120000}"/>
    <cellStyle name="20% - Accent2 2 3 2 7 2 7" xfId="42157" xr:uid="{00000000-0005-0000-0000-000017120000}"/>
    <cellStyle name="20% - Accent2 2 3 2 7 2 8" xfId="47634" xr:uid="{00000000-0005-0000-0000-000018120000}"/>
    <cellStyle name="20% - Accent2 2 3 2 7 2 9" xfId="53152" xr:uid="{00000000-0005-0000-0000-000019120000}"/>
    <cellStyle name="20% - Accent2 2 3 2 7 3" xfId="4748" xr:uid="{00000000-0005-0000-0000-00001A120000}"/>
    <cellStyle name="20% - Accent2 2 3 2 7 3 2" xfId="10228" xr:uid="{00000000-0005-0000-0000-00001B120000}"/>
    <cellStyle name="20% - Accent2 2 3 2 7 3 3" xfId="15704" xr:uid="{00000000-0005-0000-0000-00001C120000}"/>
    <cellStyle name="20% - Accent2 2 3 2 7 3 4" xfId="21180" xr:uid="{00000000-0005-0000-0000-00001D120000}"/>
    <cellStyle name="20% - Accent2 2 3 2 7 3 5" xfId="26656" xr:uid="{00000000-0005-0000-0000-00001E120000}"/>
    <cellStyle name="20% - Accent2 2 3 2 7 3 6" xfId="38452" xr:uid="{00000000-0005-0000-0000-00001F120000}"/>
    <cellStyle name="20% - Accent2 2 3 2 7 3 7" xfId="43929" xr:uid="{00000000-0005-0000-0000-000020120000}"/>
    <cellStyle name="20% - Accent2 2 3 2 7 3 8" xfId="49406" xr:uid="{00000000-0005-0000-0000-000021120000}"/>
    <cellStyle name="20% - Accent2 2 3 2 7 3 9" xfId="54924" xr:uid="{00000000-0005-0000-0000-000022120000}"/>
    <cellStyle name="20% - Accent2 2 3 2 7 4" xfId="5753" xr:uid="{00000000-0005-0000-0000-000023120000}"/>
    <cellStyle name="20% - Accent2 2 3 2 7 5" xfId="11233" xr:uid="{00000000-0005-0000-0000-000024120000}"/>
    <cellStyle name="20% - Accent2 2 3 2 7 6" xfId="16709" xr:uid="{00000000-0005-0000-0000-000025120000}"/>
    <cellStyle name="20% - Accent2 2 3 2 7 7" xfId="22185" xr:uid="{00000000-0005-0000-0000-000026120000}"/>
    <cellStyle name="20% - Accent2 2 3 2 7 8" xfId="33980" xr:uid="{00000000-0005-0000-0000-000027120000}"/>
    <cellStyle name="20% - Accent2 2 3 2 7 9" xfId="39457" xr:uid="{00000000-0005-0000-0000-000028120000}"/>
    <cellStyle name="20% - Accent2 2 3 2 8" xfId="1387" xr:uid="{00000000-0005-0000-0000-000029120000}"/>
    <cellStyle name="20% - Accent2 2 3 2 8 10" xfId="44935" xr:uid="{00000000-0005-0000-0000-00002A120000}"/>
    <cellStyle name="20% - Accent2 2 3 2 8 11" xfId="50413" xr:uid="{00000000-0005-0000-0000-00002B120000}"/>
    <cellStyle name="20% - Accent2 2 3 2 8 2" xfId="3148" xr:uid="{00000000-0005-0000-0000-00002C120000}"/>
    <cellStyle name="20% - Accent2 2 3 2 8 2 2" xfId="8628" xr:uid="{00000000-0005-0000-0000-00002D120000}"/>
    <cellStyle name="20% - Accent2 2 3 2 8 2 3" xfId="14104" xr:uid="{00000000-0005-0000-0000-00002E120000}"/>
    <cellStyle name="20% - Accent2 2 3 2 8 2 4" xfId="19580" xr:uid="{00000000-0005-0000-0000-00002F120000}"/>
    <cellStyle name="20% - Accent2 2 3 2 8 2 5" xfId="25056" xr:uid="{00000000-0005-0000-0000-000030120000}"/>
    <cellStyle name="20% - Accent2 2 3 2 8 2 6" xfId="36852" xr:uid="{00000000-0005-0000-0000-000031120000}"/>
    <cellStyle name="20% - Accent2 2 3 2 8 2 7" xfId="42329" xr:uid="{00000000-0005-0000-0000-000032120000}"/>
    <cellStyle name="20% - Accent2 2 3 2 8 2 8" xfId="47806" xr:uid="{00000000-0005-0000-0000-000033120000}"/>
    <cellStyle name="20% - Accent2 2 3 2 8 2 9" xfId="53324" xr:uid="{00000000-0005-0000-0000-000034120000}"/>
    <cellStyle name="20% - Accent2 2 3 2 8 3" xfId="4920" xr:uid="{00000000-0005-0000-0000-000035120000}"/>
    <cellStyle name="20% - Accent2 2 3 2 8 3 2" xfId="10400" xr:uid="{00000000-0005-0000-0000-000036120000}"/>
    <cellStyle name="20% - Accent2 2 3 2 8 3 3" xfId="15876" xr:uid="{00000000-0005-0000-0000-000037120000}"/>
    <cellStyle name="20% - Accent2 2 3 2 8 3 4" xfId="21352" xr:uid="{00000000-0005-0000-0000-000038120000}"/>
    <cellStyle name="20% - Accent2 2 3 2 8 3 5" xfId="26828" xr:uid="{00000000-0005-0000-0000-000039120000}"/>
    <cellStyle name="20% - Accent2 2 3 2 8 3 6" xfId="38624" xr:uid="{00000000-0005-0000-0000-00003A120000}"/>
    <cellStyle name="20% - Accent2 2 3 2 8 3 7" xfId="44101" xr:uid="{00000000-0005-0000-0000-00003B120000}"/>
    <cellStyle name="20% - Accent2 2 3 2 8 3 8" xfId="49578" xr:uid="{00000000-0005-0000-0000-00003C120000}"/>
    <cellStyle name="20% - Accent2 2 3 2 8 3 9" xfId="55096" xr:uid="{00000000-0005-0000-0000-00003D120000}"/>
    <cellStyle name="20% - Accent2 2 3 2 8 4" xfId="5754" xr:uid="{00000000-0005-0000-0000-00003E120000}"/>
    <cellStyle name="20% - Accent2 2 3 2 8 5" xfId="11234" xr:uid="{00000000-0005-0000-0000-00003F120000}"/>
    <cellStyle name="20% - Accent2 2 3 2 8 6" xfId="16710" xr:uid="{00000000-0005-0000-0000-000040120000}"/>
    <cellStyle name="20% - Accent2 2 3 2 8 7" xfId="22186" xr:uid="{00000000-0005-0000-0000-000041120000}"/>
    <cellStyle name="20% - Accent2 2 3 2 8 8" xfId="33981" xr:uid="{00000000-0005-0000-0000-000042120000}"/>
    <cellStyle name="20% - Accent2 2 3 2 8 9" xfId="39458" xr:uid="{00000000-0005-0000-0000-000043120000}"/>
    <cellStyle name="20% - Accent2 2 3 2 9" xfId="1559" xr:uid="{00000000-0005-0000-0000-000044120000}"/>
    <cellStyle name="20% - Accent2 2 3 2 9 10" xfId="44936" xr:uid="{00000000-0005-0000-0000-000045120000}"/>
    <cellStyle name="20% - Accent2 2 3 2 9 11" xfId="50414" xr:uid="{00000000-0005-0000-0000-000046120000}"/>
    <cellStyle name="20% - Accent2 2 3 2 9 2" xfId="3320" xr:uid="{00000000-0005-0000-0000-000047120000}"/>
    <cellStyle name="20% - Accent2 2 3 2 9 2 2" xfId="8800" xr:uid="{00000000-0005-0000-0000-000048120000}"/>
    <cellStyle name="20% - Accent2 2 3 2 9 2 3" xfId="14276" xr:uid="{00000000-0005-0000-0000-000049120000}"/>
    <cellStyle name="20% - Accent2 2 3 2 9 2 4" xfId="19752" xr:uid="{00000000-0005-0000-0000-00004A120000}"/>
    <cellStyle name="20% - Accent2 2 3 2 9 2 5" xfId="25228" xr:uid="{00000000-0005-0000-0000-00004B120000}"/>
    <cellStyle name="20% - Accent2 2 3 2 9 2 6" xfId="37024" xr:uid="{00000000-0005-0000-0000-00004C120000}"/>
    <cellStyle name="20% - Accent2 2 3 2 9 2 7" xfId="42501" xr:uid="{00000000-0005-0000-0000-00004D120000}"/>
    <cellStyle name="20% - Accent2 2 3 2 9 2 8" xfId="47978" xr:uid="{00000000-0005-0000-0000-00004E120000}"/>
    <cellStyle name="20% - Accent2 2 3 2 9 2 9" xfId="53496" xr:uid="{00000000-0005-0000-0000-00004F120000}"/>
    <cellStyle name="20% - Accent2 2 3 2 9 3" xfId="5092" xr:uid="{00000000-0005-0000-0000-000050120000}"/>
    <cellStyle name="20% - Accent2 2 3 2 9 3 2" xfId="10572" xr:uid="{00000000-0005-0000-0000-000051120000}"/>
    <cellStyle name="20% - Accent2 2 3 2 9 3 3" xfId="16048" xr:uid="{00000000-0005-0000-0000-000052120000}"/>
    <cellStyle name="20% - Accent2 2 3 2 9 3 4" xfId="21524" xr:uid="{00000000-0005-0000-0000-000053120000}"/>
    <cellStyle name="20% - Accent2 2 3 2 9 3 5" xfId="27000" xr:uid="{00000000-0005-0000-0000-000054120000}"/>
    <cellStyle name="20% - Accent2 2 3 2 9 3 6" xfId="38796" xr:uid="{00000000-0005-0000-0000-000055120000}"/>
    <cellStyle name="20% - Accent2 2 3 2 9 3 7" xfId="44273" xr:uid="{00000000-0005-0000-0000-000056120000}"/>
    <cellStyle name="20% - Accent2 2 3 2 9 3 8" xfId="49750" xr:uid="{00000000-0005-0000-0000-000057120000}"/>
    <cellStyle name="20% - Accent2 2 3 2 9 3 9" xfId="55268" xr:uid="{00000000-0005-0000-0000-000058120000}"/>
    <cellStyle name="20% - Accent2 2 3 2 9 4" xfId="5755" xr:uid="{00000000-0005-0000-0000-000059120000}"/>
    <cellStyle name="20% - Accent2 2 3 2 9 5" xfId="11235" xr:uid="{00000000-0005-0000-0000-00005A120000}"/>
    <cellStyle name="20% - Accent2 2 3 2 9 6" xfId="16711" xr:uid="{00000000-0005-0000-0000-00005B120000}"/>
    <cellStyle name="20% - Accent2 2 3 2 9 7" xfId="22187" xr:uid="{00000000-0005-0000-0000-00005C120000}"/>
    <cellStyle name="20% - Accent2 2 3 2 9 8" xfId="33982" xr:uid="{00000000-0005-0000-0000-00005D120000}"/>
    <cellStyle name="20% - Accent2 2 3 2 9 9" xfId="39459" xr:uid="{00000000-0005-0000-0000-00005E120000}"/>
    <cellStyle name="20% - Accent2 2 3 20" xfId="39447" xr:uid="{00000000-0005-0000-0000-00005F120000}"/>
    <cellStyle name="20% - Accent2 2 3 21" xfId="44924" xr:uid="{00000000-0005-0000-0000-000060120000}"/>
    <cellStyle name="20% - Accent2 2 3 22" xfId="50402" xr:uid="{00000000-0005-0000-0000-000061120000}"/>
    <cellStyle name="20% - Accent2 2 3 3" xfId="291" xr:uid="{00000000-0005-0000-0000-000062120000}"/>
    <cellStyle name="20% - Accent2 2 3 3 10" xfId="39460" xr:uid="{00000000-0005-0000-0000-000063120000}"/>
    <cellStyle name="20% - Accent2 2 3 3 11" xfId="44937" xr:uid="{00000000-0005-0000-0000-000064120000}"/>
    <cellStyle name="20% - Accent2 2 3 3 12" xfId="50415" xr:uid="{00000000-0005-0000-0000-000065120000}"/>
    <cellStyle name="20% - Accent2 2 3 3 2" xfId="2092" xr:uid="{00000000-0005-0000-0000-000066120000}"/>
    <cellStyle name="20% - Accent2 2 3 3 2 2" xfId="7572" xr:uid="{00000000-0005-0000-0000-000067120000}"/>
    <cellStyle name="20% - Accent2 2 3 3 2 3" xfId="13048" xr:uid="{00000000-0005-0000-0000-000068120000}"/>
    <cellStyle name="20% - Accent2 2 3 3 2 4" xfId="18524" xr:uid="{00000000-0005-0000-0000-000069120000}"/>
    <cellStyle name="20% - Accent2 2 3 3 2 5" xfId="24000" xr:uid="{00000000-0005-0000-0000-00006A120000}"/>
    <cellStyle name="20% - Accent2 2 3 3 2 6" xfId="35796" xr:uid="{00000000-0005-0000-0000-00006B120000}"/>
    <cellStyle name="20% - Accent2 2 3 3 2 7" xfId="41273" xr:uid="{00000000-0005-0000-0000-00006C120000}"/>
    <cellStyle name="20% - Accent2 2 3 3 2 8" xfId="46750" xr:uid="{00000000-0005-0000-0000-00006D120000}"/>
    <cellStyle name="20% - Accent2 2 3 3 2 9" xfId="52268" xr:uid="{00000000-0005-0000-0000-00006E120000}"/>
    <cellStyle name="20% - Accent2 2 3 3 3" xfId="3853" xr:uid="{00000000-0005-0000-0000-00006F120000}"/>
    <cellStyle name="20% - Accent2 2 3 3 3 2" xfId="9333" xr:uid="{00000000-0005-0000-0000-000070120000}"/>
    <cellStyle name="20% - Accent2 2 3 3 3 3" xfId="14809" xr:uid="{00000000-0005-0000-0000-000071120000}"/>
    <cellStyle name="20% - Accent2 2 3 3 3 4" xfId="20285" xr:uid="{00000000-0005-0000-0000-000072120000}"/>
    <cellStyle name="20% - Accent2 2 3 3 3 5" xfId="25761" xr:uid="{00000000-0005-0000-0000-000073120000}"/>
    <cellStyle name="20% - Accent2 2 3 3 3 6" xfId="37557" xr:uid="{00000000-0005-0000-0000-000074120000}"/>
    <cellStyle name="20% - Accent2 2 3 3 3 7" xfId="43034" xr:uid="{00000000-0005-0000-0000-000075120000}"/>
    <cellStyle name="20% - Accent2 2 3 3 3 8" xfId="48511" xr:uid="{00000000-0005-0000-0000-000076120000}"/>
    <cellStyle name="20% - Accent2 2 3 3 3 9" xfId="54029" xr:uid="{00000000-0005-0000-0000-000077120000}"/>
    <cellStyle name="20% - Accent2 2 3 3 4" xfId="5756" xr:uid="{00000000-0005-0000-0000-000078120000}"/>
    <cellStyle name="20% - Accent2 2 3 3 5" xfId="11236" xr:uid="{00000000-0005-0000-0000-000079120000}"/>
    <cellStyle name="20% - Accent2 2 3 3 6" xfId="16712" xr:uid="{00000000-0005-0000-0000-00007A120000}"/>
    <cellStyle name="20% - Accent2 2 3 3 7" xfId="22188" xr:uid="{00000000-0005-0000-0000-00007B120000}"/>
    <cellStyle name="20% - Accent2 2 3 3 8" xfId="28228" xr:uid="{00000000-0005-0000-0000-00007C120000}"/>
    <cellStyle name="20% - Accent2 2 3 3 9" xfId="33983" xr:uid="{00000000-0005-0000-0000-00007D120000}"/>
    <cellStyle name="20% - Accent2 2 3 4" xfId="492" xr:uid="{00000000-0005-0000-0000-00007E120000}"/>
    <cellStyle name="20% - Accent2 2 3 4 10" xfId="44938" xr:uid="{00000000-0005-0000-0000-00007F120000}"/>
    <cellStyle name="20% - Accent2 2 3 4 11" xfId="50416" xr:uid="{00000000-0005-0000-0000-000080120000}"/>
    <cellStyle name="20% - Accent2 2 3 4 2" xfId="2253" xr:uid="{00000000-0005-0000-0000-000081120000}"/>
    <cellStyle name="20% - Accent2 2 3 4 2 2" xfId="7733" xr:uid="{00000000-0005-0000-0000-000082120000}"/>
    <cellStyle name="20% - Accent2 2 3 4 2 3" xfId="13209" xr:uid="{00000000-0005-0000-0000-000083120000}"/>
    <cellStyle name="20% - Accent2 2 3 4 2 4" xfId="18685" xr:uid="{00000000-0005-0000-0000-000084120000}"/>
    <cellStyle name="20% - Accent2 2 3 4 2 5" xfId="24161" xr:uid="{00000000-0005-0000-0000-000085120000}"/>
    <cellStyle name="20% - Accent2 2 3 4 2 6" xfId="35957" xr:uid="{00000000-0005-0000-0000-000086120000}"/>
    <cellStyle name="20% - Accent2 2 3 4 2 7" xfId="41434" xr:uid="{00000000-0005-0000-0000-000087120000}"/>
    <cellStyle name="20% - Accent2 2 3 4 2 8" xfId="46911" xr:uid="{00000000-0005-0000-0000-000088120000}"/>
    <cellStyle name="20% - Accent2 2 3 4 2 9" xfId="52429" xr:uid="{00000000-0005-0000-0000-000089120000}"/>
    <cellStyle name="20% - Accent2 2 3 4 3" xfId="4025" xr:uid="{00000000-0005-0000-0000-00008A120000}"/>
    <cellStyle name="20% - Accent2 2 3 4 3 2" xfId="9505" xr:uid="{00000000-0005-0000-0000-00008B120000}"/>
    <cellStyle name="20% - Accent2 2 3 4 3 3" xfId="14981" xr:uid="{00000000-0005-0000-0000-00008C120000}"/>
    <cellStyle name="20% - Accent2 2 3 4 3 4" xfId="20457" xr:uid="{00000000-0005-0000-0000-00008D120000}"/>
    <cellStyle name="20% - Accent2 2 3 4 3 5" xfId="25933" xr:uid="{00000000-0005-0000-0000-00008E120000}"/>
    <cellStyle name="20% - Accent2 2 3 4 3 6" xfId="37729" xr:uid="{00000000-0005-0000-0000-00008F120000}"/>
    <cellStyle name="20% - Accent2 2 3 4 3 7" xfId="43206" xr:uid="{00000000-0005-0000-0000-000090120000}"/>
    <cellStyle name="20% - Accent2 2 3 4 3 8" xfId="48683" xr:uid="{00000000-0005-0000-0000-000091120000}"/>
    <cellStyle name="20% - Accent2 2 3 4 3 9" xfId="54201" xr:uid="{00000000-0005-0000-0000-000092120000}"/>
    <cellStyle name="20% - Accent2 2 3 4 4" xfId="5757" xr:uid="{00000000-0005-0000-0000-000093120000}"/>
    <cellStyle name="20% - Accent2 2 3 4 5" xfId="11237" xr:uid="{00000000-0005-0000-0000-000094120000}"/>
    <cellStyle name="20% - Accent2 2 3 4 6" xfId="16713" xr:uid="{00000000-0005-0000-0000-000095120000}"/>
    <cellStyle name="20% - Accent2 2 3 4 7" xfId="22189" xr:uid="{00000000-0005-0000-0000-000096120000}"/>
    <cellStyle name="20% - Accent2 2 3 4 8" xfId="33984" xr:uid="{00000000-0005-0000-0000-000097120000}"/>
    <cellStyle name="20% - Accent2 2 3 4 9" xfId="39461" xr:uid="{00000000-0005-0000-0000-000098120000}"/>
    <cellStyle name="20% - Accent2 2 3 5" xfId="664" xr:uid="{00000000-0005-0000-0000-000099120000}"/>
    <cellStyle name="20% - Accent2 2 3 5 10" xfId="44939" xr:uid="{00000000-0005-0000-0000-00009A120000}"/>
    <cellStyle name="20% - Accent2 2 3 5 11" xfId="50417" xr:uid="{00000000-0005-0000-0000-00009B120000}"/>
    <cellStyle name="20% - Accent2 2 3 5 2" xfId="2425" xr:uid="{00000000-0005-0000-0000-00009C120000}"/>
    <cellStyle name="20% - Accent2 2 3 5 2 2" xfId="7905" xr:uid="{00000000-0005-0000-0000-00009D120000}"/>
    <cellStyle name="20% - Accent2 2 3 5 2 3" xfId="13381" xr:uid="{00000000-0005-0000-0000-00009E120000}"/>
    <cellStyle name="20% - Accent2 2 3 5 2 4" xfId="18857" xr:uid="{00000000-0005-0000-0000-00009F120000}"/>
    <cellStyle name="20% - Accent2 2 3 5 2 5" xfId="24333" xr:uid="{00000000-0005-0000-0000-0000A0120000}"/>
    <cellStyle name="20% - Accent2 2 3 5 2 6" xfId="36129" xr:uid="{00000000-0005-0000-0000-0000A1120000}"/>
    <cellStyle name="20% - Accent2 2 3 5 2 7" xfId="41606" xr:uid="{00000000-0005-0000-0000-0000A2120000}"/>
    <cellStyle name="20% - Accent2 2 3 5 2 8" xfId="47083" xr:uid="{00000000-0005-0000-0000-0000A3120000}"/>
    <cellStyle name="20% - Accent2 2 3 5 2 9" xfId="52601" xr:uid="{00000000-0005-0000-0000-0000A4120000}"/>
    <cellStyle name="20% - Accent2 2 3 5 3" xfId="4197" xr:uid="{00000000-0005-0000-0000-0000A5120000}"/>
    <cellStyle name="20% - Accent2 2 3 5 3 2" xfId="9677" xr:uid="{00000000-0005-0000-0000-0000A6120000}"/>
    <cellStyle name="20% - Accent2 2 3 5 3 3" xfId="15153" xr:uid="{00000000-0005-0000-0000-0000A7120000}"/>
    <cellStyle name="20% - Accent2 2 3 5 3 4" xfId="20629" xr:uid="{00000000-0005-0000-0000-0000A8120000}"/>
    <cellStyle name="20% - Accent2 2 3 5 3 5" xfId="26105" xr:uid="{00000000-0005-0000-0000-0000A9120000}"/>
    <cellStyle name="20% - Accent2 2 3 5 3 6" xfId="37901" xr:uid="{00000000-0005-0000-0000-0000AA120000}"/>
    <cellStyle name="20% - Accent2 2 3 5 3 7" xfId="43378" xr:uid="{00000000-0005-0000-0000-0000AB120000}"/>
    <cellStyle name="20% - Accent2 2 3 5 3 8" xfId="48855" xr:uid="{00000000-0005-0000-0000-0000AC120000}"/>
    <cellStyle name="20% - Accent2 2 3 5 3 9" xfId="54373" xr:uid="{00000000-0005-0000-0000-0000AD120000}"/>
    <cellStyle name="20% - Accent2 2 3 5 4" xfId="5758" xr:uid="{00000000-0005-0000-0000-0000AE120000}"/>
    <cellStyle name="20% - Accent2 2 3 5 5" xfId="11238" xr:uid="{00000000-0005-0000-0000-0000AF120000}"/>
    <cellStyle name="20% - Accent2 2 3 5 6" xfId="16714" xr:uid="{00000000-0005-0000-0000-0000B0120000}"/>
    <cellStyle name="20% - Accent2 2 3 5 7" xfId="22190" xr:uid="{00000000-0005-0000-0000-0000B1120000}"/>
    <cellStyle name="20% - Accent2 2 3 5 8" xfId="33985" xr:uid="{00000000-0005-0000-0000-0000B2120000}"/>
    <cellStyle name="20% - Accent2 2 3 5 9" xfId="39462" xr:uid="{00000000-0005-0000-0000-0000B3120000}"/>
    <cellStyle name="20% - Accent2 2 3 6" xfId="836" xr:uid="{00000000-0005-0000-0000-0000B4120000}"/>
    <cellStyle name="20% - Accent2 2 3 6 10" xfId="44940" xr:uid="{00000000-0005-0000-0000-0000B5120000}"/>
    <cellStyle name="20% - Accent2 2 3 6 11" xfId="50418" xr:uid="{00000000-0005-0000-0000-0000B6120000}"/>
    <cellStyle name="20% - Accent2 2 3 6 2" xfId="2597" xr:uid="{00000000-0005-0000-0000-0000B7120000}"/>
    <cellStyle name="20% - Accent2 2 3 6 2 2" xfId="8077" xr:uid="{00000000-0005-0000-0000-0000B8120000}"/>
    <cellStyle name="20% - Accent2 2 3 6 2 3" xfId="13553" xr:uid="{00000000-0005-0000-0000-0000B9120000}"/>
    <cellStyle name="20% - Accent2 2 3 6 2 4" xfId="19029" xr:uid="{00000000-0005-0000-0000-0000BA120000}"/>
    <cellStyle name="20% - Accent2 2 3 6 2 5" xfId="24505" xr:uid="{00000000-0005-0000-0000-0000BB120000}"/>
    <cellStyle name="20% - Accent2 2 3 6 2 6" xfId="36301" xr:uid="{00000000-0005-0000-0000-0000BC120000}"/>
    <cellStyle name="20% - Accent2 2 3 6 2 7" xfId="41778" xr:uid="{00000000-0005-0000-0000-0000BD120000}"/>
    <cellStyle name="20% - Accent2 2 3 6 2 8" xfId="47255" xr:uid="{00000000-0005-0000-0000-0000BE120000}"/>
    <cellStyle name="20% - Accent2 2 3 6 2 9" xfId="52773" xr:uid="{00000000-0005-0000-0000-0000BF120000}"/>
    <cellStyle name="20% - Accent2 2 3 6 3" xfId="4369" xr:uid="{00000000-0005-0000-0000-0000C0120000}"/>
    <cellStyle name="20% - Accent2 2 3 6 3 2" xfId="9849" xr:uid="{00000000-0005-0000-0000-0000C1120000}"/>
    <cellStyle name="20% - Accent2 2 3 6 3 3" xfId="15325" xr:uid="{00000000-0005-0000-0000-0000C2120000}"/>
    <cellStyle name="20% - Accent2 2 3 6 3 4" xfId="20801" xr:uid="{00000000-0005-0000-0000-0000C3120000}"/>
    <cellStyle name="20% - Accent2 2 3 6 3 5" xfId="26277" xr:uid="{00000000-0005-0000-0000-0000C4120000}"/>
    <cellStyle name="20% - Accent2 2 3 6 3 6" xfId="38073" xr:uid="{00000000-0005-0000-0000-0000C5120000}"/>
    <cellStyle name="20% - Accent2 2 3 6 3 7" xfId="43550" xr:uid="{00000000-0005-0000-0000-0000C6120000}"/>
    <cellStyle name="20% - Accent2 2 3 6 3 8" xfId="49027" xr:uid="{00000000-0005-0000-0000-0000C7120000}"/>
    <cellStyle name="20% - Accent2 2 3 6 3 9" xfId="54545" xr:uid="{00000000-0005-0000-0000-0000C8120000}"/>
    <cellStyle name="20% - Accent2 2 3 6 4" xfId="5759" xr:uid="{00000000-0005-0000-0000-0000C9120000}"/>
    <cellStyle name="20% - Accent2 2 3 6 5" xfId="11239" xr:uid="{00000000-0005-0000-0000-0000CA120000}"/>
    <cellStyle name="20% - Accent2 2 3 6 6" xfId="16715" xr:uid="{00000000-0005-0000-0000-0000CB120000}"/>
    <cellStyle name="20% - Accent2 2 3 6 7" xfId="22191" xr:uid="{00000000-0005-0000-0000-0000CC120000}"/>
    <cellStyle name="20% - Accent2 2 3 6 8" xfId="33986" xr:uid="{00000000-0005-0000-0000-0000CD120000}"/>
    <cellStyle name="20% - Accent2 2 3 6 9" xfId="39463" xr:uid="{00000000-0005-0000-0000-0000CE120000}"/>
    <cellStyle name="20% - Accent2 2 3 7" xfId="1042" xr:uid="{00000000-0005-0000-0000-0000CF120000}"/>
    <cellStyle name="20% - Accent2 2 3 7 10" xfId="44941" xr:uid="{00000000-0005-0000-0000-0000D0120000}"/>
    <cellStyle name="20% - Accent2 2 3 7 11" xfId="50419" xr:uid="{00000000-0005-0000-0000-0000D1120000}"/>
    <cellStyle name="20% - Accent2 2 3 7 2" xfId="2803" xr:uid="{00000000-0005-0000-0000-0000D2120000}"/>
    <cellStyle name="20% - Accent2 2 3 7 2 2" xfId="8283" xr:uid="{00000000-0005-0000-0000-0000D3120000}"/>
    <cellStyle name="20% - Accent2 2 3 7 2 3" xfId="13759" xr:uid="{00000000-0005-0000-0000-0000D4120000}"/>
    <cellStyle name="20% - Accent2 2 3 7 2 4" xfId="19235" xr:uid="{00000000-0005-0000-0000-0000D5120000}"/>
    <cellStyle name="20% - Accent2 2 3 7 2 5" xfId="24711" xr:uid="{00000000-0005-0000-0000-0000D6120000}"/>
    <cellStyle name="20% - Accent2 2 3 7 2 6" xfId="36507" xr:uid="{00000000-0005-0000-0000-0000D7120000}"/>
    <cellStyle name="20% - Accent2 2 3 7 2 7" xfId="41984" xr:uid="{00000000-0005-0000-0000-0000D8120000}"/>
    <cellStyle name="20% - Accent2 2 3 7 2 8" xfId="47461" xr:uid="{00000000-0005-0000-0000-0000D9120000}"/>
    <cellStyle name="20% - Accent2 2 3 7 2 9" xfId="52979" xr:uid="{00000000-0005-0000-0000-0000DA120000}"/>
    <cellStyle name="20% - Accent2 2 3 7 3" xfId="4575" xr:uid="{00000000-0005-0000-0000-0000DB120000}"/>
    <cellStyle name="20% - Accent2 2 3 7 3 2" xfId="10055" xr:uid="{00000000-0005-0000-0000-0000DC120000}"/>
    <cellStyle name="20% - Accent2 2 3 7 3 3" xfId="15531" xr:uid="{00000000-0005-0000-0000-0000DD120000}"/>
    <cellStyle name="20% - Accent2 2 3 7 3 4" xfId="21007" xr:uid="{00000000-0005-0000-0000-0000DE120000}"/>
    <cellStyle name="20% - Accent2 2 3 7 3 5" xfId="26483" xr:uid="{00000000-0005-0000-0000-0000DF120000}"/>
    <cellStyle name="20% - Accent2 2 3 7 3 6" xfId="38279" xr:uid="{00000000-0005-0000-0000-0000E0120000}"/>
    <cellStyle name="20% - Accent2 2 3 7 3 7" xfId="43756" xr:uid="{00000000-0005-0000-0000-0000E1120000}"/>
    <cellStyle name="20% - Accent2 2 3 7 3 8" xfId="49233" xr:uid="{00000000-0005-0000-0000-0000E2120000}"/>
    <cellStyle name="20% - Accent2 2 3 7 3 9" xfId="54751" xr:uid="{00000000-0005-0000-0000-0000E3120000}"/>
    <cellStyle name="20% - Accent2 2 3 7 4" xfId="5760" xr:uid="{00000000-0005-0000-0000-0000E4120000}"/>
    <cellStyle name="20% - Accent2 2 3 7 5" xfId="11240" xr:uid="{00000000-0005-0000-0000-0000E5120000}"/>
    <cellStyle name="20% - Accent2 2 3 7 6" xfId="16716" xr:uid="{00000000-0005-0000-0000-0000E6120000}"/>
    <cellStyle name="20% - Accent2 2 3 7 7" xfId="22192" xr:uid="{00000000-0005-0000-0000-0000E7120000}"/>
    <cellStyle name="20% - Accent2 2 3 7 8" xfId="33987" xr:uid="{00000000-0005-0000-0000-0000E8120000}"/>
    <cellStyle name="20% - Accent2 2 3 7 9" xfId="39464" xr:uid="{00000000-0005-0000-0000-0000E9120000}"/>
    <cellStyle name="20% - Accent2 2 3 8" xfId="1214" xr:uid="{00000000-0005-0000-0000-0000EA120000}"/>
    <cellStyle name="20% - Accent2 2 3 8 10" xfId="44942" xr:uid="{00000000-0005-0000-0000-0000EB120000}"/>
    <cellStyle name="20% - Accent2 2 3 8 11" xfId="50420" xr:uid="{00000000-0005-0000-0000-0000EC120000}"/>
    <cellStyle name="20% - Accent2 2 3 8 2" xfId="2975" xr:uid="{00000000-0005-0000-0000-0000ED120000}"/>
    <cellStyle name="20% - Accent2 2 3 8 2 2" xfId="8455" xr:uid="{00000000-0005-0000-0000-0000EE120000}"/>
    <cellStyle name="20% - Accent2 2 3 8 2 3" xfId="13931" xr:uid="{00000000-0005-0000-0000-0000EF120000}"/>
    <cellStyle name="20% - Accent2 2 3 8 2 4" xfId="19407" xr:uid="{00000000-0005-0000-0000-0000F0120000}"/>
    <cellStyle name="20% - Accent2 2 3 8 2 5" xfId="24883" xr:uid="{00000000-0005-0000-0000-0000F1120000}"/>
    <cellStyle name="20% - Accent2 2 3 8 2 6" xfId="36679" xr:uid="{00000000-0005-0000-0000-0000F2120000}"/>
    <cellStyle name="20% - Accent2 2 3 8 2 7" xfId="42156" xr:uid="{00000000-0005-0000-0000-0000F3120000}"/>
    <cellStyle name="20% - Accent2 2 3 8 2 8" xfId="47633" xr:uid="{00000000-0005-0000-0000-0000F4120000}"/>
    <cellStyle name="20% - Accent2 2 3 8 2 9" xfId="53151" xr:uid="{00000000-0005-0000-0000-0000F5120000}"/>
    <cellStyle name="20% - Accent2 2 3 8 3" xfId="4747" xr:uid="{00000000-0005-0000-0000-0000F6120000}"/>
    <cellStyle name="20% - Accent2 2 3 8 3 2" xfId="10227" xr:uid="{00000000-0005-0000-0000-0000F7120000}"/>
    <cellStyle name="20% - Accent2 2 3 8 3 3" xfId="15703" xr:uid="{00000000-0005-0000-0000-0000F8120000}"/>
    <cellStyle name="20% - Accent2 2 3 8 3 4" xfId="21179" xr:uid="{00000000-0005-0000-0000-0000F9120000}"/>
    <cellStyle name="20% - Accent2 2 3 8 3 5" xfId="26655" xr:uid="{00000000-0005-0000-0000-0000FA120000}"/>
    <cellStyle name="20% - Accent2 2 3 8 3 6" xfId="38451" xr:uid="{00000000-0005-0000-0000-0000FB120000}"/>
    <cellStyle name="20% - Accent2 2 3 8 3 7" xfId="43928" xr:uid="{00000000-0005-0000-0000-0000FC120000}"/>
    <cellStyle name="20% - Accent2 2 3 8 3 8" xfId="49405" xr:uid="{00000000-0005-0000-0000-0000FD120000}"/>
    <cellStyle name="20% - Accent2 2 3 8 3 9" xfId="54923" xr:uid="{00000000-0005-0000-0000-0000FE120000}"/>
    <cellStyle name="20% - Accent2 2 3 8 4" xfId="5761" xr:uid="{00000000-0005-0000-0000-0000FF120000}"/>
    <cellStyle name="20% - Accent2 2 3 8 5" xfId="11241" xr:uid="{00000000-0005-0000-0000-000000130000}"/>
    <cellStyle name="20% - Accent2 2 3 8 6" xfId="16717" xr:uid="{00000000-0005-0000-0000-000001130000}"/>
    <cellStyle name="20% - Accent2 2 3 8 7" xfId="22193" xr:uid="{00000000-0005-0000-0000-000002130000}"/>
    <cellStyle name="20% - Accent2 2 3 8 8" xfId="33988" xr:uid="{00000000-0005-0000-0000-000003130000}"/>
    <cellStyle name="20% - Accent2 2 3 8 9" xfId="39465" xr:uid="{00000000-0005-0000-0000-000004130000}"/>
    <cellStyle name="20% - Accent2 2 3 9" xfId="1386" xr:uid="{00000000-0005-0000-0000-000005130000}"/>
    <cellStyle name="20% - Accent2 2 3 9 10" xfId="44943" xr:uid="{00000000-0005-0000-0000-000006130000}"/>
    <cellStyle name="20% - Accent2 2 3 9 11" xfId="50421" xr:uid="{00000000-0005-0000-0000-000007130000}"/>
    <cellStyle name="20% - Accent2 2 3 9 2" xfId="3147" xr:uid="{00000000-0005-0000-0000-000008130000}"/>
    <cellStyle name="20% - Accent2 2 3 9 2 2" xfId="8627" xr:uid="{00000000-0005-0000-0000-000009130000}"/>
    <cellStyle name="20% - Accent2 2 3 9 2 3" xfId="14103" xr:uid="{00000000-0005-0000-0000-00000A130000}"/>
    <cellStyle name="20% - Accent2 2 3 9 2 4" xfId="19579" xr:uid="{00000000-0005-0000-0000-00000B130000}"/>
    <cellStyle name="20% - Accent2 2 3 9 2 5" xfId="25055" xr:uid="{00000000-0005-0000-0000-00000C130000}"/>
    <cellStyle name="20% - Accent2 2 3 9 2 6" xfId="36851" xr:uid="{00000000-0005-0000-0000-00000D130000}"/>
    <cellStyle name="20% - Accent2 2 3 9 2 7" xfId="42328" xr:uid="{00000000-0005-0000-0000-00000E130000}"/>
    <cellStyle name="20% - Accent2 2 3 9 2 8" xfId="47805" xr:uid="{00000000-0005-0000-0000-00000F130000}"/>
    <cellStyle name="20% - Accent2 2 3 9 2 9" xfId="53323" xr:uid="{00000000-0005-0000-0000-000010130000}"/>
    <cellStyle name="20% - Accent2 2 3 9 3" xfId="4919" xr:uid="{00000000-0005-0000-0000-000011130000}"/>
    <cellStyle name="20% - Accent2 2 3 9 3 2" xfId="10399" xr:uid="{00000000-0005-0000-0000-000012130000}"/>
    <cellStyle name="20% - Accent2 2 3 9 3 3" xfId="15875" xr:uid="{00000000-0005-0000-0000-000013130000}"/>
    <cellStyle name="20% - Accent2 2 3 9 3 4" xfId="21351" xr:uid="{00000000-0005-0000-0000-000014130000}"/>
    <cellStyle name="20% - Accent2 2 3 9 3 5" xfId="26827" xr:uid="{00000000-0005-0000-0000-000015130000}"/>
    <cellStyle name="20% - Accent2 2 3 9 3 6" xfId="38623" xr:uid="{00000000-0005-0000-0000-000016130000}"/>
    <cellStyle name="20% - Accent2 2 3 9 3 7" xfId="44100" xr:uid="{00000000-0005-0000-0000-000017130000}"/>
    <cellStyle name="20% - Accent2 2 3 9 3 8" xfId="49577" xr:uid="{00000000-0005-0000-0000-000018130000}"/>
    <cellStyle name="20% - Accent2 2 3 9 3 9" xfId="55095" xr:uid="{00000000-0005-0000-0000-000019130000}"/>
    <cellStyle name="20% - Accent2 2 3 9 4" xfId="5762" xr:uid="{00000000-0005-0000-0000-00001A130000}"/>
    <cellStyle name="20% - Accent2 2 3 9 5" xfId="11242" xr:uid="{00000000-0005-0000-0000-00001B130000}"/>
    <cellStyle name="20% - Accent2 2 3 9 6" xfId="16718" xr:uid="{00000000-0005-0000-0000-00001C130000}"/>
    <cellStyle name="20% - Accent2 2 3 9 7" xfId="22194" xr:uid="{00000000-0005-0000-0000-00001D130000}"/>
    <cellStyle name="20% - Accent2 2 3 9 8" xfId="33989" xr:uid="{00000000-0005-0000-0000-00001E130000}"/>
    <cellStyle name="20% - Accent2 2 3 9 9" xfId="39466" xr:uid="{00000000-0005-0000-0000-00001F130000}"/>
    <cellStyle name="20% - Accent2 2 4" xfId="165" xr:uid="{00000000-0005-0000-0000-000020130000}"/>
    <cellStyle name="20% - Accent2 2 4 10" xfId="1560" xr:uid="{00000000-0005-0000-0000-000021130000}"/>
    <cellStyle name="20% - Accent2 2 4 10 10" xfId="44945" xr:uid="{00000000-0005-0000-0000-000022130000}"/>
    <cellStyle name="20% - Accent2 2 4 10 11" xfId="50423" xr:uid="{00000000-0005-0000-0000-000023130000}"/>
    <cellStyle name="20% - Accent2 2 4 10 2" xfId="3321" xr:uid="{00000000-0005-0000-0000-000024130000}"/>
    <cellStyle name="20% - Accent2 2 4 10 2 2" xfId="8801" xr:uid="{00000000-0005-0000-0000-000025130000}"/>
    <cellStyle name="20% - Accent2 2 4 10 2 3" xfId="14277" xr:uid="{00000000-0005-0000-0000-000026130000}"/>
    <cellStyle name="20% - Accent2 2 4 10 2 4" xfId="19753" xr:uid="{00000000-0005-0000-0000-000027130000}"/>
    <cellStyle name="20% - Accent2 2 4 10 2 5" xfId="25229" xr:uid="{00000000-0005-0000-0000-000028130000}"/>
    <cellStyle name="20% - Accent2 2 4 10 2 6" xfId="37025" xr:uid="{00000000-0005-0000-0000-000029130000}"/>
    <cellStyle name="20% - Accent2 2 4 10 2 7" xfId="42502" xr:uid="{00000000-0005-0000-0000-00002A130000}"/>
    <cellStyle name="20% - Accent2 2 4 10 2 8" xfId="47979" xr:uid="{00000000-0005-0000-0000-00002B130000}"/>
    <cellStyle name="20% - Accent2 2 4 10 2 9" xfId="53497" xr:uid="{00000000-0005-0000-0000-00002C130000}"/>
    <cellStyle name="20% - Accent2 2 4 10 3" xfId="5093" xr:uid="{00000000-0005-0000-0000-00002D130000}"/>
    <cellStyle name="20% - Accent2 2 4 10 3 2" xfId="10573" xr:uid="{00000000-0005-0000-0000-00002E130000}"/>
    <cellStyle name="20% - Accent2 2 4 10 3 3" xfId="16049" xr:uid="{00000000-0005-0000-0000-00002F130000}"/>
    <cellStyle name="20% - Accent2 2 4 10 3 4" xfId="21525" xr:uid="{00000000-0005-0000-0000-000030130000}"/>
    <cellStyle name="20% - Accent2 2 4 10 3 5" xfId="27001" xr:uid="{00000000-0005-0000-0000-000031130000}"/>
    <cellStyle name="20% - Accent2 2 4 10 3 6" xfId="38797" xr:uid="{00000000-0005-0000-0000-000032130000}"/>
    <cellStyle name="20% - Accent2 2 4 10 3 7" xfId="44274" xr:uid="{00000000-0005-0000-0000-000033130000}"/>
    <cellStyle name="20% - Accent2 2 4 10 3 8" xfId="49751" xr:uid="{00000000-0005-0000-0000-000034130000}"/>
    <cellStyle name="20% - Accent2 2 4 10 3 9" xfId="55269" xr:uid="{00000000-0005-0000-0000-000035130000}"/>
    <cellStyle name="20% - Accent2 2 4 10 4" xfId="5764" xr:uid="{00000000-0005-0000-0000-000036130000}"/>
    <cellStyle name="20% - Accent2 2 4 10 5" xfId="11244" xr:uid="{00000000-0005-0000-0000-000037130000}"/>
    <cellStyle name="20% - Accent2 2 4 10 6" xfId="16720" xr:uid="{00000000-0005-0000-0000-000038130000}"/>
    <cellStyle name="20% - Accent2 2 4 10 7" xfId="22196" xr:uid="{00000000-0005-0000-0000-000039130000}"/>
    <cellStyle name="20% - Accent2 2 4 10 8" xfId="33991" xr:uid="{00000000-0005-0000-0000-00003A130000}"/>
    <cellStyle name="20% - Accent2 2 4 10 9" xfId="39468" xr:uid="{00000000-0005-0000-0000-00003B130000}"/>
    <cellStyle name="20% - Accent2 2 4 11" xfId="1793" xr:uid="{00000000-0005-0000-0000-00003C130000}"/>
    <cellStyle name="20% - Accent2 2 4 11 10" xfId="44946" xr:uid="{00000000-0005-0000-0000-00003D130000}"/>
    <cellStyle name="20% - Accent2 2 4 11 11" xfId="50424" xr:uid="{00000000-0005-0000-0000-00003E130000}"/>
    <cellStyle name="20% - Accent2 2 4 11 2" xfId="3554" xr:uid="{00000000-0005-0000-0000-00003F130000}"/>
    <cellStyle name="20% - Accent2 2 4 11 2 2" xfId="9034" xr:uid="{00000000-0005-0000-0000-000040130000}"/>
    <cellStyle name="20% - Accent2 2 4 11 2 3" xfId="14510" xr:uid="{00000000-0005-0000-0000-000041130000}"/>
    <cellStyle name="20% - Accent2 2 4 11 2 4" xfId="19986" xr:uid="{00000000-0005-0000-0000-000042130000}"/>
    <cellStyle name="20% - Accent2 2 4 11 2 5" xfId="25462" xr:uid="{00000000-0005-0000-0000-000043130000}"/>
    <cellStyle name="20% - Accent2 2 4 11 2 6" xfId="37258" xr:uid="{00000000-0005-0000-0000-000044130000}"/>
    <cellStyle name="20% - Accent2 2 4 11 2 7" xfId="42735" xr:uid="{00000000-0005-0000-0000-000045130000}"/>
    <cellStyle name="20% - Accent2 2 4 11 2 8" xfId="48212" xr:uid="{00000000-0005-0000-0000-000046130000}"/>
    <cellStyle name="20% - Accent2 2 4 11 2 9" xfId="53730" xr:uid="{00000000-0005-0000-0000-000047130000}"/>
    <cellStyle name="20% - Accent2 2 4 11 3" xfId="5326" xr:uid="{00000000-0005-0000-0000-000048130000}"/>
    <cellStyle name="20% - Accent2 2 4 11 3 2" xfId="10806" xr:uid="{00000000-0005-0000-0000-000049130000}"/>
    <cellStyle name="20% - Accent2 2 4 11 3 3" xfId="16282" xr:uid="{00000000-0005-0000-0000-00004A130000}"/>
    <cellStyle name="20% - Accent2 2 4 11 3 4" xfId="21758" xr:uid="{00000000-0005-0000-0000-00004B130000}"/>
    <cellStyle name="20% - Accent2 2 4 11 3 5" xfId="27234" xr:uid="{00000000-0005-0000-0000-00004C130000}"/>
    <cellStyle name="20% - Accent2 2 4 11 3 6" xfId="39030" xr:uid="{00000000-0005-0000-0000-00004D130000}"/>
    <cellStyle name="20% - Accent2 2 4 11 3 7" xfId="44507" xr:uid="{00000000-0005-0000-0000-00004E130000}"/>
    <cellStyle name="20% - Accent2 2 4 11 3 8" xfId="49984" xr:uid="{00000000-0005-0000-0000-00004F130000}"/>
    <cellStyle name="20% - Accent2 2 4 11 3 9" xfId="55502" xr:uid="{00000000-0005-0000-0000-000050130000}"/>
    <cellStyle name="20% - Accent2 2 4 11 4" xfId="5765" xr:uid="{00000000-0005-0000-0000-000051130000}"/>
    <cellStyle name="20% - Accent2 2 4 11 5" xfId="11245" xr:uid="{00000000-0005-0000-0000-000052130000}"/>
    <cellStyle name="20% - Accent2 2 4 11 6" xfId="16721" xr:uid="{00000000-0005-0000-0000-000053130000}"/>
    <cellStyle name="20% - Accent2 2 4 11 7" xfId="22197" xr:uid="{00000000-0005-0000-0000-000054130000}"/>
    <cellStyle name="20% - Accent2 2 4 11 8" xfId="33992" xr:uid="{00000000-0005-0000-0000-000055130000}"/>
    <cellStyle name="20% - Accent2 2 4 11 9" xfId="39469" xr:uid="{00000000-0005-0000-0000-000056130000}"/>
    <cellStyle name="20% - Accent2 2 4 12" xfId="1922" xr:uid="{00000000-0005-0000-0000-000057130000}"/>
    <cellStyle name="20% - Accent2 2 4 12 10" xfId="52099" xr:uid="{00000000-0005-0000-0000-000058130000}"/>
    <cellStyle name="20% - Accent2 2 4 12 2" xfId="5454" xr:uid="{00000000-0005-0000-0000-000059130000}"/>
    <cellStyle name="20% - Accent2 2 4 12 2 2" xfId="10934" xr:uid="{00000000-0005-0000-0000-00005A130000}"/>
    <cellStyle name="20% - Accent2 2 4 12 2 3" xfId="16410" xr:uid="{00000000-0005-0000-0000-00005B130000}"/>
    <cellStyle name="20% - Accent2 2 4 12 2 4" xfId="21886" xr:uid="{00000000-0005-0000-0000-00005C130000}"/>
    <cellStyle name="20% - Accent2 2 4 12 2 5" xfId="27362" xr:uid="{00000000-0005-0000-0000-00005D130000}"/>
    <cellStyle name="20% - Accent2 2 4 12 2 6" xfId="39158" xr:uid="{00000000-0005-0000-0000-00005E130000}"/>
    <cellStyle name="20% - Accent2 2 4 12 2 7" xfId="44635" xr:uid="{00000000-0005-0000-0000-00005F130000}"/>
    <cellStyle name="20% - Accent2 2 4 12 2 8" xfId="50112" xr:uid="{00000000-0005-0000-0000-000060130000}"/>
    <cellStyle name="20% - Accent2 2 4 12 2 9" xfId="55630" xr:uid="{00000000-0005-0000-0000-000061130000}"/>
    <cellStyle name="20% - Accent2 2 4 12 3" xfId="7403" xr:uid="{00000000-0005-0000-0000-000062130000}"/>
    <cellStyle name="20% - Accent2 2 4 12 4" xfId="12879" xr:uid="{00000000-0005-0000-0000-000063130000}"/>
    <cellStyle name="20% - Accent2 2 4 12 5" xfId="18355" xr:uid="{00000000-0005-0000-0000-000064130000}"/>
    <cellStyle name="20% - Accent2 2 4 12 6" xfId="23831" xr:uid="{00000000-0005-0000-0000-000065130000}"/>
    <cellStyle name="20% - Accent2 2 4 12 7" xfId="35627" xr:uid="{00000000-0005-0000-0000-000066130000}"/>
    <cellStyle name="20% - Accent2 2 4 12 8" xfId="41104" xr:uid="{00000000-0005-0000-0000-000067130000}"/>
    <cellStyle name="20% - Accent2 2 4 12 9" xfId="46581" xr:uid="{00000000-0005-0000-0000-000068130000}"/>
    <cellStyle name="20% - Accent2 2 4 13" xfId="3737" xr:uid="{00000000-0005-0000-0000-000069130000}"/>
    <cellStyle name="20% - Accent2 2 4 13 2" xfId="9217" xr:uid="{00000000-0005-0000-0000-00006A130000}"/>
    <cellStyle name="20% - Accent2 2 4 13 3" xfId="14693" xr:uid="{00000000-0005-0000-0000-00006B130000}"/>
    <cellStyle name="20% - Accent2 2 4 13 4" xfId="20169" xr:uid="{00000000-0005-0000-0000-00006C130000}"/>
    <cellStyle name="20% - Accent2 2 4 13 5" xfId="25645" xr:uid="{00000000-0005-0000-0000-00006D130000}"/>
    <cellStyle name="20% - Accent2 2 4 13 6" xfId="37441" xr:uid="{00000000-0005-0000-0000-00006E130000}"/>
    <cellStyle name="20% - Accent2 2 4 13 7" xfId="42918" xr:uid="{00000000-0005-0000-0000-00006F130000}"/>
    <cellStyle name="20% - Accent2 2 4 13 8" xfId="48395" xr:uid="{00000000-0005-0000-0000-000070130000}"/>
    <cellStyle name="20% - Accent2 2 4 13 9" xfId="53913" xr:uid="{00000000-0005-0000-0000-000071130000}"/>
    <cellStyle name="20% - Accent2 2 4 14" xfId="5763" xr:uid="{00000000-0005-0000-0000-000072130000}"/>
    <cellStyle name="20% - Accent2 2 4 15" xfId="11243" xr:uid="{00000000-0005-0000-0000-000073130000}"/>
    <cellStyle name="20% - Accent2 2 4 16" xfId="16719" xr:uid="{00000000-0005-0000-0000-000074130000}"/>
    <cellStyle name="20% - Accent2 2 4 17" xfId="22195" xr:uid="{00000000-0005-0000-0000-000075130000}"/>
    <cellStyle name="20% - Accent2 2 4 18" xfId="28229" xr:uid="{00000000-0005-0000-0000-000076130000}"/>
    <cellStyle name="20% - Accent2 2 4 19" xfId="33990" xr:uid="{00000000-0005-0000-0000-000077130000}"/>
    <cellStyle name="20% - Accent2 2 4 2" xfId="257" xr:uid="{00000000-0005-0000-0000-000078130000}"/>
    <cellStyle name="20% - Accent2 2 4 2 10" xfId="1792" xr:uid="{00000000-0005-0000-0000-000079130000}"/>
    <cellStyle name="20% - Accent2 2 4 2 10 10" xfId="44948" xr:uid="{00000000-0005-0000-0000-00007A130000}"/>
    <cellStyle name="20% - Accent2 2 4 2 10 11" xfId="50426" xr:uid="{00000000-0005-0000-0000-00007B130000}"/>
    <cellStyle name="20% - Accent2 2 4 2 10 2" xfId="3553" xr:uid="{00000000-0005-0000-0000-00007C130000}"/>
    <cellStyle name="20% - Accent2 2 4 2 10 2 2" xfId="9033" xr:uid="{00000000-0005-0000-0000-00007D130000}"/>
    <cellStyle name="20% - Accent2 2 4 2 10 2 3" xfId="14509" xr:uid="{00000000-0005-0000-0000-00007E130000}"/>
    <cellStyle name="20% - Accent2 2 4 2 10 2 4" xfId="19985" xr:uid="{00000000-0005-0000-0000-00007F130000}"/>
    <cellStyle name="20% - Accent2 2 4 2 10 2 5" xfId="25461" xr:uid="{00000000-0005-0000-0000-000080130000}"/>
    <cellStyle name="20% - Accent2 2 4 2 10 2 6" xfId="37257" xr:uid="{00000000-0005-0000-0000-000081130000}"/>
    <cellStyle name="20% - Accent2 2 4 2 10 2 7" xfId="42734" xr:uid="{00000000-0005-0000-0000-000082130000}"/>
    <cellStyle name="20% - Accent2 2 4 2 10 2 8" xfId="48211" xr:uid="{00000000-0005-0000-0000-000083130000}"/>
    <cellStyle name="20% - Accent2 2 4 2 10 2 9" xfId="53729" xr:uid="{00000000-0005-0000-0000-000084130000}"/>
    <cellStyle name="20% - Accent2 2 4 2 10 3" xfId="5325" xr:uid="{00000000-0005-0000-0000-000085130000}"/>
    <cellStyle name="20% - Accent2 2 4 2 10 3 2" xfId="10805" xr:uid="{00000000-0005-0000-0000-000086130000}"/>
    <cellStyle name="20% - Accent2 2 4 2 10 3 3" xfId="16281" xr:uid="{00000000-0005-0000-0000-000087130000}"/>
    <cellStyle name="20% - Accent2 2 4 2 10 3 4" xfId="21757" xr:uid="{00000000-0005-0000-0000-000088130000}"/>
    <cellStyle name="20% - Accent2 2 4 2 10 3 5" xfId="27233" xr:uid="{00000000-0005-0000-0000-000089130000}"/>
    <cellStyle name="20% - Accent2 2 4 2 10 3 6" xfId="39029" xr:uid="{00000000-0005-0000-0000-00008A130000}"/>
    <cellStyle name="20% - Accent2 2 4 2 10 3 7" xfId="44506" xr:uid="{00000000-0005-0000-0000-00008B130000}"/>
    <cellStyle name="20% - Accent2 2 4 2 10 3 8" xfId="49983" xr:uid="{00000000-0005-0000-0000-00008C130000}"/>
    <cellStyle name="20% - Accent2 2 4 2 10 3 9" xfId="55501" xr:uid="{00000000-0005-0000-0000-00008D130000}"/>
    <cellStyle name="20% - Accent2 2 4 2 10 4" xfId="5767" xr:uid="{00000000-0005-0000-0000-00008E130000}"/>
    <cellStyle name="20% - Accent2 2 4 2 10 5" xfId="11247" xr:uid="{00000000-0005-0000-0000-00008F130000}"/>
    <cellStyle name="20% - Accent2 2 4 2 10 6" xfId="16723" xr:uid="{00000000-0005-0000-0000-000090130000}"/>
    <cellStyle name="20% - Accent2 2 4 2 10 7" xfId="22199" xr:uid="{00000000-0005-0000-0000-000091130000}"/>
    <cellStyle name="20% - Accent2 2 4 2 10 8" xfId="33994" xr:uid="{00000000-0005-0000-0000-000092130000}"/>
    <cellStyle name="20% - Accent2 2 4 2 10 9" xfId="39471" xr:uid="{00000000-0005-0000-0000-000093130000}"/>
    <cellStyle name="20% - Accent2 2 4 2 11" xfId="1923" xr:uid="{00000000-0005-0000-0000-000094130000}"/>
    <cellStyle name="20% - Accent2 2 4 2 11 10" xfId="52100" xr:uid="{00000000-0005-0000-0000-000095130000}"/>
    <cellStyle name="20% - Accent2 2 4 2 11 2" xfId="5455" xr:uid="{00000000-0005-0000-0000-000096130000}"/>
    <cellStyle name="20% - Accent2 2 4 2 11 2 2" xfId="10935" xr:uid="{00000000-0005-0000-0000-000097130000}"/>
    <cellStyle name="20% - Accent2 2 4 2 11 2 3" xfId="16411" xr:uid="{00000000-0005-0000-0000-000098130000}"/>
    <cellStyle name="20% - Accent2 2 4 2 11 2 4" xfId="21887" xr:uid="{00000000-0005-0000-0000-000099130000}"/>
    <cellStyle name="20% - Accent2 2 4 2 11 2 5" xfId="27363" xr:uid="{00000000-0005-0000-0000-00009A130000}"/>
    <cellStyle name="20% - Accent2 2 4 2 11 2 6" xfId="39159" xr:uid="{00000000-0005-0000-0000-00009B130000}"/>
    <cellStyle name="20% - Accent2 2 4 2 11 2 7" xfId="44636" xr:uid="{00000000-0005-0000-0000-00009C130000}"/>
    <cellStyle name="20% - Accent2 2 4 2 11 2 8" xfId="50113" xr:uid="{00000000-0005-0000-0000-00009D130000}"/>
    <cellStyle name="20% - Accent2 2 4 2 11 2 9" xfId="55631" xr:uid="{00000000-0005-0000-0000-00009E130000}"/>
    <cellStyle name="20% - Accent2 2 4 2 11 3" xfId="7404" xr:uid="{00000000-0005-0000-0000-00009F130000}"/>
    <cellStyle name="20% - Accent2 2 4 2 11 4" xfId="12880" xr:uid="{00000000-0005-0000-0000-0000A0130000}"/>
    <cellStyle name="20% - Accent2 2 4 2 11 5" xfId="18356" xr:uid="{00000000-0005-0000-0000-0000A1130000}"/>
    <cellStyle name="20% - Accent2 2 4 2 11 6" xfId="23832" xr:uid="{00000000-0005-0000-0000-0000A2130000}"/>
    <cellStyle name="20% - Accent2 2 4 2 11 7" xfId="35628" xr:uid="{00000000-0005-0000-0000-0000A3130000}"/>
    <cellStyle name="20% - Accent2 2 4 2 11 8" xfId="41105" xr:uid="{00000000-0005-0000-0000-0000A4130000}"/>
    <cellStyle name="20% - Accent2 2 4 2 11 9" xfId="46582" xr:uid="{00000000-0005-0000-0000-0000A5130000}"/>
    <cellStyle name="20% - Accent2 2 4 2 12" xfId="3823" xr:uid="{00000000-0005-0000-0000-0000A6130000}"/>
    <cellStyle name="20% - Accent2 2 4 2 12 2" xfId="9303" xr:uid="{00000000-0005-0000-0000-0000A7130000}"/>
    <cellStyle name="20% - Accent2 2 4 2 12 3" xfId="14779" xr:uid="{00000000-0005-0000-0000-0000A8130000}"/>
    <cellStyle name="20% - Accent2 2 4 2 12 4" xfId="20255" xr:uid="{00000000-0005-0000-0000-0000A9130000}"/>
    <cellStyle name="20% - Accent2 2 4 2 12 5" xfId="25731" xr:uid="{00000000-0005-0000-0000-0000AA130000}"/>
    <cellStyle name="20% - Accent2 2 4 2 12 6" xfId="37527" xr:uid="{00000000-0005-0000-0000-0000AB130000}"/>
    <cellStyle name="20% - Accent2 2 4 2 12 7" xfId="43004" xr:uid="{00000000-0005-0000-0000-0000AC130000}"/>
    <cellStyle name="20% - Accent2 2 4 2 12 8" xfId="48481" xr:uid="{00000000-0005-0000-0000-0000AD130000}"/>
    <cellStyle name="20% - Accent2 2 4 2 12 9" xfId="53999" xr:uid="{00000000-0005-0000-0000-0000AE130000}"/>
    <cellStyle name="20% - Accent2 2 4 2 13" xfId="5766" xr:uid="{00000000-0005-0000-0000-0000AF130000}"/>
    <cellStyle name="20% - Accent2 2 4 2 14" xfId="11246" xr:uid="{00000000-0005-0000-0000-0000B0130000}"/>
    <cellStyle name="20% - Accent2 2 4 2 15" xfId="16722" xr:uid="{00000000-0005-0000-0000-0000B1130000}"/>
    <cellStyle name="20% - Accent2 2 4 2 16" xfId="22198" xr:uid="{00000000-0005-0000-0000-0000B2130000}"/>
    <cellStyle name="20% - Accent2 2 4 2 17" xfId="28230" xr:uid="{00000000-0005-0000-0000-0000B3130000}"/>
    <cellStyle name="20% - Accent2 2 4 2 18" xfId="33993" xr:uid="{00000000-0005-0000-0000-0000B4130000}"/>
    <cellStyle name="20% - Accent2 2 4 2 19" xfId="39470" xr:uid="{00000000-0005-0000-0000-0000B5130000}"/>
    <cellStyle name="20% - Accent2 2 4 2 2" xfId="294" xr:uid="{00000000-0005-0000-0000-0000B6130000}"/>
    <cellStyle name="20% - Accent2 2 4 2 2 10" xfId="39472" xr:uid="{00000000-0005-0000-0000-0000B7130000}"/>
    <cellStyle name="20% - Accent2 2 4 2 2 11" xfId="44949" xr:uid="{00000000-0005-0000-0000-0000B8130000}"/>
    <cellStyle name="20% - Accent2 2 4 2 2 12" xfId="50427" xr:uid="{00000000-0005-0000-0000-0000B9130000}"/>
    <cellStyle name="20% - Accent2 2 4 2 2 2" xfId="2095" xr:uid="{00000000-0005-0000-0000-0000BA130000}"/>
    <cellStyle name="20% - Accent2 2 4 2 2 2 2" xfId="7575" xr:uid="{00000000-0005-0000-0000-0000BB130000}"/>
    <cellStyle name="20% - Accent2 2 4 2 2 2 3" xfId="13051" xr:uid="{00000000-0005-0000-0000-0000BC130000}"/>
    <cellStyle name="20% - Accent2 2 4 2 2 2 4" xfId="18527" xr:uid="{00000000-0005-0000-0000-0000BD130000}"/>
    <cellStyle name="20% - Accent2 2 4 2 2 2 5" xfId="24003" xr:uid="{00000000-0005-0000-0000-0000BE130000}"/>
    <cellStyle name="20% - Accent2 2 4 2 2 2 6" xfId="35799" xr:uid="{00000000-0005-0000-0000-0000BF130000}"/>
    <cellStyle name="20% - Accent2 2 4 2 2 2 7" xfId="41276" xr:uid="{00000000-0005-0000-0000-0000C0130000}"/>
    <cellStyle name="20% - Accent2 2 4 2 2 2 8" xfId="46753" xr:uid="{00000000-0005-0000-0000-0000C1130000}"/>
    <cellStyle name="20% - Accent2 2 4 2 2 2 9" xfId="52271" xr:uid="{00000000-0005-0000-0000-0000C2130000}"/>
    <cellStyle name="20% - Accent2 2 4 2 2 3" xfId="3856" xr:uid="{00000000-0005-0000-0000-0000C3130000}"/>
    <cellStyle name="20% - Accent2 2 4 2 2 3 2" xfId="9336" xr:uid="{00000000-0005-0000-0000-0000C4130000}"/>
    <cellStyle name="20% - Accent2 2 4 2 2 3 3" xfId="14812" xr:uid="{00000000-0005-0000-0000-0000C5130000}"/>
    <cellStyle name="20% - Accent2 2 4 2 2 3 4" xfId="20288" xr:uid="{00000000-0005-0000-0000-0000C6130000}"/>
    <cellStyle name="20% - Accent2 2 4 2 2 3 5" xfId="25764" xr:uid="{00000000-0005-0000-0000-0000C7130000}"/>
    <cellStyle name="20% - Accent2 2 4 2 2 3 6" xfId="37560" xr:uid="{00000000-0005-0000-0000-0000C8130000}"/>
    <cellStyle name="20% - Accent2 2 4 2 2 3 7" xfId="43037" xr:uid="{00000000-0005-0000-0000-0000C9130000}"/>
    <cellStyle name="20% - Accent2 2 4 2 2 3 8" xfId="48514" xr:uid="{00000000-0005-0000-0000-0000CA130000}"/>
    <cellStyle name="20% - Accent2 2 4 2 2 3 9" xfId="54032" xr:uid="{00000000-0005-0000-0000-0000CB130000}"/>
    <cellStyle name="20% - Accent2 2 4 2 2 4" xfId="5768" xr:uid="{00000000-0005-0000-0000-0000CC130000}"/>
    <cellStyle name="20% - Accent2 2 4 2 2 5" xfId="11248" xr:uid="{00000000-0005-0000-0000-0000CD130000}"/>
    <cellStyle name="20% - Accent2 2 4 2 2 6" xfId="16724" xr:uid="{00000000-0005-0000-0000-0000CE130000}"/>
    <cellStyle name="20% - Accent2 2 4 2 2 7" xfId="22200" xr:uid="{00000000-0005-0000-0000-0000CF130000}"/>
    <cellStyle name="20% - Accent2 2 4 2 2 8" xfId="28231" xr:uid="{00000000-0005-0000-0000-0000D0130000}"/>
    <cellStyle name="20% - Accent2 2 4 2 2 9" xfId="33995" xr:uid="{00000000-0005-0000-0000-0000D1130000}"/>
    <cellStyle name="20% - Accent2 2 4 2 20" xfId="44947" xr:uid="{00000000-0005-0000-0000-0000D2130000}"/>
    <cellStyle name="20% - Accent2 2 4 2 21" xfId="50425" xr:uid="{00000000-0005-0000-0000-0000D3130000}"/>
    <cellStyle name="20% - Accent2 2 4 2 3" xfId="495" xr:uid="{00000000-0005-0000-0000-0000D4130000}"/>
    <cellStyle name="20% - Accent2 2 4 2 3 10" xfId="44950" xr:uid="{00000000-0005-0000-0000-0000D5130000}"/>
    <cellStyle name="20% - Accent2 2 4 2 3 11" xfId="50428" xr:uid="{00000000-0005-0000-0000-0000D6130000}"/>
    <cellStyle name="20% - Accent2 2 4 2 3 2" xfId="2256" xr:uid="{00000000-0005-0000-0000-0000D7130000}"/>
    <cellStyle name="20% - Accent2 2 4 2 3 2 2" xfId="7736" xr:uid="{00000000-0005-0000-0000-0000D8130000}"/>
    <cellStyle name="20% - Accent2 2 4 2 3 2 3" xfId="13212" xr:uid="{00000000-0005-0000-0000-0000D9130000}"/>
    <cellStyle name="20% - Accent2 2 4 2 3 2 4" xfId="18688" xr:uid="{00000000-0005-0000-0000-0000DA130000}"/>
    <cellStyle name="20% - Accent2 2 4 2 3 2 5" xfId="24164" xr:uid="{00000000-0005-0000-0000-0000DB130000}"/>
    <cellStyle name="20% - Accent2 2 4 2 3 2 6" xfId="35960" xr:uid="{00000000-0005-0000-0000-0000DC130000}"/>
    <cellStyle name="20% - Accent2 2 4 2 3 2 7" xfId="41437" xr:uid="{00000000-0005-0000-0000-0000DD130000}"/>
    <cellStyle name="20% - Accent2 2 4 2 3 2 8" xfId="46914" xr:uid="{00000000-0005-0000-0000-0000DE130000}"/>
    <cellStyle name="20% - Accent2 2 4 2 3 2 9" xfId="52432" xr:uid="{00000000-0005-0000-0000-0000DF130000}"/>
    <cellStyle name="20% - Accent2 2 4 2 3 3" xfId="4028" xr:uid="{00000000-0005-0000-0000-0000E0130000}"/>
    <cellStyle name="20% - Accent2 2 4 2 3 3 2" xfId="9508" xr:uid="{00000000-0005-0000-0000-0000E1130000}"/>
    <cellStyle name="20% - Accent2 2 4 2 3 3 3" xfId="14984" xr:uid="{00000000-0005-0000-0000-0000E2130000}"/>
    <cellStyle name="20% - Accent2 2 4 2 3 3 4" xfId="20460" xr:uid="{00000000-0005-0000-0000-0000E3130000}"/>
    <cellStyle name="20% - Accent2 2 4 2 3 3 5" xfId="25936" xr:uid="{00000000-0005-0000-0000-0000E4130000}"/>
    <cellStyle name="20% - Accent2 2 4 2 3 3 6" xfId="37732" xr:uid="{00000000-0005-0000-0000-0000E5130000}"/>
    <cellStyle name="20% - Accent2 2 4 2 3 3 7" xfId="43209" xr:uid="{00000000-0005-0000-0000-0000E6130000}"/>
    <cellStyle name="20% - Accent2 2 4 2 3 3 8" xfId="48686" xr:uid="{00000000-0005-0000-0000-0000E7130000}"/>
    <cellStyle name="20% - Accent2 2 4 2 3 3 9" xfId="54204" xr:uid="{00000000-0005-0000-0000-0000E8130000}"/>
    <cellStyle name="20% - Accent2 2 4 2 3 4" xfId="5769" xr:uid="{00000000-0005-0000-0000-0000E9130000}"/>
    <cellStyle name="20% - Accent2 2 4 2 3 5" xfId="11249" xr:uid="{00000000-0005-0000-0000-0000EA130000}"/>
    <cellStyle name="20% - Accent2 2 4 2 3 6" xfId="16725" xr:uid="{00000000-0005-0000-0000-0000EB130000}"/>
    <cellStyle name="20% - Accent2 2 4 2 3 7" xfId="22201" xr:uid="{00000000-0005-0000-0000-0000EC130000}"/>
    <cellStyle name="20% - Accent2 2 4 2 3 8" xfId="33996" xr:uid="{00000000-0005-0000-0000-0000ED130000}"/>
    <cellStyle name="20% - Accent2 2 4 2 3 9" xfId="39473" xr:uid="{00000000-0005-0000-0000-0000EE130000}"/>
    <cellStyle name="20% - Accent2 2 4 2 4" xfId="667" xr:uid="{00000000-0005-0000-0000-0000EF130000}"/>
    <cellStyle name="20% - Accent2 2 4 2 4 10" xfId="44951" xr:uid="{00000000-0005-0000-0000-0000F0130000}"/>
    <cellStyle name="20% - Accent2 2 4 2 4 11" xfId="50429" xr:uid="{00000000-0005-0000-0000-0000F1130000}"/>
    <cellStyle name="20% - Accent2 2 4 2 4 2" xfId="2428" xr:uid="{00000000-0005-0000-0000-0000F2130000}"/>
    <cellStyle name="20% - Accent2 2 4 2 4 2 2" xfId="7908" xr:uid="{00000000-0005-0000-0000-0000F3130000}"/>
    <cellStyle name="20% - Accent2 2 4 2 4 2 3" xfId="13384" xr:uid="{00000000-0005-0000-0000-0000F4130000}"/>
    <cellStyle name="20% - Accent2 2 4 2 4 2 4" xfId="18860" xr:uid="{00000000-0005-0000-0000-0000F5130000}"/>
    <cellStyle name="20% - Accent2 2 4 2 4 2 5" xfId="24336" xr:uid="{00000000-0005-0000-0000-0000F6130000}"/>
    <cellStyle name="20% - Accent2 2 4 2 4 2 6" xfId="36132" xr:uid="{00000000-0005-0000-0000-0000F7130000}"/>
    <cellStyle name="20% - Accent2 2 4 2 4 2 7" xfId="41609" xr:uid="{00000000-0005-0000-0000-0000F8130000}"/>
    <cellStyle name="20% - Accent2 2 4 2 4 2 8" xfId="47086" xr:uid="{00000000-0005-0000-0000-0000F9130000}"/>
    <cellStyle name="20% - Accent2 2 4 2 4 2 9" xfId="52604" xr:uid="{00000000-0005-0000-0000-0000FA130000}"/>
    <cellStyle name="20% - Accent2 2 4 2 4 3" xfId="4200" xr:uid="{00000000-0005-0000-0000-0000FB130000}"/>
    <cellStyle name="20% - Accent2 2 4 2 4 3 2" xfId="9680" xr:uid="{00000000-0005-0000-0000-0000FC130000}"/>
    <cellStyle name="20% - Accent2 2 4 2 4 3 3" xfId="15156" xr:uid="{00000000-0005-0000-0000-0000FD130000}"/>
    <cellStyle name="20% - Accent2 2 4 2 4 3 4" xfId="20632" xr:uid="{00000000-0005-0000-0000-0000FE130000}"/>
    <cellStyle name="20% - Accent2 2 4 2 4 3 5" xfId="26108" xr:uid="{00000000-0005-0000-0000-0000FF130000}"/>
    <cellStyle name="20% - Accent2 2 4 2 4 3 6" xfId="37904" xr:uid="{00000000-0005-0000-0000-000000140000}"/>
    <cellStyle name="20% - Accent2 2 4 2 4 3 7" xfId="43381" xr:uid="{00000000-0005-0000-0000-000001140000}"/>
    <cellStyle name="20% - Accent2 2 4 2 4 3 8" xfId="48858" xr:uid="{00000000-0005-0000-0000-000002140000}"/>
    <cellStyle name="20% - Accent2 2 4 2 4 3 9" xfId="54376" xr:uid="{00000000-0005-0000-0000-000003140000}"/>
    <cellStyle name="20% - Accent2 2 4 2 4 4" xfId="5770" xr:uid="{00000000-0005-0000-0000-000004140000}"/>
    <cellStyle name="20% - Accent2 2 4 2 4 5" xfId="11250" xr:uid="{00000000-0005-0000-0000-000005140000}"/>
    <cellStyle name="20% - Accent2 2 4 2 4 6" xfId="16726" xr:uid="{00000000-0005-0000-0000-000006140000}"/>
    <cellStyle name="20% - Accent2 2 4 2 4 7" xfId="22202" xr:uid="{00000000-0005-0000-0000-000007140000}"/>
    <cellStyle name="20% - Accent2 2 4 2 4 8" xfId="33997" xr:uid="{00000000-0005-0000-0000-000008140000}"/>
    <cellStyle name="20% - Accent2 2 4 2 4 9" xfId="39474" xr:uid="{00000000-0005-0000-0000-000009140000}"/>
    <cellStyle name="20% - Accent2 2 4 2 5" xfId="839" xr:uid="{00000000-0005-0000-0000-00000A140000}"/>
    <cellStyle name="20% - Accent2 2 4 2 5 10" xfId="44952" xr:uid="{00000000-0005-0000-0000-00000B140000}"/>
    <cellStyle name="20% - Accent2 2 4 2 5 11" xfId="50430" xr:uid="{00000000-0005-0000-0000-00000C140000}"/>
    <cellStyle name="20% - Accent2 2 4 2 5 2" xfId="2600" xr:uid="{00000000-0005-0000-0000-00000D140000}"/>
    <cellStyle name="20% - Accent2 2 4 2 5 2 2" xfId="8080" xr:uid="{00000000-0005-0000-0000-00000E140000}"/>
    <cellStyle name="20% - Accent2 2 4 2 5 2 3" xfId="13556" xr:uid="{00000000-0005-0000-0000-00000F140000}"/>
    <cellStyle name="20% - Accent2 2 4 2 5 2 4" xfId="19032" xr:uid="{00000000-0005-0000-0000-000010140000}"/>
    <cellStyle name="20% - Accent2 2 4 2 5 2 5" xfId="24508" xr:uid="{00000000-0005-0000-0000-000011140000}"/>
    <cellStyle name="20% - Accent2 2 4 2 5 2 6" xfId="36304" xr:uid="{00000000-0005-0000-0000-000012140000}"/>
    <cellStyle name="20% - Accent2 2 4 2 5 2 7" xfId="41781" xr:uid="{00000000-0005-0000-0000-000013140000}"/>
    <cellStyle name="20% - Accent2 2 4 2 5 2 8" xfId="47258" xr:uid="{00000000-0005-0000-0000-000014140000}"/>
    <cellStyle name="20% - Accent2 2 4 2 5 2 9" xfId="52776" xr:uid="{00000000-0005-0000-0000-000015140000}"/>
    <cellStyle name="20% - Accent2 2 4 2 5 3" xfId="4372" xr:uid="{00000000-0005-0000-0000-000016140000}"/>
    <cellStyle name="20% - Accent2 2 4 2 5 3 2" xfId="9852" xr:uid="{00000000-0005-0000-0000-000017140000}"/>
    <cellStyle name="20% - Accent2 2 4 2 5 3 3" xfId="15328" xr:uid="{00000000-0005-0000-0000-000018140000}"/>
    <cellStyle name="20% - Accent2 2 4 2 5 3 4" xfId="20804" xr:uid="{00000000-0005-0000-0000-000019140000}"/>
    <cellStyle name="20% - Accent2 2 4 2 5 3 5" xfId="26280" xr:uid="{00000000-0005-0000-0000-00001A140000}"/>
    <cellStyle name="20% - Accent2 2 4 2 5 3 6" xfId="38076" xr:uid="{00000000-0005-0000-0000-00001B140000}"/>
    <cellStyle name="20% - Accent2 2 4 2 5 3 7" xfId="43553" xr:uid="{00000000-0005-0000-0000-00001C140000}"/>
    <cellStyle name="20% - Accent2 2 4 2 5 3 8" xfId="49030" xr:uid="{00000000-0005-0000-0000-00001D140000}"/>
    <cellStyle name="20% - Accent2 2 4 2 5 3 9" xfId="54548" xr:uid="{00000000-0005-0000-0000-00001E140000}"/>
    <cellStyle name="20% - Accent2 2 4 2 5 4" xfId="5771" xr:uid="{00000000-0005-0000-0000-00001F140000}"/>
    <cellStyle name="20% - Accent2 2 4 2 5 5" xfId="11251" xr:uid="{00000000-0005-0000-0000-000020140000}"/>
    <cellStyle name="20% - Accent2 2 4 2 5 6" xfId="16727" xr:uid="{00000000-0005-0000-0000-000021140000}"/>
    <cellStyle name="20% - Accent2 2 4 2 5 7" xfId="22203" xr:uid="{00000000-0005-0000-0000-000022140000}"/>
    <cellStyle name="20% - Accent2 2 4 2 5 8" xfId="33998" xr:uid="{00000000-0005-0000-0000-000023140000}"/>
    <cellStyle name="20% - Accent2 2 4 2 5 9" xfId="39475" xr:uid="{00000000-0005-0000-0000-000024140000}"/>
    <cellStyle name="20% - Accent2 2 4 2 6" xfId="1045" xr:uid="{00000000-0005-0000-0000-000025140000}"/>
    <cellStyle name="20% - Accent2 2 4 2 6 10" xfId="44953" xr:uid="{00000000-0005-0000-0000-000026140000}"/>
    <cellStyle name="20% - Accent2 2 4 2 6 11" xfId="50431" xr:uid="{00000000-0005-0000-0000-000027140000}"/>
    <cellStyle name="20% - Accent2 2 4 2 6 2" xfId="2806" xr:uid="{00000000-0005-0000-0000-000028140000}"/>
    <cellStyle name="20% - Accent2 2 4 2 6 2 2" xfId="8286" xr:uid="{00000000-0005-0000-0000-000029140000}"/>
    <cellStyle name="20% - Accent2 2 4 2 6 2 3" xfId="13762" xr:uid="{00000000-0005-0000-0000-00002A140000}"/>
    <cellStyle name="20% - Accent2 2 4 2 6 2 4" xfId="19238" xr:uid="{00000000-0005-0000-0000-00002B140000}"/>
    <cellStyle name="20% - Accent2 2 4 2 6 2 5" xfId="24714" xr:uid="{00000000-0005-0000-0000-00002C140000}"/>
    <cellStyle name="20% - Accent2 2 4 2 6 2 6" xfId="36510" xr:uid="{00000000-0005-0000-0000-00002D140000}"/>
    <cellStyle name="20% - Accent2 2 4 2 6 2 7" xfId="41987" xr:uid="{00000000-0005-0000-0000-00002E140000}"/>
    <cellStyle name="20% - Accent2 2 4 2 6 2 8" xfId="47464" xr:uid="{00000000-0005-0000-0000-00002F140000}"/>
    <cellStyle name="20% - Accent2 2 4 2 6 2 9" xfId="52982" xr:uid="{00000000-0005-0000-0000-000030140000}"/>
    <cellStyle name="20% - Accent2 2 4 2 6 3" xfId="4578" xr:uid="{00000000-0005-0000-0000-000031140000}"/>
    <cellStyle name="20% - Accent2 2 4 2 6 3 2" xfId="10058" xr:uid="{00000000-0005-0000-0000-000032140000}"/>
    <cellStyle name="20% - Accent2 2 4 2 6 3 3" xfId="15534" xr:uid="{00000000-0005-0000-0000-000033140000}"/>
    <cellStyle name="20% - Accent2 2 4 2 6 3 4" xfId="21010" xr:uid="{00000000-0005-0000-0000-000034140000}"/>
    <cellStyle name="20% - Accent2 2 4 2 6 3 5" xfId="26486" xr:uid="{00000000-0005-0000-0000-000035140000}"/>
    <cellStyle name="20% - Accent2 2 4 2 6 3 6" xfId="38282" xr:uid="{00000000-0005-0000-0000-000036140000}"/>
    <cellStyle name="20% - Accent2 2 4 2 6 3 7" xfId="43759" xr:uid="{00000000-0005-0000-0000-000037140000}"/>
    <cellStyle name="20% - Accent2 2 4 2 6 3 8" xfId="49236" xr:uid="{00000000-0005-0000-0000-000038140000}"/>
    <cellStyle name="20% - Accent2 2 4 2 6 3 9" xfId="54754" xr:uid="{00000000-0005-0000-0000-000039140000}"/>
    <cellStyle name="20% - Accent2 2 4 2 6 4" xfId="5772" xr:uid="{00000000-0005-0000-0000-00003A140000}"/>
    <cellStyle name="20% - Accent2 2 4 2 6 5" xfId="11252" xr:uid="{00000000-0005-0000-0000-00003B140000}"/>
    <cellStyle name="20% - Accent2 2 4 2 6 6" xfId="16728" xr:uid="{00000000-0005-0000-0000-00003C140000}"/>
    <cellStyle name="20% - Accent2 2 4 2 6 7" xfId="22204" xr:uid="{00000000-0005-0000-0000-00003D140000}"/>
    <cellStyle name="20% - Accent2 2 4 2 6 8" xfId="33999" xr:uid="{00000000-0005-0000-0000-00003E140000}"/>
    <cellStyle name="20% - Accent2 2 4 2 6 9" xfId="39476" xr:uid="{00000000-0005-0000-0000-00003F140000}"/>
    <cellStyle name="20% - Accent2 2 4 2 7" xfId="1217" xr:uid="{00000000-0005-0000-0000-000040140000}"/>
    <cellStyle name="20% - Accent2 2 4 2 7 10" xfId="44954" xr:uid="{00000000-0005-0000-0000-000041140000}"/>
    <cellStyle name="20% - Accent2 2 4 2 7 11" xfId="50432" xr:uid="{00000000-0005-0000-0000-000042140000}"/>
    <cellStyle name="20% - Accent2 2 4 2 7 2" xfId="2978" xr:uid="{00000000-0005-0000-0000-000043140000}"/>
    <cellStyle name="20% - Accent2 2 4 2 7 2 2" xfId="8458" xr:uid="{00000000-0005-0000-0000-000044140000}"/>
    <cellStyle name="20% - Accent2 2 4 2 7 2 3" xfId="13934" xr:uid="{00000000-0005-0000-0000-000045140000}"/>
    <cellStyle name="20% - Accent2 2 4 2 7 2 4" xfId="19410" xr:uid="{00000000-0005-0000-0000-000046140000}"/>
    <cellStyle name="20% - Accent2 2 4 2 7 2 5" xfId="24886" xr:uid="{00000000-0005-0000-0000-000047140000}"/>
    <cellStyle name="20% - Accent2 2 4 2 7 2 6" xfId="36682" xr:uid="{00000000-0005-0000-0000-000048140000}"/>
    <cellStyle name="20% - Accent2 2 4 2 7 2 7" xfId="42159" xr:uid="{00000000-0005-0000-0000-000049140000}"/>
    <cellStyle name="20% - Accent2 2 4 2 7 2 8" xfId="47636" xr:uid="{00000000-0005-0000-0000-00004A140000}"/>
    <cellStyle name="20% - Accent2 2 4 2 7 2 9" xfId="53154" xr:uid="{00000000-0005-0000-0000-00004B140000}"/>
    <cellStyle name="20% - Accent2 2 4 2 7 3" xfId="4750" xr:uid="{00000000-0005-0000-0000-00004C140000}"/>
    <cellStyle name="20% - Accent2 2 4 2 7 3 2" xfId="10230" xr:uid="{00000000-0005-0000-0000-00004D140000}"/>
    <cellStyle name="20% - Accent2 2 4 2 7 3 3" xfId="15706" xr:uid="{00000000-0005-0000-0000-00004E140000}"/>
    <cellStyle name="20% - Accent2 2 4 2 7 3 4" xfId="21182" xr:uid="{00000000-0005-0000-0000-00004F140000}"/>
    <cellStyle name="20% - Accent2 2 4 2 7 3 5" xfId="26658" xr:uid="{00000000-0005-0000-0000-000050140000}"/>
    <cellStyle name="20% - Accent2 2 4 2 7 3 6" xfId="38454" xr:uid="{00000000-0005-0000-0000-000051140000}"/>
    <cellStyle name="20% - Accent2 2 4 2 7 3 7" xfId="43931" xr:uid="{00000000-0005-0000-0000-000052140000}"/>
    <cellStyle name="20% - Accent2 2 4 2 7 3 8" xfId="49408" xr:uid="{00000000-0005-0000-0000-000053140000}"/>
    <cellStyle name="20% - Accent2 2 4 2 7 3 9" xfId="54926" xr:uid="{00000000-0005-0000-0000-000054140000}"/>
    <cellStyle name="20% - Accent2 2 4 2 7 4" xfId="5773" xr:uid="{00000000-0005-0000-0000-000055140000}"/>
    <cellStyle name="20% - Accent2 2 4 2 7 5" xfId="11253" xr:uid="{00000000-0005-0000-0000-000056140000}"/>
    <cellStyle name="20% - Accent2 2 4 2 7 6" xfId="16729" xr:uid="{00000000-0005-0000-0000-000057140000}"/>
    <cellStyle name="20% - Accent2 2 4 2 7 7" xfId="22205" xr:uid="{00000000-0005-0000-0000-000058140000}"/>
    <cellStyle name="20% - Accent2 2 4 2 7 8" xfId="34000" xr:uid="{00000000-0005-0000-0000-000059140000}"/>
    <cellStyle name="20% - Accent2 2 4 2 7 9" xfId="39477" xr:uid="{00000000-0005-0000-0000-00005A140000}"/>
    <cellStyle name="20% - Accent2 2 4 2 8" xfId="1389" xr:uid="{00000000-0005-0000-0000-00005B140000}"/>
    <cellStyle name="20% - Accent2 2 4 2 8 10" xfId="44955" xr:uid="{00000000-0005-0000-0000-00005C140000}"/>
    <cellStyle name="20% - Accent2 2 4 2 8 11" xfId="50433" xr:uid="{00000000-0005-0000-0000-00005D140000}"/>
    <cellStyle name="20% - Accent2 2 4 2 8 2" xfId="3150" xr:uid="{00000000-0005-0000-0000-00005E140000}"/>
    <cellStyle name="20% - Accent2 2 4 2 8 2 2" xfId="8630" xr:uid="{00000000-0005-0000-0000-00005F140000}"/>
    <cellStyle name="20% - Accent2 2 4 2 8 2 3" xfId="14106" xr:uid="{00000000-0005-0000-0000-000060140000}"/>
    <cellStyle name="20% - Accent2 2 4 2 8 2 4" xfId="19582" xr:uid="{00000000-0005-0000-0000-000061140000}"/>
    <cellStyle name="20% - Accent2 2 4 2 8 2 5" xfId="25058" xr:uid="{00000000-0005-0000-0000-000062140000}"/>
    <cellStyle name="20% - Accent2 2 4 2 8 2 6" xfId="36854" xr:uid="{00000000-0005-0000-0000-000063140000}"/>
    <cellStyle name="20% - Accent2 2 4 2 8 2 7" xfId="42331" xr:uid="{00000000-0005-0000-0000-000064140000}"/>
    <cellStyle name="20% - Accent2 2 4 2 8 2 8" xfId="47808" xr:uid="{00000000-0005-0000-0000-000065140000}"/>
    <cellStyle name="20% - Accent2 2 4 2 8 2 9" xfId="53326" xr:uid="{00000000-0005-0000-0000-000066140000}"/>
    <cellStyle name="20% - Accent2 2 4 2 8 3" xfId="4922" xr:uid="{00000000-0005-0000-0000-000067140000}"/>
    <cellStyle name="20% - Accent2 2 4 2 8 3 2" xfId="10402" xr:uid="{00000000-0005-0000-0000-000068140000}"/>
    <cellStyle name="20% - Accent2 2 4 2 8 3 3" xfId="15878" xr:uid="{00000000-0005-0000-0000-000069140000}"/>
    <cellStyle name="20% - Accent2 2 4 2 8 3 4" xfId="21354" xr:uid="{00000000-0005-0000-0000-00006A140000}"/>
    <cellStyle name="20% - Accent2 2 4 2 8 3 5" xfId="26830" xr:uid="{00000000-0005-0000-0000-00006B140000}"/>
    <cellStyle name="20% - Accent2 2 4 2 8 3 6" xfId="38626" xr:uid="{00000000-0005-0000-0000-00006C140000}"/>
    <cellStyle name="20% - Accent2 2 4 2 8 3 7" xfId="44103" xr:uid="{00000000-0005-0000-0000-00006D140000}"/>
    <cellStyle name="20% - Accent2 2 4 2 8 3 8" xfId="49580" xr:uid="{00000000-0005-0000-0000-00006E140000}"/>
    <cellStyle name="20% - Accent2 2 4 2 8 3 9" xfId="55098" xr:uid="{00000000-0005-0000-0000-00006F140000}"/>
    <cellStyle name="20% - Accent2 2 4 2 8 4" xfId="5774" xr:uid="{00000000-0005-0000-0000-000070140000}"/>
    <cellStyle name="20% - Accent2 2 4 2 8 5" xfId="11254" xr:uid="{00000000-0005-0000-0000-000071140000}"/>
    <cellStyle name="20% - Accent2 2 4 2 8 6" xfId="16730" xr:uid="{00000000-0005-0000-0000-000072140000}"/>
    <cellStyle name="20% - Accent2 2 4 2 8 7" xfId="22206" xr:uid="{00000000-0005-0000-0000-000073140000}"/>
    <cellStyle name="20% - Accent2 2 4 2 8 8" xfId="34001" xr:uid="{00000000-0005-0000-0000-000074140000}"/>
    <cellStyle name="20% - Accent2 2 4 2 8 9" xfId="39478" xr:uid="{00000000-0005-0000-0000-000075140000}"/>
    <cellStyle name="20% - Accent2 2 4 2 9" xfId="1561" xr:uid="{00000000-0005-0000-0000-000076140000}"/>
    <cellStyle name="20% - Accent2 2 4 2 9 10" xfId="44956" xr:uid="{00000000-0005-0000-0000-000077140000}"/>
    <cellStyle name="20% - Accent2 2 4 2 9 11" xfId="50434" xr:uid="{00000000-0005-0000-0000-000078140000}"/>
    <cellStyle name="20% - Accent2 2 4 2 9 2" xfId="3322" xr:uid="{00000000-0005-0000-0000-000079140000}"/>
    <cellStyle name="20% - Accent2 2 4 2 9 2 2" xfId="8802" xr:uid="{00000000-0005-0000-0000-00007A140000}"/>
    <cellStyle name="20% - Accent2 2 4 2 9 2 3" xfId="14278" xr:uid="{00000000-0005-0000-0000-00007B140000}"/>
    <cellStyle name="20% - Accent2 2 4 2 9 2 4" xfId="19754" xr:uid="{00000000-0005-0000-0000-00007C140000}"/>
    <cellStyle name="20% - Accent2 2 4 2 9 2 5" xfId="25230" xr:uid="{00000000-0005-0000-0000-00007D140000}"/>
    <cellStyle name="20% - Accent2 2 4 2 9 2 6" xfId="37026" xr:uid="{00000000-0005-0000-0000-00007E140000}"/>
    <cellStyle name="20% - Accent2 2 4 2 9 2 7" xfId="42503" xr:uid="{00000000-0005-0000-0000-00007F140000}"/>
    <cellStyle name="20% - Accent2 2 4 2 9 2 8" xfId="47980" xr:uid="{00000000-0005-0000-0000-000080140000}"/>
    <cellStyle name="20% - Accent2 2 4 2 9 2 9" xfId="53498" xr:uid="{00000000-0005-0000-0000-000081140000}"/>
    <cellStyle name="20% - Accent2 2 4 2 9 3" xfId="5094" xr:uid="{00000000-0005-0000-0000-000082140000}"/>
    <cellStyle name="20% - Accent2 2 4 2 9 3 2" xfId="10574" xr:uid="{00000000-0005-0000-0000-000083140000}"/>
    <cellStyle name="20% - Accent2 2 4 2 9 3 3" xfId="16050" xr:uid="{00000000-0005-0000-0000-000084140000}"/>
    <cellStyle name="20% - Accent2 2 4 2 9 3 4" xfId="21526" xr:uid="{00000000-0005-0000-0000-000085140000}"/>
    <cellStyle name="20% - Accent2 2 4 2 9 3 5" xfId="27002" xr:uid="{00000000-0005-0000-0000-000086140000}"/>
    <cellStyle name="20% - Accent2 2 4 2 9 3 6" xfId="38798" xr:uid="{00000000-0005-0000-0000-000087140000}"/>
    <cellStyle name="20% - Accent2 2 4 2 9 3 7" xfId="44275" xr:uid="{00000000-0005-0000-0000-000088140000}"/>
    <cellStyle name="20% - Accent2 2 4 2 9 3 8" xfId="49752" xr:uid="{00000000-0005-0000-0000-000089140000}"/>
    <cellStyle name="20% - Accent2 2 4 2 9 3 9" xfId="55270" xr:uid="{00000000-0005-0000-0000-00008A140000}"/>
    <cellStyle name="20% - Accent2 2 4 2 9 4" xfId="5775" xr:uid="{00000000-0005-0000-0000-00008B140000}"/>
    <cellStyle name="20% - Accent2 2 4 2 9 5" xfId="11255" xr:uid="{00000000-0005-0000-0000-00008C140000}"/>
    <cellStyle name="20% - Accent2 2 4 2 9 6" xfId="16731" xr:uid="{00000000-0005-0000-0000-00008D140000}"/>
    <cellStyle name="20% - Accent2 2 4 2 9 7" xfId="22207" xr:uid="{00000000-0005-0000-0000-00008E140000}"/>
    <cellStyle name="20% - Accent2 2 4 2 9 8" xfId="34002" xr:uid="{00000000-0005-0000-0000-00008F140000}"/>
    <cellStyle name="20% - Accent2 2 4 2 9 9" xfId="39479" xr:uid="{00000000-0005-0000-0000-000090140000}"/>
    <cellStyle name="20% - Accent2 2 4 20" xfId="39467" xr:uid="{00000000-0005-0000-0000-000091140000}"/>
    <cellStyle name="20% - Accent2 2 4 21" xfId="44944" xr:uid="{00000000-0005-0000-0000-000092140000}"/>
    <cellStyle name="20% - Accent2 2 4 22" xfId="50422" xr:uid="{00000000-0005-0000-0000-000093140000}"/>
    <cellStyle name="20% - Accent2 2 4 3" xfId="293" xr:uid="{00000000-0005-0000-0000-000094140000}"/>
    <cellStyle name="20% - Accent2 2 4 3 10" xfId="39480" xr:uid="{00000000-0005-0000-0000-000095140000}"/>
    <cellStyle name="20% - Accent2 2 4 3 11" xfId="44957" xr:uid="{00000000-0005-0000-0000-000096140000}"/>
    <cellStyle name="20% - Accent2 2 4 3 12" xfId="50435" xr:uid="{00000000-0005-0000-0000-000097140000}"/>
    <cellStyle name="20% - Accent2 2 4 3 2" xfId="2094" xr:uid="{00000000-0005-0000-0000-000098140000}"/>
    <cellStyle name="20% - Accent2 2 4 3 2 2" xfId="7574" xr:uid="{00000000-0005-0000-0000-000099140000}"/>
    <cellStyle name="20% - Accent2 2 4 3 2 3" xfId="13050" xr:uid="{00000000-0005-0000-0000-00009A140000}"/>
    <cellStyle name="20% - Accent2 2 4 3 2 4" xfId="18526" xr:uid="{00000000-0005-0000-0000-00009B140000}"/>
    <cellStyle name="20% - Accent2 2 4 3 2 5" xfId="24002" xr:uid="{00000000-0005-0000-0000-00009C140000}"/>
    <cellStyle name="20% - Accent2 2 4 3 2 6" xfId="35798" xr:uid="{00000000-0005-0000-0000-00009D140000}"/>
    <cellStyle name="20% - Accent2 2 4 3 2 7" xfId="41275" xr:uid="{00000000-0005-0000-0000-00009E140000}"/>
    <cellStyle name="20% - Accent2 2 4 3 2 8" xfId="46752" xr:uid="{00000000-0005-0000-0000-00009F140000}"/>
    <cellStyle name="20% - Accent2 2 4 3 2 9" xfId="52270" xr:uid="{00000000-0005-0000-0000-0000A0140000}"/>
    <cellStyle name="20% - Accent2 2 4 3 3" xfId="3855" xr:uid="{00000000-0005-0000-0000-0000A1140000}"/>
    <cellStyle name="20% - Accent2 2 4 3 3 2" xfId="9335" xr:uid="{00000000-0005-0000-0000-0000A2140000}"/>
    <cellStyle name="20% - Accent2 2 4 3 3 3" xfId="14811" xr:uid="{00000000-0005-0000-0000-0000A3140000}"/>
    <cellStyle name="20% - Accent2 2 4 3 3 4" xfId="20287" xr:uid="{00000000-0005-0000-0000-0000A4140000}"/>
    <cellStyle name="20% - Accent2 2 4 3 3 5" xfId="25763" xr:uid="{00000000-0005-0000-0000-0000A5140000}"/>
    <cellStyle name="20% - Accent2 2 4 3 3 6" xfId="37559" xr:uid="{00000000-0005-0000-0000-0000A6140000}"/>
    <cellStyle name="20% - Accent2 2 4 3 3 7" xfId="43036" xr:uid="{00000000-0005-0000-0000-0000A7140000}"/>
    <cellStyle name="20% - Accent2 2 4 3 3 8" xfId="48513" xr:uid="{00000000-0005-0000-0000-0000A8140000}"/>
    <cellStyle name="20% - Accent2 2 4 3 3 9" xfId="54031" xr:uid="{00000000-0005-0000-0000-0000A9140000}"/>
    <cellStyle name="20% - Accent2 2 4 3 4" xfId="5776" xr:uid="{00000000-0005-0000-0000-0000AA140000}"/>
    <cellStyle name="20% - Accent2 2 4 3 5" xfId="11256" xr:uid="{00000000-0005-0000-0000-0000AB140000}"/>
    <cellStyle name="20% - Accent2 2 4 3 6" xfId="16732" xr:uid="{00000000-0005-0000-0000-0000AC140000}"/>
    <cellStyle name="20% - Accent2 2 4 3 7" xfId="22208" xr:uid="{00000000-0005-0000-0000-0000AD140000}"/>
    <cellStyle name="20% - Accent2 2 4 3 8" xfId="28232" xr:uid="{00000000-0005-0000-0000-0000AE140000}"/>
    <cellStyle name="20% - Accent2 2 4 3 9" xfId="34003" xr:uid="{00000000-0005-0000-0000-0000AF140000}"/>
    <cellStyle name="20% - Accent2 2 4 4" xfId="494" xr:uid="{00000000-0005-0000-0000-0000B0140000}"/>
    <cellStyle name="20% - Accent2 2 4 4 10" xfId="44958" xr:uid="{00000000-0005-0000-0000-0000B1140000}"/>
    <cellStyle name="20% - Accent2 2 4 4 11" xfId="50436" xr:uid="{00000000-0005-0000-0000-0000B2140000}"/>
    <cellStyle name="20% - Accent2 2 4 4 2" xfId="2255" xr:uid="{00000000-0005-0000-0000-0000B3140000}"/>
    <cellStyle name="20% - Accent2 2 4 4 2 2" xfId="7735" xr:uid="{00000000-0005-0000-0000-0000B4140000}"/>
    <cellStyle name="20% - Accent2 2 4 4 2 3" xfId="13211" xr:uid="{00000000-0005-0000-0000-0000B5140000}"/>
    <cellStyle name="20% - Accent2 2 4 4 2 4" xfId="18687" xr:uid="{00000000-0005-0000-0000-0000B6140000}"/>
    <cellStyle name="20% - Accent2 2 4 4 2 5" xfId="24163" xr:uid="{00000000-0005-0000-0000-0000B7140000}"/>
    <cellStyle name="20% - Accent2 2 4 4 2 6" xfId="35959" xr:uid="{00000000-0005-0000-0000-0000B8140000}"/>
    <cellStyle name="20% - Accent2 2 4 4 2 7" xfId="41436" xr:uid="{00000000-0005-0000-0000-0000B9140000}"/>
    <cellStyle name="20% - Accent2 2 4 4 2 8" xfId="46913" xr:uid="{00000000-0005-0000-0000-0000BA140000}"/>
    <cellStyle name="20% - Accent2 2 4 4 2 9" xfId="52431" xr:uid="{00000000-0005-0000-0000-0000BB140000}"/>
    <cellStyle name="20% - Accent2 2 4 4 3" xfId="4027" xr:uid="{00000000-0005-0000-0000-0000BC140000}"/>
    <cellStyle name="20% - Accent2 2 4 4 3 2" xfId="9507" xr:uid="{00000000-0005-0000-0000-0000BD140000}"/>
    <cellStyle name="20% - Accent2 2 4 4 3 3" xfId="14983" xr:uid="{00000000-0005-0000-0000-0000BE140000}"/>
    <cellStyle name="20% - Accent2 2 4 4 3 4" xfId="20459" xr:uid="{00000000-0005-0000-0000-0000BF140000}"/>
    <cellStyle name="20% - Accent2 2 4 4 3 5" xfId="25935" xr:uid="{00000000-0005-0000-0000-0000C0140000}"/>
    <cellStyle name="20% - Accent2 2 4 4 3 6" xfId="37731" xr:uid="{00000000-0005-0000-0000-0000C1140000}"/>
    <cellStyle name="20% - Accent2 2 4 4 3 7" xfId="43208" xr:uid="{00000000-0005-0000-0000-0000C2140000}"/>
    <cellStyle name="20% - Accent2 2 4 4 3 8" xfId="48685" xr:uid="{00000000-0005-0000-0000-0000C3140000}"/>
    <cellStyle name="20% - Accent2 2 4 4 3 9" xfId="54203" xr:uid="{00000000-0005-0000-0000-0000C4140000}"/>
    <cellStyle name="20% - Accent2 2 4 4 4" xfId="5777" xr:uid="{00000000-0005-0000-0000-0000C5140000}"/>
    <cellStyle name="20% - Accent2 2 4 4 5" xfId="11257" xr:uid="{00000000-0005-0000-0000-0000C6140000}"/>
    <cellStyle name="20% - Accent2 2 4 4 6" xfId="16733" xr:uid="{00000000-0005-0000-0000-0000C7140000}"/>
    <cellStyle name="20% - Accent2 2 4 4 7" xfId="22209" xr:uid="{00000000-0005-0000-0000-0000C8140000}"/>
    <cellStyle name="20% - Accent2 2 4 4 8" xfId="34004" xr:uid="{00000000-0005-0000-0000-0000C9140000}"/>
    <cellStyle name="20% - Accent2 2 4 4 9" xfId="39481" xr:uid="{00000000-0005-0000-0000-0000CA140000}"/>
    <cellStyle name="20% - Accent2 2 4 5" xfId="666" xr:uid="{00000000-0005-0000-0000-0000CB140000}"/>
    <cellStyle name="20% - Accent2 2 4 5 10" xfId="44959" xr:uid="{00000000-0005-0000-0000-0000CC140000}"/>
    <cellStyle name="20% - Accent2 2 4 5 11" xfId="50437" xr:uid="{00000000-0005-0000-0000-0000CD140000}"/>
    <cellStyle name="20% - Accent2 2 4 5 2" xfId="2427" xr:uid="{00000000-0005-0000-0000-0000CE140000}"/>
    <cellStyle name="20% - Accent2 2 4 5 2 2" xfId="7907" xr:uid="{00000000-0005-0000-0000-0000CF140000}"/>
    <cellStyle name="20% - Accent2 2 4 5 2 3" xfId="13383" xr:uid="{00000000-0005-0000-0000-0000D0140000}"/>
    <cellStyle name="20% - Accent2 2 4 5 2 4" xfId="18859" xr:uid="{00000000-0005-0000-0000-0000D1140000}"/>
    <cellStyle name="20% - Accent2 2 4 5 2 5" xfId="24335" xr:uid="{00000000-0005-0000-0000-0000D2140000}"/>
    <cellStyle name="20% - Accent2 2 4 5 2 6" xfId="36131" xr:uid="{00000000-0005-0000-0000-0000D3140000}"/>
    <cellStyle name="20% - Accent2 2 4 5 2 7" xfId="41608" xr:uid="{00000000-0005-0000-0000-0000D4140000}"/>
    <cellStyle name="20% - Accent2 2 4 5 2 8" xfId="47085" xr:uid="{00000000-0005-0000-0000-0000D5140000}"/>
    <cellStyle name="20% - Accent2 2 4 5 2 9" xfId="52603" xr:uid="{00000000-0005-0000-0000-0000D6140000}"/>
    <cellStyle name="20% - Accent2 2 4 5 3" xfId="4199" xr:uid="{00000000-0005-0000-0000-0000D7140000}"/>
    <cellStyle name="20% - Accent2 2 4 5 3 2" xfId="9679" xr:uid="{00000000-0005-0000-0000-0000D8140000}"/>
    <cellStyle name="20% - Accent2 2 4 5 3 3" xfId="15155" xr:uid="{00000000-0005-0000-0000-0000D9140000}"/>
    <cellStyle name="20% - Accent2 2 4 5 3 4" xfId="20631" xr:uid="{00000000-0005-0000-0000-0000DA140000}"/>
    <cellStyle name="20% - Accent2 2 4 5 3 5" xfId="26107" xr:uid="{00000000-0005-0000-0000-0000DB140000}"/>
    <cellStyle name="20% - Accent2 2 4 5 3 6" xfId="37903" xr:uid="{00000000-0005-0000-0000-0000DC140000}"/>
    <cellStyle name="20% - Accent2 2 4 5 3 7" xfId="43380" xr:uid="{00000000-0005-0000-0000-0000DD140000}"/>
    <cellStyle name="20% - Accent2 2 4 5 3 8" xfId="48857" xr:uid="{00000000-0005-0000-0000-0000DE140000}"/>
    <cellStyle name="20% - Accent2 2 4 5 3 9" xfId="54375" xr:uid="{00000000-0005-0000-0000-0000DF140000}"/>
    <cellStyle name="20% - Accent2 2 4 5 4" xfId="5778" xr:uid="{00000000-0005-0000-0000-0000E0140000}"/>
    <cellStyle name="20% - Accent2 2 4 5 5" xfId="11258" xr:uid="{00000000-0005-0000-0000-0000E1140000}"/>
    <cellStyle name="20% - Accent2 2 4 5 6" xfId="16734" xr:uid="{00000000-0005-0000-0000-0000E2140000}"/>
    <cellStyle name="20% - Accent2 2 4 5 7" xfId="22210" xr:uid="{00000000-0005-0000-0000-0000E3140000}"/>
    <cellStyle name="20% - Accent2 2 4 5 8" xfId="34005" xr:uid="{00000000-0005-0000-0000-0000E4140000}"/>
    <cellStyle name="20% - Accent2 2 4 5 9" xfId="39482" xr:uid="{00000000-0005-0000-0000-0000E5140000}"/>
    <cellStyle name="20% - Accent2 2 4 6" xfId="838" xr:uid="{00000000-0005-0000-0000-0000E6140000}"/>
    <cellStyle name="20% - Accent2 2 4 6 10" xfId="44960" xr:uid="{00000000-0005-0000-0000-0000E7140000}"/>
    <cellStyle name="20% - Accent2 2 4 6 11" xfId="50438" xr:uid="{00000000-0005-0000-0000-0000E8140000}"/>
    <cellStyle name="20% - Accent2 2 4 6 2" xfId="2599" xr:uid="{00000000-0005-0000-0000-0000E9140000}"/>
    <cellStyle name="20% - Accent2 2 4 6 2 2" xfId="8079" xr:uid="{00000000-0005-0000-0000-0000EA140000}"/>
    <cellStyle name="20% - Accent2 2 4 6 2 3" xfId="13555" xr:uid="{00000000-0005-0000-0000-0000EB140000}"/>
    <cellStyle name="20% - Accent2 2 4 6 2 4" xfId="19031" xr:uid="{00000000-0005-0000-0000-0000EC140000}"/>
    <cellStyle name="20% - Accent2 2 4 6 2 5" xfId="24507" xr:uid="{00000000-0005-0000-0000-0000ED140000}"/>
    <cellStyle name="20% - Accent2 2 4 6 2 6" xfId="36303" xr:uid="{00000000-0005-0000-0000-0000EE140000}"/>
    <cellStyle name="20% - Accent2 2 4 6 2 7" xfId="41780" xr:uid="{00000000-0005-0000-0000-0000EF140000}"/>
    <cellStyle name="20% - Accent2 2 4 6 2 8" xfId="47257" xr:uid="{00000000-0005-0000-0000-0000F0140000}"/>
    <cellStyle name="20% - Accent2 2 4 6 2 9" xfId="52775" xr:uid="{00000000-0005-0000-0000-0000F1140000}"/>
    <cellStyle name="20% - Accent2 2 4 6 3" xfId="4371" xr:uid="{00000000-0005-0000-0000-0000F2140000}"/>
    <cellStyle name="20% - Accent2 2 4 6 3 2" xfId="9851" xr:uid="{00000000-0005-0000-0000-0000F3140000}"/>
    <cellStyle name="20% - Accent2 2 4 6 3 3" xfId="15327" xr:uid="{00000000-0005-0000-0000-0000F4140000}"/>
    <cellStyle name="20% - Accent2 2 4 6 3 4" xfId="20803" xr:uid="{00000000-0005-0000-0000-0000F5140000}"/>
    <cellStyle name="20% - Accent2 2 4 6 3 5" xfId="26279" xr:uid="{00000000-0005-0000-0000-0000F6140000}"/>
    <cellStyle name="20% - Accent2 2 4 6 3 6" xfId="38075" xr:uid="{00000000-0005-0000-0000-0000F7140000}"/>
    <cellStyle name="20% - Accent2 2 4 6 3 7" xfId="43552" xr:uid="{00000000-0005-0000-0000-0000F8140000}"/>
    <cellStyle name="20% - Accent2 2 4 6 3 8" xfId="49029" xr:uid="{00000000-0005-0000-0000-0000F9140000}"/>
    <cellStyle name="20% - Accent2 2 4 6 3 9" xfId="54547" xr:uid="{00000000-0005-0000-0000-0000FA140000}"/>
    <cellStyle name="20% - Accent2 2 4 6 4" xfId="5779" xr:uid="{00000000-0005-0000-0000-0000FB140000}"/>
    <cellStyle name="20% - Accent2 2 4 6 5" xfId="11259" xr:uid="{00000000-0005-0000-0000-0000FC140000}"/>
    <cellStyle name="20% - Accent2 2 4 6 6" xfId="16735" xr:uid="{00000000-0005-0000-0000-0000FD140000}"/>
    <cellStyle name="20% - Accent2 2 4 6 7" xfId="22211" xr:uid="{00000000-0005-0000-0000-0000FE140000}"/>
    <cellStyle name="20% - Accent2 2 4 6 8" xfId="34006" xr:uid="{00000000-0005-0000-0000-0000FF140000}"/>
    <cellStyle name="20% - Accent2 2 4 6 9" xfId="39483" xr:uid="{00000000-0005-0000-0000-000000150000}"/>
    <cellStyle name="20% - Accent2 2 4 7" xfId="1044" xr:uid="{00000000-0005-0000-0000-000001150000}"/>
    <cellStyle name="20% - Accent2 2 4 7 10" xfId="44961" xr:uid="{00000000-0005-0000-0000-000002150000}"/>
    <cellStyle name="20% - Accent2 2 4 7 11" xfId="50439" xr:uid="{00000000-0005-0000-0000-000003150000}"/>
    <cellStyle name="20% - Accent2 2 4 7 2" xfId="2805" xr:uid="{00000000-0005-0000-0000-000004150000}"/>
    <cellStyle name="20% - Accent2 2 4 7 2 2" xfId="8285" xr:uid="{00000000-0005-0000-0000-000005150000}"/>
    <cellStyle name="20% - Accent2 2 4 7 2 3" xfId="13761" xr:uid="{00000000-0005-0000-0000-000006150000}"/>
    <cellStyle name="20% - Accent2 2 4 7 2 4" xfId="19237" xr:uid="{00000000-0005-0000-0000-000007150000}"/>
    <cellStyle name="20% - Accent2 2 4 7 2 5" xfId="24713" xr:uid="{00000000-0005-0000-0000-000008150000}"/>
    <cellStyle name="20% - Accent2 2 4 7 2 6" xfId="36509" xr:uid="{00000000-0005-0000-0000-000009150000}"/>
    <cellStyle name="20% - Accent2 2 4 7 2 7" xfId="41986" xr:uid="{00000000-0005-0000-0000-00000A150000}"/>
    <cellStyle name="20% - Accent2 2 4 7 2 8" xfId="47463" xr:uid="{00000000-0005-0000-0000-00000B150000}"/>
    <cellStyle name="20% - Accent2 2 4 7 2 9" xfId="52981" xr:uid="{00000000-0005-0000-0000-00000C150000}"/>
    <cellStyle name="20% - Accent2 2 4 7 3" xfId="4577" xr:uid="{00000000-0005-0000-0000-00000D150000}"/>
    <cellStyle name="20% - Accent2 2 4 7 3 2" xfId="10057" xr:uid="{00000000-0005-0000-0000-00000E150000}"/>
    <cellStyle name="20% - Accent2 2 4 7 3 3" xfId="15533" xr:uid="{00000000-0005-0000-0000-00000F150000}"/>
    <cellStyle name="20% - Accent2 2 4 7 3 4" xfId="21009" xr:uid="{00000000-0005-0000-0000-000010150000}"/>
    <cellStyle name="20% - Accent2 2 4 7 3 5" xfId="26485" xr:uid="{00000000-0005-0000-0000-000011150000}"/>
    <cellStyle name="20% - Accent2 2 4 7 3 6" xfId="38281" xr:uid="{00000000-0005-0000-0000-000012150000}"/>
    <cellStyle name="20% - Accent2 2 4 7 3 7" xfId="43758" xr:uid="{00000000-0005-0000-0000-000013150000}"/>
    <cellStyle name="20% - Accent2 2 4 7 3 8" xfId="49235" xr:uid="{00000000-0005-0000-0000-000014150000}"/>
    <cellStyle name="20% - Accent2 2 4 7 3 9" xfId="54753" xr:uid="{00000000-0005-0000-0000-000015150000}"/>
    <cellStyle name="20% - Accent2 2 4 7 4" xfId="5780" xr:uid="{00000000-0005-0000-0000-000016150000}"/>
    <cellStyle name="20% - Accent2 2 4 7 5" xfId="11260" xr:uid="{00000000-0005-0000-0000-000017150000}"/>
    <cellStyle name="20% - Accent2 2 4 7 6" xfId="16736" xr:uid="{00000000-0005-0000-0000-000018150000}"/>
    <cellStyle name="20% - Accent2 2 4 7 7" xfId="22212" xr:uid="{00000000-0005-0000-0000-000019150000}"/>
    <cellStyle name="20% - Accent2 2 4 7 8" xfId="34007" xr:uid="{00000000-0005-0000-0000-00001A150000}"/>
    <cellStyle name="20% - Accent2 2 4 7 9" xfId="39484" xr:uid="{00000000-0005-0000-0000-00001B150000}"/>
    <cellStyle name="20% - Accent2 2 4 8" xfId="1216" xr:uid="{00000000-0005-0000-0000-00001C150000}"/>
    <cellStyle name="20% - Accent2 2 4 8 10" xfId="44962" xr:uid="{00000000-0005-0000-0000-00001D150000}"/>
    <cellStyle name="20% - Accent2 2 4 8 11" xfId="50440" xr:uid="{00000000-0005-0000-0000-00001E150000}"/>
    <cellStyle name="20% - Accent2 2 4 8 2" xfId="2977" xr:uid="{00000000-0005-0000-0000-00001F150000}"/>
    <cellStyle name="20% - Accent2 2 4 8 2 2" xfId="8457" xr:uid="{00000000-0005-0000-0000-000020150000}"/>
    <cellStyle name="20% - Accent2 2 4 8 2 3" xfId="13933" xr:uid="{00000000-0005-0000-0000-000021150000}"/>
    <cellStyle name="20% - Accent2 2 4 8 2 4" xfId="19409" xr:uid="{00000000-0005-0000-0000-000022150000}"/>
    <cellStyle name="20% - Accent2 2 4 8 2 5" xfId="24885" xr:uid="{00000000-0005-0000-0000-000023150000}"/>
    <cellStyle name="20% - Accent2 2 4 8 2 6" xfId="36681" xr:uid="{00000000-0005-0000-0000-000024150000}"/>
    <cellStyle name="20% - Accent2 2 4 8 2 7" xfId="42158" xr:uid="{00000000-0005-0000-0000-000025150000}"/>
    <cellStyle name="20% - Accent2 2 4 8 2 8" xfId="47635" xr:uid="{00000000-0005-0000-0000-000026150000}"/>
    <cellStyle name="20% - Accent2 2 4 8 2 9" xfId="53153" xr:uid="{00000000-0005-0000-0000-000027150000}"/>
    <cellStyle name="20% - Accent2 2 4 8 3" xfId="4749" xr:uid="{00000000-0005-0000-0000-000028150000}"/>
    <cellStyle name="20% - Accent2 2 4 8 3 2" xfId="10229" xr:uid="{00000000-0005-0000-0000-000029150000}"/>
    <cellStyle name="20% - Accent2 2 4 8 3 3" xfId="15705" xr:uid="{00000000-0005-0000-0000-00002A150000}"/>
    <cellStyle name="20% - Accent2 2 4 8 3 4" xfId="21181" xr:uid="{00000000-0005-0000-0000-00002B150000}"/>
    <cellStyle name="20% - Accent2 2 4 8 3 5" xfId="26657" xr:uid="{00000000-0005-0000-0000-00002C150000}"/>
    <cellStyle name="20% - Accent2 2 4 8 3 6" xfId="38453" xr:uid="{00000000-0005-0000-0000-00002D150000}"/>
    <cellStyle name="20% - Accent2 2 4 8 3 7" xfId="43930" xr:uid="{00000000-0005-0000-0000-00002E150000}"/>
    <cellStyle name="20% - Accent2 2 4 8 3 8" xfId="49407" xr:uid="{00000000-0005-0000-0000-00002F150000}"/>
    <cellStyle name="20% - Accent2 2 4 8 3 9" xfId="54925" xr:uid="{00000000-0005-0000-0000-000030150000}"/>
    <cellStyle name="20% - Accent2 2 4 8 4" xfId="5781" xr:uid="{00000000-0005-0000-0000-000031150000}"/>
    <cellStyle name="20% - Accent2 2 4 8 5" xfId="11261" xr:uid="{00000000-0005-0000-0000-000032150000}"/>
    <cellStyle name="20% - Accent2 2 4 8 6" xfId="16737" xr:uid="{00000000-0005-0000-0000-000033150000}"/>
    <cellStyle name="20% - Accent2 2 4 8 7" xfId="22213" xr:uid="{00000000-0005-0000-0000-000034150000}"/>
    <cellStyle name="20% - Accent2 2 4 8 8" xfId="34008" xr:uid="{00000000-0005-0000-0000-000035150000}"/>
    <cellStyle name="20% - Accent2 2 4 8 9" xfId="39485" xr:uid="{00000000-0005-0000-0000-000036150000}"/>
    <cellStyle name="20% - Accent2 2 4 9" xfId="1388" xr:uid="{00000000-0005-0000-0000-000037150000}"/>
    <cellStyle name="20% - Accent2 2 4 9 10" xfId="44963" xr:uid="{00000000-0005-0000-0000-000038150000}"/>
    <cellStyle name="20% - Accent2 2 4 9 11" xfId="50441" xr:uid="{00000000-0005-0000-0000-000039150000}"/>
    <cellStyle name="20% - Accent2 2 4 9 2" xfId="3149" xr:uid="{00000000-0005-0000-0000-00003A150000}"/>
    <cellStyle name="20% - Accent2 2 4 9 2 2" xfId="8629" xr:uid="{00000000-0005-0000-0000-00003B150000}"/>
    <cellStyle name="20% - Accent2 2 4 9 2 3" xfId="14105" xr:uid="{00000000-0005-0000-0000-00003C150000}"/>
    <cellStyle name="20% - Accent2 2 4 9 2 4" xfId="19581" xr:uid="{00000000-0005-0000-0000-00003D150000}"/>
    <cellStyle name="20% - Accent2 2 4 9 2 5" xfId="25057" xr:uid="{00000000-0005-0000-0000-00003E150000}"/>
    <cellStyle name="20% - Accent2 2 4 9 2 6" xfId="36853" xr:uid="{00000000-0005-0000-0000-00003F150000}"/>
    <cellStyle name="20% - Accent2 2 4 9 2 7" xfId="42330" xr:uid="{00000000-0005-0000-0000-000040150000}"/>
    <cellStyle name="20% - Accent2 2 4 9 2 8" xfId="47807" xr:uid="{00000000-0005-0000-0000-000041150000}"/>
    <cellStyle name="20% - Accent2 2 4 9 2 9" xfId="53325" xr:uid="{00000000-0005-0000-0000-000042150000}"/>
    <cellStyle name="20% - Accent2 2 4 9 3" xfId="4921" xr:uid="{00000000-0005-0000-0000-000043150000}"/>
    <cellStyle name="20% - Accent2 2 4 9 3 2" xfId="10401" xr:uid="{00000000-0005-0000-0000-000044150000}"/>
    <cellStyle name="20% - Accent2 2 4 9 3 3" xfId="15877" xr:uid="{00000000-0005-0000-0000-000045150000}"/>
    <cellStyle name="20% - Accent2 2 4 9 3 4" xfId="21353" xr:uid="{00000000-0005-0000-0000-000046150000}"/>
    <cellStyle name="20% - Accent2 2 4 9 3 5" xfId="26829" xr:uid="{00000000-0005-0000-0000-000047150000}"/>
    <cellStyle name="20% - Accent2 2 4 9 3 6" xfId="38625" xr:uid="{00000000-0005-0000-0000-000048150000}"/>
    <cellStyle name="20% - Accent2 2 4 9 3 7" xfId="44102" xr:uid="{00000000-0005-0000-0000-000049150000}"/>
    <cellStyle name="20% - Accent2 2 4 9 3 8" xfId="49579" xr:uid="{00000000-0005-0000-0000-00004A150000}"/>
    <cellStyle name="20% - Accent2 2 4 9 3 9" xfId="55097" xr:uid="{00000000-0005-0000-0000-00004B150000}"/>
    <cellStyle name="20% - Accent2 2 4 9 4" xfId="5782" xr:uid="{00000000-0005-0000-0000-00004C150000}"/>
    <cellStyle name="20% - Accent2 2 4 9 5" xfId="11262" xr:uid="{00000000-0005-0000-0000-00004D150000}"/>
    <cellStyle name="20% - Accent2 2 4 9 6" xfId="16738" xr:uid="{00000000-0005-0000-0000-00004E150000}"/>
    <cellStyle name="20% - Accent2 2 4 9 7" xfId="22214" xr:uid="{00000000-0005-0000-0000-00004F150000}"/>
    <cellStyle name="20% - Accent2 2 4 9 8" xfId="34009" xr:uid="{00000000-0005-0000-0000-000050150000}"/>
    <cellStyle name="20% - Accent2 2 4 9 9" xfId="39486" xr:uid="{00000000-0005-0000-0000-000051150000}"/>
    <cellStyle name="20% - Accent2 2 5" xfId="206" xr:uid="{00000000-0005-0000-0000-000052150000}"/>
    <cellStyle name="20% - Accent2 2 5 10" xfId="1791" xr:uid="{00000000-0005-0000-0000-000053150000}"/>
    <cellStyle name="20% - Accent2 2 5 10 10" xfId="44965" xr:uid="{00000000-0005-0000-0000-000054150000}"/>
    <cellStyle name="20% - Accent2 2 5 10 11" xfId="50443" xr:uid="{00000000-0005-0000-0000-000055150000}"/>
    <cellStyle name="20% - Accent2 2 5 10 2" xfId="3552" xr:uid="{00000000-0005-0000-0000-000056150000}"/>
    <cellStyle name="20% - Accent2 2 5 10 2 2" xfId="9032" xr:uid="{00000000-0005-0000-0000-000057150000}"/>
    <cellStyle name="20% - Accent2 2 5 10 2 3" xfId="14508" xr:uid="{00000000-0005-0000-0000-000058150000}"/>
    <cellStyle name="20% - Accent2 2 5 10 2 4" xfId="19984" xr:uid="{00000000-0005-0000-0000-000059150000}"/>
    <cellStyle name="20% - Accent2 2 5 10 2 5" xfId="25460" xr:uid="{00000000-0005-0000-0000-00005A150000}"/>
    <cellStyle name="20% - Accent2 2 5 10 2 6" xfId="37256" xr:uid="{00000000-0005-0000-0000-00005B150000}"/>
    <cellStyle name="20% - Accent2 2 5 10 2 7" xfId="42733" xr:uid="{00000000-0005-0000-0000-00005C150000}"/>
    <cellStyle name="20% - Accent2 2 5 10 2 8" xfId="48210" xr:uid="{00000000-0005-0000-0000-00005D150000}"/>
    <cellStyle name="20% - Accent2 2 5 10 2 9" xfId="53728" xr:uid="{00000000-0005-0000-0000-00005E150000}"/>
    <cellStyle name="20% - Accent2 2 5 10 3" xfId="5324" xr:uid="{00000000-0005-0000-0000-00005F150000}"/>
    <cellStyle name="20% - Accent2 2 5 10 3 2" xfId="10804" xr:uid="{00000000-0005-0000-0000-000060150000}"/>
    <cellStyle name="20% - Accent2 2 5 10 3 3" xfId="16280" xr:uid="{00000000-0005-0000-0000-000061150000}"/>
    <cellStyle name="20% - Accent2 2 5 10 3 4" xfId="21756" xr:uid="{00000000-0005-0000-0000-000062150000}"/>
    <cellStyle name="20% - Accent2 2 5 10 3 5" xfId="27232" xr:uid="{00000000-0005-0000-0000-000063150000}"/>
    <cellStyle name="20% - Accent2 2 5 10 3 6" xfId="39028" xr:uid="{00000000-0005-0000-0000-000064150000}"/>
    <cellStyle name="20% - Accent2 2 5 10 3 7" xfId="44505" xr:uid="{00000000-0005-0000-0000-000065150000}"/>
    <cellStyle name="20% - Accent2 2 5 10 3 8" xfId="49982" xr:uid="{00000000-0005-0000-0000-000066150000}"/>
    <cellStyle name="20% - Accent2 2 5 10 3 9" xfId="55500" xr:uid="{00000000-0005-0000-0000-000067150000}"/>
    <cellStyle name="20% - Accent2 2 5 10 4" xfId="5784" xr:uid="{00000000-0005-0000-0000-000068150000}"/>
    <cellStyle name="20% - Accent2 2 5 10 5" xfId="11264" xr:uid="{00000000-0005-0000-0000-000069150000}"/>
    <cellStyle name="20% - Accent2 2 5 10 6" xfId="16740" xr:uid="{00000000-0005-0000-0000-00006A150000}"/>
    <cellStyle name="20% - Accent2 2 5 10 7" xfId="22216" xr:uid="{00000000-0005-0000-0000-00006B150000}"/>
    <cellStyle name="20% - Accent2 2 5 10 8" xfId="34011" xr:uid="{00000000-0005-0000-0000-00006C150000}"/>
    <cellStyle name="20% - Accent2 2 5 10 9" xfId="39488" xr:uid="{00000000-0005-0000-0000-00006D150000}"/>
    <cellStyle name="20% - Accent2 2 5 11" xfId="1924" xr:uid="{00000000-0005-0000-0000-00006E150000}"/>
    <cellStyle name="20% - Accent2 2 5 11 10" xfId="52101" xr:uid="{00000000-0005-0000-0000-00006F150000}"/>
    <cellStyle name="20% - Accent2 2 5 11 2" xfId="5456" xr:uid="{00000000-0005-0000-0000-000070150000}"/>
    <cellStyle name="20% - Accent2 2 5 11 2 2" xfId="10936" xr:uid="{00000000-0005-0000-0000-000071150000}"/>
    <cellStyle name="20% - Accent2 2 5 11 2 3" xfId="16412" xr:uid="{00000000-0005-0000-0000-000072150000}"/>
    <cellStyle name="20% - Accent2 2 5 11 2 4" xfId="21888" xr:uid="{00000000-0005-0000-0000-000073150000}"/>
    <cellStyle name="20% - Accent2 2 5 11 2 5" xfId="27364" xr:uid="{00000000-0005-0000-0000-000074150000}"/>
    <cellStyle name="20% - Accent2 2 5 11 2 6" xfId="39160" xr:uid="{00000000-0005-0000-0000-000075150000}"/>
    <cellStyle name="20% - Accent2 2 5 11 2 7" xfId="44637" xr:uid="{00000000-0005-0000-0000-000076150000}"/>
    <cellStyle name="20% - Accent2 2 5 11 2 8" xfId="50114" xr:uid="{00000000-0005-0000-0000-000077150000}"/>
    <cellStyle name="20% - Accent2 2 5 11 2 9" xfId="55632" xr:uid="{00000000-0005-0000-0000-000078150000}"/>
    <cellStyle name="20% - Accent2 2 5 11 3" xfId="7405" xr:uid="{00000000-0005-0000-0000-000079150000}"/>
    <cellStyle name="20% - Accent2 2 5 11 4" xfId="12881" xr:uid="{00000000-0005-0000-0000-00007A150000}"/>
    <cellStyle name="20% - Accent2 2 5 11 5" xfId="18357" xr:uid="{00000000-0005-0000-0000-00007B150000}"/>
    <cellStyle name="20% - Accent2 2 5 11 6" xfId="23833" xr:uid="{00000000-0005-0000-0000-00007C150000}"/>
    <cellStyle name="20% - Accent2 2 5 11 7" xfId="35629" xr:uid="{00000000-0005-0000-0000-00007D150000}"/>
    <cellStyle name="20% - Accent2 2 5 11 8" xfId="41106" xr:uid="{00000000-0005-0000-0000-00007E150000}"/>
    <cellStyle name="20% - Accent2 2 5 11 9" xfId="46583" xr:uid="{00000000-0005-0000-0000-00007F150000}"/>
    <cellStyle name="20% - Accent2 2 5 12" xfId="3772" xr:uid="{00000000-0005-0000-0000-000080150000}"/>
    <cellStyle name="20% - Accent2 2 5 12 2" xfId="9252" xr:uid="{00000000-0005-0000-0000-000081150000}"/>
    <cellStyle name="20% - Accent2 2 5 12 3" xfId="14728" xr:uid="{00000000-0005-0000-0000-000082150000}"/>
    <cellStyle name="20% - Accent2 2 5 12 4" xfId="20204" xr:uid="{00000000-0005-0000-0000-000083150000}"/>
    <cellStyle name="20% - Accent2 2 5 12 5" xfId="25680" xr:uid="{00000000-0005-0000-0000-000084150000}"/>
    <cellStyle name="20% - Accent2 2 5 12 6" xfId="37476" xr:uid="{00000000-0005-0000-0000-000085150000}"/>
    <cellStyle name="20% - Accent2 2 5 12 7" xfId="42953" xr:uid="{00000000-0005-0000-0000-000086150000}"/>
    <cellStyle name="20% - Accent2 2 5 12 8" xfId="48430" xr:uid="{00000000-0005-0000-0000-000087150000}"/>
    <cellStyle name="20% - Accent2 2 5 12 9" xfId="53948" xr:uid="{00000000-0005-0000-0000-000088150000}"/>
    <cellStyle name="20% - Accent2 2 5 13" xfId="5783" xr:uid="{00000000-0005-0000-0000-000089150000}"/>
    <cellStyle name="20% - Accent2 2 5 14" xfId="11263" xr:uid="{00000000-0005-0000-0000-00008A150000}"/>
    <cellStyle name="20% - Accent2 2 5 15" xfId="16739" xr:uid="{00000000-0005-0000-0000-00008B150000}"/>
    <cellStyle name="20% - Accent2 2 5 16" xfId="22215" xr:uid="{00000000-0005-0000-0000-00008C150000}"/>
    <cellStyle name="20% - Accent2 2 5 17" xfId="28233" xr:uid="{00000000-0005-0000-0000-00008D150000}"/>
    <cellStyle name="20% - Accent2 2 5 18" xfId="34010" xr:uid="{00000000-0005-0000-0000-00008E150000}"/>
    <cellStyle name="20% - Accent2 2 5 19" xfId="39487" xr:uid="{00000000-0005-0000-0000-00008F150000}"/>
    <cellStyle name="20% - Accent2 2 5 2" xfId="295" xr:uid="{00000000-0005-0000-0000-000090150000}"/>
    <cellStyle name="20% - Accent2 2 5 2 10" xfId="39489" xr:uid="{00000000-0005-0000-0000-000091150000}"/>
    <cellStyle name="20% - Accent2 2 5 2 11" xfId="44966" xr:uid="{00000000-0005-0000-0000-000092150000}"/>
    <cellStyle name="20% - Accent2 2 5 2 12" xfId="50444" xr:uid="{00000000-0005-0000-0000-000093150000}"/>
    <cellStyle name="20% - Accent2 2 5 2 2" xfId="2096" xr:uid="{00000000-0005-0000-0000-000094150000}"/>
    <cellStyle name="20% - Accent2 2 5 2 2 10" xfId="52272" xr:uid="{00000000-0005-0000-0000-000095150000}"/>
    <cellStyle name="20% - Accent2 2 5 2 2 2" xfId="7576" xr:uid="{00000000-0005-0000-0000-000096150000}"/>
    <cellStyle name="20% - Accent2 2 5 2 2 3" xfId="13052" xr:uid="{00000000-0005-0000-0000-000097150000}"/>
    <cellStyle name="20% - Accent2 2 5 2 2 4" xfId="18528" xr:uid="{00000000-0005-0000-0000-000098150000}"/>
    <cellStyle name="20% - Accent2 2 5 2 2 5" xfId="24004" xr:uid="{00000000-0005-0000-0000-000099150000}"/>
    <cellStyle name="20% - Accent2 2 5 2 2 6" xfId="28235" xr:uid="{00000000-0005-0000-0000-00009A150000}"/>
    <cellStyle name="20% - Accent2 2 5 2 2 7" xfId="35800" xr:uid="{00000000-0005-0000-0000-00009B150000}"/>
    <cellStyle name="20% - Accent2 2 5 2 2 8" xfId="41277" xr:uid="{00000000-0005-0000-0000-00009C150000}"/>
    <cellStyle name="20% - Accent2 2 5 2 2 9" xfId="46754" xr:uid="{00000000-0005-0000-0000-00009D150000}"/>
    <cellStyle name="20% - Accent2 2 5 2 3" xfId="3857" xr:uid="{00000000-0005-0000-0000-00009E150000}"/>
    <cellStyle name="20% - Accent2 2 5 2 3 2" xfId="9337" xr:uid="{00000000-0005-0000-0000-00009F150000}"/>
    <cellStyle name="20% - Accent2 2 5 2 3 3" xfId="14813" xr:uid="{00000000-0005-0000-0000-0000A0150000}"/>
    <cellStyle name="20% - Accent2 2 5 2 3 4" xfId="20289" xr:uid="{00000000-0005-0000-0000-0000A1150000}"/>
    <cellStyle name="20% - Accent2 2 5 2 3 5" xfId="25765" xr:uid="{00000000-0005-0000-0000-0000A2150000}"/>
    <cellStyle name="20% - Accent2 2 5 2 3 6" xfId="37561" xr:uid="{00000000-0005-0000-0000-0000A3150000}"/>
    <cellStyle name="20% - Accent2 2 5 2 3 7" xfId="43038" xr:uid="{00000000-0005-0000-0000-0000A4150000}"/>
    <cellStyle name="20% - Accent2 2 5 2 3 8" xfId="48515" xr:uid="{00000000-0005-0000-0000-0000A5150000}"/>
    <cellStyle name="20% - Accent2 2 5 2 3 9" xfId="54033" xr:uid="{00000000-0005-0000-0000-0000A6150000}"/>
    <cellStyle name="20% - Accent2 2 5 2 4" xfId="5785" xr:uid="{00000000-0005-0000-0000-0000A7150000}"/>
    <cellStyle name="20% - Accent2 2 5 2 5" xfId="11265" xr:uid="{00000000-0005-0000-0000-0000A8150000}"/>
    <cellStyle name="20% - Accent2 2 5 2 6" xfId="16741" xr:uid="{00000000-0005-0000-0000-0000A9150000}"/>
    <cellStyle name="20% - Accent2 2 5 2 7" xfId="22217" xr:uid="{00000000-0005-0000-0000-0000AA150000}"/>
    <cellStyle name="20% - Accent2 2 5 2 8" xfId="28234" xr:uid="{00000000-0005-0000-0000-0000AB150000}"/>
    <cellStyle name="20% - Accent2 2 5 2 9" xfId="34012" xr:uid="{00000000-0005-0000-0000-0000AC150000}"/>
    <cellStyle name="20% - Accent2 2 5 20" xfId="44964" xr:uid="{00000000-0005-0000-0000-0000AD150000}"/>
    <cellStyle name="20% - Accent2 2 5 21" xfId="50442" xr:uid="{00000000-0005-0000-0000-0000AE150000}"/>
    <cellStyle name="20% - Accent2 2 5 3" xfId="496" xr:uid="{00000000-0005-0000-0000-0000AF150000}"/>
    <cellStyle name="20% - Accent2 2 5 3 10" xfId="39490" xr:uid="{00000000-0005-0000-0000-0000B0150000}"/>
    <cellStyle name="20% - Accent2 2 5 3 11" xfId="44967" xr:uid="{00000000-0005-0000-0000-0000B1150000}"/>
    <cellStyle name="20% - Accent2 2 5 3 12" xfId="50445" xr:uid="{00000000-0005-0000-0000-0000B2150000}"/>
    <cellStyle name="20% - Accent2 2 5 3 2" xfId="2257" xr:uid="{00000000-0005-0000-0000-0000B3150000}"/>
    <cellStyle name="20% - Accent2 2 5 3 2 2" xfId="7737" xr:uid="{00000000-0005-0000-0000-0000B4150000}"/>
    <cellStyle name="20% - Accent2 2 5 3 2 3" xfId="13213" xr:uid="{00000000-0005-0000-0000-0000B5150000}"/>
    <cellStyle name="20% - Accent2 2 5 3 2 4" xfId="18689" xr:uid="{00000000-0005-0000-0000-0000B6150000}"/>
    <cellStyle name="20% - Accent2 2 5 3 2 5" xfId="24165" xr:uid="{00000000-0005-0000-0000-0000B7150000}"/>
    <cellStyle name="20% - Accent2 2 5 3 2 6" xfId="35961" xr:uid="{00000000-0005-0000-0000-0000B8150000}"/>
    <cellStyle name="20% - Accent2 2 5 3 2 7" xfId="41438" xr:uid="{00000000-0005-0000-0000-0000B9150000}"/>
    <cellStyle name="20% - Accent2 2 5 3 2 8" xfId="46915" xr:uid="{00000000-0005-0000-0000-0000BA150000}"/>
    <cellStyle name="20% - Accent2 2 5 3 2 9" xfId="52433" xr:uid="{00000000-0005-0000-0000-0000BB150000}"/>
    <cellStyle name="20% - Accent2 2 5 3 3" xfId="4029" xr:uid="{00000000-0005-0000-0000-0000BC150000}"/>
    <cellStyle name="20% - Accent2 2 5 3 3 2" xfId="9509" xr:uid="{00000000-0005-0000-0000-0000BD150000}"/>
    <cellStyle name="20% - Accent2 2 5 3 3 3" xfId="14985" xr:uid="{00000000-0005-0000-0000-0000BE150000}"/>
    <cellStyle name="20% - Accent2 2 5 3 3 4" xfId="20461" xr:uid="{00000000-0005-0000-0000-0000BF150000}"/>
    <cellStyle name="20% - Accent2 2 5 3 3 5" xfId="25937" xr:uid="{00000000-0005-0000-0000-0000C0150000}"/>
    <cellStyle name="20% - Accent2 2 5 3 3 6" xfId="37733" xr:uid="{00000000-0005-0000-0000-0000C1150000}"/>
    <cellStyle name="20% - Accent2 2 5 3 3 7" xfId="43210" xr:uid="{00000000-0005-0000-0000-0000C2150000}"/>
    <cellStyle name="20% - Accent2 2 5 3 3 8" xfId="48687" xr:uid="{00000000-0005-0000-0000-0000C3150000}"/>
    <cellStyle name="20% - Accent2 2 5 3 3 9" xfId="54205" xr:uid="{00000000-0005-0000-0000-0000C4150000}"/>
    <cellStyle name="20% - Accent2 2 5 3 4" xfId="5786" xr:uid="{00000000-0005-0000-0000-0000C5150000}"/>
    <cellStyle name="20% - Accent2 2 5 3 5" xfId="11266" xr:uid="{00000000-0005-0000-0000-0000C6150000}"/>
    <cellStyle name="20% - Accent2 2 5 3 6" xfId="16742" xr:uid="{00000000-0005-0000-0000-0000C7150000}"/>
    <cellStyle name="20% - Accent2 2 5 3 7" xfId="22218" xr:uid="{00000000-0005-0000-0000-0000C8150000}"/>
    <cellStyle name="20% - Accent2 2 5 3 8" xfId="28236" xr:uid="{00000000-0005-0000-0000-0000C9150000}"/>
    <cellStyle name="20% - Accent2 2 5 3 9" xfId="34013" xr:uid="{00000000-0005-0000-0000-0000CA150000}"/>
    <cellStyle name="20% - Accent2 2 5 4" xfId="668" xr:uid="{00000000-0005-0000-0000-0000CB150000}"/>
    <cellStyle name="20% - Accent2 2 5 4 10" xfId="44968" xr:uid="{00000000-0005-0000-0000-0000CC150000}"/>
    <cellStyle name="20% - Accent2 2 5 4 11" xfId="50446" xr:uid="{00000000-0005-0000-0000-0000CD150000}"/>
    <cellStyle name="20% - Accent2 2 5 4 2" xfId="2429" xr:uid="{00000000-0005-0000-0000-0000CE150000}"/>
    <cellStyle name="20% - Accent2 2 5 4 2 2" xfId="7909" xr:uid="{00000000-0005-0000-0000-0000CF150000}"/>
    <cellStyle name="20% - Accent2 2 5 4 2 3" xfId="13385" xr:uid="{00000000-0005-0000-0000-0000D0150000}"/>
    <cellStyle name="20% - Accent2 2 5 4 2 4" xfId="18861" xr:uid="{00000000-0005-0000-0000-0000D1150000}"/>
    <cellStyle name="20% - Accent2 2 5 4 2 5" xfId="24337" xr:uid="{00000000-0005-0000-0000-0000D2150000}"/>
    <cellStyle name="20% - Accent2 2 5 4 2 6" xfId="36133" xr:uid="{00000000-0005-0000-0000-0000D3150000}"/>
    <cellStyle name="20% - Accent2 2 5 4 2 7" xfId="41610" xr:uid="{00000000-0005-0000-0000-0000D4150000}"/>
    <cellStyle name="20% - Accent2 2 5 4 2 8" xfId="47087" xr:uid="{00000000-0005-0000-0000-0000D5150000}"/>
    <cellStyle name="20% - Accent2 2 5 4 2 9" xfId="52605" xr:uid="{00000000-0005-0000-0000-0000D6150000}"/>
    <cellStyle name="20% - Accent2 2 5 4 3" xfId="4201" xr:uid="{00000000-0005-0000-0000-0000D7150000}"/>
    <cellStyle name="20% - Accent2 2 5 4 3 2" xfId="9681" xr:uid="{00000000-0005-0000-0000-0000D8150000}"/>
    <cellStyle name="20% - Accent2 2 5 4 3 3" xfId="15157" xr:uid="{00000000-0005-0000-0000-0000D9150000}"/>
    <cellStyle name="20% - Accent2 2 5 4 3 4" xfId="20633" xr:uid="{00000000-0005-0000-0000-0000DA150000}"/>
    <cellStyle name="20% - Accent2 2 5 4 3 5" xfId="26109" xr:uid="{00000000-0005-0000-0000-0000DB150000}"/>
    <cellStyle name="20% - Accent2 2 5 4 3 6" xfId="37905" xr:uid="{00000000-0005-0000-0000-0000DC150000}"/>
    <cellStyle name="20% - Accent2 2 5 4 3 7" xfId="43382" xr:uid="{00000000-0005-0000-0000-0000DD150000}"/>
    <cellStyle name="20% - Accent2 2 5 4 3 8" xfId="48859" xr:uid="{00000000-0005-0000-0000-0000DE150000}"/>
    <cellStyle name="20% - Accent2 2 5 4 3 9" xfId="54377" xr:uid="{00000000-0005-0000-0000-0000DF150000}"/>
    <cellStyle name="20% - Accent2 2 5 4 4" xfId="5787" xr:uid="{00000000-0005-0000-0000-0000E0150000}"/>
    <cellStyle name="20% - Accent2 2 5 4 5" xfId="11267" xr:uid="{00000000-0005-0000-0000-0000E1150000}"/>
    <cellStyle name="20% - Accent2 2 5 4 6" xfId="16743" xr:uid="{00000000-0005-0000-0000-0000E2150000}"/>
    <cellStyle name="20% - Accent2 2 5 4 7" xfId="22219" xr:uid="{00000000-0005-0000-0000-0000E3150000}"/>
    <cellStyle name="20% - Accent2 2 5 4 8" xfId="34014" xr:uid="{00000000-0005-0000-0000-0000E4150000}"/>
    <cellStyle name="20% - Accent2 2 5 4 9" xfId="39491" xr:uid="{00000000-0005-0000-0000-0000E5150000}"/>
    <cellStyle name="20% - Accent2 2 5 5" xfId="840" xr:uid="{00000000-0005-0000-0000-0000E6150000}"/>
    <cellStyle name="20% - Accent2 2 5 5 10" xfId="44969" xr:uid="{00000000-0005-0000-0000-0000E7150000}"/>
    <cellStyle name="20% - Accent2 2 5 5 11" xfId="50447" xr:uid="{00000000-0005-0000-0000-0000E8150000}"/>
    <cellStyle name="20% - Accent2 2 5 5 2" xfId="2601" xr:uid="{00000000-0005-0000-0000-0000E9150000}"/>
    <cellStyle name="20% - Accent2 2 5 5 2 2" xfId="8081" xr:uid="{00000000-0005-0000-0000-0000EA150000}"/>
    <cellStyle name="20% - Accent2 2 5 5 2 3" xfId="13557" xr:uid="{00000000-0005-0000-0000-0000EB150000}"/>
    <cellStyle name="20% - Accent2 2 5 5 2 4" xfId="19033" xr:uid="{00000000-0005-0000-0000-0000EC150000}"/>
    <cellStyle name="20% - Accent2 2 5 5 2 5" xfId="24509" xr:uid="{00000000-0005-0000-0000-0000ED150000}"/>
    <cellStyle name="20% - Accent2 2 5 5 2 6" xfId="36305" xr:uid="{00000000-0005-0000-0000-0000EE150000}"/>
    <cellStyle name="20% - Accent2 2 5 5 2 7" xfId="41782" xr:uid="{00000000-0005-0000-0000-0000EF150000}"/>
    <cellStyle name="20% - Accent2 2 5 5 2 8" xfId="47259" xr:uid="{00000000-0005-0000-0000-0000F0150000}"/>
    <cellStyle name="20% - Accent2 2 5 5 2 9" xfId="52777" xr:uid="{00000000-0005-0000-0000-0000F1150000}"/>
    <cellStyle name="20% - Accent2 2 5 5 3" xfId="4373" xr:uid="{00000000-0005-0000-0000-0000F2150000}"/>
    <cellStyle name="20% - Accent2 2 5 5 3 2" xfId="9853" xr:uid="{00000000-0005-0000-0000-0000F3150000}"/>
    <cellStyle name="20% - Accent2 2 5 5 3 3" xfId="15329" xr:uid="{00000000-0005-0000-0000-0000F4150000}"/>
    <cellStyle name="20% - Accent2 2 5 5 3 4" xfId="20805" xr:uid="{00000000-0005-0000-0000-0000F5150000}"/>
    <cellStyle name="20% - Accent2 2 5 5 3 5" xfId="26281" xr:uid="{00000000-0005-0000-0000-0000F6150000}"/>
    <cellStyle name="20% - Accent2 2 5 5 3 6" xfId="38077" xr:uid="{00000000-0005-0000-0000-0000F7150000}"/>
    <cellStyle name="20% - Accent2 2 5 5 3 7" xfId="43554" xr:uid="{00000000-0005-0000-0000-0000F8150000}"/>
    <cellStyle name="20% - Accent2 2 5 5 3 8" xfId="49031" xr:uid="{00000000-0005-0000-0000-0000F9150000}"/>
    <cellStyle name="20% - Accent2 2 5 5 3 9" xfId="54549" xr:uid="{00000000-0005-0000-0000-0000FA150000}"/>
    <cellStyle name="20% - Accent2 2 5 5 4" xfId="5788" xr:uid="{00000000-0005-0000-0000-0000FB150000}"/>
    <cellStyle name="20% - Accent2 2 5 5 5" xfId="11268" xr:uid="{00000000-0005-0000-0000-0000FC150000}"/>
    <cellStyle name="20% - Accent2 2 5 5 6" xfId="16744" xr:uid="{00000000-0005-0000-0000-0000FD150000}"/>
    <cellStyle name="20% - Accent2 2 5 5 7" xfId="22220" xr:uid="{00000000-0005-0000-0000-0000FE150000}"/>
    <cellStyle name="20% - Accent2 2 5 5 8" xfId="34015" xr:uid="{00000000-0005-0000-0000-0000FF150000}"/>
    <cellStyle name="20% - Accent2 2 5 5 9" xfId="39492" xr:uid="{00000000-0005-0000-0000-000000160000}"/>
    <cellStyle name="20% - Accent2 2 5 6" xfId="1046" xr:uid="{00000000-0005-0000-0000-000001160000}"/>
    <cellStyle name="20% - Accent2 2 5 6 10" xfId="44970" xr:uid="{00000000-0005-0000-0000-000002160000}"/>
    <cellStyle name="20% - Accent2 2 5 6 11" xfId="50448" xr:uid="{00000000-0005-0000-0000-000003160000}"/>
    <cellStyle name="20% - Accent2 2 5 6 2" xfId="2807" xr:uid="{00000000-0005-0000-0000-000004160000}"/>
    <cellStyle name="20% - Accent2 2 5 6 2 2" xfId="8287" xr:uid="{00000000-0005-0000-0000-000005160000}"/>
    <cellStyle name="20% - Accent2 2 5 6 2 3" xfId="13763" xr:uid="{00000000-0005-0000-0000-000006160000}"/>
    <cellStyle name="20% - Accent2 2 5 6 2 4" xfId="19239" xr:uid="{00000000-0005-0000-0000-000007160000}"/>
    <cellStyle name="20% - Accent2 2 5 6 2 5" xfId="24715" xr:uid="{00000000-0005-0000-0000-000008160000}"/>
    <cellStyle name="20% - Accent2 2 5 6 2 6" xfId="36511" xr:uid="{00000000-0005-0000-0000-000009160000}"/>
    <cellStyle name="20% - Accent2 2 5 6 2 7" xfId="41988" xr:uid="{00000000-0005-0000-0000-00000A160000}"/>
    <cellStyle name="20% - Accent2 2 5 6 2 8" xfId="47465" xr:uid="{00000000-0005-0000-0000-00000B160000}"/>
    <cellStyle name="20% - Accent2 2 5 6 2 9" xfId="52983" xr:uid="{00000000-0005-0000-0000-00000C160000}"/>
    <cellStyle name="20% - Accent2 2 5 6 3" xfId="4579" xr:uid="{00000000-0005-0000-0000-00000D160000}"/>
    <cellStyle name="20% - Accent2 2 5 6 3 2" xfId="10059" xr:uid="{00000000-0005-0000-0000-00000E160000}"/>
    <cellStyle name="20% - Accent2 2 5 6 3 3" xfId="15535" xr:uid="{00000000-0005-0000-0000-00000F160000}"/>
    <cellStyle name="20% - Accent2 2 5 6 3 4" xfId="21011" xr:uid="{00000000-0005-0000-0000-000010160000}"/>
    <cellStyle name="20% - Accent2 2 5 6 3 5" xfId="26487" xr:uid="{00000000-0005-0000-0000-000011160000}"/>
    <cellStyle name="20% - Accent2 2 5 6 3 6" xfId="38283" xr:uid="{00000000-0005-0000-0000-000012160000}"/>
    <cellStyle name="20% - Accent2 2 5 6 3 7" xfId="43760" xr:uid="{00000000-0005-0000-0000-000013160000}"/>
    <cellStyle name="20% - Accent2 2 5 6 3 8" xfId="49237" xr:uid="{00000000-0005-0000-0000-000014160000}"/>
    <cellStyle name="20% - Accent2 2 5 6 3 9" xfId="54755" xr:uid="{00000000-0005-0000-0000-000015160000}"/>
    <cellStyle name="20% - Accent2 2 5 6 4" xfId="5789" xr:uid="{00000000-0005-0000-0000-000016160000}"/>
    <cellStyle name="20% - Accent2 2 5 6 5" xfId="11269" xr:uid="{00000000-0005-0000-0000-000017160000}"/>
    <cellStyle name="20% - Accent2 2 5 6 6" xfId="16745" xr:uid="{00000000-0005-0000-0000-000018160000}"/>
    <cellStyle name="20% - Accent2 2 5 6 7" xfId="22221" xr:uid="{00000000-0005-0000-0000-000019160000}"/>
    <cellStyle name="20% - Accent2 2 5 6 8" xfId="34016" xr:uid="{00000000-0005-0000-0000-00001A160000}"/>
    <cellStyle name="20% - Accent2 2 5 6 9" xfId="39493" xr:uid="{00000000-0005-0000-0000-00001B160000}"/>
    <cellStyle name="20% - Accent2 2 5 7" xfId="1218" xr:uid="{00000000-0005-0000-0000-00001C160000}"/>
    <cellStyle name="20% - Accent2 2 5 7 10" xfId="44971" xr:uid="{00000000-0005-0000-0000-00001D160000}"/>
    <cellStyle name="20% - Accent2 2 5 7 11" xfId="50449" xr:uid="{00000000-0005-0000-0000-00001E160000}"/>
    <cellStyle name="20% - Accent2 2 5 7 2" xfId="2979" xr:uid="{00000000-0005-0000-0000-00001F160000}"/>
    <cellStyle name="20% - Accent2 2 5 7 2 2" xfId="8459" xr:uid="{00000000-0005-0000-0000-000020160000}"/>
    <cellStyle name="20% - Accent2 2 5 7 2 3" xfId="13935" xr:uid="{00000000-0005-0000-0000-000021160000}"/>
    <cellStyle name="20% - Accent2 2 5 7 2 4" xfId="19411" xr:uid="{00000000-0005-0000-0000-000022160000}"/>
    <cellStyle name="20% - Accent2 2 5 7 2 5" xfId="24887" xr:uid="{00000000-0005-0000-0000-000023160000}"/>
    <cellStyle name="20% - Accent2 2 5 7 2 6" xfId="36683" xr:uid="{00000000-0005-0000-0000-000024160000}"/>
    <cellStyle name="20% - Accent2 2 5 7 2 7" xfId="42160" xr:uid="{00000000-0005-0000-0000-000025160000}"/>
    <cellStyle name="20% - Accent2 2 5 7 2 8" xfId="47637" xr:uid="{00000000-0005-0000-0000-000026160000}"/>
    <cellStyle name="20% - Accent2 2 5 7 2 9" xfId="53155" xr:uid="{00000000-0005-0000-0000-000027160000}"/>
    <cellStyle name="20% - Accent2 2 5 7 3" xfId="4751" xr:uid="{00000000-0005-0000-0000-000028160000}"/>
    <cellStyle name="20% - Accent2 2 5 7 3 2" xfId="10231" xr:uid="{00000000-0005-0000-0000-000029160000}"/>
    <cellStyle name="20% - Accent2 2 5 7 3 3" xfId="15707" xr:uid="{00000000-0005-0000-0000-00002A160000}"/>
    <cellStyle name="20% - Accent2 2 5 7 3 4" xfId="21183" xr:uid="{00000000-0005-0000-0000-00002B160000}"/>
    <cellStyle name="20% - Accent2 2 5 7 3 5" xfId="26659" xr:uid="{00000000-0005-0000-0000-00002C160000}"/>
    <cellStyle name="20% - Accent2 2 5 7 3 6" xfId="38455" xr:uid="{00000000-0005-0000-0000-00002D160000}"/>
    <cellStyle name="20% - Accent2 2 5 7 3 7" xfId="43932" xr:uid="{00000000-0005-0000-0000-00002E160000}"/>
    <cellStyle name="20% - Accent2 2 5 7 3 8" xfId="49409" xr:uid="{00000000-0005-0000-0000-00002F160000}"/>
    <cellStyle name="20% - Accent2 2 5 7 3 9" xfId="54927" xr:uid="{00000000-0005-0000-0000-000030160000}"/>
    <cellStyle name="20% - Accent2 2 5 7 4" xfId="5790" xr:uid="{00000000-0005-0000-0000-000031160000}"/>
    <cellStyle name="20% - Accent2 2 5 7 5" xfId="11270" xr:uid="{00000000-0005-0000-0000-000032160000}"/>
    <cellStyle name="20% - Accent2 2 5 7 6" xfId="16746" xr:uid="{00000000-0005-0000-0000-000033160000}"/>
    <cellStyle name="20% - Accent2 2 5 7 7" xfId="22222" xr:uid="{00000000-0005-0000-0000-000034160000}"/>
    <cellStyle name="20% - Accent2 2 5 7 8" xfId="34017" xr:uid="{00000000-0005-0000-0000-000035160000}"/>
    <cellStyle name="20% - Accent2 2 5 7 9" xfId="39494" xr:uid="{00000000-0005-0000-0000-000036160000}"/>
    <cellStyle name="20% - Accent2 2 5 8" xfId="1390" xr:uid="{00000000-0005-0000-0000-000037160000}"/>
    <cellStyle name="20% - Accent2 2 5 8 10" xfId="44972" xr:uid="{00000000-0005-0000-0000-000038160000}"/>
    <cellStyle name="20% - Accent2 2 5 8 11" xfId="50450" xr:uid="{00000000-0005-0000-0000-000039160000}"/>
    <cellStyle name="20% - Accent2 2 5 8 2" xfId="3151" xr:uid="{00000000-0005-0000-0000-00003A160000}"/>
    <cellStyle name="20% - Accent2 2 5 8 2 2" xfId="8631" xr:uid="{00000000-0005-0000-0000-00003B160000}"/>
    <cellStyle name="20% - Accent2 2 5 8 2 3" xfId="14107" xr:uid="{00000000-0005-0000-0000-00003C160000}"/>
    <cellStyle name="20% - Accent2 2 5 8 2 4" xfId="19583" xr:uid="{00000000-0005-0000-0000-00003D160000}"/>
    <cellStyle name="20% - Accent2 2 5 8 2 5" xfId="25059" xr:uid="{00000000-0005-0000-0000-00003E160000}"/>
    <cellStyle name="20% - Accent2 2 5 8 2 6" xfId="36855" xr:uid="{00000000-0005-0000-0000-00003F160000}"/>
    <cellStyle name="20% - Accent2 2 5 8 2 7" xfId="42332" xr:uid="{00000000-0005-0000-0000-000040160000}"/>
    <cellStyle name="20% - Accent2 2 5 8 2 8" xfId="47809" xr:uid="{00000000-0005-0000-0000-000041160000}"/>
    <cellStyle name="20% - Accent2 2 5 8 2 9" xfId="53327" xr:uid="{00000000-0005-0000-0000-000042160000}"/>
    <cellStyle name="20% - Accent2 2 5 8 3" xfId="4923" xr:uid="{00000000-0005-0000-0000-000043160000}"/>
    <cellStyle name="20% - Accent2 2 5 8 3 2" xfId="10403" xr:uid="{00000000-0005-0000-0000-000044160000}"/>
    <cellStyle name="20% - Accent2 2 5 8 3 3" xfId="15879" xr:uid="{00000000-0005-0000-0000-000045160000}"/>
    <cellStyle name="20% - Accent2 2 5 8 3 4" xfId="21355" xr:uid="{00000000-0005-0000-0000-000046160000}"/>
    <cellStyle name="20% - Accent2 2 5 8 3 5" xfId="26831" xr:uid="{00000000-0005-0000-0000-000047160000}"/>
    <cellStyle name="20% - Accent2 2 5 8 3 6" xfId="38627" xr:uid="{00000000-0005-0000-0000-000048160000}"/>
    <cellStyle name="20% - Accent2 2 5 8 3 7" xfId="44104" xr:uid="{00000000-0005-0000-0000-000049160000}"/>
    <cellStyle name="20% - Accent2 2 5 8 3 8" xfId="49581" xr:uid="{00000000-0005-0000-0000-00004A160000}"/>
    <cellStyle name="20% - Accent2 2 5 8 3 9" xfId="55099" xr:uid="{00000000-0005-0000-0000-00004B160000}"/>
    <cellStyle name="20% - Accent2 2 5 8 4" xfId="5791" xr:uid="{00000000-0005-0000-0000-00004C160000}"/>
    <cellStyle name="20% - Accent2 2 5 8 5" xfId="11271" xr:uid="{00000000-0005-0000-0000-00004D160000}"/>
    <cellStyle name="20% - Accent2 2 5 8 6" xfId="16747" xr:uid="{00000000-0005-0000-0000-00004E160000}"/>
    <cellStyle name="20% - Accent2 2 5 8 7" xfId="22223" xr:uid="{00000000-0005-0000-0000-00004F160000}"/>
    <cellStyle name="20% - Accent2 2 5 8 8" xfId="34018" xr:uid="{00000000-0005-0000-0000-000050160000}"/>
    <cellStyle name="20% - Accent2 2 5 8 9" xfId="39495" xr:uid="{00000000-0005-0000-0000-000051160000}"/>
    <cellStyle name="20% - Accent2 2 5 9" xfId="1562" xr:uid="{00000000-0005-0000-0000-000052160000}"/>
    <cellStyle name="20% - Accent2 2 5 9 10" xfId="44973" xr:uid="{00000000-0005-0000-0000-000053160000}"/>
    <cellStyle name="20% - Accent2 2 5 9 11" xfId="50451" xr:uid="{00000000-0005-0000-0000-000054160000}"/>
    <cellStyle name="20% - Accent2 2 5 9 2" xfId="3323" xr:uid="{00000000-0005-0000-0000-000055160000}"/>
    <cellStyle name="20% - Accent2 2 5 9 2 2" xfId="8803" xr:uid="{00000000-0005-0000-0000-000056160000}"/>
    <cellStyle name="20% - Accent2 2 5 9 2 3" xfId="14279" xr:uid="{00000000-0005-0000-0000-000057160000}"/>
    <cellStyle name="20% - Accent2 2 5 9 2 4" xfId="19755" xr:uid="{00000000-0005-0000-0000-000058160000}"/>
    <cellStyle name="20% - Accent2 2 5 9 2 5" xfId="25231" xr:uid="{00000000-0005-0000-0000-000059160000}"/>
    <cellStyle name="20% - Accent2 2 5 9 2 6" xfId="37027" xr:uid="{00000000-0005-0000-0000-00005A160000}"/>
    <cellStyle name="20% - Accent2 2 5 9 2 7" xfId="42504" xr:uid="{00000000-0005-0000-0000-00005B160000}"/>
    <cellStyle name="20% - Accent2 2 5 9 2 8" xfId="47981" xr:uid="{00000000-0005-0000-0000-00005C160000}"/>
    <cellStyle name="20% - Accent2 2 5 9 2 9" xfId="53499" xr:uid="{00000000-0005-0000-0000-00005D160000}"/>
    <cellStyle name="20% - Accent2 2 5 9 3" xfId="5095" xr:uid="{00000000-0005-0000-0000-00005E160000}"/>
    <cellStyle name="20% - Accent2 2 5 9 3 2" xfId="10575" xr:uid="{00000000-0005-0000-0000-00005F160000}"/>
    <cellStyle name="20% - Accent2 2 5 9 3 3" xfId="16051" xr:uid="{00000000-0005-0000-0000-000060160000}"/>
    <cellStyle name="20% - Accent2 2 5 9 3 4" xfId="21527" xr:uid="{00000000-0005-0000-0000-000061160000}"/>
    <cellStyle name="20% - Accent2 2 5 9 3 5" xfId="27003" xr:uid="{00000000-0005-0000-0000-000062160000}"/>
    <cellStyle name="20% - Accent2 2 5 9 3 6" xfId="38799" xr:uid="{00000000-0005-0000-0000-000063160000}"/>
    <cellStyle name="20% - Accent2 2 5 9 3 7" xfId="44276" xr:uid="{00000000-0005-0000-0000-000064160000}"/>
    <cellStyle name="20% - Accent2 2 5 9 3 8" xfId="49753" xr:uid="{00000000-0005-0000-0000-000065160000}"/>
    <cellStyle name="20% - Accent2 2 5 9 3 9" xfId="55271" xr:uid="{00000000-0005-0000-0000-000066160000}"/>
    <cellStyle name="20% - Accent2 2 5 9 4" xfId="5792" xr:uid="{00000000-0005-0000-0000-000067160000}"/>
    <cellStyle name="20% - Accent2 2 5 9 5" xfId="11272" xr:uid="{00000000-0005-0000-0000-000068160000}"/>
    <cellStyle name="20% - Accent2 2 5 9 6" xfId="16748" xr:uid="{00000000-0005-0000-0000-000069160000}"/>
    <cellStyle name="20% - Accent2 2 5 9 7" xfId="22224" xr:uid="{00000000-0005-0000-0000-00006A160000}"/>
    <cellStyle name="20% - Accent2 2 5 9 8" xfId="34019" xr:uid="{00000000-0005-0000-0000-00006B160000}"/>
    <cellStyle name="20% - Accent2 2 5 9 9" xfId="39496" xr:uid="{00000000-0005-0000-0000-00006C160000}"/>
    <cellStyle name="20% - Accent2 2 6" xfId="288" xr:uid="{00000000-0005-0000-0000-00006D160000}"/>
    <cellStyle name="20% - Accent2 2 6 10" xfId="39497" xr:uid="{00000000-0005-0000-0000-00006E160000}"/>
    <cellStyle name="20% - Accent2 2 6 11" xfId="44974" xr:uid="{00000000-0005-0000-0000-00006F160000}"/>
    <cellStyle name="20% - Accent2 2 6 12" xfId="50452" xr:uid="{00000000-0005-0000-0000-000070160000}"/>
    <cellStyle name="20% - Accent2 2 6 2" xfId="2089" xr:uid="{00000000-0005-0000-0000-000071160000}"/>
    <cellStyle name="20% - Accent2 2 6 2 10" xfId="52265" xr:uid="{00000000-0005-0000-0000-000072160000}"/>
    <cellStyle name="20% - Accent2 2 6 2 2" xfId="7569" xr:uid="{00000000-0005-0000-0000-000073160000}"/>
    <cellStyle name="20% - Accent2 2 6 2 2 2" xfId="28239" xr:uid="{00000000-0005-0000-0000-000074160000}"/>
    <cellStyle name="20% - Accent2 2 6 2 3" xfId="13045" xr:uid="{00000000-0005-0000-0000-000075160000}"/>
    <cellStyle name="20% - Accent2 2 6 2 4" xfId="18521" xr:uid="{00000000-0005-0000-0000-000076160000}"/>
    <cellStyle name="20% - Accent2 2 6 2 5" xfId="23997" xr:uid="{00000000-0005-0000-0000-000077160000}"/>
    <cellStyle name="20% - Accent2 2 6 2 6" xfId="28238" xr:uid="{00000000-0005-0000-0000-000078160000}"/>
    <cellStyle name="20% - Accent2 2 6 2 7" xfId="35793" xr:uid="{00000000-0005-0000-0000-000079160000}"/>
    <cellStyle name="20% - Accent2 2 6 2 8" xfId="41270" xr:uid="{00000000-0005-0000-0000-00007A160000}"/>
    <cellStyle name="20% - Accent2 2 6 2 9" xfId="46747" xr:uid="{00000000-0005-0000-0000-00007B160000}"/>
    <cellStyle name="20% - Accent2 2 6 3" xfId="3850" xr:uid="{00000000-0005-0000-0000-00007C160000}"/>
    <cellStyle name="20% - Accent2 2 6 3 10" xfId="54026" xr:uid="{00000000-0005-0000-0000-00007D160000}"/>
    <cellStyle name="20% - Accent2 2 6 3 2" xfId="9330" xr:uid="{00000000-0005-0000-0000-00007E160000}"/>
    <cellStyle name="20% - Accent2 2 6 3 3" xfId="14806" xr:uid="{00000000-0005-0000-0000-00007F160000}"/>
    <cellStyle name="20% - Accent2 2 6 3 4" xfId="20282" xr:uid="{00000000-0005-0000-0000-000080160000}"/>
    <cellStyle name="20% - Accent2 2 6 3 5" xfId="25758" xr:uid="{00000000-0005-0000-0000-000081160000}"/>
    <cellStyle name="20% - Accent2 2 6 3 6" xfId="28240" xr:uid="{00000000-0005-0000-0000-000082160000}"/>
    <cellStyle name="20% - Accent2 2 6 3 7" xfId="37554" xr:uid="{00000000-0005-0000-0000-000083160000}"/>
    <cellStyle name="20% - Accent2 2 6 3 8" xfId="43031" xr:uid="{00000000-0005-0000-0000-000084160000}"/>
    <cellStyle name="20% - Accent2 2 6 3 9" xfId="48508" xr:uid="{00000000-0005-0000-0000-000085160000}"/>
    <cellStyle name="20% - Accent2 2 6 4" xfId="5793" xr:uid="{00000000-0005-0000-0000-000086160000}"/>
    <cellStyle name="20% - Accent2 2 6 5" xfId="11273" xr:uid="{00000000-0005-0000-0000-000087160000}"/>
    <cellStyle name="20% - Accent2 2 6 6" xfId="16749" xr:uid="{00000000-0005-0000-0000-000088160000}"/>
    <cellStyle name="20% - Accent2 2 6 7" xfId="22225" xr:uid="{00000000-0005-0000-0000-000089160000}"/>
    <cellStyle name="20% - Accent2 2 6 8" xfId="28237" xr:uid="{00000000-0005-0000-0000-00008A160000}"/>
    <cellStyle name="20% - Accent2 2 6 9" xfId="34020" xr:uid="{00000000-0005-0000-0000-00008B160000}"/>
    <cellStyle name="20% - Accent2 2 7" xfId="489" xr:uid="{00000000-0005-0000-0000-00008C160000}"/>
    <cellStyle name="20% - Accent2 2 7 10" xfId="39498" xr:uid="{00000000-0005-0000-0000-00008D160000}"/>
    <cellStyle name="20% - Accent2 2 7 11" xfId="44975" xr:uid="{00000000-0005-0000-0000-00008E160000}"/>
    <cellStyle name="20% - Accent2 2 7 12" xfId="50453" xr:uid="{00000000-0005-0000-0000-00008F160000}"/>
    <cellStyle name="20% - Accent2 2 7 2" xfId="2250" xr:uid="{00000000-0005-0000-0000-000090160000}"/>
    <cellStyle name="20% - Accent2 2 7 2 10" xfId="52426" xr:uid="{00000000-0005-0000-0000-000091160000}"/>
    <cellStyle name="20% - Accent2 2 7 2 2" xfId="7730" xr:uid="{00000000-0005-0000-0000-000092160000}"/>
    <cellStyle name="20% - Accent2 2 7 2 2 2" xfId="28243" xr:uid="{00000000-0005-0000-0000-000093160000}"/>
    <cellStyle name="20% - Accent2 2 7 2 3" xfId="13206" xr:uid="{00000000-0005-0000-0000-000094160000}"/>
    <cellStyle name="20% - Accent2 2 7 2 4" xfId="18682" xr:uid="{00000000-0005-0000-0000-000095160000}"/>
    <cellStyle name="20% - Accent2 2 7 2 5" xfId="24158" xr:uid="{00000000-0005-0000-0000-000096160000}"/>
    <cellStyle name="20% - Accent2 2 7 2 6" xfId="28242" xr:uid="{00000000-0005-0000-0000-000097160000}"/>
    <cellStyle name="20% - Accent2 2 7 2 7" xfId="35954" xr:uid="{00000000-0005-0000-0000-000098160000}"/>
    <cellStyle name="20% - Accent2 2 7 2 8" xfId="41431" xr:uid="{00000000-0005-0000-0000-000099160000}"/>
    <cellStyle name="20% - Accent2 2 7 2 9" xfId="46908" xr:uid="{00000000-0005-0000-0000-00009A160000}"/>
    <cellStyle name="20% - Accent2 2 7 3" xfId="4022" xr:uid="{00000000-0005-0000-0000-00009B160000}"/>
    <cellStyle name="20% - Accent2 2 7 3 10" xfId="54198" xr:uid="{00000000-0005-0000-0000-00009C160000}"/>
    <cellStyle name="20% - Accent2 2 7 3 2" xfId="9502" xr:uid="{00000000-0005-0000-0000-00009D160000}"/>
    <cellStyle name="20% - Accent2 2 7 3 3" xfId="14978" xr:uid="{00000000-0005-0000-0000-00009E160000}"/>
    <cellStyle name="20% - Accent2 2 7 3 4" xfId="20454" xr:uid="{00000000-0005-0000-0000-00009F160000}"/>
    <cellStyle name="20% - Accent2 2 7 3 5" xfId="25930" xr:uid="{00000000-0005-0000-0000-0000A0160000}"/>
    <cellStyle name="20% - Accent2 2 7 3 6" xfId="28244" xr:uid="{00000000-0005-0000-0000-0000A1160000}"/>
    <cellStyle name="20% - Accent2 2 7 3 7" xfId="37726" xr:uid="{00000000-0005-0000-0000-0000A2160000}"/>
    <cellStyle name="20% - Accent2 2 7 3 8" xfId="43203" xr:uid="{00000000-0005-0000-0000-0000A3160000}"/>
    <cellStyle name="20% - Accent2 2 7 3 9" xfId="48680" xr:uid="{00000000-0005-0000-0000-0000A4160000}"/>
    <cellStyle name="20% - Accent2 2 7 4" xfId="5794" xr:uid="{00000000-0005-0000-0000-0000A5160000}"/>
    <cellStyle name="20% - Accent2 2 7 5" xfId="11274" xr:uid="{00000000-0005-0000-0000-0000A6160000}"/>
    <cellStyle name="20% - Accent2 2 7 6" xfId="16750" xr:uid="{00000000-0005-0000-0000-0000A7160000}"/>
    <cellStyle name="20% - Accent2 2 7 7" xfId="22226" xr:uid="{00000000-0005-0000-0000-0000A8160000}"/>
    <cellStyle name="20% - Accent2 2 7 8" xfId="28241" xr:uid="{00000000-0005-0000-0000-0000A9160000}"/>
    <cellStyle name="20% - Accent2 2 7 9" xfId="34021" xr:uid="{00000000-0005-0000-0000-0000AA160000}"/>
    <cellStyle name="20% - Accent2 2 8" xfId="661" xr:uid="{00000000-0005-0000-0000-0000AB160000}"/>
    <cellStyle name="20% - Accent2 2 8 10" xfId="39499" xr:uid="{00000000-0005-0000-0000-0000AC160000}"/>
    <cellStyle name="20% - Accent2 2 8 11" xfId="44976" xr:uid="{00000000-0005-0000-0000-0000AD160000}"/>
    <cellStyle name="20% - Accent2 2 8 12" xfId="50454" xr:uid="{00000000-0005-0000-0000-0000AE160000}"/>
    <cellStyle name="20% - Accent2 2 8 2" xfId="2422" xr:uid="{00000000-0005-0000-0000-0000AF160000}"/>
    <cellStyle name="20% - Accent2 2 8 2 10" xfId="52598" xr:uid="{00000000-0005-0000-0000-0000B0160000}"/>
    <cellStyle name="20% - Accent2 2 8 2 2" xfId="7902" xr:uid="{00000000-0005-0000-0000-0000B1160000}"/>
    <cellStyle name="20% - Accent2 2 8 2 3" xfId="13378" xr:uid="{00000000-0005-0000-0000-0000B2160000}"/>
    <cellStyle name="20% - Accent2 2 8 2 4" xfId="18854" xr:uid="{00000000-0005-0000-0000-0000B3160000}"/>
    <cellStyle name="20% - Accent2 2 8 2 5" xfId="24330" xr:uid="{00000000-0005-0000-0000-0000B4160000}"/>
    <cellStyle name="20% - Accent2 2 8 2 6" xfId="28246" xr:uid="{00000000-0005-0000-0000-0000B5160000}"/>
    <cellStyle name="20% - Accent2 2 8 2 7" xfId="36126" xr:uid="{00000000-0005-0000-0000-0000B6160000}"/>
    <cellStyle name="20% - Accent2 2 8 2 8" xfId="41603" xr:uid="{00000000-0005-0000-0000-0000B7160000}"/>
    <cellStyle name="20% - Accent2 2 8 2 9" xfId="47080" xr:uid="{00000000-0005-0000-0000-0000B8160000}"/>
    <cellStyle name="20% - Accent2 2 8 3" xfId="4194" xr:uid="{00000000-0005-0000-0000-0000B9160000}"/>
    <cellStyle name="20% - Accent2 2 8 3 2" xfId="9674" xr:uid="{00000000-0005-0000-0000-0000BA160000}"/>
    <cellStyle name="20% - Accent2 2 8 3 3" xfId="15150" xr:uid="{00000000-0005-0000-0000-0000BB160000}"/>
    <cellStyle name="20% - Accent2 2 8 3 4" xfId="20626" xr:uid="{00000000-0005-0000-0000-0000BC160000}"/>
    <cellStyle name="20% - Accent2 2 8 3 5" xfId="26102" xr:uid="{00000000-0005-0000-0000-0000BD160000}"/>
    <cellStyle name="20% - Accent2 2 8 3 6" xfId="37898" xr:uid="{00000000-0005-0000-0000-0000BE160000}"/>
    <cellStyle name="20% - Accent2 2 8 3 7" xfId="43375" xr:uid="{00000000-0005-0000-0000-0000BF160000}"/>
    <cellStyle name="20% - Accent2 2 8 3 8" xfId="48852" xr:uid="{00000000-0005-0000-0000-0000C0160000}"/>
    <cellStyle name="20% - Accent2 2 8 3 9" xfId="54370" xr:uid="{00000000-0005-0000-0000-0000C1160000}"/>
    <cellStyle name="20% - Accent2 2 8 4" xfId="5795" xr:uid="{00000000-0005-0000-0000-0000C2160000}"/>
    <cellStyle name="20% - Accent2 2 8 5" xfId="11275" xr:uid="{00000000-0005-0000-0000-0000C3160000}"/>
    <cellStyle name="20% - Accent2 2 8 6" xfId="16751" xr:uid="{00000000-0005-0000-0000-0000C4160000}"/>
    <cellStyle name="20% - Accent2 2 8 7" xfId="22227" xr:uid="{00000000-0005-0000-0000-0000C5160000}"/>
    <cellStyle name="20% - Accent2 2 8 8" xfId="28245" xr:uid="{00000000-0005-0000-0000-0000C6160000}"/>
    <cellStyle name="20% - Accent2 2 8 9" xfId="34022" xr:uid="{00000000-0005-0000-0000-0000C7160000}"/>
    <cellStyle name="20% - Accent2 2 9" xfId="833" xr:uid="{00000000-0005-0000-0000-0000C8160000}"/>
    <cellStyle name="20% - Accent2 2 9 10" xfId="39500" xr:uid="{00000000-0005-0000-0000-0000C9160000}"/>
    <cellStyle name="20% - Accent2 2 9 11" xfId="44977" xr:uid="{00000000-0005-0000-0000-0000CA160000}"/>
    <cellStyle name="20% - Accent2 2 9 12" xfId="50455" xr:uid="{00000000-0005-0000-0000-0000CB160000}"/>
    <cellStyle name="20% - Accent2 2 9 2" xfId="2594" xr:uid="{00000000-0005-0000-0000-0000CC160000}"/>
    <cellStyle name="20% - Accent2 2 9 2 2" xfId="8074" xr:uid="{00000000-0005-0000-0000-0000CD160000}"/>
    <cellStyle name="20% - Accent2 2 9 2 3" xfId="13550" xr:uid="{00000000-0005-0000-0000-0000CE160000}"/>
    <cellStyle name="20% - Accent2 2 9 2 4" xfId="19026" xr:uid="{00000000-0005-0000-0000-0000CF160000}"/>
    <cellStyle name="20% - Accent2 2 9 2 5" xfId="24502" xr:uid="{00000000-0005-0000-0000-0000D0160000}"/>
    <cellStyle name="20% - Accent2 2 9 2 6" xfId="36298" xr:uid="{00000000-0005-0000-0000-0000D1160000}"/>
    <cellStyle name="20% - Accent2 2 9 2 7" xfId="41775" xr:uid="{00000000-0005-0000-0000-0000D2160000}"/>
    <cellStyle name="20% - Accent2 2 9 2 8" xfId="47252" xr:uid="{00000000-0005-0000-0000-0000D3160000}"/>
    <cellStyle name="20% - Accent2 2 9 2 9" xfId="52770" xr:uid="{00000000-0005-0000-0000-0000D4160000}"/>
    <cellStyle name="20% - Accent2 2 9 3" xfId="4366" xr:uid="{00000000-0005-0000-0000-0000D5160000}"/>
    <cellStyle name="20% - Accent2 2 9 3 2" xfId="9846" xr:uid="{00000000-0005-0000-0000-0000D6160000}"/>
    <cellStyle name="20% - Accent2 2 9 3 3" xfId="15322" xr:uid="{00000000-0005-0000-0000-0000D7160000}"/>
    <cellStyle name="20% - Accent2 2 9 3 4" xfId="20798" xr:uid="{00000000-0005-0000-0000-0000D8160000}"/>
    <cellStyle name="20% - Accent2 2 9 3 5" xfId="26274" xr:uid="{00000000-0005-0000-0000-0000D9160000}"/>
    <cellStyle name="20% - Accent2 2 9 3 6" xfId="38070" xr:uid="{00000000-0005-0000-0000-0000DA160000}"/>
    <cellStyle name="20% - Accent2 2 9 3 7" xfId="43547" xr:uid="{00000000-0005-0000-0000-0000DB160000}"/>
    <cellStyle name="20% - Accent2 2 9 3 8" xfId="49024" xr:uid="{00000000-0005-0000-0000-0000DC160000}"/>
    <cellStyle name="20% - Accent2 2 9 3 9" xfId="54542" xr:uid="{00000000-0005-0000-0000-0000DD160000}"/>
    <cellStyle name="20% - Accent2 2 9 4" xfId="5796" xr:uid="{00000000-0005-0000-0000-0000DE160000}"/>
    <cellStyle name="20% - Accent2 2 9 5" xfId="11276" xr:uid="{00000000-0005-0000-0000-0000DF160000}"/>
    <cellStyle name="20% - Accent2 2 9 6" xfId="16752" xr:uid="{00000000-0005-0000-0000-0000E0160000}"/>
    <cellStyle name="20% - Accent2 2 9 7" xfId="22228" xr:uid="{00000000-0005-0000-0000-0000E1160000}"/>
    <cellStyle name="20% - Accent2 2 9 8" xfId="28247" xr:uid="{00000000-0005-0000-0000-0000E2160000}"/>
    <cellStyle name="20% - Accent2 2 9 9" xfId="34023" xr:uid="{00000000-0005-0000-0000-0000E3160000}"/>
    <cellStyle name="20% - Accent2 20" xfId="28248" xr:uid="{00000000-0005-0000-0000-0000E4160000}"/>
    <cellStyle name="20% - Accent2 20 2" xfId="28249" xr:uid="{00000000-0005-0000-0000-0000E5160000}"/>
    <cellStyle name="20% - Accent2 20 2 2" xfId="28250" xr:uid="{00000000-0005-0000-0000-0000E6160000}"/>
    <cellStyle name="20% - Accent2 20 3" xfId="28251" xr:uid="{00000000-0005-0000-0000-0000E7160000}"/>
    <cellStyle name="20% - Accent2 21" xfId="28252" xr:uid="{00000000-0005-0000-0000-0000E8160000}"/>
    <cellStyle name="20% - Accent2 21 2" xfId="28253" xr:uid="{00000000-0005-0000-0000-0000E9160000}"/>
    <cellStyle name="20% - Accent2 22" xfId="28254" xr:uid="{00000000-0005-0000-0000-0000EA160000}"/>
    <cellStyle name="20% - Accent2 23" xfId="28255" xr:uid="{00000000-0005-0000-0000-0000EB160000}"/>
    <cellStyle name="20% - Accent2 23 2" xfId="28256" xr:uid="{00000000-0005-0000-0000-0000EC160000}"/>
    <cellStyle name="20% - Accent2 24" xfId="28257" xr:uid="{00000000-0005-0000-0000-0000ED160000}"/>
    <cellStyle name="20% - Accent2 24 2" xfId="28258" xr:uid="{00000000-0005-0000-0000-0000EE160000}"/>
    <cellStyle name="20% - Accent2 25" xfId="28259" xr:uid="{00000000-0005-0000-0000-0000EF160000}"/>
    <cellStyle name="20% - Accent2 26" xfId="27557" xr:uid="{00000000-0005-0000-0000-0000F0160000}"/>
    <cellStyle name="20% - Accent2 27" xfId="35602" xr:uid="{00000000-0005-0000-0000-0000F1160000}"/>
    <cellStyle name="20% - Accent2 28" xfId="41079" xr:uid="{00000000-0005-0000-0000-0000F2160000}"/>
    <cellStyle name="20% - Accent2 29" xfId="46556" xr:uid="{00000000-0005-0000-0000-0000F3160000}"/>
    <cellStyle name="20% - Accent2 3" xfId="186" xr:uid="{00000000-0005-0000-0000-0000F4160000}"/>
    <cellStyle name="20% - Accent2 3 10" xfId="1790" xr:uid="{00000000-0005-0000-0000-0000F5160000}"/>
    <cellStyle name="20% - Accent2 3 10 10" xfId="44979" xr:uid="{00000000-0005-0000-0000-0000F6160000}"/>
    <cellStyle name="20% - Accent2 3 10 11" xfId="50457" xr:uid="{00000000-0005-0000-0000-0000F7160000}"/>
    <cellStyle name="20% - Accent2 3 10 2" xfId="3551" xr:uid="{00000000-0005-0000-0000-0000F8160000}"/>
    <cellStyle name="20% - Accent2 3 10 2 2" xfId="9031" xr:uid="{00000000-0005-0000-0000-0000F9160000}"/>
    <cellStyle name="20% - Accent2 3 10 2 3" xfId="14507" xr:uid="{00000000-0005-0000-0000-0000FA160000}"/>
    <cellStyle name="20% - Accent2 3 10 2 4" xfId="19983" xr:uid="{00000000-0005-0000-0000-0000FB160000}"/>
    <cellStyle name="20% - Accent2 3 10 2 5" xfId="25459" xr:uid="{00000000-0005-0000-0000-0000FC160000}"/>
    <cellStyle name="20% - Accent2 3 10 2 6" xfId="37255" xr:uid="{00000000-0005-0000-0000-0000FD160000}"/>
    <cellStyle name="20% - Accent2 3 10 2 7" xfId="42732" xr:uid="{00000000-0005-0000-0000-0000FE160000}"/>
    <cellStyle name="20% - Accent2 3 10 2 8" xfId="48209" xr:uid="{00000000-0005-0000-0000-0000FF160000}"/>
    <cellStyle name="20% - Accent2 3 10 2 9" xfId="53727" xr:uid="{00000000-0005-0000-0000-000000170000}"/>
    <cellStyle name="20% - Accent2 3 10 3" xfId="5323" xr:uid="{00000000-0005-0000-0000-000001170000}"/>
    <cellStyle name="20% - Accent2 3 10 3 2" xfId="10803" xr:uid="{00000000-0005-0000-0000-000002170000}"/>
    <cellStyle name="20% - Accent2 3 10 3 3" xfId="16279" xr:uid="{00000000-0005-0000-0000-000003170000}"/>
    <cellStyle name="20% - Accent2 3 10 3 4" xfId="21755" xr:uid="{00000000-0005-0000-0000-000004170000}"/>
    <cellStyle name="20% - Accent2 3 10 3 5" xfId="27231" xr:uid="{00000000-0005-0000-0000-000005170000}"/>
    <cellStyle name="20% - Accent2 3 10 3 6" xfId="39027" xr:uid="{00000000-0005-0000-0000-000006170000}"/>
    <cellStyle name="20% - Accent2 3 10 3 7" xfId="44504" xr:uid="{00000000-0005-0000-0000-000007170000}"/>
    <cellStyle name="20% - Accent2 3 10 3 8" xfId="49981" xr:uid="{00000000-0005-0000-0000-000008170000}"/>
    <cellStyle name="20% - Accent2 3 10 3 9" xfId="55499" xr:uid="{00000000-0005-0000-0000-000009170000}"/>
    <cellStyle name="20% - Accent2 3 10 4" xfId="5798" xr:uid="{00000000-0005-0000-0000-00000A170000}"/>
    <cellStyle name="20% - Accent2 3 10 5" xfId="11278" xr:uid="{00000000-0005-0000-0000-00000B170000}"/>
    <cellStyle name="20% - Accent2 3 10 6" xfId="16754" xr:uid="{00000000-0005-0000-0000-00000C170000}"/>
    <cellStyle name="20% - Accent2 3 10 7" xfId="22230" xr:uid="{00000000-0005-0000-0000-00000D170000}"/>
    <cellStyle name="20% - Accent2 3 10 8" xfId="34025" xr:uid="{00000000-0005-0000-0000-00000E170000}"/>
    <cellStyle name="20% - Accent2 3 10 9" xfId="39502" xr:uid="{00000000-0005-0000-0000-00000F170000}"/>
    <cellStyle name="20% - Accent2 3 11" xfId="1925" xr:uid="{00000000-0005-0000-0000-000010170000}"/>
    <cellStyle name="20% - Accent2 3 11 10" xfId="52102" xr:uid="{00000000-0005-0000-0000-000011170000}"/>
    <cellStyle name="20% - Accent2 3 11 2" xfId="5457" xr:uid="{00000000-0005-0000-0000-000012170000}"/>
    <cellStyle name="20% - Accent2 3 11 2 2" xfId="10937" xr:uid="{00000000-0005-0000-0000-000013170000}"/>
    <cellStyle name="20% - Accent2 3 11 2 3" xfId="16413" xr:uid="{00000000-0005-0000-0000-000014170000}"/>
    <cellStyle name="20% - Accent2 3 11 2 4" xfId="21889" xr:uid="{00000000-0005-0000-0000-000015170000}"/>
    <cellStyle name="20% - Accent2 3 11 2 5" xfId="27365" xr:uid="{00000000-0005-0000-0000-000016170000}"/>
    <cellStyle name="20% - Accent2 3 11 2 6" xfId="39161" xr:uid="{00000000-0005-0000-0000-000017170000}"/>
    <cellStyle name="20% - Accent2 3 11 2 7" xfId="44638" xr:uid="{00000000-0005-0000-0000-000018170000}"/>
    <cellStyle name="20% - Accent2 3 11 2 8" xfId="50115" xr:uid="{00000000-0005-0000-0000-000019170000}"/>
    <cellStyle name="20% - Accent2 3 11 2 9" xfId="55633" xr:uid="{00000000-0005-0000-0000-00001A170000}"/>
    <cellStyle name="20% - Accent2 3 11 3" xfId="7406" xr:uid="{00000000-0005-0000-0000-00001B170000}"/>
    <cellStyle name="20% - Accent2 3 11 4" xfId="12882" xr:uid="{00000000-0005-0000-0000-00001C170000}"/>
    <cellStyle name="20% - Accent2 3 11 5" xfId="18358" xr:uid="{00000000-0005-0000-0000-00001D170000}"/>
    <cellStyle name="20% - Accent2 3 11 6" xfId="23834" xr:uid="{00000000-0005-0000-0000-00001E170000}"/>
    <cellStyle name="20% - Accent2 3 11 7" xfId="35630" xr:uid="{00000000-0005-0000-0000-00001F170000}"/>
    <cellStyle name="20% - Accent2 3 11 8" xfId="41107" xr:uid="{00000000-0005-0000-0000-000020170000}"/>
    <cellStyle name="20% - Accent2 3 11 9" xfId="46584" xr:uid="{00000000-0005-0000-0000-000021170000}"/>
    <cellStyle name="20% - Accent2 3 12" xfId="3756" xr:uid="{00000000-0005-0000-0000-000022170000}"/>
    <cellStyle name="20% - Accent2 3 12 2" xfId="9236" xr:uid="{00000000-0005-0000-0000-000023170000}"/>
    <cellStyle name="20% - Accent2 3 12 3" xfId="14712" xr:uid="{00000000-0005-0000-0000-000024170000}"/>
    <cellStyle name="20% - Accent2 3 12 4" xfId="20188" xr:uid="{00000000-0005-0000-0000-000025170000}"/>
    <cellStyle name="20% - Accent2 3 12 5" xfId="25664" xr:uid="{00000000-0005-0000-0000-000026170000}"/>
    <cellStyle name="20% - Accent2 3 12 6" xfId="37460" xr:uid="{00000000-0005-0000-0000-000027170000}"/>
    <cellStyle name="20% - Accent2 3 12 7" xfId="42937" xr:uid="{00000000-0005-0000-0000-000028170000}"/>
    <cellStyle name="20% - Accent2 3 12 8" xfId="48414" xr:uid="{00000000-0005-0000-0000-000029170000}"/>
    <cellStyle name="20% - Accent2 3 12 9" xfId="53932" xr:uid="{00000000-0005-0000-0000-00002A170000}"/>
    <cellStyle name="20% - Accent2 3 13" xfId="5797" xr:uid="{00000000-0005-0000-0000-00002B170000}"/>
    <cellStyle name="20% - Accent2 3 14" xfId="11277" xr:uid="{00000000-0005-0000-0000-00002C170000}"/>
    <cellStyle name="20% - Accent2 3 15" xfId="16753" xr:uid="{00000000-0005-0000-0000-00002D170000}"/>
    <cellStyle name="20% - Accent2 3 16" xfId="22229" xr:uid="{00000000-0005-0000-0000-00002E170000}"/>
    <cellStyle name="20% - Accent2 3 17" xfId="28260" xr:uid="{00000000-0005-0000-0000-00002F170000}"/>
    <cellStyle name="20% - Accent2 3 18" xfId="34024" xr:uid="{00000000-0005-0000-0000-000030170000}"/>
    <cellStyle name="20% - Accent2 3 19" xfId="39501" xr:uid="{00000000-0005-0000-0000-000031170000}"/>
    <cellStyle name="20% - Accent2 3 2" xfId="296" xr:uid="{00000000-0005-0000-0000-000032170000}"/>
    <cellStyle name="20% - Accent2 3 2 10" xfId="39503" xr:uid="{00000000-0005-0000-0000-000033170000}"/>
    <cellStyle name="20% - Accent2 3 2 11" xfId="44980" xr:uid="{00000000-0005-0000-0000-000034170000}"/>
    <cellStyle name="20% - Accent2 3 2 12" xfId="50458" xr:uid="{00000000-0005-0000-0000-000035170000}"/>
    <cellStyle name="20% - Accent2 3 2 2" xfId="2097" xr:uid="{00000000-0005-0000-0000-000036170000}"/>
    <cellStyle name="20% - Accent2 3 2 2 10" xfId="52273" xr:uid="{00000000-0005-0000-0000-000037170000}"/>
    <cellStyle name="20% - Accent2 3 2 2 2" xfId="7577" xr:uid="{00000000-0005-0000-0000-000038170000}"/>
    <cellStyle name="20% - Accent2 3 2 2 2 2" xfId="28263" xr:uid="{00000000-0005-0000-0000-000039170000}"/>
    <cellStyle name="20% - Accent2 3 2 2 3" xfId="13053" xr:uid="{00000000-0005-0000-0000-00003A170000}"/>
    <cellStyle name="20% - Accent2 3 2 2 4" xfId="18529" xr:uid="{00000000-0005-0000-0000-00003B170000}"/>
    <cellStyle name="20% - Accent2 3 2 2 5" xfId="24005" xr:uid="{00000000-0005-0000-0000-00003C170000}"/>
    <cellStyle name="20% - Accent2 3 2 2 6" xfId="28262" xr:uid="{00000000-0005-0000-0000-00003D170000}"/>
    <cellStyle name="20% - Accent2 3 2 2 7" xfId="35801" xr:uid="{00000000-0005-0000-0000-00003E170000}"/>
    <cellStyle name="20% - Accent2 3 2 2 8" xfId="41278" xr:uid="{00000000-0005-0000-0000-00003F170000}"/>
    <cellStyle name="20% - Accent2 3 2 2 9" xfId="46755" xr:uid="{00000000-0005-0000-0000-000040170000}"/>
    <cellStyle name="20% - Accent2 3 2 3" xfId="3858" xr:uid="{00000000-0005-0000-0000-000041170000}"/>
    <cellStyle name="20% - Accent2 3 2 3 10" xfId="54034" xr:uid="{00000000-0005-0000-0000-000042170000}"/>
    <cellStyle name="20% - Accent2 3 2 3 2" xfId="9338" xr:uid="{00000000-0005-0000-0000-000043170000}"/>
    <cellStyle name="20% - Accent2 3 2 3 3" xfId="14814" xr:uid="{00000000-0005-0000-0000-000044170000}"/>
    <cellStyle name="20% - Accent2 3 2 3 4" xfId="20290" xr:uid="{00000000-0005-0000-0000-000045170000}"/>
    <cellStyle name="20% - Accent2 3 2 3 5" xfId="25766" xr:uid="{00000000-0005-0000-0000-000046170000}"/>
    <cellStyle name="20% - Accent2 3 2 3 6" xfId="28264" xr:uid="{00000000-0005-0000-0000-000047170000}"/>
    <cellStyle name="20% - Accent2 3 2 3 7" xfId="37562" xr:uid="{00000000-0005-0000-0000-000048170000}"/>
    <cellStyle name="20% - Accent2 3 2 3 8" xfId="43039" xr:uid="{00000000-0005-0000-0000-000049170000}"/>
    <cellStyle name="20% - Accent2 3 2 3 9" xfId="48516" xr:uid="{00000000-0005-0000-0000-00004A170000}"/>
    <cellStyle name="20% - Accent2 3 2 4" xfId="5799" xr:uid="{00000000-0005-0000-0000-00004B170000}"/>
    <cellStyle name="20% - Accent2 3 2 5" xfId="11279" xr:uid="{00000000-0005-0000-0000-00004C170000}"/>
    <cellStyle name="20% - Accent2 3 2 6" xfId="16755" xr:uid="{00000000-0005-0000-0000-00004D170000}"/>
    <cellStyle name="20% - Accent2 3 2 7" xfId="22231" xr:uid="{00000000-0005-0000-0000-00004E170000}"/>
    <cellStyle name="20% - Accent2 3 2 8" xfId="28261" xr:uid="{00000000-0005-0000-0000-00004F170000}"/>
    <cellStyle name="20% - Accent2 3 2 9" xfId="34026" xr:uid="{00000000-0005-0000-0000-000050170000}"/>
    <cellStyle name="20% - Accent2 3 20" xfId="44978" xr:uid="{00000000-0005-0000-0000-000051170000}"/>
    <cellStyle name="20% - Accent2 3 21" xfId="50456" xr:uid="{00000000-0005-0000-0000-000052170000}"/>
    <cellStyle name="20% - Accent2 3 3" xfId="497" xr:uid="{00000000-0005-0000-0000-000053170000}"/>
    <cellStyle name="20% - Accent2 3 3 10" xfId="39504" xr:uid="{00000000-0005-0000-0000-000054170000}"/>
    <cellStyle name="20% - Accent2 3 3 11" xfId="44981" xr:uid="{00000000-0005-0000-0000-000055170000}"/>
    <cellStyle name="20% - Accent2 3 3 12" xfId="50459" xr:uid="{00000000-0005-0000-0000-000056170000}"/>
    <cellStyle name="20% - Accent2 3 3 2" xfId="2258" xr:uid="{00000000-0005-0000-0000-000057170000}"/>
    <cellStyle name="20% - Accent2 3 3 2 10" xfId="52434" xr:uid="{00000000-0005-0000-0000-000058170000}"/>
    <cellStyle name="20% - Accent2 3 3 2 2" xfId="7738" xr:uid="{00000000-0005-0000-0000-000059170000}"/>
    <cellStyle name="20% - Accent2 3 3 2 2 2" xfId="28267" xr:uid="{00000000-0005-0000-0000-00005A170000}"/>
    <cellStyle name="20% - Accent2 3 3 2 3" xfId="13214" xr:uid="{00000000-0005-0000-0000-00005B170000}"/>
    <cellStyle name="20% - Accent2 3 3 2 4" xfId="18690" xr:uid="{00000000-0005-0000-0000-00005C170000}"/>
    <cellStyle name="20% - Accent2 3 3 2 5" xfId="24166" xr:uid="{00000000-0005-0000-0000-00005D170000}"/>
    <cellStyle name="20% - Accent2 3 3 2 6" xfId="28266" xr:uid="{00000000-0005-0000-0000-00005E170000}"/>
    <cellStyle name="20% - Accent2 3 3 2 7" xfId="35962" xr:uid="{00000000-0005-0000-0000-00005F170000}"/>
    <cellStyle name="20% - Accent2 3 3 2 8" xfId="41439" xr:uid="{00000000-0005-0000-0000-000060170000}"/>
    <cellStyle name="20% - Accent2 3 3 2 9" xfId="46916" xr:uid="{00000000-0005-0000-0000-000061170000}"/>
    <cellStyle name="20% - Accent2 3 3 3" xfId="4030" xr:uid="{00000000-0005-0000-0000-000062170000}"/>
    <cellStyle name="20% - Accent2 3 3 3 10" xfId="54206" xr:uid="{00000000-0005-0000-0000-000063170000}"/>
    <cellStyle name="20% - Accent2 3 3 3 2" xfId="9510" xr:uid="{00000000-0005-0000-0000-000064170000}"/>
    <cellStyle name="20% - Accent2 3 3 3 3" xfId="14986" xr:uid="{00000000-0005-0000-0000-000065170000}"/>
    <cellStyle name="20% - Accent2 3 3 3 4" xfId="20462" xr:uid="{00000000-0005-0000-0000-000066170000}"/>
    <cellStyle name="20% - Accent2 3 3 3 5" xfId="25938" xr:uid="{00000000-0005-0000-0000-000067170000}"/>
    <cellStyle name="20% - Accent2 3 3 3 6" xfId="28268" xr:uid="{00000000-0005-0000-0000-000068170000}"/>
    <cellStyle name="20% - Accent2 3 3 3 7" xfId="37734" xr:uid="{00000000-0005-0000-0000-000069170000}"/>
    <cellStyle name="20% - Accent2 3 3 3 8" xfId="43211" xr:uid="{00000000-0005-0000-0000-00006A170000}"/>
    <cellStyle name="20% - Accent2 3 3 3 9" xfId="48688" xr:uid="{00000000-0005-0000-0000-00006B170000}"/>
    <cellStyle name="20% - Accent2 3 3 4" xfId="5800" xr:uid="{00000000-0005-0000-0000-00006C170000}"/>
    <cellStyle name="20% - Accent2 3 3 5" xfId="11280" xr:uid="{00000000-0005-0000-0000-00006D170000}"/>
    <cellStyle name="20% - Accent2 3 3 6" xfId="16756" xr:uid="{00000000-0005-0000-0000-00006E170000}"/>
    <cellStyle name="20% - Accent2 3 3 7" xfId="22232" xr:uid="{00000000-0005-0000-0000-00006F170000}"/>
    <cellStyle name="20% - Accent2 3 3 8" xfId="28265" xr:uid="{00000000-0005-0000-0000-000070170000}"/>
    <cellStyle name="20% - Accent2 3 3 9" xfId="34027" xr:uid="{00000000-0005-0000-0000-000071170000}"/>
    <cellStyle name="20% - Accent2 3 4" xfId="669" xr:uid="{00000000-0005-0000-0000-000072170000}"/>
    <cellStyle name="20% - Accent2 3 4 10" xfId="39505" xr:uid="{00000000-0005-0000-0000-000073170000}"/>
    <cellStyle name="20% - Accent2 3 4 11" xfId="44982" xr:uid="{00000000-0005-0000-0000-000074170000}"/>
    <cellStyle name="20% - Accent2 3 4 12" xfId="50460" xr:uid="{00000000-0005-0000-0000-000075170000}"/>
    <cellStyle name="20% - Accent2 3 4 2" xfId="2430" xr:uid="{00000000-0005-0000-0000-000076170000}"/>
    <cellStyle name="20% - Accent2 3 4 2 10" xfId="52606" xr:uid="{00000000-0005-0000-0000-000077170000}"/>
    <cellStyle name="20% - Accent2 3 4 2 2" xfId="7910" xr:uid="{00000000-0005-0000-0000-000078170000}"/>
    <cellStyle name="20% - Accent2 3 4 2 2 2" xfId="28271" xr:uid="{00000000-0005-0000-0000-000079170000}"/>
    <cellStyle name="20% - Accent2 3 4 2 3" xfId="13386" xr:uid="{00000000-0005-0000-0000-00007A170000}"/>
    <cellStyle name="20% - Accent2 3 4 2 4" xfId="18862" xr:uid="{00000000-0005-0000-0000-00007B170000}"/>
    <cellStyle name="20% - Accent2 3 4 2 5" xfId="24338" xr:uid="{00000000-0005-0000-0000-00007C170000}"/>
    <cellStyle name="20% - Accent2 3 4 2 6" xfId="28270" xr:uid="{00000000-0005-0000-0000-00007D170000}"/>
    <cellStyle name="20% - Accent2 3 4 2 7" xfId="36134" xr:uid="{00000000-0005-0000-0000-00007E170000}"/>
    <cellStyle name="20% - Accent2 3 4 2 8" xfId="41611" xr:uid="{00000000-0005-0000-0000-00007F170000}"/>
    <cellStyle name="20% - Accent2 3 4 2 9" xfId="47088" xr:uid="{00000000-0005-0000-0000-000080170000}"/>
    <cellStyle name="20% - Accent2 3 4 3" xfId="4202" xr:uid="{00000000-0005-0000-0000-000081170000}"/>
    <cellStyle name="20% - Accent2 3 4 3 10" xfId="54378" xr:uid="{00000000-0005-0000-0000-000082170000}"/>
    <cellStyle name="20% - Accent2 3 4 3 2" xfId="9682" xr:uid="{00000000-0005-0000-0000-000083170000}"/>
    <cellStyle name="20% - Accent2 3 4 3 3" xfId="15158" xr:uid="{00000000-0005-0000-0000-000084170000}"/>
    <cellStyle name="20% - Accent2 3 4 3 4" xfId="20634" xr:uid="{00000000-0005-0000-0000-000085170000}"/>
    <cellStyle name="20% - Accent2 3 4 3 5" xfId="26110" xr:uid="{00000000-0005-0000-0000-000086170000}"/>
    <cellStyle name="20% - Accent2 3 4 3 6" xfId="28272" xr:uid="{00000000-0005-0000-0000-000087170000}"/>
    <cellStyle name="20% - Accent2 3 4 3 7" xfId="37906" xr:uid="{00000000-0005-0000-0000-000088170000}"/>
    <cellStyle name="20% - Accent2 3 4 3 8" xfId="43383" xr:uid="{00000000-0005-0000-0000-000089170000}"/>
    <cellStyle name="20% - Accent2 3 4 3 9" xfId="48860" xr:uid="{00000000-0005-0000-0000-00008A170000}"/>
    <cellStyle name="20% - Accent2 3 4 4" xfId="5801" xr:uid="{00000000-0005-0000-0000-00008B170000}"/>
    <cellStyle name="20% - Accent2 3 4 5" xfId="11281" xr:uid="{00000000-0005-0000-0000-00008C170000}"/>
    <cellStyle name="20% - Accent2 3 4 6" xfId="16757" xr:uid="{00000000-0005-0000-0000-00008D170000}"/>
    <cellStyle name="20% - Accent2 3 4 7" xfId="22233" xr:uid="{00000000-0005-0000-0000-00008E170000}"/>
    <cellStyle name="20% - Accent2 3 4 8" xfId="28269" xr:uid="{00000000-0005-0000-0000-00008F170000}"/>
    <cellStyle name="20% - Accent2 3 4 9" xfId="34028" xr:uid="{00000000-0005-0000-0000-000090170000}"/>
    <cellStyle name="20% - Accent2 3 5" xfId="841" xr:uid="{00000000-0005-0000-0000-000091170000}"/>
    <cellStyle name="20% - Accent2 3 5 10" xfId="39506" xr:uid="{00000000-0005-0000-0000-000092170000}"/>
    <cellStyle name="20% - Accent2 3 5 11" xfId="44983" xr:uid="{00000000-0005-0000-0000-000093170000}"/>
    <cellStyle name="20% - Accent2 3 5 12" xfId="50461" xr:uid="{00000000-0005-0000-0000-000094170000}"/>
    <cellStyle name="20% - Accent2 3 5 2" xfId="2602" xr:uid="{00000000-0005-0000-0000-000095170000}"/>
    <cellStyle name="20% - Accent2 3 5 2 10" xfId="52778" xr:uid="{00000000-0005-0000-0000-000096170000}"/>
    <cellStyle name="20% - Accent2 3 5 2 2" xfId="8082" xr:uid="{00000000-0005-0000-0000-000097170000}"/>
    <cellStyle name="20% - Accent2 3 5 2 2 2" xfId="28275" xr:uid="{00000000-0005-0000-0000-000098170000}"/>
    <cellStyle name="20% - Accent2 3 5 2 3" xfId="13558" xr:uid="{00000000-0005-0000-0000-000099170000}"/>
    <cellStyle name="20% - Accent2 3 5 2 4" xfId="19034" xr:uid="{00000000-0005-0000-0000-00009A170000}"/>
    <cellStyle name="20% - Accent2 3 5 2 5" xfId="24510" xr:uid="{00000000-0005-0000-0000-00009B170000}"/>
    <cellStyle name="20% - Accent2 3 5 2 6" xfId="28274" xr:uid="{00000000-0005-0000-0000-00009C170000}"/>
    <cellStyle name="20% - Accent2 3 5 2 7" xfId="36306" xr:uid="{00000000-0005-0000-0000-00009D170000}"/>
    <cellStyle name="20% - Accent2 3 5 2 8" xfId="41783" xr:uid="{00000000-0005-0000-0000-00009E170000}"/>
    <cellStyle name="20% - Accent2 3 5 2 9" xfId="47260" xr:uid="{00000000-0005-0000-0000-00009F170000}"/>
    <cellStyle name="20% - Accent2 3 5 3" xfId="4374" xr:uid="{00000000-0005-0000-0000-0000A0170000}"/>
    <cellStyle name="20% - Accent2 3 5 3 10" xfId="54550" xr:uid="{00000000-0005-0000-0000-0000A1170000}"/>
    <cellStyle name="20% - Accent2 3 5 3 2" xfId="9854" xr:uid="{00000000-0005-0000-0000-0000A2170000}"/>
    <cellStyle name="20% - Accent2 3 5 3 3" xfId="15330" xr:uid="{00000000-0005-0000-0000-0000A3170000}"/>
    <cellStyle name="20% - Accent2 3 5 3 4" xfId="20806" xr:uid="{00000000-0005-0000-0000-0000A4170000}"/>
    <cellStyle name="20% - Accent2 3 5 3 5" xfId="26282" xr:uid="{00000000-0005-0000-0000-0000A5170000}"/>
    <cellStyle name="20% - Accent2 3 5 3 6" xfId="28276" xr:uid="{00000000-0005-0000-0000-0000A6170000}"/>
    <cellStyle name="20% - Accent2 3 5 3 7" xfId="38078" xr:uid="{00000000-0005-0000-0000-0000A7170000}"/>
    <cellStyle name="20% - Accent2 3 5 3 8" xfId="43555" xr:uid="{00000000-0005-0000-0000-0000A8170000}"/>
    <cellStyle name="20% - Accent2 3 5 3 9" xfId="49032" xr:uid="{00000000-0005-0000-0000-0000A9170000}"/>
    <cellStyle name="20% - Accent2 3 5 4" xfId="5802" xr:uid="{00000000-0005-0000-0000-0000AA170000}"/>
    <cellStyle name="20% - Accent2 3 5 5" xfId="11282" xr:uid="{00000000-0005-0000-0000-0000AB170000}"/>
    <cellStyle name="20% - Accent2 3 5 6" xfId="16758" xr:uid="{00000000-0005-0000-0000-0000AC170000}"/>
    <cellStyle name="20% - Accent2 3 5 7" xfId="22234" xr:uid="{00000000-0005-0000-0000-0000AD170000}"/>
    <cellStyle name="20% - Accent2 3 5 8" xfId="28273" xr:uid="{00000000-0005-0000-0000-0000AE170000}"/>
    <cellStyle name="20% - Accent2 3 5 9" xfId="34029" xr:uid="{00000000-0005-0000-0000-0000AF170000}"/>
    <cellStyle name="20% - Accent2 3 6" xfId="1047" xr:uid="{00000000-0005-0000-0000-0000B0170000}"/>
    <cellStyle name="20% - Accent2 3 6 10" xfId="39507" xr:uid="{00000000-0005-0000-0000-0000B1170000}"/>
    <cellStyle name="20% - Accent2 3 6 11" xfId="44984" xr:uid="{00000000-0005-0000-0000-0000B2170000}"/>
    <cellStyle name="20% - Accent2 3 6 12" xfId="50462" xr:uid="{00000000-0005-0000-0000-0000B3170000}"/>
    <cellStyle name="20% - Accent2 3 6 2" xfId="2808" xr:uid="{00000000-0005-0000-0000-0000B4170000}"/>
    <cellStyle name="20% - Accent2 3 6 2 10" xfId="52984" xr:uid="{00000000-0005-0000-0000-0000B5170000}"/>
    <cellStyle name="20% - Accent2 3 6 2 2" xfId="8288" xr:uid="{00000000-0005-0000-0000-0000B6170000}"/>
    <cellStyle name="20% - Accent2 3 6 2 2 2" xfId="28279" xr:uid="{00000000-0005-0000-0000-0000B7170000}"/>
    <cellStyle name="20% - Accent2 3 6 2 3" xfId="13764" xr:uid="{00000000-0005-0000-0000-0000B8170000}"/>
    <cellStyle name="20% - Accent2 3 6 2 4" xfId="19240" xr:uid="{00000000-0005-0000-0000-0000B9170000}"/>
    <cellStyle name="20% - Accent2 3 6 2 5" xfId="24716" xr:uid="{00000000-0005-0000-0000-0000BA170000}"/>
    <cellStyle name="20% - Accent2 3 6 2 6" xfId="28278" xr:uid="{00000000-0005-0000-0000-0000BB170000}"/>
    <cellStyle name="20% - Accent2 3 6 2 7" xfId="36512" xr:uid="{00000000-0005-0000-0000-0000BC170000}"/>
    <cellStyle name="20% - Accent2 3 6 2 8" xfId="41989" xr:uid="{00000000-0005-0000-0000-0000BD170000}"/>
    <cellStyle name="20% - Accent2 3 6 2 9" xfId="47466" xr:uid="{00000000-0005-0000-0000-0000BE170000}"/>
    <cellStyle name="20% - Accent2 3 6 3" xfId="4580" xr:uid="{00000000-0005-0000-0000-0000BF170000}"/>
    <cellStyle name="20% - Accent2 3 6 3 10" xfId="54756" xr:uid="{00000000-0005-0000-0000-0000C0170000}"/>
    <cellStyle name="20% - Accent2 3 6 3 2" xfId="10060" xr:uid="{00000000-0005-0000-0000-0000C1170000}"/>
    <cellStyle name="20% - Accent2 3 6 3 3" xfId="15536" xr:uid="{00000000-0005-0000-0000-0000C2170000}"/>
    <cellStyle name="20% - Accent2 3 6 3 4" xfId="21012" xr:uid="{00000000-0005-0000-0000-0000C3170000}"/>
    <cellStyle name="20% - Accent2 3 6 3 5" xfId="26488" xr:uid="{00000000-0005-0000-0000-0000C4170000}"/>
    <cellStyle name="20% - Accent2 3 6 3 6" xfId="28280" xr:uid="{00000000-0005-0000-0000-0000C5170000}"/>
    <cellStyle name="20% - Accent2 3 6 3 7" xfId="38284" xr:uid="{00000000-0005-0000-0000-0000C6170000}"/>
    <cellStyle name="20% - Accent2 3 6 3 8" xfId="43761" xr:uid="{00000000-0005-0000-0000-0000C7170000}"/>
    <cellStyle name="20% - Accent2 3 6 3 9" xfId="49238" xr:uid="{00000000-0005-0000-0000-0000C8170000}"/>
    <cellStyle name="20% - Accent2 3 6 4" xfId="5803" xr:uid="{00000000-0005-0000-0000-0000C9170000}"/>
    <cellStyle name="20% - Accent2 3 6 5" xfId="11283" xr:uid="{00000000-0005-0000-0000-0000CA170000}"/>
    <cellStyle name="20% - Accent2 3 6 6" xfId="16759" xr:uid="{00000000-0005-0000-0000-0000CB170000}"/>
    <cellStyle name="20% - Accent2 3 6 7" xfId="22235" xr:uid="{00000000-0005-0000-0000-0000CC170000}"/>
    <cellStyle name="20% - Accent2 3 6 8" xfId="28277" xr:uid="{00000000-0005-0000-0000-0000CD170000}"/>
    <cellStyle name="20% - Accent2 3 6 9" xfId="34030" xr:uid="{00000000-0005-0000-0000-0000CE170000}"/>
    <cellStyle name="20% - Accent2 3 7" xfId="1219" xr:uid="{00000000-0005-0000-0000-0000CF170000}"/>
    <cellStyle name="20% - Accent2 3 7 10" xfId="39508" xr:uid="{00000000-0005-0000-0000-0000D0170000}"/>
    <cellStyle name="20% - Accent2 3 7 11" xfId="44985" xr:uid="{00000000-0005-0000-0000-0000D1170000}"/>
    <cellStyle name="20% - Accent2 3 7 12" xfId="50463" xr:uid="{00000000-0005-0000-0000-0000D2170000}"/>
    <cellStyle name="20% - Accent2 3 7 2" xfId="2980" xr:uid="{00000000-0005-0000-0000-0000D3170000}"/>
    <cellStyle name="20% - Accent2 3 7 2 10" xfId="53156" xr:uid="{00000000-0005-0000-0000-0000D4170000}"/>
    <cellStyle name="20% - Accent2 3 7 2 2" xfId="8460" xr:uid="{00000000-0005-0000-0000-0000D5170000}"/>
    <cellStyle name="20% - Accent2 3 7 2 2 2" xfId="28283" xr:uid="{00000000-0005-0000-0000-0000D6170000}"/>
    <cellStyle name="20% - Accent2 3 7 2 3" xfId="13936" xr:uid="{00000000-0005-0000-0000-0000D7170000}"/>
    <cellStyle name="20% - Accent2 3 7 2 4" xfId="19412" xr:uid="{00000000-0005-0000-0000-0000D8170000}"/>
    <cellStyle name="20% - Accent2 3 7 2 5" xfId="24888" xr:uid="{00000000-0005-0000-0000-0000D9170000}"/>
    <cellStyle name="20% - Accent2 3 7 2 6" xfId="28282" xr:uid="{00000000-0005-0000-0000-0000DA170000}"/>
    <cellStyle name="20% - Accent2 3 7 2 7" xfId="36684" xr:uid="{00000000-0005-0000-0000-0000DB170000}"/>
    <cellStyle name="20% - Accent2 3 7 2 8" xfId="42161" xr:uid="{00000000-0005-0000-0000-0000DC170000}"/>
    <cellStyle name="20% - Accent2 3 7 2 9" xfId="47638" xr:uid="{00000000-0005-0000-0000-0000DD170000}"/>
    <cellStyle name="20% - Accent2 3 7 3" xfId="4752" xr:uid="{00000000-0005-0000-0000-0000DE170000}"/>
    <cellStyle name="20% - Accent2 3 7 3 10" xfId="54928" xr:uid="{00000000-0005-0000-0000-0000DF170000}"/>
    <cellStyle name="20% - Accent2 3 7 3 2" xfId="10232" xr:uid="{00000000-0005-0000-0000-0000E0170000}"/>
    <cellStyle name="20% - Accent2 3 7 3 3" xfId="15708" xr:uid="{00000000-0005-0000-0000-0000E1170000}"/>
    <cellStyle name="20% - Accent2 3 7 3 4" xfId="21184" xr:uid="{00000000-0005-0000-0000-0000E2170000}"/>
    <cellStyle name="20% - Accent2 3 7 3 5" xfId="26660" xr:uid="{00000000-0005-0000-0000-0000E3170000}"/>
    <cellStyle name="20% - Accent2 3 7 3 6" xfId="28284" xr:uid="{00000000-0005-0000-0000-0000E4170000}"/>
    <cellStyle name="20% - Accent2 3 7 3 7" xfId="38456" xr:uid="{00000000-0005-0000-0000-0000E5170000}"/>
    <cellStyle name="20% - Accent2 3 7 3 8" xfId="43933" xr:uid="{00000000-0005-0000-0000-0000E6170000}"/>
    <cellStyle name="20% - Accent2 3 7 3 9" xfId="49410" xr:uid="{00000000-0005-0000-0000-0000E7170000}"/>
    <cellStyle name="20% - Accent2 3 7 4" xfId="5804" xr:uid="{00000000-0005-0000-0000-0000E8170000}"/>
    <cellStyle name="20% - Accent2 3 7 5" xfId="11284" xr:uid="{00000000-0005-0000-0000-0000E9170000}"/>
    <cellStyle name="20% - Accent2 3 7 6" xfId="16760" xr:uid="{00000000-0005-0000-0000-0000EA170000}"/>
    <cellStyle name="20% - Accent2 3 7 7" xfId="22236" xr:uid="{00000000-0005-0000-0000-0000EB170000}"/>
    <cellStyle name="20% - Accent2 3 7 8" xfId="28281" xr:uid="{00000000-0005-0000-0000-0000EC170000}"/>
    <cellStyle name="20% - Accent2 3 7 9" xfId="34031" xr:uid="{00000000-0005-0000-0000-0000ED170000}"/>
    <cellStyle name="20% - Accent2 3 8" xfId="1391" xr:uid="{00000000-0005-0000-0000-0000EE170000}"/>
    <cellStyle name="20% - Accent2 3 8 10" xfId="39509" xr:uid="{00000000-0005-0000-0000-0000EF170000}"/>
    <cellStyle name="20% - Accent2 3 8 11" xfId="44986" xr:uid="{00000000-0005-0000-0000-0000F0170000}"/>
    <cellStyle name="20% - Accent2 3 8 12" xfId="50464" xr:uid="{00000000-0005-0000-0000-0000F1170000}"/>
    <cellStyle name="20% - Accent2 3 8 2" xfId="3152" xr:uid="{00000000-0005-0000-0000-0000F2170000}"/>
    <cellStyle name="20% - Accent2 3 8 2 10" xfId="53328" xr:uid="{00000000-0005-0000-0000-0000F3170000}"/>
    <cellStyle name="20% - Accent2 3 8 2 2" xfId="8632" xr:uid="{00000000-0005-0000-0000-0000F4170000}"/>
    <cellStyle name="20% - Accent2 3 8 2 3" xfId="14108" xr:uid="{00000000-0005-0000-0000-0000F5170000}"/>
    <cellStyle name="20% - Accent2 3 8 2 4" xfId="19584" xr:uid="{00000000-0005-0000-0000-0000F6170000}"/>
    <cellStyle name="20% - Accent2 3 8 2 5" xfId="25060" xr:uid="{00000000-0005-0000-0000-0000F7170000}"/>
    <cellStyle name="20% - Accent2 3 8 2 6" xfId="28286" xr:uid="{00000000-0005-0000-0000-0000F8170000}"/>
    <cellStyle name="20% - Accent2 3 8 2 7" xfId="36856" xr:uid="{00000000-0005-0000-0000-0000F9170000}"/>
    <cellStyle name="20% - Accent2 3 8 2 8" xfId="42333" xr:uid="{00000000-0005-0000-0000-0000FA170000}"/>
    <cellStyle name="20% - Accent2 3 8 2 9" xfId="47810" xr:uid="{00000000-0005-0000-0000-0000FB170000}"/>
    <cellStyle name="20% - Accent2 3 8 3" xfId="4924" xr:uid="{00000000-0005-0000-0000-0000FC170000}"/>
    <cellStyle name="20% - Accent2 3 8 3 2" xfId="10404" xr:uid="{00000000-0005-0000-0000-0000FD170000}"/>
    <cellStyle name="20% - Accent2 3 8 3 3" xfId="15880" xr:uid="{00000000-0005-0000-0000-0000FE170000}"/>
    <cellStyle name="20% - Accent2 3 8 3 4" xfId="21356" xr:uid="{00000000-0005-0000-0000-0000FF170000}"/>
    <cellStyle name="20% - Accent2 3 8 3 5" xfId="26832" xr:uid="{00000000-0005-0000-0000-000000180000}"/>
    <cellStyle name="20% - Accent2 3 8 3 6" xfId="38628" xr:uid="{00000000-0005-0000-0000-000001180000}"/>
    <cellStyle name="20% - Accent2 3 8 3 7" xfId="44105" xr:uid="{00000000-0005-0000-0000-000002180000}"/>
    <cellStyle name="20% - Accent2 3 8 3 8" xfId="49582" xr:uid="{00000000-0005-0000-0000-000003180000}"/>
    <cellStyle name="20% - Accent2 3 8 3 9" xfId="55100" xr:uid="{00000000-0005-0000-0000-000004180000}"/>
    <cellStyle name="20% - Accent2 3 8 4" xfId="5805" xr:uid="{00000000-0005-0000-0000-000005180000}"/>
    <cellStyle name="20% - Accent2 3 8 5" xfId="11285" xr:uid="{00000000-0005-0000-0000-000006180000}"/>
    <cellStyle name="20% - Accent2 3 8 6" xfId="16761" xr:uid="{00000000-0005-0000-0000-000007180000}"/>
    <cellStyle name="20% - Accent2 3 8 7" xfId="22237" xr:uid="{00000000-0005-0000-0000-000008180000}"/>
    <cellStyle name="20% - Accent2 3 8 8" xfId="28285" xr:uid="{00000000-0005-0000-0000-000009180000}"/>
    <cellStyle name="20% - Accent2 3 8 9" xfId="34032" xr:uid="{00000000-0005-0000-0000-00000A180000}"/>
    <cellStyle name="20% - Accent2 3 9" xfId="1563" xr:uid="{00000000-0005-0000-0000-00000B180000}"/>
    <cellStyle name="20% - Accent2 3 9 10" xfId="39510" xr:uid="{00000000-0005-0000-0000-00000C180000}"/>
    <cellStyle name="20% - Accent2 3 9 11" xfId="44987" xr:uid="{00000000-0005-0000-0000-00000D180000}"/>
    <cellStyle name="20% - Accent2 3 9 12" xfId="50465" xr:uid="{00000000-0005-0000-0000-00000E180000}"/>
    <cellStyle name="20% - Accent2 3 9 2" xfId="3324" xr:uid="{00000000-0005-0000-0000-00000F180000}"/>
    <cellStyle name="20% - Accent2 3 9 2 2" xfId="8804" xr:uid="{00000000-0005-0000-0000-000010180000}"/>
    <cellStyle name="20% - Accent2 3 9 2 3" xfId="14280" xr:uid="{00000000-0005-0000-0000-000011180000}"/>
    <cellStyle name="20% - Accent2 3 9 2 4" xfId="19756" xr:uid="{00000000-0005-0000-0000-000012180000}"/>
    <cellStyle name="20% - Accent2 3 9 2 5" xfId="25232" xr:uid="{00000000-0005-0000-0000-000013180000}"/>
    <cellStyle name="20% - Accent2 3 9 2 6" xfId="37028" xr:uid="{00000000-0005-0000-0000-000014180000}"/>
    <cellStyle name="20% - Accent2 3 9 2 7" xfId="42505" xr:uid="{00000000-0005-0000-0000-000015180000}"/>
    <cellStyle name="20% - Accent2 3 9 2 8" xfId="47982" xr:uid="{00000000-0005-0000-0000-000016180000}"/>
    <cellStyle name="20% - Accent2 3 9 2 9" xfId="53500" xr:uid="{00000000-0005-0000-0000-000017180000}"/>
    <cellStyle name="20% - Accent2 3 9 3" xfId="5096" xr:uid="{00000000-0005-0000-0000-000018180000}"/>
    <cellStyle name="20% - Accent2 3 9 3 2" xfId="10576" xr:uid="{00000000-0005-0000-0000-000019180000}"/>
    <cellStyle name="20% - Accent2 3 9 3 3" xfId="16052" xr:uid="{00000000-0005-0000-0000-00001A180000}"/>
    <cellStyle name="20% - Accent2 3 9 3 4" xfId="21528" xr:uid="{00000000-0005-0000-0000-00001B180000}"/>
    <cellStyle name="20% - Accent2 3 9 3 5" xfId="27004" xr:uid="{00000000-0005-0000-0000-00001C180000}"/>
    <cellStyle name="20% - Accent2 3 9 3 6" xfId="38800" xr:uid="{00000000-0005-0000-0000-00001D180000}"/>
    <cellStyle name="20% - Accent2 3 9 3 7" xfId="44277" xr:uid="{00000000-0005-0000-0000-00001E180000}"/>
    <cellStyle name="20% - Accent2 3 9 3 8" xfId="49754" xr:uid="{00000000-0005-0000-0000-00001F180000}"/>
    <cellStyle name="20% - Accent2 3 9 3 9" xfId="55272" xr:uid="{00000000-0005-0000-0000-000020180000}"/>
    <cellStyle name="20% - Accent2 3 9 4" xfId="5806" xr:uid="{00000000-0005-0000-0000-000021180000}"/>
    <cellStyle name="20% - Accent2 3 9 5" xfId="11286" xr:uid="{00000000-0005-0000-0000-000022180000}"/>
    <cellStyle name="20% - Accent2 3 9 6" xfId="16762" xr:uid="{00000000-0005-0000-0000-000023180000}"/>
    <cellStyle name="20% - Accent2 3 9 7" xfId="22238" xr:uid="{00000000-0005-0000-0000-000024180000}"/>
    <cellStyle name="20% - Accent2 3 9 8" xfId="28287" xr:uid="{00000000-0005-0000-0000-000025180000}"/>
    <cellStyle name="20% - Accent2 3 9 9" xfId="34033" xr:uid="{00000000-0005-0000-0000-000026180000}"/>
    <cellStyle name="20% - Accent2 4" xfId="297" xr:uid="{00000000-0005-0000-0000-000027180000}"/>
    <cellStyle name="20% - Accent2 4 10" xfId="1926" xr:uid="{00000000-0005-0000-0000-000028180000}"/>
    <cellStyle name="20% - Accent2 4 10 10" xfId="52103" xr:uid="{00000000-0005-0000-0000-000029180000}"/>
    <cellStyle name="20% - Accent2 4 10 2" xfId="5458" xr:uid="{00000000-0005-0000-0000-00002A180000}"/>
    <cellStyle name="20% - Accent2 4 10 2 2" xfId="10938" xr:uid="{00000000-0005-0000-0000-00002B180000}"/>
    <cellStyle name="20% - Accent2 4 10 2 3" xfId="16414" xr:uid="{00000000-0005-0000-0000-00002C180000}"/>
    <cellStyle name="20% - Accent2 4 10 2 4" xfId="21890" xr:uid="{00000000-0005-0000-0000-00002D180000}"/>
    <cellStyle name="20% - Accent2 4 10 2 5" xfId="27366" xr:uid="{00000000-0005-0000-0000-00002E180000}"/>
    <cellStyle name="20% - Accent2 4 10 2 6" xfId="39162" xr:uid="{00000000-0005-0000-0000-00002F180000}"/>
    <cellStyle name="20% - Accent2 4 10 2 7" xfId="44639" xr:uid="{00000000-0005-0000-0000-000030180000}"/>
    <cellStyle name="20% - Accent2 4 10 2 8" xfId="50116" xr:uid="{00000000-0005-0000-0000-000031180000}"/>
    <cellStyle name="20% - Accent2 4 10 2 9" xfId="55634" xr:uid="{00000000-0005-0000-0000-000032180000}"/>
    <cellStyle name="20% - Accent2 4 10 3" xfId="7407" xr:uid="{00000000-0005-0000-0000-000033180000}"/>
    <cellStyle name="20% - Accent2 4 10 4" xfId="12883" xr:uid="{00000000-0005-0000-0000-000034180000}"/>
    <cellStyle name="20% - Accent2 4 10 5" xfId="18359" xr:uid="{00000000-0005-0000-0000-000035180000}"/>
    <cellStyle name="20% - Accent2 4 10 6" xfId="23835" xr:uid="{00000000-0005-0000-0000-000036180000}"/>
    <cellStyle name="20% - Accent2 4 10 7" xfId="35631" xr:uid="{00000000-0005-0000-0000-000037180000}"/>
    <cellStyle name="20% - Accent2 4 10 8" xfId="41108" xr:uid="{00000000-0005-0000-0000-000038180000}"/>
    <cellStyle name="20% - Accent2 4 10 9" xfId="46585" xr:uid="{00000000-0005-0000-0000-000039180000}"/>
    <cellStyle name="20% - Accent2 4 11" xfId="3859" xr:uid="{00000000-0005-0000-0000-00003A180000}"/>
    <cellStyle name="20% - Accent2 4 11 2" xfId="9339" xr:uid="{00000000-0005-0000-0000-00003B180000}"/>
    <cellStyle name="20% - Accent2 4 11 3" xfId="14815" xr:uid="{00000000-0005-0000-0000-00003C180000}"/>
    <cellStyle name="20% - Accent2 4 11 4" xfId="20291" xr:uid="{00000000-0005-0000-0000-00003D180000}"/>
    <cellStyle name="20% - Accent2 4 11 5" xfId="25767" xr:uid="{00000000-0005-0000-0000-00003E180000}"/>
    <cellStyle name="20% - Accent2 4 11 6" xfId="37563" xr:uid="{00000000-0005-0000-0000-00003F180000}"/>
    <cellStyle name="20% - Accent2 4 11 7" xfId="43040" xr:uid="{00000000-0005-0000-0000-000040180000}"/>
    <cellStyle name="20% - Accent2 4 11 8" xfId="48517" xr:uid="{00000000-0005-0000-0000-000041180000}"/>
    <cellStyle name="20% - Accent2 4 11 9" xfId="54035" xr:uid="{00000000-0005-0000-0000-000042180000}"/>
    <cellStyle name="20% - Accent2 4 12" xfId="5807" xr:uid="{00000000-0005-0000-0000-000043180000}"/>
    <cellStyle name="20% - Accent2 4 13" xfId="11287" xr:uid="{00000000-0005-0000-0000-000044180000}"/>
    <cellStyle name="20% - Accent2 4 14" xfId="16763" xr:uid="{00000000-0005-0000-0000-000045180000}"/>
    <cellStyle name="20% - Accent2 4 15" xfId="22239" xr:uid="{00000000-0005-0000-0000-000046180000}"/>
    <cellStyle name="20% - Accent2 4 16" xfId="28288" xr:uid="{00000000-0005-0000-0000-000047180000}"/>
    <cellStyle name="20% - Accent2 4 17" xfId="34034" xr:uid="{00000000-0005-0000-0000-000048180000}"/>
    <cellStyle name="20% - Accent2 4 18" xfId="39511" xr:uid="{00000000-0005-0000-0000-000049180000}"/>
    <cellStyle name="20% - Accent2 4 19" xfId="44988" xr:uid="{00000000-0005-0000-0000-00004A180000}"/>
    <cellStyle name="20% - Accent2 4 2" xfId="498" xr:uid="{00000000-0005-0000-0000-00004B180000}"/>
    <cellStyle name="20% - Accent2 4 2 10" xfId="39512" xr:uid="{00000000-0005-0000-0000-00004C180000}"/>
    <cellStyle name="20% - Accent2 4 2 11" xfId="44989" xr:uid="{00000000-0005-0000-0000-00004D180000}"/>
    <cellStyle name="20% - Accent2 4 2 12" xfId="50467" xr:uid="{00000000-0005-0000-0000-00004E180000}"/>
    <cellStyle name="20% - Accent2 4 2 2" xfId="2259" xr:uid="{00000000-0005-0000-0000-00004F180000}"/>
    <cellStyle name="20% - Accent2 4 2 2 10" xfId="52435" xr:uid="{00000000-0005-0000-0000-000050180000}"/>
    <cellStyle name="20% - Accent2 4 2 2 2" xfId="7739" xr:uid="{00000000-0005-0000-0000-000051180000}"/>
    <cellStyle name="20% - Accent2 4 2 2 2 2" xfId="28291" xr:uid="{00000000-0005-0000-0000-000052180000}"/>
    <cellStyle name="20% - Accent2 4 2 2 3" xfId="13215" xr:uid="{00000000-0005-0000-0000-000053180000}"/>
    <cellStyle name="20% - Accent2 4 2 2 4" xfId="18691" xr:uid="{00000000-0005-0000-0000-000054180000}"/>
    <cellStyle name="20% - Accent2 4 2 2 5" xfId="24167" xr:uid="{00000000-0005-0000-0000-000055180000}"/>
    <cellStyle name="20% - Accent2 4 2 2 6" xfId="28290" xr:uid="{00000000-0005-0000-0000-000056180000}"/>
    <cellStyle name="20% - Accent2 4 2 2 7" xfId="35963" xr:uid="{00000000-0005-0000-0000-000057180000}"/>
    <cellStyle name="20% - Accent2 4 2 2 8" xfId="41440" xr:uid="{00000000-0005-0000-0000-000058180000}"/>
    <cellStyle name="20% - Accent2 4 2 2 9" xfId="46917" xr:uid="{00000000-0005-0000-0000-000059180000}"/>
    <cellStyle name="20% - Accent2 4 2 3" xfId="4031" xr:uid="{00000000-0005-0000-0000-00005A180000}"/>
    <cellStyle name="20% - Accent2 4 2 3 10" xfId="54207" xr:uid="{00000000-0005-0000-0000-00005B180000}"/>
    <cellStyle name="20% - Accent2 4 2 3 2" xfId="9511" xr:uid="{00000000-0005-0000-0000-00005C180000}"/>
    <cellStyle name="20% - Accent2 4 2 3 3" xfId="14987" xr:uid="{00000000-0005-0000-0000-00005D180000}"/>
    <cellStyle name="20% - Accent2 4 2 3 4" xfId="20463" xr:uid="{00000000-0005-0000-0000-00005E180000}"/>
    <cellStyle name="20% - Accent2 4 2 3 5" xfId="25939" xr:uid="{00000000-0005-0000-0000-00005F180000}"/>
    <cellStyle name="20% - Accent2 4 2 3 6" xfId="28292" xr:uid="{00000000-0005-0000-0000-000060180000}"/>
    <cellStyle name="20% - Accent2 4 2 3 7" xfId="37735" xr:uid="{00000000-0005-0000-0000-000061180000}"/>
    <cellStyle name="20% - Accent2 4 2 3 8" xfId="43212" xr:uid="{00000000-0005-0000-0000-000062180000}"/>
    <cellStyle name="20% - Accent2 4 2 3 9" xfId="48689" xr:uid="{00000000-0005-0000-0000-000063180000}"/>
    <cellStyle name="20% - Accent2 4 2 4" xfId="5808" xr:uid="{00000000-0005-0000-0000-000064180000}"/>
    <cellStyle name="20% - Accent2 4 2 5" xfId="11288" xr:uid="{00000000-0005-0000-0000-000065180000}"/>
    <cellStyle name="20% - Accent2 4 2 6" xfId="16764" xr:uid="{00000000-0005-0000-0000-000066180000}"/>
    <cellStyle name="20% - Accent2 4 2 7" xfId="22240" xr:uid="{00000000-0005-0000-0000-000067180000}"/>
    <cellStyle name="20% - Accent2 4 2 8" xfId="28289" xr:uid="{00000000-0005-0000-0000-000068180000}"/>
    <cellStyle name="20% - Accent2 4 2 9" xfId="34035" xr:uid="{00000000-0005-0000-0000-000069180000}"/>
    <cellStyle name="20% - Accent2 4 20" xfId="50466" xr:uid="{00000000-0005-0000-0000-00006A180000}"/>
    <cellStyle name="20% - Accent2 4 3" xfId="670" xr:uid="{00000000-0005-0000-0000-00006B180000}"/>
    <cellStyle name="20% - Accent2 4 3 10" xfId="39513" xr:uid="{00000000-0005-0000-0000-00006C180000}"/>
    <cellStyle name="20% - Accent2 4 3 11" xfId="44990" xr:uid="{00000000-0005-0000-0000-00006D180000}"/>
    <cellStyle name="20% - Accent2 4 3 12" xfId="50468" xr:uid="{00000000-0005-0000-0000-00006E180000}"/>
    <cellStyle name="20% - Accent2 4 3 2" xfId="2431" xr:uid="{00000000-0005-0000-0000-00006F180000}"/>
    <cellStyle name="20% - Accent2 4 3 2 10" xfId="52607" xr:uid="{00000000-0005-0000-0000-000070180000}"/>
    <cellStyle name="20% - Accent2 4 3 2 2" xfId="7911" xr:uid="{00000000-0005-0000-0000-000071180000}"/>
    <cellStyle name="20% - Accent2 4 3 2 2 2" xfId="28295" xr:uid="{00000000-0005-0000-0000-000072180000}"/>
    <cellStyle name="20% - Accent2 4 3 2 3" xfId="13387" xr:uid="{00000000-0005-0000-0000-000073180000}"/>
    <cellStyle name="20% - Accent2 4 3 2 4" xfId="18863" xr:uid="{00000000-0005-0000-0000-000074180000}"/>
    <cellStyle name="20% - Accent2 4 3 2 5" xfId="24339" xr:uid="{00000000-0005-0000-0000-000075180000}"/>
    <cellStyle name="20% - Accent2 4 3 2 6" xfId="28294" xr:uid="{00000000-0005-0000-0000-000076180000}"/>
    <cellStyle name="20% - Accent2 4 3 2 7" xfId="36135" xr:uid="{00000000-0005-0000-0000-000077180000}"/>
    <cellStyle name="20% - Accent2 4 3 2 8" xfId="41612" xr:uid="{00000000-0005-0000-0000-000078180000}"/>
    <cellStyle name="20% - Accent2 4 3 2 9" xfId="47089" xr:uid="{00000000-0005-0000-0000-000079180000}"/>
    <cellStyle name="20% - Accent2 4 3 3" xfId="4203" xr:uid="{00000000-0005-0000-0000-00007A180000}"/>
    <cellStyle name="20% - Accent2 4 3 3 10" xfId="54379" xr:uid="{00000000-0005-0000-0000-00007B180000}"/>
    <cellStyle name="20% - Accent2 4 3 3 2" xfId="9683" xr:uid="{00000000-0005-0000-0000-00007C180000}"/>
    <cellStyle name="20% - Accent2 4 3 3 3" xfId="15159" xr:uid="{00000000-0005-0000-0000-00007D180000}"/>
    <cellStyle name="20% - Accent2 4 3 3 4" xfId="20635" xr:uid="{00000000-0005-0000-0000-00007E180000}"/>
    <cellStyle name="20% - Accent2 4 3 3 5" xfId="26111" xr:uid="{00000000-0005-0000-0000-00007F180000}"/>
    <cellStyle name="20% - Accent2 4 3 3 6" xfId="28296" xr:uid="{00000000-0005-0000-0000-000080180000}"/>
    <cellStyle name="20% - Accent2 4 3 3 7" xfId="37907" xr:uid="{00000000-0005-0000-0000-000081180000}"/>
    <cellStyle name="20% - Accent2 4 3 3 8" xfId="43384" xr:uid="{00000000-0005-0000-0000-000082180000}"/>
    <cellStyle name="20% - Accent2 4 3 3 9" xfId="48861" xr:uid="{00000000-0005-0000-0000-000083180000}"/>
    <cellStyle name="20% - Accent2 4 3 4" xfId="5809" xr:uid="{00000000-0005-0000-0000-000084180000}"/>
    <cellStyle name="20% - Accent2 4 3 5" xfId="11289" xr:uid="{00000000-0005-0000-0000-000085180000}"/>
    <cellStyle name="20% - Accent2 4 3 6" xfId="16765" xr:uid="{00000000-0005-0000-0000-000086180000}"/>
    <cellStyle name="20% - Accent2 4 3 7" xfId="22241" xr:uid="{00000000-0005-0000-0000-000087180000}"/>
    <cellStyle name="20% - Accent2 4 3 8" xfId="28293" xr:uid="{00000000-0005-0000-0000-000088180000}"/>
    <cellStyle name="20% - Accent2 4 3 9" xfId="34036" xr:uid="{00000000-0005-0000-0000-000089180000}"/>
    <cellStyle name="20% - Accent2 4 4" xfId="842" xr:uid="{00000000-0005-0000-0000-00008A180000}"/>
    <cellStyle name="20% - Accent2 4 4 10" xfId="39514" xr:uid="{00000000-0005-0000-0000-00008B180000}"/>
    <cellStyle name="20% - Accent2 4 4 11" xfId="44991" xr:uid="{00000000-0005-0000-0000-00008C180000}"/>
    <cellStyle name="20% - Accent2 4 4 12" xfId="50469" xr:uid="{00000000-0005-0000-0000-00008D180000}"/>
    <cellStyle name="20% - Accent2 4 4 2" xfId="2603" xr:uid="{00000000-0005-0000-0000-00008E180000}"/>
    <cellStyle name="20% - Accent2 4 4 2 10" xfId="52779" xr:uid="{00000000-0005-0000-0000-00008F180000}"/>
    <cellStyle name="20% - Accent2 4 4 2 2" xfId="8083" xr:uid="{00000000-0005-0000-0000-000090180000}"/>
    <cellStyle name="20% - Accent2 4 4 2 2 2" xfId="28299" xr:uid="{00000000-0005-0000-0000-000091180000}"/>
    <cellStyle name="20% - Accent2 4 4 2 3" xfId="13559" xr:uid="{00000000-0005-0000-0000-000092180000}"/>
    <cellStyle name="20% - Accent2 4 4 2 4" xfId="19035" xr:uid="{00000000-0005-0000-0000-000093180000}"/>
    <cellStyle name="20% - Accent2 4 4 2 5" xfId="24511" xr:uid="{00000000-0005-0000-0000-000094180000}"/>
    <cellStyle name="20% - Accent2 4 4 2 6" xfId="28298" xr:uid="{00000000-0005-0000-0000-000095180000}"/>
    <cellStyle name="20% - Accent2 4 4 2 7" xfId="36307" xr:uid="{00000000-0005-0000-0000-000096180000}"/>
    <cellStyle name="20% - Accent2 4 4 2 8" xfId="41784" xr:uid="{00000000-0005-0000-0000-000097180000}"/>
    <cellStyle name="20% - Accent2 4 4 2 9" xfId="47261" xr:uid="{00000000-0005-0000-0000-000098180000}"/>
    <cellStyle name="20% - Accent2 4 4 3" xfId="4375" xr:uid="{00000000-0005-0000-0000-000099180000}"/>
    <cellStyle name="20% - Accent2 4 4 3 10" xfId="54551" xr:uid="{00000000-0005-0000-0000-00009A180000}"/>
    <cellStyle name="20% - Accent2 4 4 3 2" xfId="9855" xr:uid="{00000000-0005-0000-0000-00009B180000}"/>
    <cellStyle name="20% - Accent2 4 4 3 3" xfId="15331" xr:uid="{00000000-0005-0000-0000-00009C180000}"/>
    <cellStyle name="20% - Accent2 4 4 3 4" xfId="20807" xr:uid="{00000000-0005-0000-0000-00009D180000}"/>
    <cellStyle name="20% - Accent2 4 4 3 5" xfId="26283" xr:uid="{00000000-0005-0000-0000-00009E180000}"/>
    <cellStyle name="20% - Accent2 4 4 3 6" xfId="28300" xr:uid="{00000000-0005-0000-0000-00009F180000}"/>
    <cellStyle name="20% - Accent2 4 4 3 7" xfId="38079" xr:uid="{00000000-0005-0000-0000-0000A0180000}"/>
    <cellStyle name="20% - Accent2 4 4 3 8" xfId="43556" xr:uid="{00000000-0005-0000-0000-0000A1180000}"/>
    <cellStyle name="20% - Accent2 4 4 3 9" xfId="49033" xr:uid="{00000000-0005-0000-0000-0000A2180000}"/>
    <cellStyle name="20% - Accent2 4 4 4" xfId="5810" xr:uid="{00000000-0005-0000-0000-0000A3180000}"/>
    <cellStyle name="20% - Accent2 4 4 5" xfId="11290" xr:uid="{00000000-0005-0000-0000-0000A4180000}"/>
    <cellStyle name="20% - Accent2 4 4 6" xfId="16766" xr:uid="{00000000-0005-0000-0000-0000A5180000}"/>
    <cellStyle name="20% - Accent2 4 4 7" xfId="22242" xr:uid="{00000000-0005-0000-0000-0000A6180000}"/>
    <cellStyle name="20% - Accent2 4 4 8" xfId="28297" xr:uid="{00000000-0005-0000-0000-0000A7180000}"/>
    <cellStyle name="20% - Accent2 4 4 9" xfId="34037" xr:uid="{00000000-0005-0000-0000-0000A8180000}"/>
    <cellStyle name="20% - Accent2 4 5" xfId="1048" xr:uid="{00000000-0005-0000-0000-0000A9180000}"/>
    <cellStyle name="20% - Accent2 4 5 10" xfId="39515" xr:uid="{00000000-0005-0000-0000-0000AA180000}"/>
    <cellStyle name="20% - Accent2 4 5 11" xfId="44992" xr:uid="{00000000-0005-0000-0000-0000AB180000}"/>
    <cellStyle name="20% - Accent2 4 5 12" xfId="50470" xr:uid="{00000000-0005-0000-0000-0000AC180000}"/>
    <cellStyle name="20% - Accent2 4 5 2" xfId="2809" xr:uid="{00000000-0005-0000-0000-0000AD180000}"/>
    <cellStyle name="20% - Accent2 4 5 2 10" xfId="52985" xr:uid="{00000000-0005-0000-0000-0000AE180000}"/>
    <cellStyle name="20% - Accent2 4 5 2 2" xfId="8289" xr:uid="{00000000-0005-0000-0000-0000AF180000}"/>
    <cellStyle name="20% - Accent2 4 5 2 2 2" xfId="28303" xr:uid="{00000000-0005-0000-0000-0000B0180000}"/>
    <cellStyle name="20% - Accent2 4 5 2 3" xfId="13765" xr:uid="{00000000-0005-0000-0000-0000B1180000}"/>
    <cellStyle name="20% - Accent2 4 5 2 4" xfId="19241" xr:uid="{00000000-0005-0000-0000-0000B2180000}"/>
    <cellStyle name="20% - Accent2 4 5 2 5" xfId="24717" xr:uid="{00000000-0005-0000-0000-0000B3180000}"/>
    <cellStyle name="20% - Accent2 4 5 2 6" xfId="28302" xr:uid="{00000000-0005-0000-0000-0000B4180000}"/>
    <cellStyle name="20% - Accent2 4 5 2 7" xfId="36513" xr:uid="{00000000-0005-0000-0000-0000B5180000}"/>
    <cellStyle name="20% - Accent2 4 5 2 8" xfId="41990" xr:uid="{00000000-0005-0000-0000-0000B6180000}"/>
    <cellStyle name="20% - Accent2 4 5 2 9" xfId="47467" xr:uid="{00000000-0005-0000-0000-0000B7180000}"/>
    <cellStyle name="20% - Accent2 4 5 3" xfId="4581" xr:uid="{00000000-0005-0000-0000-0000B8180000}"/>
    <cellStyle name="20% - Accent2 4 5 3 10" xfId="54757" xr:uid="{00000000-0005-0000-0000-0000B9180000}"/>
    <cellStyle name="20% - Accent2 4 5 3 2" xfId="10061" xr:uid="{00000000-0005-0000-0000-0000BA180000}"/>
    <cellStyle name="20% - Accent2 4 5 3 3" xfId="15537" xr:uid="{00000000-0005-0000-0000-0000BB180000}"/>
    <cellStyle name="20% - Accent2 4 5 3 4" xfId="21013" xr:uid="{00000000-0005-0000-0000-0000BC180000}"/>
    <cellStyle name="20% - Accent2 4 5 3 5" xfId="26489" xr:uid="{00000000-0005-0000-0000-0000BD180000}"/>
    <cellStyle name="20% - Accent2 4 5 3 6" xfId="28304" xr:uid="{00000000-0005-0000-0000-0000BE180000}"/>
    <cellStyle name="20% - Accent2 4 5 3 7" xfId="38285" xr:uid="{00000000-0005-0000-0000-0000BF180000}"/>
    <cellStyle name="20% - Accent2 4 5 3 8" xfId="43762" xr:uid="{00000000-0005-0000-0000-0000C0180000}"/>
    <cellStyle name="20% - Accent2 4 5 3 9" xfId="49239" xr:uid="{00000000-0005-0000-0000-0000C1180000}"/>
    <cellStyle name="20% - Accent2 4 5 4" xfId="5811" xr:uid="{00000000-0005-0000-0000-0000C2180000}"/>
    <cellStyle name="20% - Accent2 4 5 5" xfId="11291" xr:uid="{00000000-0005-0000-0000-0000C3180000}"/>
    <cellStyle name="20% - Accent2 4 5 6" xfId="16767" xr:uid="{00000000-0005-0000-0000-0000C4180000}"/>
    <cellStyle name="20% - Accent2 4 5 7" xfId="22243" xr:uid="{00000000-0005-0000-0000-0000C5180000}"/>
    <cellStyle name="20% - Accent2 4 5 8" xfId="28301" xr:uid="{00000000-0005-0000-0000-0000C6180000}"/>
    <cellStyle name="20% - Accent2 4 5 9" xfId="34038" xr:uid="{00000000-0005-0000-0000-0000C7180000}"/>
    <cellStyle name="20% - Accent2 4 6" xfId="1220" xr:uid="{00000000-0005-0000-0000-0000C8180000}"/>
    <cellStyle name="20% - Accent2 4 6 10" xfId="39516" xr:uid="{00000000-0005-0000-0000-0000C9180000}"/>
    <cellStyle name="20% - Accent2 4 6 11" xfId="44993" xr:uid="{00000000-0005-0000-0000-0000CA180000}"/>
    <cellStyle name="20% - Accent2 4 6 12" xfId="50471" xr:uid="{00000000-0005-0000-0000-0000CB180000}"/>
    <cellStyle name="20% - Accent2 4 6 2" xfId="2981" xr:uid="{00000000-0005-0000-0000-0000CC180000}"/>
    <cellStyle name="20% - Accent2 4 6 2 10" xfId="53157" xr:uid="{00000000-0005-0000-0000-0000CD180000}"/>
    <cellStyle name="20% - Accent2 4 6 2 2" xfId="8461" xr:uid="{00000000-0005-0000-0000-0000CE180000}"/>
    <cellStyle name="20% - Accent2 4 6 2 2 2" xfId="28307" xr:uid="{00000000-0005-0000-0000-0000CF180000}"/>
    <cellStyle name="20% - Accent2 4 6 2 3" xfId="13937" xr:uid="{00000000-0005-0000-0000-0000D0180000}"/>
    <cellStyle name="20% - Accent2 4 6 2 4" xfId="19413" xr:uid="{00000000-0005-0000-0000-0000D1180000}"/>
    <cellStyle name="20% - Accent2 4 6 2 5" xfId="24889" xr:uid="{00000000-0005-0000-0000-0000D2180000}"/>
    <cellStyle name="20% - Accent2 4 6 2 6" xfId="28306" xr:uid="{00000000-0005-0000-0000-0000D3180000}"/>
    <cellStyle name="20% - Accent2 4 6 2 7" xfId="36685" xr:uid="{00000000-0005-0000-0000-0000D4180000}"/>
    <cellStyle name="20% - Accent2 4 6 2 8" xfId="42162" xr:uid="{00000000-0005-0000-0000-0000D5180000}"/>
    <cellStyle name="20% - Accent2 4 6 2 9" xfId="47639" xr:uid="{00000000-0005-0000-0000-0000D6180000}"/>
    <cellStyle name="20% - Accent2 4 6 3" xfId="4753" xr:uid="{00000000-0005-0000-0000-0000D7180000}"/>
    <cellStyle name="20% - Accent2 4 6 3 10" xfId="54929" xr:uid="{00000000-0005-0000-0000-0000D8180000}"/>
    <cellStyle name="20% - Accent2 4 6 3 2" xfId="10233" xr:uid="{00000000-0005-0000-0000-0000D9180000}"/>
    <cellStyle name="20% - Accent2 4 6 3 3" xfId="15709" xr:uid="{00000000-0005-0000-0000-0000DA180000}"/>
    <cellStyle name="20% - Accent2 4 6 3 4" xfId="21185" xr:uid="{00000000-0005-0000-0000-0000DB180000}"/>
    <cellStyle name="20% - Accent2 4 6 3 5" xfId="26661" xr:uid="{00000000-0005-0000-0000-0000DC180000}"/>
    <cellStyle name="20% - Accent2 4 6 3 6" xfId="28308" xr:uid="{00000000-0005-0000-0000-0000DD180000}"/>
    <cellStyle name="20% - Accent2 4 6 3 7" xfId="38457" xr:uid="{00000000-0005-0000-0000-0000DE180000}"/>
    <cellStyle name="20% - Accent2 4 6 3 8" xfId="43934" xr:uid="{00000000-0005-0000-0000-0000DF180000}"/>
    <cellStyle name="20% - Accent2 4 6 3 9" xfId="49411" xr:uid="{00000000-0005-0000-0000-0000E0180000}"/>
    <cellStyle name="20% - Accent2 4 6 4" xfId="5812" xr:uid="{00000000-0005-0000-0000-0000E1180000}"/>
    <cellStyle name="20% - Accent2 4 6 5" xfId="11292" xr:uid="{00000000-0005-0000-0000-0000E2180000}"/>
    <cellStyle name="20% - Accent2 4 6 6" xfId="16768" xr:uid="{00000000-0005-0000-0000-0000E3180000}"/>
    <cellStyle name="20% - Accent2 4 6 7" xfId="22244" xr:uid="{00000000-0005-0000-0000-0000E4180000}"/>
    <cellStyle name="20% - Accent2 4 6 8" xfId="28305" xr:uid="{00000000-0005-0000-0000-0000E5180000}"/>
    <cellStyle name="20% - Accent2 4 6 9" xfId="34039" xr:uid="{00000000-0005-0000-0000-0000E6180000}"/>
    <cellStyle name="20% - Accent2 4 7" xfId="1392" xr:uid="{00000000-0005-0000-0000-0000E7180000}"/>
    <cellStyle name="20% - Accent2 4 7 10" xfId="39517" xr:uid="{00000000-0005-0000-0000-0000E8180000}"/>
    <cellStyle name="20% - Accent2 4 7 11" xfId="44994" xr:uid="{00000000-0005-0000-0000-0000E9180000}"/>
    <cellStyle name="20% - Accent2 4 7 12" xfId="50472" xr:uid="{00000000-0005-0000-0000-0000EA180000}"/>
    <cellStyle name="20% - Accent2 4 7 2" xfId="3153" xr:uid="{00000000-0005-0000-0000-0000EB180000}"/>
    <cellStyle name="20% - Accent2 4 7 2 10" xfId="53329" xr:uid="{00000000-0005-0000-0000-0000EC180000}"/>
    <cellStyle name="20% - Accent2 4 7 2 2" xfId="8633" xr:uid="{00000000-0005-0000-0000-0000ED180000}"/>
    <cellStyle name="20% - Accent2 4 7 2 2 2" xfId="28311" xr:uid="{00000000-0005-0000-0000-0000EE180000}"/>
    <cellStyle name="20% - Accent2 4 7 2 3" xfId="14109" xr:uid="{00000000-0005-0000-0000-0000EF180000}"/>
    <cellStyle name="20% - Accent2 4 7 2 4" xfId="19585" xr:uid="{00000000-0005-0000-0000-0000F0180000}"/>
    <cellStyle name="20% - Accent2 4 7 2 5" xfId="25061" xr:uid="{00000000-0005-0000-0000-0000F1180000}"/>
    <cellStyle name="20% - Accent2 4 7 2 6" xfId="28310" xr:uid="{00000000-0005-0000-0000-0000F2180000}"/>
    <cellStyle name="20% - Accent2 4 7 2 7" xfId="36857" xr:uid="{00000000-0005-0000-0000-0000F3180000}"/>
    <cellStyle name="20% - Accent2 4 7 2 8" xfId="42334" xr:uid="{00000000-0005-0000-0000-0000F4180000}"/>
    <cellStyle name="20% - Accent2 4 7 2 9" xfId="47811" xr:uid="{00000000-0005-0000-0000-0000F5180000}"/>
    <cellStyle name="20% - Accent2 4 7 3" xfId="4925" xr:uid="{00000000-0005-0000-0000-0000F6180000}"/>
    <cellStyle name="20% - Accent2 4 7 3 10" xfId="55101" xr:uid="{00000000-0005-0000-0000-0000F7180000}"/>
    <cellStyle name="20% - Accent2 4 7 3 2" xfId="10405" xr:uid="{00000000-0005-0000-0000-0000F8180000}"/>
    <cellStyle name="20% - Accent2 4 7 3 3" xfId="15881" xr:uid="{00000000-0005-0000-0000-0000F9180000}"/>
    <cellStyle name="20% - Accent2 4 7 3 4" xfId="21357" xr:uid="{00000000-0005-0000-0000-0000FA180000}"/>
    <cellStyle name="20% - Accent2 4 7 3 5" xfId="26833" xr:uid="{00000000-0005-0000-0000-0000FB180000}"/>
    <cellStyle name="20% - Accent2 4 7 3 6" xfId="28312" xr:uid="{00000000-0005-0000-0000-0000FC180000}"/>
    <cellStyle name="20% - Accent2 4 7 3 7" xfId="38629" xr:uid="{00000000-0005-0000-0000-0000FD180000}"/>
    <cellStyle name="20% - Accent2 4 7 3 8" xfId="44106" xr:uid="{00000000-0005-0000-0000-0000FE180000}"/>
    <cellStyle name="20% - Accent2 4 7 3 9" xfId="49583" xr:uid="{00000000-0005-0000-0000-0000FF180000}"/>
    <cellStyle name="20% - Accent2 4 7 4" xfId="5813" xr:uid="{00000000-0005-0000-0000-000000190000}"/>
    <cellStyle name="20% - Accent2 4 7 5" xfId="11293" xr:uid="{00000000-0005-0000-0000-000001190000}"/>
    <cellStyle name="20% - Accent2 4 7 6" xfId="16769" xr:uid="{00000000-0005-0000-0000-000002190000}"/>
    <cellStyle name="20% - Accent2 4 7 7" xfId="22245" xr:uid="{00000000-0005-0000-0000-000003190000}"/>
    <cellStyle name="20% - Accent2 4 7 8" xfId="28309" xr:uid="{00000000-0005-0000-0000-000004190000}"/>
    <cellStyle name="20% - Accent2 4 7 9" xfId="34040" xr:uid="{00000000-0005-0000-0000-000005190000}"/>
    <cellStyle name="20% - Accent2 4 8" xfId="1564" xr:uid="{00000000-0005-0000-0000-000006190000}"/>
    <cellStyle name="20% - Accent2 4 8 10" xfId="39518" xr:uid="{00000000-0005-0000-0000-000007190000}"/>
    <cellStyle name="20% - Accent2 4 8 11" xfId="44995" xr:uid="{00000000-0005-0000-0000-000008190000}"/>
    <cellStyle name="20% - Accent2 4 8 12" xfId="50473" xr:uid="{00000000-0005-0000-0000-000009190000}"/>
    <cellStyle name="20% - Accent2 4 8 2" xfId="3325" xr:uid="{00000000-0005-0000-0000-00000A190000}"/>
    <cellStyle name="20% - Accent2 4 8 2 10" xfId="53501" xr:uid="{00000000-0005-0000-0000-00000B190000}"/>
    <cellStyle name="20% - Accent2 4 8 2 2" xfId="8805" xr:uid="{00000000-0005-0000-0000-00000C190000}"/>
    <cellStyle name="20% - Accent2 4 8 2 3" xfId="14281" xr:uid="{00000000-0005-0000-0000-00000D190000}"/>
    <cellStyle name="20% - Accent2 4 8 2 4" xfId="19757" xr:uid="{00000000-0005-0000-0000-00000E190000}"/>
    <cellStyle name="20% - Accent2 4 8 2 5" xfId="25233" xr:uid="{00000000-0005-0000-0000-00000F190000}"/>
    <cellStyle name="20% - Accent2 4 8 2 6" xfId="28314" xr:uid="{00000000-0005-0000-0000-000010190000}"/>
    <cellStyle name="20% - Accent2 4 8 2 7" xfId="37029" xr:uid="{00000000-0005-0000-0000-000011190000}"/>
    <cellStyle name="20% - Accent2 4 8 2 8" xfId="42506" xr:uid="{00000000-0005-0000-0000-000012190000}"/>
    <cellStyle name="20% - Accent2 4 8 2 9" xfId="47983" xr:uid="{00000000-0005-0000-0000-000013190000}"/>
    <cellStyle name="20% - Accent2 4 8 3" xfId="5097" xr:uid="{00000000-0005-0000-0000-000014190000}"/>
    <cellStyle name="20% - Accent2 4 8 3 2" xfId="10577" xr:uid="{00000000-0005-0000-0000-000015190000}"/>
    <cellStyle name="20% - Accent2 4 8 3 3" xfId="16053" xr:uid="{00000000-0005-0000-0000-000016190000}"/>
    <cellStyle name="20% - Accent2 4 8 3 4" xfId="21529" xr:uid="{00000000-0005-0000-0000-000017190000}"/>
    <cellStyle name="20% - Accent2 4 8 3 5" xfId="27005" xr:uid="{00000000-0005-0000-0000-000018190000}"/>
    <cellStyle name="20% - Accent2 4 8 3 6" xfId="38801" xr:uid="{00000000-0005-0000-0000-000019190000}"/>
    <cellStyle name="20% - Accent2 4 8 3 7" xfId="44278" xr:uid="{00000000-0005-0000-0000-00001A190000}"/>
    <cellStyle name="20% - Accent2 4 8 3 8" xfId="49755" xr:uid="{00000000-0005-0000-0000-00001B190000}"/>
    <cellStyle name="20% - Accent2 4 8 3 9" xfId="55273" xr:uid="{00000000-0005-0000-0000-00001C190000}"/>
    <cellStyle name="20% - Accent2 4 8 4" xfId="5814" xr:uid="{00000000-0005-0000-0000-00001D190000}"/>
    <cellStyle name="20% - Accent2 4 8 5" xfId="11294" xr:uid="{00000000-0005-0000-0000-00001E190000}"/>
    <cellStyle name="20% - Accent2 4 8 6" xfId="16770" xr:uid="{00000000-0005-0000-0000-00001F190000}"/>
    <cellStyle name="20% - Accent2 4 8 7" xfId="22246" xr:uid="{00000000-0005-0000-0000-000020190000}"/>
    <cellStyle name="20% - Accent2 4 8 8" xfId="28313" xr:uid="{00000000-0005-0000-0000-000021190000}"/>
    <cellStyle name="20% - Accent2 4 8 9" xfId="34041" xr:uid="{00000000-0005-0000-0000-000022190000}"/>
    <cellStyle name="20% - Accent2 4 9" xfId="1789" xr:uid="{00000000-0005-0000-0000-000023190000}"/>
    <cellStyle name="20% - Accent2 4 9 10" xfId="39519" xr:uid="{00000000-0005-0000-0000-000024190000}"/>
    <cellStyle name="20% - Accent2 4 9 11" xfId="44996" xr:uid="{00000000-0005-0000-0000-000025190000}"/>
    <cellStyle name="20% - Accent2 4 9 12" xfId="50474" xr:uid="{00000000-0005-0000-0000-000026190000}"/>
    <cellStyle name="20% - Accent2 4 9 2" xfId="3550" xr:uid="{00000000-0005-0000-0000-000027190000}"/>
    <cellStyle name="20% - Accent2 4 9 2 2" xfId="9030" xr:uid="{00000000-0005-0000-0000-000028190000}"/>
    <cellStyle name="20% - Accent2 4 9 2 3" xfId="14506" xr:uid="{00000000-0005-0000-0000-000029190000}"/>
    <cellStyle name="20% - Accent2 4 9 2 4" xfId="19982" xr:uid="{00000000-0005-0000-0000-00002A190000}"/>
    <cellStyle name="20% - Accent2 4 9 2 5" xfId="25458" xr:uid="{00000000-0005-0000-0000-00002B190000}"/>
    <cellStyle name="20% - Accent2 4 9 2 6" xfId="37254" xr:uid="{00000000-0005-0000-0000-00002C190000}"/>
    <cellStyle name="20% - Accent2 4 9 2 7" xfId="42731" xr:uid="{00000000-0005-0000-0000-00002D190000}"/>
    <cellStyle name="20% - Accent2 4 9 2 8" xfId="48208" xr:uid="{00000000-0005-0000-0000-00002E190000}"/>
    <cellStyle name="20% - Accent2 4 9 2 9" xfId="53726" xr:uid="{00000000-0005-0000-0000-00002F190000}"/>
    <cellStyle name="20% - Accent2 4 9 3" xfId="5322" xr:uid="{00000000-0005-0000-0000-000030190000}"/>
    <cellStyle name="20% - Accent2 4 9 3 2" xfId="10802" xr:uid="{00000000-0005-0000-0000-000031190000}"/>
    <cellStyle name="20% - Accent2 4 9 3 3" xfId="16278" xr:uid="{00000000-0005-0000-0000-000032190000}"/>
    <cellStyle name="20% - Accent2 4 9 3 4" xfId="21754" xr:uid="{00000000-0005-0000-0000-000033190000}"/>
    <cellStyle name="20% - Accent2 4 9 3 5" xfId="27230" xr:uid="{00000000-0005-0000-0000-000034190000}"/>
    <cellStyle name="20% - Accent2 4 9 3 6" xfId="39026" xr:uid="{00000000-0005-0000-0000-000035190000}"/>
    <cellStyle name="20% - Accent2 4 9 3 7" xfId="44503" xr:uid="{00000000-0005-0000-0000-000036190000}"/>
    <cellStyle name="20% - Accent2 4 9 3 8" xfId="49980" xr:uid="{00000000-0005-0000-0000-000037190000}"/>
    <cellStyle name="20% - Accent2 4 9 3 9" xfId="55498" xr:uid="{00000000-0005-0000-0000-000038190000}"/>
    <cellStyle name="20% - Accent2 4 9 4" xfId="5815" xr:uid="{00000000-0005-0000-0000-000039190000}"/>
    <cellStyle name="20% - Accent2 4 9 5" xfId="11295" xr:uid="{00000000-0005-0000-0000-00003A190000}"/>
    <cellStyle name="20% - Accent2 4 9 6" xfId="16771" xr:uid="{00000000-0005-0000-0000-00003B190000}"/>
    <cellStyle name="20% - Accent2 4 9 7" xfId="22247" xr:uid="{00000000-0005-0000-0000-00003C190000}"/>
    <cellStyle name="20% - Accent2 4 9 8" xfId="28315" xr:uid="{00000000-0005-0000-0000-00003D190000}"/>
    <cellStyle name="20% - Accent2 4 9 9" xfId="34042" xr:uid="{00000000-0005-0000-0000-00003E190000}"/>
    <cellStyle name="20% - Accent2 5" xfId="3672" xr:uid="{00000000-0005-0000-0000-00003F190000}"/>
    <cellStyle name="20% - Accent2 5 10" xfId="28316" xr:uid="{00000000-0005-0000-0000-000040190000}"/>
    <cellStyle name="20% - Accent2 5 11" xfId="37376" xr:uid="{00000000-0005-0000-0000-000041190000}"/>
    <cellStyle name="20% - Accent2 5 12" xfId="42853" xr:uid="{00000000-0005-0000-0000-000042190000}"/>
    <cellStyle name="20% - Accent2 5 13" xfId="48330" xr:uid="{00000000-0005-0000-0000-000043190000}"/>
    <cellStyle name="20% - Accent2 5 14" xfId="52033" xr:uid="{00000000-0005-0000-0000-000044190000}"/>
    <cellStyle name="20% - Accent2 5 2" xfId="9152" xr:uid="{00000000-0005-0000-0000-000045190000}"/>
    <cellStyle name="20% - Accent2 5 2 2" xfId="28318" xr:uid="{00000000-0005-0000-0000-000046190000}"/>
    <cellStyle name="20% - Accent2 5 2 2 2" xfId="28319" xr:uid="{00000000-0005-0000-0000-000047190000}"/>
    <cellStyle name="20% - Accent2 5 2 3" xfId="28320" xr:uid="{00000000-0005-0000-0000-000048190000}"/>
    <cellStyle name="20% - Accent2 5 2 4" xfId="28317" xr:uid="{00000000-0005-0000-0000-000049190000}"/>
    <cellStyle name="20% - Accent2 5 2 5" xfId="53848" xr:uid="{00000000-0005-0000-0000-00004A190000}"/>
    <cellStyle name="20% - Accent2 5 3" xfId="14628" xr:uid="{00000000-0005-0000-0000-00004B190000}"/>
    <cellStyle name="20% - Accent2 5 3 2" xfId="28322" xr:uid="{00000000-0005-0000-0000-00004C190000}"/>
    <cellStyle name="20% - Accent2 5 3 2 2" xfId="28323" xr:uid="{00000000-0005-0000-0000-00004D190000}"/>
    <cellStyle name="20% - Accent2 5 3 3" xfId="28324" xr:uid="{00000000-0005-0000-0000-00004E190000}"/>
    <cellStyle name="20% - Accent2 5 3 4" xfId="28321" xr:uid="{00000000-0005-0000-0000-00004F190000}"/>
    <cellStyle name="20% - Accent2 5 4" xfId="20104" xr:uid="{00000000-0005-0000-0000-000050190000}"/>
    <cellStyle name="20% - Accent2 5 4 2" xfId="28326" xr:uid="{00000000-0005-0000-0000-000051190000}"/>
    <cellStyle name="20% - Accent2 5 4 2 2" xfId="28327" xr:uid="{00000000-0005-0000-0000-000052190000}"/>
    <cellStyle name="20% - Accent2 5 4 3" xfId="28328" xr:uid="{00000000-0005-0000-0000-000053190000}"/>
    <cellStyle name="20% - Accent2 5 4 4" xfId="28325" xr:uid="{00000000-0005-0000-0000-000054190000}"/>
    <cellStyle name="20% - Accent2 5 5" xfId="25580" xr:uid="{00000000-0005-0000-0000-000055190000}"/>
    <cellStyle name="20% - Accent2 5 5 2" xfId="28330" xr:uid="{00000000-0005-0000-0000-000056190000}"/>
    <cellStyle name="20% - Accent2 5 5 2 2" xfId="28331" xr:uid="{00000000-0005-0000-0000-000057190000}"/>
    <cellStyle name="20% - Accent2 5 5 3" xfId="28332" xr:uid="{00000000-0005-0000-0000-000058190000}"/>
    <cellStyle name="20% - Accent2 5 5 4" xfId="28329" xr:uid="{00000000-0005-0000-0000-000059190000}"/>
    <cellStyle name="20% - Accent2 5 6" xfId="28333" xr:uid="{00000000-0005-0000-0000-00005A190000}"/>
    <cellStyle name="20% - Accent2 5 6 2" xfId="28334" xr:uid="{00000000-0005-0000-0000-00005B190000}"/>
    <cellStyle name="20% - Accent2 5 6 2 2" xfId="28335" xr:uid="{00000000-0005-0000-0000-00005C190000}"/>
    <cellStyle name="20% - Accent2 5 6 3" xfId="28336" xr:uid="{00000000-0005-0000-0000-00005D190000}"/>
    <cellStyle name="20% - Accent2 5 7" xfId="28337" xr:uid="{00000000-0005-0000-0000-00005E190000}"/>
    <cellStyle name="20% - Accent2 5 7 2" xfId="28338" xr:uid="{00000000-0005-0000-0000-00005F190000}"/>
    <cellStyle name="20% - Accent2 5 7 2 2" xfId="28339" xr:uid="{00000000-0005-0000-0000-000060190000}"/>
    <cellStyle name="20% - Accent2 5 7 3" xfId="28340" xr:uid="{00000000-0005-0000-0000-000061190000}"/>
    <cellStyle name="20% - Accent2 5 8" xfId="28341" xr:uid="{00000000-0005-0000-0000-000062190000}"/>
    <cellStyle name="20% - Accent2 5 8 2" xfId="28342" xr:uid="{00000000-0005-0000-0000-000063190000}"/>
    <cellStyle name="20% - Accent2 5 9" xfId="28343" xr:uid="{00000000-0005-0000-0000-000064190000}"/>
    <cellStyle name="20% - Accent2 6" xfId="7377" xr:uid="{00000000-0005-0000-0000-000065190000}"/>
    <cellStyle name="20% - Accent2 6 10" xfId="28344" xr:uid="{00000000-0005-0000-0000-000066190000}"/>
    <cellStyle name="20% - Accent2 6 2" xfId="28345" xr:uid="{00000000-0005-0000-0000-000067190000}"/>
    <cellStyle name="20% - Accent2 6 2 2" xfId="28346" xr:uid="{00000000-0005-0000-0000-000068190000}"/>
    <cellStyle name="20% - Accent2 6 2 2 2" xfId="28347" xr:uid="{00000000-0005-0000-0000-000069190000}"/>
    <cellStyle name="20% - Accent2 6 2 3" xfId="28348" xr:uid="{00000000-0005-0000-0000-00006A190000}"/>
    <cellStyle name="20% - Accent2 6 3" xfId="28349" xr:uid="{00000000-0005-0000-0000-00006B190000}"/>
    <cellStyle name="20% - Accent2 6 3 2" xfId="28350" xr:uid="{00000000-0005-0000-0000-00006C190000}"/>
    <cellStyle name="20% - Accent2 6 3 2 2" xfId="28351" xr:uid="{00000000-0005-0000-0000-00006D190000}"/>
    <cellStyle name="20% - Accent2 6 3 3" xfId="28352" xr:uid="{00000000-0005-0000-0000-00006E190000}"/>
    <cellStyle name="20% - Accent2 6 4" xfId="28353" xr:uid="{00000000-0005-0000-0000-00006F190000}"/>
    <cellStyle name="20% - Accent2 6 4 2" xfId="28354" xr:uid="{00000000-0005-0000-0000-000070190000}"/>
    <cellStyle name="20% - Accent2 6 4 2 2" xfId="28355" xr:uid="{00000000-0005-0000-0000-000071190000}"/>
    <cellStyle name="20% - Accent2 6 4 3" xfId="28356" xr:uid="{00000000-0005-0000-0000-000072190000}"/>
    <cellStyle name="20% - Accent2 6 5" xfId="28357" xr:uid="{00000000-0005-0000-0000-000073190000}"/>
    <cellStyle name="20% - Accent2 6 5 2" xfId="28358" xr:uid="{00000000-0005-0000-0000-000074190000}"/>
    <cellStyle name="20% - Accent2 6 5 2 2" xfId="28359" xr:uid="{00000000-0005-0000-0000-000075190000}"/>
    <cellStyle name="20% - Accent2 6 5 3" xfId="28360" xr:uid="{00000000-0005-0000-0000-000076190000}"/>
    <cellStyle name="20% - Accent2 6 6" xfId="28361" xr:uid="{00000000-0005-0000-0000-000077190000}"/>
    <cellStyle name="20% - Accent2 6 6 2" xfId="28362" xr:uid="{00000000-0005-0000-0000-000078190000}"/>
    <cellStyle name="20% - Accent2 6 6 2 2" xfId="28363" xr:uid="{00000000-0005-0000-0000-000079190000}"/>
    <cellStyle name="20% - Accent2 6 6 3" xfId="28364" xr:uid="{00000000-0005-0000-0000-00007A190000}"/>
    <cellStyle name="20% - Accent2 6 7" xfId="28365" xr:uid="{00000000-0005-0000-0000-00007B190000}"/>
    <cellStyle name="20% - Accent2 6 7 2" xfId="28366" xr:uid="{00000000-0005-0000-0000-00007C190000}"/>
    <cellStyle name="20% - Accent2 6 7 2 2" xfId="28367" xr:uid="{00000000-0005-0000-0000-00007D190000}"/>
    <cellStyle name="20% - Accent2 6 7 3" xfId="28368" xr:uid="{00000000-0005-0000-0000-00007E190000}"/>
    <cellStyle name="20% - Accent2 6 8" xfId="28369" xr:uid="{00000000-0005-0000-0000-00007F190000}"/>
    <cellStyle name="20% - Accent2 6 8 2" xfId="28370" xr:uid="{00000000-0005-0000-0000-000080190000}"/>
    <cellStyle name="20% - Accent2 6 9" xfId="28371" xr:uid="{00000000-0005-0000-0000-000081190000}"/>
    <cellStyle name="20% - Accent2 7" xfId="12854" xr:uid="{00000000-0005-0000-0000-000082190000}"/>
    <cellStyle name="20% - Accent2 7 10" xfId="28372" xr:uid="{00000000-0005-0000-0000-000083190000}"/>
    <cellStyle name="20% - Accent2 7 2" xfId="28373" xr:uid="{00000000-0005-0000-0000-000084190000}"/>
    <cellStyle name="20% - Accent2 7 2 2" xfId="28374" xr:uid="{00000000-0005-0000-0000-000085190000}"/>
    <cellStyle name="20% - Accent2 7 2 2 2" xfId="28375" xr:uid="{00000000-0005-0000-0000-000086190000}"/>
    <cellStyle name="20% - Accent2 7 2 3" xfId="28376" xr:uid="{00000000-0005-0000-0000-000087190000}"/>
    <cellStyle name="20% - Accent2 7 3" xfId="28377" xr:uid="{00000000-0005-0000-0000-000088190000}"/>
    <cellStyle name="20% - Accent2 7 3 2" xfId="28378" xr:uid="{00000000-0005-0000-0000-000089190000}"/>
    <cellStyle name="20% - Accent2 7 3 2 2" xfId="28379" xr:uid="{00000000-0005-0000-0000-00008A190000}"/>
    <cellStyle name="20% - Accent2 7 3 3" xfId="28380" xr:uid="{00000000-0005-0000-0000-00008B190000}"/>
    <cellStyle name="20% - Accent2 7 4" xfId="28381" xr:uid="{00000000-0005-0000-0000-00008C190000}"/>
    <cellStyle name="20% - Accent2 7 4 2" xfId="28382" xr:uid="{00000000-0005-0000-0000-00008D190000}"/>
    <cellStyle name="20% - Accent2 7 4 2 2" xfId="28383" xr:uid="{00000000-0005-0000-0000-00008E190000}"/>
    <cellStyle name="20% - Accent2 7 4 3" xfId="28384" xr:uid="{00000000-0005-0000-0000-00008F190000}"/>
    <cellStyle name="20% - Accent2 7 5" xfId="28385" xr:uid="{00000000-0005-0000-0000-000090190000}"/>
    <cellStyle name="20% - Accent2 7 5 2" xfId="28386" xr:uid="{00000000-0005-0000-0000-000091190000}"/>
    <cellStyle name="20% - Accent2 7 5 2 2" xfId="28387" xr:uid="{00000000-0005-0000-0000-000092190000}"/>
    <cellStyle name="20% - Accent2 7 5 3" xfId="28388" xr:uid="{00000000-0005-0000-0000-000093190000}"/>
    <cellStyle name="20% - Accent2 7 6" xfId="28389" xr:uid="{00000000-0005-0000-0000-000094190000}"/>
    <cellStyle name="20% - Accent2 7 6 2" xfId="28390" xr:uid="{00000000-0005-0000-0000-000095190000}"/>
    <cellStyle name="20% - Accent2 7 6 2 2" xfId="28391" xr:uid="{00000000-0005-0000-0000-000096190000}"/>
    <cellStyle name="20% - Accent2 7 6 3" xfId="28392" xr:uid="{00000000-0005-0000-0000-000097190000}"/>
    <cellStyle name="20% - Accent2 7 7" xfId="28393" xr:uid="{00000000-0005-0000-0000-000098190000}"/>
    <cellStyle name="20% - Accent2 7 7 2" xfId="28394" xr:uid="{00000000-0005-0000-0000-000099190000}"/>
    <cellStyle name="20% - Accent2 7 7 2 2" xfId="28395" xr:uid="{00000000-0005-0000-0000-00009A190000}"/>
    <cellStyle name="20% - Accent2 7 7 3" xfId="28396" xr:uid="{00000000-0005-0000-0000-00009B190000}"/>
    <cellStyle name="20% - Accent2 7 8" xfId="28397" xr:uid="{00000000-0005-0000-0000-00009C190000}"/>
    <cellStyle name="20% - Accent2 7 8 2" xfId="28398" xr:uid="{00000000-0005-0000-0000-00009D190000}"/>
    <cellStyle name="20% - Accent2 7 9" xfId="28399" xr:uid="{00000000-0005-0000-0000-00009E190000}"/>
    <cellStyle name="20% - Accent2 8" xfId="18330" xr:uid="{00000000-0005-0000-0000-00009F190000}"/>
    <cellStyle name="20% - Accent2 8 2" xfId="28401" xr:uid="{00000000-0005-0000-0000-0000A0190000}"/>
    <cellStyle name="20% - Accent2 8 2 2" xfId="28402" xr:uid="{00000000-0005-0000-0000-0000A1190000}"/>
    <cellStyle name="20% - Accent2 8 3" xfId="28403" xr:uid="{00000000-0005-0000-0000-0000A2190000}"/>
    <cellStyle name="20% - Accent2 8 4" xfId="28400" xr:uid="{00000000-0005-0000-0000-0000A3190000}"/>
    <cellStyle name="20% - Accent2 9" xfId="23806" xr:uid="{00000000-0005-0000-0000-0000A4190000}"/>
    <cellStyle name="20% - Accent2 9 10" xfId="28404" xr:uid="{00000000-0005-0000-0000-0000A5190000}"/>
    <cellStyle name="20% - Accent2 9 2" xfId="28405" xr:uid="{00000000-0005-0000-0000-0000A6190000}"/>
    <cellStyle name="20% - Accent2 9 2 2" xfId="28406" xr:uid="{00000000-0005-0000-0000-0000A7190000}"/>
    <cellStyle name="20% - Accent2 9 2 2 2" xfId="28407" xr:uid="{00000000-0005-0000-0000-0000A8190000}"/>
    <cellStyle name="20% - Accent2 9 2 3" xfId="28408" xr:uid="{00000000-0005-0000-0000-0000A9190000}"/>
    <cellStyle name="20% - Accent2 9 3" xfId="28409" xr:uid="{00000000-0005-0000-0000-0000AA190000}"/>
    <cellStyle name="20% - Accent2 9 3 2" xfId="28410" xr:uid="{00000000-0005-0000-0000-0000AB190000}"/>
    <cellStyle name="20% - Accent2 9 3 2 2" xfId="28411" xr:uid="{00000000-0005-0000-0000-0000AC190000}"/>
    <cellStyle name="20% - Accent2 9 3 3" xfId="28412" xr:uid="{00000000-0005-0000-0000-0000AD190000}"/>
    <cellStyle name="20% - Accent2 9 4" xfId="28413" xr:uid="{00000000-0005-0000-0000-0000AE190000}"/>
    <cellStyle name="20% - Accent2 9 4 2" xfId="28414" xr:uid="{00000000-0005-0000-0000-0000AF190000}"/>
    <cellStyle name="20% - Accent2 9 4 2 2" xfId="28415" xr:uid="{00000000-0005-0000-0000-0000B0190000}"/>
    <cellStyle name="20% - Accent2 9 4 3" xfId="28416" xr:uid="{00000000-0005-0000-0000-0000B1190000}"/>
    <cellStyle name="20% - Accent2 9 5" xfId="28417" xr:uid="{00000000-0005-0000-0000-0000B2190000}"/>
    <cellStyle name="20% - Accent2 9 5 2" xfId="28418" xr:uid="{00000000-0005-0000-0000-0000B3190000}"/>
    <cellStyle name="20% - Accent2 9 5 2 2" xfId="28419" xr:uid="{00000000-0005-0000-0000-0000B4190000}"/>
    <cellStyle name="20% - Accent2 9 5 3" xfId="28420" xr:uid="{00000000-0005-0000-0000-0000B5190000}"/>
    <cellStyle name="20% - Accent2 9 6" xfId="28421" xr:uid="{00000000-0005-0000-0000-0000B6190000}"/>
    <cellStyle name="20% - Accent2 9 6 2" xfId="28422" xr:uid="{00000000-0005-0000-0000-0000B7190000}"/>
    <cellStyle name="20% - Accent2 9 6 2 2" xfId="28423" xr:uid="{00000000-0005-0000-0000-0000B8190000}"/>
    <cellStyle name="20% - Accent2 9 6 3" xfId="28424" xr:uid="{00000000-0005-0000-0000-0000B9190000}"/>
    <cellStyle name="20% - Accent2 9 7" xfId="28425" xr:uid="{00000000-0005-0000-0000-0000BA190000}"/>
    <cellStyle name="20% - Accent2 9 7 2" xfId="28426" xr:uid="{00000000-0005-0000-0000-0000BB190000}"/>
    <cellStyle name="20% - Accent2 9 7 2 2" xfId="28427" xr:uid="{00000000-0005-0000-0000-0000BC190000}"/>
    <cellStyle name="20% - Accent2 9 7 3" xfId="28428" xr:uid="{00000000-0005-0000-0000-0000BD190000}"/>
    <cellStyle name="20% - Accent2 9 8" xfId="28429" xr:uid="{00000000-0005-0000-0000-0000BE190000}"/>
    <cellStyle name="20% - Accent2 9 8 2" xfId="28430" xr:uid="{00000000-0005-0000-0000-0000BF190000}"/>
    <cellStyle name="20% - Accent2 9 9" xfId="28431" xr:uid="{00000000-0005-0000-0000-0000C0190000}"/>
    <cellStyle name="20% - Accent3" xfId="65" builtinId="38" customBuiltin="1"/>
    <cellStyle name="20% - Accent3 10" xfId="28432" xr:uid="{00000000-0005-0000-0000-0000C2190000}"/>
    <cellStyle name="20% - Accent3 10 2" xfId="28433" xr:uid="{00000000-0005-0000-0000-0000C3190000}"/>
    <cellStyle name="20% - Accent3 10 2 2" xfId="28434" xr:uid="{00000000-0005-0000-0000-0000C4190000}"/>
    <cellStyle name="20% - Accent3 10 2 2 2" xfId="28435" xr:uid="{00000000-0005-0000-0000-0000C5190000}"/>
    <cellStyle name="20% - Accent3 10 2 3" xfId="28436" xr:uid="{00000000-0005-0000-0000-0000C6190000}"/>
    <cellStyle name="20% - Accent3 10 3" xfId="28437" xr:uid="{00000000-0005-0000-0000-0000C7190000}"/>
    <cellStyle name="20% - Accent3 10 3 2" xfId="28438" xr:uid="{00000000-0005-0000-0000-0000C8190000}"/>
    <cellStyle name="20% - Accent3 10 3 2 2" xfId="28439" xr:uid="{00000000-0005-0000-0000-0000C9190000}"/>
    <cellStyle name="20% - Accent3 10 3 3" xfId="28440" xr:uid="{00000000-0005-0000-0000-0000CA190000}"/>
    <cellStyle name="20% - Accent3 10 4" xfId="28441" xr:uid="{00000000-0005-0000-0000-0000CB190000}"/>
    <cellStyle name="20% - Accent3 10 4 2" xfId="28442" xr:uid="{00000000-0005-0000-0000-0000CC190000}"/>
    <cellStyle name="20% - Accent3 10 5" xfId="28443" xr:uid="{00000000-0005-0000-0000-0000CD190000}"/>
    <cellStyle name="20% - Accent3 11" xfId="28444" xr:uid="{00000000-0005-0000-0000-0000CE190000}"/>
    <cellStyle name="20% - Accent3 11 2" xfId="28445" xr:uid="{00000000-0005-0000-0000-0000CF190000}"/>
    <cellStyle name="20% - Accent3 11 2 2" xfId="28446" xr:uid="{00000000-0005-0000-0000-0000D0190000}"/>
    <cellStyle name="20% - Accent3 11 3" xfId="28447" xr:uid="{00000000-0005-0000-0000-0000D1190000}"/>
    <cellStyle name="20% - Accent3 12" xfId="28448" xr:uid="{00000000-0005-0000-0000-0000D2190000}"/>
    <cellStyle name="20% - Accent3 12 2" xfId="28449" xr:uid="{00000000-0005-0000-0000-0000D3190000}"/>
    <cellStyle name="20% - Accent3 12 2 2" xfId="28450" xr:uid="{00000000-0005-0000-0000-0000D4190000}"/>
    <cellStyle name="20% - Accent3 12 3" xfId="28451" xr:uid="{00000000-0005-0000-0000-0000D5190000}"/>
    <cellStyle name="20% - Accent3 13" xfId="28452" xr:uid="{00000000-0005-0000-0000-0000D6190000}"/>
    <cellStyle name="20% - Accent3 13 2" xfId="28453" xr:uid="{00000000-0005-0000-0000-0000D7190000}"/>
    <cellStyle name="20% - Accent3 13 2 2" xfId="28454" xr:uid="{00000000-0005-0000-0000-0000D8190000}"/>
    <cellStyle name="20% - Accent3 13 3" xfId="28455" xr:uid="{00000000-0005-0000-0000-0000D9190000}"/>
    <cellStyle name="20% - Accent3 14" xfId="28456" xr:uid="{00000000-0005-0000-0000-0000DA190000}"/>
    <cellStyle name="20% - Accent3 14 2" xfId="28457" xr:uid="{00000000-0005-0000-0000-0000DB190000}"/>
    <cellStyle name="20% - Accent3 14 2 2" xfId="28458" xr:uid="{00000000-0005-0000-0000-0000DC190000}"/>
    <cellStyle name="20% - Accent3 14 3" xfId="28459" xr:uid="{00000000-0005-0000-0000-0000DD190000}"/>
    <cellStyle name="20% - Accent3 15" xfId="28460" xr:uid="{00000000-0005-0000-0000-0000DE190000}"/>
    <cellStyle name="20% - Accent3 15 2" xfId="28461" xr:uid="{00000000-0005-0000-0000-0000DF190000}"/>
    <cellStyle name="20% - Accent3 15 2 2" xfId="28462" xr:uid="{00000000-0005-0000-0000-0000E0190000}"/>
    <cellStyle name="20% - Accent3 15 3" xfId="28463" xr:uid="{00000000-0005-0000-0000-0000E1190000}"/>
    <cellStyle name="20% - Accent3 16" xfId="28464" xr:uid="{00000000-0005-0000-0000-0000E2190000}"/>
    <cellStyle name="20% - Accent3 16 2" xfId="28465" xr:uid="{00000000-0005-0000-0000-0000E3190000}"/>
    <cellStyle name="20% - Accent3 16 2 2" xfId="28466" xr:uid="{00000000-0005-0000-0000-0000E4190000}"/>
    <cellStyle name="20% - Accent3 16 2 2 2" xfId="28467" xr:uid="{00000000-0005-0000-0000-0000E5190000}"/>
    <cellStyle name="20% - Accent3 16 2 2 2 2" xfId="28468" xr:uid="{00000000-0005-0000-0000-0000E6190000}"/>
    <cellStyle name="20% - Accent3 16 2 2 2 2 2" xfId="28469" xr:uid="{00000000-0005-0000-0000-0000E7190000}"/>
    <cellStyle name="20% - Accent3 16 2 2 2 3" xfId="28470" xr:uid="{00000000-0005-0000-0000-0000E8190000}"/>
    <cellStyle name="20% - Accent3 16 2 2 3" xfId="28471" xr:uid="{00000000-0005-0000-0000-0000E9190000}"/>
    <cellStyle name="20% - Accent3 16 2 2 3 2" xfId="28472" xr:uid="{00000000-0005-0000-0000-0000EA190000}"/>
    <cellStyle name="20% - Accent3 16 2 2 3 2 2" xfId="28473" xr:uid="{00000000-0005-0000-0000-0000EB190000}"/>
    <cellStyle name="20% - Accent3 16 2 2 3 3" xfId="28474" xr:uid="{00000000-0005-0000-0000-0000EC190000}"/>
    <cellStyle name="20% - Accent3 16 2 2 4" xfId="28475" xr:uid="{00000000-0005-0000-0000-0000ED190000}"/>
    <cellStyle name="20% - Accent3 16 2 2 4 2" xfId="28476" xr:uid="{00000000-0005-0000-0000-0000EE190000}"/>
    <cellStyle name="20% - Accent3 16 2 2 5" xfId="28477" xr:uid="{00000000-0005-0000-0000-0000EF190000}"/>
    <cellStyle name="20% - Accent3 16 2 3" xfId="28478" xr:uid="{00000000-0005-0000-0000-0000F0190000}"/>
    <cellStyle name="20% - Accent3 16 2 3 2" xfId="28479" xr:uid="{00000000-0005-0000-0000-0000F1190000}"/>
    <cellStyle name="20% - Accent3 16 2 3 2 2" xfId="28480" xr:uid="{00000000-0005-0000-0000-0000F2190000}"/>
    <cellStyle name="20% - Accent3 16 2 3 2 2 2" xfId="28481" xr:uid="{00000000-0005-0000-0000-0000F3190000}"/>
    <cellStyle name="20% - Accent3 16 2 3 2 3" xfId="28482" xr:uid="{00000000-0005-0000-0000-0000F4190000}"/>
    <cellStyle name="20% - Accent3 16 2 3 3" xfId="28483" xr:uid="{00000000-0005-0000-0000-0000F5190000}"/>
    <cellStyle name="20% - Accent3 16 2 3 3 2" xfId="28484" xr:uid="{00000000-0005-0000-0000-0000F6190000}"/>
    <cellStyle name="20% - Accent3 16 2 3 3 2 2" xfId="28485" xr:uid="{00000000-0005-0000-0000-0000F7190000}"/>
    <cellStyle name="20% - Accent3 16 2 3 3 3" xfId="28486" xr:uid="{00000000-0005-0000-0000-0000F8190000}"/>
    <cellStyle name="20% - Accent3 16 2 3 4" xfId="28487" xr:uid="{00000000-0005-0000-0000-0000F9190000}"/>
    <cellStyle name="20% - Accent3 16 2 3 4 2" xfId="28488" xr:uid="{00000000-0005-0000-0000-0000FA190000}"/>
    <cellStyle name="20% - Accent3 16 2 3 5" xfId="28489" xr:uid="{00000000-0005-0000-0000-0000FB190000}"/>
    <cellStyle name="20% - Accent3 16 2 4" xfId="28490" xr:uid="{00000000-0005-0000-0000-0000FC190000}"/>
    <cellStyle name="20% - Accent3 16 2 4 2" xfId="28491" xr:uid="{00000000-0005-0000-0000-0000FD190000}"/>
    <cellStyle name="20% - Accent3 16 2 4 2 2" xfId="28492" xr:uid="{00000000-0005-0000-0000-0000FE190000}"/>
    <cellStyle name="20% - Accent3 16 2 4 2 2 2" xfId="28493" xr:uid="{00000000-0005-0000-0000-0000FF190000}"/>
    <cellStyle name="20% - Accent3 16 2 4 2 3" xfId="28494" xr:uid="{00000000-0005-0000-0000-0000001A0000}"/>
    <cellStyle name="20% - Accent3 16 2 4 3" xfId="28495" xr:uid="{00000000-0005-0000-0000-0000011A0000}"/>
    <cellStyle name="20% - Accent3 16 2 4 3 2" xfId="28496" xr:uid="{00000000-0005-0000-0000-0000021A0000}"/>
    <cellStyle name="20% - Accent3 16 2 4 3 2 2" xfId="28497" xr:uid="{00000000-0005-0000-0000-0000031A0000}"/>
    <cellStyle name="20% - Accent3 16 2 4 3 3" xfId="28498" xr:uid="{00000000-0005-0000-0000-0000041A0000}"/>
    <cellStyle name="20% - Accent3 16 2 4 4" xfId="28499" xr:uid="{00000000-0005-0000-0000-0000051A0000}"/>
    <cellStyle name="20% - Accent3 16 2 4 4 2" xfId="28500" xr:uid="{00000000-0005-0000-0000-0000061A0000}"/>
    <cellStyle name="20% - Accent3 16 2 4 5" xfId="28501" xr:uid="{00000000-0005-0000-0000-0000071A0000}"/>
    <cellStyle name="20% - Accent3 16 2 5" xfId="28502" xr:uid="{00000000-0005-0000-0000-0000081A0000}"/>
    <cellStyle name="20% - Accent3 16 2 5 2" xfId="28503" xr:uid="{00000000-0005-0000-0000-0000091A0000}"/>
    <cellStyle name="20% - Accent3 16 2 5 2 2" xfId="28504" xr:uid="{00000000-0005-0000-0000-00000A1A0000}"/>
    <cellStyle name="20% - Accent3 16 2 5 2 2 2" xfId="28505" xr:uid="{00000000-0005-0000-0000-00000B1A0000}"/>
    <cellStyle name="20% - Accent3 16 2 5 2 3" xfId="28506" xr:uid="{00000000-0005-0000-0000-00000C1A0000}"/>
    <cellStyle name="20% - Accent3 16 2 5 3" xfId="28507" xr:uid="{00000000-0005-0000-0000-00000D1A0000}"/>
    <cellStyle name="20% - Accent3 16 2 5 3 2" xfId="28508" xr:uid="{00000000-0005-0000-0000-00000E1A0000}"/>
    <cellStyle name="20% - Accent3 16 2 5 4" xfId="28509" xr:uid="{00000000-0005-0000-0000-00000F1A0000}"/>
    <cellStyle name="20% - Accent3 16 2 6" xfId="28510" xr:uid="{00000000-0005-0000-0000-0000101A0000}"/>
    <cellStyle name="20% - Accent3 16 2 6 2" xfId="28511" xr:uid="{00000000-0005-0000-0000-0000111A0000}"/>
    <cellStyle name="20% - Accent3 16 2 6 2 2" xfId="28512" xr:uid="{00000000-0005-0000-0000-0000121A0000}"/>
    <cellStyle name="20% - Accent3 16 2 6 3" xfId="28513" xr:uid="{00000000-0005-0000-0000-0000131A0000}"/>
    <cellStyle name="20% - Accent3 16 2 7" xfId="28514" xr:uid="{00000000-0005-0000-0000-0000141A0000}"/>
    <cellStyle name="20% - Accent3 16 2 7 2" xfId="28515" xr:uid="{00000000-0005-0000-0000-0000151A0000}"/>
    <cellStyle name="20% - Accent3 16 2 8" xfId="28516" xr:uid="{00000000-0005-0000-0000-0000161A0000}"/>
    <cellStyle name="20% - Accent3 16 3" xfId="28517" xr:uid="{00000000-0005-0000-0000-0000171A0000}"/>
    <cellStyle name="20% - Accent3 16 3 2" xfId="28518" xr:uid="{00000000-0005-0000-0000-0000181A0000}"/>
    <cellStyle name="20% - Accent3 16 3 2 2" xfId="28519" xr:uid="{00000000-0005-0000-0000-0000191A0000}"/>
    <cellStyle name="20% - Accent3 16 3 2 2 2" xfId="28520" xr:uid="{00000000-0005-0000-0000-00001A1A0000}"/>
    <cellStyle name="20% - Accent3 16 3 2 3" xfId="28521" xr:uid="{00000000-0005-0000-0000-00001B1A0000}"/>
    <cellStyle name="20% - Accent3 16 3 3" xfId="28522" xr:uid="{00000000-0005-0000-0000-00001C1A0000}"/>
    <cellStyle name="20% - Accent3 16 3 3 2" xfId="28523" xr:uid="{00000000-0005-0000-0000-00001D1A0000}"/>
    <cellStyle name="20% - Accent3 16 3 3 2 2" xfId="28524" xr:uid="{00000000-0005-0000-0000-00001E1A0000}"/>
    <cellStyle name="20% - Accent3 16 3 3 3" xfId="28525" xr:uid="{00000000-0005-0000-0000-00001F1A0000}"/>
    <cellStyle name="20% - Accent3 16 3 4" xfId="28526" xr:uid="{00000000-0005-0000-0000-0000201A0000}"/>
    <cellStyle name="20% - Accent3 16 3 4 2" xfId="28527" xr:uid="{00000000-0005-0000-0000-0000211A0000}"/>
    <cellStyle name="20% - Accent3 16 3 4 2 2" xfId="28528" xr:uid="{00000000-0005-0000-0000-0000221A0000}"/>
    <cellStyle name="20% - Accent3 16 3 4 3" xfId="28529" xr:uid="{00000000-0005-0000-0000-0000231A0000}"/>
    <cellStyle name="20% - Accent3 16 3 5" xfId="28530" xr:uid="{00000000-0005-0000-0000-0000241A0000}"/>
    <cellStyle name="20% - Accent3 16 3 5 2" xfId="28531" xr:uid="{00000000-0005-0000-0000-0000251A0000}"/>
    <cellStyle name="20% - Accent3 16 3 6" xfId="28532" xr:uid="{00000000-0005-0000-0000-0000261A0000}"/>
    <cellStyle name="20% - Accent3 16 4" xfId="28533" xr:uid="{00000000-0005-0000-0000-0000271A0000}"/>
    <cellStyle name="20% - Accent3 16 4 2" xfId="28534" xr:uid="{00000000-0005-0000-0000-0000281A0000}"/>
    <cellStyle name="20% - Accent3 16 4 2 2" xfId="28535" xr:uid="{00000000-0005-0000-0000-0000291A0000}"/>
    <cellStyle name="20% - Accent3 16 4 2 2 2" xfId="28536" xr:uid="{00000000-0005-0000-0000-00002A1A0000}"/>
    <cellStyle name="20% - Accent3 16 4 2 3" xfId="28537" xr:uid="{00000000-0005-0000-0000-00002B1A0000}"/>
    <cellStyle name="20% - Accent3 16 4 3" xfId="28538" xr:uid="{00000000-0005-0000-0000-00002C1A0000}"/>
    <cellStyle name="20% - Accent3 16 4 3 2" xfId="28539" xr:uid="{00000000-0005-0000-0000-00002D1A0000}"/>
    <cellStyle name="20% - Accent3 16 4 3 2 2" xfId="28540" xr:uid="{00000000-0005-0000-0000-00002E1A0000}"/>
    <cellStyle name="20% - Accent3 16 4 3 3" xfId="28541" xr:uid="{00000000-0005-0000-0000-00002F1A0000}"/>
    <cellStyle name="20% - Accent3 16 4 4" xfId="28542" xr:uid="{00000000-0005-0000-0000-0000301A0000}"/>
    <cellStyle name="20% - Accent3 16 4 4 2" xfId="28543" xr:uid="{00000000-0005-0000-0000-0000311A0000}"/>
    <cellStyle name="20% - Accent3 16 4 5" xfId="28544" xr:uid="{00000000-0005-0000-0000-0000321A0000}"/>
    <cellStyle name="20% - Accent3 16 5" xfId="28545" xr:uid="{00000000-0005-0000-0000-0000331A0000}"/>
    <cellStyle name="20% - Accent3 16 5 2" xfId="28546" xr:uid="{00000000-0005-0000-0000-0000341A0000}"/>
    <cellStyle name="20% - Accent3 16 5 2 2" xfId="28547" xr:uid="{00000000-0005-0000-0000-0000351A0000}"/>
    <cellStyle name="20% - Accent3 16 5 2 2 2" xfId="28548" xr:uid="{00000000-0005-0000-0000-0000361A0000}"/>
    <cellStyle name="20% - Accent3 16 5 2 3" xfId="28549" xr:uid="{00000000-0005-0000-0000-0000371A0000}"/>
    <cellStyle name="20% - Accent3 16 5 3" xfId="28550" xr:uid="{00000000-0005-0000-0000-0000381A0000}"/>
    <cellStyle name="20% - Accent3 16 5 3 2" xfId="28551" xr:uid="{00000000-0005-0000-0000-0000391A0000}"/>
    <cellStyle name="20% - Accent3 16 5 3 2 2" xfId="28552" xr:uid="{00000000-0005-0000-0000-00003A1A0000}"/>
    <cellStyle name="20% - Accent3 16 5 3 3" xfId="28553" xr:uid="{00000000-0005-0000-0000-00003B1A0000}"/>
    <cellStyle name="20% - Accent3 16 5 4" xfId="28554" xr:uid="{00000000-0005-0000-0000-00003C1A0000}"/>
    <cellStyle name="20% - Accent3 16 5 4 2" xfId="28555" xr:uid="{00000000-0005-0000-0000-00003D1A0000}"/>
    <cellStyle name="20% - Accent3 16 5 5" xfId="28556" xr:uid="{00000000-0005-0000-0000-00003E1A0000}"/>
    <cellStyle name="20% - Accent3 16 6" xfId="28557" xr:uid="{00000000-0005-0000-0000-00003F1A0000}"/>
    <cellStyle name="20% - Accent3 16 6 2" xfId="28558" xr:uid="{00000000-0005-0000-0000-0000401A0000}"/>
    <cellStyle name="20% - Accent3 16 6 2 2" xfId="28559" xr:uid="{00000000-0005-0000-0000-0000411A0000}"/>
    <cellStyle name="20% - Accent3 16 6 2 2 2" xfId="28560" xr:uid="{00000000-0005-0000-0000-0000421A0000}"/>
    <cellStyle name="20% - Accent3 16 6 2 3" xfId="28561" xr:uid="{00000000-0005-0000-0000-0000431A0000}"/>
    <cellStyle name="20% - Accent3 16 6 3" xfId="28562" xr:uid="{00000000-0005-0000-0000-0000441A0000}"/>
    <cellStyle name="20% - Accent3 16 6 3 2" xfId="28563" xr:uid="{00000000-0005-0000-0000-0000451A0000}"/>
    <cellStyle name="20% - Accent3 16 6 4" xfId="28564" xr:uid="{00000000-0005-0000-0000-0000461A0000}"/>
    <cellStyle name="20% - Accent3 16 7" xfId="28565" xr:uid="{00000000-0005-0000-0000-0000471A0000}"/>
    <cellStyle name="20% - Accent3 16 7 2" xfId="28566" xr:uid="{00000000-0005-0000-0000-0000481A0000}"/>
    <cellStyle name="20% - Accent3 16 7 2 2" xfId="28567" xr:uid="{00000000-0005-0000-0000-0000491A0000}"/>
    <cellStyle name="20% - Accent3 16 7 3" xfId="28568" xr:uid="{00000000-0005-0000-0000-00004A1A0000}"/>
    <cellStyle name="20% - Accent3 16 8" xfId="28569" xr:uid="{00000000-0005-0000-0000-00004B1A0000}"/>
    <cellStyle name="20% - Accent3 16 8 2" xfId="28570" xr:uid="{00000000-0005-0000-0000-00004C1A0000}"/>
    <cellStyle name="20% - Accent3 16 9" xfId="28571" xr:uid="{00000000-0005-0000-0000-00004D1A0000}"/>
    <cellStyle name="20% - Accent3 17" xfId="28572" xr:uid="{00000000-0005-0000-0000-00004E1A0000}"/>
    <cellStyle name="20% - Accent3 17 2" xfId="28573" xr:uid="{00000000-0005-0000-0000-00004F1A0000}"/>
    <cellStyle name="20% - Accent3 17 2 2" xfId="28574" xr:uid="{00000000-0005-0000-0000-0000501A0000}"/>
    <cellStyle name="20% - Accent3 17 2 2 2" xfId="28575" xr:uid="{00000000-0005-0000-0000-0000511A0000}"/>
    <cellStyle name="20% - Accent3 17 2 2 2 2" xfId="28576" xr:uid="{00000000-0005-0000-0000-0000521A0000}"/>
    <cellStyle name="20% - Accent3 17 2 2 3" xfId="28577" xr:uid="{00000000-0005-0000-0000-0000531A0000}"/>
    <cellStyle name="20% - Accent3 17 2 3" xfId="28578" xr:uid="{00000000-0005-0000-0000-0000541A0000}"/>
    <cellStyle name="20% - Accent3 17 2 3 2" xfId="28579" xr:uid="{00000000-0005-0000-0000-0000551A0000}"/>
    <cellStyle name="20% - Accent3 17 2 3 2 2" xfId="28580" xr:uid="{00000000-0005-0000-0000-0000561A0000}"/>
    <cellStyle name="20% - Accent3 17 2 3 3" xfId="28581" xr:uid="{00000000-0005-0000-0000-0000571A0000}"/>
    <cellStyle name="20% - Accent3 17 2 4" xfId="28582" xr:uid="{00000000-0005-0000-0000-0000581A0000}"/>
    <cellStyle name="20% - Accent3 17 2 4 2" xfId="28583" xr:uid="{00000000-0005-0000-0000-0000591A0000}"/>
    <cellStyle name="20% - Accent3 17 2 5" xfId="28584" xr:uid="{00000000-0005-0000-0000-00005A1A0000}"/>
    <cellStyle name="20% - Accent3 17 3" xfId="28585" xr:uid="{00000000-0005-0000-0000-00005B1A0000}"/>
    <cellStyle name="20% - Accent3 17 3 2" xfId="28586" xr:uid="{00000000-0005-0000-0000-00005C1A0000}"/>
    <cellStyle name="20% - Accent3 17 3 2 2" xfId="28587" xr:uid="{00000000-0005-0000-0000-00005D1A0000}"/>
    <cellStyle name="20% - Accent3 17 3 2 2 2" xfId="28588" xr:uid="{00000000-0005-0000-0000-00005E1A0000}"/>
    <cellStyle name="20% - Accent3 17 3 2 3" xfId="28589" xr:uid="{00000000-0005-0000-0000-00005F1A0000}"/>
    <cellStyle name="20% - Accent3 17 3 3" xfId="28590" xr:uid="{00000000-0005-0000-0000-0000601A0000}"/>
    <cellStyle name="20% - Accent3 17 3 3 2" xfId="28591" xr:uid="{00000000-0005-0000-0000-0000611A0000}"/>
    <cellStyle name="20% - Accent3 17 3 3 2 2" xfId="28592" xr:uid="{00000000-0005-0000-0000-0000621A0000}"/>
    <cellStyle name="20% - Accent3 17 3 3 3" xfId="28593" xr:uid="{00000000-0005-0000-0000-0000631A0000}"/>
    <cellStyle name="20% - Accent3 17 3 4" xfId="28594" xr:uid="{00000000-0005-0000-0000-0000641A0000}"/>
    <cellStyle name="20% - Accent3 17 3 4 2" xfId="28595" xr:uid="{00000000-0005-0000-0000-0000651A0000}"/>
    <cellStyle name="20% - Accent3 17 3 5" xfId="28596" xr:uid="{00000000-0005-0000-0000-0000661A0000}"/>
    <cellStyle name="20% - Accent3 17 4" xfId="28597" xr:uid="{00000000-0005-0000-0000-0000671A0000}"/>
    <cellStyle name="20% - Accent3 17 4 2" xfId="28598" xr:uid="{00000000-0005-0000-0000-0000681A0000}"/>
    <cellStyle name="20% - Accent3 17 4 2 2" xfId="28599" xr:uid="{00000000-0005-0000-0000-0000691A0000}"/>
    <cellStyle name="20% - Accent3 17 4 2 2 2" xfId="28600" xr:uid="{00000000-0005-0000-0000-00006A1A0000}"/>
    <cellStyle name="20% - Accent3 17 4 2 3" xfId="28601" xr:uid="{00000000-0005-0000-0000-00006B1A0000}"/>
    <cellStyle name="20% - Accent3 17 4 3" xfId="28602" xr:uid="{00000000-0005-0000-0000-00006C1A0000}"/>
    <cellStyle name="20% - Accent3 17 4 3 2" xfId="28603" xr:uid="{00000000-0005-0000-0000-00006D1A0000}"/>
    <cellStyle name="20% - Accent3 17 4 3 2 2" xfId="28604" xr:uid="{00000000-0005-0000-0000-00006E1A0000}"/>
    <cellStyle name="20% - Accent3 17 4 3 3" xfId="28605" xr:uid="{00000000-0005-0000-0000-00006F1A0000}"/>
    <cellStyle name="20% - Accent3 17 4 4" xfId="28606" xr:uid="{00000000-0005-0000-0000-0000701A0000}"/>
    <cellStyle name="20% - Accent3 17 4 4 2" xfId="28607" xr:uid="{00000000-0005-0000-0000-0000711A0000}"/>
    <cellStyle name="20% - Accent3 17 4 5" xfId="28608" xr:uid="{00000000-0005-0000-0000-0000721A0000}"/>
    <cellStyle name="20% - Accent3 17 5" xfId="28609" xr:uid="{00000000-0005-0000-0000-0000731A0000}"/>
    <cellStyle name="20% - Accent3 17 5 2" xfId="28610" xr:uid="{00000000-0005-0000-0000-0000741A0000}"/>
    <cellStyle name="20% - Accent3 17 5 2 2" xfId="28611" xr:uid="{00000000-0005-0000-0000-0000751A0000}"/>
    <cellStyle name="20% - Accent3 17 5 2 2 2" xfId="28612" xr:uid="{00000000-0005-0000-0000-0000761A0000}"/>
    <cellStyle name="20% - Accent3 17 5 2 3" xfId="28613" xr:uid="{00000000-0005-0000-0000-0000771A0000}"/>
    <cellStyle name="20% - Accent3 17 5 3" xfId="28614" xr:uid="{00000000-0005-0000-0000-0000781A0000}"/>
    <cellStyle name="20% - Accent3 17 5 3 2" xfId="28615" xr:uid="{00000000-0005-0000-0000-0000791A0000}"/>
    <cellStyle name="20% - Accent3 17 5 4" xfId="28616" xr:uid="{00000000-0005-0000-0000-00007A1A0000}"/>
    <cellStyle name="20% - Accent3 17 6" xfId="28617" xr:uid="{00000000-0005-0000-0000-00007B1A0000}"/>
    <cellStyle name="20% - Accent3 17 6 2" xfId="28618" xr:uid="{00000000-0005-0000-0000-00007C1A0000}"/>
    <cellStyle name="20% - Accent3 17 6 2 2" xfId="28619" xr:uid="{00000000-0005-0000-0000-00007D1A0000}"/>
    <cellStyle name="20% - Accent3 17 6 3" xfId="28620" xr:uid="{00000000-0005-0000-0000-00007E1A0000}"/>
    <cellStyle name="20% - Accent3 17 7" xfId="28621" xr:uid="{00000000-0005-0000-0000-00007F1A0000}"/>
    <cellStyle name="20% - Accent3 17 7 2" xfId="28622" xr:uid="{00000000-0005-0000-0000-0000801A0000}"/>
    <cellStyle name="20% - Accent3 17 8" xfId="28623" xr:uid="{00000000-0005-0000-0000-0000811A0000}"/>
    <cellStyle name="20% - Accent3 18" xfId="28624" xr:uid="{00000000-0005-0000-0000-0000821A0000}"/>
    <cellStyle name="20% - Accent3 18 2" xfId="28625" xr:uid="{00000000-0005-0000-0000-0000831A0000}"/>
    <cellStyle name="20% - Accent3 18 2 2" xfId="28626" xr:uid="{00000000-0005-0000-0000-0000841A0000}"/>
    <cellStyle name="20% - Accent3 18 2 2 2" xfId="28627" xr:uid="{00000000-0005-0000-0000-0000851A0000}"/>
    <cellStyle name="20% - Accent3 18 2 2 2 2" xfId="28628" xr:uid="{00000000-0005-0000-0000-0000861A0000}"/>
    <cellStyle name="20% - Accent3 18 2 2 3" xfId="28629" xr:uid="{00000000-0005-0000-0000-0000871A0000}"/>
    <cellStyle name="20% - Accent3 18 2 3" xfId="28630" xr:uid="{00000000-0005-0000-0000-0000881A0000}"/>
    <cellStyle name="20% - Accent3 18 2 3 2" xfId="28631" xr:uid="{00000000-0005-0000-0000-0000891A0000}"/>
    <cellStyle name="20% - Accent3 18 2 4" xfId="28632" xr:uid="{00000000-0005-0000-0000-00008A1A0000}"/>
    <cellStyle name="20% - Accent3 18 3" xfId="28633" xr:uid="{00000000-0005-0000-0000-00008B1A0000}"/>
    <cellStyle name="20% - Accent3 18 3 2" xfId="28634" xr:uid="{00000000-0005-0000-0000-00008C1A0000}"/>
    <cellStyle name="20% - Accent3 18 3 2 2" xfId="28635" xr:uid="{00000000-0005-0000-0000-00008D1A0000}"/>
    <cellStyle name="20% - Accent3 18 3 2 2 2" xfId="28636" xr:uid="{00000000-0005-0000-0000-00008E1A0000}"/>
    <cellStyle name="20% - Accent3 18 3 2 3" xfId="28637" xr:uid="{00000000-0005-0000-0000-00008F1A0000}"/>
    <cellStyle name="20% - Accent3 18 3 3" xfId="28638" xr:uid="{00000000-0005-0000-0000-0000901A0000}"/>
    <cellStyle name="20% - Accent3 18 3 3 2" xfId="28639" xr:uid="{00000000-0005-0000-0000-0000911A0000}"/>
    <cellStyle name="20% - Accent3 18 3 4" xfId="28640" xr:uid="{00000000-0005-0000-0000-0000921A0000}"/>
    <cellStyle name="20% - Accent3 18 4" xfId="28641" xr:uid="{00000000-0005-0000-0000-0000931A0000}"/>
    <cellStyle name="20% - Accent3 18 4 2" xfId="28642" xr:uid="{00000000-0005-0000-0000-0000941A0000}"/>
    <cellStyle name="20% - Accent3 18 4 2 2" xfId="28643" xr:uid="{00000000-0005-0000-0000-0000951A0000}"/>
    <cellStyle name="20% - Accent3 18 4 3" xfId="28644" xr:uid="{00000000-0005-0000-0000-0000961A0000}"/>
    <cellStyle name="20% - Accent3 18 5" xfId="28645" xr:uid="{00000000-0005-0000-0000-0000971A0000}"/>
    <cellStyle name="20% - Accent3 18 5 2" xfId="28646" xr:uid="{00000000-0005-0000-0000-0000981A0000}"/>
    <cellStyle name="20% - Accent3 18 6" xfId="28647" xr:uid="{00000000-0005-0000-0000-0000991A0000}"/>
    <cellStyle name="20% - Accent3 19" xfId="28648" xr:uid="{00000000-0005-0000-0000-00009A1A0000}"/>
    <cellStyle name="20% - Accent3 19 2" xfId="28649" xr:uid="{00000000-0005-0000-0000-00009B1A0000}"/>
    <cellStyle name="20% - Accent3 19 2 2" xfId="28650" xr:uid="{00000000-0005-0000-0000-00009C1A0000}"/>
    <cellStyle name="20% - Accent3 19 3" xfId="28651" xr:uid="{00000000-0005-0000-0000-00009D1A0000}"/>
    <cellStyle name="20% - Accent3 2" xfId="85" xr:uid="{00000000-0005-0000-0000-00009E1A0000}"/>
    <cellStyle name="20% - Accent3 2 10" xfId="997" xr:uid="{00000000-0005-0000-0000-00009F1A0000}"/>
    <cellStyle name="20% - Accent3 2 10 10" xfId="44998" xr:uid="{00000000-0005-0000-0000-0000A01A0000}"/>
    <cellStyle name="20% - Accent3 2 10 11" xfId="50476" xr:uid="{00000000-0005-0000-0000-0000A11A0000}"/>
    <cellStyle name="20% - Accent3 2 10 2" xfId="2758" xr:uid="{00000000-0005-0000-0000-0000A21A0000}"/>
    <cellStyle name="20% - Accent3 2 10 2 2" xfId="8238" xr:uid="{00000000-0005-0000-0000-0000A31A0000}"/>
    <cellStyle name="20% - Accent3 2 10 2 3" xfId="13714" xr:uid="{00000000-0005-0000-0000-0000A41A0000}"/>
    <cellStyle name="20% - Accent3 2 10 2 4" xfId="19190" xr:uid="{00000000-0005-0000-0000-0000A51A0000}"/>
    <cellStyle name="20% - Accent3 2 10 2 5" xfId="24666" xr:uid="{00000000-0005-0000-0000-0000A61A0000}"/>
    <cellStyle name="20% - Accent3 2 10 2 6" xfId="36462" xr:uid="{00000000-0005-0000-0000-0000A71A0000}"/>
    <cellStyle name="20% - Accent3 2 10 2 7" xfId="41939" xr:uid="{00000000-0005-0000-0000-0000A81A0000}"/>
    <cellStyle name="20% - Accent3 2 10 2 8" xfId="47416" xr:uid="{00000000-0005-0000-0000-0000A91A0000}"/>
    <cellStyle name="20% - Accent3 2 10 2 9" xfId="52934" xr:uid="{00000000-0005-0000-0000-0000AA1A0000}"/>
    <cellStyle name="20% - Accent3 2 10 3" xfId="4530" xr:uid="{00000000-0005-0000-0000-0000AB1A0000}"/>
    <cellStyle name="20% - Accent3 2 10 3 2" xfId="10010" xr:uid="{00000000-0005-0000-0000-0000AC1A0000}"/>
    <cellStyle name="20% - Accent3 2 10 3 3" xfId="15486" xr:uid="{00000000-0005-0000-0000-0000AD1A0000}"/>
    <cellStyle name="20% - Accent3 2 10 3 4" xfId="20962" xr:uid="{00000000-0005-0000-0000-0000AE1A0000}"/>
    <cellStyle name="20% - Accent3 2 10 3 5" xfId="26438" xr:uid="{00000000-0005-0000-0000-0000AF1A0000}"/>
    <cellStyle name="20% - Accent3 2 10 3 6" xfId="38234" xr:uid="{00000000-0005-0000-0000-0000B01A0000}"/>
    <cellStyle name="20% - Accent3 2 10 3 7" xfId="43711" xr:uid="{00000000-0005-0000-0000-0000B11A0000}"/>
    <cellStyle name="20% - Accent3 2 10 3 8" xfId="49188" xr:uid="{00000000-0005-0000-0000-0000B21A0000}"/>
    <cellStyle name="20% - Accent3 2 10 3 9" xfId="54706" xr:uid="{00000000-0005-0000-0000-0000B31A0000}"/>
    <cellStyle name="20% - Accent3 2 10 4" xfId="5817" xr:uid="{00000000-0005-0000-0000-0000B41A0000}"/>
    <cellStyle name="20% - Accent3 2 10 5" xfId="11297" xr:uid="{00000000-0005-0000-0000-0000B51A0000}"/>
    <cellStyle name="20% - Accent3 2 10 6" xfId="16773" xr:uid="{00000000-0005-0000-0000-0000B61A0000}"/>
    <cellStyle name="20% - Accent3 2 10 7" xfId="22249" xr:uid="{00000000-0005-0000-0000-0000B71A0000}"/>
    <cellStyle name="20% - Accent3 2 10 8" xfId="34044" xr:uid="{00000000-0005-0000-0000-0000B81A0000}"/>
    <cellStyle name="20% - Accent3 2 10 9" xfId="39521" xr:uid="{00000000-0005-0000-0000-0000B91A0000}"/>
    <cellStyle name="20% - Accent3 2 11" xfId="1014" xr:uid="{00000000-0005-0000-0000-0000BA1A0000}"/>
    <cellStyle name="20% - Accent3 2 11 10" xfId="44999" xr:uid="{00000000-0005-0000-0000-0000BB1A0000}"/>
    <cellStyle name="20% - Accent3 2 11 11" xfId="50477" xr:uid="{00000000-0005-0000-0000-0000BC1A0000}"/>
    <cellStyle name="20% - Accent3 2 11 2" xfId="2775" xr:uid="{00000000-0005-0000-0000-0000BD1A0000}"/>
    <cellStyle name="20% - Accent3 2 11 2 2" xfId="8255" xr:uid="{00000000-0005-0000-0000-0000BE1A0000}"/>
    <cellStyle name="20% - Accent3 2 11 2 3" xfId="13731" xr:uid="{00000000-0005-0000-0000-0000BF1A0000}"/>
    <cellStyle name="20% - Accent3 2 11 2 4" xfId="19207" xr:uid="{00000000-0005-0000-0000-0000C01A0000}"/>
    <cellStyle name="20% - Accent3 2 11 2 5" xfId="24683" xr:uid="{00000000-0005-0000-0000-0000C11A0000}"/>
    <cellStyle name="20% - Accent3 2 11 2 6" xfId="36479" xr:uid="{00000000-0005-0000-0000-0000C21A0000}"/>
    <cellStyle name="20% - Accent3 2 11 2 7" xfId="41956" xr:uid="{00000000-0005-0000-0000-0000C31A0000}"/>
    <cellStyle name="20% - Accent3 2 11 2 8" xfId="47433" xr:uid="{00000000-0005-0000-0000-0000C41A0000}"/>
    <cellStyle name="20% - Accent3 2 11 2 9" xfId="52951" xr:uid="{00000000-0005-0000-0000-0000C51A0000}"/>
    <cellStyle name="20% - Accent3 2 11 3" xfId="4547" xr:uid="{00000000-0005-0000-0000-0000C61A0000}"/>
    <cellStyle name="20% - Accent3 2 11 3 2" xfId="10027" xr:uid="{00000000-0005-0000-0000-0000C71A0000}"/>
    <cellStyle name="20% - Accent3 2 11 3 3" xfId="15503" xr:uid="{00000000-0005-0000-0000-0000C81A0000}"/>
    <cellStyle name="20% - Accent3 2 11 3 4" xfId="20979" xr:uid="{00000000-0005-0000-0000-0000C91A0000}"/>
    <cellStyle name="20% - Accent3 2 11 3 5" xfId="26455" xr:uid="{00000000-0005-0000-0000-0000CA1A0000}"/>
    <cellStyle name="20% - Accent3 2 11 3 6" xfId="38251" xr:uid="{00000000-0005-0000-0000-0000CB1A0000}"/>
    <cellStyle name="20% - Accent3 2 11 3 7" xfId="43728" xr:uid="{00000000-0005-0000-0000-0000CC1A0000}"/>
    <cellStyle name="20% - Accent3 2 11 3 8" xfId="49205" xr:uid="{00000000-0005-0000-0000-0000CD1A0000}"/>
    <cellStyle name="20% - Accent3 2 11 3 9" xfId="54723" xr:uid="{00000000-0005-0000-0000-0000CE1A0000}"/>
    <cellStyle name="20% - Accent3 2 11 4" xfId="5818" xr:uid="{00000000-0005-0000-0000-0000CF1A0000}"/>
    <cellStyle name="20% - Accent3 2 11 5" xfId="11298" xr:uid="{00000000-0005-0000-0000-0000D01A0000}"/>
    <cellStyle name="20% - Accent3 2 11 6" xfId="16774" xr:uid="{00000000-0005-0000-0000-0000D11A0000}"/>
    <cellStyle name="20% - Accent3 2 11 7" xfId="22250" xr:uid="{00000000-0005-0000-0000-0000D21A0000}"/>
    <cellStyle name="20% - Accent3 2 11 8" xfId="34045" xr:uid="{00000000-0005-0000-0000-0000D31A0000}"/>
    <cellStyle name="20% - Accent3 2 11 9" xfId="39522" xr:uid="{00000000-0005-0000-0000-0000D41A0000}"/>
    <cellStyle name="20% - Accent3 2 12" xfId="1049" xr:uid="{00000000-0005-0000-0000-0000D51A0000}"/>
    <cellStyle name="20% - Accent3 2 12 10" xfId="45000" xr:uid="{00000000-0005-0000-0000-0000D61A0000}"/>
    <cellStyle name="20% - Accent3 2 12 11" xfId="50478" xr:uid="{00000000-0005-0000-0000-0000D71A0000}"/>
    <cellStyle name="20% - Accent3 2 12 2" xfId="2810" xr:uid="{00000000-0005-0000-0000-0000D81A0000}"/>
    <cellStyle name="20% - Accent3 2 12 2 2" xfId="8290" xr:uid="{00000000-0005-0000-0000-0000D91A0000}"/>
    <cellStyle name="20% - Accent3 2 12 2 3" xfId="13766" xr:uid="{00000000-0005-0000-0000-0000DA1A0000}"/>
    <cellStyle name="20% - Accent3 2 12 2 4" xfId="19242" xr:uid="{00000000-0005-0000-0000-0000DB1A0000}"/>
    <cellStyle name="20% - Accent3 2 12 2 5" xfId="24718" xr:uid="{00000000-0005-0000-0000-0000DC1A0000}"/>
    <cellStyle name="20% - Accent3 2 12 2 6" xfId="36514" xr:uid="{00000000-0005-0000-0000-0000DD1A0000}"/>
    <cellStyle name="20% - Accent3 2 12 2 7" xfId="41991" xr:uid="{00000000-0005-0000-0000-0000DE1A0000}"/>
    <cellStyle name="20% - Accent3 2 12 2 8" xfId="47468" xr:uid="{00000000-0005-0000-0000-0000DF1A0000}"/>
    <cellStyle name="20% - Accent3 2 12 2 9" xfId="52986" xr:uid="{00000000-0005-0000-0000-0000E01A0000}"/>
    <cellStyle name="20% - Accent3 2 12 3" xfId="4582" xr:uid="{00000000-0005-0000-0000-0000E11A0000}"/>
    <cellStyle name="20% - Accent3 2 12 3 2" xfId="10062" xr:uid="{00000000-0005-0000-0000-0000E21A0000}"/>
    <cellStyle name="20% - Accent3 2 12 3 3" xfId="15538" xr:uid="{00000000-0005-0000-0000-0000E31A0000}"/>
    <cellStyle name="20% - Accent3 2 12 3 4" xfId="21014" xr:uid="{00000000-0005-0000-0000-0000E41A0000}"/>
    <cellStyle name="20% - Accent3 2 12 3 5" xfId="26490" xr:uid="{00000000-0005-0000-0000-0000E51A0000}"/>
    <cellStyle name="20% - Accent3 2 12 3 6" xfId="38286" xr:uid="{00000000-0005-0000-0000-0000E61A0000}"/>
    <cellStyle name="20% - Accent3 2 12 3 7" xfId="43763" xr:uid="{00000000-0005-0000-0000-0000E71A0000}"/>
    <cellStyle name="20% - Accent3 2 12 3 8" xfId="49240" xr:uid="{00000000-0005-0000-0000-0000E81A0000}"/>
    <cellStyle name="20% - Accent3 2 12 3 9" xfId="54758" xr:uid="{00000000-0005-0000-0000-0000E91A0000}"/>
    <cellStyle name="20% - Accent3 2 12 4" xfId="5819" xr:uid="{00000000-0005-0000-0000-0000EA1A0000}"/>
    <cellStyle name="20% - Accent3 2 12 5" xfId="11299" xr:uid="{00000000-0005-0000-0000-0000EB1A0000}"/>
    <cellStyle name="20% - Accent3 2 12 6" xfId="16775" xr:uid="{00000000-0005-0000-0000-0000EC1A0000}"/>
    <cellStyle name="20% - Accent3 2 12 7" xfId="22251" xr:uid="{00000000-0005-0000-0000-0000ED1A0000}"/>
    <cellStyle name="20% - Accent3 2 12 8" xfId="34046" xr:uid="{00000000-0005-0000-0000-0000EE1A0000}"/>
    <cellStyle name="20% - Accent3 2 12 9" xfId="39523" xr:uid="{00000000-0005-0000-0000-0000EF1A0000}"/>
    <cellStyle name="20% - Accent3 2 13" xfId="1221" xr:uid="{00000000-0005-0000-0000-0000F01A0000}"/>
    <cellStyle name="20% - Accent3 2 13 10" xfId="45001" xr:uid="{00000000-0005-0000-0000-0000F11A0000}"/>
    <cellStyle name="20% - Accent3 2 13 11" xfId="50479" xr:uid="{00000000-0005-0000-0000-0000F21A0000}"/>
    <cellStyle name="20% - Accent3 2 13 2" xfId="2982" xr:uid="{00000000-0005-0000-0000-0000F31A0000}"/>
    <cellStyle name="20% - Accent3 2 13 2 2" xfId="8462" xr:uid="{00000000-0005-0000-0000-0000F41A0000}"/>
    <cellStyle name="20% - Accent3 2 13 2 3" xfId="13938" xr:uid="{00000000-0005-0000-0000-0000F51A0000}"/>
    <cellStyle name="20% - Accent3 2 13 2 4" xfId="19414" xr:uid="{00000000-0005-0000-0000-0000F61A0000}"/>
    <cellStyle name="20% - Accent3 2 13 2 5" xfId="24890" xr:uid="{00000000-0005-0000-0000-0000F71A0000}"/>
    <cellStyle name="20% - Accent3 2 13 2 6" xfId="36686" xr:uid="{00000000-0005-0000-0000-0000F81A0000}"/>
    <cellStyle name="20% - Accent3 2 13 2 7" xfId="42163" xr:uid="{00000000-0005-0000-0000-0000F91A0000}"/>
    <cellStyle name="20% - Accent3 2 13 2 8" xfId="47640" xr:uid="{00000000-0005-0000-0000-0000FA1A0000}"/>
    <cellStyle name="20% - Accent3 2 13 2 9" xfId="53158" xr:uid="{00000000-0005-0000-0000-0000FB1A0000}"/>
    <cellStyle name="20% - Accent3 2 13 3" xfId="4754" xr:uid="{00000000-0005-0000-0000-0000FC1A0000}"/>
    <cellStyle name="20% - Accent3 2 13 3 2" xfId="10234" xr:uid="{00000000-0005-0000-0000-0000FD1A0000}"/>
    <cellStyle name="20% - Accent3 2 13 3 3" xfId="15710" xr:uid="{00000000-0005-0000-0000-0000FE1A0000}"/>
    <cellStyle name="20% - Accent3 2 13 3 4" xfId="21186" xr:uid="{00000000-0005-0000-0000-0000FF1A0000}"/>
    <cellStyle name="20% - Accent3 2 13 3 5" xfId="26662" xr:uid="{00000000-0005-0000-0000-0000001B0000}"/>
    <cellStyle name="20% - Accent3 2 13 3 6" xfId="38458" xr:uid="{00000000-0005-0000-0000-0000011B0000}"/>
    <cellStyle name="20% - Accent3 2 13 3 7" xfId="43935" xr:uid="{00000000-0005-0000-0000-0000021B0000}"/>
    <cellStyle name="20% - Accent3 2 13 3 8" xfId="49412" xr:uid="{00000000-0005-0000-0000-0000031B0000}"/>
    <cellStyle name="20% - Accent3 2 13 3 9" xfId="54930" xr:uid="{00000000-0005-0000-0000-0000041B0000}"/>
    <cellStyle name="20% - Accent3 2 13 4" xfId="5820" xr:uid="{00000000-0005-0000-0000-0000051B0000}"/>
    <cellStyle name="20% - Accent3 2 13 5" xfId="11300" xr:uid="{00000000-0005-0000-0000-0000061B0000}"/>
    <cellStyle name="20% - Accent3 2 13 6" xfId="16776" xr:uid="{00000000-0005-0000-0000-0000071B0000}"/>
    <cellStyle name="20% - Accent3 2 13 7" xfId="22252" xr:uid="{00000000-0005-0000-0000-0000081B0000}"/>
    <cellStyle name="20% - Accent3 2 13 8" xfId="34047" xr:uid="{00000000-0005-0000-0000-0000091B0000}"/>
    <cellStyle name="20% - Accent3 2 13 9" xfId="39524" xr:uid="{00000000-0005-0000-0000-00000A1B0000}"/>
    <cellStyle name="20% - Accent3 2 14" xfId="1393" xr:uid="{00000000-0005-0000-0000-00000B1B0000}"/>
    <cellStyle name="20% - Accent3 2 14 10" xfId="45002" xr:uid="{00000000-0005-0000-0000-00000C1B0000}"/>
    <cellStyle name="20% - Accent3 2 14 11" xfId="50480" xr:uid="{00000000-0005-0000-0000-00000D1B0000}"/>
    <cellStyle name="20% - Accent3 2 14 2" xfId="3154" xr:uid="{00000000-0005-0000-0000-00000E1B0000}"/>
    <cellStyle name="20% - Accent3 2 14 2 2" xfId="8634" xr:uid="{00000000-0005-0000-0000-00000F1B0000}"/>
    <cellStyle name="20% - Accent3 2 14 2 3" xfId="14110" xr:uid="{00000000-0005-0000-0000-0000101B0000}"/>
    <cellStyle name="20% - Accent3 2 14 2 4" xfId="19586" xr:uid="{00000000-0005-0000-0000-0000111B0000}"/>
    <cellStyle name="20% - Accent3 2 14 2 5" xfId="25062" xr:uid="{00000000-0005-0000-0000-0000121B0000}"/>
    <cellStyle name="20% - Accent3 2 14 2 6" xfId="36858" xr:uid="{00000000-0005-0000-0000-0000131B0000}"/>
    <cellStyle name="20% - Accent3 2 14 2 7" xfId="42335" xr:uid="{00000000-0005-0000-0000-0000141B0000}"/>
    <cellStyle name="20% - Accent3 2 14 2 8" xfId="47812" xr:uid="{00000000-0005-0000-0000-0000151B0000}"/>
    <cellStyle name="20% - Accent3 2 14 2 9" xfId="53330" xr:uid="{00000000-0005-0000-0000-0000161B0000}"/>
    <cellStyle name="20% - Accent3 2 14 3" xfId="4926" xr:uid="{00000000-0005-0000-0000-0000171B0000}"/>
    <cellStyle name="20% - Accent3 2 14 3 2" xfId="10406" xr:uid="{00000000-0005-0000-0000-0000181B0000}"/>
    <cellStyle name="20% - Accent3 2 14 3 3" xfId="15882" xr:uid="{00000000-0005-0000-0000-0000191B0000}"/>
    <cellStyle name="20% - Accent3 2 14 3 4" xfId="21358" xr:uid="{00000000-0005-0000-0000-00001A1B0000}"/>
    <cellStyle name="20% - Accent3 2 14 3 5" xfId="26834" xr:uid="{00000000-0005-0000-0000-00001B1B0000}"/>
    <cellStyle name="20% - Accent3 2 14 3 6" xfId="38630" xr:uid="{00000000-0005-0000-0000-00001C1B0000}"/>
    <cellStyle name="20% - Accent3 2 14 3 7" xfId="44107" xr:uid="{00000000-0005-0000-0000-00001D1B0000}"/>
    <cellStyle name="20% - Accent3 2 14 3 8" xfId="49584" xr:uid="{00000000-0005-0000-0000-00001E1B0000}"/>
    <cellStyle name="20% - Accent3 2 14 3 9" xfId="55102" xr:uid="{00000000-0005-0000-0000-00001F1B0000}"/>
    <cellStyle name="20% - Accent3 2 14 4" xfId="5821" xr:uid="{00000000-0005-0000-0000-0000201B0000}"/>
    <cellStyle name="20% - Accent3 2 14 5" xfId="11301" xr:uid="{00000000-0005-0000-0000-0000211B0000}"/>
    <cellStyle name="20% - Accent3 2 14 6" xfId="16777" xr:uid="{00000000-0005-0000-0000-0000221B0000}"/>
    <cellStyle name="20% - Accent3 2 14 7" xfId="22253" xr:uid="{00000000-0005-0000-0000-0000231B0000}"/>
    <cellStyle name="20% - Accent3 2 14 8" xfId="34048" xr:uid="{00000000-0005-0000-0000-0000241B0000}"/>
    <cellStyle name="20% - Accent3 2 14 9" xfId="39525" xr:uid="{00000000-0005-0000-0000-0000251B0000}"/>
    <cellStyle name="20% - Accent3 2 15" xfId="1565" xr:uid="{00000000-0005-0000-0000-0000261B0000}"/>
    <cellStyle name="20% - Accent3 2 15 10" xfId="45003" xr:uid="{00000000-0005-0000-0000-0000271B0000}"/>
    <cellStyle name="20% - Accent3 2 15 11" xfId="50481" xr:uid="{00000000-0005-0000-0000-0000281B0000}"/>
    <cellStyle name="20% - Accent3 2 15 2" xfId="3326" xr:uid="{00000000-0005-0000-0000-0000291B0000}"/>
    <cellStyle name="20% - Accent3 2 15 2 2" xfId="8806" xr:uid="{00000000-0005-0000-0000-00002A1B0000}"/>
    <cellStyle name="20% - Accent3 2 15 2 3" xfId="14282" xr:uid="{00000000-0005-0000-0000-00002B1B0000}"/>
    <cellStyle name="20% - Accent3 2 15 2 4" xfId="19758" xr:uid="{00000000-0005-0000-0000-00002C1B0000}"/>
    <cellStyle name="20% - Accent3 2 15 2 5" xfId="25234" xr:uid="{00000000-0005-0000-0000-00002D1B0000}"/>
    <cellStyle name="20% - Accent3 2 15 2 6" xfId="37030" xr:uid="{00000000-0005-0000-0000-00002E1B0000}"/>
    <cellStyle name="20% - Accent3 2 15 2 7" xfId="42507" xr:uid="{00000000-0005-0000-0000-00002F1B0000}"/>
    <cellStyle name="20% - Accent3 2 15 2 8" xfId="47984" xr:uid="{00000000-0005-0000-0000-0000301B0000}"/>
    <cellStyle name="20% - Accent3 2 15 2 9" xfId="53502" xr:uid="{00000000-0005-0000-0000-0000311B0000}"/>
    <cellStyle name="20% - Accent3 2 15 3" xfId="5098" xr:uid="{00000000-0005-0000-0000-0000321B0000}"/>
    <cellStyle name="20% - Accent3 2 15 3 2" xfId="10578" xr:uid="{00000000-0005-0000-0000-0000331B0000}"/>
    <cellStyle name="20% - Accent3 2 15 3 3" xfId="16054" xr:uid="{00000000-0005-0000-0000-0000341B0000}"/>
    <cellStyle name="20% - Accent3 2 15 3 4" xfId="21530" xr:uid="{00000000-0005-0000-0000-0000351B0000}"/>
    <cellStyle name="20% - Accent3 2 15 3 5" xfId="27006" xr:uid="{00000000-0005-0000-0000-0000361B0000}"/>
    <cellStyle name="20% - Accent3 2 15 3 6" xfId="38802" xr:uid="{00000000-0005-0000-0000-0000371B0000}"/>
    <cellStyle name="20% - Accent3 2 15 3 7" xfId="44279" xr:uid="{00000000-0005-0000-0000-0000381B0000}"/>
    <cellStyle name="20% - Accent3 2 15 3 8" xfId="49756" xr:uid="{00000000-0005-0000-0000-0000391B0000}"/>
    <cellStyle name="20% - Accent3 2 15 3 9" xfId="55274" xr:uid="{00000000-0005-0000-0000-00003A1B0000}"/>
    <cellStyle name="20% - Accent3 2 15 4" xfId="5822" xr:uid="{00000000-0005-0000-0000-00003B1B0000}"/>
    <cellStyle name="20% - Accent3 2 15 5" xfId="11302" xr:uid="{00000000-0005-0000-0000-00003C1B0000}"/>
    <cellStyle name="20% - Accent3 2 15 6" xfId="16778" xr:uid="{00000000-0005-0000-0000-00003D1B0000}"/>
    <cellStyle name="20% - Accent3 2 15 7" xfId="22254" xr:uid="{00000000-0005-0000-0000-00003E1B0000}"/>
    <cellStyle name="20% - Accent3 2 15 8" xfId="34049" xr:uid="{00000000-0005-0000-0000-00003F1B0000}"/>
    <cellStyle name="20% - Accent3 2 15 9" xfId="39526" xr:uid="{00000000-0005-0000-0000-0000401B0000}"/>
    <cellStyle name="20% - Accent3 2 16" xfId="1719" xr:uid="{00000000-0005-0000-0000-0000411B0000}"/>
    <cellStyle name="20% - Accent3 2 16 10" xfId="45004" xr:uid="{00000000-0005-0000-0000-0000421B0000}"/>
    <cellStyle name="20% - Accent3 2 16 11" xfId="50482" xr:uid="{00000000-0005-0000-0000-0000431B0000}"/>
    <cellStyle name="20% - Accent3 2 16 2" xfId="3480" xr:uid="{00000000-0005-0000-0000-0000441B0000}"/>
    <cellStyle name="20% - Accent3 2 16 2 2" xfId="8960" xr:uid="{00000000-0005-0000-0000-0000451B0000}"/>
    <cellStyle name="20% - Accent3 2 16 2 3" xfId="14436" xr:uid="{00000000-0005-0000-0000-0000461B0000}"/>
    <cellStyle name="20% - Accent3 2 16 2 4" xfId="19912" xr:uid="{00000000-0005-0000-0000-0000471B0000}"/>
    <cellStyle name="20% - Accent3 2 16 2 5" xfId="25388" xr:uid="{00000000-0005-0000-0000-0000481B0000}"/>
    <cellStyle name="20% - Accent3 2 16 2 6" xfId="37184" xr:uid="{00000000-0005-0000-0000-0000491B0000}"/>
    <cellStyle name="20% - Accent3 2 16 2 7" xfId="42661" xr:uid="{00000000-0005-0000-0000-00004A1B0000}"/>
    <cellStyle name="20% - Accent3 2 16 2 8" xfId="48138" xr:uid="{00000000-0005-0000-0000-00004B1B0000}"/>
    <cellStyle name="20% - Accent3 2 16 2 9" xfId="53656" xr:uid="{00000000-0005-0000-0000-00004C1B0000}"/>
    <cellStyle name="20% - Accent3 2 16 3" xfId="5252" xr:uid="{00000000-0005-0000-0000-00004D1B0000}"/>
    <cellStyle name="20% - Accent3 2 16 3 2" xfId="10732" xr:uid="{00000000-0005-0000-0000-00004E1B0000}"/>
    <cellStyle name="20% - Accent3 2 16 3 3" xfId="16208" xr:uid="{00000000-0005-0000-0000-00004F1B0000}"/>
    <cellStyle name="20% - Accent3 2 16 3 4" xfId="21684" xr:uid="{00000000-0005-0000-0000-0000501B0000}"/>
    <cellStyle name="20% - Accent3 2 16 3 5" xfId="27160" xr:uid="{00000000-0005-0000-0000-0000511B0000}"/>
    <cellStyle name="20% - Accent3 2 16 3 6" xfId="38956" xr:uid="{00000000-0005-0000-0000-0000521B0000}"/>
    <cellStyle name="20% - Accent3 2 16 3 7" xfId="44433" xr:uid="{00000000-0005-0000-0000-0000531B0000}"/>
    <cellStyle name="20% - Accent3 2 16 3 8" xfId="49910" xr:uid="{00000000-0005-0000-0000-0000541B0000}"/>
    <cellStyle name="20% - Accent3 2 16 3 9" xfId="55428" xr:uid="{00000000-0005-0000-0000-0000551B0000}"/>
    <cellStyle name="20% - Accent3 2 16 4" xfId="5823" xr:uid="{00000000-0005-0000-0000-0000561B0000}"/>
    <cellStyle name="20% - Accent3 2 16 5" xfId="11303" xr:uid="{00000000-0005-0000-0000-0000571B0000}"/>
    <cellStyle name="20% - Accent3 2 16 6" xfId="16779" xr:uid="{00000000-0005-0000-0000-0000581B0000}"/>
    <cellStyle name="20% - Accent3 2 16 7" xfId="22255" xr:uid="{00000000-0005-0000-0000-0000591B0000}"/>
    <cellStyle name="20% - Accent3 2 16 8" xfId="34050" xr:uid="{00000000-0005-0000-0000-00005A1B0000}"/>
    <cellStyle name="20% - Accent3 2 16 9" xfId="39527" xr:uid="{00000000-0005-0000-0000-00005B1B0000}"/>
    <cellStyle name="20% - Accent3 2 17" xfId="1737" xr:uid="{00000000-0005-0000-0000-00005C1B0000}"/>
    <cellStyle name="20% - Accent3 2 17 10" xfId="45005" xr:uid="{00000000-0005-0000-0000-00005D1B0000}"/>
    <cellStyle name="20% - Accent3 2 17 11" xfId="50483" xr:uid="{00000000-0005-0000-0000-00005E1B0000}"/>
    <cellStyle name="20% - Accent3 2 17 2" xfId="3498" xr:uid="{00000000-0005-0000-0000-00005F1B0000}"/>
    <cellStyle name="20% - Accent3 2 17 2 2" xfId="8978" xr:uid="{00000000-0005-0000-0000-0000601B0000}"/>
    <cellStyle name="20% - Accent3 2 17 2 3" xfId="14454" xr:uid="{00000000-0005-0000-0000-0000611B0000}"/>
    <cellStyle name="20% - Accent3 2 17 2 4" xfId="19930" xr:uid="{00000000-0005-0000-0000-0000621B0000}"/>
    <cellStyle name="20% - Accent3 2 17 2 5" xfId="25406" xr:uid="{00000000-0005-0000-0000-0000631B0000}"/>
    <cellStyle name="20% - Accent3 2 17 2 6" xfId="37202" xr:uid="{00000000-0005-0000-0000-0000641B0000}"/>
    <cellStyle name="20% - Accent3 2 17 2 7" xfId="42679" xr:uid="{00000000-0005-0000-0000-0000651B0000}"/>
    <cellStyle name="20% - Accent3 2 17 2 8" xfId="48156" xr:uid="{00000000-0005-0000-0000-0000661B0000}"/>
    <cellStyle name="20% - Accent3 2 17 2 9" xfId="53674" xr:uid="{00000000-0005-0000-0000-0000671B0000}"/>
    <cellStyle name="20% - Accent3 2 17 3" xfId="5270" xr:uid="{00000000-0005-0000-0000-0000681B0000}"/>
    <cellStyle name="20% - Accent3 2 17 3 2" xfId="10750" xr:uid="{00000000-0005-0000-0000-0000691B0000}"/>
    <cellStyle name="20% - Accent3 2 17 3 3" xfId="16226" xr:uid="{00000000-0005-0000-0000-00006A1B0000}"/>
    <cellStyle name="20% - Accent3 2 17 3 4" xfId="21702" xr:uid="{00000000-0005-0000-0000-00006B1B0000}"/>
    <cellStyle name="20% - Accent3 2 17 3 5" xfId="27178" xr:uid="{00000000-0005-0000-0000-00006C1B0000}"/>
    <cellStyle name="20% - Accent3 2 17 3 6" xfId="38974" xr:uid="{00000000-0005-0000-0000-00006D1B0000}"/>
    <cellStyle name="20% - Accent3 2 17 3 7" xfId="44451" xr:uid="{00000000-0005-0000-0000-00006E1B0000}"/>
    <cellStyle name="20% - Accent3 2 17 3 8" xfId="49928" xr:uid="{00000000-0005-0000-0000-00006F1B0000}"/>
    <cellStyle name="20% - Accent3 2 17 3 9" xfId="55446" xr:uid="{00000000-0005-0000-0000-0000701B0000}"/>
    <cellStyle name="20% - Accent3 2 17 4" xfId="5824" xr:uid="{00000000-0005-0000-0000-0000711B0000}"/>
    <cellStyle name="20% - Accent3 2 17 5" xfId="11304" xr:uid="{00000000-0005-0000-0000-0000721B0000}"/>
    <cellStyle name="20% - Accent3 2 17 6" xfId="16780" xr:uid="{00000000-0005-0000-0000-0000731B0000}"/>
    <cellStyle name="20% - Accent3 2 17 7" xfId="22256" xr:uid="{00000000-0005-0000-0000-0000741B0000}"/>
    <cellStyle name="20% - Accent3 2 17 8" xfId="34051" xr:uid="{00000000-0005-0000-0000-0000751B0000}"/>
    <cellStyle name="20% - Accent3 2 17 9" xfId="39528" xr:uid="{00000000-0005-0000-0000-0000761B0000}"/>
    <cellStyle name="20% - Accent3 2 18" xfId="1927" xr:uid="{00000000-0005-0000-0000-0000771B0000}"/>
    <cellStyle name="20% - Accent3 2 18 10" xfId="52104" xr:uid="{00000000-0005-0000-0000-0000781B0000}"/>
    <cellStyle name="20% - Accent3 2 18 2" xfId="5459" xr:uid="{00000000-0005-0000-0000-0000791B0000}"/>
    <cellStyle name="20% - Accent3 2 18 2 2" xfId="10939" xr:uid="{00000000-0005-0000-0000-00007A1B0000}"/>
    <cellStyle name="20% - Accent3 2 18 2 3" xfId="16415" xr:uid="{00000000-0005-0000-0000-00007B1B0000}"/>
    <cellStyle name="20% - Accent3 2 18 2 4" xfId="21891" xr:uid="{00000000-0005-0000-0000-00007C1B0000}"/>
    <cellStyle name="20% - Accent3 2 18 2 5" xfId="27367" xr:uid="{00000000-0005-0000-0000-00007D1B0000}"/>
    <cellStyle name="20% - Accent3 2 18 2 6" xfId="39163" xr:uid="{00000000-0005-0000-0000-00007E1B0000}"/>
    <cellStyle name="20% - Accent3 2 18 2 7" xfId="44640" xr:uid="{00000000-0005-0000-0000-00007F1B0000}"/>
    <cellStyle name="20% - Accent3 2 18 2 8" xfId="50117" xr:uid="{00000000-0005-0000-0000-0000801B0000}"/>
    <cellStyle name="20% - Accent3 2 18 2 9" xfId="55635" xr:uid="{00000000-0005-0000-0000-0000811B0000}"/>
    <cellStyle name="20% - Accent3 2 18 3" xfId="7408" xr:uid="{00000000-0005-0000-0000-0000821B0000}"/>
    <cellStyle name="20% - Accent3 2 18 4" xfId="12884" xr:uid="{00000000-0005-0000-0000-0000831B0000}"/>
    <cellStyle name="20% - Accent3 2 18 5" xfId="18360" xr:uid="{00000000-0005-0000-0000-0000841B0000}"/>
    <cellStyle name="20% - Accent3 2 18 6" xfId="23836" xr:uid="{00000000-0005-0000-0000-0000851B0000}"/>
    <cellStyle name="20% - Accent3 2 18 7" xfId="35632" xr:uid="{00000000-0005-0000-0000-0000861B0000}"/>
    <cellStyle name="20% - Accent3 2 18 8" xfId="41109" xr:uid="{00000000-0005-0000-0000-0000871B0000}"/>
    <cellStyle name="20% - Accent3 2 18 9" xfId="46586" xr:uid="{00000000-0005-0000-0000-0000881B0000}"/>
    <cellStyle name="20% - Accent3 2 19" xfId="3687" xr:uid="{00000000-0005-0000-0000-0000891B0000}"/>
    <cellStyle name="20% - Accent3 2 19 2" xfId="9167" xr:uid="{00000000-0005-0000-0000-00008A1B0000}"/>
    <cellStyle name="20% - Accent3 2 19 3" xfId="14643" xr:uid="{00000000-0005-0000-0000-00008B1B0000}"/>
    <cellStyle name="20% - Accent3 2 19 4" xfId="20119" xr:uid="{00000000-0005-0000-0000-00008C1B0000}"/>
    <cellStyle name="20% - Accent3 2 19 5" xfId="25595" xr:uid="{00000000-0005-0000-0000-00008D1B0000}"/>
    <cellStyle name="20% - Accent3 2 19 6" xfId="37391" xr:uid="{00000000-0005-0000-0000-00008E1B0000}"/>
    <cellStyle name="20% - Accent3 2 19 7" xfId="42868" xr:uid="{00000000-0005-0000-0000-00008F1B0000}"/>
    <cellStyle name="20% - Accent3 2 19 8" xfId="48345" xr:uid="{00000000-0005-0000-0000-0000901B0000}"/>
    <cellStyle name="20% - Accent3 2 19 9" xfId="53863" xr:uid="{00000000-0005-0000-0000-0000911B0000}"/>
    <cellStyle name="20% - Accent3 2 2" xfId="132" xr:uid="{00000000-0005-0000-0000-0000921B0000}"/>
    <cellStyle name="20% - Accent3 2 2 10" xfId="1566" xr:uid="{00000000-0005-0000-0000-0000931B0000}"/>
    <cellStyle name="20% - Accent3 2 2 10 10" xfId="45007" xr:uid="{00000000-0005-0000-0000-0000941B0000}"/>
    <cellStyle name="20% - Accent3 2 2 10 11" xfId="50485" xr:uid="{00000000-0005-0000-0000-0000951B0000}"/>
    <cellStyle name="20% - Accent3 2 2 10 2" xfId="3327" xr:uid="{00000000-0005-0000-0000-0000961B0000}"/>
    <cellStyle name="20% - Accent3 2 2 10 2 2" xfId="8807" xr:uid="{00000000-0005-0000-0000-0000971B0000}"/>
    <cellStyle name="20% - Accent3 2 2 10 2 3" xfId="14283" xr:uid="{00000000-0005-0000-0000-0000981B0000}"/>
    <cellStyle name="20% - Accent3 2 2 10 2 4" xfId="19759" xr:uid="{00000000-0005-0000-0000-0000991B0000}"/>
    <cellStyle name="20% - Accent3 2 2 10 2 5" xfId="25235" xr:uid="{00000000-0005-0000-0000-00009A1B0000}"/>
    <cellStyle name="20% - Accent3 2 2 10 2 6" xfId="37031" xr:uid="{00000000-0005-0000-0000-00009B1B0000}"/>
    <cellStyle name="20% - Accent3 2 2 10 2 7" xfId="42508" xr:uid="{00000000-0005-0000-0000-00009C1B0000}"/>
    <cellStyle name="20% - Accent3 2 2 10 2 8" xfId="47985" xr:uid="{00000000-0005-0000-0000-00009D1B0000}"/>
    <cellStyle name="20% - Accent3 2 2 10 2 9" xfId="53503" xr:uid="{00000000-0005-0000-0000-00009E1B0000}"/>
    <cellStyle name="20% - Accent3 2 2 10 3" xfId="5099" xr:uid="{00000000-0005-0000-0000-00009F1B0000}"/>
    <cellStyle name="20% - Accent3 2 2 10 3 2" xfId="10579" xr:uid="{00000000-0005-0000-0000-0000A01B0000}"/>
    <cellStyle name="20% - Accent3 2 2 10 3 3" xfId="16055" xr:uid="{00000000-0005-0000-0000-0000A11B0000}"/>
    <cellStyle name="20% - Accent3 2 2 10 3 4" xfId="21531" xr:uid="{00000000-0005-0000-0000-0000A21B0000}"/>
    <cellStyle name="20% - Accent3 2 2 10 3 5" xfId="27007" xr:uid="{00000000-0005-0000-0000-0000A31B0000}"/>
    <cellStyle name="20% - Accent3 2 2 10 3 6" xfId="38803" xr:uid="{00000000-0005-0000-0000-0000A41B0000}"/>
    <cellStyle name="20% - Accent3 2 2 10 3 7" xfId="44280" xr:uid="{00000000-0005-0000-0000-0000A51B0000}"/>
    <cellStyle name="20% - Accent3 2 2 10 3 8" xfId="49757" xr:uid="{00000000-0005-0000-0000-0000A61B0000}"/>
    <cellStyle name="20% - Accent3 2 2 10 3 9" xfId="55275" xr:uid="{00000000-0005-0000-0000-0000A71B0000}"/>
    <cellStyle name="20% - Accent3 2 2 10 4" xfId="5826" xr:uid="{00000000-0005-0000-0000-0000A81B0000}"/>
    <cellStyle name="20% - Accent3 2 2 10 5" xfId="11306" xr:uid="{00000000-0005-0000-0000-0000A91B0000}"/>
    <cellStyle name="20% - Accent3 2 2 10 6" xfId="16782" xr:uid="{00000000-0005-0000-0000-0000AA1B0000}"/>
    <cellStyle name="20% - Accent3 2 2 10 7" xfId="22258" xr:uid="{00000000-0005-0000-0000-0000AB1B0000}"/>
    <cellStyle name="20% - Accent3 2 2 10 8" xfId="34053" xr:uid="{00000000-0005-0000-0000-0000AC1B0000}"/>
    <cellStyle name="20% - Accent3 2 2 10 9" xfId="39530" xr:uid="{00000000-0005-0000-0000-0000AD1B0000}"/>
    <cellStyle name="20% - Accent3 2 2 11" xfId="1788" xr:uid="{00000000-0005-0000-0000-0000AE1B0000}"/>
    <cellStyle name="20% - Accent3 2 2 11 10" xfId="45008" xr:uid="{00000000-0005-0000-0000-0000AF1B0000}"/>
    <cellStyle name="20% - Accent3 2 2 11 11" xfId="50486" xr:uid="{00000000-0005-0000-0000-0000B01B0000}"/>
    <cellStyle name="20% - Accent3 2 2 11 2" xfId="3549" xr:uid="{00000000-0005-0000-0000-0000B11B0000}"/>
    <cellStyle name="20% - Accent3 2 2 11 2 2" xfId="9029" xr:uid="{00000000-0005-0000-0000-0000B21B0000}"/>
    <cellStyle name="20% - Accent3 2 2 11 2 3" xfId="14505" xr:uid="{00000000-0005-0000-0000-0000B31B0000}"/>
    <cellStyle name="20% - Accent3 2 2 11 2 4" xfId="19981" xr:uid="{00000000-0005-0000-0000-0000B41B0000}"/>
    <cellStyle name="20% - Accent3 2 2 11 2 5" xfId="25457" xr:uid="{00000000-0005-0000-0000-0000B51B0000}"/>
    <cellStyle name="20% - Accent3 2 2 11 2 6" xfId="37253" xr:uid="{00000000-0005-0000-0000-0000B61B0000}"/>
    <cellStyle name="20% - Accent3 2 2 11 2 7" xfId="42730" xr:uid="{00000000-0005-0000-0000-0000B71B0000}"/>
    <cellStyle name="20% - Accent3 2 2 11 2 8" xfId="48207" xr:uid="{00000000-0005-0000-0000-0000B81B0000}"/>
    <cellStyle name="20% - Accent3 2 2 11 2 9" xfId="53725" xr:uid="{00000000-0005-0000-0000-0000B91B0000}"/>
    <cellStyle name="20% - Accent3 2 2 11 3" xfId="5321" xr:uid="{00000000-0005-0000-0000-0000BA1B0000}"/>
    <cellStyle name="20% - Accent3 2 2 11 3 2" xfId="10801" xr:uid="{00000000-0005-0000-0000-0000BB1B0000}"/>
    <cellStyle name="20% - Accent3 2 2 11 3 3" xfId="16277" xr:uid="{00000000-0005-0000-0000-0000BC1B0000}"/>
    <cellStyle name="20% - Accent3 2 2 11 3 4" xfId="21753" xr:uid="{00000000-0005-0000-0000-0000BD1B0000}"/>
    <cellStyle name="20% - Accent3 2 2 11 3 5" xfId="27229" xr:uid="{00000000-0005-0000-0000-0000BE1B0000}"/>
    <cellStyle name="20% - Accent3 2 2 11 3 6" xfId="39025" xr:uid="{00000000-0005-0000-0000-0000BF1B0000}"/>
    <cellStyle name="20% - Accent3 2 2 11 3 7" xfId="44502" xr:uid="{00000000-0005-0000-0000-0000C01B0000}"/>
    <cellStyle name="20% - Accent3 2 2 11 3 8" xfId="49979" xr:uid="{00000000-0005-0000-0000-0000C11B0000}"/>
    <cellStyle name="20% - Accent3 2 2 11 3 9" xfId="55497" xr:uid="{00000000-0005-0000-0000-0000C21B0000}"/>
    <cellStyle name="20% - Accent3 2 2 11 4" xfId="5827" xr:uid="{00000000-0005-0000-0000-0000C31B0000}"/>
    <cellStyle name="20% - Accent3 2 2 11 5" xfId="11307" xr:uid="{00000000-0005-0000-0000-0000C41B0000}"/>
    <cellStyle name="20% - Accent3 2 2 11 6" xfId="16783" xr:uid="{00000000-0005-0000-0000-0000C51B0000}"/>
    <cellStyle name="20% - Accent3 2 2 11 7" xfId="22259" xr:uid="{00000000-0005-0000-0000-0000C61B0000}"/>
    <cellStyle name="20% - Accent3 2 2 11 8" xfId="34054" xr:uid="{00000000-0005-0000-0000-0000C71B0000}"/>
    <cellStyle name="20% - Accent3 2 2 11 9" xfId="39531" xr:uid="{00000000-0005-0000-0000-0000C81B0000}"/>
    <cellStyle name="20% - Accent3 2 2 12" xfId="1928" xr:uid="{00000000-0005-0000-0000-0000C91B0000}"/>
    <cellStyle name="20% - Accent3 2 2 12 10" xfId="52105" xr:uid="{00000000-0005-0000-0000-0000CA1B0000}"/>
    <cellStyle name="20% - Accent3 2 2 12 2" xfId="5460" xr:uid="{00000000-0005-0000-0000-0000CB1B0000}"/>
    <cellStyle name="20% - Accent3 2 2 12 2 2" xfId="10940" xr:uid="{00000000-0005-0000-0000-0000CC1B0000}"/>
    <cellStyle name="20% - Accent3 2 2 12 2 3" xfId="16416" xr:uid="{00000000-0005-0000-0000-0000CD1B0000}"/>
    <cellStyle name="20% - Accent3 2 2 12 2 4" xfId="21892" xr:uid="{00000000-0005-0000-0000-0000CE1B0000}"/>
    <cellStyle name="20% - Accent3 2 2 12 2 5" xfId="27368" xr:uid="{00000000-0005-0000-0000-0000CF1B0000}"/>
    <cellStyle name="20% - Accent3 2 2 12 2 6" xfId="39164" xr:uid="{00000000-0005-0000-0000-0000D01B0000}"/>
    <cellStyle name="20% - Accent3 2 2 12 2 7" xfId="44641" xr:uid="{00000000-0005-0000-0000-0000D11B0000}"/>
    <cellStyle name="20% - Accent3 2 2 12 2 8" xfId="50118" xr:uid="{00000000-0005-0000-0000-0000D21B0000}"/>
    <cellStyle name="20% - Accent3 2 2 12 2 9" xfId="55636" xr:uid="{00000000-0005-0000-0000-0000D31B0000}"/>
    <cellStyle name="20% - Accent3 2 2 12 3" xfId="7409" xr:uid="{00000000-0005-0000-0000-0000D41B0000}"/>
    <cellStyle name="20% - Accent3 2 2 12 4" xfId="12885" xr:uid="{00000000-0005-0000-0000-0000D51B0000}"/>
    <cellStyle name="20% - Accent3 2 2 12 5" xfId="18361" xr:uid="{00000000-0005-0000-0000-0000D61B0000}"/>
    <cellStyle name="20% - Accent3 2 2 12 6" xfId="23837" xr:uid="{00000000-0005-0000-0000-0000D71B0000}"/>
    <cellStyle name="20% - Accent3 2 2 12 7" xfId="35633" xr:uid="{00000000-0005-0000-0000-0000D81B0000}"/>
    <cellStyle name="20% - Accent3 2 2 12 8" xfId="41110" xr:uid="{00000000-0005-0000-0000-0000D91B0000}"/>
    <cellStyle name="20% - Accent3 2 2 12 9" xfId="46587" xr:uid="{00000000-0005-0000-0000-0000DA1B0000}"/>
    <cellStyle name="20% - Accent3 2 2 13" xfId="3704" xr:uid="{00000000-0005-0000-0000-0000DB1B0000}"/>
    <cellStyle name="20% - Accent3 2 2 13 2" xfId="9184" xr:uid="{00000000-0005-0000-0000-0000DC1B0000}"/>
    <cellStyle name="20% - Accent3 2 2 13 3" xfId="14660" xr:uid="{00000000-0005-0000-0000-0000DD1B0000}"/>
    <cellStyle name="20% - Accent3 2 2 13 4" xfId="20136" xr:uid="{00000000-0005-0000-0000-0000DE1B0000}"/>
    <cellStyle name="20% - Accent3 2 2 13 5" xfId="25612" xr:uid="{00000000-0005-0000-0000-0000DF1B0000}"/>
    <cellStyle name="20% - Accent3 2 2 13 6" xfId="37408" xr:uid="{00000000-0005-0000-0000-0000E01B0000}"/>
    <cellStyle name="20% - Accent3 2 2 13 7" xfId="42885" xr:uid="{00000000-0005-0000-0000-0000E11B0000}"/>
    <cellStyle name="20% - Accent3 2 2 13 8" xfId="48362" xr:uid="{00000000-0005-0000-0000-0000E21B0000}"/>
    <cellStyle name="20% - Accent3 2 2 13 9" xfId="53880" xr:uid="{00000000-0005-0000-0000-0000E31B0000}"/>
    <cellStyle name="20% - Accent3 2 2 14" xfId="5825" xr:uid="{00000000-0005-0000-0000-0000E41B0000}"/>
    <cellStyle name="20% - Accent3 2 2 15" xfId="11305" xr:uid="{00000000-0005-0000-0000-0000E51B0000}"/>
    <cellStyle name="20% - Accent3 2 2 16" xfId="16781" xr:uid="{00000000-0005-0000-0000-0000E61B0000}"/>
    <cellStyle name="20% - Accent3 2 2 17" xfId="22257" xr:uid="{00000000-0005-0000-0000-0000E71B0000}"/>
    <cellStyle name="20% - Accent3 2 2 18" xfId="28653" xr:uid="{00000000-0005-0000-0000-0000E81B0000}"/>
    <cellStyle name="20% - Accent3 2 2 19" xfId="34052" xr:uid="{00000000-0005-0000-0000-0000E91B0000}"/>
    <cellStyle name="20% - Accent3 2 2 2" xfId="224" xr:uid="{00000000-0005-0000-0000-0000EA1B0000}"/>
    <cellStyle name="20% - Accent3 2 2 2 10" xfId="1787" xr:uid="{00000000-0005-0000-0000-0000EB1B0000}"/>
    <cellStyle name="20% - Accent3 2 2 2 10 10" xfId="45010" xr:uid="{00000000-0005-0000-0000-0000EC1B0000}"/>
    <cellStyle name="20% - Accent3 2 2 2 10 11" xfId="50488" xr:uid="{00000000-0005-0000-0000-0000ED1B0000}"/>
    <cellStyle name="20% - Accent3 2 2 2 10 2" xfId="3548" xr:uid="{00000000-0005-0000-0000-0000EE1B0000}"/>
    <cellStyle name="20% - Accent3 2 2 2 10 2 2" xfId="9028" xr:uid="{00000000-0005-0000-0000-0000EF1B0000}"/>
    <cellStyle name="20% - Accent3 2 2 2 10 2 3" xfId="14504" xr:uid="{00000000-0005-0000-0000-0000F01B0000}"/>
    <cellStyle name="20% - Accent3 2 2 2 10 2 4" xfId="19980" xr:uid="{00000000-0005-0000-0000-0000F11B0000}"/>
    <cellStyle name="20% - Accent3 2 2 2 10 2 5" xfId="25456" xr:uid="{00000000-0005-0000-0000-0000F21B0000}"/>
    <cellStyle name="20% - Accent3 2 2 2 10 2 6" xfId="37252" xr:uid="{00000000-0005-0000-0000-0000F31B0000}"/>
    <cellStyle name="20% - Accent3 2 2 2 10 2 7" xfId="42729" xr:uid="{00000000-0005-0000-0000-0000F41B0000}"/>
    <cellStyle name="20% - Accent3 2 2 2 10 2 8" xfId="48206" xr:uid="{00000000-0005-0000-0000-0000F51B0000}"/>
    <cellStyle name="20% - Accent3 2 2 2 10 2 9" xfId="53724" xr:uid="{00000000-0005-0000-0000-0000F61B0000}"/>
    <cellStyle name="20% - Accent3 2 2 2 10 3" xfId="5320" xr:uid="{00000000-0005-0000-0000-0000F71B0000}"/>
    <cellStyle name="20% - Accent3 2 2 2 10 3 2" xfId="10800" xr:uid="{00000000-0005-0000-0000-0000F81B0000}"/>
    <cellStyle name="20% - Accent3 2 2 2 10 3 3" xfId="16276" xr:uid="{00000000-0005-0000-0000-0000F91B0000}"/>
    <cellStyle name="20% - Accent3 2 2 2 10 3 4" xfId="21752" xr:uid="{00000000-0005-0000-0000-0000FA1B0000}"/>
    <cellStyle name="20% - Accent3 2 2 2 10 3 5" xfId="27228" xr:uid="{00000000-0005-0000-0000-0000FB1B0000}"/>
    <cellStyle name="20% - Accent3 2 2 2 10 3 6" xfId="39024" xr:uid="{00000000-0005-0000-0000-0000FC1B0000}"/>
    <cellStyle name="20% - Accent3 2 2 2 10 3 7" xfId="44501" xr:uid="{00000000-0005-0000-0000-0000FD1B0000}"/>
    <cellStyle name="20% - Accent3 2 2 2 10 3 8" xfId="49978" xr:uid="{00000000-0005-0000-0000-0000FE1B0000}"/>
    <cellStyle name="20% - Accent3 2 2 2 10 3 9" xfId="55496" xr:uid="{00000000-0005-0000-0000-0000FF1B0000}"/>
    <cellStyle name="20% - Accent3 2 2 2 10 4" xfId="5829" xr:uid="{00000000-0005-0000-0000-0000001C0000}"/>
    <cellStyle name="20% - Accent3 2 2 2 10 5" xfId="11309" xr:uid="{00000000-0005-0000-0000-0000011C0000}"/>
    <cellStyle name="20% - Accent3 2 2 2 10 6" xfId="16785" xr:uid="{00000000-0005-0000-0000-0000021C0000}"/>
    <cellStyle name="20% - Accent3 2 2 2 10 7" xfId="22261" xr:uid="{00000000-0005-0000-0000-0000031C0000}"/>
    <cellStyle name="20% - Accent3 2 2 2 10 8" xfId="34056" xr:uid="{00000000-0005-0000-0000-0000041C0000}"/>
    <cellStyle name="20% - Accent3 2 2 2 10 9" xfId="39533" xr:uid="{00000000-0005-0000-0000-0000051C0000}"/>
    <cellStyle name="20% - Accent3 2 2 2 11" xfId="1929" xr:uid="{00000000-0005-0000-0000-0000061C0000}"/>
    <cellStyle name="20% - Accent3 2 2 2 11 10" xfId="52106" xr:uid="{00000000-0005-0000-0000-0000071C0000}"/>
    <cellStyle name="20% - Accent3 2 2 2 11 2" xfId="5461" xr:uid="{00000000-0005-0000-0000-0000081C0000}"/>
    <cellStyle name="20% - Accent3 2 2 2 11 2 2" xfId="10941" xr:uid="{00000000-0005-0000-0000-0000091C0000}"/>
    <cellStyle name="20% - Accent3 2 2 2 11 2 3" xfId="16417" xr:uid="{00000000-0005-0000-0000-00000A1C0000}"/>
    <cellStyle name="20% - Accent3 2 2 2 11 2 4" xfId="21893" xr:uid="{00000000-0005-0000-0000-00000B1C0000}"/>
    <cellStyle name="20% - Accent3 2 2 2 11 2 5" xfId="27369" xr:uid="{00000000-0005-0000-0000-00000C1C0000}"/>
    <cellStyle name="20% - Accent3 2 2 2 11 2 6" xfId="39165" xr:uid="{00000000-0005-0000-0000-00000D1C0000}"/>
    <cellStyle name="20% - Accent3 2 2 2 11 2 7" xfId="44642" xr:uid="{00000000-0005-0000-0000-00000E1C0000}"/>
    <cellStyle name="20% - Accent3 2 2 2 11 2 8" xfId="50119" xr:uid="{00000000-0005-0000-0000-00000F1C0000}"/>
    <cellStyle name="20% - Accent3 2 2 2 11 2 9" xfId="55637" xr:uid="{00000000-0005-0000-0000-0000101C0000}"/>
    <cellStyle name="20% - Accent3 2 2 2 11 3" xfId="7410" xr:uid="{00000000-0005-0000-0000-0000111C0000}"/>
    <cellStyle name="20% - Accent3 2 2 2 11 4" xfId="12886" xr:uid="{00000000-0005-0000-0000-0000121C0000}"/>
    <cellStyle name="20% - Accent3 2 2 2 11 5" xfId="18362" xr:uid="{00000000-0005-0000-0000-0000131C0000}"/>
    <cellStyle name="20% - Accent3 2 2 2 11 6" xfId="23838" xr:uid="{00000000-0005-0000-0000-0000141C0000}"/>
    <cellStyle name="20% - Accent3 2 2 2 11 7" xfId="35634" xr:uid="{00000000-0005-0000-0000-0000151C0000}"/>
    <cellStyle name="20% - Accent3 2 2 2 11 8" xfId="41111" xr:uid="{00000000-0005-0000-0000-0000161C0000}"/>
    <cellStyle name="20% - Accent3 2 2 2 11 9" xfId="46588" xr:uid="{00000000-0005-0000-0000-0000171C0000}"/>
    <cellStyle name="20% - Accent3 2 2 2 12" xfId="3790" xr:uid="{00000000-0005-0000-0000-0000181C0000}"/>
    <cellStyle name="20% - Accent3 2 2 2 12 2" xfId="9270" xr:uid="{00000000-0005-0000-0000-0000191C0000}"/>
    <cellStyle name="20% - Accent3 2 2 2 12 3" xfId="14746" xr:uid="{00000000-0005-0000-0000-00001A1C0000}"/>
    <cellStyle name="20% - Accent3 2 2 2 12 4" xfId="20222" xr:uid="{00000000-0005-0000-0000-00001B1C0000}"/>
    <cellStyle name="20% - Accent3 2 2 2 12 5" xfId="25698" xr:uid="{00000000-0005-0000-0000-00001C1C0000}"/>
    <cellStyle name="20% - Accent3 2 2 2 12 6" xfId="37494" xr:uid="{00000000-0005-0000-0000-00001D1C0000}"/>
    <cellStyle name="20% - Accent3 2 2 2 12 7" xfId="42971" xr:uid="{00000000-0005-0000-0000-00001E1C0000}"/>
    <cellStyle name="20% - Accent3 2 2 2 12 8" xfId="48448" xr:uid="{00000000-0005-0000-0000-00001F1C0000}"/>
    <cellStyle name="20% - Accent3 2 2 2 12 9" xfId="53966" xr:uid="{00000000-0005-0000-0000-0000201C0000}"/>
    <cellStyle name="20% - Accent3 2 2 2 13" xfId="5828" xr:uid="{00000000-0005-0000-0000-0000211C0000}"/>
    <cellStyle name="20% - Accent3 2 2 2 14" xfId="11308" xr:uid="{00000000-0005-0000-0000-0000221C0000}"/>
    <cellStyle name="20% - Accent3 2 2 2 15" xfId="16784" xr:uid="{00000000-0005-0000-0000-0000231C0000}"/>
    <cellStyle name="20% - Accent3 2 2 2 16" xfId="22260" xr:uid="{00000000-0005-0000-0000-0000241C0000}"/>
    <cellStyle name="20% - Accent3 2 2 2 17" xfId="28654" xr:uid="{00000000-0005-0000-0000-0000251C0000}"/>
    <cellStyle name="20% - Accent3 2 2 2 18" xfId="34055" xr:uid="{00000000-0005-0000-0000-0000261C0000}"/>
    <cellStyle name="20% - Accent3 2 2 2 19" xfId="39532" xr:uid="{00000000-0005-0000-0000-0000271C0000}"/>
    <cellStyle name="20% - Accent3 2 2 2 2" xfId="300" xr:uid="{00000000-0005-0000-0000-0000281C0000}"/>
    <cellStyle name="20% - Accent3 2 2 2 2 10" xfId="39534" xr:uid="{00000000-0005-0000-0000-0000291C0000}"/>
    <cellStyle name="20% - Accent3 2 2 2 2 11" xfId="45011" xr:uid="{00000000-0005-0000-0000-00002A1C0000}"/>
    <cellStyle name="20% - Accent3 2 2 2 2 12" xfId="50489" xr:uid="{00000000-0005-0000-0000-00002B1C0000}"/>
    <cellStyle name="20% - Accent3 2 2 2 2 2" xfId="2100" xr:uid="{00000000-0005-0000-0000-00002C1C0000}"/>
    <cellStyle name="20% - Accent3 2 2 2 2 2 2" xfId="7580" xr:uid="{00000000-0005-0000-0000-00002D1C0000}"/>
    <cellStyle name="20% - Accent3 2 2 2 2 2 3" xfId="13056" xr:uid="{00000000-0005-0000-0000-00002E1C0000}"/>
    <cellStyle name="20% - Accent3 2 2 2 2 2 4" xfId="18532" xr:uid="{00000000-0005-0000-0000-00002F1C0000}"/>
    <cellStyle name="20% - Accent3 2 2 2 2 2 5" xfId="24008" xr:uid="{00000000-0005-0000-0000-0000301C0000}"/>
    <cellStyle name="20% - Accent3 2 2 2 2 2 6" xfId="35804" xr:uid="{00000000-0005-0000-0000-0000311C0000}"/>
    <cellStyle name="20% - Accent3 2 2 2 2 2 7" xfId="41281" xr:uid="{00000000-0005-0000-0000-0000321C0000}"/>
    <cellStyle name="20% - Accent3 2 2 2 2 2 8" xfId="46758" xr:uid="{00000000-0005-0000-0000-0000331C0000}"/>
    <cellStyle name="20% - Accent3 2 2 2 2 2 9" xfId="52276" xr:uid="{00000000-0005-0000-0000-0000341C0000}"/>
    <cellStyle name="20% - Accent3 2 2 2 2 3" xfId="3862" xr:uid="{00000000-0005-0000-0000-0000351C0000}"/>
    <cellStyle name="20% - Accent3 2 2 2 2 3 2" xfId="9342" xr:uid="{00000000-0005-0000-0000-0000361C0000}"/>
    <cellStyle name="20% - Accent3 2 2 2 2 3 3" xfId="14818" xr:uid="{00000000-0005-0000-0000-0000371C0000}"/>
    <cellStyle name="20% - Accent3 2 2 2 2 3 4" xfId="20294" xr:uid="{00000000-0005-0000-0000-0000381C0000}"/>
    <cellStyle name="20% - Accent3 2 2 2 2 3 5" xfId="25770" xr:uid="{00000000-0005-0000-0000-0000391C0000}"/>
    <cellStyle name="20% - Accent3 2 2 2 2 3 6" xfId="37566" xr:uid="{00000000-0005-0000-0000-00003A1C0000}"/>
    <cellStyle name="20% - Accent3 2 2 2 2 3 7" xfId="43043" xr:uid="{00000000-0005-0000-0000-00003B1C0000}"/>
    <cellStyle name="20% - Accent3 2 2 2 2 3 8" xfId="48520" xr:uid="{00000000-0005-0000-0000-00003C1C0000}"/>
    <cellStyle name="20% - Accent3 2 2 2 2 3 9" xfId="54038" xr:uid="{00000000-0005-0000-0000-00003D1C0000}"/>
    <cellStyle name="20% - Accent3 2 2 2 2 4" xfId="5830" xr:uid="{00000000-0005-0000-0000-00003E1C0000}"/>
    <cellStyle name="20% - Accent3 2 2 2 2 5" xfId="11310" xr:uid="{00000000-0005-0000-0000-00003F1C0000}"/>
    <cellStyle name="20% - Accent3 2 2 2 2 6" xfId="16786" xr:uid="{00000000-0005-0000-0000-0000401C0000}"/>
    <cellStyle name="20% - Accent3 2 2 2 2 7" xfId="22262" xr:uid="{00000000-0005-0000-0000-0000411C0000}"/>
    <cellStyle name="20% - Accent3 2 2 2 2 8" xfId="28655" xr:uid="{00000000-0005-0000-0000-0000421C0000}"/>
    <cellStyle name="20% - Accent3 2 2 2 2 9" xfId="34057" xr:uid="{00000000-0005-0000-0000-0000431C0000}"/>
    <cellStyle name="20% - Accent3 2 2 2 20" xfId="45009" xr:uid="{00000000-0005-0000-0000-0000441C0000}"/>
    <cellStyle name="20% - Accent3 2 2 2 21" xfId="50487" xr:uid="{00000000-0005-0000-0000-0000451C0000}"/>
    <cellStyle name="20% - Accent3 2 2 2 3" xfId="501" xr:uid="{00000000-0005-0000-0000-0000461C0000}"/>
    <cellStyle name="20% - Accent3 2 2 2 3 10" xfId="45012" xr:uid="{00000000-0005-0000-0000-0000471C0000}"/>
    <cellStyle name="20% - Accent3 2 2 2 3 11" xfId="50490" xr:uid="{00000000-0005-0000-0000-0000481C0000}"/>
    <cellStyle name="20% - Accent3 2 2 2 3 2" xfId="2262" xr:uid="{00000000-0005-0000-0000-0000491C0000}"/>
    <cellStyle name="20% - Accent3 2 2 2 3 2 2" xfId="7742" xr:uid="{00000000-0005-0000-0000-00004A1C0000}"/>
    <cellStyle name="20% - Accent3 2 2 2 3 2 3" xfId="13218" xr:uid="{00000000-0005-0000-0000-00004B1C0000}"/>
    <cellStyle name="20% - Accent3 2 2 2 3 2 4" xfId="18694" xr:uid="{00000000-0005-0000-0000-00004C1C0000}"/>
    <cellStyle name="20% - Accent3 2 2 2 3 2 5" xfId="24170" xr:uid="{00000000-0005-0000-0000-00004D1C0000}"/>
    <cellStyle name="20% - Accent3 2 2 2 3 2 6" xfId="35966" xr:uid="{00000000-0005-0000-0000-00004E1C0000}"/>
    <cellStyle name="20% - Accent3 2 2 2 3 2 7" xfId="41443" xr:uid="{00000000-0005-0000-0000-00004F1C0000}"/>
    <cellStyle name="20% - Accent3 2 2 2 3 2 8" xfId="46920" xr:uid="{00000000-0005-0000-0000-0000501C0000}"/>
    <cellStyle name="20% - Accent3 2 2 2 3 2 9" xfId="52438" xr:uid="{00000000-0005-0000-0000-0000511C0000}"/>
    <cellStyle name="20% - Accent3 2 2 2 3 3" xfId="4034" xr:uid="{00000000-0005-0000-0000-0000521C0000}"/>
    <cellStyle name="20% - Accent3 2 2 2 3 3 2" xfId="9514" xr:uid="{00000000-0005-0000-0000-0000531C0000}"/>
    <cellStyle name="20% - Accent3 2 2 2 3 3 3" xfId="14990" xr:uid="{00000000-0005-0000-0000-0000541C0000}"/>
    <cellStyle name="20% - Accent3 2 2 2 3 3 4" xfId="20466" xr:uid="{00000000-0005-0000-0000-0000551C0000}"/>
    <cellStyle name="20% - Accent3 2 2 2 3 3 5" xfId="25942" xr:uid="{00000000-0005-0000-0000-0000561C0000}"/>
    <cellStyle name="20% - Accent3 2 2 2 3 3 6" xfId="37738" xr:uid="{00000000-0005-0000-0000-0000571C0000}"/>
    <cellStyle name="20% - Accent3 2 2 2 3 3 7" xfId="43215" xr:uid="{00000000-0005-0000-0000-0000581C0000}"/>
    <cellStyle name="20% - Accent3 2 2 2 3 3 8" xfId="48692" xr:uid="{00000000-0005-0000-0000-0000591C0000}"/>
    <cellStyle name="20% - Accent3 2 2 2 3 3 9" xfId="54210" xr:uid="{00000000-0005-0000-0000-00005A1C0000}"/>
    <cellStyle name="20% - Accent3 2 2 2 3 4" xfId="5831" xr:uid="{00000000-0005-0000-0000-00005B1C0000}"/>
    <cellStyle name="20% - Accent3 2 2 2 3 5" xfId="11311" xr:uid="{00000000-0005-0000-0000-00005C1C0000}"/>
    <cellStyle name="20% - Accent3 2 2 2 3 6" xfId="16787" xr:uid="{00000000-0005-0000-0000-00005D1C0000}"/>
    <cellStyle name="20% - Accent3 2 2 2 3 7" xfId="22263" xr:uid="{00000000-0005-0000-0000-00005E1C0000}"/>
    <cellStyle name="20% - Accent3 2 2 2 3 8" xfId="34058" xr:uid="{00000000-0005-0000-0000-00005F1C0000}"/>
    <cellStyle name="20% - Accent3 2 2 2 3 9" xfId="39535" xr:uid="{00000000-0005-0000-0000-0000601C0000}"/>
    <cellStyle name="20% - Accent3 2 2 2 4" xfId="673" xr:uid="{00000000-0005-0000-0000-0000611C0000}"/>
    <cellStyle name="20% - Accent3 2 2 2 4 10" xfId="45013" xr:uid="{00000000-0005-0000-0000-0000621C0000}"/>
    <cellStyle name="20% - Accent3 2 2 2 4 11" xfId="50491" xr:uid="{00000000-0005-0000-0000-0000631C0000}"/>
    <cellStyle name="20% - Accent3 2 2 2 4 2" xfId="2434" xr:uid="{00000000-0005-0000-0000-0000641C0000}"/>
    <cellStyle name="20% - Accent3 2 2 2 4 2 2" xfId="7914" xr:uid="{00000000-0005-0000-0000-0000651C0000}"/>
    <cellStyle name="20% - Accent3 2 2 2 4 2 3" xfId="13390" xr:uid="{00000000-0005-0000-0000-0000661C0000}"/>
    <cellStyle name="20% - Accent3 2 2 2 4 2 4" xfId="18866" xr:uid="{00000000-0005-0000-0000-0000671C0000}"/>
    <cellStyle name="20% - Accent3 2 2 2 4 2 5" xfId="24342" xr:uid="{00000000-0005-0000-0000-0000681C0000}"/>
    <cellStyle name="20% - Accent3 2 2 2 4 2 6" xfId="36138" xr:uid="{00000000-0005-0000-0000-0000691C0000}"/>
    <cellStyle name="20% - Accent3 2 2 2 4 2 7" xfId="41615" xr:uid="{00000000-0005-0000-0000-00006A1C0000}"/>
    <cellStyle name="20% - Accent3 2 2 2 4 2 8" xfId="47092" xr:uid="{00000000-0005-0000-0000-00006B1C0000}"/>
    <cellStyle name="20% - Accent3 2 2 2 4 2 9" xfId="52610" xr:uid="{00000000-0005-0000-0000-00006C1C0000}"/>
    <cellStyle name="20% - Accent3 2 2 2 4 3" xfId="4206" xr:uid="{00000000-0005-0000-0000-00006D1C0000}"/>
    <cellStyle name="20% - Accent3 2 2 2 4 3 2" xfId="9686" xr:uid="{00000000-0005-0000-0000-00006E1C0000}"/>
    <cellStyle name="20% - Accent3 2 2 2 4 3 3" xfId="15162" xr:uid="{00000000-0005-0000-0000-00006F1C0000}"/>
    <cellStyle name="20% - Accent3 2 2 2 4 3 4" xfId="20638" xr:uid="{00000000-0005-0000-0000-0000701C0000}"/>
    <cellStyle name="20% - Accent3 2 2 2 4 3 5" xfId="26114" xr:uid="{00000000-0005-0000-0000-0000711C0000}"/>
    <cellStyle name="20% - Accent3 2 2 2 4 3 6" xfId="37910" xr:uid="{00000000-0005-0000-0000-0000721C0000}"/>
    <cellStyle name="20% - Accent3 2 2 2 4 3 7" xfId="43387" xr:uid="{00000000-0005-0000-0000-0000731C0000}"/>
    <cellStyle name="20% - Accent3 2 2 2 4 3 8" xfId="48864" xr:uid="{00000000-0005-0000-0000-0000741C0000}"/>
    <cellStyle name="20% - Accent3 2 2 2 4 3 9" xfId="54382" xr:uid="{00000000-0005-0000-0000-0000751C0000}"/>
    <cellStyle name="20% - Accent3 2 2 2 4 4" xfId="5832" xr:uid="{00000000-0005-0000-0000-0000761C0000}"/>
    <cellStyle name="20% - Accent3 2 2 2 4 5" xfId="11312" xr:uid="{00000000-0005-0000-0000-0000771C0000}"/>
    <cellStyle name="20% - Accent3 2 2 2 4 6" xfId="16788" xr:uid="{00000000-0005-0000-0000-0000781C0000}"/>
    <cellStyle name="20% - Accent3 2 2 2 4 7" xfId="22264" xr:uid="{00000000-0005-0000-0000-0000791C0000}"/>
    <cellStyle name="20% - Accent3 2 2 2 4 8" xfId="34059" xr:uid="{00000000-0005-0000-0000-00007A1C0000}"/>
    <cellStyle name="20% - Accent3 2 2 2 4 9" xfId="39536" xr:uid="{00000000-0005-0000-0000-00007B1C0000}"/>
    <cellStyle name="20% - Accent3 2 2 2 5" xfId="845" xr:uid="{00000000-0005-0000-0000-00007C1C0000}"/>
    <cellStyle name="20% - Accent3 2 2 2 5 10" xfId="45014" xr:uid="{00000000-0005-0000-0000-00007D1C0000}"/>
    <cellStyle name="20% - Accent3 2 2 2 5 11" xfId="50492" xr:uid="{00000000-0005-0000-0000-00007E1C0000}"/>
    <cellStyle name="20% - Accent3 2 2 2 5 2" xfId="2606" xr:uid="{00000000-0005-0000-0000-00007F1C0000}"/>
    <cellStyle name="20% - Accent3 2 2 2 5 2 2" xfId="8086" xr:uid="{00000000-0005-0000-0000-0000801C0000}"/>
    <cellStyle name="20% - Accent3 2 2 2 5 2 3" xfId="13562" xr:uid="{00000000-0005-0000-0000-0000811C0000}"/>
    <cellStyle name="20% - Accent3 2 2 2 5 2 4" xfId="19038" xr:uid="{00000000-0005-0000-0000-0000821C0000}"/>
    <cellStyle name="20% - Accent3 2 2 2 5 2 5" xfId="24514" xr:uid="{00000000-0005-0000-0000-0000831C0000}"/>
    <cellStyle name="20% - Accent3 2 2 2 5 2 6" xfId="36310" xr:uid="{00000000-0005-0000-0000-0000841C0000}"/>
    <cellStyle name="20% - Accent3 2 2 2 5 2 7" xfId="41787" xr:uid="{00000000-0005-0000-0000-0000851C0000}"/>
    <cellStyle name="20% - Accent3 2 2 2 5 2 8" xfId="47264" xr:uid="{00000000-0005-0000-0000-0000861C0000}"/>
    <cellStyle name="20% - Accent3 2 2 2 5 2 9" xfId="52782" xr:uid="{00000000-0005-0000-0000-0000871C0000}"/>
    <cellStyle name="20% - Accent3 2 2 2 5 3" xfId="4378" xr:uid="{00000000-0005-0000-0000-0000881C0000}"/>
    <cellStyle name="20% - Accent3 2 2 2 5 3 2" xfId="9858" xr:uid="{00000000-0005-0000-0000-0000891C0000}"/>
    <cellStyle name="20% - Accent3 2 2 2 5 3 3" xfId="15334" xr:uid="{00000000-0005-0000-0000-00008A1C0000}"/>
    <cellStyle name="20% - Accent3 2 2 2 5 3 4" xfId="20810" xr:uid="{00000000-0005-0000-0000-00008B1C0000}"/>
    <cellStyle name="20% - Accent3 2 2 2 5 3 5" xfId="26286" xr:uid="{00000000-0005-0000-0000-00008C1C0000}"/>
    <cellStyle name="20% - Accent3 2 2 2 5 3 6" xfId="38082" xr:uid="{00000000-0005-0000-0000-00008D1C0000}"/>
    <cellStyle name="20% - Accent3 2 2 2 5 3 7" xfId="43559" xr:uid="{00000000-0005-0000-0000-00008E1C0000}"/>
    <cellStyle name="20% - Accent3 2 2 2 5 3 8" xfId="49036" xr:uid="{00000000-0005-0000-0000-00008F1C0000}"/>
    <cellStyle name="20% - Accent3 2 2 2 5 3 9" xfId="54554" xr:uid="{00000000-0005-0000-0000-0000901C0000}"/>
    <cellStyle name="20% - Accent3 2 2 2 5 4" xfId="5833" xr:uid="{00000000-0005-0000-0000-0000911C0000}"/>
    <cellStyle name="20% - Accent3 2 2 2 5 5" xfId="11313" xr:uid="{00000000-0005-0000-0000-0000921C0000}"/>
    <cellStyle name="20% - Accent3 2 2 2 5 6" xfId="16789" xr:uid="{00000000-0005-0000-0000-0000931C0000}"/>
    <cellStyle name="20% - Accent3 2 2 2 5 7" xfId="22265" xr:uid="{00000000-0005-0000-0000-0000941C0000}"/>
    <cellStyle name="20% - Accent3 2 2 2 5 8" xfId="34060" xr:uid="{00000000-0005-0000-0000-0000951C0000}"/>
    <cellStyle name="20% - Accent3 2 2 2 5 9" xfId="39537" xr:uid="{00000000-0005-0000-0000-0000961C0000}"/>
    <cellStyle name="20% - Accent3 2 2 2 6" xfId="1051" xr:uid="{00000000-0005-0000-0000-0000971C0000}"/>
    <cellStyle name="20% - Accent3 2 2 2 6 10" xfId="45015" xr:uid="{00000000-0005-0000-0000-0000981C0000}"/>
    <cellStyle name="20% - Accent3 2 2 2 6 11" xfId="50493" xr:uid="{00000000-0005-0000-0000-0000991C0000}"/>
    <cellStyle name="20% - Accent3 2 2 2 6 2" xfId="2812" xr:uid="{00000000-0005-0000-0000-00009A1C0000}"/>
    <cellStyle name="20% - Accent3 2 2 2 6 2 2" xfId="8292" xr:uid="{00000000-0005-0000-0000-00009B1C0000}"/>
    <cellStyle name="20% - Accent3 2 2 2 6 2 3" xfId="13768" xr:uid="{00000000-0005-0000-0000-00009C1C0000}"/>
    <cellStyle name="20% - Accent3 2 2 2 6 2 4" xfId="19244" xr:uid="{00000000-0005-0000-0000-00009D1C0000}"/>
    <cellStyle name="20% - Accent3 2 2 2 6 2 5" xfId="24720" xr:uid="{00000000-0005-0000-0000-00009E1C0000}"/>
    <cellStyle name="20% - Accent3 2 2 2 6 2 6" xfId="36516" xr:uid="{00000000-0005-0000-0000-00009F1C0000}"/>
    <cellStyle name="20% - Accent3 2 2 2 6 2 7" xfId="41993" xr:uid="{00000000-0005-0000-0000-0000A01C0000}"/>
    <cellStyle name="20% - Accent3 2 2 2 6 2 8" xfId="47470" xr:uid="{00000000-0005-0000-0000-0000A11C0000}"/>
    <cellStyle name="20% - Accent3 2 2 2 6 2 9" xfId="52988" xr:uid="{00000000-0005-0000-0000-0000A21C0000}"/>
    <cellStyle name="20% - Accent3 2 2 2 6 3" xfId="4584" xr:uid="{00000000-0005-0000-0000-0000A31C0000}"/>
    <cellStyle name="20% - Accent3 2 2 2 6 3 2" xfId="10064" xr:uid="{00000000-0005-0000-0000-0000A41C0000}"/>
    <cellStyle name="20% - Accent3 2 2 2 6 3 3" xfId="15540" xr:uid="{00000000-0005-0000-0000-0000A51C0000}"/>
    <cellStyle name="20% - Accent3 2 2 2 6 3 4" xfId="21016" xr:uid="{00000000-0005-0000-0000-0000A61C0000}"/>
    <cellStyle name="20% - Accent3 2 2 2 6 3 5" xfId="26492" xr:uid="{00000000-0005-0000-0000-0000A71C0000}"/>
    <cellStyle name="20% - Accent3 2 2 2 6 3 6" xfId="38288" xr:uid="{00000000-0005-0000-0000-0000A81C0000}"/>
    <cellStyle name="20% - Accent3 2 2 2 6 3 7" xfId="43765" xr:uid="{00000000-0005-0000-0000-0000A91C0000}"/>
    <cellStyle name="20% - Accent3 2 2 2 6 3 8" xfId="49242" xr:uid="{00000000-0005-0000-0000-0000AA1C0000}"/>
    <cellStyle name="20% - Accent3 2 2 2 6 3 9" xfId="54760" xr:uid="{00000000-0005-0000-0000-0000AB1C0000}"/>
    <cellStyle name="20% - Accent3 2 2 2 6 4" xfId="5834" xr:uid="{00000000-0005-0000-0000-0000AC1C0000}"/>
    <cellStyle name="20% - Accent3 2 2 2 6 5" xfId="11314" xr:uid="{00000000-0005-0000-0000-0000AD1C0000}"/>
    <cellStyle name="20% - Accent3 2 2 2 6 6" xfId="16790" xr:uid="{00000000-0005-0000-0000-0000AE1C0000}"/>
    <cellStyle name="20% - Accent3 2 2 2 6 7" xfId="22266" xr:uid="{00000000-0005-0000-0000-0000AF1C0000}"/>
    <cellStyle name="20% - Accent3 2 2 2 6 8" xfId="34061" xr:uid="{00000000-0005-0000-0000-0000B01C0000}"/>
    <cellStyle name="20% - Accent3 2 2 2 6 9" xfId="39538" xr:uid="{00000000-0005-0000-0000-0000B11C0000}"/>
    <cellStyle name="20% - Accent3 2 2 2 7" xfId="1223" xr:uid="{00000000-0005-0000-0000-0000B21C0000}"/>
    <cellStyle name="20% - Accent3 2 2 2 7 10" xfId="45016" xr:uid="{00000000-0005-0000-0000-0000B31C0000}"/>
    <cellStyle name="20% - Accent3 2 2 2 7 11" xfId="50494" xr:uid="{00000000-0005-0000-0000-0000B41C0000}"/>
    <cellStyle name="20% - Accent3 2 2 2 7 2" xfId="2984" xr:uid="{00000000-0005-0000-0000-0000B51C0000}"/>
    <cellStyle name="20% - Accent3 2 2 2 7 2 2" xfId="8464" xr:uid="{00000000-0005-0000-0000-0000B61C0000}"/>
    <cellStyle name="20% - Accent3 2 2 2 7 2 3" xfId="13940" xr:uid="{00000000-0005-0000-0000-0000B71C0000}"/>
    <cellStyle name="20% - Accent3 2 2 2 7 2 4" xfId="19416" xr:uid="{00000000-0005-0000-0000-0000B81C0000}"/>
    <cellStyle name="20% - Accent3 2 2 2 7 2 5" xfId="24892" xr:uid="{00000000-0005-0000-0000-0000B91C0000}"/>
    <cellStyle name="20% - Accent3 2 2 2 7 2 6" xfId="36688" xr:uid="{00000000-0005-0000-0000-0000BA1C0000}"/>
    <cellStyle name="20% - Accent3 2 2 2 7 2 7" xfId="42165" xr:uid="{00000000-0005-0000-0000-0000BB1C0000}"/>
    <cellStyle name="20% - Accent3 2 2 2 7 2 8" xfId="47642" xr:uid="{00000000-0005-0000-0000-0000BC1C0000}"/>
    <cellStyle name="20% - Accent3 2 2 2 7 2 9" xfId="53160" xr:uid="{00000000-0005-0000-0000-0000BD1C0000}"/>
    <cellStyle name="20% - Accent3 2 2 2 7 3" xfId="4756" xr:uid="{00000000-0005-0000-0000-0000BE1C0000}"/>
    <cellStyle name="20% - Accent3 2 2 2 7 3 2" xfId="10236" xr:uid="{00000000-0005-0000-0000-0000BF1C0000}"/>
    <cellStyle name="20% - Accent3 2 2 2 7 3 3" xfId="15712" xr:uid="{00000000-0005-0000-0000-0000C01C0000}"/>
    <cellStyle name="20% - Accent3 2 2 2 7 3 4" xfId="21188" xr:uid="{00000000-0005-0000-0000-0000C11C0000}"/>
    <cellStyle name="20% - Accent3 2 2 2 7 3 5" xfId="26664" xr:uid="{00000000-0005-0000-0000-0000C21C0000}"/>
    <cellStyle name="20% - Accent3 2 2 2 7 3 6" xfId="38460" xr:uid="{00000000-0005-0000-0000-0000C31C0000}"/>
    <cellStyle name="20% - Accent3 2 2 2 7 3 7" xfId="43937" xr:uid="{00000000-0005-0000-0000-0000C41C0000}"/>
    <cellStyle name="20% - Accent3 2 2 2 7 3 8" xfId="49414" xr:uid="{00000000-0005-0000-0000-0000C51C0000}"/>
    <cellStyle name="20% - Accent3 2 2 2 7 3 9" xfId="54932" xr:uid="{00000000-0005-0000-0000-0000C61C0000}"/>
    <cellStyle name="20% - Accent3 2 2 2 7 4" xfId="5835" xr:uid="{00000000-0005-0000-0000-0000C71C0000}"/>
    <cellStyle name="20% - Accent3 2 2 2 7 5" xfId="11315" xr:uid="{00000000-0005-0000-0000-0000C81C0000}"/>
    <cellStyle name="20% - Accent3 2 2 2 7 6" xfId="16791" xr:uid="{00000000-0005-0000-0000-0000C91C0000}"/>
    <cellStyle name="20% - Accent3 2 2 2 7 7" xfId="22267" xr:uid="{00000000-0005-0000-0000-0000CA1C0000}"/>
    <cellStyle name="20% - Accent3 2 2 2 7 8" xfId="34062" xr:uid="{00000000-0005-0000-0000-0000CB1C0000}"/>
    <cellStyle name="20% - Accent3 2 2 2 7 9" xfId="39539" xr:uid="{00000000-0005-0000-0000-0000CC1C0000}"/>
    <cellStyle name="20% - Accent3 2 2 2 8" xfId="1395" xr:uid="{00000000-0005-0000-0000-0000CD1C0000}"/>
    <cellStyle name="20% - Accent3 2 2 2 8 10" xfId="45017" xr:uid="{00000000-0005-0000-0000-0000CE1C0000}"/>
    <cellStyle name="20% - Accent3 2 2 2 8 11" xfId="50495" xr:uid="{00000000-0005-0000-0000-0000CF1C0000}"/>
    <cellStyle name="20% - Accent3 2 2 2 8 2" xfId="3156" xr:uid="{00000000-0005-0000-0000-0000D01C0000}"/>
    <cellStyle name="20% - Accent3 2 2 2 8 2 2" xfId="8636" xr:uid="{00000000-0005-0000-0000-0000D11C0000}"/>
    <cellStyle name="20% - Accent3 2 2 2 8 2 3" xfId="14112" xr:uid="{00000000-0005-0000-0000-0000D21C0000}"/>
    <cellStyle name="20% - Accent3 2 2 2 8 2 4" xfId="19588" xr:uid="{00000000-0005-0000-0000-0000D31C0000}"/>
    <cellStyle name="20% - Accent3 2 2 2 8 2 5" xfId="25064" xr:uid="{00000000-0005-0000-0000-0000D41C0000}"/>
    <cellStyle name="20% - Accent3 2 2 2 8 2 6" xfId="36860" xr:uid="{00000000-0005-0000-0000-0000D51C0000}"/>
    <cellStyle name="20% - Accent3 2 2 2 8 2 7" xfId="42337" xr:uid="{00000000-0005-0000-0000-0000D61C0000}"/>
    <cellStyle name="20% - Accent3 2 2 2 8 2 8" xfId="47814" xr:uid="{00000000-0005-0000-0000-0000D71C0000}"/>
    <cellStyle name="20% - Accent3 2 2 2 8 2 9" xfId="53332" xr:uid="{00000000-0005-0000-0000-0000D81C0000}"/>
    <cellStyle name="20% - Accent3 2 2 2 8 3" xfId="4928" xr:uid="{00000000-0005-0000-0000-0000D91C0000}"/>
    <cellStyle name="20% - Accent3 2 2 2 8 3 2" xfId="10408" xr:uid="{00000000-0005-0000-0000-0000DA1C0000}"/>
    <cellStyle name="20% - Accent3 2 2 2 8 3 3" xfId="15884" xr:uid="{00000000-0005-0000-0000-0000DB1C0000}"/>
    <cellStyle name="20% - Accent3 2 2 2 8 3 4" xfId="21360" xr:uid="{00000000-0005-0000-0000-0000DC1C0000}"/>
    <cellStyle name="20% - Accent3 2 2 2 8 3 5" xfId="26836" xr:uid="{00000000-0005-0000-0000-0000DD1C0000}"/>
    <cellStyle name="20% - Accent3 2 2 2 8 3 6" xfId="38632" xr:uid="{00000000-0005-0000-0000-0000DE1C0000}"/>
    <cellStyle name="20% - Accent3 2 2 2 8 3 7" xfId="44109" xr:uid="{00000000-0005-0000-0000-0000DF1C0000}"/>
    <cellStyle name="20% - Accent3 2 2 2 8 3 8" xfId="49586" xr:uid="{00000000-0005-0000-0000-0000E01C0000}"/>
    <cellStyle name="20% - Accent3 2 2 2 8 3 9" xfId="55104" xr:uid="{00000000-0005-0000-0000-0000E11C0000}"/>
    <cellStyle name="20% - Accent3 2 2 2 8 4" xfId="5836" xr:uid="{00000000-0005-0000-0000-0000E21C0000}"/>
    <cellStyle name="20% - Accent3 2 2 2 8 5" xfId="11316" xr:uid="{00000000-0005-0000-0000-0000E31C0000}"/>
    <cellStyle name="20% - Accent3 2 2 2 8 6" xfId="16792" xr:uid="{00000000-0005-0000-0000-0000E41C0000}"/>
    <cellStyle name="20% - Accent3 2 2 2 8 7" xfId="22268" xr:uid="{00000000-0005-0000-0000-0000E51C0000}"/>
    <cellStyle name="20% - Accent3 2 2 2 8 8" xfId="34063" xr:uid="{00000000-0005-0000-0000-0000E61C0000}"/>
    <cellStyle name="20% - Accent3 2 2 2 8 9" xfId="39540" xr:uid="{00000000-0005-0000-0000-0000E71C0000}"/>
    <cellStyle name="20% - Accent3 2 2 2 9" xfId="1567" xr:uid="{00000000-0005-0000-0000-0000E81C0000}"/>
    <cellStyle name="20% - Accent3 2 2 2 9 10" xfId="45018" xr:uid="{00000000-0005-0000-0000-0000E91C0000}"/>
    <cellStyle name="20% - Accent3 2 2 2 9 11" xfId="50496" xr:uid="{00000000-0005-0000-0000-0000EA1C0000}"/>
    <cellStyle name="20% - Accent3 2 2 2 9 2" xfId="3328" xr:uid="{00000000-0005-0000-0000-0000EB1C0000}"/>
    <cellStyle name="20% - Accent3 2 2 2 9 2 2" xfId="8808" xr:uid="{00000000-0005-0000-0000-0000EC1C0000}"/>
    <cellStyle name="20% - Accent3 2 2 2 9 2 3" xfId="14284" xr:uid="{00000000-0005-0000-0000-0000ED1C0000}"/>
    <cellStyle name="20% - Accent3 2 2 2 9 2 4" xfId="19760" xr:uid="{00000000-0005-0000-0000-0000EE1C0000}"/>
    <cellStyle name="20% - Accent3 2 2 2 9 2 5" xfId="25236" xr:uid="{00000000-0005-0000-0000-0000EF1C0000}"/>
    <cellStyle name="20% - Accent3 2 2 2 9 2 6" xfId="37032" xr:uid="{00000000-0005-0000-0000-0000F01C0000}"/>
    <cellStyle name="20% - Accent3 2 2 2 9 2 7" xfId="42509" xr:uid="{00000000-0005-0000-0000-0000F11C0000}"/>
    <cellStyle name="20% - Accent3 2 2 2 9 2 8" xfId="47986" xr:uid="{00000000-0005-0000-0000-0000F21C0000}"/>
    <cellStyle name="20% - Accent3 2 2 2 9 2 9" xfId="53504" xr:uid="{00000000-0005-0000-0000-0000F31C0000}"/>
    <cellStyle name="20% - Accent3 2 2 2 9 3" xfId="5100" xr:uid="{00000000-0005-0000-0000-0000F41C0000}"/>
    <cellStyle name="20% - Accent3 2 2 2 9 3 2" xfId="10580" xr:uid="{00000000-0005-0000-0000-0000F51C0000}"/>
    <cellStyle name="20% - Accent3 2 2 2 9 3 3" xfId="16056" xr:uid="{00000000-0005-0000-0000-0000F61C0000}"/>
    <cellStyle name="20% - Accent3 2 2 2 9 3 4" xfId="21532" xr:uid="{00000000-0005-0000-0000-0000F71C0000}"/>
    <cellStyle name="20% - Accent3 2 2 2 9 3 5" xfId="27008" xr:uid="{00000000-0005-0000-0000-0000F81C0000}"/>
    <cellStyle name="20% - Accent3 2 2 2 9 3 6" xfId="38804" xr:uid="{00000000-0005-0000-0000-0000F91C0000}"/>
    <cellStyle name="20% - Accent3 2 2 2 9 3 7" xfId="44281" xr:uid="{00000000-0005-0000-0000-0000FA1C0000}"/>
    <cellStyle name="20% - Accent3 2 2 2 9 3 8" xfId="49758" xr:uid="{00000000-0005-0000-0000-0000FB1C0000}"/>
    <cellStyle name="20% - Accent3 2 2 2 9 3 9" xfId="55276" xr:uid="{00000000-0005-0000-0000-0000FC1C0000}"/>
    <cellStyle name="20% - Accent3 2 2 2 9 4" xfId="5837" xr:uid="{00000000-0005-0000-0000-0000FD1C0000}"/>
    <cellStyle name="20% - Accent3 2 2 2 9 5" xfId="11317" xr:uid="{00000000-0005-0000-0000-0000FE1C0000}"/>
    <cellStyle name="20% - Accent3 2 2 2 9 6" xfId="16793" xr:uid="{00000000-0005-0000-0000-0000FF1C0000}"/>
    <cellStyle name="20% - Accent3 2 2 2 9 7" xfId="22269" xr:uid="{00000000-0005-0000-0000-0000001D0000}"/>
    <cellStyle name="20% - Accent3 2 2 2 9 8" xfId="34064" xr:uid="{00000000-0005-0000-0000-0000011D0000}"/>
    <cellStyle name="20% - Accent3 2 2 2 9 9" xfId="39541" xr:uid="{00000000-0005-0000-0000-0000021D0000}"/>
    <cellStyle name="20% - Accent3 2 2 20" xfId="39529" xr:uid="{00000000-0005-0000-0000-0000031D0000}"/>
    <cellStyle name="20% - Accent3 2 2 21" xfId="45006" xr:uid="{00000000-0005-0000-0000-0000041D0000}"/>
    <cellStyle name="20% - Accent3 2 2 22" xfId="50484" xr:uid="{00000000-0005-0000-0000-0000051D0000}"/>
    <cellStyle name="20% - Accent3 2 2 3" xfId="299" xr:uid="{00000000-0005-0000-0000-0000061D0000}"/>
    <cellStyle name="20% - Accent3 2 2 3 10" xfId="39542" xr:uid="{00000000-0005-0000-0000-0000071D0000}"/>
    <cellStyle name="20% - Accent3 2 2 3 11" xfId="45019" xr:uid="{00000000-0005-0000-0000-0000081D0000}"/>
    <cellStyle name="20% - Accent3 2 2 3 12" xfId="50497" xr:uid="{00000000-0005-0000-0000-0000091D0000}"/>
    <cellStyle name="20% - Accent3 2 2 3 2" xfId="2099" xr:uid="{00000000-0005-0000-0000-00000A1D0000}"/>
    <cellStyle name="20% - Accent3 2 2 3 2 2" xfId="7579" xr:uid="{00000000-0005-0000-0000-00000B1D0000}"/>
    <cellStyle name="20% - Accent3 2 2 3 2 3" xfId="13055" xr:uid="{00000000-0005-0000-0000-00000C1D0000}"/>
    <cellStyle name="20% - Accent3 2 2 3 2 4" xfId="18531" xr:uid="{00000000-0005-0000-0000-00000D1D0000}"/>
    <cellStyle name="20% - Accent3 2 2 3 2 5" xfId="24007" xr:uid="{00000000-0005-0000-0000-00000E1D0000}"/>
    <cellStyle name="20% - Accent3 2 2 3 2 6" xfId="35803" xr:uid="{00000000-0005-0000-0000-00000F1D0000}"/>
    <cellStyle name="20% - Accent3 2 2 3 2 7" xfId="41280" xr:uid="{00000000-0005-0000-0000-0000101D0000}"/>
    <cellStyle name="20% - Accent3 2 2 3 2 8" xfId="46757" xr:uid="{00000000-0005-0000-0000-0000111D0000}"/>
    <cellStyle name="20% - Accent3 2 2 3 2 9" xfId="52275" xr:uid="{00000000-0005-0000-0000-0000121D0000}"/>
    <cellStyle name="20% - Accent3 2 2 3 3" xfId="3861" xr:uid="{00000000-0005-0000-0000-0000131D0000}"/>
    <cellStyle name="20% - Accent3 2 2 3 3 2" xfId="9341" xr:uid="{00000000-0005-0000-0000-0000141D0000}"/>
    <cellStyle name="20% - Accent3 2 2 3 3 3" xfId="14817" xr:uid="{00000000-0005-0000-0000-0000151D0000}"/>
    <cellStyle name="20% - Accent3 2 2 3 3 4" xfId="20293" xr:uid="{00000000-0005-0000-0000-0000161D0000}"/>
    <cellStyle name="20% - Accent3 2 2 3 3 5" xfId="25769" xr:uid="{00000000-0005-0000-0000-0000171D0000}"/>
    <cellStyle name="20% - Accent3 2 2 3 3 6" xfId="37565" xr:uid="{00000000-0005-0000-0000-0000181D0000}"/>
    <cellStyle name="20% - Accent3 2 2 3 3 7" xfId="43042" xr:uid="{00000000-0005-0000-0000-0000191D0000}"/>
    <cellStyle name="20% - Accent3 2 2 3 3 8" xfId="48519" xr:uid="{00000000-0005-0000-0000-00001A1D0000}"/>
    <cellStyle name="20% - Accent3 2 2 3 3 9" xfId="54037" xr:uid="{00000000-0005-0000-0000-00001B1D0000}"/>
    <cellStyle name="20% - Accent3 2 2 3 4" xfId="5838" xr:uid="{00000000-0005-0000-0000-00001C1D0000}"/>
    <cellStyle name="20% - Accent3 2 2 3 5" xfId="11318" xr:uid="{00000000-0005-0000-0000-00001D1D0000}"/>
    <cellStyle name="20% - Accent3 2 2 3 6" xfId="16794" xr:uid="{00000000-0005-0000-0000-00001E1D0000}"/>
    <cellStyle name="20% - Accent3 2 2 3 7" xfId="22270" xr:uid="{00000000-0005-0000-0000-00001F1D0000}"/>
    <cellStyle name="20% - Accent3 2 2 3 8" xfId="28656" xr:uid="{00000000-0005-0000-0000-0000201D0000}"/>
    <cellStyle name="20% - Accent3 2 2 3 9" xfId="34065" xr:uid="{00000000-0005-0000-0000-0000211D0000}"/>
    <cellStyle name="20% - Accent3 2 2 4" xfId="500" xr:uid="{00000000-0005-0000-0000-0000221D0000}"/>
    <cellStyle name="20% - Accent3 2 2 4 10" xfId="45020" xr:uid="{00000000-0005-0000-0000-0000231D0000}"/>
    <cellStyle name="20% - Accent3 2 2 4 11" xfId="50498" xr:uid="{00000000-0005-0000-0000-0000241D0000}"/>
    <cellStyle name="20% - Accent3 2 2 4 2" xfId="2261" xr:uid="{00000000-0005-0000-0000-0000251D0000}"/>
    <cellStyle name="20% - Accent3 2 2 4 2 2" xfId="7741" xr:uid="{00000000-0005-0000-0000-0000261D0000}"/>
    <cellStyle name="20% - Accent3 2 2 4 2 3" xfId="13217" xr:uid="{00000000-0005-0000-0000-0000271D0000}"/>
    <cellStyle name="20% - Accent3 2 2 4 2 4" xfId="18693" xr:uid="{00000000-0005-0000-0000-0000281D0000}"/>
    <cellStyle name="20% - Accent3 2 2 4 2 5" xfId="24169" xr:uid="{00000000-0005-0000-0000-0000291D0000}"/>
    <cellStyle name="20% - Accent3 2 2 4 2 6" xfId="35965" xr:uid="{00000000-0005-0000-0000-00002A1D0000}"/>
    <cellStyle name="20% - Accent3 2 2 4 2 7" xfId="41442" xr:uid="{00000000-0005-0000-0000-00002B1D0000}"/>
    <cellStyle name="20% - Accent3 2 2 4 2 8" xfId="46919" xr:uid="{00000000-0005-0000-0000-00002C1D0000}"/>
    <cellStyle name="20% - Accent3 2 2 4 2 9" xfId="52437" xr:uid="{00000000-0005-0000-0000-00002D1D0000}"/>
    <cellStyle name="20% - Accent3 2 2 4 3" xfId="4033" xr:uid="{00000000-0005-0000-0000-00002E1D0000}"/>
    <cellStyle name="20% - Accent3 2 2 4 3 2" xfId="9513" xr:uid="{00000000-0005-0000-0000-00002F1D0000}"/>
    <cellStyle name="20% - Accent3 2 2 4 3 3" xfId="14989" xr:uid="{00000000-0005-0000-0000-0000301D0000}"/>
    <cellStyle name="20% - Accent3 2 2 4 3 4" xfId="20465" xr:uid="{00000000-0005-0000-0000-0000311D0000}"/>
    <cellStyle name="20% - Accent3 2 2 4 3 5" xfId="25941" xr:uid="{00000000-0005-0000-0000-0000321D0000}"/>
    <cellStyle name="20% - Accent3 2 2 4 3 6" xfId="37737" xr:uid="{00000000-0005-0000-0000-0000331D0000}"/>
    <cellStyle name="20% - Accent3 2 2 4 3 7" xfId="43214" xr:uid="{00000000-0005-0000-0000-0000341D0000}"/>
    <cellStyle name="20% - Accent3 2 2 4 3 8" xfId="48691" xr:uid="{00000000-0005-0000-0000-0000351D0000}"/>
    <cellStyle name="20% - Accent3 2 2 4 3 9" xfId="54209" xr:uid="{00000000-0005-0000-0000-0000361D0000}"/>
    <cellStyle name="20% - Accent3 2 2 4 4" xfId="5839" xr:uid="{00000000-0005-0000-0000-0000371D0000}"/>
    <cellStyle name="20% - Accent3 2 2 4 5" xfId="11319" xr:uid="{00000000-0005-0000-0000-0000381D0000}"/>
    <cellStyle name="20% - Accent3 2 2 4 6" xfId="16795" xr:uid="{00000000-0005-0000-0000-0000391D0000}"/>
    <cellStyle name="20% - Accent3 2 2 4 7" xfId="22271" xr:uid="{00000000-0005-0000-0000-00003A1D0000}"/>
    <cellStyle name="20% - Accent3 2 2 4 8" xfId="34066" xr:uid="{00000000-0005-0000-0000-00003B1D0000}"/>
    <cellStyle name="20% - Accent3 2 2 4 9" xfId="39543" xr:uid="{00000000-0005-0000-0000-00003C1D0000}"/>
    <cellStyle name="20% - Accent3 2 2 5" xfId="672" xr:uid="{00000000-0005-0000-0000-00003D1D0000}"/>
    <cellStyle name="20% - Accent3 2 2 5 10" xfId="45021" xr:uid="{00000000-0005-0000-0000-00003E1D0000}"/>
    <cellStyle name="20% - Accent3 2 2 5 11" xfId="50499" xr:uid="{00000000-0005-0000-0000-00003F1D0000}"/>
    <cellStyle name="20% - Accent3 2 2 5 2" xfId="2433" xr:uid="{00000000-0005-0000-0000-0000401D0000}"/>
    <cellStyle name="20% - Accent3 2 2 5 2 2" xfId="7913" xr:uid="{00000000-0005-0000-0000-0000411D0000}"/>
    <cellStyle name="20% - Accent3 2 2 5 2 3" xfId="13389" xr:uid="{00000000-0005-0000-0000-0000421D0000}"/>
    <cellStyle name="20% - Accent3 2 2 5 2 4" xfId="18865" xr:uid="{00000000-0005-0000-0000-0000431D0000}"/>
    <cellStyle name="20% - Accent3 2 2 5 2 5" xfId="24341" xr:uid="{00000000-0005-0000-0000-0000441D0000}"/>
    <cellStyle name="20% - Accent3 2 2 5 2 6" xfId="36137" xr:uid="{00000000-0005-0000-0000-0000451D0000}"/>
    <cellStyle name="20% - Accent3 2 2 5 2 7" xfId="41614" xr:uid="{00000000-0005-0000-0000-0000461D0000}"/>
    <cellStyle name="20% - Accent3 2 2 5 2 8" xfId="47091" xr:uid="{00000000-0005-0000-0000-0000471D0000}"/>
    <cellStyle name="20% - Accent3 2 2 5 2 9" xfId="52609" xr:uid="{00000000-0005-0000-0000-0000481D0000}"/>
    <cellStyle name="20% - Accent3 2 2 5 3" xfId="4205" xr:uid="{00000000-0005-0000-0000-0000491D0000}"/>
    <cellStyle name="20% - Accent3 2 2 5 3 2" xfId="9685" xr:uid="{00000000-0005-0000-0000-00004A1D0000}"/>
    <cellStyle name="20% - Accent3 2 2 5 3 3" xfId="15161" xr:uid="{00000000-0005-0000-0000-00004B1D0000}"/>
    <cellStyle name="20% - Accent3 2 2 5 3 4" xfId="20637" xr:uid="{00000000-0005-0000-0000-00004C1D0000}"/>
    <cellStyle name="20% - Accent3 2 2 5 3 5" xfId="26113" xr:uid="{00000000-0005-0000-0000-00004D1D0000}"/>
    <cellStyle name="20% - Accent3 2 2 5 3 6" xfId="37909" xr:uid="{00000000-0005-0000-0000-00004E1D0000}"/>
    <cellStyle name="20% - Accent3 2 2 5 3 7" xfId="43386" xr:uid="{00000000-0005-0000-0000-00004F1D0000}"/>
    <cellStyle name="20% - Accent3 2 2 5 3 8" xfId="48863" xr:uid="{00000000-0005-0000-0000-0000501D0000}"/>
    <cellStyle name="20% - Accent3 2 2 5 3 9" xfId="54381" xr:uid="{00000000-0005-0000-0000-0000511D0000}"/>
    <cellStyle name="20% - Accent3 2 2 5 4" xfId="5840" xr:uid="{00000000-0005-0000-0000-0000521D0000}"/>
    <cellStyle name="20% - Accent3 2 2 5 5" xfId="11320" xr:uid="{00000000-0005-0000-0000-0000531D0000}"/>
    <cellStyle name="20% - Accent3 2 2 5 6" xfId="16796" xr:uid="{00000000-0005-0000-0000-0000541D0000}"/>
    <cellStyle name="20% - Accent3 2 2 5 7" xfId="22272" xr:uid="{00000000-0005-0000-0000-0000551D0000}"/>
    <cellStyle name="20% - Accent3 2 2 5 8" xfId="34067" xr:uid="{00000000-0005-0000-0000-0000561D0000}"/>
    <cellStyle name="20% - Accent3 2 2 5 9" xfId="39544" xr:uid="{00000000-0005-0000-0000-0000571D0000}"/>
    <cellStyle name="20% - Accent3 2 2 6" xfId="844" xr:uid="{00000000-0005-0000-0000-0000581D0000}"/>
    <cellStyle name="20% - Accent3 2 2 6 10" xfId="45022" xr:uid="{00000000-0005-0000-0000-0000591D0000}"/>
    <cellStyle name="20% - Accent3 2 2 6 11" xfId="50500" xr:uid="{00000000-0005-0000-0000-00005A1D0000}"/>
    <cellStyle name="20% - Accent3 2 2 6 2" xfId="2605" xr:uid="{00000000-0005-0000-0000-00005B1D0000}"/>
    <cellStyle name="20% - Accent3 2 2 6 2 2" xfId="8085" xr:uid="{00000000-0005-0000-0000-00005C1D0000}"/>
    <cellStyle name="20% - Accent3 2 2 6 2 3" xfId="13561" xr:uid="{00000000-0005-0000-0000-00005D1D0000}"/>
    <cellStyle name="20% - Accent3 2 2 6 2 4" xfId="19037" xr:uid="{00000000-0005-0000-0000-00005E1D0000}"/>
    <cellStyle name="20% - Accent3 2 2 6 2 5" xfId="24513" xr:uid="{00000000-0005-0000-0000-00005F1D0000}"/>
    <cellStyle name="20% - Accent3 2 2 6 2 6" xfId="36309" xr:uid="{00000000-0005-0000-0000-0000601D0000}"/>
    <cellStyle name="20% - Accent3 2 2 6 2 7" xfId="41786" xr:uid="{00000000-0005-0000-0000-0000611D0000}"/>
    <cellStyle name="20% - Accent3 2 2 6 2 8" xfId="47263" xr:uid="{00000000-0005-0000-0000-0000621D0000}"/>
    <cellStyle name="20% - Accent3 2 2 6 2 9" xfId="52781" xr:uid="{00000000-0005-0000-0000-0000631D0000}"/>
    <cellStyle name="20% - Accent3 2 2 6 3" xfId="4377" xr:uid="{00000000-0005-0000-0000-0000641D0000}"/>
    <cellStyle name="20% - Accent3 2 2 6 3 2" xfId="9857" xr:uid="{00000000-0005-0000-0000-0000651D0000}"/>
    <cellStyle name="20% - Accent3 2 2 6 3 3" xfId="15333" xr:uid="{00000000-0005-0000-0000-0000661D0000}"/>
    <cellStyle name="20% - Accent3 2 2 6 3 4" xfId="20809" xr:uid="{00000000-0005-0000-0000-0000671D0000}"/>
    <cellStyle name="20% - Accent3 2 2 6 3 5" xfId="26285" xr:uid="{00000000-0005-0000-0000-0000681D0000}"/>
    <cellStyle name="20% - Accent3 2 2 6 3 6" xfId="38081" xr:uid="{00000000-0005-0000-0000-0000691D0000}"/>
    <cellStyle name="20% - Accent3 2 2 6 3 7" xfId="43558" xr:uid="{00000000-0005-0000-0000-00006A1D0000}"/>
    <cellStyle name="20% - Accent3 2 2 6 3 8" xfId="49035" xr:uid="{00000000-0005-0000-0000-00006B1D0000}"/>
    <cellStyle name="20% - Accent3 2 2 6 3 9" xfId="54553" xr:uid="{00000000-0005-0000-0000-00006C1D0000}"/>
    <cellStyle name="20% - Accent3 2 2 6 4" xfId="5841" xr:uid="{00000000-0005-0000-0000-00006D1D0000}"/>
    <cellStyle name="20% - Accent3 2 2 6 5" xfId="11321" xr:uid="{00000000-0005-0000-0000-00006E1D0000}"/>
    <cellStyle name="20% - Accent3 2 2 6 6" xfId="16797" xr:uid="{00000000-0005-0000-0000-00006F1D0000}"/>
    <cellStyle name="20% - Accent3 2 2 6 7" xfId="22273" xr:uid="{00000000-0005-0000-0000-0000701D0000}"/>
    <cellStyle name="20% - Accent3 2 2 6 8" xfId="34068" xr:uid="{00000000-0005-0000-0000-0000711D0000}"/>
    <cellStyle name="20% - Accent3 2 2 6 9" xfId="39545" xr:uid="{00000000-0005-0000-0000-0000721D0000}"/>
    <cellStyle name="20% - Accent3 2 2 7" xfId="1050" xr:uid="{00000000-0005-0000-0000-0000731D0000}"/>
    <cellStyle name="20% - Accent3 2 2 7 10" xfId="45023" xr:uid="{00000000-0005-0000-0000-0000741D0000}"/>
    <cellStyle name="20% - Accent3 2 2 7 11" xfId="50501" xr:uid="{00000000-0005-0000-0000-0000751D0000}"/>
    <cellStyle name="20% - Accent3 2 2 7 2" xfId="2811" xr:uid="{00000000-0005-0000-0000-0000761D0000}"/>
    <cellStyle name="20% - Accent3 2 2 7 2 2" xfId="8291" xr:uid="{00000000-0005-0000-0000-0000771D0000}"/>
    <cellStyle name="20% - Accent3 2 2 7 2 3" xfId="13767" xr:uid="{00000000-0005-0000-0000-0000781D0000}"/>
    <cellStyle name="20% - Accent3 2 2 7 2 4" xfId="19243" xr:uid="{00000000-0005-0000-0000-0000791D0000}"/>
    <cellStyle name="20% - Accent3 2 2 7 2 5" xfId="24719" xr:uid="{00000000-0005-0000-0000-00007A1D0000}"/>
    <cellStyle name="20% - Accent3 2 2 7 2 6" xfId="36515" xr:uid="{00000000-0005-0000-0000-00007B1D0000}"/>
    <cellStyle name="20% - Accent3 2 2 7 2 7" xfId="41992" xr:uid="{00000000-0005-0000-0000-00007C1D0000}"/>
    <cellStyle name="20% - Accent3 2 2 7 2 8" xfId="47469" xr:uid="{00000000-0005-0000-0000-00007D1D0000}"/>
    <cellStyle name="20% - Accent3 2 2 7 2 9" xfId="52987" xr:uid="{00000000-0005-0000-0000-00007E1D0000}"/>
    <cellStyle name="20% - Accent3 2 2 7 3" xfId="4583" xr:uid="{00000000-0005-0000-0000-00007F1D0000}"/>
    <cellStyle name="20% - Accent3 2 2 7 3 2" xfId="10063" xr:uid="{00000000-0005-0000-0000-0000801D0000}"/>
    <cellStyle name="20% - Accent3 2 2 7 3 3" xfId="15539" xr:uid="{00000000-0005-0000-0000-0000811D0000}"/>
    <cellStyle name="20% - Accent3 2 2 7 3 4" xfId="21015" xr:uid="{00000000-0005-0000-0000-0000821D0000}"/>
    <cellStyle name="20% - Accent3 2 2 7 3 5" xfId="26491" xr:uid="{00000000-0005-0000-0000-0000831D0000}"/>
    <cellStyle name="20% - Accent3 2 2 7 3 6" xfId="38287" xr:uid="{00000000-0005-0000-0000-0000841D0000}"/>
    <cellStyle name="20% - Accent3 2 2 7 3 7" xfId="43764" xr:uid="{00000000-0005-0000-0000-0000851D0000}"/>
    <cellStyle name="20% - Accent3 2 2 7 3 8" xfId="49241" xr:uid="{00000000-0005-0000-0000-0000861D0000}"/>
    <cellStyle name="20% - Accent3 2 2 7 3 9" xfId="54759" xr:uid="{00000000-0005-0000-0000-0000871D0000}"/>
    <cellStyle name="20% - Accent3 2 2 7 4" xfId="5842" xr:uid="{00000000-0005-0000-0000-0000881D0000}"/>
    <cellStyle name="20% - Accent3 2 2 7 5" xfId="11322" xr:uid="{00000000-0005-0000-0000-0000891D0000}"/>
    <cellStyle name="20% - Accent3 2 2 7 6" xfId="16798" xr:uid="{00000000-0005-0000-0000-00008A1D0000}"/>
    <cellStyle name="20% - Accent3 2 2 7 7" xfId="22274" xr:uid="{00000000-0005-0000-0000-00008B1D0000}"/>
    <cellStyle name="20% - Accent3 2 2 7 8" xfId="34069" xr:uid="{00000000-0005-0000-0000-00008C1D0000}"/>
    <cellStyle name="20% - Accent3 2 2 7 9" xfId="39546" xr:uid="{00000000-0005-0000-0000-00008D1D0000}"/>
    <cellStyle name="20% - Accent3 2 2 8" xfId="1222" xr:uid="{00000000-0005-0000-0000-00008E1D0000}"/>
    <cellStyle name="20% - Accent3 2 2 8 10" xfId="45024" xr:uid="{00000000-0005-0000-0000-00008F1D0000}"/>
    <cellStyle name="20% - Accent3 2 2 8 11" xfId="50502" xr:uid="{00000000-0005-0000-0000-0000901D0000}"/>
    <cellStyle name="20% - Accent3 2 2 8 2" xfId="2983" xr:uid="{00000000-0005-0000-0000-0000911D0000}"/>
    <cellStyle name="20% - Accent3 2 2 8 2 2" xfId="8463" xr:uid="{00000000-0005-0000-0000-0000921D0000}"/>
    <cellStyle name="20% - Accent3 2 2 8 2 3" xfId="13939" xr:uid="{00000000-0005-0000-0000-0000931D0000}"/>
    <cellStyle name="20% - Accent3 2 2 8 2 4" xfId="19415" xr:uid="{00000000-0005-0000-0000-0000941D0000}"/>
    <cellStyle name="20% - Accent3 2 2 8 2 5" xfId="24891" xr:uid="{00000000-0005-0000-0000-0000951D0000}"/>
    <cellStyle name="20% - Accent3 2 2 8 2 6" xfId="36687" xr:uid="{00000000-0005-0000-0000-0000961D0000}"/>
    <cellStyle name="20% - Accent3 2 2 8 2 7" xfId="42164" xr:uid="{00000000-0005-0000-0000-0000971D0000}"/>
    <cellStyle name="20% - Accent3 2 2 8 2 8" xfId="47641" xr:uid="{00000000-0005-0000-0000-0000981D0000}"/>
    <cellStyle name="20% - Accent3 2 2 8 2 9" xfId="53159" xr:uid="{00000000-0005-0000-0000-0000991D0000}"/>
    <cellStyle name="20% - Accent3 2 2 8 3" xfId="4755" xr:uid="{00000000-0005-0000-0000-00009A1D0000}"/>
    <cellStyle name="20% - Accent3 2 2 8 3 2" xfId="10235" xr:uid="{00000000-0005-0000-0000-00009B1D0000}"/>
    <cellStyle name="20% - Accent3 2 2 8 3 3" xfId="15711" xr:uid="{00000000-0005-0000-0000-00009C1D0000}"/>
    <cellStyle name="20% - Accent3 2 2 8 3 4" xfId="21187" xr:uid="{00000000-0005-0000-0000-00009D1D0000}"/>
    <cellStyle name="20% - Accent3 2 2 8 3 5" xfId="26663" xr:uid="{00000000-0005-0000-0000-00009E1D0000}"/>
    <cellStyle name="20% - Accent3 2 2 8 3 6" xfId="38459" xr:uid="{00000000-0005-0000-0000-00009F1D0000}"/>
    <cellStyle name="20% - Accent3 2 2 8 3 7" xfId="43936" xr:uid="{00000000-0005-0000-0000-0000A01D0000}"/>
    <cellStyle name="20% - Accent3 2 2 8 3 8" xfId="49413" xr:uid="{00000000-0005-0000-0000-0000A11D0000}"/>
    <cellStyle name="20% - Accent3 2 2 8 3 9" xfId="54931" xr:uid="{00000000-0005-0000-0000-0000A21D0000}"/>
    <cellStyle name="20% - Accent3 2 2 8 4" xfId="5843" xr:uid="{00000000-0005-0000-0000-0000A31D0000}"/>
    <cellStyle name="20% - Accent3 2 2 8 5" xfId="11323" xr:uid="{00000000-0005-0000-0000-0000A41D0000}"/>
    <cellStyle name="20% - Accent3 2 2 8 6" xfId="16799" xr:uid="{00000000-0005-0000-0000-0000A51D0000}"/>
    <cellStyle name="20% - Accent3 2 2 8 7" xfId="22275" xr:uid="{00000000-0005-0000-0000-0000A61D0000}"/>
    <cellStyle name="20% - Accent3 2 2 8 8" xfId="34070" xr:uid="{00000000-0005-0000-0000-0000A71D0000}"/>
    <cellStyle name="20% - Accent3 2 2 8 9" xfId="39547" xr:uid="{00000000-0005-0000-0000-0000A81D0000}"/>
    <cellStyle name="20% - Accent3 2 2 9" xfId="1394" xr:uid="{00000000-0005-0000-0000-0000A91D0000}"/>
    <cellStyle name="20% - Accent3 2 2 9 10" xfId="45025" xr:uid="{00000000-0005-0000-0000-0000AA1D0000}"/>
    <cellStyle name="20% - Accent3 2 2 9 11" xfId="50503" xr:uid="{00000000-0005-0000-0000-0000AB1D0000}"/>
    <cellStyle name="20% - Accent3 2 2 9 2" xfId="3155" xr:uid="{00000000-0005-0000-0000-0000AC1D0000}"/>
    <cellStyle name="20% - Accent3 2 2 9 2 2" xfId="8635" xr:uid="{00000000-0005-0000-0000-0000AD1D0000}"/>
    <cellStyle name="20% - Accent3 2 2 9 2 3" xfId="14111" xr:uid="{00000000-0005-0000-0000-0000AE1D0000}"/>
    <cellStyle name="20% - Accent3 2 2 9 2 4" xfId="19587" xr:uid="{00000000-0005-0000-0000-0000AF1D0000}"/>
    <cellStyle name="20% - Accent3 2 2 9 2 5" xfId="25063" xr:uid="{00000000-0005-0000-0000-0000B01D0000}"/>
    <cellStyle name="20% - Accent3 2 2 9 2 6" xfId="36859" xr:uid="{00000000-0005-0000-0000-0000B11D0000}"/>
    <cellStyle name="20% - Accent3 2 2 9 2 7" xfId="42336" xr:uid="{00000000-0005-0000-0000-0000B21D0000}"/>
    <cellStyle name="20% - Accent3 2 2 9 2 8" xfId="47813" xr:uid="{00000000-0005-0000-0000-0000B31D0000}"/>
    <cellStyle name="20% - Accent3 2 2 9 2 9" xfId="53331" xr:uid="{00000000-0005-0000-0000-0000B41D0000}"/>
    <cellStyle name="20% - Accent3 2 2 9 3" xfId="4927" xr:uid="{00000000-0005-0000-0000-0000B51D0000}"/>
    <cellStyle name="20% - Accent3 2 2 9 3 2" xfId="10407" xr:uid="{00000000-0005-0000-0000-0000B61D0000}"/>
    <cellStyle name="20% - Accent3 2 2 9 3 3" xfId="15883" xr:uid="{00000000-0005-0000-0000-0000B71D0000}"/>
    <cellStyle name="20% - Accent3 2 2 9 3 4" xfId="21359" xr:uid="{00000000-0005-0000-0000-0000B81D0000}"/>
    <cellStyle name="20% - Accent3 2 2 9 3 5" xfId="26835" xr:uid="{00000000-0005-0000-0000-0000B91D0000}"/>
    <cellStyle name="20% - Accent3 2 2 9 3 6" xfId="38631" xr:uid="{00000000-0005-0000-0000-0000BA1D0000}"/>
    <cellStyle name="20% - Accent3 2 2 9 3 7" xfId="44108" xr:uid="{00000000-0005-0000-0000-0000BB1D0000}"/>
    <cellStyle name="20% - Accent3 2 2 9 3 8" xfId="49585" xr:uid="{00000000-0005-0000-0000-0000BC1D0000}"/>
    <cellStyle name="20% - Accent3 2 2 9 3 9" xfId="55103" xr:uid="{00000000-0005-0000-0000-0000BD1D0000}"/>
    <cellStyle name="20% - Accent3 2 2 9 4" xfId="5844" xr:uid="{00000000-0005-0000-0000-0000BE1D0000}"/>
    <cellStyle name="20% - Accent3 2 2 9 5" xfId="11324" xr:uid="{00000000-0005-0000-0000-0000BF1D0000}"/>
    <cellStyle name="20% - Accent3 2 2 9 6" xfId="16800" xr:uid="{00000000-0005-0000-0000-0000C01D0000}"/>
    <cellStyle name="20% - Accent3 2 2 9 7" xfId="22276" xr:uid="{00000000-0005-0000-0000-0000C11D0000}"/>
    <cellStyle name="20% - Accent3 2 2 9 8" xfId="34071" xr:uid="{00000000-0005-0000-0000-0000C21D0000}"/>
    <cellStyle name="20% - Accent3 2 2 9 9" xfId="39548" xr:uid="{00000000-0005-0000-0000-0000C31D0000}"/>
    <cellStyle name="20% - Accent3 2 20" xfId="5816" xr:uid="{00000000-0005-0000-0000-0000C41D0000}"/>
    <cellStyle name="20% - Accent3 2 21" xfId="11296" xr:uid="{00000000-0005-0000-0000-0000C51D0000}"/>
    <cellStyle name="20% - Accent3 2 22" xfId="16772" xr:uid="{00000000-0005-0000-0000-0000C61D0000}"/>
    <cellStyle name="20% - Accent3 2 23" xfId="22248" xr:uid="{00000000-0005-0000-0000-0000C71D0000}"/>
    <cellStyle name="20% - Accent3 2 24" xfId="28652" xr:uid="{00000000-0005-0000-0000-0000C81D0000}"/>
    <cellStyle name="20% - Accent3 2 25" xfId="34043" xr:uid="{00000000-0005-0000-0000-0000C91D0000}"/>
    <cellStyle name="20% - Accent3 2 26" xfId="39520" xr:uid="{00000000-0005-0000-0000-0000CA1D0000}"/>
    <cellStyle name="20% - Accent3 2 27" xfId="44997" xr:uid="{00000000-0005-0000-0000-0000CB1D0000}"/>
    <cellStyle name="20% - Accent3 2 28" xfId="50475" xr:uid="{00000000-0005-0000-0000-0000CC1D0000}"/>
    <cellStyle name="20% - Accent3 2 3" xfId="149" xr:uid="{00000000-0005-0000-0000-0000CD1D0000}"/>
    <cellStyle name="20% - Accent3 2 3 10" xfId="1568" xr:uid="{00000000-0005-0000-0000-0000CE1D0000}"/>
    <cellStyle name="20% - Accent3 2 3 10 10" xfId="45027" xr:uid="{00000000-0005-0000-0000-0000CF1D0000}"/>
    <cellStyle name="20% - Accent3 2 3 10 11" xfId="50505" xr:uid="{00000000-0005-0000-0000-0000D01D0000}"/>
    <cellStyle name="20% - Accent3 2 3 10 2" xfId="3329" xr:uid="{00000000-0005-0000-0000-0000D11D0000}"/>
    <cellStyle name="20% - Accent3 2 3 10 2 2" xfId="8809" xr:uid="{00000000-0005-0000-0000-0000D21D0000}"/>
    <cellStyle name="20% - Accent3 2 3 10 2 3" xfId="14285" xr:uid="{00000000-0005-0000-0000-0000D31D0000}"/>
    <cellStyle name="20% - Accent3 2 3 10 2 4" xfId="19761" xr:uid="{00000000-0005-0000-0000-0000D41D0000}"/>
    <cellStyle name="20% - Accent3 2 3 10 2 5" xfId="25237" xr:uid="{00000000-0005-0000-0000-0000D51D0000}"/>
    <cellStyle name="20% - Accent3 2 3 10 2 6" xfId="37033" xr:uid="{00000000-0005-0000-0000-0000D61D0000}"/>
    <cellStyle name="20% - Accent3 2 3 10 2 7" xfId="42510" xr:uid="{00000000-0005-0000-0000-0000D71D0000}"/>
    <cellStyle name="20% - Accent3 2 3 10 2 8" xfId="47987" xr:uid="{00000000-0005-0000-0000-0000D81D0000}"/>
    <cellStyle name="20% - Accent3 2 3 10 2 9" xfId="53505" xr:uid="{00000000-0005-0000-0000-0000D91D0000}"/>
    <cellStyle name="20% - Accent3 2 3 10 3" xfId="5101" xr:uid="{00000000-0005-0000-0000-0000DA1D0000}"/>
    <cellStyle name="20% - Accent3 2 3 10 3 2" xfId="10581" xr:uid="{00000000-0005-0000-0000-0000DB1D0000}"/>
    <cellStyle name="20% - Accent3 2 3 10 3 3" xfId="16057" xr:uid="{00000000-0005-0000-0000-0000DC1D0000}"/>
    <cellStyle name="20% - Accent3 2 3 10 3 4" xfId="21533" xr:uid="{00000000-0005-0000-0000-0000DD1D0000}"/>
    <cellStyle name="20% - Accent3 2 3 10 3 5" xfId="27009" xr:uid="{00000000-0005-0000-0000-0000DE1D0000}"/>
    <cellStyle name="20% - Accent3 2 3 10 3 6" xfId="38805" xr:uid="{00000000-0005-0000-0000-0000DF1D0000}"/>
    <cellStyle name="20% - Accent3 2 3 10 3 7" xfId="44282" xr:uid="{00000000-0005-0000-0000-0000E01D0000}"/>
    <cellStyle name="20% - Accent3 2 3 10 3 8" xfId="49759" xr:uid="{00000000-0005-0000-0000-0000E11D0000}"/>
    <cellStyle name="20% - Accent3 2 3 10 3 9" xfId="55277" xr:uid="{00000000-0005-0000-0000-0000E21D0000}"/>
    <cellStyle name="20% - Accent3 2 3 10 4" xfId="5846" xr:uid="{00000000-0005-0000-0000-0000E31D0000}"/>
    <cellStyle name="20% - Accent3 2 3 10 5" xfId="11326" xr:uid="{00000000-0005-0000-0000-0000E41D0000}"/>
    <cellStyle name="20% - Accent3 2 3 10 6" xfId="16802" xr:uid="{00000000-0005-0000-0000-0000E51D0000}"/>
    <cellStyle name="20% - Accent3 2 3 10 7" xfId="22278" xr:uid="{00000000-0005-0000-0000-0000E61D0000}"/>
    <cellStyle name="20% - Accent3 2 3 10 8" xfId="34073" xr:uid="{00000000-0005-0000-0000-0000E71D0000}"/>
    <cellStyle name="20% - Accent3 2 3 10 9" xfId="39550" xr:uid="{00000000-0005-0000-0000-0000E81D0000}"/>
    <cellStyle name="20% - Accent3 2 3 11" xfId="1786" xr:uid="{00000000-0005-0000-0000-0000E91D0000}"/>
    <cellStyle name="20% - Accent3 2 3 11 10" xfId="45028" xr:uid="{00000000-0005-0000-0000-0000EA1D0000}"/>
    <cellStyle name="20% - Accent3 2 3 11 11" xfId="50506" xr:uid="{00000000-0005-0000-0000-0000EB1D0000}"/>
    <cellStyle name="20% - Accent3 2 3 11 2" xfId="3547" xr:uid="{00000000-0005-0000-0000-0000EC1D0000}"/>
    <cellStyle name="20% - Accent3 2 3 11 2 2" xfId="9027" xr:uid="{00000000-0005-0000-0000-0000ED1D0000}"/>
    <cellStyle name="20% - Accent3 2 3 11 2 3" xfId="14503" xr:uid="{00000000-0005-0000-0000-0000EE1D0000}"/>
    <cellStyle name="20% - Accent3 2 3 11 2 4" xfId="19979" xr:uid="{00000000-0005-0000-0000-0000EF1D0000}"/>
    <cellStyle name="20% - Accent3 2 3 11 2 5" xfId="25455" xr:uid="{00000000-0005-0000-0000-0000F01D0000}"/>
    <cellStyle name="20% - Accent3 2 3 11 2 6" xfId="37251" xr:uid="{00000000-0005-0000-0000-0000F11D0000}"/>
    <cellStyle name="20% - Accent3 2 3 11 2 7" xfId="42728" xr:uid="{00000000-0005-0000-0000-0000F21D0000}"/>
    <cellStyle name="20% - Accent3 2 3 11 2 8" xfId="48205" xr:uid="{00000000-0005-0000-0000-0000F31D0000}"/>
    <cellStyle name="20% - Accent3 2 3 11 2 9" xfId="53723" xr:uid="{00000000-0005-0000-0000-0000F41D0000}"/>
    <cellStyle name="20% - Accent3 2 3 11 3" xfId="5319" xr:uid="{00000000-0005-0000-0000-0000F51D0000}"/>
    <cellStyle name="20% - Accent3 2 3 11 3 2" xfId="10799" xr:uid="{00000000-0005-0000-0000-0000F61D0000}"/>
    <cellStyle name="20% - Accent3 2 3 11 3 3" xfId="16275" xr:uid="{00000000-0005-0000-0000-0000F71D0000}"/>
    <cellStyle name="20% - Accent3 2 3 11 3 4" xfId="21751" xr:uid="{00000000-0005-0000-0000-0000F81D0000}"/>
    <cellStyle name="20% - Accent3 2 3 11 3 5" xfId="27227" xr:uid="{00000000-0005-0000-0000-0000F91D0000}"/>
    <cellStyle name="20% - Accent3 2 3 11 3 6" xfId="39023" xr:uid="{00000000-0005-0000-0000-0000FA1D0000}"/>
    <cellStyle name="20% - Accent3 2 3 11 3 7" xfId="44500" xr:uid="{00000000-0005-0000-0000-0000FB1D0000}"/>
    <cellStyle name="20% - Accent3 2 3 11 3 8" xfId="49977" xr:uid="{00000000-0005-0000-0000-0000FC1D0000}"/>
    <cellStyle name="20% - Accent3 2 3 11 3 9" xfId="55495" xr:uid="{00000000-0005-0000-0000-0000FD1D0000}"/>
    <cellStyle name="20% - Accent3 2 3 11 4" xfId="5847" xr:uid="{00000000-0005-0000-0000-0000FE1D0000}"/>
    <cellStyle name="20% - Accent3 2 3 11 5" xfId="11327" xr:uid="{00000000-0005-0000-0000-0000FF1D0000}"/>
    <cellStyle name="20% - Accent3 2 3 11 6" xfId="16803" xr:uid="{00000000-0005-0000-0000-0000001E0000}"/>
    <cellStyle name="20% - Accent3 2 3 11 7" xfId="22279" xr:uid="{00000000-0005-0000-0000-0000011E0000}"/>
    <cellStyle name="20% - Accent3 2 3 11 8" xfId="34074" xr:uid="{00000000-0005-0000-0000-0000021E0000}"/>
    <cellStyle name="20% - Accent3 2 3 11 9" xfId="39551" xr:uid="{00000000-0005-0000-0000-0000031E0000}"/>
    <cellStyle name="20% - Accent3 2 3 12" xfId="1930" xr:uid="{00000000-0005-0000-0000-0000041E0000}"/>
    <cellStyle name="20% - Accent3 2 3 12 10" xfId="52107" xr:uid="{00000000-0005-0000-0000-0000051E0000}"/>
    <cellStyle name="20% - Accent3 2 3 12 2" xfId="5462" xr:uid="{00000000-0005-0000-0000-0000061E0000}"/>
    <cellStyle name="20% - Accent3 2 3 12 2 2" xfId="10942" xr:uid="{00000000-0005-0000-0000-0000071E0000}"/>
    <cellStyle name="20% - Accent3 2 3 12 2 3" xfId="16418" xr:uid="{00000000-0005-0000-0000-0000081E0000}"/>
    <cellStyle name="20% - Accent3 2 3 12 2 4" xfId="21894" xr:uid="{00000000-0005-0000-0000-0000091E0000}"/>
    <cellStyle name="20% - Accent3 2 3 12 2 5" xfId="27370" xr:uid="{00000000-0005-0000-0000-00000A1E0000}"/>
    <cellStyle name="20% - Accent3 2 3 12 2 6" xfId="39166" xr:uid="{00000000-0005-0000-0000-00000B1E0000}"/>
    <cellStyle name="20% - Accent3 2 3 12 2 7" xfId="44643" xr:uid="{00000000-0005-0000-0000-00000C1E0000}"/>
    <cellStyle name="20% - Accent3 2 3 12 2 8" xfId="50120" xr:uid="{00000000-0005-0000-0000-00000D1E0000}"/>
    <cellStyle name="20% - Accent3 2 3 12 2 9" xfId="55638" xr:uid="{00000000-0005-0000-0000-00000E1E0000}"/>
    <cellStyle name="20% - Accent3 2 3 12 3" xfId="7411" xr:uid="{00000000-0005-0000-0000-00000F1E0000}"/>
    <cellStyle name="20% - Accent3 2 3 12 4" xfId="12887" xr:uid="{00000000-0005-0000-0000-0000101E0000}"/>
    <cellStyle name="20% - Accent3 2 3 12 5" xfId="18363" xr:uid="{00000000-0005-0000-0000-0000111E0000}"/>
    <cellStyle name="20% - Accent3 2 3 12 6" xfId="23839" xr:uid="{00000000-0005-0000-0000-0000121E0000}"/>
    <cellStyle name="20% - Accent3 2 3 12 7" xfId="35635" xr:uid="{00000000-0005-0000-0000-0000131E0000}"/>
    <cellStyle name="20% - Accent3 2 3 12 8" xfId="41112" xr:uid="{00000000-0005-0000-0000-0000141E0000}"/>
    <cellStyle name="20% - Accent3 2 3 12 9" xfId="46589" xr:uid="{00000000-0005-0000-0000-0000151E0000}"/>
    <cellStyle name="20% - Accent3 2 3 13" xfId="3721" xr:uid="{00000000-0005-0000-0000-0000161E0000}"/>
    <cellStyle name="20% - Accent3 2 3 13 2" xfId="9201" xr:uid="{00000000-0005-0000-0000-0000171E0000}"/>
    <cellStyle name="20% - Accent3 2 3 13 3" xfId="14677" xr:uid="{00000000-0005-0000-0000-0000181E0000}"/>
    <cellStyle name="20% - Accent3 2 3 13 4" xfId="20153" xr:uid="{00000000-0005-0000-0000-0000191E0000}"/>
    <cellStyle name="20% - Accent3 2 3 13 5" xfId="25629" xr:uid="{00000000-0005-0000-0000-00001A1E0000}"/>
    <cellStyle name="20% - Accent3 2 3 13 6" xfId="37425" xr:uid="{00000000-0005-0000-0000-00001B1E0000}"/>
    <cellStyle name="20% - Accent3 2 3 13 7" xfId="42902" xr:uid="{00000000-0005-0000-0000-00001C1E0000}"/>
    <cellStyle name="20% - Accent3 2 3 13 8" xfId="48379" xr:uid="{00000000-0005-0000-0000-00001D1E0000}"/>
    <cellStyle name="20% - Accent3 2 3 13 9" xfId="53897" xr:uid="{00000000-0005-0000-0000-00001E1E0000}"/>
    <cellStyle name="20% - Accent3 2 3 14" xfId="5845" xr:uid="{00000000-0005-0000-0000-00001F1E0000}"/>
    <cellStyle name="20% - Accent3 2 3 15" xfId="11325" xr:uid="{00000000-0005-0000-0000-0000201E0000}"/>
    <cellStyle name="20% - Accent3 2 3 16" xfId="16801" xr:uid="{00000000-0005-0000-0000-0000211E0000}"/>
    <cellStyle name="20% - Accent3 2 3 17" xfId="22277" xr:uid="{00000000-0005-0000-0000-0000221E0000}"/>
    <cellStyle name="20% - Accent3 2 3 18" xfId="28657" xr:uid="{00000000-0005-0000-0000-0000231E0000}"/>
    <cellStyle name="20% - Accent3 2 3 19" xfId="34072" xr:uid="{00000000-0005-0000-0000-0000241E0000}"/>
    <cellStyle name="20% - Accent3 2 3 2" xfId="241" xr:uid="{00000000-0005-0000-0000-0000251E0000}"/>
    <cellStyle name="20% - Accent3 2 3 2 10" xfId="1785" xr:uid="{00000000-0005-0000-0000-0000261E0000}"/>
    <cellStyle name="20% - Accent3 2 3 2 10 10" xfId="45030" xr:uid="{00000000-0005-0000-0000-0000271E0000}"/>
    <cellStyle name="20% - Accent3 2 3 2 10 11" xfId="50508" xr:uid="{00000000-0005-0000-0000-0000281E0000}"/>
    <cellStyle name="20% - Accent3 2 3 2 10 2" xfId="3546" xr:uid="{00000000-0005-0000-0000-0000291E0000}"/>
    <cellStyle name="20% - Accent3 2 3 2 10 2 2" xfId="9026" xr:uid="{00000000-0005-0000-0000-00002A1E0000}"/>
    <cellStyle name="20% - Accent3 2 3 2 10 2 3" xfId="14502" xr:uid="{00000000-0005-0000-0000-00002B1E0000}"/>
    <cellStyle name="20% - Accent3 2 3 2 10 2 4" xfId="19978" xr:uid="{00000000-0005-0000-0000-00002C1E0000}"/>
    <cellStyle name="20% - Accent3 2 3 2 10 2 5" xfId="25454" xr:uid="{00000000-0005-0000-0000-00002D1E0000}"/>
    <cellStyle name="20% - Accent3 2 3 2 10 2 6" xfId="37250" xr:uid="{00000000-0005-0000-0000-00002E1E0000}"/>
    <cellStyle name="20% - Accent3 2 3 2 10 2 7" xfId="42727" xr:uid="{00000000-0005-0000-0000-00002F1E0000}"/>
    <cellStyle name="20% - Accent3 2 3 2 10 2 8" xfId="48204" xr:uid="{00000000-0005-0000-0000-0000301E0000}"/>
    <cellStyle name="20% - Accent3 2 3 2 10 2 9" xfId="53722" xr:uid="{00000000-0005-0000-0000-0000311E0000}"/>
    <cellStyle name="20% - Accent3 2 3 2 10 3" xfId="5318" xr:uid="{00000000-0005-0000-0000-0000321E0000}"/>
    <cellStyle name="20% - Accent3 2 3 2 10 3 2" xfId="10798" xr:uid="{00000000-0005-0000-0000-0000331E0000}"/>
    <cellStyle name="20% - Accent3 2 3 2 10 3 3" xfId="16274" xr:uid="{00000000-0005-0000-0000-0000341E0000}"/>
    <cellStyle name="20% - Accent3 2 3 2 10 3 4" xfId="21750" xr:uid="{00000000-0005-0000-0000-0000351E0000}"/>
    <cellStyle name="20% - Accent3 2 3 2 10 3 5" xfId="27226" xr:uid="{00000000-0005-0000-0000-0000361E0000}"/>
    <cellStyle name="20% - Accent3 2 3 2 10 3 6" xfId="39022" xr:uid="{00000000-0005-0000-0000-0000371E0000}"/>
    <cellStyle name="20% - Accent3 2 3 2 10 3 7" xfId="44499" xr:uid="{00000000-0005-0000-0000-0000381E0000}"/>
    <cellStyle name="20% - Accent3 2 3 2 10 3 8" xfId="49976" xr:uid="{00000000-0005-0000-0000-0000391E0000}"/>
    <cellStyle name="20% - Accent3 2 3 2 10 3 9" xfId="55494" xr:uid="{00000000-0005-0000-0000-00003A1E0000}"/>
    <cellStyle name="20% - Accent3 2 3 2 10 4" xfId="5849" xr:uid="{00000000-0005-0000-0000-00003B1E0000}"/>
    <cellStyle name="20% - Accent3 2 3 2 10 5" xfId="11329" xr:uid="{00000000-0005-0000-0000-00003C1E0000}"/>
    <cellStyle name="20% - Accent3 2 3 2 10 6" xfId="16805" xr:uid="{00000000-0005-0000-0000-00003D1E0000}"/>
    <cellStyle name="20% - Accent3 2 3 2 10 7" xfId="22281" xr:uid="{00000000-0005-0000-0000-00003E1E0000}"/>
    <cellStyle name="20% - Accent3 2 3 2 10 8" xfId="34076" xr:uid="{00000000-0005-0000-0000-00003F1E0000}"/>
    <cellStyle name="20% - Accent3 2 3 2 10 9" xfId="39553" xr:uid="{00000000-0005-0000-0000-0000401E0000}"/>
    <cellStyle name="20% - Accent3 2 3 2 11" xfId="1931" xr:uid="{00000000-0005-0000-0000-0000411E0000}"/>
    <cellStyle name="20% - Accent3 2 3 2 11 10" xfId="52108" xr:uid="{00000000-0005-0000-0000-0000421E0000}"/>
    <cellStyle name="20% - Accent3 2 3 2 11 2" xfId="5463" xr:uid="{00000000-0005-0000-0000-0000431E0000}"/>
    <cellStyle name="20% - Accent3 2 3 2 11 2 2" xfId="10943" xr:uid="{00000000-0005-0000-0000-0000441E0000}"/>
    <cellStyle name="20% - Accent3 2 3 2 11 2 3" xfId="16419" xr:uid="{00000000-0005-0000-0000-0000451E0000}"/>
    <cellStyle name="20% - Accent3 2 3 2 11 2 4" xfId="21895" xr:uid="{00000000-0005-0000-0000-0000461E0000}"/>
    <cellStyle name="20% - Accent3 2 3 2 11 2 5" xfId="27371" xr:uid="{00000000-0005-0000-0000-0000471E0000}"/>
    <cellStyle name="20% - Accent3 2 3 2 11 2 6" xfId="39167" xr:uid="{00000000-0005-0000-0000-0000481E0000}"/>
    <cellStyle name="20% - Accent3 2 3 2 11 2 7" xfId="44644" xr:uid="{00000000-0005-0000-0000-0000491E0000}"/>
    <cellStyle name="20% - Accent3 2 3 2 11 2 8" xfId="50121" xr:uid="{00000000-0005-0000-0000-00004A1E0000}"/>
    <cellStyle name="20% - Accent3 2 3 2 11 2 9" xfId="55639" xr:uid="{00000000-0005-0000-0000-00004B1E0000}"/>
    <cellStyle name="20% - Accent3 2 3 2 11 3" xfId="7412" xr:uid="{00000000-0005-0000-0000-00004C1E0000}"/>
    <cellStyle name="20% - Accent3 2 3 2 11 4" xfId="12888" xr:uid="{00000000-0005-0000-0000-00004D1E0000}"/>
    <cellStyle name="20% - Accent3 2 3 2 11 5" xfId="18364" xr:uid="{00000000-0005-0000-0000-00004E1E0000}"/>
    <cellStyle name="20% - Accent3 2 3 2 11 6" xfId="23840" xr:uid="{00000000-0005-0000-0000-00004F1E0000}"/>
    <cellStyle name="20% - Accent3 2 3 2 11 7" xfId="35636" xr:uid="{00000000-0005-0000-0000-0000501E0000}"/>
    <cellStyle name="20% - Accent3 2 3 2 11 8" xfId="41113" xr:uid="{00000000-0005-0000-0000-0000511E0000}"/>
    <cellStyle name="20% - Accent3 2 3 2 11 9" xfId="46590" xr:uid="{00000000-0005-0000-0000-0000521E0000}"/>
    <cellStyle name="20% - Accent3 2 3 2 12" xfId="3807" xr:uid="{00000000-0005-0000-0000-0000531E0000}"/>
    <cellStyle name="20% - Accent3 2 3 2 12 2" xfId="9287" xr:uid="{00000000-0005-0000-0000-0000541E0000}"/>
    <cellStyle name="20% - Accent3 2 3 2 12 3" xfId="14763" xr:uid="{00000000-0005-0000-0000-0000551E0000}"/>
    <cellStyle name="20% - Accent3 2 3 2 12 4" xfId="20239" xr:uid="{00000000-0005-0000-0000-0000561E0000}"/>
    <cellStyle name="20% - Accent3 2 3 2 12 5" xfId="25715" xr:uid="{00000000-0005-0000-0000-0000571E0000}"/>
    <cellStyle name="20% - Accent3 2 3 2 12 6" xfId="37511" xr:uid="{00000000-0005-0000-0000-0000581E0000}"/>
    <cellStyle name="20% - Accent3 2 3 2 12 7" xfId="42988" xr:uid="{00000000-0005-0000-0000-0000591E0000}"/>
    <cellStyle name="20% - Accent3 2 3 2 12 8" xfId="48465" xr:uid="{00000000-0005-0000-0000-00005A1E0000}"/>
    <cellStyle name="20% - Accent3 2 3 2 12 9" xfId="53983" xr:uid="{00000000-0005-0000-0000-00005B1E0000}"/>
    <cellStyle name="20% - Accent3 2 3 2 13" xfId="5848" xr:uid="{00000000-0005-0000-0000-00005C1E0000}"/>
    <cellStyle name="20% - Accent3 2 3 2 14" xfId="11328" xr:uid="{00000000-0005-0000-0000-00005D1E0000}"/>
    <cellStyle name="20% - Accent3 2 3 2 15" xfId="16804" xr:uid="{00000000-0005-0000-0000-00005E1E0000}"/>
    <cellStyle name="20% - Accent3 2 3 2 16" xfId="22280" xr:uid="{00000000-0005-0000-0000-00005F1E0000}"/>
    <cellStyle name="20% - Accent3 2 3 2 17" xfId="28658" xr:uid="{00000000-0005-0000-0000-0000601E0000}"/>
    <cellStyle name="20% - Accent3 2 3 2 18" xfId="34075" xr:uid="{00000000-0005-0000-0000-0000611E0000}"/>
    <cellStyle name="20% - Accent3 2 3 2 19" xfId="39552" xr:uid="{00000000-0005-0000-0000-0000621E0000}"/>
    <cellStyle name="20% - Accent3 2 3 2 2" xfId="302" xr:uid="{00000000-0005-0000-0000-0000631E0000}"/>
    <cellStyle name="20% - Accent3 2 3 2 2 10" xfId="39554" xr:uid="{00000000-0005-0000-0000-0000641E0000}"/>
    <cellStyle name="20% - Accent3 2 3 2 2 11" xfId="45031" xr:uid="{00000000-0005-0000-0000-0000651E0000}"/>
    <cellStyle name="20% - Accent3 2 3 2 2 12" xfId="50509" xr:uid="{00000000-0005-0000-0000-0000661E0000}"/>
    <cellStyle name="20% - Accent3 2 3 2 2 2" xfId="2102" xr:uid="{00000000-0005-0000-0000-0000671E0000}"/>
    <cellStyle name="20% - Accent3 2 3 2 2 2 2" xfId="7582" xr:uid="{00000000-0005-0000-0000-0000681E0000}"/>
    <cellStyle name="20% - Accent3 2 3 2 2 2 3" xfId="13058" xr:uid="{00000000-0005-0000-0000-0000691E0000}"/>
    <cellStyle name="20% - Accent3 2 3 2 2 2 4" xfId="18534" xr:uid="{00000000-0005-0000-0000-00006A1E0000}"/>
    <cellStyle name="20% - Accent3 2 3 2 2 2 5" xfId="24010" xr:uid="{00000000-0005-0000-0000-00006B1E0000}"/>
    <cellStyle name="20% - Accent3 2 3 2 2 2 6" xfId="35806" xr:uid="{00000000-0005-0000-0000-00006C1E0000}"/>
    <cellStyle name="20% - Accent3 2 3 2 2 2 7" xfId="41283" xr:uid="{00000000-0005-0000-0000-00006D1E0000}"/>
    <cellStyle name="20% - Accent3 2 3 2 2 2 8" xfId="46760" xr:uid="{00000000-0005-0000-0000-00006E1E0000}"/>
    <cellStyle name="20% - Accent3 2 3 2 2 2 9" xfId="52278" xr:uid="{00000000-0005-0000-0000-00006F1E0000}"/>
    <cellStyle name="20% - Accent3 2 3 2 2 3" xfId="3864" xr:uid="{00000000-0005-0000-0000-0000701E0000}"/>
    <cellStyle name="20% - Accent3 2 3 2 2 3 2" xfId="9344" xr:uid="{00000000-0005-0000-0000-0000711E0000}"/>
    <cellStyle name="20% - Accent3 2 3 2 2 3 3" xfId="14820" xr:uid="{00000000-0005-0000-0000-0000721E0000}"/>
    <cellStyle name="20% - Accent3 2 3 2 2 3 4" xfId="20296" xr:uid="{00000000-0005-0000-0000-0000731E0000}"/>
    <cellStyle name="20% - Accent3 2 3 2 2 3 5" xfId="25772" xr:uid="{00000000-0005-0000-0000-0000741E0000}"/>
    <cellStyle name="20% - Accent3 2 3 2 2 3 6" xfId="37568" xr:uid="{00000000-0005-0000-0000-0000751E0000}"/>
    <cellStyle name="20% - Accent3 2 3 2 2 3 7" xfId="43045" xr:uid="{00000000-0005-0000-0000-0000761E0000}"/>
    <cellStyle name="20% - Accent3 2 3 2 2 3 8" xfId="48522" xr:uid="{00000000-0005-0000-0000-0000771E0000}"/>
    <cellStyle name="20% - Accent3 2 3 2 2 3 9" xfId="54040" xr:uid="{00000000-0005-0000-0000-0000781E0000}"/>
    <cellStyle name="20% - Accent3 2 3 2 2 4" xfId="5850" xr:uid="{00000000-0005-0000-0000-0000791E0000}"/>
    <cellStyle name="20% - Accent3 2 3 2 2 5" xfId="11330" xr:uid="{00000000-0005-0000-0000-00007A1E0000}"/>
    <cellStyle name="20% - Accent3 2 3 2 2 6" xfId="16806" xr:uid="{00000000-0005-0000-0000-00007B1E0000}"/>
    <cellStyle name="20% - Accent3 2 3 2 2 7" xfId="22282" xr:uid="{00000000-0005-0000-0000-00007C1E0000}"/>
    <cellStyle name="20% - Accent3 2 3 2 2 8" xfId="28659" xr:uid="{00000000-0005-0000-0000-00007D1E0000}"/>
    <cellStyle name="20% - Accent3 2 3 2 2 9" xfId="34077" xr:uid="{00000000-0005-0000-0000-00007E1E0000}"/>
    <cellStyle name="20% - Accent3 2 3 2 20" xfId="45029" xr:uid="{00000000-0005-0000-0000-00007F1E0000}"/>
    <cellStyle name="20% - Accent3 2 3 2 21" xfId="50507" xr:uid="{00000000-0005-0000-0000-0000801E0000}"/>
    <cellStyle name="20% - Accent3 2 3 2 3" xfId="503" xr:uid="{00000000-0005-0000-0000-0000811E0000}"/>
    <cellStyle name="20% - Accent3 2 3 2 3 10" xfId="45032" xr:uid="{00000000-0005-0000-0000-0000821E0000}"/>
    <cellStyle name="20% - Accent3 2 3 2 3 11" xfId="50510" xr:uid="{00000000-0005-0000-0000-0000831E0000}"/>
    <cellStyle name="20% - Accent3 2 3 2 3 2" xfId="2264" xr:uid="{00000000-0005-0000-0000-0000841E0000}"/>
    <cellStyle name="20% - Accent3 2 3 2 3 2 2" xfId="7744" xr:uid="{00000000-0005-0000-0000-0000851E0000}"/>
    <cellStyle name="20% - Accent3 2 3 2 3 2 3" xfId="13220" xr:uid="{00000000-0005-0000-0000-0000861E0000}"/>
    <cellStyle name="20% - Accent3 2 3 2 3 2 4" xfId="18696" xr:uid="{00000000-0005-0000-0000-0000871E0000}"/>
    <cellStyle name="20% - Accent3 2 3 2 3 2 5" xfId="24172" xr:uid="{00000000-0005-0000-0000-0000881E0000}"/>
    <cellStyle name="20% - Accent3 2 3 2 3 2 6" xfId="35968" xr:uid="{00000000-0005-0000-0000-0000891E0000}"/>
    <cellStyle name="20% - Accent3 2 3 2 3 2 7" xfId="41445" xr:uid="{00000000-0005-0000-0000-00008A1E0000}"/>
    <cellStyle name="20% - Accent3 2 3 2 3 2 8" xfId="46922" xr:uid="{00000000-0005-0000-0000-00008B1E0000}"/>
    <cellStyle name="20% - Accent3 2 3 2 3 2 9" xfId="52440" xr:uid="{00000000-0005-0000-0000-00008C1E0000}"/>
    <cellStyle name="20% - Accent3 2 3 2 3 3" xfId="4036" xr:uid="{00000000-0005-0000-0000-00008D1E0000}"/>
    <cellStyle name="20% - Accent3 2 3 2 3 3 2" xfId="9516" xr:uid="{00000000-0005-0000-0000-00008E1E0000}"/>
    <cellStyle name="20% - Accent3 2 3 2 3 3 3" xfId="14992" xr:uid="{00000000-0005-0000-0000-00008F1E0000}"/>
    <cellStyle name="20% - Accent3 2 3 2 3 3 4" xfId="20468" xr:uid="{00000000-0005-0000-0000-0000901E0000}"/>
    <cellStyle name="20% - Accent3 2 3 2 3 3 5" xfId="25944" xr:uid="{00000000-0005-0000-0000-0000911E0000}"/>
    <cellStyle name="20% - Accent3 2 3 2 3 3 6" xfId="37740" xr:uid="{00000000-0005-0000-0000-0000921E0000}"/>
    <cellStyle name="20% - Accent3 2 3 2 3 3 7" xfId="43217" xr:uid="{00000000-0005-0000-0000-0000931E0000}"/>
    <cellStyle name="20% - Accent3 2 3 2 3 3 8" xfId="48694" xr:uid="{00000000-0005-0000-0000-0000941E0000}"/>
    <cellStyle name="20% - Accent3 2 3 2 3 3 9" xfId="54212" xr:uid="{00000000-0005-0000-0000-0000951E0000}"/>
    <cellStyle name="20% - Accent3 2 3 2 3 4" xfId="5851" xr:uid="{00000000-0005-0000-0000-0000961E0000}"/>
    <cellStyle name="20% - Accent3 2 3 2 3 5" xfId="11331" xr:uid="{00000000-0005-0000-0000-0000971E0000}"/>
    <cellStyle name="20% - Accent3 2 3 2 3 6" xfId="16807" xr:uid="{00000000-0005-0000-0000-0000981E0000}"/>
    <cellStyle name="20% - Accent3 2 3 2 3 7" xfId="22283" xr:uid="{00000000-0005-0000-0000-0000991E0000}"/>
    <cellStyle name="20% - Accent3 2 3 2 3 8" xfId="34078" xr:uid="{00000000-0005-0000-0000-00009A1E0000}"/>
    <cellStyle name="20% - Accent3 2 3 2 3 9" xfId="39555" xr:uid="{00000000-0005-0000-0000-00009B1E0000}"/>
    <cellStyle name="20% - Accent3 2 3 2 4" xfId="675" xr:uid="{00000000-0005-0000-0000-00009C1E0000}"/>
    <cellStyle name="20% - Accent3 2 3 2 4 10" xfId="45033" xr:uid="{00000000-0005-0000-0000-00009D1E0000}"/>
    <cellStyle name="20% - Accent3 2 3 2 4 11" xfId="50511" xr:uid="{00000000-0005-0000-0000-00009E1E0000}"/>
    <cellStyle name="20% - Accent3 2 3 2 4 2" xfId="2436" xr:uid="{00000000-0005-0000-0000-00009F1E0000}"/>
    <cellStyle name="20% - Accent3 2 3 2 4 2 2" xfId="7916" xr:uid="{00000000-0005-0000-0000-0000A01E0000}"/>
    <cellStyle name="20% - Accent3 2 3 2 4 2 3" xfId="13392" xr:uid="{00000000-0005-0000-0000-0000A11E0000}"/>
    <cellStyle name="20% - Accent3 2 3 2 4 2 4" xfId="18868" xr:uid="{00000000-0005-0000-0000-0000A21E0000}"/>
    <cellStyle name="20% - Accent3 2 3 2 4 2 5" xfId="24344" xr:uid="{00000000-0005-0000-0000-0000A31E0000}"/>
    <cellStyle name="20% - Accent3 2 3 2 4 2 6" xfId="36140" xr:uid="{00000000-0005-0000-0000-0000A41E0000}"/>
    <cellStyle name="20% - Accent3 2 3 2 4 2 7" xfId="41617" xr:uid="{00000000-0005-0000-0000-0000A51E0000}"/>
    <cellStyle name="20% - Accent3 2 3 2 4 2 8" xfId="47094" xr:uid="{00000000-0005-0000-0000-0000A61E0000}"/>
    <cellStyle name="20% - Accent3 2 3 2 4 2 9" xfId="52612" xr:uid="{00000000-0005-0000-0000-0000A71E0000}"/>
    <cellStyle name="20% - Accent3 2 3 2 4 3" xfId="4208" xr:uid="{00000000-0005-0000-0000-0000A81E0000}"/>
    <cellStyle name="20% - Accent3 2 3 2 4 3 2" xfId="9688" xr:uid="{00000000-0005-0000-0000-0000A91E0000}"/>
    <cellStyle name="20% - Accent3 2 3 2 4 3 3" xfId="15164" xr:uid="{00000000-0005-0000-0000-0000AA1E0000}"/>
    <cellStyle name="20% - Accent3 2 3 2 4 3 4" xfId="20640" xr:uid="{00000000-0005-0000-0000-0000AB1E0000}"/>
    <cellStyle name="20% - Accent3 2 3 2 4 3 5" xfId="26116" xr:uid="{00000000-0005-0000-0000-0000AC1E0000}"/>
    <cellStyle name="20% - Accent3 2 3 2 4 3 6" xfId="37912" xr:uid="{00000000-0005-0000-0000-0000AD1E0000}"/>
    <cellStyle name="20% - Accent3 2 3 2 4 3 7" xfId="43389" xr:uid="{00000000-0005-0000-0000-0000AE1E0000}"/>
    <cellStyle name="20% - Accent3 2 3 2 4 3 8" xfId="48866" xr:uid="{00000000-0005-0000-0000-0000AF1E0000}"/>
    <cellStyle name="20% - Accent3 2 3 2 4 3 9" xfId="54384" xr:uid="{00000000-0005-0000-0000-0000B01E0000}"/>
    <cellStyle name="20% - Accent3 2 3 2 4 4" xfId="5852" xr:uid="{00000000-0005-0000-0000-0000B11E0000}"/>
    <cellStyle name="20% - Accent3 2 3 2 4 5" xfId="11332" xr:uid="{00000000-0005-0000-0000-0000B21E0000}"/>
    <cellStyle name="20% - Accent3 2 3 2 4 6" xfId="16808" xr:uid="{00000000-0005-0000-0000-0000B31E0000}"/>
    <cellStyle name="20% - Accent3 2 3 2 4 7" xfId="22284" xr:uid="{00000000-0005-0000-0000-0000B41E0000}"/>
    <cellStyle name="20% - Accent3 2 3 2 4 8" xfId="34079" xr:uid="{00000000-0005-0000-0000-0000B51E0000}"/>
    <cellStyle name="20% - Accent3 2 3 2 4 9" xfId="39556" xr:uid="{00000000-0005-0000-0000-0000B61E0000}"/>
    <cellStyle name="20% - Accent3 2 3 2 5" xfId="847" xr:uid="{00000000-0005-0000-0000-0000B71E0000}"/>
    <cellStyle name="20% - Accent3 2 3 2 5 10" xfId="45034" xr:uid="{00000000-0005-0000-0000-0000B81E0000}"/>
    <cellStyle name="20% - Accent3 2 3 2 5 11" xfId="50512" xr:uid="{00000000-0005-0000-0000-0000B91E0000}"/>
    <cellStyle name="20% - Accent3 2 3 2 5 2" xfId="2608" xr:uid="{00000000-0005-0000-0000-0000BA1E0000}"/>
    <cellStyle name="20% - Accent3 2 3 2 5 2 2" xfId="8088" xr:uid="{00000000-0005-0000-0000-0000BB1E0000}"/>
    <cellStyle name="20% - Accent3 2 3 2 5 2 3" xfId="13564" xr:uid="{00000000-0005-0000-0000-0000BC1E0000}"/>
    <cellStyle name="20% - Accent3 2 3 2 5 2 4" xfId="19040" xr:uid="{00000000-0005-0000-0000-0000BD1E0000}"/>
    <cellStyle name="20% - Accent3 2 3 2 5 2 5" xfId="24516" xr:uid="{00000000-0005-0000-0000-0000BE1E0000}"/>
    <cellStyle name="20% - Accent3 2 3 2 5 2 6" xfId="36312" xr:uid="{00000000-0005-0000-0000-0000BF1E0000}"/>
    <cellStyle name="20% - Accent3 2 3 2 5 2 7" xfId="41789" xr:uid="{00000000-0005-0000-0000-0000C01E0000}"/>
    <cellStyle name="20% - Accent3 2 3 2 5 2 8" xfId="47266" xr:uid="{00000000-0005-0000-0000-0000C11E0000}"/>
    <cellStyle name="20% - Accent3 2 3 2 5 2 9" xfId="52784" xr:uid="{00000000-0005-0000-0000-0000C21E0000}"/>
    <cellStyle name="20% - Accent3 2 3 2 5 3" xfId="4380" xr:uid="{00000000-0005-0000-0000-0000C31E0000}"/>
    <cellStyle name="20% - Accent3 2 3 2 5 3 2" xfId="9860" xr:uid="{00000000-0005-0000-0000-0000C41E0000}"/>
    <cellStyle name="20% - Accent3 2 3 2 5 3 3" xfId="15336" xr:uid="{00000000-0005-0000-0000-0000C51E0000}"/>
    <cellStyle name="20% - Accent3 2 3 2 5 3 4" xfId="20812" xr:uid="{00000000-0005-0000-0000-0000C61E0000}"/>
    <cellStyle name="20% - Accent3 2 3 2 5 3 5" xfId="26288" xr:uid="{00000000-0005-0000-0000-0000C71E0000}"/>
    <cellStyle name="20% - Accent3 2 3 2 5 3 6" xfId="38084" xr:uid="{00000000-0005-0000-0000-0000C81E0000}"/>
    <cellStyle name="20% - Accent3 2 3 2 5 3 7" xfId="43561" xr:uid="{00000000-0005-0000-0000-0000C91E0000}"/>
    <cellStyle name="20% - Accent3 2 3 2 5 3 8" xfId="49038" xr:uid="{00000000-0005-0000-0000-0000CA1E0000}"/>
    <cellStyle name="20% - Accent3 2 3 2 5 3 9" xfId="54556" xr:uid="{00000000-0005-0000-0000-0000CB1E0000}"/>
    <cellStyle name="20% - Accent3 2 3 2 5 4" xfId="5853" xr:uid="{00000000-0005-0000-0000-0000CC1E0000}"/>
    <cellStyle name="20% - Accent3 2 3 2 5 5" xfId="11333" xr:uid="{00000000-0005-0000-0000-0000CD1E0000}"/>
    <cellStyle name="20% - Accent3 2 3 2 5 6" xfId="16809" xr:uid="{00000000-0005-0000-0000-0000CE1E0000}"/>
    <cellStyle name="20% - Accent3 2 3 2 5 7" xfId="22285" xr:uid="{00000000-0005-0000-0000-0000CF1E0000}"/>
    <cellStyle name="20% - Accent3 2 3 2 5 8" xfId="34080" xr:uid="{00000000-0005-0000-0000-0000D01E0000}"/>
    <cellStyle name="20% - Accent3 2 3 2 5 9" xfId="39557" xr:uid="{00000000-0005-0000-0000-0000D11E0000}"/>
    <cellStyle name="20% - Accent3 2 3 2 6" xfId="1053" xr:uid="{00000000-0005-0000-0000-0000D21E0000}"/>
    <cellStyle name="20% - Accent3 2 3 2 6 10" xfId="45035" xr:uid="{00000000-0005-0000-0000-0000D31E0000}"/>
    <cellStyle name="20% - Accent3 2 3 2 6 11" xfId="50513" xr:uid="{00000000-0005-0000-0000-0000D41E0000}"/>
    <cellStyle name="20% - Accent3 2 3 2 6 2" xfId="2814" xr:uid="{00000000-0005-0000-0000-0000D51E0000}"/>
    <cellStyle name="20% - Accent3 2 3 2 6 2 2" xfId="8294" xr:uid="{00000000-0005-0000-0000-0000D61E0000}"/>
    <cellStyle name="20% - Accent3 2 3 2 6 2 3" xfId="13770" xr:uid="{00000000-0005-0000-0000-0000D71E0000}"/>
    <cellStyle name="20% - Accent3 2 3 2 6 2 4" xfId="19246" xr:uid="{00000000-0005-0000-0000-0000D81E0000}"/>
    <cellStyle name="20% - Accent3 2 3 2 6 2 5" xfId="24722" xr:uid="{00000000-0005-0000-0000-0000D91E0000}"/>
    <cellStyle name="20% - Accent3 2 3 2 6 2 6" xfId="36518" xr:uid="{00000000-0005-0000-0000-0000DA1E0000}"/>
    <cellStyle name="20% - Accent3 2 3 2 6 2 7" xfId="41995" xr:uid="{00000000-0005-0000-0000-0000DB1E0000}"/>
    <cellStyle name="20% - Accent3 2 3 2 6 2 8" xfId="47472" xr:uid="{00000000-0005-0000-0000-0000DC1E0000}"/>
    <cellStyle name="20% - Accent3 2 3 2 6 2 9" xfId="52990" xr:uid="{00000000-0005-0000-0000-0000DD1E0000}"/>
    <cellStyle name="20% - Accent3 2 3 2 6 3" xfId="4586" xr:uid="{00000000-0005-0000-0000-0000DE1E0000}"/>
    <cellStyle name="20% - Accent3 2 3 2 6 3 2" xfId="10066" xr:uid="{00000000-0005-0000-0000-0000DF1E0000}"/>
    <cellStyle name="20% - Accent3 2 3 2 6 3 3" xfId="15542" xr:uid="{00000000-0005-0000-0000-0000E01E0000}"/>
    <cellStyle name="20% - Accent3 2 3 2 6 3 4" xfId="21018" xr:uid="{00000000-0005-0000-0000-0000E11E0000}"/>
    <cellStyle name="20% - Accent3 2 3 2 6 3 5" xfId="26494" xr:uid="{00000000-0005-0000-0000-0000E21E0000}"/>
    <cellStyle name="20% - Accent3 2 3 2 6 3 6" xfId="38290" xr:uid="{00000000-0005-0000-0000-0000E31E0000}"/>
    <cellStyle name="20% - Accent3 2 3 2 6 3 7" xfId="43767" xr:uid="{00000000-0005-0000-0000-0000E41E0000}"/>
    <cellStyle name="20% - Accent3 2 3 2 6 3 8" xfId="49244" xr:uid="{00000000-0005-0000-0000-0000E51E0000}"/>
    <cellStyle name="20% - Accent3 2 3 2 6 3 9" xfId="54762" xr:uid="{00000000-0005-0000-0000-0000E61E0000}"/>
    <cellStyle name="20% - Accent3 2 3 2 6 4" xfId="5854" xr:uid="{00000000-0005-0000-0000-0000E71E0000}"/>
    <cellStyle name="20% - Accent3 2 3 2 6 5" xfId="11334" xr:uid="{00000000-0005-0000-0000-0000E81E0000}"/>
    <cellStyle name="20% - Accent3 2 3 2 6 6" xfId="16810" xr:uid="{00000000-0005-0000-0000-0000E91E0000}"/>
    <cellStyle name="20% - Accent3 2 3 2 6 7" xfId="22286" xr:uid="{00000000-0005-0000-0000-0000EA1E0000}"/>
    <cellStyle name="20% - Accent3 2 3 2 6 8" xfId="34081" xr:uid="{00000000-0005-0000-0000-0000EB1E0000}"/>
    <cellStyle name="20% - Accent3 2 3 2 6 9" xfId="39558" xr:uid="{00000000-0005-0000-0000-0000EC1E0000}"/>
    <cellStyle name="20% - Accent3 2 3 2 7" xfId="1225" xr:uid="{00000000-0005-0000-0000-0000ED1E0000}"/>
    <cellStyle name="20% - Accent3 2 3 2 7 10" xfId="45036" xr:uid="{00000000-0005-0000-0000-0000EE1E0000}"/>
    <cellStyle name="20% - Accent3 2 3 2 7 11" xfId="50514" xr:uid="{00000000-0005-0000-0000-0000EF1E0000}"/>
    <cellStyle name="20% - Accent3 2 3 2 7 2" xfId="2986" xr:uid="{00000000-0005-0000-0000-0000F01E0000}"/>
    <cellStyle name="20% - Accent3 2 3 2 7 2 2" xfId="8466" xr:uid="{00000000-0005-0000-0000-0000F11E0000}"/>
    <cellStyle name="20% - Accent3 2 3 2 7 2 3" xfId="13942" xr:uid="{00000000-0005-0000-0000-0000F21E0000}"/>
    <cellStyle name="20% - Accent3 2 3 2 7 2 4" xfId="19418" xr:uid="{00000000-0005-0000-0000-0000F31E0000}"/>
    <cellStyle name="20% - Accent3 2 3 2 7 2 5" xfId="24894" xr:uid="{00000000-0005-0000-0000-0000F41E0000}"/>
    <cellStyle name="20% - Accent3 2 3 2 7 2 6" xfId="36690" xr:uid="{00000000-0005-0000-0000-0000F51E0000}"/>
    <cellStyle name="20% - Accent3 2 3 2 7 2 7" xfId="42167" xr:uid="{00000000-0005-0000-0000-0000F61E0000}"/>
    <cellStyle name="20% - Accent3 2 3 2 7 2 8" xfId="47644" xr:uid="{00000000-0005-0000-0000-0000F71E0000}"/>
    <cellStyle name="20% - Accent3 2 3 2 7 2 9" xfId="53162" xr:uid="{00000000-0005-0000-0000-0000F81E0000}"/>
    <cellStyle name="20% - Accent3 2 3 2 7 3" xfId="4758" xr:uid="{00000000-0005-0000-0000-0000F91E0000}"/>
    <cellStyle name="20% - Accent3 2 3 2 7 3 2" xfId="10238" xr:uid="{00000000-0005-0000-0000-0000FA1E0000}"/>
    <cellStyle name="20% - Accent3 2 3 2 7 3 3" xfId="15714" xr:uid="{00000000-0005-0000-0000-0000FB1E0000}"/>
    <cellStyle name="20% - Accent3 2 3 2 7 3 4" xfId="21190" xr:uid="{00000000-0005-0000-0000-0000FC1E0000}"/>
    <cellStyle name="20% - Accent3 2 3 2 7 3 5" xfId="26666" xr:uid="{00000000-0005-0000-0000-0000FD1E0000}"/>
    <cellStyle name="20% - Accent3 2 3 2 7 3 6" xfId="38462" xr:uid="{00000000-0005-0000-0000-0000FE1E0000}"/>
    <cellStyle name="20% - Accent3 2 3 2 7 3 7" xfId="43939" xr:uid="{00000000-0005-0000-0000-0000FF1E0000}"/>
    <cellStyle name="20% - Accent3 2 3 2 7 3 8" xfId="49416" xr:uid="{00000000-0005-0000-0000-0000001F0000}"/>
    <cellStyle name="20% - Accent3 2 3 2 7 3 9" xfId="54934" xr:uid="{00000000-0005-0000-0000-0000011F0000}"/>
    <cellStyle name="20% - Accent3 2 3 2 7 4" xfId="5855" xr:uid="{00000000-0005-0000-0000-0000021F0000}"/>
    <cellStyle name="20% - Accent3 2 3 2 7 5" xfId="11335" xr:uid="{00000000-0005-0000-0000-0000031F0000}"/>
    <cellStyle name="20% - Accent3 2 3 2 7 6" xfId="16811" xr:uid="{00000000-0005-0000-0000-0000041F0000}"/>
    <cellStyle name="20% - Accent3 2 3 2 7 7" xfId="22287" xr:uid="{00000000-0005-0000-0000-0000051F0000}"/>
    <cellStyle name="20% - Accent3 2 3 2 7 8" xfId="34082" xr:uid="{00000000-0005-0000-0000-0000061F0000}"/>
    <cellStyle name="20% - Accent3 2 3 2 7 9" xfId="39559" xr:uid="{00000000-0005-0000-0000-0000071F0000}"/>
    <cellStyle name="20% - Accent3 2 3 2 8" xfId="1397" xr:uid="{00000000-0005-0000-0000-0000081F0000}"/>
    <cellStyle name="20% - Accent3 2 3 2 8 10" xfId="45037" xr:uid="{00000000-0005-0000-0000-0000091F0000}"/>
    <cellStyle name="20% - Accent3 2 3 2 8 11" xfId="50515" xr:uid="{00000000-0005-0000-0000-00000A1F0000}"/>
    <cellStyle name="20% - Accent3 2 3 2 8 2" xfId="3158" xr:uid="{00000000-0005-0000-0000-00000B1F0000}"/>
    <cellStyle name="20% - Accent3 2 3 2 8 2 2" xfId="8638" xr:uid="{00000000-0005-0000-0000-00000C1F0000}"/>
    <cellStyle name="20% - Accent3 2 3 2 8 2 3" xfId="14114" xr:uid="{00000000-0005-0000-0000-00000D1F0000}"/>
    <cellStyle name="20% - Accent3 2 3 2 8 2 4" xfId="19590" xr:uid="{00000000-0005-0000-0000-00000E1F0000}"/>
    <cellStyle name="20% - Accent3 2 3 2 8 2 5" xfId="25066" xr:uid="{00000000-0005-0000-0000-00000F1F0000}"/>
    <cellStyle name="20% - Accent3 2 3 2 8 2 6" xfId="36862" xr:uid="{00000000-0005-0000-0000-0000101F0000}"/>
    <cellStyle name="20% - Accent3 2 3 2 8 2 7" xfId="42339" xr:uid="{00000000-0005-0000-0000-0000111F0000}"/>
    <cellStyle name="20% - Accent3 2 3 2 8 2 8" xfId="47816" xr:uid="{00000000-0005-0000-0000-0000121F0000}"/>
    <cellStyle name="20% - Accent3 2 3 2 8 2 9" xfId="53334" xr:uid="{00000000-0005-0000-0000-0000131F0000}"/>
    <cellStyle name="20% - Accent3 2 3 2 8 3" xfId="4930" xr:uid="{00000000-0005-0000-0000-0000141F0000}"/>
    <cellStyle name="20% - Accent3 2 3 2 8 3 2" xfId="10410" xr:uid="{00000000-0005-0000-0000-0000151F0000}"/>
    <cellStyle name="20% - Accent3 2 3 2 8 3 3" xfId="15886" xr:uid="{00000000-0005-0000-0000-0000161F0000}"/>
    <cellStyle name="20% - Accent3 2 3 2 8 3 4" xfId="21362" xr:uid="{00000000-0005-0000-0000-0000171F0000}"/>
    <cellStyle name="20% - Accent3 2 3 2 8 3 5" xfId="26838" xr:uid="{00000000-0005-0000-0000-0000181F0000}"/>
    <cellStyle name="20% - Accent3 2 3 2 8 3 6" xfId="38634" xr:uid="{00000000-0005-0000-0000-0000191F0000}"/>
    <cellStyle name="20% - Accent3 2 3 2 8 3 7" xfId="44111" xr:uid="{00000000-0005-0000-0000-00001A1F0000}"/>
    <cellStyle name="20% - Accent3 2 3 2 8 3 8" xfId="49588" xr:uid="{00000000-0005-0000-0000-00001B1F0000}"/>
    <cellStyle name="20% - Accent3 2 3 2 8 3 9" xfId="55106" xr:uid="{00000000-0005-0000-0000-00001C1F0000}"/>
    <cellStyle name="20% - Accent3 2 3 2 8 4" xfId="5856" xr:uid="{00000000-0005-0000-0000-00001D1F0000}"/>
    <cellStyle name="20% - Accent3 2 3 2 8 5" xfId="11336" xr:uid="{00000000-0005-0000-0000-00001E1F0000}"/>
    <cellStyle name="20% - Accent3 2 3 2 8 6" xfId="16812" xr:uid="{00000000-0005-0000-0000-00001F1F0000}"/>
    <cellStyle name="20% - Accent3 2 3 2 8 7" xfId="22288" xr:uid="{00000000-0005-0000-0000-0000201F0000}"/>
    <cellStyle name="20% - Accent3 2 3 2 8 8" xfId="34083" xr:uid="{00000000-0005-0000-0000-0000211F0000}"/>
    <cellStyle name="20% - Accent3 2 3 2 8 9" xfId="39560" xr:uid="{00000000-0005-0000-0000-0000221F0000}"/>
    <cellStyle name="20% - Accent3 2 3 2 9" xfId="1569" xr:uid="{00000000-0005-0000-0000-0000231F0000}"/>
    <cellStyle name="20% - Accent3 2 3 2 9 10" xfId="45038" xr:uid="{00000000-0005-0000-0000-0000241F0000}"/>
    <cellStyle name="20% - Accent3 2 3 2 9 11" xfId="50516" xr:uid="{00000000-0005-0000-0000-0000251F0000}"/>
    <cellStyle name="20% - Accent3 2 3 2 9 2" xfId="3330" xr:uid="{00000000-0005-0000-0000-0000261F0000}"/>
    <cellStyle name="20% - Accent3 2 3 2 9 2 2" xfId="8810" xr:uid="{00000000-0005-0000-0000-0000271F0000}"/>
    <cellStyle name="20% - Accent3 2 3 2 9 2 3" xfId="14286" xr:uid="{00000000-0005-0000-0000-0000281F0000}"/>
    <cellStyle name="20% - Accent3 2 3 2 9 2 4" xfId="19762" xr:uid="{00000000-0005-0000-0000-0000291F0000}"/>
    <cellStyle name="20% - Accent3 2 3 2 9 2 5" xfId="25238" xr:uid="{00000000-0005-0000-0000-00002A1F0000}"/>
    <cellStyle name="20% - Accent3 2 3 2 9 2 6" xfId="37034" xr:uid="{00000000-0005-0000-0000-00002B1F0000}"/>
    <cellStyle name="20% - Accent3 2 3 2 9 2 7" xfId="42511" xr:uid="{00000000-0005-0000-0000-00002C1F0000}"/>
    <cellStyle name="20% - Accent3 2 3 2 9 2 8" xfId="47988" xr:uid="{00000000-0005-0000-0000-00002D1F0000}"/>
    <cellStyle name="20% - Accent3 2 3 2 9 2 9" xfId="53506" xr:uid="{00000000-0005-0000-0000-00002E1F0000}"/>
    <cellStyle name="20% - Accent3 2 3 2 9 3" xfId="5102" xr:uid="{00000000-0005-0000-0000-00002F1F0000}"/>
    <cellStyle name="20% - Accent3 2 3 2 9 3 2" xfId="10582" xr:uid="{00000000-0005-0000-0000-0000301F0000}"/>
    <cellStyle name="20% - Accent3 2 3 2 9 3 3" xfId="16058" xr:uid="{00000000-0005-0000-0000-0000311F0000}"/>
    <cellStyle name="20% - Accent3 2 3 2 9 3 4" xfId="21534" xr:uid="{00000000-0005-0000-0000-0000321F0000}"/>
    <cellStyle name="20% - Accent3 2 3 2 9 3 5" xfId="27010" xr:uid="{00000000-0005-0000-0000-0000331F0000}"/>
    <cellStyle name="20% - Accent3 2 3 2 9 3 6" xfId="38806" xr:uid="{00000000-0005-0000-0000-0000341F0000}"/>
    <cellStyle name="20% - Accent3 2 3 2 9 3 7" xfId="44283" xr:uid="{00000000-0005-0000-0000-0000351F0000}"/>
    <cellStyle name="20% - Accent3 2 3 2 9 3 8" xfId="49760" xr:uid="{00000000-0005-0000-0000-0000361F0000}"/>
    <cellStyle name="20% - Accent3 2 3 2 9 3 9" xfId="55278" xr:uid="{00000000-0005-0000-0000-0000371F0000}"/>
    <cellStyle name="20% - Accent3 2 3 2 9 4" xfId="5857" xr:uid="{00000000-0005-0000-0000-0000381F0000}"/>
    <cellStyle name="20% - Accent3 2 3 2 9 5" xfId="11337" xr:uid="{00000000-0005-0000-0000-0000391F0000}"/>
    <cellStyle name="20% - Accent3 2 3 2 9 6" xfId="16813" xr:uid="{00000000-0005-0000-0000-00003A1F0000}"/>
    <cellStyle name="20% - Accent3 2 3 2 9 7" xfId="22289" xr:uid="{00000000-0005-0000-0000-00003B1F0000}"/>
    <cellStyle name="20% - Accent3 2 3 2 9 8" xfId="34084" xr:uid="{00000000-0005-0000-0000-00003C1F0000}"/>
    <cellStyle name="20% - Accent3 2 3 2 9 9" xfId="39561" xr:uid="{00000000-0005-0000-0000-00003D1F0000}"/>
    <cellStyle name="20% - Accent3 2 3 20" xfId="39549" xr:uid="{00000000-0005-0000-0000-00003E1F0000}"/>
    <cellStyle name="20% - Accent3 2 3 21" xfId="45026" xr:uid="{00000000-0005-0000-0000-00003F1F0000}"/>
    <cellStyle name="20% - Accent3 2 3 22" xfId="50504" xr:uid="{00000000-0005-0000-0000-0000401F0000}"/>
    <cellStyle name="20% - Accent3 2 3 3" xfId="301" xr:uid="{00000000-0005-0000-0000-0000411F0000}"/>
    <cellStyle name="20% - Accent3 2 3 3 10" xfId="39562" xr:uid="{00000000-0005-0000-0000-0000421F0000}"/>
    <cellStyle name="20% - Accent3 2 3 3 11" xfId="45039" xr:uid="{00000000-0005-0000-0000-0000431F0000}"/>
    <cellStyle name="20% - Accent3 2 3 3 12" xfId="50517" xr:uid="{00000000-0005-0000-0000-0000441F0000}"/>
    <cellStyle name="20% - Accent3 2 3 3 2" xfId="2101" xr:uid="{00000000-0005-0000-0000-0000451F0000}"/>
    <cellStyle name="20% - Accent3 2 3 3 2 2" xfId="7581" xr:uid="{00000000-0005-0000-0000-0000461F0000}"/>
    <cellStyle name="20% - Accent3 2 3 3 2 3" xfId="13057" xr:uid="{00000000-0005-0000-0000-0000471F0000}"/>
    <cellStyle name="20% - Accent3 2 3 3 2 4" xfId="18533" xr:uid="{00000000-0005-0000-0000-0000481F0000}"/>
    <cellStyle name="20% - Accent3 2 3 3 2 5" xfId="24009" xr:uid="{00000000-0005-0000-0000-0000491F0000}"/>
    <cellStyle name="20% - Accent3 2 3 3 2 6" xfId="35805" xr:uid="{00000000-0005-0000-0000-00004A1F0000}"/>
    <cellStyle name="20% - Accent3 2 3 3 2 7" xfId="41282" xr:uid="{00000000-0005-0000-0000-00004B1F0000}"/>
    <cellStyle name="20% - Accent3 2 3 3 2 8" xfId="46759" xr:uid="{00000000-0005-0000-0000-00004C1F0000}"/>
    <cellStyle name="20% - Accent3 2 3 3 2 9" xfId="52277" xr:uid="{00000000-0005-0000-0000-00004D1F0000}"/>
    <cellStyle name="20% - Accent3 2 3 3 3" xfId="3863" xr:uid="{00000000-0005-0000-0000-00004E1F0000}"/>
    <cellStyle name="20% - Accent3 2 3 3 3 2" xfId="9343" xr:uid="{00000000-0005-0000-0000-00004F1F0000}"/>
    <cellStyle name="20% - Accent3 2 3 3 3 3" xfId="14819" xr:uid="{00000000-0005-0000-0000-0000501F0000}"/>
    <cellStyle name="20% - Accent3 2 3 3 3 4" xfId="20295" xr:uid="{00000000-0005-0000-0000-0000511F0000}"/>
    <cellStyle name="20% - Accent3 2 3 3 3 5" xfId="25771" xr:uid="{00000000-0005-0000-0000-0000521F0000}"/>
    <cellStyle name="20% - Accent3 2 3 3 3 6" xfId="37567" xr:uid="{00000000-0005-0000-0000-0000531F0000}"/>
    <cellStyle name="20% - Accent3 2 3 3 3 7" xfId="43044" xr:uid="{00000000-0005-0000-0000-0000541F0000}"/>
    <cellStyle name="20% - Accent3 2 3 3 3 8" xfId="48521" xr:uid="{00000000-0005-0000-0000-0000551F0000}"/>
    <cellStyle name="20% - Accent3 2 3 3 3 9" xfId="54039" xr:uid="{00000000-0005-0000-0000-0000561F0000}"/>
    <cellStyle name="20% - Accent3 2 3 3 4" xfId="5858" xr:uid="{00000000-0005-0000-0000-0000571F0000}"/>
    <cellStyle name="20% - Accent3 2 3 3 5" xfId="11338" xr:uid="{00000000-0005-0000-0000-0000581F0000}"/>
    <cellStyle name="20% - Accent3 2 3 3 6" xfId="16814" xr:uid="{00000000-0005-0000-0000-0000591F0000}"/>
    <cellStyle name="20% - Accent3 2 3 3 7" xfId="22290" xr:uid="{00000000-0005-0000-0000-00005A1F0000}"/>
    <cellStyle name="20% - Accent3 2 3 3 8" xfId="28660" xr:uid="{00000000-0005-0000-0000-00005B1F0000}"/>
    <cellStyle name="20% - Accent3 2 3 3 9" xfId="34085" xr:uid="{00000000-0005-0000-0000-00005C1F0000}"/>
    <cellStyle name="20% - Accent3 2 3 4" xfId="502" xr:uid="{00000000-0005-0000-0000-00005D1F0000}"/>
    <cellStyle name="20% - Accent3 2 3 4 10" xfId="45040" xr:uid="{00000000-0005-0000-0000-00005E1F0000}"/>
    <cellStyle name="20% - Accent3 2 3 4 11" xfId="50518" xr:uid="{00000000-0005-0000-0000-00005F1F0000}"/>
    <cellStyle name="20% - Accent3 2 3 4 2" xfId="2263" xr:uid="{00000000-0005-0000-0000-0000601F0000}"/>
    <cellStyle name="20% - Accent3 2 3 4 2 2" xfId="7743" xr:uid="{00000000-0005-0000-0000-0000611F0000}"/>
    <cellStyle name="20% - Accent3 2 3 4 2 3" xfId="13219" xr:uid="{00000000-0005-0000-0000-0000621F0000}"/>
    <cellStyle name="20% - Accent3 2 3 4 2 4" xfId="18695" xr:uid="{00000000-0005-0000-0000-0000631F0000}"/>
    <cellStyle name="20% - Accent3 2 3 4 2 5" xfId="24171" xr:uid="{00000000-0005-0000-0000-0000641F0000}"/>
    <cellStyle name="20% - Accent3 2 3 4 2 6" xfId="35967" xr:uid="{00000000-0005-0000-0000-0000651F0000}"/>
    <cellStyle name="20% - Accent3 2 3 4 2 7" xfId="41444" xr:uid="{00000000-0005-0000-0000-0000661F0000}"/>
    <cellStyle name="20% - Accent3 2 3 4 2 8" xfId="46921" xr:uid="{00000000-0005-0000-0000-0000671F0000}"/>
    <cellStyle name="20% - Accent3 2 3 4 2 9" xfId="52439" xr:uid="{00000000-0005-0000-0000-0000681F0000}"/>
    <cellStyle name="20% - Accent3 2 3 4 3" xfId="4035" xr:uid="{00000000-0005-0000-0000-0000691F0000}"/>
    <cellStyle name="20% - Accent3 2 3 4 3 2" xfId="9515" xr:uid="{00000000-0005-0000-0000-00006A1F0000}"/>
    <cellStyle name="20% - Accent3 2 3 4 3 3" xfId="14991" xr:uid="{00000000-0005-0000-0000-00006B1F0000}"/>
    <cellStyle name="20% - Accent3 2 3 4 3 4" xfId="20467" xr:uid="{00000000-0005-0000-0000-00006C1F0000}"/>
    <cellStyle name="20% - Accent3 2 3 4 3 5" xfId="25943" xr:uid="{00000000-0005-0000-0000-00006D1F0000}"/>
    <cellStyle name="20% - Accent3 2 3 4 3 6" xfId="37739" xr:uid="{00000000-0005-0000-0000-00006E1F0000}"/>
    <cellStyle name="20% - Accent3 2 3 4 3 7" xfId="43216" xr:uid="{00000000-0005-0000-0000-00006F1F0000}"/>
    <cellStyle name="20% - Accent3 2 3 4 3 8" xfId="48693" xr:uid="{00000000-0005-0000-0000-0000701F0000}"/>
    <cellStyle name="20% - Accent3 2 3 4 3 9" xfId="54211" xr:uid="{00000000-0005-0000-0000-0000711F0000}"/>
    <cellStyle name="20% - Accent3 2 3 4 4" xfId="5859" xr:uid="{00000000-0005-0000-0000-0000721F0000}"/>
    <cellStyle name="20% - Accent3 2 3 4 5" xfId="11339" xr:uid="{00000000-0005-0000-0000-0000731F0000}"/>
    <cellStyle name="20% - Accent3 2 3 4 6" xfId="16815" xr:uid="{00000000-0005-0000-0000-0000741F0000}"/>
    <cellStyle name="20% - Accent3 2 3 4 7" xfId="22291" xr:uid="{00000000-0005-0000-0000-0000751F0000}"/>
    <cellStyle name="20% - Accent3 2 3 4 8" xfId="34086" xr:uid="{00000000-0005-0000-0000-0000761F0000}"/>
    <cellStyle name="20% - Accent3 2 3 4 9" xfId="39563" xr:uid="{00000000-0005-0000-0000-0000771F0000}"/>
    <cellStyle name="20% - Accent3 2 3 5" xfId="674" xr:uid="{00000000-0005-0000-0000-0000781F0000}"/>
    <cellStyle name="20% - Accent3 2 3 5 10" xfId="45041" xr:uid="{00000000-0005-0000-0000-0000791F0000}"/>
    <cellStyle name="20% - Accent3 2 3 5 11" xfId="50519" xr:uid="{00000000-0005-0000-0000-00007A1F0000}"/>
    <cellStyle name="20% - Accent3 2 3 5 2" xfId="2435" xr:uid="{00000000-0005-0000-0000-00007B1F0000}"/>
    <cellStyle name="20% - Accent3 2 3 5 2 2" xfId="7915" xr:uid="{00000000-0005-0000-0000-00007C1F0000}"/>
    <cellStyle name="20% - Accent3 2 3 5 2 3" xfId="13391" xr:uid="{00000000-0005-0000-0000-00007D1F0000}"/>
    <cellStyle name="20% - Accent3 2 3 5 2 4" xfId="18867" xr:uid="{00000000-0005-0000-0000-00007E1F0000}"/>
    <cellStyle name="20% - Accent3 2 3 5 2 5" xfId="24343" xr:uid="{00000000-0005-0000-0000-00007F1F0000}"/>
    <cellStyle name="20% - Accent3 2 3 5 2 6" xfId="36139" xr:uid="{00000000-0005-0000-0000-0000801F0000}"/>
    <cellStyle name="20% - Accent3 2 3 5 2 7" xfId="41616" xr:uid="{00000000-0005-0000-0000-0000811F0000}"/>
    <cellStyle name="20% - Accent3 2 3 5 2 8" xfId="47093" xr:uid="{00000000-0005-0000-0000-0000821F0000}"/>
    <cellStyle name="20% - Accent3 2 3 5 2 9" xfId="52611" xr:uid="{00000000-0005-0000-0000-0000831F0000}"/>
    <cellStyle name="20% - Accent3 2 3 5 3" xfId="4207" xr:uid="{00000000-0005-0000-0000-0000841F0000}"/>
    <cellStyle name="20% - Accent3 2 3 5 3 2" xfId="9687" xr:uid="{00000000-0005-0000-0000-0000851F0000}"/>
    <cellStyle name="20% - Accent3 2 3 5 3 3" xfId="15163" xr:uid="{00000000-0005-0000-0000-0000861F0000}"/>
    <cellStyle name="20% - Accent3 2 3 5 3 4" xfId="20639" xr:uid="{00000000-0005-0000-0000-0000871F0000}"/>
    <cellStyle name="20% - Accent3 2 3 5 3 5" xfId="26115" xr:uid="{00000000-0005-0000-0000-0000881F0000}"/>
    <cellStyle name="20% - Accent3 2 3 5 3 6" xfId="37911" xr:uid="{00000000-0005-0000-0000-0000891F0000}"/>
    <cellStyle name="20% - Accent3 2 3 5 3 7" xfId="43388" xr:uid="{00000000-0005-0000-0000-00008A1F0000}"/>
    <cellStyle name="20% - Accent3 2 3 5 3 8" xfId="48865" xr:uid="{00000000-0005-0000-0000-00008B1F0000}"/>
    <cellStyle name="20% - Accent3 2 3 5 3 9" xfId="54383" xr:uid="{00000000-0005-0000-0000-00008C1F0000}"/>
    <cellStyle name="20% - Accent3 2 3 5 4" xfId="5860" xr:uid="{00000000-0005-0000-0000-00008D1F0000}"/>
    <cellStyle name="20% - Accent3 2 3 5 5" xfId="11340" xr:uid="{00000000-0005-0000-0000-00008E1F0000}"/>
    <cellStyle name="20% - Accent3 2 3 5 6" xfId="16816" xr:uid="{00000000-0005-0000-0000-00008F1F0000}"/>
    <cellStyle name="20% - Accent3 2 3 5 7" xfId="22292" xr:uid="{00000000-0005-0000-0000-0000901F0000}"/>
    <cellStyle name="20% - Accent3 2 3 5 8" xfId="34087" xr:uid="{00000000-0005-0000-0000-0000911F0000}"/>
    <cellStyle name="20% - Accent3 2 3 5 9" xfId="39564" xr:uid="{00000000-0005-0000-0000-0000921F0000}"/>
    <cellStyle name="20% - Accent3 2 3 6" xfId="846" xr:uid="{00000000-0005-0000-0000-0000931F0000}"/>
    <cellStyle name="20% - Accent3 2 3 6 10" xfId="45042" xr:uid="{00000000-0005-0000-0000-0000941F0000}"/>
    <cellStyle name="20% - Accent3 2 3 6 11" xfId="50520" xr:uid="{00000000-0005-0000-0000-0000951F0000}"/>
    <cellStyle name="20% - Accent3 2 3 6 2" xfId="2607" xr:uid="{00000000-0005-0000-0000-0000961F0000}"/>
    <cellStyle name="20% - Accent3 2 3 6 2 2" xfId="8087" xr:uid="{00000000-0005-0000-0000-0000971F0000}"/>
    <cellStyle name="20% - Accent3 2 3 6 2 3" xfId="13563" xr:uid="{00000000-0005-0000-0000-0000981F0000}"/>
    <cellStyle name="20% - Accent3 2 3 6 2 4" xfId="19039" xr:uid="{00000000-0005-0000-0000-0000991F0000}"/>
    <cellStyle name="20% - Accent3 2 3 6 2 5" xfId="24515" xr:uid="{00000000-0005-0000-0000-00009A1F0000}"/>
    <cellStyle name="20% - Accent3 2 3 6 2 6" xfId="36311" xr:uid="{00000000-0005-0000-0000-00009B1F0000}"/>
    <cellStyle name="20% - Accent3 2 3 6 2 7" xfId="41788" xr:uid="{00000000-0005-0000-0000-00009C1F0000}"/>
    <cellStyle name="20% - Accent3 2 3 6 2 8" xfId="47265" xr:uid="{00000000-0005-0000-0000-00009D1F0000}"/>
    <cellStyle name="20% - Accent3 2 3 6 2 9" xfId="52783" xr:uid="{00000000-0005-0000-0000-00009E1F0000}"/>
    <cellStyle name="20% - Accent3 2 3 6 3" xfId="4379" xr:uid="{00000000-0005-0000-0000-00009F1F0000}"/>
    <cellStyle name="20% - Accent3 2 3 6 3 2" xfId="9859" xr:uid="{00000000-0005-0000-0000-0000A01F0000}"/>
    <cellStyle name="20% - Accent3 2 3 6 3 3" xfId="15335" xr:uid="{00000000-0005-0000-0000-0000A11F0000}"/>
    <cellStyle name="20% - Accent3 2 3 6 3 4" xfId="20811" xr:uid="{00000000-0005-0000-0000-0000A21F0000}"/>
    <cellStyle name="20% - Accent3 2 3 6 3 5" xfId="26287" xr:uid="{00000000-0005-0000-0000-0000A31F0000}"/>
    <cellStyle name="20% - Accent3 2 3 6 3 6" xfId="38083" xr:uid="{00000000-0005-0000-0000-0000A41F0000}"/>
    <cellStyle name="20% - Accent3 2 3 6 3 7" xfId="43560" xr:uid="{00000000-0005-0000-0000-0000A51F0000}"/>
    <cellStyle name="20% - Accent3 2 3 6 3 8" xfId="49037" xr:uid="{00000000-0005-0000-0000-0000A61F0000}"/>
    <cellStyle name="20% - Accent3 2 3 6 3 9" xfId="54555" xr:uid="{00000000-0005-0000-0000-0000A71F0000}"/>
    <cellStyle name="20% - Accent3 2 3 6 4" xfId="5861" xr:uid="{00000000-0005-0000-0000-0000A81F0000}"/>
    <cellStyle name="20% - Accent3 2 3 6 5" xfId="11341" xr:uid="{00000000-0005-0000-0000-0000A91F0000}"/>
    <cellStyle name="20% - Accent3 2 3 6 6" xfId="16817" xr:uid="{00000000-0005-0000-0000-0000AA1F0000}"/>
    <cellStyle name="20% - Accent3 2 3 6 7" xfId="22293" xr:uid="{00000000-0005-0000-0000-0000AB1F0000}"/>
    <cellStyle name="20% - Accent3 2 3 6 8" xfId="34088" xr:uid="{00000000-0005-0000-0000-0000AC1F0000}"/>
    <cellStyle name="20% - Accent3 2 3 6 9" xfId="39565" xr:uid="{00000000-0005-0000-0000-0000AD1F0000}"/>
    <cellStyle name="20% - Accent3 2 3 7" xfId="1052" xr:uid="{00000000-0005-0000-0000-0000AE1F0000}"/>
    <cellStyle name="20% - Accent3 2 3 7 10" xfId="45043" xr:uid="{00000000-0005-0000-0000-0000AF1F0000}"/>
    <cellStyle name="20% - Accent3 2 3 7 11" xfId="50521" xr:uid="{00000000-0005-0000-0000-0000B01F0000}"/>
    <cellStyle name="20% - Accent3 2 3 7 2" xfId="2813" xr:uid="{00000000-0005-0000-0000-0000B11F0000}"/>
    <cellStyle name="20% - Accent3 2 3 7 2 2" xfId="8293" xr:uid="{00000000-0005-0000-0000-0000B21F0000}"/>
    <cellStyle name="20% - Accent3 2 3 7 2 3" xfId="13769" xr:uid="{00000000-0005-0000-0000-0000B31F0000}"/>
    <cellStyle name="20% - Accent3 2 3 7 2 4" xfId="19245" xr:uid="{00000000-0005-0000-0000-0000B41F0000}"/>
    <cellStyle name="20% - Accent3 2 3 7 2 5" xfId="24721" xr:uid="{00000000-0005-0000-0000-0000B51F0000}"/>
    <cellStyle name="20% - Accent3 2 3 7 2 6" xfId="36517" xr:uid="{00000000-0005-0000-0000-0000B61F0000}"/>
    <cellStyle name="20% - Accent3 2 3 7 2 7" xfId="41994" xr:uid="{00000000-0005-0000-0000-0000B71F0000}"/>
    <cellStyle name="20% - Accent3 2 3 7 2 8" xfId="47471" xr:uid="{00000000-0005-0000-0000-0000B81F0000}"/>
    <cellStyle name="20% - Accent3 2 3 7 2 9" xfId="52989" xr:uid="{00000000-0005-0000-0000-0000B91F0000}"/>
    <cellStyle name="20% - Accent3 2 3 7 3" xfId="4585" xr:uid="{00000000-0005-0000-0000-0000BA1F0000}"/>
    <cellStyle name="20% - Accent3 2 3 7 3 2" xfId="10065" xr:uid="{00000000-0005-0000-0000-0000BB1F0000}"/>
    <cellStyle name="20% - Accent3 2 3 7 3 3" xfId="15541" xr:uid="{00000000-0005-0000-0000-0000BC1F0000}"/>
    <cellStyle name="20% - Accent3 2 3 7 3 4" xfId="21017" xr:uid="{00000000-0005-0000-0000-0000BD1F0000}"/>
    <cellStyle name="20% - Accent3 2 3 7 3 5" xfId="26493" xr:uid="{00000000-0005-0000-0000-0000BE1F0000}"/>
    <cellStyle name="20% - Accent3 2 3 7 3 6" xfId="38289" xr:uid="{00000000-0005-0000-0000-0000BF1F0000}"/>
    <cellStyle name="20% - Accent3 2 3 7 3 7" xfId="43766" xr:uid="{00000000-0005-0000-0000-0000C01F0000}"/>
    <cellStyle name="20% - Accent3 2 3 7 3 8" xfId="49243" xr:uid="{00000000-0005-0000-0000-0000C11F0000}"/>
    <cellStyle name="20% - Accent3 2 3 7 3 9" xfId="54761" xr:uid="{00000000-0005-0000-0000-0000C21F0000}"/>
    <cellStyle name="20% - Accent3 2 3 7 4" xfId="5862" xr:uid="{00000000-0005-0000-0000-0000C31F0000}"/>
    <cellStyle name="20% - Accent3 2 3 7 5" xfId="11342" xr:uid="{00000000-0005-0000-0000-0000C41F0000}"/>
    <cellStyle name="20% - Accent3 2 3 7 6" xfId="16818" xr:uid="{00000000-0005-0000-0000-0000C51F0000}"/>
    <cellStyle name="20% - Accent3 2 3 7 7" xfId="22294" xr:uid="{00000000-0005-0000-0000-0000C61F0000}"/>
    <cellStyle name="20% - Accent3 2 3 7 8" xfId="34089" xr:uid="{00000000-0005-0000-0000-0000C71F0000}"/>
    <cellStyle name="20% - Accent3 2 3 7 9" xfId="39566" xr:uid="{00000000-0005-0000-0000-0000C81F0000}"/>
    <cellStyle name="20% - Accent3 2 3 8" xfId="1224" xr:uid="{00000000-0005-0000-0000-0000C91F0000}"/>
    <cellStyle name="20% - Accent3 2 3 8 10" xfId="45044" xr:uid="{00000000-0005-0000-0000-0000CA1F0000}"/>
    <cellStyle name="20% - Accent3 2 3 8 11" xfId="50522" xr:uid="{00000000-0005-0000-0000-0000CB1F0000}"/>
    <cellStyle name="20% - Accent3 2 3 8 2" xfId="2985" xr:uid="{00000000-0005-0000-0000-0000CC1F0000}"/>
    <cellStyle name="20% - Accent3 2 3 8 2 2" xfId="8465" xr:uid="{00000000-0005-0000-0000-0000CD1F0000}"/>
    <cellStyle name="20% - Accent3 2 3 8 2 3" xfId="13941" xr:uid="{00000000-0005-0000-0000-0000CE1F0000}"/>
    <cellStyle name="20% - Accent3 2 3 8 2 4" xfId="19417" xr:uid="{00000000-0005-0000-0000-0000CF1F0000}"/>
    <cellStyle name="20% - Accent3 2 3 8 2 5" xfId="24893" xr:uid="{00000000-0005-0000-0000-0000D01F0000}"/>
    <cellStyle name="20% - Accent3 2 3 8 2 6" xfId="36689" xr:uid="{00000000-0005-0000-0000-0000D11F0000}"/>
    <cellStyle name="20% - Accent3 2 3 8 2 7" xfId="42166" xr:uid="{00000000-0005-0000-0000-0000D21F0000}"/>
    <cellStyle name="20% - Accent3 2 3 8 2 8" xfId="47643" xr:uid="{00000000-0005-0000-0000-0000D31F0000}"/>
    <cellStyle name="20% - Accent3 2 3 8 2 9" xfId="53161" xr:uid="{00000000-0005-0000-0000-0000D41F0000}"/>
    <cellStyle name="20% - Accent3 2 3 8 3" xfId="4757" xr:uid="{00000000-0005-0000-0000-0000D51F0000}"/>
    <cellStyle name="20% - Accent3 2 3 8 3 2" xfId="10237" xr:uid="{00000000-0005-0000-0000-0000D61F0000}"/>
    <cellStyle name="20% - Accent3 2 3 8 3 3" xfId="15713" xr:uid="{00000000-0005-0000-0000-0000D71F0000}"/>
    <cellStyle name="20% - Accent3 2 3 8 3 4" xfId="21189" xr:uid="{00000000-0005-0000-0000-0000D81F0000}"/>
    <cellStyle name="20% - Accent3 2 3 8 3 5" xfId="26665" xr:uid="{00000000-0005-0000-0000-0000D91F0000}"/>
    <cellStyle name="20% - Accent3 2 3 8 3 6" xfId="38461" xr:uid="{00000000-0005-0000-0000-0000DA1F0000}"/>
    <cellStyle name="20% - Accent3 2 3 8 3 7" xfId="43938" xr:uid="{00000000-0005-0000-0000-0000DB1F0000}"/>
    <cellStyle name="20% - Accent3 2 3 8 3 8" xfId="49415" xr:uid="{00000000-0005-0000-0000-0000DC1F0000}"/>
    <cellStyle name="20% - Accent3 2 3 8 3 9" xfId="54933" xr:uid="{00000000-0005-0000-0000-0000DD1F0000}"/>
    <cellStyle name="20% - Accent3 2 3 8 4" xfId="5863" xr:uid="{00000000-0005-0000-0000-0000DE1F0000}"/>
    <cellStyle name="20% - Accent3 2 3 8 5" xfId="11343" xr:uid="{00000000-0005-0000-0000-0000DF1F0000}"/>
    <cellStyle name="20% - Accent3 2 3 8 6" xfId="16819" xr:uid="{00000000-0005-0000-0000-0000E01F0000}"/>
    <cellStyle name="20% - Accent3 2 3 8 7" xfId="22295" xr:uid="{00000000-0005-0000-0000-0000E11F0000}"/>
    <cellStyle name="20% - Accent3 2 3 8 8" xfId="34090" xr:uid="{00000000-0005-0000-0000-0000E21F0000}"/>
    <cellStyle name="20% - Accent3 2 3 8 9" xfId="39567" xr:uid="{00000000-0005-0000-0000-0000E31F0000}"/>
    <cellStyle name="20% - Accent3 2 3 9" xfId="1396" xr:uid="{00000000-0005-0000-0000-0000E41F0000}"/>
    <cellStyle name="20% - Accent3 2 3 9 10" xfId="45045" xr:uid="{00000000-0005-0000-0000-0000E51F0000}"/>
    <cellStyle name="20% - Accent3 2 3 9 11" xfId="50523" xr:uid="{00000000-0005-0000-0000-0000E61F0000}"/>
    <cellStyle name="20% - Accent3 2 3 9 2" xfId="3157" xr:uid="{00000000-0005-0000-0000-0000E71F0000}"/>
    <cellStyle name="20% - Accent3 2 3 9 2 2" xfId="8637" xr:uid="{00000000-0005-0000-0000-0000E81F0000}"/>
    <cellStyle name="20% - Accent3 2 3 9 2 3" xfId="14113" xr:uid="{00000000-0005-0000-0000-0000E91F0000}"/>
    <cellStyle name="20% - Accent3 2 3 9 2 4" xfId="19589" xr:uid="{00000000-0005-0000-0000-0000EA1F0000}"/>
    <cellStyle name="20% - Accent3 2 3 9 2 5" xfId="25065" xr:uid="{00000000-0005-0000-0000-0000EB1F0000}"/>
    <cellStyle name="20% - Accent3 2 3 9 2 6" xfId="36861" xr:uid="{00000000-0005-0000-0000-0000EC1F0000}"/>
    <cellStyle name="20% - Accent3 2 3 9 2 7" xfId="42338" xr:uid="{00000000-0005-0000-0000-0000ED1F0000}"/>
    <cellStyle name="20% - Accent3 2 3 9 2 8" xfId="47815" xr:uid="{00000000-0005-0000-0000-0000EE1F0000}"/>
    <cellStyle name="20% - Accent3 2 3 9 2 9" xfId="53333" xr:uid="{00000000-0005-0000-0000-0000EF1F0000}"/>
    <cellStyle name="20% - Accent3 2 3 9 3" xfId="4929" xr:uid="{00000000-0005-0000-0000-0000F01F0000}"/>
    <cellStyle name="20% - Accent3 2 3 9 3 2" xfId="10409" xr:uid="{00000000-0005-0000-0000-0000F11F0000}"/>
    <cellStyle name="20% - Accent3 2 3 9 3 3" xfId="15885" xr:uid="{00000000-0005-0000-0000-0000F21F0000}"/>
    <cellStyle name="20% - Accent3 2 3 9 3 4" xfId="21361" xr:uid="{00000000-0005-0000-0000-0000F31F0000}"/>
    <cellStyle name="20% - Accent3 2 3 9 3 5" xfId="26837" xr:uid="{00000000-0005-0000-0000-0000F41F0000}"/>
    <cellStyle name="20% - Accent3 2 3 9 3 6" xfId="38633" xr:uid="{00000000-0005-0000-0000-0000F51F0000}"/>
    <cellStyle name="20% - Accent3 2 3 9 3 7" xfId="44110" xr:uid="{00000000-0005-0000-0000-0000F61F0000}"/>
    <cellStyle name="20% - Accent3 2 3 9 3 8" xfId="49587" xr:uid="{00000000-0005-0000-0000-0000F71F0000}"/>
    <cellStyle name="20% - Accent3 2 3 9 3 9" xfId="55105" xr:uid="{00000000-0005-0000-0000-0000F81F0000}"/>
    <cellStyle name="20% - Accent3 2 3 9 4" xfId="5864" xr:uid="{00000000-0005-0000-0000-0000F91F0000}"/>
    <cellStyle name="20% - Accent3 2 3 9 5" xfId="11344" xr:uid="{00000000-0005-0000-0000-0000FA1F0000}"/>
    <cellStyle name="20% - Accent3 2 3 9 6" xfId="16820" xr:uid="{00000000-0005-0000-0000-0000FB1F0000}"/>
    <cellStyle name="20% - Accent3 2 3 9 7" xfId="22296" xr:uid="{00000000-0005-0000-0000-0000FC1F0000}"/>
    <cellStyle name="20% - Accent3 2 3 9 8" xfId="34091" xr:uid="{00000000-0005-0000-0000-0000FD1F0000}"/>
    <cellStyle name="20% - Accent3 2 3 9 9" xfId="39568" xr:uid="{00000000-0005-0000-0000-0000FE1F0000}"/>
    <cellStyle name="20% - Accent3 2 4" xfId="166" xr:uid="{00000000-0005-0000-0000-0000FF1F0000}"/>
    <cellStyle name="20% - Accent3 2 4 10" xfId="1570" xr:uid="{00000000-0005-0000-0000-000000200000}"/>
    <cellStyle name="20% - Accent3 2 4 10 10" xfId="45047" xr:uid="{00000000-0005-0000-0000-000001200000}"/>
    <cellStyle name="20% - Accent3 2 4 10 11" xfId="50525" xr:uid="{00000000-0005-0000-0000-000002200000}"/>
    <cellStyle name="20% - Accent3 2 4 10 2" xfId="3331" xr:uid="{00000000-0005-0000-0000-000003200000}"/>
    <cellStyle name="20% - Accent3 2 4 10 2 2" xfId="8811" xr:uid="{00000000-0005-0000-0000-000004200000}"/>
    <cellStyle name="20% - Accent3 2 4 10 2 3" xfId="14287" xr:uid="{00000000-0005-0000-0000-000005200000}"/>
    <cellStyle name="20% - Accent3 2 4 10 2 4" xfId="19763" xr:uid="{00000000-0005-0000-0000-000006200000}"/>
    <cellStyle name="20% - Accent3 2 4 10 2 5" xfId="25239" xr:uid="{00000000-0005-0000-0000-000007200000}"/>
    <cellStyle name="20% - Accent3 2 4 10 2 6" xfId="37035" xr:uid="{00000000-0005-0000-0000-000008200000}"/>
    <cellStyle name="20% - Accent3 2 4 10 2 7" xfId="42512" xr:uid="{00000000-0005-0000-0000-000009200000}"/>
    <cellStyle name="20% - Accent3 2 4 10 2 8" xfId="47989" xr:uid="{00000000-0005-0000-0000-00000A200000}"/>
    <cellStyle name="20% - Accent3 2 4 10 2 9" xfId="53507" xr:uid="{00000000-0005-0000-0000-00000B200000}"/>
    <cellStyle name="20% - Accent3 2 4 10 3" xfId="5103" xr:uid="{00000000-0005-0000-0000-00000C200000}"/>
    <cellStyle name="20% - Accent3 2 4 10 3 2" xfId="10583" xr:uid="{00000000-0005-0000-0000-00000D200000}"/>
    <cellStyle name="20% - Accent3 2 4 10 3 3" xfId="16059" xr:uid="{00000000-0005-0000-0000-00000E200000}"/>
    <cellStyle name="20% - Accent3 2 4 10 3 4" xfId="21535" xr:uid="{00000000-0005-0000-0000-00000F200000}"/>
    <cellStyle name="20% - Accent3 2 4 10 3 5" xfId="27011" xr:uid="{00000000-0005-0000-0000-000010200000}"/>
    <cellStyle name="20% - Accent3 2 4 10 3 6" xfId="38807" xr:uid="{00000000-0005-0000-0000-000011200000}"/>
    <cellStyle name="20% - Accent3 2 4 10 3 7" xfId="44284" xr:uid="{00000000-0005-0000-0000-000012200000}"/>
    <cellStyle name="20% - Accent3 2 4 10 3 8" xfId="49761" xr:uid="{00000000-0005-0000-0000-000013200000}"/>
    <cellStyle name="20% - Accent3 2 4 10 3 9" xfId="55279" xr:uid="{00000000-0005-0000-0000-000014200000}"/>
    <cellStyle name="20% - Accent3 2 4 10 4" xfId="5866" xr:uid="{00000000-0005-0000-0000-000015200000}"/>
    <cellStyle name="20% - Accent3 2 4 10 5" xfId="11346" xr:uid="{00000000-0005-0000-0000-000016200000}"/>
    <cellStyle name="20% - Accent3 2 4 10 6" xfId="16822" xr:uid="{00000000-0005-0000-0000-000017200000}"/>
    <cellStyle name="20% - Accent3 2 4 10 7" xfId="22298" xr:uid="{00000000-0005-0000-0000-000018200000}"/>
    <cellStyle name="20% - Accent3 2 4 10 8" xfId="34093" xr:uid="{00000000-0005-0000-0000-000019200000}"/>
    <cellStyle name="20% - Accent3 2 4 10 9" xfId="39570" xr:uid="{00000000-0005-0000-0000-00001A200000}"/>
    <cellStyle name="20% - Accent3 2 4 11" xfId="1784" xr:uid="{00000000-0005-0000-0000-00001B200000}"/>
    <cellStyle name="20% - Accent3 2 4 11 10" xfId="45048" xr:uid="{00000000-0005-0000-0000-00001C200000}"/>
    <cellStyle name="20% - Accent3 2 4 11 11" xfId="50526" xr:uid="{00000000-0005-0000-0000-00001D200000}"/>
    <cellStyle name="20% - Accent3 2 4 11 2" xfId="3545" xr:uid="{00000000-0005-0000-0000-00001E200000}"/>
    <cellStyle name="20% - Accent3 2 4 11 2 2" xfId="9025" xr:uid="{00000000-0005-0000-0000-00001F200000}"/>
    <cellStyle name="20% - Accent3 2 4 11 2 3" xfId="14501" xr:uid="{00000000-0005-0000-0000-000020200000}"/>
    <cellStyle name="20% - Accent3 2 4 11 2 4" xfId="19977" xr:uid="{00000000-0005-0000-0000-000021200000}"/>
    <cellStyle name="20% - Accent3 2 4 11 2 5" xfId="25453" xr:uid="{00000000-0005-0000-0000-000022200000}"/>
    <cellStyle name="20% - Accent3 2 4 11 2 6" xfId="37249" xr:uid="{00000000-0005-0000-0000-000023200000}"/>
    <cellStyle name="20% - Accent3 2 4 11 2 7" xfId="42726" xr:uid="{00000000-0005-0000-0000-000024200000}"/>
    <cellStyle name="20% - Accent3 2 4 11 2 8" xfId="48203" xr:uid="{00000000-0005-0000-0000-000025200000}"/>
    <cellStyle name="20% - Accent3 2 4 11 2 9" xfId="53721" xr:uid="{00000000-0005-0000-0000-000026200000}"/>
    <cellStyle name="20% - Accent3 2 4 11 3" xfId="5317" xr:uid="{00000000-0005-0000-0000-000027200000}"/>
    <cellStyle name="20% - Accent3 2 4 11 3 2" xfId="10797" xr:uid="{00000000-0005-0000-0000-000028200000}"/>
    <cellStyle name="20% - Accent3 2 4 11 3 3" xfId="16273" xr:uid="{00000000-0005-0000-0000-000029200000}"/>
    <cellStyle name="20% - Accent3 2 4 11 3 4" xfId="21749" xr:uid="{00000000-0005-0000-0000-00002A200000}"/>
    <cellStyle name="20% - Accent3 2 4 11 3 5" xfId="27225" xr:uid="{00000000-0005-0000-0000-00002B200000}"/>
    <cellStyle name="20% - Accent3 2 4 11 3 6" xfId="39021" xr:uid="{00000000-0005-0000-0000-00002C200000}"/>
    <cellStyle name="20% - Accent3 2 4 11 3 7" xfId="44498" xr:uid="{00000000-0005-0000-0000-00002D200000}"/>
    <cellStyle name="20% - Accent3 2 4 11 3 8" xfId="49975" xr:uid="{00000000-0005-0000-0000-00002E200000}"/>
    <cellStyle name="20% - Accent3 2 4 11 3 9" xfId="55493" xr:uid="{00000000-0005-0000-0000-00002F200000}"/>
    <cellStyle name="20% - Accent3 2 4 11 4" xfId="5867" xr:uid="{00000000-0005-0000-0000-000030200000}"/>
    <cellStyle name="20% - Accent3 2 4 11 5" xfId="11347" xr:uid="{00000000-0005-0000-0000-000031200000}"/>
    <cellStyle name="20% - Accent3 2 4 11 6" xfId="16823" xr:uid="{00000000-0005-0000-0000-000032200000}"/>
    <cellStyle name="20% - Accent3 2 4 11 7" xfId="22299" xr:uid="{00000000-0005-0000-0000-000033200000}"/>
    <cellStyle name="20% - Accent3 2 4 11 8" xfId="34094" xr:uid="{00000000-0005-0000-0000-000034200000}"/>
    <cellStyle name="20% - Accent3 2 4 11 9" xfId="39571" xr:uid="{00000000-0005-0000-0000-000035200000}"/>
    <cellStyle name="20% - Accent3 2 4 12" xfId="1932" xr:uid="{00000000-0005-0000-0000-000036200000}"/>
    <cellStyle name="20% - Accent3 2 4 12 10" xfId="52109" xr:uid="{00000000-0005-0000-0000-000037200000}"/>
    <cellStyle name="20% - Accent3 2 4 12 2" xfId="5464" xr:uid="{00000000-0005-0000-0000-000038200000}"/>
    <cellStyle name="20% - Accent3 2 4 12 2 2" xfId="10944" xr:uid="{00000000-0005-0000-0000-000039200000}"/>
    <cellStyle name="20% - Accent3 2 4 12 2 3" xfId="16420" xr:uid="{00000000-0005-0000-0000-00003A200000}"/>
    <cellStyle name="20% - Accent3 2 4 12 2 4" xfId="21896" xr:uid="{00000000-0005-0000-0000-00003B200000}"/>
    <cellStyle name="20% - Accent3 2 4 12 2 5" xfId="27372" xr:uid="{00000000-0005-0000-0000-00003C200000}"/>
    <cellStyle name="20% - Accent3 2 4 12 2 6" xfId="39168" xr:uid="{00000000-0005-0000-0000-00003D200000}"/>
    <cellStyle name="20% - Accent3 2 4 12 2 7" xfId="44645" xr:uid="{00000000-0005-0000-0000-00003E200000}"/>
    <cellStyle name="20% - Accent3 2 4 12 2 8" xfId="50122" xr:uid="{00000000-0005-0000-0000-00003F200000}"/>
    <cellStyle name="20% - Accent3 2 4 12 2 9" xfId="55640" xr:uid="{00000000-0005-0000-0000-000040200000}"/>
    <cellStyle name="20% - Accent3 2 4 12 3" xfId="7413" xr:uid="{00000000-0005-0000-0000-000041200000}"/>
    <cellStyle name="20% - Accent3 2 4 12 4" xfId="12889" xr:uid="{00000000-0005-0000-0000-000042200000}"/>
    <cellStyle name="20% - Accent3 2 4 12 5" xfId="18365" xr:uid="{00000000-0005-0000-0000-000043200000}"/>
    <cellStyle name="20% - Accent3 2 4 12 6" xfId="23841" xr:uid="{00000000-0005-0000-0000-000044200000}"/>
    <cellStyle name="20% - Accent3 2 4 12 7" xfId="35637" xr:uid="{00000000-0005-0000-0000-000045200000}"/>
    <cellStyle name="20% - Accent3 2 4 12 8" xfId="41114" xr:uid="{00000000-0005-0000-0000-000046200000}"/>
    <cellStyle name="20% - Accent3 2 4 12 9" xfId="46591" xr:uid="{00000000-0005-0000-0000-000047200000}"/>
    <cellStyle name="20% - Accent3 2 4 13" xfId="3738" xr:uid="{00000000-0005-0000-0000-000048200000}"/>
    <cellStyle name="20% - Accent3 2 4 13 2" xfId="9218" xr:uid="{00000000-0005-0000-0000-000049200000}"/>
    <cellStyle name="20% - Accent3 2 4 13 3" xfId="14694" xr:uid="{00000000-0005-0000-0000-00004A200000}"/>
    <cellStyle name="20% - Accent3 2 4 13 4" xfId="20170" xr:uid="{00000000-0005-0000-0000-00004B200000}"/>
    <cellStyle name="20% - Accent3 2 4 13 5" xfId="25646" xr:uid="{00000000-0005-0000-0000-00004C200000}"/>
    <cellStyle name="20% - Accent3 2 4 13 6" xfId="37442" xr:uid="{00000000-0005-0000-0000-00004D200000}"/>
    <cellStyle name="20% - Accent3 2 4 13 7" xfId="42919" xr:uid="{00000000-0005-0000-0000-00004E200000}"/>
    <cellStyle name="20% - Accent3 2 4 13 8" xfId="48396" xr:uid="{00000000-0005-0000-0000-00004F200000}"/>
    <cellStyle name="20% - Accent3 2 4 13 9" xfId="53914" xr:uid="{00000000-0005-0000-0000-000050200000}"/>
    <cellStyle name="20% - Accent3 2 4 14" xfId="5865" xr:uid="{00000000-0005-0000-0000-000051200000}"/>
    <cellStyle name="20% - Accent3 2 4 15" xfId="11345" xr:uid="{00000000-0005-0000-0000-000052200000}"/>
    <cellStyle name="20% - Accent3 2 4 16" xfId="16821" xr:uid="{00000000-0005-0000-0000-000053200000}"/>
    <cellStyle name="20% - Accent3 2 4 17" xfId="22297" xr:uid="{00000000-0005-0000-0000-000054200000}"/>
    <cellStyle name="20% - Accent3 2 4 18" xfId="28661" xr:uid="{00000000-0005-0000-0000-000055200000}"/>
    <cellStyle name="20% - Accent3 2 4 19" xfId="34092" xr:uid="{00000000-0005-0000-0000-000056200000}"/>
    <cellStyle name="20% - Accent3 2 4 2" xfId="258" xr:uid="{00000000-0005-0000-0000-000057200000}"/>
    <cellStyle name="20% - Accent3 2 4 2 10" xfId="1783" xr:uid="{00000000-0005-0000-0000-000058200000}"/>
    <cellStyle name="20% - Accent3 2 4 2 10 10" xfId="45050" xr:uid="{00000000-0005-0000-0000-000059200000}"/>
    <cellStyle name="20% - Accent3 2 4 2 10 11" xfId="50528" xr:uid="{00000000-0005-0000-0000-00005A200000}"/>
    <cellStyle name="20% - Accent3 2 4 2 10 2" xfId="3544" xr:uid="{00000000-0005-0000-0000-00005B200000}"/>
    <cellStyle name="20% - Accent3 2 4 2 10 2 2" xfId="9024" xr:uid="{00000000-0005-0000-0000-00005C200000}"/>
    <cellStyle name="20% - Accent3 2 4 2 10 2 3" xfId="14500" xr:uid="{00000000-0005-0000-0000-00005D200000}"/>
    <cellStyle name="20% - Accent3 2 4 2 10 2 4" xfId="19976" xr:uid="{00000000-0005-0000-0000-00005E200000}"/>
    <cellStyle name="20% - Accent3 2 4 2 10 2 5" xfId="25452" xr:uid="{00000000-0005-0000-0000-00005F200000}"/>
    <cellStyle name="20% - Accent3 2 4 2 10 2 6" xfId="37248" xr:uid="{00000000-0005-0000-0000-000060200000}"/>
    <cellStyle name="20% - Accent3 2 4 2 10 2 7" xfId="42725" xr:uid="{00000000-0005-0000-0000-000061200000}"/>
    <cellStyle name="20% - Accent3 2 4 2 10 2 8" xfId="48202" xr:uid="{00000000-0005-0000-0000-000062200000}"/>
    <cellStyle name="20% - Accent3 2 4 2 10 2 9" xfId="53720" xr:uid="{00000000-0005-0000-0000-000063200000}"/>
    <cellStyle name="20% - Accent3 2 4 2 10 3" xfId="5316" xr:uid="{00000000-0005-0000-0000-000064200000}"/>
    <cellStyle name="20% - Accent3 2 4 2 10 3 2" xfId="10796" xr:uid="{00000000-0005-0000-0000-000065200000}"/>
    <cellStyle name="20% - Accent3 2 4 2 10 3 3" xfId="16272" xr:uid="{00000000-0005-0000-0000-000066200000}"/>
    <cellStyle name="20% - Accent3 2 4 2 10 3 4" xfId="21748" xr:uid="{00000000-0005-0000-0000-000067200000}"/>
    <cellStyle name="20% - Accent3 2 4 2 10 3 5" xfId="27224" xr:uid="{00000000-0005-0000-0000-000068200000}"/>
    <cellStyle name="20% - Accent3 2 4 2 10 3 6" xfId="39020" xr:uid="{00000000-0005-0000-0000-000069200000}"/>
    <cellStyle name="20% - Accent3 2 4 2 10 3 7" xfId="44497" xr:uid="{00000000-0005-0000-0000-00006A200000}"/>
    <cellStyle name="20% - Accent3 2 4 2 10 3 8" xfId="49974" xr:uid="{00000000-0005-0000-0000-00006B200000}"/>
    <cellStyle name="20% - Accent3 2 4 2 10 3 9" xfId="55492" xr:uid="{00000000-0005-0000-0000-00006C200000}"/>
    <cellStyle name="20% - Accent3 2 4 2 10 4" xfId="5869" xr:uid="{00000000-0005-0000-0000-00006D200000}"/>
    <cellStyle name="20% - Accent3 2 4 2 10 5" xfId="11349" xr:uid="{00000000-0005-0000-0000-00006E200000}"/>
    <cellStyle name="20% - Accent3 2 4 2 10 6" xfId="16825" xr:uid="{00000000-0005-0000-0000-00006F200000}"/>
    <cellStyle name="20% - Accent3 2 4 2 10 7" xfId="22301" xr:uid="{00000000-0005-0000-0000-000070200000}"/>
    <cellStyle name="20% - Accent3 2 4 2 10 8" xfId="34096" xr:uid="{00000000-0005-0000-0000-000071200000}"/>
    <cellStyle name="20% - Accent3 2 4 2 10 9" xfId="39573" xr:uid="{00000000-0005-0000-0000-000072200000}"/>
    <cellStyle name="20% - Accent3 2 4 2 11" xfId="1933" xr:uid="{00000000-0005-0000-0000-000073200000}"/>
    <cellStyle name="20% - Accent3 2 4 2 11 10" xfId="52110" xr:uid="{00000000-0005-0000-0000-000074200000}"/>
    <cellStyle name="20% - Accent3 2 4 2 11 2" xfId="5465" xr:uid="{00000000-0005-0000-0000-000075200000}"/>
    <cellStyle name="20% - Accent3 2 4 2 11 2 2" xfId="10945" xr:uid="{00000000-0005-0000-0000-000076200000}"/>
    <cellStyle name="20% - Accent3 2 4 2 11 2 3" xfId="16421" xr:uid="{00000000-0005-0000-0000-000077200000}"/>
    <cellStyle name="20% - Accent3 2 4 2 11 2 4" xfId="21897" xr:uid="{00000000-0005-0000-0000-000078200000}"/>
    <cellStyle name="20% - Accent3 2 4 2 11 2 5" xfId="27373" xr:uid="{00000000-0005-0000-0000-000079200000}"/>
    <cellStyle name="20% - Accent3 2 4 2 11 2 6" xfId="39169" xr:uid="{00000000-0005-0000-0000-00007A200000}"/>
    <cellStyle name="20% - Accent3 2 4 2 11 2 7" xfId="44646" xr:uid="{00000000-0005-0000-0000-00007B200000}"/>
    <cellStyle name="20% - Accent3 2 4 2 11 2 8" xfId="50123" xr:uid="{00000000-0005-0000-0000-00007C200000}"/>
    <cellStyle name="20% - Accent3 2 4 2 11 2 9" xfId="55641" xr:uid="{00000000-0005-0000-0000-00007D200000}"/>
    <cellStyle name="20% - Accent3 2 4 2 11 3" xfId="7414" xr:uid="{00000000-0005-0000-0000-00007E200000}"/>
    <cellStyle name="20% - Accent3 2 4 2 11 4" xfId="12890" xr:uid="{00000000-0005-0000-0000-00007F200000}"/>
    <cellStyle name="20% - Accent3 2 4 2 11 5" xfId="18366" xr:uid="{00000000-0005-0000-0000-000080200000}"/>
    <cellStyle name="20% - Accent3 2 4 2 11 6" xfId="23842" xr:uid="{00000000-0005-0000-0000-000081200000}"/>
    <cellStyle name="20% - Accent3 2 4 2 11 7" xfId="35638" xr:uid="{00000000-0005-0000-0000-000082200000}"/>
    <cellStyle name="20% - Accent3 2 4 2 11 8" xfId="41115" xr:uid="{00000000-0005-0000-0000-000083200000}"/>
    <cellStyle name="20% - Accent3 2 4 2 11 9" xfId="46592" xr:uid="{00000000-0005-0000-0000-000084200000}"/>
    <cellStyle name="20% - Accent3 2 4 2 12" xfId="3824" xr:uid="{00000000-0005-0000-0000-000085200000}"/>
    <cellStyle name="20% - Accent3 2 4 2 12 2" xfId="9304" xr:uid="{00000000-0005-0000-0000-000086200000}"/>
    <cellStyle name="20% - Accent3 2 4 2 12 3" xfId="14780" xr:uid="{00000000-0005-0000-0000-000087200000}"/>
    <cellStyle name="20% - Accent3 2 4 2 12 4" xfId="20256" xr:uid="{00000000-0005-0000-0000-000088200000}"/>
    <cellStyle name="20% - Accent3 2 4 2 12 5" xfId="25732" xr:uid="{00000000-0005-0000-0000-000089200000}"/>
    <cellStyle name="20% - Accent3 2 4 2 12 6" xfId="37528" xr:uid="{00000000-0005-0000-0000-00008A200000}"/>
    <cellStyle name="20% - Accent3 2 4 2 12 7" xfId="43005" xr:uid="{00000000-0005-0000-0000-00008B200000}"/>
    <cellStyle name="20% - Accent3 2 4 2 12 8" xfId="48482" xr:uid="{00000000-0005-0000-0000-00008C200000}"/>
    <cellStyle name="20% - Accent3 2 4 2 12 9" xfId="54000" xr:uid="{00000000-0005-0000-0000-00008D200000}"/>
    <cellStyle name="20% - Accent3 2 4 2 13" xfId="5868" xr:uid="{00000000-0005-0000-0000-00008E200000}"/>
    <cellStyle name="20% - Accent3 2 4 2 14" xfId="11348" xr:uid="{00000000-0005-0000-0000-00008F200000}"/>
    <cellStyle name="20% - Accent3 2 4 2 15" xfId="16824" xr:uid="{00000000-0005-0000-0000-000090200000}"/>
    <cellStyle name="20% - Accent3 2 4 2 16" xfId="22300" xr:uid="{00000000-0005-0000-0000-000091200000}"/>
    <cellStyle name="20% - Accent3 2 4 2 17" xfId="28662" xr:uid="{00000000-0005-0000-0000-000092200000}"/>
    <cellStyle name="20% - Accent3 2 4 2 18" xfId="34095" xr:uid="{00000000-0005-0000-0000-000093200000}"/>
    <cellStyle name="20% - Accent3 2 4 2 19" xfId="39572" xr:uid="{00000000-0005-0000-0000-000094200000}"/>
    <cellStyle name="20% - Accent3 2 4 2 2" xfId="304" xr:uid="{00000000-0005-0000-0000-000095200000}"/>
    <cellStyle name="20% - Accent3 2 4 2 2 10" xfId="39574" xr:uid="{00000000-0005-0000-0000-000096200000}"/>
    <cellStyle name="20% - Accent3 2 4 2 2 11" xfId="45051" xr:uid="{00000000-0005-0000-0000-000097200000}"/>
    <cellStyle name="20% - Accent3 2 4 2 2 12" xfId="50529" xr:uid="{00000000-0005-0000-0000-000098200000}"/>
    <cellStyle name="20% - Accent3 2 4 2 2 2" xfId="2104" xr:uid="{00000000-0005-0000-0000-000099200000}"/>
    <cellStyle name="20% - Accent3 2 4 2 2 2 2" xfId="7584" xr:uid="{00000000-0005-0000-0000-00009A200000}"/>
    <cellStyle name="20% - Accent3 2 4 2 2 2 3" xfId="13060" xr:uid="{00000000-0005-0000-0000-00009B200000}"/>
    <cellStyle name="20% - Accent3 2 4 2 2 2 4" xfId="18536" xr:uid="{00000000-0005-0000-0000-00009C200000}"/>
    <cellStyle name="20% - Accent3 2 4 2 2 2 5" xfId="24012" xr:uid="{00000000-0005-0000-0000-00009D200000}"/>
    <cellStyle name="20% - Accent3 2 4 2 2 2 6" xfId="35808" xr:uid="{00000000-0005-0000-0000-00009E200000}"/>
    <cellStyle name="20% - Accent3 2 4 2 2 2 7" xfId="41285" xr:uid="{00000000-0005-0000-0000-00009F200000}"/>
    <cellStyle name="20% - Accent3 2 4 2 2 2 8" xfId="46762" xr:uid="{00000000-0005-0000-0000-0000A0200000}"/>
    <cellStyle name="20% - Accent3 2 4 2 2 2 9" xfId="52280" xr:uid="{00000000-0005-0000-0000-0000A1200000}"/>
    <cellStyle name="20% - Accent3 2 4 2 2 3" xfId="3866" xr:uid="{00000000-0005-0000-0000-0000A2200000}"/>
    <cellStyle name="20% - Accent3 2 4 2 2 3 2" xfId="9346" xr:uid="{00000000-0005-0000-0000-0000A3200000}"/>
    <cellStyle name="20% - Accent3 2 4 2 2 3 3" xfId="14822" xr:uid="{00000000-0005-0000-0000-0000A4200000}"/>
    <cellStyle name="20% - Accent3 2 4 2 2 3 4" xfId="20298" xr:uid="{00000000-0005-0000-0000-0000A5200000}"/>
    <cellStyle name="20% - Accent3 2 4 2 2 3 5" xfId="25774" xr:uid="{00000000-0005-0000-0000-0000A6200000}"/>
    <cellStyle name="20% - Accent3 2 4 2 2 3 6" xfId="37570" xr:uid="{00000000-0005-0000-0000-0000A7200000}"/>
    <cellStyle name="20% - Accent3 2 4 2 2 3 7" xfId="43047" xr:uid="{00000000-0005-0000-0000-0000A8200000}"/>
    <cellStyle name="20% - Accent3 2 4 2 2 3 8" xfId="48524" xr:uid="{00000000-0005-0000-0000-0000A9200000}"/>
    <cellStyle name="20% - Accent3 2 4 2 2 3 9" xfId="54042" xr:uid="{00000000-0005-0000-0000-0000AA200000}"/>
    <cellStyle name="20% - Accent3 2 4 2 2 4" xfId="5870" xr:uid="{00000000-0005-0000-0000-0000AB200000}"/>
    <cellStyle name="20% - Accent3 2 4 2 2 5" xfId="11350" xr:uid="{00000000-0005-0000-0000-0000AC200000}"/>
    <cellStyle name="20% - Accent3 2 4 2 2 6" xfId="16826" xr:uid="{00000000-0005-0000-0000-0000AD200000}"/>
    <cellStyle name="20% - Accent3 2 4 2 2 7" xfId="22302" xr:uid="{00000000-0005-0000-0000-0000AE200000}"/>
    <cellStyle name="20% - Accent3 2 4 2 2 8" xfId="28663" xr:uid="{00000000-0005-0000-0000-0000AF200000}"/>
    <cellStyle name="20% - Accent3 2 4 2 2 9" xfId="34097" xr:uid="{00000000-0005-0000-0000-0000B0200000}"/>
    <cellStyle name="20% - Accent3 2 4 2 20" xfId="45049" xr:uid="{00000000-0005-0000-0000-0000B1200000}"/>
    <cellStyle name="20% - Accent3 2 4 2 21" xfId="50527" xr:uid="{00000000-0005-0000-0000-0000B2200000}"/>
    <cellStyle name="20% - Accent3 2 4 2 3" xfId="505" xr:uid="{00000000-0005-0000-0000-0000B3200000}"/>
    <cellStyle name="20% - Accent3 2 4 2 3 10" xfId="45052" xr:uid="{00000000-0005-0000-0000-0000B4200000}"/>
    <cellStyle name="20% - Accent3 2 4 2 3 11" xfId="50530" xr:uid="{00000000-0005-0000-0000-0000B5200000}"/>
    <cellStyle name="20% - Accent3 2 4 2 3 2" xfId="2266" xr:uid="{00000000-0005-0000-0000-0000B6200000}"/>
    <cellStyle name="20% - Accent3 2 4 2 3 2 2" xfId="7746" xr:uid="{00000000-0005-0000-0000-0000B7200000}"/>
    <cellStyle name="20% - Accent3 2 4 2 3 2 3" xfId="13222" xr:uid="{00000000-0005-0000-0000-0000B8200000}"/>
    <cellStyle name="20% - Accent3 2 4 2 3 2 4" xfId="18698" xr:uid="{00000000-0005-0000-0000-0000B9200000}"/>
    <cellStyle name="20% - Accent3 2 4 2 3 2 5" xfId="24174" xr:uid="{00000000-0005-0000-0000-0000BA200000}"/>
    <cellStyle name="20% - Accent3 2 4 2 3 2 6" xfId="35970" xr:uid="{00000000-0005-0000-0000-0000BB200000}"/>
    <cellStyle name="20% - Accent3 2 4 2 3 2 7" xfId="41447" xr:uid="{00000000-0005-0000-0000-0000BC200000}"/>
    <cellStyle name="20% - Accent3 2 4 2 3 2 8" xfId="46924" xr:uid="{00000000-0005-0000-0000-0000BD200000}"/>
    <cellStyle name="20% - Accent3 2 4 2 3 2 9" xfId="52442" xr:uid="{00000000-0005-0000-0000-0000BE200000}"/>
    <cellStyle name="20% - Accent3 2 4 2 3 3" xfId="4038" xr:uid="{00000000-0005-0000-0000-0000BF200000}"/>
    <cellStyle name="20% - Accent3 2 4 2 3 3 2" xfId="9518" xr:uid="{00000000-0005-0000-0000-0000C0200000}"/>
    <cellStyle name="20% - Accent3 2 4 2 3 3 3" xfId="14994" xr:uid="{00000000-0005-0000-0000-0000C1200000}"/>
    <cellStyle name="20% - Accent3 2 4 2 3 3 4" xfId="20470" xr:uid="{00000000-0005-0000-0000-0000C2200000}"/>
    <cellStyle name="20% - Accent3 2 4 2 3 3 5" xfId="25946" xr:uid="{00000000-0005-0000-0000-0000C3200000}"/>
    <cellStyle name="20% - Accent3 2 4 2 3 3 6" xfId="37742" xr:uid="{00000000-0005-0000-0000-0000C4200000}"/>
    <cellStyle name="20% - Accent3 2 4 2 3 3 7" xfId="43219" xr:uid="{00000000-0005-0000-0000-0000C5200000}"/>
    <cellStyle name="20% - Accent3 2 4 2 3 3 8" xfId="48696" xr:uid="{00000000-0005-0000-0000-0000C6200000}"/>
    <cellStyle name="20% - Accent3 2 4 2 3 3 9" xfId="54214" xr:uid="{00000000-0005-0000-0000-0000C7200000}"/>
    <cellStyle name="20% - Accent3 2 4 2 3 4" xfId="5871" xr:uid="{00000000-0005-0000-0000-0000C8200000}"/>
    <cellStyle name="20% - Accent3 2 4 2 3 5" xfId="11351" xr:uid="{00000000-0005-0000-0000-0000C9200000}"/>
    <cellStyle name="20% - Accent3 2 4 2 3 6" xfId="16827" xr:uid="{00000000-0005-0000-0000-0000CA200000}"/>
    <cellStyle name="20% - Accent3 2 4 2 3 7" xfId="22303" xr:uid="{00000000-0005-0000-0000-0000CB200000}"/>
    <cellStyle name="20% - Accent3 2 4 2 3 8" xfId="34098" xr:uid="{00000000-0005-0000-0000-0000CC200000}"/>
    <cellStyle name="20% - Accent3 2 4 2 3 9" xfId="39575" xr:uid="{00000000-0005-0000-0000-0000CD200000}"/>
    <cellStyle name="20% - Accent3 2 4 2 4" xfId="677" xr:uid="{00000000-0005-0000-0000-0000CE200000}"/>
    <cellStyle name="20% - Accent3 2 4 2 4 10" xfId="45053" xr:uid="{00000000-0005-0000-0000-0000CF200000}"/>
    <cellStyle name="20% - Accent3 2 4 2 4 11" xfId="50531" xr:uid="{00000000-0005-0000-0000-0000D0200000}"/>
    <cellStyle name="20% - Accent3 2 4 2 4 2" xfId="2438" xr:uid="{00000000-0005-0000-0000-0000D1200000}"/>
    <cellStyle name="20% - Accent3 2 4 2 4 2 2" xfId="7918" xr:uid="{00000000-0005-0000-0000-0000D2200000}"/>
    <cellStyle name="20% - Accent3 2 4 2 4 2 3" xfId="13394" xr:uid="{00000000-0005-0000-0000-0000D3200000}"/>
    <cellStyle name="20% - Accent3 2 4 2 4 2 4" xfId="18870" xr:uid="{00000000-0005-0000-0000-0000D4200000}"/>
    <cellStyle name="20% - Accent3 2 4 2 4 2 5" xfId="24346" xr:uid="{00000000-0005-0000-0000-0000D5200000}"/>
    <cellStyle name="20% - Accent3 2 4 2 4 2 6" xfId="36142" xr:uid="{00000000-0005-0000-0000-0000D6200000}"/>
    <cellStyle name="20% - Accent3 2 4 2 4 2 7" xfId="41619" xr:uid="{00000000-0005-0000-0000-0000D7200000}"/>
    <cellStyle name="20% - Accent3 2 4 2 4 2 8" xfId="47096" xr:uid="{00000000-0005-0000-0000-0000D8200000}"/>
    <cellStyle name="20% - Accent3 2 4 2 4 2 9" xfId="52614" xr:uid="{00000000-0005-0000-0000-0000D9200000}"/>
    <cellStyle name="20% - Accent3 2 4 2 4 3" xfId="4210" xr:uid="{00000000-0005-0000-0000-0000DA200000}"/>
    <cellStyle name="20% - Accent3 2 4 2 4 3 2" xfId="9690" xr:uid="{00000000-0005-0000-0000-0000DB200000}"/>
    <cellStyle name="20% - Accent3 2 4 2 4 3 3" xfId="15166" xr:uid="{00000000-0005-0000-0000-0000DC200000}"/>
    <cellStyle name="20% - Accent3 2 4 2 4 3 4" xfId="20642" xr:uid="{00000000-0005-0000-0000-0000DD200000}"/>
    <cellStyle name="20% - Accent3 2 4 2 4 3 5" xfId="26118" xr:uid="{00000000-0005-0000-0000-0000DE200000}"/>
    <cellStyle name="20% - Accent3 2 4 2 4 3 6" xfId="37914" xr:uid="{00000000-0005-0000-0000-0000DF200000}"/>
    <cellStyle name="20% - Accent3 2 4 2 4 3 7" xfId="43391" xr:uid="{00000000-0005-0000-0000-0000E0200000}"/>
    <cellStyle name="20% - Accent3 2 4 2 4 3 8" xfId="48868" xr:uid="{00000000-0005-0000-0000-0000E1200000}"/>
    <cellStyle name="20% - Accent3 2 4 2 4 3 9" xfId="54386" xr:uid="{00000000-0005-0000-0000-0000E2200000}"/>
    <cellStyle name="20% - Accent3 2 4 2 4 4" xfId="5872" xr:uid="{00000000-0005-0000-0000-0000E3200000}"/>
    <cellStyle name="20% - Accent3 2 4 2 4 5" xfId="11352" xr:uid="{00000000-0005-0000-0000-0000E4200000}"/>
    <cellStyle name="20% - Accent3 2 4 2 4 6" xfId="16828" xr:uid="{00000000-0005-0000-0000-0000E5200000}"/>
    <cellStyle name="20% - Accent3 2 4 2 4 7" xfId="22304" xr:uid="{00000000-0005-0000-0000-0000E6200000}"/>
    <cellStyle name="20% - Accent3 2 4 2 4 8" xfId="34099" xr:uid="{00000000-0005-0000-0000-0000E7200000}"/>
    <cellStyle name="20% - Accent3 2 4 2 4 9" xfId="39576" xr:uid="{00000000-0005-0000-0000-0000E8200000}"/>
    <cellStyle name="20% - Accent3 2 4 2 5" xfId="849" xr:uid="{00000000-0005-0000-0000-0000E9200000}"/>
    <cellStyle name="20% - Accent3 2 4 2 5 10" xfId="45054" xr:uid="{00000000-0005-0000-0000-0000EA200000}"/>
    <cellStyle name="20% - Accent3 2 4 2 5 11" xfId="50532" xr:uid="{00000000-0005-0000-0000-0000EB200000}"/>
    <cellStyle name="20% - Accent3 2 4 2 5 2" xfId="2610" xr:uid="{00000000-0005-0000-0000-0000EC200000}"/>
    <cellStyle name="20% - Accent3 2 4 2 5 2 2" xfId="8090" xr:uid="{00000000-0005-0000-0000-0000ED200000}"/>
    <cellStyle name="20% - Accent3 2 4 2 5 2 3" xfId="13566" xr:uid="{00000000-0005-0000-0000-0000EE200000}"/>
    <cellStyle name="20% - Accent3 2 4 2 5 2 4" xfId="19042" xr:uid="{00000000-0005-0000-0000-0000EF200000}"/>
    <cellStyle name="20% - Accent3 2 4 2 5 2 5" xfId="24518" xr:uid="{00000000-0005-0000-0000-0000F0200000}"/>
    <cellStyle name="20% - Accent3 2 4 2 5 2 6" xfId="36314" xr:uid="{00000000-0005-0000-0000-0000F1200000}"/>
    <cellStyle name="20% - Accent3 2 4 2 5 2 7" xfId="41791" xr:uid="{00000000-0005-0000-0000-0000F2200000}"/>
    <cellStyle name="20% - Accent3 2 4 2 5 2 8" xfId="47268" xr:uid="{00000000-0005-0000-0000-0000F3200000}"/>
    <cellStyle name="20% - Accent3 2 4 2 5 2 9" xfId="52786" xr:uid="{00000000-0005-0000-0000-0000F4200000}"/>
    <cellStyle name="20% - Accent3 2 4 2 5 3" xfId="4382" xr:uid="{00000000-0005-0000-0000-0000F5200000}"/>
    <cellStyle name="20% - Accent3 2 4 2 5 3 2" xfId="9862" xr:uid="{00000000-0005-0000-0000-0000F6200000}"/>
    <cellStyle name="20% - Accent3 2 4 2 5 3 3" xfId="15338" xr:uid="{00000000-0005-0000-0000-0000F7200000}"/>
    <cellStyle name="20% - Accent3 2 4 2 5 3 4" xfId="20814" xr:uid="{00000000-0005-0000-0000-0000F8200000}"/>
    <cellStyle name="20% - Accent3 2 4 2 5 3 5" xfId="26290" xr:uid="{00000000-0005-0000-0000-0000F9200000}"/>
    <cellStyle name="20% - Accent3 2 4 2 5 3 6" xfId="38086" xr:uid="{00000000-0005-0000-0000-0000FA200000}"/>
    <cellStyle name="20% - Accent3 2 4 2 5 3 7" xfId="43563" xr:uid="{00000000-0005-0000-0000-0000FB200000}"/>
    <cellStyle name="20% - Accent3 2 4 2 5 3 8" xfId="49040" xr:uid="{00000000-0005-0000-0000-0000FC200000}"/>
    <cellStyle name="20% - Accent3 2 4 2 5 3 9" xfId="54558" xr:uid="{00000000-0005-0000-0000-0000FD200000}"/>
    <cellStyle name="20% - Accent3 2 4 2 5 4" xfId="5873" xr:uid="{00000000-0005-0000-0000-0000FE200000}"/>
    <cellStyle name="20% - Accent3 2 4 2 5 5" xfId="11353" xr:uid="{00000000-0005-0000-0000-0000FF200000}"/>
    <cellStyle name="20% - Accent3 2 4 2 5 6" xfId="16829" xr:uid="{00000000-0005-0000-0000-000000210000}"/>
    <cellStyle name="20% - Accent3 2 4 2 5 7" xfId="22305" xr:uid="{00000000-0005-0000-0000-000001210000}"/>
    <cellStyle name="20% - Accent3 2 4 2 5 8" xfId="34100" xr:uid="{00000000-0005-0000-0000-000002210000}"/>
    <cellStyle name="20% - Accent3 2 4 2 5 9" xfId="39577" xr:uid="{00000000-0005-0000-0000-000003210000}"/>
    <cellStyle name="20% - Accent3 2 4 2 6" xfId="1055" xr:uid="{00000000-0005-0000-0000-000004210000}"/>
    <cellStyle name="20% - Accent3 2 4 2 6 10" xfId="45055" xr:uid="{00000000-0005-0000-0000-000005210000}"/>
    <cellStyle name="20% - Accent3 2 4 2 6 11" xfId="50533" xr:uid="{00000000-0005-0000-0000-000006210000}"/>
    <cellStyle name="20% - Accent3 2 4 2 6 2" xfId="2816" xr:uid="{00000000-0005-0000-0000-000007210000}"/>
    <cellStyle name="20% - Accent3 2 4 2 6 2 2" xfId="8296" xr:uid="{00000000-0005-0000-0000-000008210000}"/>
    <cellStyle name="20% - Accent3 2 4 2 6 2 3" xfId="13772" xr:uid="{00000000-0005-0000-0000-000009210000}"/>
    <cellStyle name="20% - Accent3 2 4 2 6 2 4" xfId="19248" xr:uid="{00000000-0005-0000-0000-00000A210000}"/>
    <cellStyle name="20% - Accent3 2 4 2 6 2 5" xfId="24724" xr:uid="{00000000-0005-0000-0000-00000B210000}"/>
    <cellStyle name="20% - Accent3 2 4 2 6 2 6" xfId="36520" xr:uid="{00000000-0005-0000-0000-00000C210000}"/>
    <cellStyle name="20% - Accent3 2 4 2 6 2 7" xfId="41997" xr:uid="{00000000-0005-0000-0000-00000D210000}"/>
    <cellStyle name="20% - Accent3 2 4 2 6 2 8" xfId="47474" xr:uid="{00000000-0005-0000-0000-00000E210000}"/>
    <cellStyle name="20% - Accent3 2 4 2 6 2 9" xfId="52992" xr:uid="{00000000-0005-0000-0000-00000F210000}"/>
    <cellStyle name="20% - Accent3 2 4 2 6 3" xfId="4588" xr:uid="{00000000-0005-0000-0000-000010210000}"/>
    <cellStyle name="20% - Accent3 2 4 2 6 3 2" xfId="10068" xr:uid="{00000000-0005-0000-0000-000011210000}"/>
    <cellStyle name="20% - Accent3 2 4 2 6 3 3" xfId="15544" xr:uid="{00000000-0005-0000-0000-000012210000}"/>
    <cellStyle name="20% - Accent3 2 4 2 6 3 4" xfId="21020" xr:uid="{00000000-0005-0000-0000-000013210000}"/>
    <cellStyle name="20% - Accent3 2 4 2 6 3 5" xfId="26496" xr:uid="{00000000-0005-0000-0000-000014210000}"/>
    <cellStyle name="20% - Accent3 2 4 2 6 3 6" xfId="38292" xr:uid="{00000000-0005-0000-0000-000015210000}"/>
    <cellStyle name="20% - Accent3 2 4 2 6 3 7" xfId="43769" xr:uid="{00000000-0005-0000-0000-000016210000}"/>
    <cellStyle name="20% - Accent3 2 4 2 6 3 8" xfId="49246" xr:uid="{00000000-0005-0000-0000-000017210000}"/>
    <cellStyle name="20% - Accent3 2 4 2 6 3 9" xfId="54764" xr:uid="{00000000-0005-0000-0000-000018210000}"/>
    <cellStyle name="20% - Accent3 2 4 2 6 4" xfId="5874" xr:uid="{00000000-0005-0000-0000-000019210000}"/>
    <cellStyle name="20% - Accent3 2 4 2 6 5" xfId="11354" xr:uid="{00000000-0005-0000-0000-00001A210000}"/>
    <cellStyle name="20% - Accent3 2 4 2 6 6" xfId="16830" xr:uid="{00000000-0005-0000-0000-00001B210000}"/>
    <cellStyle name="20% - Accent3 2 4 2 6 7" xfId="22306" xr:uid="{00000000-0005-0000-0000-00001C210000}"/>
    <cellStyle name="20% - Accent3 2 4 2 6 8" xfId="34101" xr:uid="{00000000-0005-0000-0000-00001D210000}"/>
    <cellStyle name="20% - Accent3 2 4 2 6 9" xfId="39578" xr:uid="{00000000-0005-0000-0000-00001E210000}"/>
    <cellStyle name="20% - Accent3 2 4 2 7" xfId="1227" xr:uid="{00000000-0005-0000-0000-00001F210000}"/>
    <cellStyle name="20% - Accent3 2 4 2 7 10" xfId="45056" xr:uid="{00000000-0005-0000-0000-000020210000}"/>
    <cellStyle name="20% - Accent3 2 4 2 7 11" xfId="50534" xr:uid="{00000000-0005-0000-0000-000021210000}"/>
    <cellStyle name="20% - Accent3 2 4 2 7 2" xfId="2988" xr:uid="{00000000-0005-0000-0000-000022210000}"/>
    <cellStyle name="20% - Accent3 2 4 2 7 2 2" xfId="8468" xr:uid="{00000000-0005-0000-0000-000023210000}"/>
    <cellStyle name="20% - Accent3 2 4 2 7 2 3" xfId="13944" xr:uid="{00000000-0005-0000-0000-000024210000}"/>
    <cellStyle name="20% - Accent3 2 4 2 7 2 4" xfId="19420" xr:uid="{00000000-0005-0000-0000-000025210000}"/>
    <cellStyle name="20% - Accent3 2 4 2 7 2 5" xfId="24896" xr:uid="{00000000-0005-0000-0000-000026210000}"/>
    <cellStyle name="20% - Accent3 2 4 2 7 2 6" xfId="36692" xr:uid="{00000000-0005-0000-0000-000027210000}"/>
    <cellStyle name="20% - Accent3 2 4 2 7 2 7" xfId="42169" xr:uid="{00000000-0005-0000-0000-000028210000}"/>
    <cellStyle name="20% - Accent3 2 4 2 7 2 8" xfId="47646" xr:uid="{00000000-0005-0000-0000-000029210000}"/>
    <cellStyle name="20% - Accent3 2 4 2 7 2 9" xfId="53164" xr:uid="{00000000-0005-0000-0000-00002A210000}"/>
    <cellStyle name="20% - Accent3 2 4 2 7 3" xfId="4760" xr:uid="{00000000-0005-0000-0000-00002B210000}"/>
    <cellStyle name="20% - Accent3 2 4 2 7 3 2" xfId="10240" xr:uid="{00000000-0005-0000-0000-00002C210000}"/>
    <cellStyle name="20% - Accent3 2 4 2 7 3 3" xfId="15716" xr:uid="{00000000-0005-0000-0000-00002D210000}"/>
    <cellStyle name="20% - Accent3 2 4 2 7 3 4" xfId="21192" xr:uid="{00000000-0005-0000-0000-00002E210000}"/>
    <cellStyle name="20% - Accent3 2 4 2 7 3 5" xfId="26668" xr:uid="{00000000-0005-0000-0000-00002F210000}"/>
    <cellStyle name="20% - Accent3 2 4 2 7 3 6" xfId="38464" xr:uid="{00000000-0005-0000-0000-000030210000}"/>
    <cellStyle name="20% - Accent3 2 4 2 7 3 7" xfId="43941" xr:uid="{00000000-0005-0000-0000-000031210000}"/>
    <cellStyle name="20% - Accent3 2 4 2 7 3 8" xfId="49418" xr:uid="{00000000-0005-0000-0000-000032210000}"/>
    <cellStyle name="20% - Accent3 2 4 2 7 3 9" xfId="54936" xr:uid="{00000000-0005-0000-0000-000033210000}"/>
    <cellStyle name="20% - Accent3 2 4 2 7 4" xfId="5875" xr:uid="{00000000-0005-0000-0000-000034210000}"/>
    <cellStyle name="20% - Accent3 2 4 2 7 5" xfId="11355" xr:uid="{00000000-0005-0000-0000-000035210000}"/>
    <cellStyle name="20% - Accent3 2 4 2 7 6" xfId="16831" xr:uid="{00000000-0005-0000-0000-000036210000}"/>
    <cellStyle name="20% - Accent3 2 4 2 7 7" xfId="22307" xr:uid="{00000000-0005-0000-0000-000037210000}"/>
    <cellStyle name="20% - Accent3 2 4 2 7 8" xfId="34102" xr:uid="{00000000-0005-0000-0000-000038210000}"/>
    <cellStyle name="20% - Accent3 2 4 2 7 9" xfId="39579" xr:uid="{00000000-0005-0000-0000-000039210000}"/>
    <cellStyle name="20% - Accent3 2 4 2 8" xfId="1399" xr:uid="{00000000-0005-0000-0000-00003A210000}"/>
    <cellStyle name="20% - Accent3 2 4 2 8 10" xfId="45057" xr:uid="{00000000-0005-0000-0000-00003B210000}"/>
    <cellStyle name="20% - Accent3 2 4 2 8 11" xfId="50535" xr:uid="{00000000-0005-0000-0000-00003C210000}"/>
    <cellStyle name="20% - Accent3 2 4 2 8 2" xfId="3160" xr:uid="{00000000-0005-0000-0000-00003D210000}"/>
    <cellStyle name="20% - Accent3 2 4 2 8 2 2" xfId="8640" xr:uid="{00000000-0005-0000-0000-00003E210000}"/>
    <cellStyle name="20% - Accent3 2 4 2 8 2 3" xfId="14116" xr:uid="{00000000-0005-0000-0000-00003F210000}"/>
    <cellStyle name="20% - Accent3 2 4 2 8 2 4" xfId="19592" xr:uid="{00000000-0005-0000-0000-000040210000}"/>
    <cellStyle name="20% - Accent3 2 4 2 8 2 5" xfId="25068" xr:uid="{00000000-0005-0000-0000-000041210000}"/>
    <cellStyle name="20% - Accent3 2 4 2 8 2 6" xfId="36864" xr:uid="{00000000-0005-0000-0000-000042210000}"/>
    <cellStyle name="20% - Accent3 2 4 2 8 2 7" xfId="42341" xr:uid="{00000000-0005-0000-0000-000043210000}"/>
    <cellStyle name="20% - Accent3 2 4 2 8 2 8" xfId="47818" xr:uid="{00000000-0005-0000-0000-000044210000}"/>
    <cellStyle name="20% - Accent3 2 4 2 8 2 9" xfId="53336" xr:uid="{00000000-0005-0000-0000-000045210000}"/>
    <cellStyle name="20% - Accent3 2 4 2 8 3" xfId="4932" xr:uid="{00000000-0005-0000-0000-000046210000}"/>
    <cellStyle name="20% - Accent3 2 4 2 8 3 2" xfId="10412" xr:uid="{00000000-0005-0000-0000-000047210000}"/>
    <cellStyle name="20% - Accent3 2 4 2 8 3 3" xfId="15888" xr:uid="{00000000-0005-0000-0000-000048210000}"/>
    <cellStyle name="20% - Accent3 2 4 2 8 3 4" xfId="21364" xr:uid="{00000000-0005-0000-0000-000049210000}"/>
    <cellStyle name="20% - Accent3 2 4 2 8 3 5" xfId="26840" xr:uid="{00000000-0005-0000-0000-00004A210000}"/>
    <cellStyle name="20% - Accent3 2 4 2 8 3 6" xfId="38636" xr:uid="{00000000-0005-0000-0000-00004B210000}"/>
    <cellStyle name="20% - Accent3 2 4 2 8 3 7" xfId="44113" xr:uid="{00000000-0005-0000-0000-00004C210000}"/>
    <cellStyle name="20% - Accent3 2 4 2 8 3 8" xfId="49590" xr:uid="{00000000-0005-0000-0000-00004D210000}"/>
    <cellStyle name="20% - Accent3 2 4 2 8 3 9" xfId="55108" xr:uid="{00000000-0005-0000-0000-00004E210000}"/>
    <cellStyle name="20% - Accent3 2 4 2 8 4" xfId="5876" xr:uid="{00000000-0005-0000-0000-00004F210000}"/>
    <cellStyle name="20% - Accent3 2 4 2 8 5" xfId="11356" xr:uid="{00000000-0005-0000-0000-000050210000}"/>
    <cellStyle name="20% - Accent3 2 4 2 8 6" xfId="16832" xr:uid="{00000000-0005-0000-0000-000051210000}"/>
    <cellStyle name="20% - Accent3 2 4 2 8 7" xfId="22308" xr:uid="{00000000-0005-0000-0000-000052210000}"/>
    <cellStyle name="20% - Accent3 2 4 2 8 8" xfId="34103" xr:uid="{00000000-0005-0000-0000-000053210000}"/>
    <cellStyle name="20% - Accent3 2 4 2 8 9" xfId="39580" xr:uid="{00000000-0005-0000-0000-000054210000}"/>
    <cellStyle name="20% - Accent3 2 4 2 9" xfId="1571" xr:uid="{00000000-0005-0000-0000-000055210000}"/>
    <cellStyle name="20% - Accent3 2 4 2 9 10" xfId="45058" xr:uid="{00000000-0005-0000-0000-000056210000}"/>
    <cellStyle name="20% - Accent3 2 4 2 9 11" xfId="50536" xr:uid="{00000000-0005-0000-0000-000057210000}"/>
    <cellStyle name="20% - Accent3 2 4 2 9 2" xfId="3332" xr:uid="{00000000-0005-0000-0000-000058210000}"/>
    <cellStyle name="20% - Accent3 2 4 2 9 2 2" xfId="8812" xr:uid="{00000000-0005-0000-0000-000059210000}"/>
    <cellStyle name="20% - Accent3 2 4 2 9 2 3" xfId="14288" xr:uid="{00000000-0005-0000-0000-00005A210000}"/>
    <cellStyle name="20% - Accent3 2 4 2 9 2 4" xfId="19764" xr:uid="{00000000-0005-0000-0000-00005B210000}"/>
    <cellStyle name="20% - Accent3 2 4 2 9 2 5" xfId="25240" xr:uid="{00000000-0005-0000-0000-00005C210000}"/>
    <cellStyle name="20% - Accent3 2 4 2 9 2 6" xfId="37036" xr:uid="{00000000-0005-0000-0000-00005D210000}"/>
    <cellStyle name="20% - Accent3 2 4 2 9 2 7" xfId="42513" xr:uid="{00000000-0005-0000-0000-00005E210000}"/>
    <cellStyle name="20% - Accent3 2 4 2 9 2 8" xfId="47990" xr:uid="{00000000-0005-0000-0000-00005F210000}"/>
    <cellStyle name="20% - Accent3 2 4 2 9 2 9" xfId="53508" xr:uid="{00000000-0005-0000-0000-000060210000}"/>
    <cellStyle name="20% - Accent3 2 4 2 9 3" xfId="5104" xr:uid="{00000000-0005-0000-0000-000061210000}"/>
    <cellStyle name="20% - Accent3 2 4 2 9 3 2" xfId="10584" xr:uid="{00000000-0005-0000-0000-000062210000}"/>
    <cellStyle name="20% - Accent3 2 4 2 9 3 3" xfId="16060" xr:uid="{00000000-0005-0000-0000-000063210000}"/>
    <cellStyle name="20% - Accent3 2 4 2 9 3 4" xfId="21536" xr:uid="{00000000-0005-0000-0000-000064210000}"/>
    <cellStyle name="20% - Accent3 2 4 2 9 3 5" xfId="27012" xr:uid="{00000000-0005-0000-0000-000065210000}"/>
    <cellStyle name="20% - Accent3 2 4 2 9 3 6" xfId="38808" xr:uid="{00000000-0005-0000-0000-000066210000}"/>
    <cellStyle name="20% - Accent3 2 4 2 9 3 7" xfId="44285" xr:uid="{00000000-0005-0000-0000-000067210000}"/>
    <cellStyle name="20% - Accent3 2 4 2 9 3 8" xfId="49762" xr:uid="{00000000-0005-0000-0000-000068210000}"/>
    <cellStyle name="20% - Accent3 2 4 2 9 3 9" xfId="55280" xr:uid="{00000000-0005-0000-0000-000069210000}"/>
    <cellStyle name="20% - Accent3 2 4 2 9 4" xfId="5877" xr:uid="{00000000-0005-0000-0000-00006A210000}"/>
    <cellStyle name="20% - Accent3 2 4 2 9 5" xfId="11357" xr:uid="{00000000-0005-0000-0000-00006B210000}"/>
    <cellStyle name="20% - Accent3 2 4 2 9 6" xfId="16833" xr:uid="{00000000-0005-0000-0000-00006C210000}"/>
    <cellStyle name="20% - Accent3 2 4 2 9 7" xfId="22309" xr:uid="{00000000-0005-0000-0000-00006D210000}"/>
    <cellStyle name="20% - Accent3 2 4 2 9 8" xfId="34104" xr:uid="{00000000-0005-0000-0000-00006E210000}"/>
    <cellStyle name="20% - Accent3 2 4 2 9 9" xfId="39581" xr:uid="{00000000-0005-0000-0000-00006F210000}"/>
    <cellStyle name="20% - Accent3 2 4 20" xfId="39569" xr:uid="{00000000-0005-0000-0000-000070210000}"/>
    <cellStyle name="20% - Accent3 2 4 21" xfId="45046" xr:uid="{00000000-0005-0000-0000-000071210000}"/>
    <cellStyle name="20% - Accent3 2 4 22" xfId="50524" xr:uid="{00000000-0005-0000-0000-000072210000}"/>
    <cellStyle name="20% - Accent3 2 4 3" xfId="303" xr:uid="{00000000-0005-0000-0000-000073210000}"/>
    <cellStyle name="20% - Accent3 2 4 3 10" xfId="39582" xr:uid="{00000000-0005-0000-0000-000074210000}"/>
    <cellStyle name="20% - Accent3 2 4 3 11" xfId="45059" xr:uid="{00000000-0005-0000-0000-000075210000}"/>
    <cellStyle name="20% - Accent3 2 4 3 12" xfId="50537" xr:uid="{00000000-0005-0000-0000-000076210000}"/>
    <cellStyle name="20% - Accent3 2 4 3 2" xfId="2103" xr:uid="{00000000-0005-0000-0000-000077210000}"/>
    <cellStyle name="20% - Accent3 2 4 3 2 2" xfId="7583" xr:uid="{00000000-0005-0000-0000-000078210000}"/>
    <cellStyle name="20% - Accent3 2 4 3 2 3" xfId="13059" xr:uid="{00000000-0005-0000-0000-000079210000}"/>
    <cellStyle name="20% - Accent3 2 4 3 2 4" xfId="18535" xr:uid="{00000000-0005-0000-0000-00007A210000}"/>
    <cellStyle name="20% - Accent3 2 4 3 2 5" xfId="24011" xr:uid="{00000000-0005-0000-0000-00007B210000}"/>
    <cellStyle name="20% - Accent3 2 4 3 2 6" xfId="35807" xr:uid="{00000000-0005-0000-0000-00007C210000}"/>
    <cellStyle name="20% - Accent3 2 4 3 2 7" xfId="41284" xr:uid="{00000000-0005-0000-0000-00007D210000}"/>
    <cellStyle name="20% - Accent3 2 4 3 2 8" xfId="46761" xr:uid="{00000000-0005-0000-0000-00007E210000}"/>
    <cellStyle name="20% - Accent3 2 4 3 2 9" xfId="52279" xr:uid="{00000000-0005-0000-0000-00007F210000}"/>
    <cellStyle name="20% - Accent3 2 4 3 3" xfId="3865" xr:uid="{00000000-0005-0000-0000-000080210000}"/>
    <cellStyle name="20% - Accent3 2 4 3 3 2" xfId="9345" xr:uid="{00000000-0005-0000-0000-000081210000}"/>
    <cellStyle name="20% - Accent3 2 4 3 3 3" xfId="14821" xr:uid="{00000000-0005-0000-0000-000082210000}"/>
    <cellStyle name="20% - Accent3 2 4 3 3 4" xfId="20297" xr:uid="{00000000-0005-0000-0000-000083210000}"/>
    <cellStyle name="20% - Accent3 2 4 3 3 5" xfId="25773" xr:uid="{00000000-0005-0000-0000-000084210000}"/>
    <cellStyle name="20% - Accent3 2 4 3 3 6" xfId="37569" xr:uid="{00000000-0005-0000-0000-000085210000}"/>
    <cellStyle name="20% - Accent3 2 4 3 3 7" xfId="43046" xr:uid="{00000000-0005-0000-0000-000086210000}"/>
    <cellStyle name="20% - Accent3 2 4 3 3 8" xfId="48523" xr:uid="{00000000-0005-0000-0000-000087210000}"/>
    <cellStyle name="20% - Accent3 2 4 3 3 9" xfId="54041" xr:uid="{00000000-0005-0000-0000-000088210000}"/>
    <cellStyle name="20% - Accent3 2 4 3 4" xfId="5878" xr:uid="{00000000-0005-0000-0000-000089210000}"/>
    <cellStyle name="20% - Accent3 2 4 3 5" xfId="11358" xr:uid="{00000000-0005-0000-0000-00008A210000}"/>
    <cellStyle name="20% - Accent3 2 4 3 6" xfId="16834" xr:uid="{00000000-0005-0000-0000-00008B210000}"/>
    <cellStyle name="20% - Accent3 2 4 3 7" xfId="22310" xr:uid="{00000000-0005-0000-0000-00008C210000}"/>
    <cellStyle name="20% - Accent3 2 4 3 8" xfId="28664" xr:uid="{00000000-0005-0000-0000-00008D210000}"/>
    <cellStyle name="20% - Accent3 2 4 3 9" xfId="34105" xr:uid="{00000000-0005-0000-0000-00008E210000}"/>
    <cellStyle name="20% - Accent3 2 4 4" xfId="504" xr:uid="{00000000-0005-0000-0000-00008F210000}"/>
    <cellStyle name="20% - Accent3 2 4 4 10" xfId="45060" xr:uid="{00000000-0005-0000-0000-000090210000}"/>
    <cellStyle name="20% - Accent3 2 4 4 11" xfId="50538" xr:uid="{00000000-0005-0000-0000-000091210000}"/>
    <cellStyle name="20% - Accent3 2 4 4 2" xfId="2265" xr:uid="{00000000-0005-0000-0000-000092210000}"/>
    <cellStyle name="20% - Accent3 2 4 4 2 2" xfId="7745" xr:uid="{00000000-0005-0000-0000-000093210000}"/>
    <cellStyle name="20% - Accent3 2 4 4 2 3" xfId="13221" xr:uid="{00000000-0005-0000-0000-000094210000}"/>
    <cellStyle name="20% - Accent3 2 4 4 2 4" xfId="18697" xr:uid="{00000000-0005-0000-0000-000095210000}"/>
    <cellStyle name="20% - Accent3 2 4 4 2 5" xfId="24173" xr:uid="{00000000-0005-0000-0000-000096210000}"/>
    <cellStyle name="20% - Accent3 2 4 4 2 6" xfId="35969" xr:uid="{00000000-0005-0000-0000-000097210000}"/>
    <cellStyle name="20% - Accent3 2 4 4 2 7" xfId="41446" xr:uid="{00000000-0005-0000-0000-000098210000}"/>
    <cellStyle name="20% - Accent3 2 4 4 2 8" xfId="46923" xr:uid="{00000000-0005-0000-0000-000099210000}"/>
    <cellStyle name="20% - Accent3 2 4 4 2 9" xfId="52441" xr:uid="{00000000-0005-0000-0000-00009A210000}"/>
    <cellStyle name="20% - Accent3 2 4 4 3" xfId="4037" xr:uid="{00000000-0005-0000-0000-00009B210000}"/>
    <cellStyle name="20% - Accent3 2 4 4 3 2" xfId="9517" xr:uid="{00000000-0005-0000-0000-00009C210000}"/>
    <cellStyle name="20% - Accent3 2 4 4 3 3" xfId="14993" xr:uid="{00000000-0005-0000-0000-00009D210000}"/>
    <cellStyle name="20% - Accent3 2 4 4 3 4" xfId="20469" xr:uid="{00000000-0005-0000-0000-00009E210000}"/>
    <cellStyle name="20% - Accent3 2 4 4 3 5" xfId="25945" xr:uid="{00000000-0005-0000-0000-00009F210000}"/>
    <cellStyle name="20% - Accent3 2 4 4 3 6" xfId="37741" xr:uid="{00000000-0005-0000-0000-0000A0210000}"/>
    <cellStyle name="20% - Accent3 2 4 4 3 7" xfId="43218" xr:uid="{00000000-0005-0000-0000-0000A1210000}"/>
    <cellStyle name="20% - Accent3 2 4 4 3 8" xfId="48695" xr:uid="{00000000-0005-0000-0000-0000A2210000}"/>
    <cellStyle name="20% - Accent3 2 4 4 3 9" xfId="54213" xr:uid="{00000000-0005-0000-0000-0000A3210000}"/>
    <cellStyle name="20% - Accent3 2 4 4 4" xfId="5879" xr:uid="{00000000-0005-0000-0000-0000A4210000}"/>
    <cellStyle name="20% - Accent3 2 4 4 5" xfId="11359" xr:uid="{00000000-0005-0000-0000-0000A5210000}"/>
    <cellStyle name="20% - Accent3 2 4 4 6" xfId="16835" xr:uid="{00000000-0005-0000-0000-0000A6210000}"/>
    <cellStyle name="20% - Accent3 2 4 4 7" xfId="22311" xr:uid="{00000000-0005-0000-0000-0000A7210000}"/>
    <cellStyle name="20% - Accent3 2 4 4 8" xfId="34106" xr:uid="{00000000-0005-0000-0000-0000A8210000}"/>
    <cellStyle name="20% - Accent3 2 4 4 9" xfId="39583" xr:uid="{00000000-0005-0000-0000-0000A9210000}"/>
    <cellStyle name="20% - Accent3 2 4 5" xfId="676" xr:uid="{00000000-0005-0000-0000-0000AA210000}"/>
    <cellStyle name="20% - Accent3 2 4 5 10" xfId="45061" xr:uid="{00000000-0005-0000-0000-0000AB210000}"/>
    <cellStyle name="20% - Accent3 2 4 5 11" xfId="50539" xr:uid="{00000000-0005-0000-0000-0000AC210000}"/>
    <cellStyle name="20% - Accent3 2 4 5 2" xfId="2437" xr:uid="{00000000-0005-0000-0000-0000AD210000}"/>
    <cellStyle name="20% - Accent3 2 4 5 2 2" xfId="7917" xr:uid="{00000000-0005-0000-0000-0000AE210000}"/>
    <cellStyle name="20% - Accent3 2 4 5 2 3" xfId="13393" xr:uid="{00000000-0005-0000-0000-0000AF210000}"/>
    <cellStyle name="20% - Accent3 2 4 5 2 4" xfId="18869" xr:uid="{00000000-0005-0000-0000-0000B0210000}"/>
    <cellStyle name="20% - Accent3 2 4 5 2 5" xfId="24345" xr:uid="{00000000-0005-0000-0000-0000B1210000}"/>
    <cellStyle name="20% - Accent3 2 4 5 2 6" xfId="36141" xr:uid="{00000000-0005-0000-0000-0000B2210000}"/>
    <cellStyle name="20% - Accent3 2 4 5 2 7" xfId="41618" xr:uid="{00000000-0005-0000-0000-0000B3210000}"/>
    <cellStyle name="20% - Accent3 2 4 5 2 8" xfId="47095" xr:uid="{00000000-0005-0000-0000-0000B4210000}"/>
    <cellStyle name="20% - Accent3 2 4 5 2 9" xfId="52613" xr:uid="{00000000-0005-0000-0000-0000B5210000}"/>
    <cellStyle name="20% - Accent3 2 4 5 3" xfId="4209" xr:uid="{00000000-0005-0000-0000-0000B6210000}"/>
    <cellStyle name="20% - Accent3 2 4 5 3 2" xfId="9689" xr:uid="{00000000-0005-0000-0000-0000B7210000}"/>
    <cellStyle name="20% - Accent3 2 4 5 3 3" xfId="15165" xr:uid="{00000000-0005-0000-0000-0000B8210000}"/>
    <cellStyle name="20% - Accent3 2 4 5 3 4" xfId="20641" xr:uid="{00000000-0005-0000-0000-0000B9210000}"/>
    <cellStyle name="20% - Accent3 2 4 5 3 5" xfId="26117" xr:uid="{00000000-0005-0000-0000-0000BA210000}"/>
    <cellStyle name="20% - Accent3 2 4 5 3 6" xfId="37913" xr:uid="{00000000-0005-0000-0000-0000BB210000}"/>
    <cellStyle name="20% - Accent3 2 4 5 3 7" xfId="43390" xr:uid="{00000000-0005-0000-0000-0000BC210000}"/>
    <cellStyle name="20% - Accent3 2 4 5 3 8" xfId="48867" xr:uid="{00000000-0005-0000-0000-0000BD210000}"/>
    <cellStyle name="20% - Accent3 2 4 5 3 9" xfId="54385" xr:uid="{00000000-0005-0000-0000-0000BE210000}"/>
    <cellStyle name="20% - Accent3 2 4 5 4" xfId="5880" xr:uid="{00000000-0005-0000-0000-0000BF210000}"/>
    <cellStyle name="20% - Accent3 2 4 5 5" xfId="11360" xr:uid="{00000000-0005-0000-0000-0000C0210000}"/>
    <cellStyle name="20% - Accent3 2 4 5 6" xfId="16836" xr:uid="{00000000-0005-0000-0000-0000C1210000}"/>
    <cellStyle name="20% - Accent3 2 4 5 7" xfId="22312" xr:uid="{00000000-0005-0000-0000-0000C2210000}"/>
    <cellStyle name="20% - Accent3 2 4 5 8" xfId="34107" xr:uid="{00000000-0005-0000-0000-0000C3210000}"/>
    <cellStyle name="20% - Accent3 2 4 5 9" xfId="39584" xr:uid="{00000000-0005-0000-0000-0000C4210000}"/>
    <cellStyle name="20% - Accent3 2 4 6" xfId="848" xr:uid="{00000000-0005-0000-0000-0000C5210000}"/>
    <cellStyle name="20% - Accent3 2 4 6 10" xfId="45062" xr:uid="{00000000-0005-0000-0000-0000C6210000}"/>
    <cellStyle name="20% - Accent3 2 4 6 11" xfId="50540" xr:uid="{00000000-0005-0000-0000-0000C7210000}"/>
    <cellStyle name="20% - Accent3 2 4 6 2" xfId="2609" xr:uid="{00000000-0005-0000-0000-0000C8210000}"/>
    <cellStyle name="20% - Accent3 2 4 6 2 2" xfId="8089" xr:uid="{00000000-0005-0000-0000-0000C9210000}"/>
    <cellStyle name="20% - Accent3 2 4 6 2 3" xfId="13565" xr:uid="{00000000-0005-0000-0000-0000CA210000}"/>
    <cellStyle name="20% - Accent3 2 4 6 2 4" xfId="19041" xr:uid="{00000000-0005-0000-0000-0000CB210000}"/>
    <cellStyle name="20% - Accent3 2 4 6 2 5" xfId="24517" xr:uid="{00000000-0005-0000-0000-0000CC210000}"/>
    <cellStyle name="20% - Accent3 2 4 6 2 6" xfId="36313" xr:uid="{00000000-0005-0000-0000-0000CD210000}"/>
    <cellStyle name="20% - Accent3 2 4 6 2 7" xfId="41790" xr:uid="{00000000-0005-0000-0000-0000CE210000}"/>
    <cellStyle name="20% - Accent3 2 4 6 2 8" xfId="47267" xr:uid="{00000000-0005-0000-0000-0000CF210000}"/>
    <cellStyle name="20% - Accent3 2 4 6 2 9" xfId="52785" xr:uid="{00000000-0005-0000-0000-0000D0210000}"/>
    <cellStyle name="20% - Accent3 2 4 6 3" xfId="4381" xr:uid="{00000000-0005-0000-0000-0000D1210000}"/>
    <cellStyle name="20% - Accent3 2 4 6 3 2" xfId="9861" xr:uid="{00000000-0005-0000-0000-0000D2210000}"/>
    <cellStyle name="20% - Accent3 2 4 6 3 3" xfId="15337" xr:uid="{00000000-0005-0000-0000-0000D3210000}"/>
    <cellStyle name="20% - Accent3 2 4 6 3 4" xfId="20813" xr:uid="{00000000-0005-0000-0000-0000D4210000}"/>
    <cellStyle name="20% - Accent3 2 4 6 3 5" xfId="26289" xr:uid="{00000000-0005-0000-0000-0000D5210000}"/>
    <cellStyle name="20% - Accent3 2 4 6 3 6" xfId="38085" xr:uid="{00000000-0005-0000-0000-0000D6210000}"/>
    <cellStyle name="20% - Accent3 2 4 6 3 7" xfId="43562" xr:uid="{00000000-0005-0000-0000-0000D7210000}"/>
    <cellStyle name="20% - Accent3 2 4 6 3 8" xfId="49039" xr:uid="{00000000-0005-0000-0000-0000D8210000}"/>
    <cellStyle name="20% - Accent3 2 4 6 3 9" xfId="54557" xr:uid="{00000000-0005-0000-0000-0000D9210000}"/>
    <cellStyle name="20% - Accent3 2 4 6 4" xfId="5881" xr:uid="{00000000-0005-0000-0000-0000DA210000}"/>
    <cellStyle name="20% - Accent3 2 4 6 5" xfId="11361" xr:uid="{00000000-0005-0000-0000-0000DB210000}"/>
    <cellStyle name="20% - Accent3 2 4 6 6" xfId="16837" xr:uid="{00000000-0005-0000-0000-0000DC210000}"/>
    <cellStyle name="20% - Accent3 2 4 6 7" xfId="22313" xr:uid="{00000000-0005-0000-0000-0000DD210000}"/>
    <cellStyle name="20% - Accent3 2 4 6 8" xfId="34108" xr:uid="{00000000-0005-0000-0000-0000DE210000}"/>
    <cellStyle name="20% - Accent3 2 4 6 9" xfId="39585" xr:uid="{00000000-0005-0000-0000-0000DF210000}"/>
    <cellStyle name="20% - Accent3 2 4 7" xfId="1054" xr:uid="{00000000-0005-0000-0000-0000E0210000}"/>
    <cellStyle name="20% - Accent3 2 4 7 10" xfId="45063" xr:uid="{00000000-0005-0000-0000-0000E1210000}"/>
    <cellStyle name="20% - Accent3 2 4 7 11" xfId="50541" xr:uid="{00000000-0005-0000-0000-0000E2210000}"/>
    <cellStyle name="20% - Accent3 2 4 7 2" xfId="2815" xr:uid="{00000000-0005-0000-0000-0000E3210000}"/>
    <cellStyle name="20% - Accent3 2 4 7 2 2" xfId="8295" xr:uid="{00000000-0005-0000-0000-0000E4210000}"/>
    <cellStyle name="20% - Accent3 2 4 7 2 3" xfId="13771" xr:uid="{00000000-0005-0000-0000-0000E5210000}"/>
    <cellStyle name="20% - Accent3 2 4 7 2 4" xfId="19247" xr:uid="{00000000-0005-0000-0000-0000E6210000}"/>
    <cellStyle name="20% - Accent3 2 4 7 2 5" xfId="24723" xr:uid="{00000000-0005-0000-0000-0000E7210000}"/>
    <cellStyle name="20% - Accent3 2 4 7 2 6" xfId="36519" xr:uid="{00000000-0005-0000-0000-0000E8210000}"/>
    <cellStyle name="20% - Accent3 2 4 7 2 7" xfId="41996" xr:uid="{00000000-0005-0000-0000-0000E9210000}"/>
    <cellStyle name="20% - Accent3 2 4 7 2 8" xfId="47473" xr:uid="{00000000-0005-0000-0000-0000EA210000}"/>
    <cellStyle name="20% - Accent3 2 4 7 2 9" xfId="52991" xr:uid="{00000000-0005-0000-0000-0000EB210000}"/>
    <cellStyle name="20% - Accent3 2 4 7 3" xfId="4587" xr:uid="{00000000-0005-0000-0000-0000EC210000}"/>
    <cellStyle name="20% - Accent3 2 4 7 3 2" xfId="10067" xr:uid="{00000000-0005-0000-0000-0000ED210000}"/>
    <cellStyle name="20% - Accent3 2 4 7 3 3" xfId="15543" xr:uid="{00000000-0005-0000-0000-0000EE210000}"/>
    <cellStyle name="20% - Accent3 2 4 7 3 4" xfId="21019" xr:uid="{00000000-0005-0000-0000-0000EF210000}"/>
    <cellStyle name="20% - Accent3 2 4 7 3 5" xfId="26495" xr:uid="{00000000-0005-0000-0000-0000F0210000}"/>
    <cellStyle name="20% - Accent3 2 4 7 3 6" xfId="38291" xr:uid="{00000000-0005-0000-0000-0000F1210000}"/>
    <cellStyle name="20% - Accent3 2 4 7 3 7" xfId="43768" xr:uid="{00000000-0005-0000-0000-0000F2210000}"/>
    <cellStyle name="20% - Accent3 2 4 7 3 8" xfId="49245" xr:uid="{00000000-0005-0000-0000-0000F3210000}"/>
    <cellStyle name="20% - Accent3 2 4 7 3 9" xfId="54763" xr:uid="{00000000-0005-0000-0000-0000F4210000}"/>
    <cellStyle name="20% - Accent3 2 4 7 4" xfId="5882" xr:uid="{00000000-0005-0000-0000-0000F5210000}"/>
    <cellStyle name="20% - Accent3 2 4 7 5" xfId="11362" xr:uid="{00000000-0005-0000-0000-0000F6210000}"/>
    <cellStyle name="20% - Accent3 2 4 7 6" xfId="16838" xr:uid="{00000000-0005-0000-0000-0000F7210000}"/>
    <cellStyle name="20% - Accent3 2 4 7 7" xfId="22314" xr:uid="{00000000-0005-0000-0000-0000F8210000}"/>
    <cellStyle name="20% - Accent3 2 4 7 8" xfId="34109" xr:uid="{00000000-0005-0000-0000-0000F9210000}"/>
    <cellStyle name="20% - Accent3 2 4 7 9" xfId="39586" xr:uid="{00000000-0005-0000-0000-0000FA210000}"/>
    <cellStyle name="20% - Accent3 2 4 8" xfId="1226" xr:uid="{00000000-0005-0000-0000-0000FB210000}"/>
    <cellStyle name="20% - Accent3 2 4 8 10" xfId="45064" xr:uid="{00000000-0005-0000-0000-0000FC210000}"/>
    <cellStyle name="20% - Accent3 2 4 8 11" xfId="50542" xr:uid="{00000000-0005-0000-0000-0000FD210000}"/>
    <cellStyle name="20% - Accent3 2 4 8 2" xfId="2987" xr:uid="{00000000-0005-0000-0000-0000FE210000}"/>
    <cellStyle name="20% - Accent3 2 4 8 2 2" xfId="8467" xr:uid="{00000000-0005-0000-0000-0000FF210000}"/>
    <cellStyle name="20% - Accent3 2 4 8 2 3" xfId="13943" xr:uid="{00000000-0005-0000-0000-000000220000}"/>
    <cellStyle name="20% - Accent3 2 4 8 2 4" xfId="19419" xr:uid="{00000000-0005-0000-0000-000001220000}"/>
    <cellStyle name="20% - Accent3 2 4 8 2 5" xfId="24895" xr:uid="{00000000-0005-0000-0000-000002220000}"/>
    <cellStyle name="20% - Accent3 2 4 8 2 6" xfId="36691" xr:uid="{00000000-0005-0000-0000-000003220000}"/>
    <cellStyle name="20% - Accent3 2 4 8 2 7" xfId="42168" xr:uid="{00000000-0005-0000-0000-000004220000}"/>
    <cellStyle name="20% - Accent3 2 4 8 2 8" xfId="47645" xr:uid="{00000000-0005-0000-0000-000005220000}"/>
    <cellStyle name="20% - Accent3 2 4 8 2 9" xfId="53163" xr:uid="{00000000-0005-0000-0000-000006220000}"/>
    <cellStyle name="20% - Accent3 2 4 8 3" xfId="4759" xr:uid="{00000000-0005-0000-0000-000007220000}"/>
    <cellStyle name="20% - Accent3 2 4 8 3 2" xfId="10239" xr:uid="{00000000-0005-0000-0000-000008220000}"/>
    <cellStyle name="20% - Accent3 2 4 8 3 3" xfId="15715" xr:uid="{00000000-0005-0000-0000-000009220000}"/>
    <cellStyle name="20% - Accent3 2 4 8 3 4" xfId="21191" xr:uid="{00000000-0005-0000-0000-00000A220000}"/>
    <cellStyle name="20% - Accent3 2 4 8 3 5" xfId="26667" xr:uid="{00000000-0005-0000-0000-00000B220000}"/>
    <cellStyle name="20% - Accent3 2 4 8 3 6" xfId="38463" xr:uid="{00000000-0005-0000-0000-00000C220000}"/>
    <cellStyle name="20% - Accent3 2 4 8 3 7" xfId="43940" xr:uid="{00000000-0005-0000-0000-00000D220000}"/>
    <cellStyle name="20% - Accent3 2 4 8 3 8" xfId="49417" xr:uid="{00000000-0005-0000-0000-00000E220000}"/>
    <cellStyle name="20% - Accent3 2 4 8 3 9" xfId="54935" xr:uid="{00000000-0005-0000-0000-00000F220000}"/>
    <cellStyle name="20% - Accent3 2 4 8 4" xfId="5883" xr:uid="{00000000-0005-0000-0000-000010220000}"/>
    <cellStyle name="20% - Accent3 2 4 8 5" xfId="11363" xr:uid="{00000000-0005-0000-0000-000011220000}"/>
    <cellStyle name="20% - Accent3 2 4 8 6" xfId="16839" xr:uid="{00000000-0005-0000-0000-000012220000}"/>
    <cellStyle name="20% - Accent3 2 4 8 7" xfId="22315" xr:uid="{00000000-0005-0000-0000-000013220000}"/>
    <cellStyle name="20% - Accent3 2 4 8 8" xfId="34110" xr:uid="{00000000-0005-0000-0000-000014220000}"/>
    <cellStyle name="20% - Accent3 2 4 8 9" xfId="39587" xr:uid="{00000000-0005-0000-0000-000015220000}"/>
    <cellStyle name="20% - Accent3 2 4 9" xfId="1398" xr:uid="{00000000-0005-0000-0000-000016220000}"/>
    <cellStyle name="20% - Accent3 2 4 9 10" xfId="45065" xr:uid="{00000000-0005-0000-0000-000017220000}"/>
    <cellStyle name="20% - Accent3 2 4 9 11" xfId="50543" xr:uid="{00000000-0005-0000-0000-000018220000}"/>
    <cellStyle name="20% - Accent3 2 4 9 2" xfId="3159" xr:uid="{00000000-0005-0000-0000-000019220000}"/>
    <cellStyle name="20% - Accent3 2 4 9 2 2" xfId="8639" xr:uid="{00000000-0005-0000-0000-00001A220000}"/>
    <cellStyle name="20% - Accent3 2 4 9 2 3" xfId="14115" xr:uid="{00000000-0005-0000-0000-00001B220000}"/>
    <cellStyle name="20% - Accent3 2 4 9 2 4" xfId="19591" xr:uid="{00000000-0005-0000-0000-00001C220000}"/>
    <cellStyle name="20% - Accent3 2 4 9 2 5" xfId="25067" xr:uid="{00000000-0005-0000-0000-00001D220000}"/>
    <cellStyle name="20% - Accent3 2 4 9 2 6" xfId="36863" xr:uid="{00000000-0005-0000-0000-00001E220000}"/>
    <cellStyle name="20% - Accent3 2 4 9 2 7" xfId="42340" xr:uid="{00000000-0005-0000-0000-00001F220000}"/>
    <cellStyle name="20% - Accent3 2 4 9 2 8" xfId="47817" xr:uid="{00000000-0005-0000-0000-000020220000}"/>
    <cellStyle name="20% - Accent3 2 4 9 2 9" xfId="53335" xr:uid="{00000000-0005-0000-0000-000021220000}"/>
    <cellStyle name="20% - Accent3 2 4 9 3" xfId="4931" xr:uid="{00000000-0005-0000-0000-000022220000}"/>
    <cellStyle name="20% - Accent3 2 4 9 3 2" xfId="10411" xr:uid="{00000000-0005-0000-0000-000023220000}"/>
    <cellStyle name="20% - Accent3 2 4 9 3 3" xfId="15887" xr:uid="{00000000-0005-0000-0000-000024220000}"/>
    <cellStyle name="20% - Accent3 2 4 9 3 4" xfId="21363" xr:uid="{00000000-0005-0000-0000-000025220000}"/>
    <cellStyle name="20% - Accent3 2 4 9 3 5" xfId="26839" xr:uid="{00000000-0005-0000-0000-000026220000}"/>
    <cellStyle name="20% - Accent3 2 4 9 3 6" xfId="38635" xr:uid="{00000000-0005-0000-0000-000027220000}"/>
    <cellStyle name="20% - Accent3 2 4 9 3 7" xfId="44112" xr:uid="{00000000-0005-0000-0000-000028220000}"/>
    <cellStyle name="20% - Accent3 2 4 9 3 8" xfId="49589" xr:uid="{00000000-0005-0000-0000-000029220000}"/>
    <cellStyle name="20% - Accent3 2 4 9 3 9" xfId="55107" xr:uid="{00000000-0005-0000-0000-00002A220000}"/>
    <cellStyle name="20% - Accent3 2 4 9 4" xfId="5884" xr:uid="{00000000-0005-0000-0000-00002B220000}"/>
    <cellStyle name="20% - Accent3 2 4 9 5" xfId="11364" xr:uid="{00000000-0005-0000-0000-00002C220000}"/>
    <cellStyle name="20% - Accent3 2 4 9 6" xfId="16840" xr:uid="{00000000-0005-0000-0000-00002D220000}"/>
    <cellStyle name="20% - Accent3 2 4 9 7" xfId="22316" xr:uid="{00000000-0005-0000-0000-00002E220000}"/>
    <cellStyle name="20% - Accent3 2 4 9 8" xfId="34111" xr:uid="{00000000-0005-0000-0000-00002F220000}"/>
    <cellStyle name="20% - Accent3 2 4 9 9" xfId="39588" xr:uid="{00000000-0005-0000-0000-000030220000}"/>
    <cellStyle name="20% - Accent3 2 5" xfId="207" xr:uid="{00000000-0005-0000-0000-000031220000}"/>
    <cellStyle name="20% - Accent3 2 5 10" xfId="1782" xr:uid="{00000000-0005-0000-0000-000032220000}"/>
    <cellStyle name="20% - Accent3 2 5 10 10" xfId="45067" xr:uid="{00000000-0005-0000-0000-000033220000}"/>
    <cellStyle name="20% - Accent3 2 5 10 11" xfId="50545" xr:uid="{00000000-0005-0000-0000-000034220000}"/>
    <cellStyle name="20% - Accent3 2 5 10 2" xfId="3543" xr:uid="{00000000-0005-0000-0000-000035220000}"/>
    <cellStyle name="20% - Accent3 2 5 10 2 2" xfId="9023" xr:uid="{00000000-0005-0000-0000-000036220000}"/>
    <cellStyle name="20% - Accent3 2 5 10 2 3" xfId="14499" xr:uid="{00000000-0005-0000-0000-000037220000}"/>
    <cellStyle name="20% - Accent3 2 5 10 2 4" xfId="19975" xr:uid="{00000000-0005-0000-0000-000038220000}"/>
    <cellStyle name="20% - Accent3 2 5 10 2 5" xfId="25451" xr:uid="{00000000-0005-0000-0000-000039220000}"/>
    <cellStyle name="20% - Accent3 2 5 10 2 6" xfId="37247" xr:uid="{00000000-0005-0000-0000-00003A220000}"/>
    <cellStyle name="20% - Accent3 2 5 10 2 7" xfId="42724" xr:uid="{00000000-0005-0000-0000-00003B220000}"/>
    <cellStyle name="20% - Accent3 2 5 10 2 8" xfId="48201" xr:uid="{00000000-0005-0000-0000-00003C220000}"/>
    <cellStyle name="20% - Accent3 2 5 10 2 9" xfId="53719" xr:uid="{00000000-0005-0000-0000-00003D220000}"/>
    <cellStyle name="20% - Accent3 2 5 10 3" xfId="5315" xr:uid="{00000000-0005-0000-0000-00003E220000}"/>
    <cellStyle name="20% - Accent3 2 5 10 3 2" xfId="10795" xr:uid="{00000000-0005-0000-0000-00003F220000}"/>
    <cellStyle name="20% - Accent3 2 5 10 3 3" xfId="16271" xr:uid="{00000000-0005-0000-0000-000040220000}"/>
    <cellStyle name="20% - Accent3 2 5 10 3 4" xfId="21747" xr:uid="{00000000-0005-0000-0000-000041220000}"/>
    <cellStyle name="20% - Accent3 2 5 10 3 5" xfId="27223" xr:uid="{00000000-0005-0000-0000-000042220000}"/>
    <cellStyle name="20% - Accent3 2 5 10 3 6" xfId="39019" xr:uid="{00000000-0005-0000-0000-000043220000}"/>
    <cellStyle name="20% - Accent3 2 5 10 3 7" xfId="44496" xr:uid="{00000000-0005-0000-0000-000044220000}"/>
    <cellStyle name="20% - Accent3 2 5 10 3 8" xfId="49973" xr:uid="{00000000-0005-0000-0000-000045220000}"/>
    <cellStyle name="20% - Accent3 2 5 10 3 9" xfId="55491" xr:uid="{00000000-0005-0000-0000-000046220000}"/>
    <cellStyle name="20% - Accent3 2 5 10 4" xfId="5886" xr:uid="{00000000-0005-0000-0000-000047220000}"/>
    <cellStyle name="20% - Accent3 2 5 10 5" xfId="11366" xr:uid="{00000000-0005-0000-0000-000048220000}"/>
    <cellStyle name="20% - Accent3 2 5 10 6" xfId="16842" xr:uid="{00000000-0005-0000-0000-000049220000}"/>
    <cellStyle name="20% - Accent3 2 5 10 7" xfId="22318" xr:uid="{00000000-0005-0000-0000-00004A220000}"/>
    <cellStyle name="20% - Accent3 2 5 10 8" xfId="34113" xr:uid="{00000000-0005-0000-0000-00004B220000}"/>
    <cellStyle name="20% - Accent3 2 5 10 9" xfId="39590" xr:uid="{00000000-0005-0000-0000-00004C220000}"/>
    <cellStyle name="20% - Accent3 2 5 11" xfId="1934" xr:uid="{00000000-0005-0000-0000-00004D220000}"/>
    <cellStyle name="20% - Accent3 2 5 11 10" xfId="52111" xr:uid="{00000000-0005-0000-0000-00004E220000}"/>
    <cellStyle name="20% - Accent3 2 5 11 2" xfId="5466" xr:uid="{00000000-0005-0000-0000-00004F220000}"/>
    <cellStyle name="20% - Accent3 2 5 11 2 2" xfId="10946" xr:uid="{00000000-0005-0000-0000-000050220000}"/>
    <cellStyle name="20% - Accent3 2 5 11 2 3" xfId="16422" xr:uid="{00000000-0005-0000-0000-000051220000}"/>
    <cellStyle name="20% - Accent3 2 5 11 2 4" xfId="21898" xr:uid="{00000000-0005-0000-0000-000052220000}"/>
    <cellStyle name="20% - Accent3 2 5 11 2 5" xfId="27374" xr:uid="{00000000-0005-0000-0000-000053220000}"/>
    <cellStyle name="20% - Accent3 2 5 11 2 6" xfId="39170" xr:uid="{00000000-0005-0000-0000-000054220000}"/>
    <cellStyle name="20% - Accent3 2 5 11 2 7" xfId="44647" xr:uid="{00000000-0005-0000-0000-000055220000}"/>
    <cellStyle name="20% - Accent3 2 5 11 2 8" xfId="50124" xr:uid="{00000000-0005-0000-0000-000056220000}"/>
    <cellStyle name="20% - Accent3 2 5 11 2 9" xfId="55642" xr:uid="{00000000-0005-0000-0000-000057220000}"/>
    <cellStyle name="20% - Accent3 2 5 11 3" xfId="7415" xr:uid="{00000000-0005-0000-0000-000058220000}"/>
    <cellStyle name="20% - Accent3 2 5 11 4" xfId="12891" xr:uid="{00000000-0005-0000-0000-000059220000}"/>
    <cellStyle name="20% - Accent3 2 5 11 5" xfId="18367" xr:uid="{00000000-0005-0000-0000-00005A220000}"/>
    <cellStyle name="20% - Accent3 2 5 11 6" xfId="23843" xr:uid="{00000000-0005-0000-0000-00005B220000}"/>
    <cellStyle name="20% - Accent3 2 5 11 7" xfId="35639" xr:uid="{00000000-0005-0000-0000-00005C220000}"/>
    <cellStyle name="20% - Accent3 2 5 11 8" xfId="41116" xr:uid="{00000000-0005-0000-0000-00005D220000}"/>
    <cellStyle name="20% - Accent3 2 5 11 9" xfId="46593" xr:uid="{00000000-0005-0000-0000-00005E220000}"/>
    <cellStyle name="20% - Accent3 2 5 12" xfId="3773" xr:uid="{00000000-0005-0000-0000-00005F220000}"/>
    <cellStyle name="20% - Accent3 2 5 12 2" xfId="9253" xr:uid="{00000000-0005-0000-0000-000060220000}"/>
    <cellStyle name="20% - Accent3 2 5 12 3" xfId="14729" xr:uid="{00000000-0005-0000-0000-000061220000}"/>
    <cellStyle name="20% - Accent3 2 5 12 4" xfId="20205" xr:uid="{00000000-0005-0000-0000-000062220000}"/>
    <cellStyle name="20% - Accent3 2 5 12 5" xfId="25681" xr:uid="{00000000-0005-0000-0000-000063220000}"/>
    <cellStyle name="20% - Accent3 2 5 12 6" xfId="37477" xr:uid="{00000000-0005-0000-0000-000064220000}"/>
    <cellStyle name="20% - Accent3 2 5 12 7" xfId="42954" xr:uid="{00000000-0005-0000-0000-000065220000}"/>
    <cellStyle name="20% - Accent3 2 5 12 8" xfId="48431" xr:uid="{00000000-0005-0000-0000-000066220000}"/>
    <cellStyle name="20% - Accent3 2 5 12 9" xfId="53949" xr:uid="{00000000-0005-0000-0000-000067220000}"/>
    <cellStyle name="20% - Accent3 2 5 13" xfId="5885" xr:uid="{00000000-0005-0000-0000-000068220000}"/>
    <cellStyle name="20% - Accent3 2 5 14" xfId="11365" xr:uid="{00000000-0005-0000-0000-000069220000}"/>
    <cellStyle name="20% - Accent3 2 5 15" xfId="16841" xr:uid="{00000000-0005-0000-0000-00006A220000}"/>
    <cellStyle name="20% - Accent3 2 5 16" xfId="22317" xr:uid="{00000000-0005-0000-0000-00006B220000}"/>
    <cellStyle name="20% - Accent3 2 5 17" xfId="28665" xr:uid="{00000000-0005-0000-0000-00006C220000}"/>
    <cellStyle name="20% - Accent3 2 5 18" xfId="34112" xr:uid="{00000000-0005-0000-0000-00006D220000}"/>
    <cellStyle name="20% - Accent3 2 5 19" xfId="39589" xr:uid="{00000000-0005-0000-0000-00006E220000}"/>
    <cellStyle name="20% - Accent3 2 5 2" xfId="305" xr:uid="{00000000-0005-0000-0000-00006F220000}"/>
    <cellStyle name="20% - Accent3 2 5 2 10" xfId="39591" xr:uid="{00000000-0005-0000-0000-000070220000}"/>
    <cellStyle name="20% - Accent3 2 5 2 11" xfId="45068" xr:uid="{00000000-0005-0000-0000-000071220000}"/>
    <cellStyle name="20% - Accent3 2 5 2 12" xfId="50546" xr:uid="{00000000-0005-0000-0000-000072220000}"/>
    <cellStyle name="20% - Accent3 2 5 2 2" xfId="2105" xr:uid="{00000000-0005-0000-0000-000073220000}"/>
    <cellStyle name="20% - Accent3 2 5 2 2 10" xfId="52281" xr:uid="{00000000-0005-0000-0000-000074220000}"/>
    <cellStyle name="20% - Accent3 2 5 2 2 2" xfId="7585" xr:uid="{00000000-0005-0000-0000-000075220000}"/>
    <cellStyle name="20% - Accent3 2 5 2 2 3" xfId="13061" xr:uid="{00000000-0005-0000-0000-000076220000}"/>
    <cellStyle name="20% - Accent3 2 5 2 2 4" xfId="18537" xr:uid="{00000000-0005-0000-0000-000077220000}"/>
    <cellStyle name="20% - Accent3 2 5 2 2 5" xfId="24013" xr:uid="{00000000-0005-0000-0000-000078220000}"/>
    <cellStyle name="20% - Accent3 2 5 2 2 6" xfId="28667" xr:uid="{00000000-0005-0000-0000-000079220000}"/>
    <cellStyle name="20% - Accent3 2 5 2 2 7" xfId="35809" xr:uid="{00000000-0005-0000-0000-00007A220000}"/>
    <cellStyle name="20% - Accent3 2 5 2 2 8" xfId="41286" xr:uid="{00000000-0005-0000-0000-00007B220000}"/>
    <cellStyle name="20% - Accent3 2 5 2 2 9" xfId="46763" xr:uid="{00000000-0005-0000-0000-00007C220000}"/>
    <cellStyle name="20% - Accent3 2 5 2 3" xfId="3867" xr:uid="{00000000-0005-0000-0000-00007D220000}"/>
    <cellStyle name="20% - Accent3 2 5 2 3 2" xfId="9347" xr:uid="{00000000-0005-0000-0000-00007E220000}"/>
    <cellStyle name="20% - Accent3 2 5 2 3 3" xfId="14823" xr:uid="{00000000-0005-0000-0000-00007F220000}"/>
    <cellStyle name="20% - Accent3 2 5 2 3 4" xfId="20299" xr:uid="{00000000-0005-0000-0000-000080220000}"/>
    <cellStyle name="20% - Accent3 2 5 2 3 5" xfId="25775" xr:uid="{00000000-0005-0000-0000-000081220000}"/>
    <cellStyle name="20% - Accent3 2 5 2 3 6" xfId="37571" xr:uid="{00000000-0005-0000-0000-000082220000}"/>
    <cellStyle name="20% - Accent3 2 5 2 3 7" xfId="43048" xr:uid="{00000000-0005-0000-0000-000083220000}"/>
    <cellStyle name="20% - Accent3 2 5 2 3 8" xfId="48525" xr:uid="{00000000-0005-0000-0000-000084220000}"/>
    <cellStyle name="20% - Accent3 2 5 2 3 9" xfId="54043" xr:uid="{00000000-0005-0000-0000-000085220000}"/>
    <cellStyle name="20% - Accent3 2 5 2 4" xfId="5887" xr:uid="{00000000-0005-0000-0000-000086220000}"/>
    <cellStyle name="20% - Accent3 2 5 2 5" xfId="11367" xr:uid="{00000000-0005-0000-0000-000087220000}"/>
    <cellStyle name="20% - Accent3 2 5 2 6" xfId="16843" xr:uid="{00000000-0005-0000-0000-000088220000}"/>
    <cellStyle name="20% - Accent3 2 5 2 7" xfId="22319" xr:uid="{00000000-0005-0000-0000-000089220000}"/>
    <cellStyle name="20% - Accent3 2 5 2 8" xfId="28666" xr:uid="{00000000-0005-0000-0000-00008A220000}"/>
    <cellStyle name="20% - Accent3 2 5 2 9" xfId="34114" xr:uid="{00000000-0005-0000-0000-00008B220000}"/>
    <cellStyle name="20% - Accent3 2 5 20" xfId="45066" xr:uid="{00000000-0005-0000-0000-00008C220000}"/>
    <cellStyle name="20% - Accent3 2 5 21" xfId="50544" xr:uid="{00000000-0005-0000-0000-00008D220000}"/>
    <cellStyle name="20% - Accent3 2 5 3" xfId="506" xr:uid="{00000000-0005-0000-0000-00008E220000}"/>
    <cellStyle name="20% - Accent3 2 5 3 10" xfId="39592" xr:uid="{00000000-0005-0000-0000-00008F220000}"/>
    <cellStyle name="20% - Accent3 2 5 3 11" xfId="45069" xr:uid="{00000000-0005-0000-0000-000090220000}"/>
    <cellStyle name="20% - Accent3 2 5 3 12" xfId="50547" xr:uid="{00000000-0005-0000-0000-000091220000}"/>
    <cellStyle name="20% - Accent3 2 5 3 2" xfId="2267" xr:uid="{00000000-0005-0000-0000-000092220000}"/>
    <cellStyle name="20% - Accent3 2 5 3 2 2" xfId="7747" xr:uid="{00000000-0005-0000-0000-000093220000}"/>
    <cellStyle name="20% - Accent3 2 5 3 2 3" xfId="13223" xr:uid="{00000000-0005-0000-0000-000094220000}"/>
    <cellStyle name="20% - Accent3 2 5 3 2 4" xfId="18699" xr:uid="{00000000-0005-0000-0000-000095220000}"/>
    <cellStyle name="20% - Accent3 2 5 3 2 5" xfId="24175" xr:uid="{00000000-0005-0000-0000-000096220000}"/>
    <cellStyle name="20% - Accent3 2 5 3 2 6" xfId="35971" xr:uid="{00000000-0005-0000-0000-000097220000}"/>
    <cellStyle name="20% - Accent3 2 5 3 2 7" xfId="41448" xr:uid="{00000000-0005-0000-0000-000098220000}"/>
    <cellStyle name="20% - Accent3 2 5 3 2 8" xfId="46925" xr:uid="{00000000-0005-0000-0000-000099220000}"/>
    <cellStyle name="20% - Accent3 2 5 3 2 9" xfId="52443" xr:uid="{00000000-0005-0000-0000-00009A220000}"/>
    <cellStyle name="20% - Accent3 2 5 3 3" xfId="4039" xr:uid="{00000000-0005-0000-0000-00009B220000}"/>
    <cellStyle name="20% - Accent3 2 5 3 3 2" xfId="9519" xr:uid="{00000000-0005-0000-0000-00009C220000}"/>
    <cellStyle name="20% - Accent3 2 5 3 3 3" xfId="14995" xr:uid="{00000000-0005-0000-0000-00009D220000}"/>
    <cellStyle name="20% - Accent3 2 5 3 3 4" xfId="20471" xr:uid="{00000000-0005-0000-0000-00009E220000}"/>
    <cellStyle name="20% - Accent3 2 5 3 3 5" xfId="25947" xr:uid="{00000000-0005-0000-0000-00009F220000}"/>
    <cellStyle name="20% - Accent3 2 5 3 3 6" xfId="37743" xr:uid="{00000000-0005-0000-0000-0000A0220000}"/>
    <cellStyle name="20% - Accent3 2 5 3 3 7" xfId="43220" xr:uid="{00000000-0005-0000-0000-0000A1220000}"/>
    <cellStyle name="20% - Accent3 2 5 3 3 8" xfId="48697" xr:uid="{00000000-0005-0000-0000-0000A2220000}"/>
    <cellStyle name="20% - Accent3 2 5 3 3 9" xfId="54215" xr:uid="{00000000-0005-0000-0000-0000A3220000}"/>
    <cellStyle name="20% - Accent3 2 5 3 4" xfId="5888" xr:uid="{00000000-0005-0000-0000-0000A4220000}"/>
    <cellStyle name="20% - Accent3 2 5 3 5" xfId="11368" xr:uid="{00000000-0005-0000-0000-0000A5220000}"/>
    <cellStyle name="20% - Accent3 2 5 3 6" xfId="16844" xr:uid="{00000000-0005-0000-0000-0000A6220000}"/>
    <cellStyle name="20% - Accent3 2 5 3 7" xfId="22320" xr:uid="{00000000-0005-0000-0000-0000A7220000}"/>
    <cellStyle name="20% - Accent3 2 5 3 8" xfId="28668" xr:uid="{00000000-0005-0000-0000-0000A8220000}"/>
    <cellStyle name="20% - Accent3 2 5 3 9" xfId="34115" xr:uid="{00000000-0005-0000-0000-0000A9220000}"/>
    <cellStyle name="20% - Accent3 2 5 4" xfId="678" xr:uid="{00000000-0005-0000-0000-0000AA220000}"/>
    <cellStyle name="20% - Accent3 2 5 4 10" xfId="45070" xr:uid="{00000000-0005-0000-0000-0000AB220000}"/>
    <cellStyle name="20% - Accent3 2 5 4 11" xfId="50548" xr:uid="{00000000-0005-0000-0000-0000AC220000}"/>
    <cellStyle name="20% - Accent3 2 5 4 2" xfId="2439" xr:uid="{00000000-0005-0000-0000-0000AD220000}"/>
    <cellStyle name="20% - Accent3 2 5 4 2 2" xfId="7919" xr:uid="{00000000-0005-0000-0000-0000AE220000}"/>
    <cellStyle name="20% - Accent3 2 5 4 2 3" xfId="13395" xr:uid="{00000000-0005-0000-0000-0000AF220000}"/>
    <cellStyle name="20% - Accent3 2 5 4 2 4" xfId="18871" xr:uid="{00000000-0005-0000-0000-0000B0220000}"/>
    <cellStyle name="20% - Accent3 2 5 4 2 5" xfId="24347" xr:uid="{00000000-0005-0000-0000-0000B1220000}"/>
    <cellStyle name="20% - Accent3 2 5 4 2 6" xfId="36143" xr:uid="{00000000-0005-0000-0000-0000B2220000}"/>
    <cellStyle name="20% - Accent3 2 5 4 2 7" xfId="41620" xr:uid="{00000000-0005-0000-0000-0000B3220000}"/>
    <cellStyle name="20% - Accent3 2 5 4 2 8" xfId="47097" xr:uid="{00000000-0005-0000-0000-0000B4220000}"/>
    <cellStyle name="20% - Accent3 2 5 4 2 9" xfId="52615" xr:uid="{00000000-0005-0000-0000-0000B5220000}"/>
    <cellStyle name="20% - Accent3 2 5 4 3" xfId="4211" xr:uid="{00000000-0005-0000-0000-0000B6220000}"/>
    <cellStyle name="20% - Accent3 2 5 4 3 2" xfId="9691" xr:uid="{00000000-0005-0000-0000-0000B7220000}"/>
    <cellStyle name="20% - Accent3 2 5 4 3 3" xfId="15167" xr:uid="{00000000-0005-0000-0000-0000B8220000}"/>
    <cellStyle name="20% - Accent3 2 5 4 3 4" xfId="20643" xr:uid="{00000000-0005-0000-0000-0000B9220000}"/>
    <cellStyle name="20% - Accent3 2 5 4 3 5" xfId="26119" xr:uid="{00000000-0005-0000-0000-0000BA220000}"/>
    <cellStyle name="20% - Accent3 2 5 4 3 6" xfId="37915" xr:uid="{00000000-0005-0000-0000-0000BB220000}"/>
    <cellStyle name="20% - Accent3 2 5 4 3 7" xfId="43392" xr:uid="{00000000-0005-0000-0000-0000BC220000}"/>
    <cellStyle name="20% - Accent3 2 5 4 3 8" xfId="48869" xr:uid="{00000000-0005-0000-0000-0000BD220000}"/>
    <cellStyle name="20% - Accent3 2 5 4 3 9" xfId="54387" xr:uid="{00000000-0005-0000-0000-0000BE220000}"/>
    <cellStyle name="20% - Accent3 2 5 4 4" xfId="5889" xr:uid="{00000000-0005-0000-0000-0000BF220000}"/>
    <cellStyle name="20% - Accent3 2 5 4 5" xfId="11369" xr:uid="{00000000-0005-0000-0000-0000C0220000}"/>
    <cellStyle name="20% - Accent3 2 5 4 6" xfId="16845" xr:uid="{00000000-0005-0000-0000-0000C1220000}"/>
    <cellStyle name="20% - Accent3 2 5 4 7" xfId="22321" xr:uid="{00000000-0005-0000-0000-0000C2220000}"/>
    <cellStyle name="20% - Accent3 2 5 4 8" xfId="34116" xr:uid="{00000000-0005-0000-0000-0000C3220000}"/>
    <cellStyle name="20% - Accent3 2 5 4 9" xfId="39593" xr:uid="{00000000-0005-0000-0000-0000C4220000}"/>
    <cellStyle name="20% - Accent3 2 5 5" xfId="850" xr:uid="{00000000-0005-0000-0000-0000C5220000}"/>
    <cellStyle name="20% - Accent3 2 5 5 10" xfId="45071" xr:uid="{00000000-0005-0000-0000-0000C6220000}"/>
    <cellStyle name="20% - Accent3 2 5 5 11" xfId="50549" xr:uid="{00000000-0005-0000-0000-0000C7220000}"/>
    <cellStyle name="20% - Accent3 2 5 5 2" xfId="2611" xr:uid="{00000000-0005-0000-0000-0000C8220000}"/>
    <cellStyle name="20% - Accent3 2 5 5 2 2" xfId="8091" xr:uid="{00000000-0005-0000-0000-0000C9220000}"/>
    <cellStyle name="20% - Accent3 2 5 5 2 3" xfId="13567" xr:uid="{00000000-0005-0000-0000-0000CA220000}"/>
    <cellStyle name="20% - Accent3 2 5 5 2 4" xfId="19043" xr:uid="{00000000-0005-0000-0000-0000CB220000}"/>
    <cellStyle name="20% - Accent3 2 5 5 2 5" xfId="24519" xr:uid="{00000000-0005-0000-0000-0000CC220000}"/>
    <cellStyle name="20% - Accent3 2 5 5 2 6" xfId="36315" xr:uid="{00000000-0005-0000-0000-0000CD220000}"/>
    <cellStyle name="20% - Accent3 2 5 5 2 7" xfId="41792" xr:uid="{00000000-0005-0000-0000-0000CE220000}"/>
    <cellStyle name="20% - Accent3 2 5 5 2 8" xfId="47269" xr:uid="{00000000-0005-0000-0000-0000CF220000}"/>
    <cellStyle name="20% - Accent3 2 5 5 2 9" xfId="52787" xr:uid="{00000000-0005-0000-0000-0000D0220000}"/>
    <cellStyle name="20% - Accent3 2 5 5 3" xfId="4383" xr:uid="{00000000-0005-0000-0000-0000D1220000}"/>
    <cellStyle name="20% - Accent3 2 5 5 3 2" xfId="9863" xr:uid="{00000000-0005-0000-0000-0000D2220000}"/>
    <cellStyle name="20% - Accent3 2 5 5 3 3" xfId="15339" xr:uid="{00000000-0005-0000-0000-0000D3220000}"/>
    <cellStyle name="20% - Accent3 2 5 5 3 4" xfId="20815" xr:uid="{00000000-0005-0000-0000-0000D4220000}"/>
    <cellStyle name="20% - Accent3 2 5 5 3 5" xfId="26291" xr:uid="{00000000-0005-0000-0000-0000D5220000}"/>
    <cellStyle name="20% - Accent3 2 5 5 3 6" xfId="38087" xr:uid="{00000000-0005-0000-0000-0000D6220000}"/>
    <cellStyle name="20% - Accent3 2 5 5 3 7" xfId="43564" xr:uid="{00000000-0005-0000-0000-0000D7220000}"/>
    <cellStyle name="20% - Accent3 2 5 5 3 8" xfId="49041" xr:uid="{00000000-0005-0000-0000-0000D8220000}"/>
    <cellStyle name="20% - Accent3 2 5 5 3 9" xfId="54559" xr:uid="{00000000-0005-0000-0000-0000D9220000}"/>
    <cellStyle name="20% - Accent3 2 5 5 4" xfId="5890" xr:uid="{00000000-0005-0000-0000-0000DA220000}"/>
    <cellStyle name="20% - Accent3 2 5 5 5" xfId="11370" xr:uid="{00000000-0005-0000-0000-0000DB220000}"/>
    <cellStyle name="20% - Accent3 2 5 5 6" xfId="16846" xr:uid="{00000000-0005-0000-0000-0000DC220000}"/>
    <cellStyle name="20% - Accent3 2 5 5 7" xfId="22322" xr:uid="{00000000-0005-0000-0000-0000DD220000}"/>
    <cellStyle name="20% - Accent3 2 5 5 8" xfId="34117" xr:uid="{00000000-0005-0000-0000-0000DE220000}"/>
    <cellStyle name="20% - Accent3 2 5 5 9" xfId="39594" xr:uid="{00000000-0005-0000-0000-0000DF220000}"/>
    <cellStyle name="20% - Accent3 2 5 6" xfId="1056" xr:uid="{00000000-0005-0000-0000-0000E0220000}"/>
    <cellStyle name="20% - Accent3 2 5 6 10" xfId="45072" xr:uid="{00000000-0005-0000-0000-0000E1220000}"/>
    <cellStyle name="20% - Accent3 2 5 6 11" xfId="50550" xr:uid="{00000000-0005-0000-0000-0000E2220000}"/>
    <cellStyle name="20% - Accent3 2 5 6 2" xfId="2817" xr:uid="{00000000-0005-0000-0000-0000E3220000}"/>
    <cellStyle name="20% - Accent3 2 5 6 2 2" xfId="8297" xr:uid="{00000000-0005-0000-0000-0000E4220000}"/>
    <cellStyle name="20% - Accent3 2 5 6 2 3" xfId="13773" xr:uid="{00000000-0005-0000-0000-0000E5220000}"/>
    <cellStyle name="20% - Accent3 2 5 6 2 4" xfId="19249" xr:uid="{00000000-0005-0000-0000-0000E6220000}"/>
    <cellStyle name="20% - Accent3 2 5 6 2 5" xfId="24725" xr:uid="{00000000-0005-0000-0000-0000E7220000}"/>
    <cellStyle name="20% - Accent3 2 5 6 2 6" xfId="36521" xr:uid="{00000000-0005-0000-0000-0000E8220000}"/>
    <cellStyle name="20% - Accent3 2 5 6 2 7" xfId="41998" xr:uid="{00000000-0005-0000-0000-0000E9220000}"/>
    <cellStyle name="20% - Accent3 2 5 6 2 8" xfId="47475" xr:uid="{00000000-0005-0000-0000-0000EA220000}"/>
    <cellStyle name="20% - Accent3 2 5 6 2 9" xfId="52993" xr:uid="{00000000-0005-0000-0000-0000EB220000}"/>
    <cellStyle name="20% - Accent3 2 5 6 3" xfId="4589" xr:uid="{00000000-0005-0000-0000-0000EC220000}"/>
    <cellStyle name="20% - Accent3 2 5 6 3 2" xfId="10069" xr:uid="{00000000-0005-0000-0000-0000ED220000}"/>
    <cellStyle name="20% - Accent3 2 5 6 3 3" xfId="15545" xr:uid="{00000000-0005-0000-0000-0000EE220000}"/>
    <cellStyle name="20% - Accent3 2 5 6 3 4" xfId="21021" xr:uid="{00000000-0005-0000-0000-0000EF220000}"/>
    <cellStyle name="20% - Accent3 2 5 6 3 5" xfId="26497" xr:uid="{00000000-0005-0000-0000-0000F0220000}"/>
    <cellStyle name="20% - Accent3 2 5 6 3 6" xfId="38293" xr:uid="{00000000-0005-0000-0000-0000F1220000}"/>
    <cellStyle name="20% - Accent3 2 5 6 3 7" xfId="43770" xr:uid="{00000000-0005-0000-0000-0000F2220000}"/>
    <cellStyle name="20% - Accent3 2 5 6 3 8" xfId="49247" xr:uid="{00000000-0005-0000-0000-0000F3220000}"/>
    <cellStyle name="20% - Accent3 2 5 6 3 9" xfId="54765" xr:uid="{00000000-0005-0000-0000-0000F4220000}"/>
    <cellStyle name="20% - Accent3 2 5 6 4" xfId="5891" xr:uid="{00000000-0005-0000-0000-0000F5220000}"/>
    <cellStyle name="20% - Accent3 2 5 6 5" xfId="11371" xr:uid="{00000000-0005-0000-0000-0000F6220000}"/>
    <cellStyle name="20% - Accent3 2 5 6 6" xfId="16847" xr:uid="{00000000-0005-0000-0000-0000F7220000}"/>
    <cellStyle name="20% - Accent3 2 5 6 7" xfId="22323" xr:uid="{00000000-0005-0000-0000-0000F8220000}"/>
    <cellStyle name="20% - Accent3 2 5 6 8" xfId="34118" xr:uid="{00000000-0005-0000-0000-0000F9220000}"/>
    <cellStyle name="20% - Accent3 2 5 6 9" xfId="39595" xr:uid="{00000000-0005-0000-0000-0000FA220000}"/>
    <cellStyle name="20% - Accent3 2 5 7" xfId="1228" xr:uid="{00000000-0005-0000-0000-0000FB220000}"/>
    <cellStyle name="20% - Accent3 2 5 7 10" xfId="45073" xr:uid="{00000000-0005-0000-0000-0000FC220000}"/>
    <cellStyle name="20% - Accent3 2 5 7 11" xfId="50551" xr:uid="{00000000-0005-0000-0000-0000FD220000}"/>
    <cellStyle name="20% - Accent3 2 5 7 2" xfId="2989" xr:uid="{00000000-0005-0000-0000-0000FE220000}"/>
    <cellStyle name="20% - Accent3 2 5 7 2 2" xfId="8469" xr:uid="{00000000-0005-0000-0000-0000FF220000}"/>
    <cellStyle name="20% - Accent3 2 5 7 2 3" xfId="13945" xr:uid="{00000000-0005-0000-0000-000000230000}"/>
    <cellStyle name="20% - Accent3 2 5 7 2 4" xfId="19421" xr:uid="{00000000-0005-0000-0000-000001230000}"/>
    <cellStyle name="20% - Accent3 2 5 7 2 5" xfId="24897" xr:uid="{00000000-0005-0000-0000-000002230000}"/>
    <cellStyle name="20% - Accent3 2 5 7 2 6" xfId="36693" xr:uid="{00000000-0005-0000-0000-000003230000}"/>
    <cellStyle name="20% - Accent3 2 5 7 2 7" xfId="42170" xr:uid="{00000000-0005-0000-0000-000004230000}"/>
    <cellStyle name="20% - Accent3 2 5 7 2 8" xfId="47647" xr:uid="{00000000-0005-0000-0000-000005230000}"/>
    <cellStyle name="20% - Accent3 2 5 7 2 9" xfId="53165" xr:uid="{00000000-0005-0000-0000-000006230000}"/>
    <cellStyle name="20% - Accent3 2 5 7 3" xfId="4761" xr:uid="{00000000-0005-0000-0000-000007230000}"/>
    <cellStyle name="20% - Accent3 2 5 7 3 2" xfId="10241" xr:uid="{00000000-0005-0000-0000-000008230000}"/>
    <cellStyle name="20% - Accent3 2 5 7 3 3" xfId="15717" xr:uid="{00000000-0005-0000-0000-000009230000}"/>
    <cellStyle name="20% - Accent3 2 5 7 3 4" xfId="21193" xr:uid="{00000000-0005-0000-0000-00000A230000}"/>
    <cellStyle name="20% - Accent3 2 5 7 3 5" xfId="26669" xr:uid="{00000000-0005-0000-0000-00000B230000}"/>
    <cellStyle name="20% - Accent3 2 5 7 3 6" xfId="38465" xr:uid="{00000000-0005-0000-0000-00000C230000}"/>
    <cellStyle name="20% - Accent3 2 5 7 3 7" xfId="43942" xr:uid="{00000000-0005-0000-0000-00000D230000}"/>
    <cellStyle name="20% - Accent3 2 5 7 3 8" xfId="49419" xr:uid="{00000000-0005-0000-0000-00000E230000}"/>
    <cellStyle name="20% - Accent3 2 5 7 3 9" xfId="54937" xr:uid="{00000000-0005-0000-0000-00000F230000}"/>
    <cellStyle name="20% - Accent3 2 5 7 4" xfId="5892" xr:uid="{00000000-0005-0000-0000-000010230000}"/>
    <cellStyle name="20% - Accent3 2 5 7 5" xfId="11372" xr:uid="{00000000-0005-0000-0000-000011230000}"/>
    <cellStyle name="20% - Accent3 2 5 7 6" xfId="16848" xr:uid="{00000000-0005-0000-0000-000012230000}"/>
    <cellStyle name="20% - Accent3 2 5 7 7" xfId="22324" xr:uid="{00000000-0005-0000-0000-000013230000}"/>
    <cellStyle name="20% - Accent3 2 5 7 8" xfId="34119" xr:uid="{00000000-0005-0000-0000-000014230000}"/>
    <cellStyle name="20% - Accent3 2 5 7 9" xfId="39596" xr:uid="{00000000-0005-0000-0000-000015230000}"/>
    <cellStyle name="20% - Accent3 2 5 8" xfId="1400" xr:uid="{00000000-0005-0000-0000-000016230000}"/>
    <cellStyle name="20% - Accent3 2 5 8 10" xfId="45074" xr:uid="{00000000-0005-0000-0000-000017230000}"/>
    <cellStyle name="20% - Accent3 2 5 8 11" xfId="50552" xr:uid="{00000000-0005-0000-0000-000018230000}"/>
    <cellStyle name="20% - Accent3 2 5 8 2" xfId="3161" xr:uid="{00000000-0005-0000-0000-000019230000}"/>
    <cellStyle name="20% - Accent3 2 5 8 2 2" xfId="8641" xr:uid="{00000000-0005-0000-0000-00001A230000}"/>
    <cellStyle name="20% - Accent3 2 5 8 2 3" xfId="14117" xr:uid="{00000000-0005-0000-0000-00001B230000}"/>
    <cellStyle name="20% - Accent3 2 5 8 2 4" xfId="19593" xr:uid="{00000000-0005-0000-0000-00001C230000}"/>
    <cellStyle name="20% - Accent3 2 5 8 2 5" xfId="25069" xr:uid="{00000000-0005-0000-0000-00001D230000}"/>
    <cellStyle name="20% - Accent3 2 5 8 2 6" xfId="36865" xr:uid="{00000000-0005-0000-0000-00001E230000}"/>
    <cellStyle name="20% - Accent3 2 5 8 2 7" xfId="42342" xr:uid="{00000000-0005-0000-0000-00001F230000}"/>
    <cellStyle name="20% - Accent3 2 5 8 2 8" xfId="47819" xr:uid="{00000000-0005-0000-0000-000020230000}"/>
    <cellStyle name="20% - Accent3 2 5 8 2 9" xfId="53337" xr:uid="{00000000-0005-0000-0000-000021230000}"/>
    <cellStyle name="20% - Accent3 2 5 8 3" xfId="4933" xr:uid="{00000000-0005-0000-0000-000022230000}"/>
    <cellStyle name="20% - Accent3 2 5 8 3 2" xfId="10413" xr:uid="{00000000-0005-0000-0000-000023230000}"/>
    <cellStyle name="20% - Accent3 2 5 8 3 3" xfId="15889" xr:uid="{00000000-0005-0000-0000-000024230000}"/>
    <cellStyle name="20% - Accent3 2 5 8 3 4" xfId="21365" xr:uid="{00000000-0005-0000-0000-000025230000}"/>
    <cellStyle name="20% - Accent3 2 5 8 3 5" xfId="26841" xr:uid="{00000000-0005-0000-0000-000026230000}"/>
    <cellStyle name="20% - Accent3 2 5 8 3 6" xfId="38637" xr:uid="{00000000-0005-0000-0000-000027230000}"/>
    <cellStyle name="20% - Accent3 2 5 8 3 7" xfId="44114" xr:uid="{00000000-0005-0000-0000-000028230000}"/>
    <cellStyle name="20% - Accent3 2 5 8 3 8" xfId="49591" xr:uid="{00000000-0005-0000-0000-000029230000}"/>
    <cellStyle name="20% - Accent3 2 5 8 3 9" xfId="55109" xr:uid="{00000000-0005-0000-0000-00002A230000}"/>
    <cellStyle name="20% - Accent3 2 5 8 4" xfId="5893" xr:uid="{00000000-0005-0000-0000-00002B230000}"/>
    <cellStyle name="20% - Accent3 2 5 8 5" xfId="11373" xr:uid="{00000000-0005-0000-0000-00002C230000}"/>
    <cellStyle name="20% - Accent3 2 5 8 6" xfId="16849" xr:uid="{00000000-0005-0000-0000-00002D230000}"/>
    <cellStyle name="20% - Accent3 2 5 8 7" xfId="22325" xr:uid="{00000000-0005-0000-0000-00002E230000}"/>
    <cellStyle name="20% - Accent3 2 5 8 8" xfId="34120" xr:uid="{00000000-0005-0000-0000-00002F230000}"/>
    <cellStyle name="20% - Accent3 2 5 8 9" xfId="39597" xr:uid="{00000000-0005-0000-0000-000030230000}"/>
    <cellStyle name="20% - Accent3 2 5 9" xfId="1572" xr:uid="{00000000-0005-0000-0000-000031230000}"/>
    <cellStyle name="20% - Accent3 2 5 9 10" xfId="45075" xr:uid="{00000000-0005-0000-0000-000032230000}"/>
    <cellStyle name="20% - Accent3 2 5 9 11" xfId="50553" xr:uid="{00000000-0005-0000-0000-000033230000}"/>
    <cellStyle name="20% - Accent3 2 5 9 2" xfId="3333" xr:uid="{00000000-0005-0000-0000-000034230000}"/>
    <cellStyle name="20% - Accent3 2 5 9 2 2" xfId="8813" xr:uid="{00000000-0005-0000-0000-000035230000}"/>
    <cellStyle name="20% - Accent3 2 5 9 2 3" xfId="14289" xr:uid="{00000000-0005-0000-0000-000036230000}"/>
    <cellStyle name="20% - Accent3 2 5 9 2 4" xfId="19765" xr:uid="{00000000-0005-0000-0000-000037230000}"/>
    <cellStyle name="20% - Accent3 2 5 9 2 5" xfId="25241" xr:uid="{00000000-0005-0000-0000-000038230000}"/>
    <cellStyle name="20% - Accent3 2 5 9 2 6" xfId="37037" xr:uid="{00000000-0005-0000-0000-000039230000}"/>
    <cellStyle name="20% - Accent3 2 5 9 2 7" xfId="42514" xr:uid="{00000000-0005-0000-0000-00003A230000}"/>
    <cellStyle name="20% - Accent3 2 5 9 2 8" xfId="47991" xr:uid="{00000000-0005-0000-0000-00003B230000}"/>
    <cellStyle name="20% - Accent3 2 5 9 2 9" xfId="53509" xr:uid="{00000000-0005-0000-0000-00003C230000}"/>
    <cellStyle name="20% - Accent3 2 5 9 3" xfId="5105" xr:uid="{00000000-0005-0000-0000-00003D230000}"/>
    <cellStyle name="20% - Accent3 2 5 9 3 2" xfId="10585" xr:uid="{00000000-0005-0000-0000-00003E230000}"/>
    <cellStyle name="20% - Accent3 2 5 9 3 3" xfId="16061" xr:uid="{00000000-0005-0000-0000-00003F230000}"/>
    <cellStyle name="20% - Accent3 2 5 9 3 4" xfId="21537" xr:uid="{00000000-0005-0000-0000-000040230000}"/>
    <cellStyle name="20% - Accent3 2 5 9 3 5" xfId="27013" xr:uid="{00000000-0005-0000-0000-000041230000}"/>
    <cellStyle name="20% - Accent3 2 5 9 3 6" xfId="38809" xr:uid="{00000000-0005-0000-0000-000042230000}"/>
    <cellStyle name="20% - Accent3 2 5 9 3 7" xfId="44286" xr:uid="{00000000-0005-0000-0000-000043230000}"/>
    <cellStyle name="20% - Accent3 2 5 9 3 8" xfId="49763" xr:uid="{00000000-0005-0000-0000-000044230000}"/>
    <cellStyle name="20% - Accent3 2 5 9 3 9" xfId="55281" xr:uid="{00000000-0005-0000-0000-000045230000}"/>
    <cellStyle name="20% - Accent3 2 5 9 4" xfId="5894" xr:uid="{00000000-0005-0000-0000-000046230000}"/>
    <cellStyle name="20% - Accent3 2 5 9 5" xfId="11374" xr:uid="{00000000-0005-0000-0000-000047230000}"/>
    <cellStyle name="20% - Accent3 2 5 9 6" xfId="16850" xr:uid="{00000000-0005-0000-0000-000048230000}"/>
    <cellStyle name="20% - Accent3 2 5 9 7" xfId="22326" xr:uid="{00000000-0005-0000-0000-000049230000}"/>
    <cellStyle name="20% - Accent3 2 5 9 8" xfId="34121" xr:uid="{00000000-0005-0000-0000-00004A230000}"/>
    <cellStyle name="20% - Accent3 2 5 9 9" xfId="39598" xr:uid="{00000000-0005-0000-0000-00004B230000}"/>
    <cellStyle name="20% - Accent3 2 6" xfId="298" xr:uid="{00000000-0005-0000-0000-00004C230000}"/>
    <cellStyle name="20% - Accent3 2 6 10" xfId="39599" xr:uid="{00000000-0005-0000-0000-00004D230000}"/>
    <cellStyle name="20% - Accent3 2 6 11" xfId="45076" xr:uid="{00000000-0005-0000-0000-00004E230000}"/>
    <cellStyle name="20% - Accent3 2 6 12" xfId="50554" xr:uid="{00000000-0005-0000-0000-00004F230000}"/>
    <cellStyle name="20% - Accent3 2 6 2" xfId="2098" xr:uid="{00000000-0005-0000-0000-000050230000}"/>
    <cellStyle name="20% - Accent3 2 6 2 10" xfId="52274" xr:uid="{00000000-0005-0000-0000-000051230000}"/>
    <cellStyle name="20% - Accent3 2 6 2 2" xfId="7578" xr:uid="{00000000-0005-0000-0000-000052230000}"/>
    <cellStyle name="20% - Accent3 2 6 2 2 2" xfId="28671" xr:uid="{00000000-0005-0000-0000-000053230000}"/>
    <cellStyle name="20% - Accent3 2 6 2 3" xfId="13054" xr:uid="{00000000-0005-0000-0000-000054230000}"/>
    <cellStyle name="20% - Accent3 2 6 2 4" xfId="18530" xr:uid="{00000000-0005-0000-0000-000055230000}"/>
    <cellStyle name="20% - Accent3 2 6 2 5" xfId="24006" xr:uid="{00000000-0005-0000-0000-000056230000}"/>
    <cellStyle name="20% - Accent3 2 6 2 6" xfId="28670" xr:uid="{00000000-0005-0000-0000-000057230000}"/>
    <cellStyle name="20% - Accent3 2 6 2 7" xfId="35802" xr:uid="{00000000-0005-0000-0000-000058230000}"/>
    <cellStyle name="20% - Accent3 2 6 2 8" xfId="41279" xr:uid="{00000000-0005-0000-0000-000059230000}"/>
    <cellStyle name="20% - Accent3 2 6 2 9" xfId="46756" xr:uid="{00000000-0005-0000-0000-00005A230000}"/>
    <cellStyle name="20% - Accent3 2 6 3" xfId="3860" xr:uid="{00000000-0005-0000-0000-00005B230000}"/>
    <cellStyle name="20% - Accent3 2 6 3 10" xfId="54036" xr:uid="{00000000-0005-0000-0000-00005C230000}"/>
    <cellStyle name="20% - Accent3 2 6 3 2" xfId="9340" xr:uid="{00000000-0005-0000-0000-00005D230000}"/>
    <cellStyle name="20% - Accent3 2 6 3 3" xfId="14816" xr:uid="{00000000-0005-0000-0000-00005E230000}"/>
    <cellStyle name="20% - Accent3 2 6 3 4" xfId="20292" xr:uid="{00000000-0005-0000-0000-00005F230000}"/>
    <cellStyle name="20% - Accent3 2 6 3 5" xfId="25768" xr:uid="{00000000-0005-0000-0000-000060230000}"/>
    <cellStyle name="20% - Accent3 2 6 3 6" xfId="28672" xr:uid="{00000000-0005-0000-0000-000061230000}"/>
    <cellStyle name="20% - Accent3 2 6 3 7" xfId="37564" xr:uid="{00000000-0005-0000-0000-000062230000}"/>
    <cellStyle name="20% - Accent3 2 6 3 8" xfId="43041" xr:uid="{00000000-0005-0000-0000-000063230000}"/>
    <cellStyle name="20% - Accent3 2 6 3 9" xfId="48518" xr:uid="{00000000-0005-0000-0000-000064230000}"/>
    <cellStyle name="20% - Accent3 2 6 4" xfId="5895" xr:uid="{00000000-0005-0000-0000-000065230000}"/>
    <cellStyle name="20% - Accent3 2 6 5" xfId="11375" xr:uid="{00000000-0005-0000-0000-000066230000}"/>
    <cellStyle name="20% - Accent3 2 6 6" xfId="16851" xr:uid="{00000000-0005-0000-0000-000067230000}"/>
    <cellStyle name="20% - Accent3 2 6 7" xfId="22327" xr:uid="{00000000-0005-0000-0000-000068230000}"/>
    <cellStyle name="20% - Accent3 2 6 8" xfId="28669" xr:uid="{00000000-0005-0000-0000-000069230000}"/>
    <cellStyle name="20% - Accent3 2 6 9" xfId="34122" xr:uid="{00000000-0005-0000-0000-00006A230000}"/>
    <cellStyle name="20% - Accent3 2 7" xfId="499" xr:uid="{00000000-0005-0000-0000-00006B230000}"/>
    <cellStyle name="20% - Accent3 2 7 10" xfId="39600" xr:uid="{00000000-0005-0000-0000-00006C230000}"/>
    <cellStyle name="20% - Accent3 2 7 11" xfId="45077" xr:uid="{00000000-0005-0000-0000-00006D230000}"/>
    <cellStyle name="20% - Accent3 2 7 12" xfId="50555" xr:uid="{00000000-0005-0000-0000-00006E230000}"/>
    <cellStyle name="20% - Accent3 2 7 2" xfId="2260" xr:uid="{00000000-0005-0000-0000-00006F230000}"/>
    <cellStyle name="20% - Accent3 2 7 2 10" xfId="52436" xr:uid="{00000000-0005-0000-0000-000070230000}"/>
    <cellStyle name="20% - Accent3 2 7 2 2" xfId="7740" xr:uid="{00000000-0005-0000-0000-000071230000}"/>
    <cellStyle name="20% - Accent3 2 7 2 2 2" xfId="28675" xr:uid="{00000000-0005-0000-0000-000072230000}"/>
    <cellStyle name="20% - Accent3 2 7 2 3" xfId="13216" xr:uid="{00000000-0005-0000-0000-000073230000}"/>
    <cellStyle name="20% - Accent3 2 7 2 4" xfId="18692" xr:uid="{00000000-0005-0000-0000-000074230000}"/>
    <cellStyle name="20% - Accent3 2 7 2 5" xfId="24168" xr:uid="{00000000-0005-0000-0000-000075230000}"/>
    <cellStyle name="20% - Accent3 2 7 2 6" xfId="28674" xr:uid="{00000000-0005-0000-0000-000076230000}"/>
    <cellStyle name="20% - Accent3 2 7 2 7" xfId="35964" xr:uid="{00000000-0005-0000-0000-000077230000}"/>
    <cellStyle name="20% - Accent3 2 7 2 8" xfId="41441" xr:uid="{00000000-0005-0000-0000-000078230000}"/>
    <cellStyle name="20% - Accent3 2 7 2 9" xfId="46918" xr:uid="{00000000-0005-0000-0000-000079230000}"/>
    <cellStyle name="20% - Accent3 2 7 3" xfId="4032" xr:uid="{00000000-0005-0000-0000-00007A230000}"/>
    <cellStyle name="20% - Accent3 2 7 3 10" xfId="54208" xr:uid="{00000000-0005-0000-0000-00007B230000}"/>
    <cellStyle name="20% - Accent3 2 7 3 2" xfId="9512" xr:uid="{00000000-0005-0000-0000-00007C230000}"/>
    <cellStyle name="20% - Accent3 2 7 3 3" xfId="14988" xr:uid="{00000000-0005-0000-0000-00007D230000}"/>
    <cellStyle name="20% - Accent3 2 7 3 4" xfId="20464" xr:uid="{00000000-0005-0000-0000-00007E230000}"/>
    <cellStyle name="20% - Accent3 2 7 3 5" xfId="25940" xr:uid="{00000000-0005-0000-0000-00007F230000}"/>
    <cellStyle name="20% - Accent3 2 7 3 6" xfId="28676" xr:uid="{00000000-0005-0000-0000-000080230000}"/>
    <cellStyle name="20% - Accent3 2 7 3 7" xfId="37736" xr:uid="{00000000-0005-0000-0000-000081230000}"/>
    <cellStyle name="20% - Accent3 2 7 3 8" xfId="43213" xr:uid="{00000000-0005-0000-0000-000082230000}"/>
    <cellStyle name="20% - Accent3 2 7 3 9" xfId="48690" xr:uid="{00000000-0005-0000-0000-000083230000}"/>
    <cellStyle name="20% - Accent3 2 7 4" xfId="5896" xr:uid="{00000000-0005-0000-0000-000084230000}"/>
    <cellStyle name="20% - Accent3 2 7 5" xfId="11376" xr:uid="{00000000-0005-0000-0000-000085230000}"/>
    <cellStyle name="20% - Accent3 2 7 6" xfId="16852" xr:uid="{00000000-0005-0000-0000-000086230000}"/>
    <cellStyle name="20% - Accent3 2 7 7" xfId="22328" xr:uid="{00000000-0005-0000-0000-000087230000}"/>
    <cellStyle name="20% - Accent3 2 7 8" xfId="28673" xr:uid="{00000000-0005-0000-0000-000088230000}"/>
    <cellStyle name="20% - Accent3 2 7 9" xfId="34123" xr:uid="{00000000-0005-0000-0000-000089230000}"/>
    <cellStyle name="20% - Accent3 2 8" xfId="671" xr:uid="{00000000-0005-0000-0000-00008A230000}"/>
    <cellStyle name="20% - Accent3 2 8 10" xfId="39601" xr:uid="{00000000-0005-0000-0000-00008B230000}"/>
    <cellStyle name="20% - Accent3 2 8 11" xfId="45078" xr:uid="{00000000-0005-0000-0000-00008C230000}"/>
    <cellStyle name="20% - Accent3 2 8 12" xfId="50556" xr:uid="{00000000-0005-0000-0000-00008D230000}"/>
    <cellStyle name="20% - Accent3 2 8 2" xfId="2432" xr:uid="{00000000-0005-0000-0000-00008E230000}"/>
    <cellStyle name="20% - Accent3 2 8 2 10" xfId="52608" xr:uid="{00000000-0005-0000-0000-00008F230000}"/>
    <cellStyle name="20% - Accent3 2 8 2 2" xfId="7912" xr:uid="{00000000-0005-0000-0000-000090230000}"/>
    <cellStyle name="20% - Accent3 2 8 2 3" xfId="13388" xr:uid="{00000000-0005-0000-0000-000091230000}"/>
    <cellStyle name="20% - Accent3 2 8 2 4" xfId="18864" xr:uid="{00000000-0005-0000-0000-000092230000}"/>
    <cellStyle name="20% - Accent3 2 8 2 5" xfId="24340" xr:uid="{00000000-0005-0000-0000-000093230000}"/>
    <cellStyle name="20% - Accent3 2 8 2 6" xfId="28678" xr:uid="{00000000-0005-0000-0000-000094230000}"/>
    <cellStyle name="20% - Accent3 2 8 2 7" xfId="36136" xr:uid="{00000000-0005-0000-0000-000095230000}"/>
    <cellStyle name="20% - Accent3 2 8 2 8" xfId="41613" xr:uid="{00000000-0005-0000-0000-000096230000}"/>
    <cellStyle name="20% - Accent3 2 8 2 9" xfId="47090" xr:uid="{00000000-0005-0000-0000-000097230000}"/>
    <cellStyle name="20% - Accent3 2 8 3" xfId="4204" xr:uid="{00000000-0005-0000-0000-000098230000}"/>
    <cellStyle name="20% - Accent3 2 8 3 2" xfId="9684" xr:uid="{00000000-0005-0000-0000-000099230000}"/>
    <cellStyle name="20% - Accent3 2 8 3 3" xfId="15160" xr:uid="{00000000-0005-0000-0000-00009A230000}"/>
    <cellStyle name="20% - Accent3 2 8 3 4" xfId="20636" xr:uid="{00000000-0005-0000-0000-00009B230000}"/>
    <cellStyle name="20% - Accent3 2 8 3 5" xfId="26112" xr:uid="{00000000-0005-0000-0000-00009C230000}"/>
    <cellStyle name="20% - Accent3 2 8 3 6" xfId="37908" xr:uid="{00000000-0005-0000-0000-00009D230000}"/>
    <cellStyle name="20% - Accent3 2 8 3 7" xfId="43385" xr:uid="{00000000-0005-0000-0000-00009E230000}"/>
    <cellStyle name="20% - Accent3 2 8 3 8" xfId="48862" xr:uid="{00000000-0005-0000-0000-00009F230000}"/>
    <cellStyle name="20% - Accent3 2 8 3 9" xfId="54380" xr:uid="{00000000-0005-0000-0000-0000A0230000}"/>
    <cellStyle name="20% - Accent3 2 8 4" xfId="5897" xr:uid="{00000000-0005-0000-0000-0000A1230000}"/>
    <cellStyle name="20% - Accent3 2 8 5" xfId="11377" xr:uid="{00000000-0005-0000-0000-0000A2230000}"/>
    <cellStyle name="20% - Accent3 2 8 6" xfId="16853" xr:uid="{00000000-0005-0000-0000-0000A3230000}"/>
    <cellStyle name="20% - Accent3 2 8 7" xfId="22329" xr:uid="{00000000-0005-0000-0000-0000A4230000}"/>
    <cellStyle name="20% - Accent3 2 8 8" xfId="28677" xr:uid="{00000000-0005-0000-0000-0000A5230000}"/>
    <cellStyle name="20% - Accent3 2 8 9" xfId="34124" xr:uid="{00000000-0005-0000-0000-0000A6230000}"/>
    <cellStyle name="20% - Accent3 2 9" xfId="843" xr:uid="{00000000-0005-0000-0000-0000A7230000}"/>
    <cellStyle name="20% - Accent3 2 9 10" xfId="39602" xr:uid="{00000000-0005-0000-0000-0000A8230000}"/>
    <cellStyle name="20% - Accent3 2 9 11" xfId="45079" xr:uid="{00000000-0005-0000-0000-0000A9230000}"/>
    <cellStyle name="20% - Accent3 2 9 12" xfId="50557" xr:uid="{00000000-0005-0000-0000-0000AA230000}"/>
    <cellStyle name="20% - Accent3 2 9 2" xfId="2604" xr:uid="{00000000-0005-0000-0000-0000AB230000}"/>
    <cellStyle name="20% - Accent3 2 9 2 2" xfId="8084" xr:uid="{00000000-0005-0000-0000-0000AC230000}"/>
    <cellStyle name="20% - Accent3 2 9 2 3" xfId="13560" xr:uid="{00000000-0005-0000-0000-0000AD230000}"/>
    <cellStyle name="20% - Accent3 2 9 2 4" xfId="19036" xr:uid="{00000000-0005-0000-0000-0000AE230000}"/>
    <cellStyle name="20% - Accent3 2 9 2 5" xfId="24512" xr:uid="{00000000-0005-0000-0000-0000AF230000}"/>
    <cellStyle name="20% - Accent3 2 9 2 6" xfId="36308" xr:uid="{00000000-0005-0000-0000-0000B0230000}"/>
    <cellStyle name="20% - Accent3 2 9 2 7" xfId="41785" xr:uid="{00000000-0005-0000-0000-0000B1230000}"/>
    <cellStyle name="20% - Accent3 2 9 2 8" xfId="47262" xr:uid="{00000000-0005-0000-0000-0000B2230000}"/>
    <cellStyle name="20% - Accent3 2 9 2 9" xfId="52780" xr:uid="{00000000-0005-0000-0000-0000B3230000}"/>
    <cellStyle name="20% - Accent3 2 9 3" xfId="4376" xr:uid="{00000000-0005-0000-0000-0000B4230000}"/>
    <cellStyle name="20% - Accent3 2 9 3 2" xfId="9856" xr:uid="{00000000-0005-0000-0000-0000B5230000}"/>
    <cellStyle name="20% - Accent3 2 9 3 3" xfId="15332" xr:uid="{00000000-0005-0000-0000-0000B6230000}"/>
    <cellStyle name="20% - Accent3 2 9 3 4" xfId="20808" xr:uid="{00000000-0005-0000-0000-0000B7230000}"/>
    <cellStyle name="20% - Accent3 2 9 3 5" xfId="26284" xr:uid="{00000000-0005-0000-0000-0000B8230000}"/>
    <cellStyle name="20% - Accent3 2 9 3 6" xfId="38080" xr:uid="{00000000-0005-0000-0000-0000B9230000}"/>
    <cellStyle name="20% - Accent3 2 9 3 7" xfId="43557" xr:uid="{00000000-0005-0000-0000-0000BA230000}"/>
    <cellStyle name="20% - Accent3 2 9 3 8" xfId="49034" xr:uid="{00000000-0005-0000-0000-0000BB230000}"/>
    <cellStyle name="20% - Accent3 2 9 3 9" xfId="54552" xr:uid="{00000000-0005-0000-0000-0000BC230000}"/>
    <cellStyle name="20% - Accent3 2 9 4" xfId="5898" xr:uid="{00000000-0005-0000-0000-0000BD230000}"/>
    <cellStyle name="20% - Accent3 2 9 5" xfId="11378" xr:uid="{00000000-0005-0000-0000-0000BE230000}"/>
    <cellStyle name="20% - Accent3 2 9 6" xfId="16854" xr:uid="{00000000-0005-0000-0000-0000BF230000}"/>
    <cellStyle name="20% - Accent3 2 9 7" xfId="22330" xr:uid="{00000000-0005-0000-0000-0000C0230000}"/>
    <cellStyle name="20% - Accent3 2 9 8" xfId="28679" xr:uid="{00000000-0005-0000-0000-0000C1230000}"/>
    <cellStyle name="20% - Accent3 2 9 9" xfId="34125" xr:uid="{00000000-0005-0000-0000-0000C2230000}"/>
    <cellStyle name="20% - Accent3 20" xfId="28680" xr:uid="{00000000-0005-0000-0000-0000C3230000}"/>
    <cellStyle name="20% - Accent3 20 2" xfId="28681" xr:uid="{00000000-0005-0000-0000-0000C4230000}"/>
    <cellStyle name="20% - Accent3 20 2 2" xfId="28682" xr:uid="{00000000-0005-0000-0000-0000C5230000}"/>
    <cellStyle name="20% - Accent3 20 3" xfId="28683" xr:uid="{00000000-0005-0000-0000-0000C6230000}"/>
    <cellStyle name="20% - Accent3 21" xfId="28684" xr:uid="{00000000-0005-0000-0000-0000C7230000}"/>
    <cellStyle name="20% - Accent3 21 2" xfId="28685" xr:uid="{00000000-0005-0000-0000-0000C8230000}"/>
    <cellStyle name="20% - Accent3 22" xfId="28686" xr:uid="{00000000-0005-0000-0000-0000C9230000}"/>
    <cellStyle name="20% - Accent3 23" xfId="28687" xr:uid="{00000000-0005-0000-0000-0000CA230000}"/>
    <cellStyle name="20% - Accent3 23 2" xfId="28688" xr:uid="{00000000-0005-0000-0000-0000CB230000}"/>
    <cellStyle name="20% - Accent3 24" xfId="28689" xr:uid="{00000000-0005-0000-0000-0000CC230000}"/>
    <cellStyle name="20% - Accent3 24 2" xfId="28690" xr:uid="{00000000-0005-0000-0000-0000CD230000}"/>
    <cellStyle name="20% - Accent3 25" xfId="28691" xr:uid="{00000000-0005-0000-0000-0000CE230000}"/>
    <cellStyle name="20% - Accent3 26" xfId="27559" xr:uid="{00000000-0005-0000-0000-0000CF230000}"/>
    <cellStyle name="20% - Accent3 27" xfId="35604" xr:uid="{00000000-0005-0000-0000-0000D0230000}"/>
    <cellStyle name="20% - Accent3 28" xfId="41081" xr:uid="{00000000-0005-0000-0000-0000D1230000}"/>
    <cellStyle name="20% - Accent3 29" xfId="46558" xr:uid="{00000000-0005-0000-0000-0000D2230000}"/>
    <cellStyle name="20% - Accent3 3" xfId="188" xr:uid="{00000000-0005-0000-0000-0000D3230000}"/>
    <cellStyle name="20% - Accent3 3 10" xfId="1781" xr:uid="{00000000-0005-0000-0000-0000D4230000}"/>
    <cellStyle name="20% - Accent3 3 10 10" xfId="45081" xr:uid="{00000000-0005-0000-0000-0000D5230000}"/>
    <cellStyle name="20% - Accent3 3 10 11" xfId="50559" xr:uid="{00000000-0005-0000-0000-0000D6230000}"/>
    <cellStyle name="20% - Accent3 3 10 2" xfId="3542" xr:uid="{00000000-0005-0000-0000-0000D7230000}"/>
    <cellStyle name="20% - Accent3 3 10 2 2" xfId="9022" xr:uid="{00000000-0005-0000-0000-0000D8230000}"/>
    <cellStyle name="20% - Accent3 3 10 2 3" xfId="14498" xr:uid="{00000000-0005-0000-0000-0000D9230000}"/>
    <cellStyle name="20% - Accent3 3 10 2 4" xfId="19974" xr:uid="{00000000-0005-0000-0000-0000DA230000}"/>
    <cellStyle name="20% - Accent3 3 10 2 5" xfId="25450" xr:uid="{00000000-0005-0000-0000-0000DB230000}"/>
    <cellStyle name="20% - Accent3 3 10 2 6" xfId="37246" xr:uid="{00000000-0005-0000-0000-0000DC230000}"/>
    <cellStyle name="20% - Accent3 3 10 2 7" xfId="42723" xr:uid="{00000000-0005-0000-0000-0000DD230000}"/>
    <cellStyle name="20% - Accent3 3 10 2 8" xfId="48200" xr:uid="{00000000-0005-0000-0000-0000DE230000}"/>
    <cellStyle name="20% - Accent3 3 10 2 9" xfId="53718" xr:uid="{00000000-0005-0000-0000-0000DF230000}"/>
    <cellStyle name="20% - Accent3 3 10 3" xfId="5314" xr:uid="{00000000-0005-0000-0000-0000E0230000}"/>
    <cellStyle name="20% - Accent3 3 10 3 2" xfId="10794" xr:uid="{00000000-0005-0000-0000-0000E1230000}"/>
    <cellStyle name="20% - Accent3 3 10 3 3" xfId="16270" xr:uid="{00000000-0005-0000-0000-0000E2230000}"/>
    <cellStyle name="20% - Accent3 3 10 3 4" xfId="21746" xr:uid="{00000000-0005-0000-0000-0000E3230000}"/>
    <cellStyle name="20% - Accent3 3 10 3 5" xfId="27222" xr:uid="{00000000-0005-0000-0000-0000E4230000}"/>
    <cellStyle name="20% - Accent3 3 10 3 6" xfId="39018" xr:uid="{00000000-0005-0000-0000-0000E5230000}"/>
    <cellStyle name="20% - Accent3 3 10 3 7" xfId="44495" xr:uid="{00000000-0005-0000-0000-0000E6230000}"/>
    <cellStyle name="20% - Accent3 3 10 3 8" xfId="49972" xr:uid="{00000000-0005-0000-0000-0000E7230000}"/>
    <cellStyle name="20% - Accent3 3 10 3 9" xfId="55490" xr:uid="{00000000-0005-0000-0000-0000E8230000}"/>
    <cellStyle name="20% - Accent3 3 10 4" xfId="5900" xr:uid="{00000000-0005-0000-0000-0000E9230000}"/>
    <cellStyle name="20% - Accent3 3 10 5" xfId="11380" xr:uid="{00000000-0005-0000-0000-0000EA230000}"/>
    <cellStyle name="20% - Accent3 3 10 6" xfId="16856" xr:uid="{00000000-0005-0000-0000-0000EB230000}"/>
    <cellStyle name="20% - Accent3 3 10 7" xfId="22332" xr:uid="{00000000-0005-0000-0000-0000EC230000}"/>
    <cellStyle name="20% - Accent3 3 10 8" xfId="34127" xr:uid="{00000000-0005-0000-0000-0000ED230000}"/>
    <cellStyle name="20% - Accent3 3 10 9" xfId="39604" xr:uid="{00000000-0005-0000-0000-0000EE230000}"/>
    <cellStyle name="20% - Accent3 3 11" xfId="1935" xr:uid="{00000000-0005-0000-0000-0000EF230000}"/>
    <cellStyle name="20% - Accent3 3 11 10" xfId="52112" xr:uid="{00000000-0005-0000-0000-0000F0230000}"/>
    <cellStyle name="20% - Accent3 3 11 2" xfId="5467" xr:uid="{00000000-0005-0000-0000-0000F1230000}"/>
    <cellStyle name="20% - Accent3 3 11 2 2" xfId="10947" xr:uid="{00000000-0005-0000-0000-0000F2230000}"/>
    <cellStyle name="20% - Accent3 3 11 2 3" xfId="16423" xr:uid="{00000000-0005-0000-0000-0000F3230000}"/>
    <cellStyle name="20% - Accent3 3 11 2 4" xfId="21899" xr:uid="{00000000-0005-0000-0000-0000F4230000}"/>
    <cellStyle name="20% - Accent3 3 11 2 5" xfId="27375" xr:uid="{00000000-0005-0000-0000-0000F5230000}"/>
    <cellStyle name="20% - Accent3 3 11 2 6" xfId="39171" xr:uid="{00000000-0005-0000-0000-0000F6230000}"/>
    <cellStyle name="20% - Accent3 3 11 2 7" xfId="44648" xr:uid="{00000000-0005-0000-0000-0000F7230000}"/>
    <cellStyle name="20% - Accent3 3 11 2 8" xfId="50125" xr:uid="{00000000-0005-0000-0000-0000F8230000}"/>
    <cellStyle name="20% - Accent3 3 11 2 9" xfId="55643" xr:uid="{00000000-0005-0000-0000-0000F9230000}"/>
    <cellStyle name="20% - Accent3 3 11 3" xfId="7416" xr:uid="{00000000-0005-0000-0000-0000FA230000}"/>
    <cellStyle name="20% - Accent3 3 11 4" xfId="12892" xr:uid="{00000000-0005-0000-0000-0000FB230000}"/>
    <cellStyle name="20% - Accent3 3 11 5" xfId="18368" xr:uid="{00000000-0005-0000-0000-0000FC230000}"/>
    <cellStyle name="20% - Accent3 3 11 6" xfId="23844" xr:uid="{00000000-0005-0000-0000-0000FD230000}"/>
    <cellStyle name="20% - Accent3 3 11 7" xfId="35640" xr:uid="{00000000-0005-0000-0000-0000FE230000}"/>
    <cellStyle name="20% - Accent3 3 11 8" xfId="41117" xr:uid="{00000000-0005-0000-0000-0000FF230000}"/>
    <cellStyle name="20% - Accent3 3 11 9" xfId="46594" xr:uid="{00000000-0005-0000-0000-000000240000}"/>
    <cellStyle name="20% - Accent3 3 12" xfId="3758" xr:uid="{00000000-0005-0000-0000-000001240000}"/>
    <cellStyle name="20% - Accent3 3 12 2" xfId="9238" xr:uid="{00000000-0005-0000-0000-000002240000}"/>
    <cellStyle name="20% - Accent3 3 12 3" xfId="14714" xr:uid="{00000000-0005-0000-0000-000003240000}"/>
    <cellStyle name="20% - Accent3 3 12 4" xfId="20190" xr:uid="{00000000-0005-0000-0000-000004240000}"/>
    <cellStyle name="20% - Accent3 3 12 5" xfId="25666" xr:uid="{00000000-0005-0000-0000-000005240000}"/>
    <cellStyle name="20% - Accent3 3 12 6" xfId="37462" xr:uid="{00000000-0005-0000-0000-000006240000}"/>
    <cellStyle name="20% - Accent3 3 12 7" xfId="42939" xr:uid="{00000000-0005-0000-0000-000007240000}"/>
    <cellStyle name="20% - Accent3 3 12 8" xfId="48416" xr:uid="{00000000-0005-0000-0000-000008240000}"/>
    <cellStyle name="20% - Accent3 3 12 9" xfId="53934" xr:uid="{00000000-0005-0000-0000-000009240000}"/>
    <cellStyle name="20% - Accent3 3 13" xfId="5899" xr:uid="{00000000-0005-0000-0000-00000A240000}"/>
    <cellStyle name="20% - Accent3 3 14" xfId="11379" xr:uid="{00000000-0005-0000-0000-00000B240000}"/>
    <cellStyle name="20% - Accent3 3 15" xfId="16855" xr:uid="{00000000-0005-0000-0000-00000C240000}"/>
    <cellStyle name="20% - Accent3 3 16" xfId="22331" xr:uid="{00000000-0005-0000-0000-00000D240000}"/>
    <cellStyle name="20% - Accent3 3 17" xfId="28692" xr:uid="{00000000-0005-0000-0000-00000E240000}"/>
    <cellStyle name="20% - Accent3 3 18" xfId="34126" xr:uid="{00000000-0005-0000-0000-00000F240000}"/>
    <cellStyle name="20% - Accent3 3 19" xfId="39603" xr:uid="{00000000-0005-0000-0000-000010240000}"/>
    <cellStyle name="20% - Accent3 3 2" xfId="306" xr:uid="{00000000-0005-0000-0000-000011240000}"/>
    <cellStyle name="20% - Accent3 3 2 10" xfId="39605" xr:uid="{00000000-0005-0000-0000-000012240000}"/>
    <cellStyle name="20% - Accent3 3 2 11" xfId="45082" xr:uid="{00000000-0005-0000-0000-000013240000}"/>
    <cellStyle name="20% - Accent3 3 2 12" xfId="50560" xr:uid="{00000000-0005-0000-0000-000014240000}"/>
    <cellStyle name="20% - Accent3 3 2 2" xfId="2106" xr:uid="{00000000-0005-0000-0000-000015240000}"/>
    <cellStyle name="20% - Accent3 3 2 2 10" xfId="52282" xr:uid="{00000000-0005-0000-0000-000016240000}"/>
    <cellStyle name="20% - Accent3 3 2 2 2" xfId="7586" xr:uid="{00000000-0005-0000-0000-000017240000}"/>
    <cellStyle name="20% - Accent3 3 2 2 2 2" xfId="28695" xr:uid="{00000000-0005-0000-0000-000018240000}"/>
    <cellStyle name="20% - Accent3 3 2 2 3" xfId="13062" xr:uid="{00000000-0005-0000-0000-000019240000}"/>
    <cellStyle name="20% - Accent3 3 2 2 4" xfId="18538" xr:uid="{00000000-0005-0000-0000-00001A240000}"/>
    <cellStyle name="20% - Accent3 3 2 2 5" xfId="24014" xr:uid="{00000000-0005-0000-0000-00001B240000}"/>
    <cellStyle name="20% - Accent3 3 2 2 6" xfId="28694" xr:uid="{00000000-0005-0000-0000-00001C240000}"/>
    <cellStyle name="20% - Accent3 3 2 2 7" xfId="35810" xr:uid="{00000000-0005-0000-0000-00001D240000}"/>
    <cellStyle name="20% - Accent3 3 2 2 8" xfId="41287" xr:uid="{00000000-0005-0000-0000-00001E240000}"/>
    <cellStyle name="20% - Accent3 3 2 2 9" xfId="46764" xr:uid="{00000000-0005-0000-0000-00001F240000}"/>
    <cellStyle name="20% - Accent3 3 2 3" xfId="3868" xr:uid="{00000000-0005-0000-0000-000020240000}"/>
    <cellStyle name="20% - Accent3 3 2 3 10" xfId="54044" xr:uid="{00000000-0005-0000-0000-000021240000}"/>
    <cellStyle name="20% - Accent3 3 2 3 2" xfId="9348" xr:uid="{00000000-0005-0000-0000-000022240000}"/>
    <cellStyle name="20% - Accent3 3 2 3 3" xfId="14824" xr:uid="{00000000-0005-0000-0000-000023240000}"/>
    <cellStyle name="20% - Accent3 3 2 3 4" xfId="20300" xr:uid="{00000000-0005-0000-0000-000024240000}"/>
    <cellStyle name="20% - Accent3 3 2 3 5" xfId="25776" xr:uid="{00000000-0005-0000-0000-000025240000}"/>
    <cellStyle name="20% - Accent3 3 2 3 6" xfId="28696" xr:uid="{00000000-0005-0000-0000-000026240000}"/>
    <cellStyle name="20% - Accent3 3 2 3 7" xfId="37572" xr:uid="{00000000-0005-0000-0000-000027240000}"/>
    <cellStyle name="20% - Accent3 3 2 3 8" xfId="43049" xr:uid="{00000000-0005-0000-0000-000028240000}"/>
    <cellStyle name="20% - Accent3 3 2 3 9" xfId="48526" xr:uid="{00000000-0005-0000-0000-000029240000}"/>
    <cellStyle name="20% - Accent3 3 2 4" xfId="5901" xr:uid="{00000000-0005-0000-0000-00002A240000}"/>
    <cellStyle name="20% - Accent3 3 2 5" xfId="11381" xr:uid="{00000000-0005-0000-0000-00002B240000}"/>
    <cellStyle name="20% - Accent3 3 2 6" xfId="16857" xr:uid="{00000000-0005-0000-0000-00002C240000}"/>
    <cellStyle name="20% - Accent3 3 2 7" xfId="22333" xr:uid="{00000000-0005-0000-0000-00002D240000}"/>
    <cellStyle name="20% - Accent3 3 2 8" xfId="28693" xr:uid="{00000000-0005-0000-0000-00002E240000}"/>
    <cellStyle name="20% - Accent3 3 2 9" xfId="34128" xr:uid="{00000000-0005-0000-0000-00002F240000}"/>
    <cellStyle name="20% - Accent3 3 20" xfId="45080" xr:uid="{00000000-0005-0000-0000-000030240000}"/>
    <cellStyle name="20% - Accent3 3 21" xfId="50558" xr:uid="{00000000-0005-0000-0000-000031240000}"/>
    <cellStyle name="20% - Accent3 3 3" xfId="507" xr:uid="{00000000-0005-0000-0000-000032240000}"/>
    <cellStyle name="20% - Accent3 3 3 10" xfId="39606" xr:uid="{00000000-0005-0000-0000-000033240000}"/>
    <cellStyle name="20% - Accent3 3 3 11" xfId="45083" xr:uid="{00000000-0005-0000-0000-000034240000}"/>
    <cellStyle name="20% - Accent3 3 3 12" xfId="50561" xr:uid="{00000000-0005-0000-0000-000035240000}"/>
    <cellStyle name="20% - Accent3 3 3 2" xfId="2268" xr:uid="{00000000-0005-0000-0000-000036240000}"/>
    <cellStyle name="20% - Accent3 3 3 2 10" xfId="52444" xr:uid="{00000000-0005-0000-0000-000037240000}"/>
    <cellStyle name="20% - Accent3 3 3 2 2" xfId="7748" xr:uid="{00000000-0005-0000-0000-000038240000}"/>
    <cellStyle name="20% - Accent3 3 3 2 2 2" xfId="28699" xr:uid="{00000000-0005-0000-0000-000039240000}"/>
    <cellStyle name="20% - Accent3 3 3 2 3" xfId="13224" xr:uid="{00000000-0005-0000-0000-00003A240000}"/>
    <cellStyle name="20% - Accent3 3 3 2 4" xfId="18700" xr:uid="{00000000-0005-0000-0000-00003B240000}"/>
    <cellStyle name="20% - Accent3 3 3 2 5" xfId="24176" xr:uid="{00000000-0005-0000-0000-00003C240000}"/>
    <cellStyle name="20% - Accent3 3 3 2 6" xfId="28698" xr:uid="{00000000-0005-0000-0000-00003D240000}"/>
    <cellStyle name="20% - Accent3 3 3 2 7" xfId="35972" xr:uid="{00000000-0005-0000-0000-00003E240000}"/>
    <cellStyle name="20% - Accent3 3 3 2 8" xfId="41449" xr:uid="{00000000-0005-0000-0000-00003F240000}"/>
    <cellStyle name="20% - Accent3 3 3 2 9" xfId="46926" xr:uid="{00000000-0005-0000-0000-000040240000}"/>
    <cellStyle name="20% - Accent3 3 3 3" xfId="4040" xr:uid="{00000000-0005-0000-0000-000041240000}"/>
    <cellStyle name="20% - Accent3 3 3 3 10" xfId="54216" xr:uid="{00000000-0005-0000-0000-000042240000}"/>
    <cellStyle name="20% - Accent3 3 3 3 2" xfId="9520" xr:uid="{00000000-0005-0000-0000-000043240000}"/>
    <cellStyle name="20% - Accent3 3 3 3 3" xfId="14996" xr:uid="{00000000-0005-0000-0000-000044240000}"/>
    <cellStyle name="20% - Accent3 3 3 3 4" xfId="20472" xr:uid="{00000000-0005-0000-0000-000045240000}"/>
    <cellStyle name="20% - Accent3 3 3 3 5" xfId="25948" xr:uid="{00000000-0005-0000-0000-000046240000}"/>
    <cellStyle name="20% - Accent3 3 3 3 6" xfId="28700" xr:uid="{00000000-0005-0000-0000-000047240000}"/>
    <cellStyle name="20% - Accent3 3 3 3 7" xfId="37744" xr:uid="{00000000-0005-0000-0000-000048240000}"/>
    <cellStyle name="20% - Accent3 3 3 3 8" xfId="43221" xr:uid="{00000000-0005-0000-0000-000049240000}"/>
    <cellStyle name="20% - Accent3 3 3 3 9" xfId="48698" xr:uid="{00000000-0005-0000-0000-00004A240000}"/>
    <cellStyle name="20% - Accent3 3 3 4" xfId="5902" xr:uid="{00000000-0005-0000-0000-00004B240000}"/>
    <cellStyle name="20% - Accent3 3 3 5" xfId="11382" xr:uid="{00000000-0005-0000-0000-00004C240000}"/>
    <cellStyle name="20% - Accent3 3 3 6" xfId="16858" xr:uid="{00000000-0005-0000-0000-00004D240000}"/>
    <cellStyle name="20% - Accent3 3 3 7" xfId="22334" xr:uid="{00000000-0005-0000-0000-00004E240000}"/>
    <cellStyle name="20% - Accent3 3 3 8" xfId="28697" xr:uid="{00000000-0005-0000-0000-00004F240000}"/>
    <cellStyle name="20% - Accent3 3 3 9" xfId="34129" xr:uid="{00000000-0005-0000-0000-000050240000}"/>
    <cellStyle name="20% - Accent3 3 4" xfId="679" xr:uid="{00000000-0005-0000-0000-000051240000}"/>
    <cellStyle name="20% - Accent3 3 4 10" xfId="39607" xr:uid="{00000000-0005-0000-0000-000052240000}"/>
    <cellStyle name="20% - Accent3 3 4 11" xfId="45084" xr:uid="{00000000-0005-0000-0000-000053240000}"/>
    <cellStyle name="20% - Accent3 3 4 12" xfId="50562" xr:uid="{00000000-0005-0000-0000-000054240000}"/>
    <cellStyle name="20% - Accent3 3 4 2" xfId="2440" xr:uid="{00000000-0005-0000-0000-000055240000}"/>
    <cellStyle name="20% - Accent3 3 4 2 10" xfId="52616" xr:uid="{00000000-0005-0000-0000-000056240000}"/>
    <cellStyle name="20% - Accent3 3 4 2 2" xfId="7920" xr:uid="{00000000-0005-0000-0000-000057240000}"/>
    <cellStyle name="20% - Accent3 3 4 2 2 2" xfId="28703" xr:uid="{00000000-0005-0000-0000-000058240000}"/>
    <cellStyle name="20% - Accent3 3 4 2 3" xfId="13396" xr:uid="{00000000-0005-0000-0000-000059240000}"/>
    <cellStyle name="20% - Accent3 3 4 2 4" xfId="18872" xr:uid="{00000000-0005-0000-0000-00005A240000}"/>
    <cellStyle name="20% - Accent3 3 4 2 5" xfId="24348" xr:uid="{00000000-0005-0000-0000-00005B240000}"/>
    <cellStyle name="20% - Accent3 3 4 2 6" xfId="28702" xr:uid="{00000000-0005-0000-0000-00005C240000}"/>
    <cellStyle name="20% - Accent3 3 4 2 7" xfId="36144" xr:uid="{00000000-0005-0000-0000-00005D240000}"/>
    <cellStyle name="20% - Accent3 3 4 2 8" xfId="41621" xr:uid="{00000000-0005-0000-0000-00005E240000}"/>
    <cellStyle name="20% - Accent3 3 4 2 9" xfId="47098" xr:uid="{00000000-0005-0000-0000-00005F240000}"/>
    <cellStyle name="20% - Accent3 3 4 3" xfId="4212" xr:uid="{00000000-0005-0000-0000-000060240000}"/>
    <cellStyle name="20% - Accent3 3 4 3 10" xfId="54388" xr:uid="{00000000-0005-0000-0000-000061240000}"/>
    <cellStyle name="20% - Accent3 3 4 3 2" xfId="9692" xr:uid="{00000000-0005-0000-0000-000062240000}"/>
    <cellStyle name="20% - Accent3 3 4 3 3" xfId="15168" xr:uid="{00000000-0005-0000-0000-000063240000}"/>
    <cellStyle name="20% - Accent3 3 4 3 4" xfId="20644" xr:uid="{00000000-0005-0000-0000-000064240000}"/>
    <cellStyle name="20% - Accent3 3 4 3 5" xfId="26120" xr:uid="{00000000-0005-0000-0000-000065240000}"/>
    <cellStyle name="20% - Accent3 3 4 3 6" xfId="28704" xr:uid="{00000000-0005-0000-0000-000066240000}"/>
    <cellStyle name="20% - Accent3 3 4 3 7" xfId="37916" xr:uid="{00000000-0005-0000-0000-000067240000}"/>
    <cellStyle name="20% - Accent3 3 4 3 8" xfId="43393" xr:uid="{00000000-0005-0000-0000-000068240000}"/>
    <cellStyle name="20% - Accent3 3 4 3 9" xfId="48870" xr:uid="{00000000-0005-0000-0000-000069240000}"/>
    <cellStyle name="20% - Accent3 3 4 4" xfId="5903" xr:uid="{00000000-0005-0000-0000-00006A240000}"/>
    <cellStyle name="20% - Accent3 3 4 5" xfId="11383" xr:uid="{00000000-0005-0000-0000-00006B240000}"/>
    <cellStyle name="20% - Accent3 3 4 6" xfId="16859" xr:uid="{00000000-0005-0000-0000-00006C240000}"/>
    <cellStyle name="20% - Accent3 3 4 7" xfId="22335" xr:uid="{00000000-0005-0000-0000-00006D240000}"/>
    <cellStyle name="20% - Accent3 3 4 8" xfId="28701" xr:uid="{00000000-0005-0000-0000-00006E240000}"/>
    <cellStyle name="20% - Accent3 3 4 9" xfId="34130" xr:uid="{00000000-0005-0000-0000-00006F240000}"/>
    <cellStyle name="20% - Accent3 3 5" xfId="851" xr:uid="{00000000-0005-0000-0000-000070240000}"/>
    <cellStyle name="20% - Accent3 3 5 10" xfId="39608" xr:uid="{00000000-0005-0000-0000-000071240000}"/>
    <cellStyle name="20% - Accent3 3 5 11" xfId="45085" xr:uid="{00000000-0005-0000-0000-000072240000}"/>
    <cellStyle name="20% - Accent3 3 5 12" xfId="50563" xr:uid="{00000000-0005-0000-0000-000073240000}"/>
    <cellStyle name="20% - Accent3 3 5 2" xfId="2612" xr:uid="{00000000-0005-0000-0000-000074240000}"/>
    <cellStyle name="20% - Accent3 3 5 2 10" xfId="52788" xr:uid="{00000000-0005-0000-0000-000075240000}"/>
    <cellStyle name="20% - Accent3 3 5 2 2" xfId="8092" xr:uid="{00000000-0005-0000-0000-000076240000}"/>
    <cellStyle name="20% - Accent3 3 5 2 2 2" xfId="28707" xr:uid="{00000000-0005-0000-0000-000077240000}"/>
    <cellStyle name="20% - Accent3 3 5 2 3" xfId="13568" xr:uid="{00000000-0005-0000-0000-000078240000}"/>
    <cellStyle name="20% - Accent3 3 5 2 4" xfId="19044" xr:uid="{00000000-0005-0000-0000-000079240000}"/>
    <cellStyle name="20% - Accent3 3 5 2 5" xfId="24520" xr:uid="{00000000-0005-0000-0000-00007A240000}"/>
    <cellStyle name="20% - Accent3 3 5 2 6" xfId="28706" xr:uid="{00000000-0005-0000-0000-00007B240000}"/>
    <cellStyle name="20% - Accent3 3 5 2 7" xfId="36316" xr:uid="{00000000-0005-0000-0000-00007C240000}"/>
    <cellStyle name="20% - Accent3 3 5 2 8" xfId="41793" xr:uid="{00000000-0005-0000-0000-00007D240000}"/>
    <cellStyle name="20% - Accent3 3 5 2 9" xfId="47270" xr:uid="{00000000-0005-0000-0000-00007E240000}"/>
    <cellStyle name="20% - Accent3 3 5 3" xfId="4384" xr:uid="{00000000-0005-0000-0000-00007F240000}"/>
    <cellStyle name="20% - Accent3 3 5 3 10" xfId="54560" xr:uid="{00000000-0005-0000-0000-000080240000}"/>
    <cellStyle name="20% - Accent3 3 5 3 2" xfId="9864" xr:uid="{00000000-0005-0000-0000-000081240000}"/>
    <cellStyle name="20% - Accent3 3 5 3 3" xfId="15340" xr:uid="{00000000-0005-0000-0000-000082240000}"/>
    <cellStyle name="20% - Accent3 3 5 3 4" xfId="20816" xr:uid="{00000000-0005-0000-0000-000083240000}"/>
    <cellStyle name="20% - Accent3 3 5 3 5" xfId="26292" xr:uid="{00000000-0005-0000-0000-000084240000}"/>
    <cellStyle name="20% - Accent3 3 5 3 6" xfId="28708" xr:uid="{00000000-0005-0000-0000-000085240000}"/>
    <cellStyle name="20% - Accent3 3 5 3 7" xfId="38088" xr:uid="{00000000-0005-0000-0000-000086240000}"/>
    <cellStyle name="20% - Accent3 3 5 3 8" xfId="43565" xr:uid="{00000000-0005-0000-0000-000087240000}"/>
    <cellStyle name="20% - Accent3 3 5 3 9" xfId="49042" xr:uid="{00000000-0005-0000-0000-000088240000}"/>
    <cellStyle name="20% - Accent3 3 5 4" xfId="5904" xr:uid="{00000000-0005-0000-0000-000089240000}"/>
    <cellStyle name="20% - Accent3 3 5 5" xfId="11384" xr:uid="{00000000-0005-0000-0000-00008A240000}"/>
    <cellStyle name="20% - Accent3 3 5 6" xfId="16860" xr:uid="{00000000-0005-0000-0000-00008B240000}"/>
    <cellStyle name="20% - Accent3 3 5 7" xfId="22336" xr:uid="{00000000-0005-0000-0000-00008C240000}"/>
    <cellStyle name="20% - Accent3 3 5 8" xfId="28705" xr:uid="{00000000-0005-0000-0000-00008D240000}"/>
    <cellStyle name="20% - Accent3 3 5 9" xfId="34131" xr:uid="{00000000-0005-0000-0000-00008E240000}"/>
    <cellStyle name="20% - Accent3 3 6" xfId="1057" xr:uid="{00000000-0005-0000-0000-00008F240000}"/>
    <cellStyle name="20% - Accent3 3 6 10" xfId="39609" xr:uid="{00000000-0005-0000-0000-000090240000}"/>
    <cellStyle name="20% - Accent3 3 6 11" xfId="45086" xr:uid="{00000000-0005-0000-0000-000091240000}"/>
    <cellStyle name="20% - Accent3 3 6 12" xfId="50564" xr:uid="{00000000-0005-0000-0000-000092240000}"/>
    <cellStyle name="20% - Accent3 3 6 2" xfId="2818" xr:uid="{00000000-0005-0000-0000-000093240000}"/>
    <cellStyle name="20% - Accent3 3 6 2 10" xfId="52994" xr:uid="{00000000-0005-0000-0000-000094240000}"/>
    <cellStyle name="20% - Accent3 3 6 2 2" xfId="8298" xr:uid="{00000000-0005-0000-0000-000095240000}"/>
    <cellStyle name="20% - Accent3 3 6 2 2 2" xfId="28711" xr:uid="{00000000-0005-0000-0000-000096240000}"/>
    <cellStyle name="20% - Accent3 3 6 2 3" xfId="13774" xr:uid="{00000000-0005-0000-0000-000097240000}"/>
    <cellStyle name="20% - Accent3 3 6 2 4" xfId="19250" xr:uid="{00000000-0005-0000-0000-000098240000}"/>
    <cellStyle name="20% - Accent3 3 6 2 5" xfId="24726" xr:uid="{00000000-0005-0000-0000-000099240000}"/>
    <cellStyle name="20% - Accent3 3 6 2 6" xfId="28710" xr:uid="{00000000-0005-0000-0000-00009A240000}"/>
    <cellStyle name="20% - Accent3 3 6 2 7" xfId="36522" xr:uid="{00000000-0005-0000-0000-00009B240000}"/>
    <cellStyle name="20% - Accent3 3 6 2 8" xfId="41999" xr:uid="{00000000-0005-0000-0000-00009C240000}"/>
    <cellStyle name="20% - Accent3 3 6 2 9" xfId="47476" xr:uid="{00000000-0005-0000-0000-00009D240000}"/>
    <cellStyle name="20% - Accent3 3 6 3" xfId="4590" xr:uid="{00000000-0005-0000-0000-00009E240000}"/>
    <cellStyle name="20% - Accent3 3 6 3 10" xfId="54766" xr:uid="{00000000-0005-0000-0000-00009F240000}"/>
    <cellStyle name="20% - Accent3 3 6 3 2" xfId="10070" xr:uid="{00000000-0005-0000-0000-0000A0240000}"/>
    <cellStyle name="20% - Accent3 3 6 3 3" xfId="15546" xr:uid="{00000000-0005-0000-0000-0000A1240000}"/>
    <cellStyle name="20% - Accent3 3 6 3 4" xfId="21022" xr:uid="{00000000-0005-0000-0000-0000A2240000}"/>
    <cellStyle name="20% - Accent3 3 6 3 5" xfId="26498" xr:uid="{00000000-0005-0000-0000-0000A3240000}"/>
    <cellStyle name="20% - Accent3 3 6 3 6" xfId="28712" xr:uid="{00000000-0005-0000-0000-0000A4240000}"/>
    <cellStyle name="20% - Accent3 3 6 3 7" xfId="38294" xr:uid="{00000000-0005-0000-0000-0000A5240000}"/>
    <cellStyle name="20% - Accent3 3 6 3 8" xfId="43771" xr:uid="{00000000-0005-0000-0000-0000A6240000}"/>
    <cellStyle name="20% - Accent3 3 6 3 9" xfId="49248" xr:uid="{00000000-0005-0000-0000-0000A7240000}"/>
    <cellStyle name="20% - Accent3 3 6 4" xfId="5905" xr:uid="{00000000-0005-0000-0000-0000A8240000}"/>
    <cellStyle name="20% - Accent3 3 6 5" xfId="11385" xr:uid="{00000000-0005-0000-0000-0000A9240000}"/>
    <cellStyle name="20% - Accent3 3 6 6" xfId="16861" xr:uid="{00000000-0005-0000-0000-0000AA240000}"/>
    <cellStyle name="20% - Accent3 3 6 7" xfId="22337" xr:uid="{00000000-0005-0000-0000-0000AB240000}"/>
    <cellStyle name="20% - Accent3 3 6 8" xfId="28709" xr:uid="{00000000-0005-0000-0000-0000AC240000}"/>
    <cellStyle name="20% - Accent3 3 6 9" xfId="34132" xr:uid="{00000000-0005-0000-0000-0000AD240000}"/>
    <cellStyle name="20% - Accent3 3 7" xfId="1229" xr:uid="{00000000-0005-0000-0000-0000AE240000}"/>
    <cellStyle name="20% - Accent3 3 7 10" xfId="39610" xr:uid="{00000000-0005-0000-0000-0000AF240000}"/>
    <cellStyle name="20% - Accent3 3 7 11" xfId="45087" xr:uid="{00000000-0005-0000-0000-0000B0240000}"/>
    <cellStyle name="20% - Accent3 3 7 12" xfId="50565" xr:uid="{00000000-0005-0000-0000-0000B1240000}"/>
    <cellStyle name="20% - Accent3 3 7 2" xfId="2990" xr:uid="{00000000-0005-0000-0000-0000B2240000}"/>
    <cellStyle name="20% - Accent3 3 7 2 10" xfId="53166" xr:uid="{00000000-0005-0000-0000-0000B3240000}"/>
    <cellStyle name="20% - Accent3 3 7 2 2" xfId="8470" xr:uid="{00000000-0005-0000-0000-0000B4240000}"/>
    <cellStyle name="20% - Accent3 3 7 2 2 2" xfId="28715" xr:uid="{00000000-0005-0000-0000-0000B5240000}"/>
    <cellStyle name="20% - Accent3 3 7 2 3" xfId="13946" xr:uid="{00000000-0005-0000-0000-0000B6240000}"/>
    <cellStyle name="20% - Accent3 3 7 2 4" xfId="19422" xr:uid="{00000000-0005-0000-0000-0000B7240000}"/>
    <cellStyle name="20% - Accent3 3 7 2 5" xfId="24898" xr:uid="{00000000-0005-0000-0000-0000B8240000}"/>
    <cellStyle name="20% - Accent3 3 7 2 6" xfId="28714" xr:uid="{00000000-0005-0000-0000-0000B9240000}"/>
    <cellStyle name="20% - Accent3 3 7 2 7" xfId="36694" xr:uid="{00000000-0005-0000-0000-0000BA240000}"/>
    <cellStyle name="20% - Accent3 3 7 2 8" xfId="42171" xr:uid="{00000000-0005-0000-0000-0000BB240000}"/>
    <cellStyle name="20% - Accent3 3 7 2 9" xfId="47648" xr:uid="{00000000-0005-0000-0000-0000BC240000}"/>
    <cellStyle name="20% - Accent3 3 7 3" xfId="4762" xr:uid="{00000000-0005-0000-0000-0000BD240000}"/>
    <cellStyle name="20% - Accent3 3 7 3 10" xfId="54938" xr:uid="{00000000-0005-0000-0000-0000BE240000}"/>
    <cellStyle name="20% - Accent3 3 7 3 2" xfId="10242" xr:uid="{00000000-0005-0000-0000-0000BF240000}"/>
    <cellStyle name="20% - Accent3 3 7 3 3" xfId="15718" xr:uid="{00000000-0005-0000-0000-0000C0240000}"/>
    <cellStyle name="20% - Accent3 3 7 3 4" xfId="21194" xr:uid="{00000000-0005-0000-0000-0000C1240000}"/>
    <cellStyle name="20% - Accent3 3 7 3 5" xfId="26670" xr:uid="{00000000-0005-0000-0000-0000C2240000}"/>
    <cellStyle name="20% - Accent3 3 7 3 6" xfId="28716" xr:uid="{00000000-0005-0000-0000-0000C3240000}"/>
    <cellStyle name="20% - Accent3 3 7 3 7" xfId="38466" xr:uid="{00000000-0005-0000-0000-0000C4240000}"/>
    <cellStyle name="20% - Accent3 3 7 3 8" xfId="43943" xr:uid="{00000000-0005-0000-0000-0000C5240000}"/>
    <cellStyle name="20% - Accent3 3 7 3 9" xfId="49420" xr:uid="{00000000-0005-0000-0000-0000C6240000}"/>
    <cellStyle name="20% - Accent3 3 7 4" xfId="5906" xr:uid="{00000000-0005-0000-0000-0000C7240000}"/>
    <cellStyle name="20% - Accent3 3 7 5" xfId="11386" xr:uid="{00000000-0005-0000-0000-0000C8240000}"/>
    <cellStyle name="20% - Accent3 3 7 6" xfId="16862" xr:uid="{00000000-0005-0000-0000-0000C9240000}"/>
    <cellStyle name="20% - Accent3 3 7 7" xfId="22338" xr:uid="{00000000-0005-0000-0000-0000CA240000}"/>
    <cellStyle name="20% - Accent3 3 7 8" xfId="28713" xr:uid="{00000000-0005-0000-0000-0000CB240000}"/>
    <cellStyle name="20% - Accent3 3 7 9" xfId="34133" xr:uid="{00000000-0005-0000-0000-0000CC240000}"/>
    <cellStyle name="20% - Accent3 3 8" xfId="1401" xr:uid="{00000000-0005-0000-0000-0000CD240000}"/>
    <cellStyle name="20% - Accent3 3 8 10" xfId="39611" xr:uid="{00000000-0005-0000-0000-0000CE240000}"/>
    <cellStyle name="20% - Accent3 3 8 11" xfId="45088" xr:uid="{00000000-0005-0000-0000-0000CF240000}"/>
    <cellStyle name="20% - Accent3 3 8 12" xfId="50566" xr:uid="{00000000-0005-0000-0000-0000D0240000}"/>
    <cellStyle name="20% - Accent3 3 8 2" xfId="3162" xr:uid="{00000000-0005-0000-0000-0000D1240000}"/>
    <cellStyle name="20% - Accent3 3 8 2 10" xfId="53338" xr:uid="{00000000-0005-0000-0000-0000D2240000}"/>
    <cellStyle name="20% - Accent3 3 8 2 2" xfId="8642" xr:uid="{00000000-0005-0000-0000-0000D3240000}"/>
    <cellStyle name="20% - Accent3 3 8 2 3" xfId="14118" xr:uid="{00000000-0005-0000-0000-0000D4240000}"/>
    <cellStyle name="20% - Accent3 3 8 2 4" xfId="19594" xr:uid="{00000000-0005-0000-0000-0000D5240000}"/>
    <cellStyle name="20% - Accent3 3 8 2 5" xfId="25070" xr:uid="{00000000-0005-0000-0000-0000D6240000}"/>
    <cellStyle name="20% - Accent3 3 8 2 6" xfId="28718" xr:uid="{00000000-0005-0000-0000-0000D7240000}"/>
    <cellStyle name="20% - Accent3 3 8 2 7" xfId="36866" xr:uid="{00000000-0005-0000-0000-0000D8240000}"/>
    <cellStyle name="20% - Accent3 3 8 2 8" xfId="42343" xr:uid="{00000000-0005-0000-0000-0000D9240000}"/>
    <cellStyle name="20% - Accent3 3 8 2 9" xfId="47820" xr:uid="{00000000-0005-0000-0000-0000DA240000}"/>
    <cellStyle name="20% - Accent3 3 8 3" xfId="4934" xr:uid="{00000000-0005-0000-0000-0000DB240000}"/>
    <cellStyle name="20% - Accent3 3 8 3 2" xfId="10414" xr:uid="{00000000-0005-0000-0000-0000DC240000}"/>
    <cellStyle name="20% - Accent3 3 8 3 3" xfId="15890" xr:uid="{00000000-0005-0000-0000-0000DD240000}"/>
    <cellStyle name="20% - Accent3 3 8 3 4" xfId="21366" xr:uid="{00000000-0005-0000-0000-0000DE240000}"/>
    <cellStyle name="20% - Accent3 3 8 3 5" xfId="26842" xr:uid="{00000000-0005-0000-0000-0000DF240000}"/>
    <cellStyle name="20% - Accent3 3 8 3 6" xfId="38638" xr:uid="{00000000-0005-0000-0000-0000E0240000}"/>
    <cellStyle name="20% - Accent3 3 8 3 7" xfId="44115" xr:uid="{00000000-0005-0000-0000-0000E1240000}"/>
    <cellStyle name="20% - Accent3 3 8 3 8" xfId="49592" xr:uid="{00000000-0005-0000-0000-0000E2240000}"/>
    <cellStyle name="20% - Accent3 3 8 3 9" xfId="55110" xr:uid="{00000000-0005-0000-0000-0000E3240000}"/>
    <cellStyle name="20% - Accent3 3 8 4" xfId="5907" xr:uid="{00000000-0005-0000-0000-0000E4240000}"/>
    <cellStyle name="20% - Accent3 3 8 5" xfId="11387" xr:uid="{00000000-0005-0000-0000-0000E5240000}"/>
    <cellStyle name="20% - Accent3 3 8 6" xfId="16863" xr:uid="{00000000-0005-0000-0000-0000E6240000}"/>
    <cellStyle name="20% - Accent3 3 8 7" xfId="22339" xr:uid="{00000000-0005-0000-0000-0000E7240000}"/>
    <cellStyle name="20% - Accent3 3 8 8" xfId="28717" xr:uid="{00000000-0005-0000-0000-0000E8240000}"/>
    <cellStyle name="20% - Accent3 3 8 9" xfId="34134" xr:uid="{00000000-0005-0000-0000-0000E9240000}"/>
    <cellStyle name="20% - Accent3 3 9" xfId="1573" xr:uid="{00000000-0005-0000-0000-0000EA240000}"/>
    <cellStyle name="20% - Accent3 3 9 10" xfId="39612" xr:uid="{00000000-0005-0000-0000-0000EB240000}"/>
    <cellStyle name="20% - Accent3 3 9 11" xfId="45089" xr:uid="{00000000-0005-0000-0000-0000EC240000}"/>
    <cellStyle name="20% - Accent3 3 9 12" xfId="50567" xr:uid="{00000000-0005-0000-0000-0000ED240000}"/>
    <cellStyle name="20% - Accent3 3 9 2" xfId="3334" xr:uid="{00000000-0005-0000-0000-0000EE240000}"/>
    <cellStyle name="20% - Accent3 3 9 2 2" xfId="8814" xr:uid="{00000000-0005-0000-0000-0000EF240000}"/>
    <cellStyle name="20% - Accent3 3 9 2 3" xfId="14290" xr:uid="{00000000-0005-0000-0000-0000F0240000}"/>
    <cellStyle name="20% - Accent3 3 9 2 4" xfId="19766" xr:uid="{00000000-0005-0000-0000-0000F1240000}"/>
    <cellStyle name="20% - Accent3 3 9 2 5" xfId="25242" xr:uid="{00000000-0005-0000-0000-0000F2240000}"/>
    <cellStyle name="20% - Accent3 3 9 2 6" xfId="37038" xr:uid="{00000000-0005-0000-0000-0000F3240000}"/>
    <cellStyle name="20% - Accent3 3 9 2 7" xfId="42515" xr:uid="{00000000-0005-0000-0000-0000F4240000}"/>
    <cellStyle name="20% - Accent3 3 9 2 8" xfId="47992" xr:uid="{00000000-0005-0000-0000-0000F5240000}"/>
    <cellStyle name="20% - Accent3 3 9 2 9" xfId="53510" xr:uid="{00000000-0005-0000-0000-0000F6240000}"/>
    <cellStyle name="20% - Accent3 3 9 3" xfId="5106" xr:uid="{00000000-0005-0000-0000-0000F7240000}"/>
    <cellStyle name="20% - Accent3 3 9 3 2" xfId="10586" xr:uid="{00000000-0005-0000-0000-0000F8240000}"/>
    <cellStyle name="20% - Accent3 3 9 3 3" xfId="16062" xr:uid="{00000000-0005-0000-0000-0000F9240000}"/>
    <cellStyle name="20% - Accent3 3 9 3 4" xfId="21538" xr:uid="{00000000-0005-0000-0000-0000FA240000}"/>
    <cellStyle name="20% - Accent3 3 9 3 5" xfId="27014" xr:uid="{00000000-0005-0000-0000-0000FB240000}"/>
    <cellStyle name="20% - Accent3 3 9 3 6" xfId="38810" xr:uid="{00000000-0005-0000-0000-0000FC240000}"/>
    <cellStyle name="20% - Accent3 3 9 3 7" xfId="44287" xr:uid="{00000000-0005-0000-0000-0000FD240000}"/>
    <cellStyle name="20% - Accent3 3 9 3 8" xfId="49764" xr:uid="{00000000-0005-0000-0000-0000FE240000}"/>
    <cellStyle name="20% - Accent3 3 9 3 9" xfId="55282" xr:uid="{00000000-0005-0000-0000-0000FF240000}"/>
    <cellStyle name="20% - Accent3 3 9 4" xfId="5908" xr:uid="{00000000-0005-0000-0000-000000250000}"/>
    <cellStyle name="20% - Accent3 3 9 5" xfId="11388" xr:uid="{00000000-0005-0000-0000-000001250000}"/>
    <cellStyle name="20% - Accent3 3 9 6" xfId="16864" xr:uid="{00000000-0005-0000-0000-000002250000}"/>
    <cellStyle name="20% - Accent3 3 9 7" xfId="22340" xr:uid="{00000000-0005-0000-0000-000003250000}"/>
    <cellStyle name="20% - Accent3 3 9 8" xfId="28719" xr:uid="{00000000-0005-0000-0000-000004250000}"/>
    <cellStyle name="20% - Accent3 3 9 9" xfId="34135" xr:uid="{00000000-0005-0000-0000-000005250000}"/>
    <cellStyle name="20% - Accent3 4" xfId="307" xr:uid="{00000000-0005-0000-0000-000006250000}"/>
    <cellStyle name="20% - Accent3 4 10" xfId="1936" xr:uid="{00000000-0005-0000-0000-000007250000}"/>
    <cellStyle name="20% - Accent3 4 10 10" xfId="52113" xr:uid="{00000000-0005-0000-0000-000008250000}"/>
    <cellStyle name="20% - Accent3 4 10 2" xfId="5468" xr:uid="{00000000-0005-0000-0000-000009250000}"/>
    <cellStyle name="20% - Accent3 4 10 2 2" xfId="10948" xr:uid="{00000000-0005-0000-0000-00000A250000}"/>
    <cellStyle name="20% - Accent3 4 10 2 3" xfId="16424" xr:uid="{00000000-0005-0000-0000-00000B250000}"/>
    <cellStyle name="20% - Accent3 4 10 2 4" xfId="21900" xr:uid="{00000000-0005-0000-0000-00000C250000}"/>
    <cellStyle name="20% - Accent3 4 10 2 5" xfId="27376" xr:uid="{00000000-0005-0000-0000-00000D250000}"/>
    <cellStyle name="20% - Accent3 4 10 2 6" xfId="39172" xr:uid="{00000000-0005-0000-0000-00000E250000}"/>
    <cellStyle name="20% - Accent3 4 10 2 7" xfId="44649" xr:uid="{00000000-0005-0000-0000-00000F250000}"/>
    <cellStyle name="20% - Accent3 4 10 2 8" xfId="50126" xr:uid="{00000000-0005-0000-0000-000010250000}"/>
    <cellStyle name="20% - Accent3 4 10 2 9" xfId="55644" xr:uid="{00000000-0005-0000-0000-000011250000}"/>
    <cellStyle name="20% - Accent3 4 10 3" xfId="7417" xr:uid="{00000000-0005-0000-0000-000012250000}"/>
    <cellStyle name="20% - Accent3 4 10 4" xfId="12893" xr:uid="{00000000-0005-0000-0000-000013250000}"/>
    <cellStyle name="20% - Accent3 4 10 5" xfId="18369" xr:uid="{00000000-0005-0000-0000-000014250000}"/>
    <cellStyle name="20% - Accent3 4 10 6" xfId="23845" xr:uid="{00000000-0005-0000-0000-000015250000}"/>
    <cellStyle name="20% - Accent3 4 10 7" xfId="35641" xr:uid="{00000000-0005-0000-0000-000016250000}"/>
    <cellStyle name="20% - Accent3 4 10 8" xfId="41118" xr:uid="{00000000-0005-0000-0000-000017250000}"/>
    <cellStyle name="20% - Accent3 4 10 9" xfId="46595" xr:uid="{00000000-0005-0000-0000-000018250000}"/>
    <cellStyle name="20% - Accent3 4 11" xfId="3869" xr:uid="{00000000-0005-0000-0000-000019250000}"/>
    <cellStyle name="20% - Accent3 4 11 2" xfId="9349" xr:uid="{00000000-0005-0000-0000-00001A250000}"/>
    <cellStyle name="20% - Accent3 4 11 3" xfId="14825" xr:uid="{00000000-0005-0000-0000-00001B250000}"/>
    <cellStyle name="20% - Accent3 4 11 4" xfId="20301" xr:uid="{00000000-0005-0000-0000-00001C250000}"/>
    <cellStyle name="20% - Accent3 4 11 5" xfId="25777" xr:uid="{00000000-0005-0000-0000-00001D250000}"/>
    <cellStyle name="20% - Accent3 4 11 6" xfId="37573" xr:uid="{00000000-0005-0000-0000-00001E250000}"/>
    <cellStyle name="20% - Accent3 4 11 7" xfId="43050" xr:uid="{00000000-0005-0000-0000-00001F250000}"/>
    <cellStyle name="20% - Accent3 4 11 8" xfId="48527" xr:uid="{00000000-0005-0000-0000-000020250000}"/>
    <cellStyle name="20% - Accent3 4 11 9" xfId="54045" xr:uid="{00000000-0005-0000-0000-000021250000}"/>
    <cellStyle name="20% - Accent3 4 12" xfId="5909" xr:uid="{00000000-0005-0000-0000-000022250000}"/>
    <cellStyle name="20% - Accent3 4 13" xfId="11389" xr:uid="{00000000-0005-0000-0000-000023250000}"/>
    <cellStyle name="20% - Accent3 4 14" xfId="16865" xr:uid="{00000000-0005-0000-0000-000024250000}"/>
    <cellStyle name="20% - Accent3 4 15" xfId="22341" xr:uid="{00000000-0005-0000-0000-000025250000}"/>
    <cellStyle name="20% - Accent3 4 16" xfId="28720" xr:uid="{00000000-0005-0000-0000-000026250000}"/>
    <cellStyle name="20% - Accent3 4 17" xfId="34136" xr:uid="{00000000-0005-0000-0000-000027250000}"/>
    <cellStyle name="20% - Accent3 4 18" xfId="39613" xr:uid="{00000000-0005-0000-0000-000028250000}"/>
    <cellStyle name="20% - Accent3 4 19" xfId="45090" xr:uid="{00000000-0005-0000-0000-000029250000}"/>
    <cellStyle name="20% - Accent3 4 2" xfId="508" xr:uid="{00000000-0005-0000-0000-00002A250000}"/>
    <cellStyle name="20% - Accent3 4 2 10" xfId="39614" xr:uid="{00000000-0005-0000-0000-00002B250000}"/>
    <cellStyle name="20% - Accent3 4 2 11" xfId="45091" xr:uid="{00000000-0005-0000-0000-00002C250000}"/>
    <cellStyle name="20% - Accent3 4 2 12" xfId="50569" xr:uid="{00000000-0005-0000-0000-00002D250000}"/>
    <cellStyle name="20% - Accent3 4 2 2" xfId="2269" xr:uid="{00000000-0005-0000-0000-00002E250000}"/>
    <cellStyle name="20% - Accent3 4 2 2 10" xfId="52445" xr:uid="{00000000-0005-0000-0000-00002F250000}"/>
    <cellStyle name="20% - Accent3 4 2 2 2" xfId="7749" xr:uid="{00000000-0005-0000-0000-000030250000}"/>
    <cellStyle name="20% - Accent3 4 2 2 2 2" xfId="28723" xr:uid="{00000000-0005-0000-0000-000031250000}"/>
    <cellStyle name="20% - Accent3 4 2 2 3" xfId="13225" xr:uid="{00000000-0005-0000-0000-000032250000}"/>
    <cellStyle name="20% - Accent3 4 2 2 4" xfId="18701" xr:uid="{00000000-0005-0000-0000-000033250000}"/>
    <cellStyle name="20% - Accent3 4 2 2 5" xfId="24177" xr:uid="{00000000-0005-0000-0000-000034250000}"/>
    <cellStyle name="20% - Accent3 4 2 2 6" xfId="28722" xr:uid="{00000000-0005-0000-0000-000035250000}"/>
    <cellStyle name="20% - Accent3 4 2 2 7" xfId="35973" xr:uid="{00000000-0005-0000-0000-000036250000}"/>
    <cellStyle name="20% - Accent3 4 2 2 8" xfId="41450" xr:uid="{00000000-0005-0000-0000-000037250000}"/>
    <cellStyle name="20% - Accent3 4 2 2 9" xfId="46927" xr:uid="{00000000-0005-0000-0000-000038250000}"/>
    <cellStyle name="20% - Accent3 4 2 3" xfId="4041" xr:uid="{00000000-0005-0000-0000-000039250000}"/>
    <cellStyle name="20% - Accent3 4 2 3 10" xfId="54217" xr:uid="{00000000-0005-0000-0000-00003A250000}"/>
    <cellStyle name="20% - Accent3 4 2 3 2" xfId="9521" xr:uid="{00000000-0005-0000-0000-00003B250000}"/>
    <cellStyle name="20% - Accent3 4 2 3 3" xfId="14997" xr:uid="{00000000-0005-0000-0000-00003C250000}"/>
    <cellStyle name="20% - Accent3 4 2 3 4" xfId="20473" xr:uid="{00000000-0005-0000-0000-00003D250000}"/>
    <cellStyle name="20% - Accent3 4 2 3 5" xfId="25949" xr:uid="{00000000-0005-0000-0000-00003E250000}"/>
    <cellStyle name="20% - Accent3 4 2 3 6" xfId="28724" xr:uid="{00000000-0005-0000-0000-00003F250000}"/>
    <cellStyle name="20% - Accent3 4 2 3 7" xfId="37745" xr:uid="{00000000-0005-0000-0000-000040250000}"/>
    <cellStyle name="20% - Accent3 4 2 3 8" xfId="43222" xr:uid="{00000000-0005-0000-0000-000041250000}"/>
    <cellStyle name="20% - Accent3 4 2 3 9" xfId="48699" xr:uid="{00000000-0005-0000-0000-000042250000}"/>
    <cellStyle name="20% - Accent3 4 2 4" xfId="5910" xr:uid="{00000000-0005-0000-0000-000043250000}"/>
    <cellStyle name="20% - Accent3 4 2 5" xfId="11390" xr:uid="{00000000-0005-0000-0000-000044250000}"/>
    <cellStyle name="20% - Accent3 4 2 6" xfId="16866" xr:uid="{00000000-0005-0000-0000-000045250000}"/>
    <cellStyle name="20% - Accent3 4 2 7" xfId="22342" xr:uid="{00000000-0005-0000-0000-000046250000}"/>
    <cellStyle name="20% - Accent3 4 2 8" xfId="28721" xr:uid="{00000000-0005-0000-0000-000047250000}"/>
    <cellStyle name="20% - Accent3 4 2 9" xfId="34137" xr:uid="{00000000-0005-0000-0000-000048250000}"/>
    <cellStyle name="20% - Accent3 4 20" xfId="50568" xr:uid="{00000000-0005-0000-0000-000049250000}"/>
    <cellStyle name="20% - Accent3 4 3" xfId="680" xr:uid="{00000000-0005-0000-0000-00004A250000}"/>
    <cellStyle name="20% - Accent3 4 3 10" xfId="39615" xr:uid="{00000000-0005-0000-0000-00004B250000}"/>
    <cellStyle name="20% - Accent3 4 3 11" xfId="45092" xr:uid="{00000000-0005-0000-0000-00004C250000}"/>
    <cellStyle name="20% - Accent3 4 3 12" xfId="50570" xr:uid="{00000000-0005-0000-0000-00004D250000}"/>
    <cellStyle name="20% - Accent3 4 3 2" xfId="2441" xr:uid="{00000000-0005-0000-0000-00004E250000}"/>
    <cellStyle name="20% - Accent3 4 3 2 10" xfId="52617" xr:uid="{00000000-0005-0000-0000-00004F250000}"/>
    <cellStyle name="20% - Accent3 4 3 2 2" xfId="7921" xr:uid="{00000000-0005-0000-0000-000050250000}"/>
    <cellStyle name="20% - Accent3 4 3 2 2 2" xfId="28727" xr:uid="{00000000-0005-0000-0000-000051250000}"/>
    <cellStyle name="20% - Accent3 4 3 2 3" xfId="13397" xr:uid="{00000000-0005-0000-0000-000052250000}"/>
    <cellStyle name="20% - Accent3 4 3 2 4" xfId="18873" xr:uid="{00000000-0005-0000-0000-000053250000}"/>
    <cellStyle name="20% - Accent3 4 3 2 5" xfId="24349" xr:uid="{00000000-0005-0000-0000-000054250000}"/>
    <cellStyle name="20% - Accent3 4 3 2 6" xfId="28726" xr:uid="{00000000-0005-0000-0000-000055250000}"/>
    <cellStyle name="20% - Accent3 4 3 2 7" xfId="36145" xr:uid="{00000000-0005-0000-0000-000056250000}"/>
    <cellStyle name="20% - Accent3 4 3 2 8" xfId="41622" xr:uid="{00000000-0005-0000-0000-000057250000}"/>
    <cellStyle name="20% - Accent3 4 3 2 9" xfId="47099" xr:uid="{00000000-0005-0000-0000-000058250000}"/>
    <cellStyle name="20% - Accent3 4 3 3" xfId="4213" xr:uid="{00000000-0005-0000-0000-000059250000}"/>
    <cellStyle name="20% - Accent3 4 3 3 10" xfId="54389" xr:uid="{00000000-0005-0000-0000-00005A250000}"/>
    <cellStyle name="20% - Accent3 4 3 3 2" xfId="9693" xr:uid="{00000000-0005-0000-0000-00005B250000}"/>
    <cellStyle name="20% - Accent3 4 3 3 3" xfId="15169" xr:uid="{00000000-0005-0000-0000-00005C250000}"/>
    <cellStyle name="20% - Accent3 4 3 3 4" xfId="20645" xr:uid="{00000000-0005-0000-0000-00005D250000}"/>
    <cellStyle name="20% - Accent3 4 3 3 5" xfId="26121" xr:uid="{00000000-0005-0000-0000-00005E250000}"/>
    <cellStyle name="20% - Accent3 4 3 3 6" xfId="28728" xr:uid="{00000000-0005-0000-0000-00005F250000}"/>
    <cellStyle name="20% - Accent3 4 3 3 7" xfId="37917" xr:uid="{00000000-0005-0000-0000-000060250000}"/>
    <cellStyle name="20% - Accent3 4 3 3 8" xfId="43394" xr:uid="{00000000-0005-0000-0000-000061250000}"/>
    <cellStyle name="20% - Accent3 4 3 3 9" xfId="48871" xr:uid="{00000000-0005-0000-0000-000062250000}"/>
    <cellStyle name="20% - Accent3 4 3 4" xfId="5911" xr:uid="{00000000-0005-0000-0000-000063250000}"/>
    <cellStyle name="20% - Accent3 4 3 5" xfId="11391" xr:uid="{00000000-0005-0000-0000-000064250000}"/>
    <cellStyle name="20% - Accent3 4 3 6" xfId="16867" xr:uid="{00000000-0005-0000-0000-000065250000}"/>
    <cellStyle name="20% - Accent3 4 3 7" xfId="22343" xr:uid="{00000000-0005-0000-0000-000066250000}"/>
    <cellStyle name="20% - Accent3 4 3 8" xfId="28725" xr:uid="{00000000-0005-0000-0000-000067250000}"/>
    <cellStyle name="20% - Accent3 4 3 9" xfId="34138" xr:uid="{00000000-0005-0000-0000-000068250000}"/>
    <cellStyle name="20% - Accent3 4 4" xfId="852" xr:uid="{00000000-0005-0000-0000-000069250000}"/>
    <cellStyle name="20% - Accent3 4 4 10" xfId="39616" xr:uid="{00000000-0005-0000-0000-00006A250000}"/>
    <cellStyle name="20% - Accent3 4 4 11" xfId="45093" xr:uid="{00000000-0005-0000-0000-00006B250000}"/>
    <cellStyle name="20% - Accent3 4 4 12" xfId="50571" xr:uid="{00000000-0005-0000-0000-00006C250000}"/>
    <cellStyle name="20% - Accent3 4 4 2" xfId="2613" xr:uid="{00000000-0005-0000-0000-00006D250000}"/>
    <cellStyle name="20% - Accent3 4 4 2 10" xfId="52789" xr:uid="{00000000-0005-0000-0000-00006E250000}"/>
    <cellStyle name="20% - Accent3 4 4 2 2" xfId="8093" xr:uid="{00000000-0005-0000-0000-00006F250000}"/>
    <cellStyle name="20% - Accent3 4 4 2 2 2" xfId="28731" xr:uid="{00000000-0005-0000-0000-000070250000}"/>
    <cellStyle name="20% - Accent3 4 4 2 3" xfId="13569" xr:uid="{00000000-0005-0000-0000-000071250000}"/>
    <cellStyle name="20% - Accent3 4 4 2 4" xfId="19045" xr:uid="{00000000-0005-0000-0000-000072250000}"/>
    <cellStyle name="20% - Accent3 4 4 2 5" xfId="24521" xr:uid="{00000000-0005-0000-0000-000073250000}"/>
    <cellStyle name="20% - Accent3 4 4 2 6" xfId="28730" xr:uid="{00000000-0005-0000-0000-000074250000}"/>
    <cellStyle name="20% - Accent3 4 4 2 7" xfId="36317" xr:uid="{00000000-0005-0000-0000-000075250000}"/>
    <cellStyle name="20% - Accent3 4 4 2 8" xfId="41794" xr:uid="{00000000-0005-0000-0000-000076250000}"/>
    <cellStyle name="20% - Accent3 4 4 2 9" xfId="47271" xr:uid="{00000000-0005-0000-0000-000077250000}"/>
    <cellStyle name="20% - Accent3 4 4 3" xfId="4385" xr:uid="{00000000-0005-0000-0000-000078250000}"/>
    <cellStyle name="20% - Accent3 4 4 3 10" xfId="54561" xr:uid="{00000000-0005-0000-0000-000079250000}"/>
    <cellStyle name="20% - Accent3 4 4 3 2" xfId="9865" xr:uid="{00000000-0005-0000-0000-00007A250000}"/>
    <cellStyle name="20% - Accent3 4 4 3 3" xfId="15341" xr:uid="{00000000-0005-0000-0000-00007B250000}"/>
    <cellStyle name="20% - Accent3 4 4 3 4" xfId="20817" xr:uid="{00000000-0005-0000-0000-00007C250000}"/>
    <cellStyle name="20% - Accent3 4 4 3 5" xfId="26293" xr:uid="{00000000-0005-0000-0000-00007D250000}"/>
    <cellStyle name="20% - Accent3 4 4 3 6" xfId="28732" xr:uid="{00000000-0005-0000-0000-00007E250000}"/>
    <cellStyle name="20% - Accent3 4 4 3 7" xfId="38089" xr:uid="{00000000-0005-0000-0000-00007F250000}"/>
    <cellStyle name="20% - Accent3 4 4 3 8" xfId="43566" xr:uid="{00000000-0005-0000-0000-000080250000}"/>
    <cellStyle name="20% - Accent3 4 4 3 9" xfId="49043" xr:uid="{00000000-0005-0000-0000-000081250000}"/>
    <cellStyle name="20% - Accent3 4 4 4" xfId="5912" xr:uid="{00000000-0005-0000-0000-000082250000}"/>
    <cellStyle name="20% - Accent3 4 4 5" xfId="11392" xr:uid="{00000000-0005-0000-0000-000083250000}"/>
    <cellStyle name="20% - Accent3 4 4 6" xfId="16868" xr:uid="{00000000-0005-0000-0000-000084250000}"/>
    <cellStyle name="20% - Accent3 4 4 7" xfId="22344" xr:uid="{00000000-0005-0000-0000-000085250000}"/>
    <cellStyle name="20% - Accent3 4 4 8" xfId="28729" xr:uid="{00000000-0005-0000-0000-000086250000}"/>
    <cellStyle name="20% - Accent3 4 4 9" xfId="34139" xr:uid="{00000000-0005-0000-0000-000087250000}"/>
    <cellStyle name="20% - Accent3 4 5" xfId="1058" xr:uid="{00000000-0005-0000-0000-000088250000}"/>
    <cellStyle name="20% - Accent3 4 5 10" xfId="39617" xr:uid="{00000000-0005-0000-0000-000089250000}"/>
    <cellStyle name="20% - Accent3 4 5 11" xfId="45094" xr:uid="{00000000-0005-0000-0000-00008A250000}"/>
    <cellStyle name="20% - Accent3 4 5 12" xfId="50572" xr:uid="{00000000-0005-0000-0000-00008B250000}"/>
    <cellStyle name="20% - Accent3 4 5 2" xfId="2819" xr:uid="{00000000-0005-0000-0000-00008C250000}"/>
    <cellStyle name="20% - Accent3 4 5 2 10" xfId="52995" xr:uid="{00000000-0005-0000-0000-00008D250000}"/>
    <cellStyle name="20% - Accent3 4 5 2 2" xfId="8299" xr:uid="{00000000-0005-0000-0000-00008E250000}"/>
    <cellStyle name="20% - Accent3 4 5 2 2 2" xfId="28735" xr:uid="{00000000-0005-0000-0000-00008F250000}"/>
    <cellStyle name="20% - Accent3 4 5 2 3" xfId="13775" xr:uid="{00000000-0005-0000-0000-000090250000}"/>
    <cellStyle name="20% - Accent3 4 5 2 4" xfId="19251" xr:uid="{00000000-0005-0000-0000-000091250000}"/>
    <cellStyle name="20% - Accent3 4 5 2 5" xfId="24727" xr:uid="{00000000-0005-0000-0000-000092250000}"/>
    <cellStyle name="20% - Accent3 4 5 2 6" xfId="28734" xr:uid="{00000000-0005-0000-0000-000093250000}"/>
    <cellStyle name="20% - Accent3 4 5 2 7" xfId="36523" xr:uid="{00000000-0005-0000-0000-000094250000}"/>
    <cellStyle name="20% - Accent3 4 5 2 8" xfId="42000" xr:uid="{00000000-0005-0000-0000-000095250000}"/>
    <cellStyle name="20% - Accent3 4 5 2 9" xfId="47477" xr:uid="{00000000-0005-0000-0000-000096250000}"/>
    <cellStyle name="20% - Accent3 4 5 3" xfId="4591" xr:uid="{00000000-0005-0000-0000-000097250000}"/>
    <cellStyle name="20% - Accent3 4 5 3 10" xfId="54767" xr:uid="{00000000-0005-0000-0000-000098250000}"/>
    <cellStyle name="20% - Accent3 4 5 3 2" xfId="10071" xr:uid="{00000000-0005-0000-0000-000099250000}"/>
    <cellStyle name="20% - Accent3 4 5 3 3" xfId="15547" xr:uid="{00000000-0005-0000-0000-00009A250000}"/>
    <cellStyle name="20% - Accent3 4 5 3 4" xfId="21023" xr:uid="{00000000-0005-0000-0000-00009B250000}"/>
    <cellStyle name="20% - Accent3 4 5 3 5" xfId="26499" xr:uid="{00000000-0005-0000-0000-00009C250000}"/>
    <cellStyle name="20% - Accent3 4 5 3 6" xfId="28736" xr:uid="{00000000-0005-0000-0000-00009D250000}"/>
    <cellStyle name="20% - Accent3 4 5 3 7" xfId="38295" xr:uid="{00000000-0005-0000-0000-00009E250000}"/>
    <cellStyle name="20% - Accent3 4 5 3 8" xfId="43772" xr:uid="{00000000-0005-0000-0000-00009F250000}"/>
    <cellStyle name="20% - Accent3 4 5 3 9" xfId="49249" xr:uid="{00000000-0005-0000-0000-0000A0250000}"/>
    <cellStyle name="20% - Accent3 4 5 4" xfId="5913" xr:uid="{00000000-0005-0000-0000-0000A1250000}"/>
    <cellStyle name="20% - Accent3 4 5 5" xfId="11393" xr:uid="{00000000-0005-0000-0000-0000A2250000}"/>
    <cellStyle name="20% - Accent3 4 5 6" xfId="16869" xr:uid="{00000000-0005-0000-0000-0000A3250000}"/>
    <cellStyle name="20% - Accent3 4 5 7" xfId="22345" xr:uid="{00000000-0005-0000-0000-0000A4250000}"/>
    <cellStyle name="20% - Accent3 4 5 8" xfId="28733" xr:uid="{00000000-0005-0000-0000-0000A5250000}"/>
    <cellStyle name="20% - Accent3 4 5 9" xfId="34140" xr:uid="{00000000-0005-0000-0000-0000A6250000}"/>
    <cellStyle name="20% - Accent3 4 6" xfId="1230" xr:uid="{00000000-0005-0000-0000-0000A7250000}"/>
    <cellStyle name="20% - Accent3 4 6 10" xfId="39618" xr:uid="{00000000-0005-0000-0000-0000A8250000}"/>
    <cellStyle name="20% - Accent3 4 6 11" xfId="45095" xr:uid="{00000000-0005-0000-0000-0000A9250000}"/>
    <cellStyle name="20% - Accent3 4 6 12" xfId="50573" xr:uid="{00000000-0005-0000-0000-0000AA250000}"/>
    <cellStyle name="20% - Accent3 4 6 2" xfId="2991" xr:uid="{00000000-0005-0000-0000-0000AB250000}"/>
    <cellStyle name="20% - Accent3 4 6 2 10" xfId="53167" xr:uid="{00000000-0005-0000-0000-0000AC250000}"/>
    <cellStyle name="20% - Accent3 4 6 2 2" xfId="8471" xr:uid="{00000000-0005-0000-0000-0000AD250000}"/>
    <cellStyle name="20% - Accent3 4 6 2 2 2" xfId="28739" xr:uid="{00000000-0005-0000-0000-0000AE250000}"/>
    <cellStyle name="20% - Accent3 4 6 2 3" xfId="13947" xr:uid="{00000000-0005-0000-0000-0000AF250000}"/>
    <cellStyle name="20% - Accent3 4 6 2 4" xfId="19423" xr:uid="{00000000-0005-0000-0000-0000B0250000}"/>
    <cellStyle name="20% - Accent3 4 6 2 5" xfId="24899" xr:uid="{00000000-0005-0000-0000-0000B1250000}"/>
    <cellStyle name="20% - Accent3 4 6 2 6" xfId="28738" xr:uid="{00000000-0005-0000-0000-0000B2250000}"/>
    <cellStyle name="20% - Accent3 4 6 2 7" xfId="36695" xr:uid="{00000000-0005-0000-0000-0000B3250000}"/>
    <cellStyle name="20% - Accent3 4 6 2 8" xfId="42172" xr:uid="{00000000-0005-0000-0000-0000B4250000}"/>
    <cellStyle name="20% - Accent3 4 6 2 9" xfId="47649" xr:uid="{00000000-0005-0000-0000-0000B5250000}"/>
    <cellStyle name="20% - Accent3 4 6 3" xfId="4763" xr:uid="{00000000-0005-0000-0000-0000B6250000}"/>
    <cellStyle name="20% - Accent3 4 6 3 10" xfId="54939" xr:uid="{00000000-0005-0000-0000-0000B7250000}"/>
    <cellStyle name="20% - Accent3 4 6 3 2" xfId="10243" xr:uid="{00000000-0005-0000-0000-0000B8250000}"/>
    <cellStyle name="20% - Accent3 4 6 3 3" xfId="15719" xr:uid="{00000000-0005-0000-0000-0000B9250000}"/>
    <cellStyle name="20% - Accent3 4 6 3 4" xfId="21195" xr:uid="{00000000-0005-0000-0000-0000BA250000}"/>
    <cellStyle name="20% - Accent3 4 6 3 5" xfId="26671" xr:uid="{00000000-0005-0000-0000-0000BB250000}"/>
    <cellStyle name="20% - Accent3 4 6 3 6" xfId="28740" xr:uid="{00000000-0005-0000-0000-0000BC250000}"/>
    <cellStyle name="20% - Accent3 4 6 3 7" xfId="38467" xr:uid="{00000000-0005-0000-0000-0000BD250000}"/>
    <cellStyle name="20% - Accent3 4 6 3 8" xfId="43944" xr:uid="{00000000-0005-0000-0000-0000BE250000}"/>
    <cellStyle name="20% - Accent3 4 6 3 9" xfId="49421" xr:uid="{00000000-0005-0000-0000-0000BF250000}"/>
    <cellStyle name="20% - Accent3 4 6 4" xfId="5914" xr:uid="{00000000-0005-0000-0000-0000C0250000}"/>
    <cellStyle name="20% - Accent3 4 6 5" xfId="11394" xr:uid="{00000000-0005-0000-0000-0000C1250000}"/>
    <cellStyle name="20% - Accent3 4 6 6" xfId="16870" xr:uid="{00000000-0005-0000-0000-0000C2250000}"/>
    <cellStyle name="20% - Accent3 4 6 7" xfId="22346" xr:uid="{00000000-0005-0000-0000-0000C3250000}"/>
    <cellStyle name="20% - Accent3 4 6 8" xfId="28737" xr:uid="{00000000-0005-0000-0000-0000C4250000}"/>
    <cellStyle name="20% - Accent3 4 6 9" xfId="34141" xr:uid="{00000000-0005-0000-0000-0000C5250000}"/>
    <cellStyle name="20% - Accent3 4 7" xfId="1402" xr:uid="{00000000-0005-0000-0000-0000C6250000}"/>
    <cellStyle name="20% - Accent3 4 7 10" xfId="39619" xr:uid="{00000000-0005-0000-0000-0000C7250000}"/>
    <cellStyle name="20% - Accent3 4 7 11" xfId="45096" xr:uid="{00000000-0005-0000-0000-0000C8250000}"/>
    <cellStyle name="20% - Accent3 4 7 12" xfId="50574" xr:uid="{00000000-0005-0000-0000-0000C9250000}"/>
    <cellStyle name="20% - Accent3 4 7 2" xfId="3163" xr:uid="{00000000-0005-0000-0000-0000CA250000}"/>
    <cellStyle name="20% - Accent3 4 7 2 10" xfId="53339" xr:uid="{00000000-0005-0000-0000-0000CB250000}"/>
    <cellStyle name="20% - Accent3 4 7 2 2" xfId="8643" xr:uid="{00000000-0005-0000-0000-0000CC250000}"/>
    <cellStyle name="20% - Accent3 4 7 2 2 2" xfId="28743" xr:uid="{00000000-0005-0000-0000-0000CD250000}"/>
    <cellStyle name="20% - Accent3 4 7 2 3" xfId="14119" xr:uid="{00000000-0005-0000-0000-0000CE250000}"/>
    <cellStyle name="20% - Accent3 4 7 2 4" xfId="19595" xr:uid="{00000000-0005-0000-0000-0000CF250000}"/>
    <cellStyle name="20% - Accent3 4 7 2 5" xfId="25071" xr:uid="{00000000-0005-0000-0000-0000D0250000}"/>
    <cellStyle name="20% - Accent3 4 7 2 6" xfId="28742" xr:uid="{00000000-0005-0000-0000-0000D1250000}"/>
    <cellStyle name="20% - Accent3 4 7 2 7" xfId="36867" xr:uid="{00000000-0005-0000-0000-0000D2250000}"/>
    <cellStyle name="20% - Accent3 4 7 2 8" xfId="42344" xr:uid="{00000000-0005-0000-0000-0000D3250000}"/>
    <cellStyle name="20% - Accent3 4 7 2 9" xfId="47821" xr:uid="{00000000-0005-0000-0000-0000D4250000}"/>
    <cellStyle name="20% - Accent3 4 7 3" xfId="4935" xr:uid="{00000000-0005-0000-0000-0000D5250000}"/>
    <cellStyle name="20% - Accent3 4 7 3 10" xfId="55111" xr:uid="{00000000-0005-0000-0000-0000D6250000}"/>
    <cellStyle name="20% - Accent3 4 7 3 2" xfId="10415" xr:uid="{00000000-0005-0000-0000-0000D7250000}"/>
    <cellStyle name="20% - Accent3 4 7 3 3" xfId="15891" xr:uid="{00000000-0005-0000-0000-0000D8250000}"/>
    <cellStyle name="20% - Accent3 4 7 3 4" xfId="21367" xr:uid="{00000000-0005-0000-0000-0000D9250000}"/>
    <cellStyle name="20% - Accent3 4 7 3 5" xfId="26843" xr:uid="{00000000-0005-0000-0000-0000DA250000}"/>
    <cellStyle name="20% - Accent3 4 7 3 6" xfId="28744" xr:uid="{00000000-0005-0000-0000-0000DB250000}"/>
    <cellStyle name="20% - Accent3 4 7 3 7" xfId="38639" xr:uid="{00000000-0005-0000-0000-0000DC250000}"/>
    <cellStyle name="20% - Accent3 4 7 3 8" xfId="44116" xr:uid="{00000000-0005-0000-0000-0000DD250000}"/>
    <cellStyle name="20% - Accent3 4 7 3 9" xfId="49593" xr:uid="{00000000-0005-0000-0000-0000DE250000}"/>
    <cellStyle name="20% - Accent3 4 7 4" xfId="5915" xr:uid="{00000000-0005-0000-0000-0000DF250000}"/>
    <cellStyle name="20% - Accent3 4 7 5" xfId="11395" xr:uid="{00000000-0005-0000-0000-0000E0250000}"/>
    <cellStyle name="20% - Accent3 4 7 6" xfId="16871" xr:uid="{00000000-0005-0000-0000-0000E1250000}"/>
    <cellStyle name="20% - Accent3 4 7 7" xfId="22347" xr:uid="{00000000-0005-0000-0000-0000E2250000}"/>
    <cellStyle name="20% - Accent3 4 7 8" xfId="28741" xr:uid="{00000000-0005-0000-0000-0000E3250000}"/>
    <cellStyle name="20% - Accent3 4 7 9" xfId="34142" xr:uid="{00000000-0005-0000-0000-0000E4250000}"/>
    <cellStyle name="20% - Accent3 4 8" xfId="1574" xr:uid="{00000000-0005-0000-0000-0000E5250000}"/>
    <cellStyle name="20% - Accent3 4 8 10" xfId="39620" xr:uid="{00000000-0005-0000-0000-0000E6250000}"/>
    <cellStyle name="20% - Accent3 4 8 11" xfId="45097" xr:uid="{00000000-0005-0000-0000-0000E7250000}"/>
    <cellStyle name="20% - Accent3 4 8 12" xfId="50575" xr:uid="{00000000-0005-0000-0000-0000E8250000}"/>
    <cellStyle name="20% - Accent3 4 8 2" xfId="3335" xr:uid="{00000000-0005-0000-0000-0000E9250000}"/>
    <cellStyle name="20% - Accent3 4 8 2 10" xfId="53511" xr:uid="{00000000-0005-0000-0000-0000EA250000}"/>
    <cellStyle name="20% - Accent3 4 8 2 2" xfId="8815" xr:uid="{00000000-0005-0000-0000-0000EB250000}"/>
    <cellStyle name="20% - Accent3 4 8 2 3" xfId="14291" xr:uid="{00000000-0005-0000-0000-0000EC250000}"/>
    <cellStyle name="20% - Accent3 4 8 2 4" xfId="19767" xr:uid="{00000000-0005-0000-0000-0000ED250000}"/>
    <cellStyle name="20% - Accent3 4 8 2 5" xfId="25243" xr:uid="{00000000-0005-0000-0000-0000EE250000}"/>
    <cellStyle name="20% - Accent3 4 8 2 6" xfId="28746" xr:uid="{00000000-0005-0000-0000-0000EF250000}"/>
    <cellStyle name="20% - Accent3 4 8 2 7" xfId="37039" xr:uid="{00000000-0005-0000-0000-0000F0250000}"/>
    <cellStyle name="20% - Accent3 4 8 2 8" xfId="42516" xr:uid="{00000000-0005-0000-0000-0000F1250000}"/>
    <cellStyle name="20% - Accent3 4 8 2 9" xfId="47993" xr:uid="{00000000-0005-0000-0000-0000F2250000}"/>
    <cellStyle name="20% - Accent3 4 8 3" xfId="5107" xr:uid="{00000000-0005-0000-0000-0000F3250000}"/>
    <cellStyle name="20% - Accent3 4 8 3 2" xfId="10587" xr:uid="{00000000-0005-0000-0000-0000F4250000}"/>
    <cellStyle name="20% - Accent3 4 8 3 3" xfId="16063" xr:uid="{00000000-0005-0000-0000-0000F5250000}"/>
    <cellStyle name="20% - Accent3 4 8 3 4" xfId="21539" xr:uid="{00000000-0005-0000-0000-0000F6250000}"/>
    <cellStyle name="20% - Accent3 4 8 3 5" xfId="27015" xr:uid="{00000000-0005-0000-0000-0000F7250000}"/>
    <cellStyle name="20% - Accent3 4 8 3 6" xfId="38811" xr:uid="{00000000-0005-0000-0000-0000F8250000}"/>
    <cellStyle name="20% - Accent3 4 8 3 7" xfId="44288" xr:uid="{00000000-0005-0000-0000-0000F9250000}"/>
    <cellStyle name="20% - Accent3 4 8 3 8" xfId="49765" xr:uid="{00000000-0005-0000-0000-0000FA250000}"/>
    <cellStyle name="20% - Accent3 4 8 3 9" xfId="55283" xr:uid="{00000000-0005-0000-0000-0000FB250000}"/>
    <cellStyle name="20% - Accent3 4 8 4" xfId="5916" xr:uid="{00000000-0005-0000-0000-0000FC250000}"/>
    <cellStyle name="20% - Accent3 4 8 5" xfId="11396" xr:uid="{00000000-0005-0000-0000-0000FD250000}"/>
    <cellStyle name="20% - Accent3 4 8 6" xfId="16872" xr:uid="{00000000-0005-0000-0000-0000FE250000}"/>
    <cellStyle name="20% - Accent3 4 8 7" xfId="22348" xr:uid="{00000000-0005-0000-0000-0000FF250000}"/>
    <cellStyle name="20% - Accent3 4 8 8" xfId="28745" xr:uid="{00000000-0005-0000-0000-000000260000}"/>
    <cellStyle name="20% - Accent3 4 8 9" xfId="34143" xr:uid="{00000000-0005-0000-0000-000001260000}"/>
    <cellStyle name="20% - Accent3 4 9" xfId="1780" xr:uid="{00000000-0005-0000-0000-000002260000}"/>
    <cellStyle name="20% - Accent3 4 9 10" xfId="39621" xr:uid="{00000000-0005-0000-0000-000003260000}"/>
    <cellStyle name="20% - Accent3 4 9 11" xfId="45098" xr:uid="{00000000-0005-0000-0000-000004260000}"/>
    <cellStyle name="20% - Accent3 4 9 12" xfId="50576" xr:uid="{00000000-0005-0000-0000-000005260000}"/>
    <cellStyle name="20% - Accent3 4 9 2" xfId="3541" xr:uid="{00000000-0005-0000-0000-000006260000}"/>
    <cellStyle name="20% - Accent3 4 9 2 2" xfId="9021" xr:uid="{00000000-0005-0000-0000-000007260000}"/>
    <cellStyle name="20% - Accent3 4 9 2 3" xfId="14497" xr:uid="{00000000-0005-0000-0000-000008260000}"/>
    <cellStyle name="20% - Accent3 4 9 2 4" xfId="19973" xr:uid="{00000000-0005-0000-0000-000009260000}"/>
    <cellStyle name="20% - Accent3 4 9 2 5" xfId="25449" xr:uid="{00000000-0005-0000-0000-00000A260000}"/>
    <cellStyle name="20% - Accent3 4 9 2 6" xfId="37245" xr:uid="{00000000-0005-0000-0000-00000B260000}"/>
    <cellStyle name="20% - Accent3 4 9 2 7" xfId="42722" xr:uid="{00000000-0005-0000-0000-00000C260000}"/>
    <cellStyle name="20% - Accent3 4 9 2 8" xfId="48199" xr:uid="{00000000-0005-0000-0000-00000D260000}"/>
    <cellStyle name="20% - Accent3 4 9 2 9" xfId="53717" xr:uid="{00000000-0005-0000-0000-00000E260000}"/>
    <cellStyle name="20% - Accent3 4 9 3" xfId="5313" xr:uid="{00000000-0005-0000-0000-00000F260000}"/>
    <cellStyle name="20% - Accent3 4 9 3 2" xfId="10793" xr:uid="{00000000-0005-0000-0000-000010260000}"/>
    <cellStyle name="20% - Accent3 4 9 3 3" xfId="16269" xr:uid="{00000000-0005-0000-0000-000011260000}"/>
    <cellStyle name="20% - Accent3 4 9 3 4" xfId="21745" xr:uid="{00000000-0005-0000-0000-000012260000}"/>
    <cellStyle name="20% - Accent3 4 9 3 5" xfId="27221" xr:uid="{00000000-0005-0000-0000-000013260000}"/>
    <cellStyle name="20% - Accent3 4 9 3 6" xfId="39017" xr:uid="{00000000-0005-0000-0000-000014260000}"/>
    <cellStyle name="20% - Accent3 4 9 3 7" xfId="44494" xr:uid="{00000000-0005-0000-0000-000015260000}"/>
    <cellStyle name="20% - Accent3 4 9 3 8" xfId="49971" xr:uid="{00000000-0005-0000-0000-000016260000}"/>
    <cellStyle name="20% - Accent3 4 9 3 9" xfId="55489" xr:uid="{00000000-0005-0000-0000-000017260000}"/>
    <cellStyle name="20% - Accent3 4 9 4" xfId="5917" xr:uid="{00000000-0005-0000-0000-000018260000}"/>
    <cellStyle name="20% - Accent3 4 9 5" xfId="11397" xr:uid="{00000000-0005-0000-0000-000019260000}"/>
    <cellStyle name="20% - Accent3 4 9 6" xfId="16873" xr:uid="{00000000-0005-0000-0000-00001A260000}"/>
    <cellStyle name="20% - Accent3 4 9 7" xfId="22349" xr:uid="{00000000-0005-0000-0000-00001B260000}"/>
    <cellStyle name="20% - Accent3 4 9 8" xfId="28747" xr:uid="{00000000-0005-0000-0000-00001C260000}"/>
    <cellStyle name="20% - Accent3 4 9 9" xfId="34144" xr:uid="{00000000-0005-0000-0000-00001D260000}"/>
    <cellStyle name="20% - Accent3 5" xfId="3674" xr:uid="{00000000-0005-0000-0000-00001E260000}"/>
    <cellStyle name="20% - Accent3 5 10" xfId="28748" xr:uid="{00000000-0005-0000-0000-00001F260000}"/>
    <cellStyle name="20% - Accent3 5 11" xfId="37378" xr:uid="{00000000-0005-0000-0000-000020260000}"/>
    <cellStyle name="20% - Accent3 5 12" xfId="42855" xr:uid="{00000000-0005-0000-0000-000021260000}"/>
    <cellStyle name="20% - Accent3 5 13" xfId="48332" xr:uid="{00000000-0005-0000-0000-000022260000}"/>
    <cellStyle name="20% - Accent3 5 14" xfId="52034" xr:uid="{00000000-0005-0000-0000-000023260000}"/>
    <cellStyle name="20% - Accent3 5 2" xfId="9154" xr:uid="{00000000-0005-0000-0000-000024260000}"/>
    <cellStyle name="20% - Accent3 5 2 2" xfId="28750" xr:uid="{00000000-0005-0000-0000-000025260000}"/>
    <cellStyle name="20% - Accent3 5 2 2 2" xfId="28751" xr:uid="{00000000-0005-0000-0000-000026260000}"/>
    <cellStyle name="20% - Accent3 5 2 3" xfId="28752" xr:uid="{00000000-0005-0000-0000-000027260000}"/>
    <cellStyle name="20% - Accent3 5 2 4" xfId="28749" xr:uid="{00000000-0005-0000-0000-000028260000}"/>
    <cellStyle name="20% - Accent3 5 2 5" xfId="53850" xr:uid="{00000000-0005-0000-0000-000029260000}"/>
    <cellStyle name="20% - Accent3 5 3" xfId="14630" xr:uid="{00000000-0005-0000-0000-00002A260000}"/>
    <cellStyle name="20% - Accent3 5 3 2" xfId="28754" xr:uid="{00000000-0005-0000-0000-00002B260000}"/>
    <cellStyle name="20% - Accent3 5 3 2 2" xfId="28755" xr:uid="{00000000-0005-0000-0000-00002C260000}"/>
    <cellStyle name="20% - Accent3 5 3 3" xfId="28756" xr:uid="{00000000-0005-0000-0000-00002D260000}"/>
    <cellStyle name="20% - Accent3 5 3 4" xfId="28753" xr:uid="{00000000-0005-0000-0000-00002E260000}"/>
    <cellStyle name="20% - Accent3 5 4" xfId="20106" xr:uid="{00000000-0005-0000-0000-00002F260000}"/>
    <cellStyle name="20% - Accent3 5 4 2" xfId="28758" xr:uid="{00000000-0005-0000-0000-000030260000}"/>
    <cellStyle name="20% - Accent3 5 4 2 2" xfId="28759" xr:uid="{00000000-0005-0000-0000-000031260000}"/>
    <cellStyle name="20% - Accent3 5 4 3" xfId="28760" xr:uid="{00000000-0005-0000-0000-000032260000}"/>
    <cellStyle name="20% - Accent3 5 4 4" xfId="28757" xr:uid="{00000000-0005-0000-0000-000033260000}"/>
    <cellStyle name="20% - Accent3 5 5" xfId="25582" xr:uid="{00000000-0005-0000-0000-000034260000}"/>
    <cellStyle name="20% - Accent3 5 5 2" xfId="28762" xr:uid="{00000000-0005-0000-0000-000035260000}"/>
    <cellStyle name="20% - Accent3 5 5 2 2" xfId="28763" xr:uid="{00000000-0005-0000-0000-000036260000}"/>
    <cellStyle name="20% - Accent3 5 5 3" xfId="28764" xr:uid="{00000000-0005-0000-0000-000037260000}"/>
    <cellStyle name="20% - Accent3 5 5 4" xfId="28761" xr:uid="{00000000-0005-0000-0000-000038260000}"/>
    <cellStyle name="20% - Accent3 5 6" xfId="28765" xr:uid="{00000000-0005-0000-0000-000039260000}"/>
    <cellStyle name="20% - Accent3 5 6 2" xfId="28766" xr:uid="{00000000-0005-0000-0000-00003A260000}"/>
    <cellStyle name="20% - Accent3 5 6 2 2" xfId="28767" xr:uid="{00000000-0005-0000-0000-00003B260000}"/>
    <cellStyle name="20% - Accent3 5 6 3" xfId="28768" xr:uid="{00000000-0005-0000-0000-00003C260000}"/>
    <cellStyle name="20% - Accent3 5 7" xfId="28769" xr:uid="{00000000-0005-0000-0000-00003D260000}"/>
    <cellStyle name="20% - Accent3 5 7 2" xfId="28770" xr:uid="{00000000-0005-0000-0000-00003E260000}"/>
    <cellStyle name="20% - Accent3 5 7 2 2" xfId="28771" xr:uid="{00000000-0005-0000-0000-00003F260000}"/>
    <cellStyle name="20% - Accent3 5 7 3" xfId="28772" xr:uid="{00000000-0005-0000-0000-000040260000}"/>
    <cellStyle name="20% - Accent3 5 8" xfId="28773" xr:uid="{00000000-0005-0000-0000-000041260000}"/>
    <cellStyle name="20% - Accent3 5 8 2" xfId="28774" xr:uid="{00000000-0005-0000-0000-000042260000}"/>
    <cellStyle name="20% - Accent3 5 9" xfId="28775" xr:uid="{00000000-0005-0000-0000-000043260000}"/>
    <cellStyle name="20% - Accent3 6" xfId="7379" xr:uid="{00000000-0005-0000-0000-000044260000}"/>
    <cellStyle name="20% - Accent3 6 10" xfId="28776" xr:uid="{00000000-0005-0000-0000-000045260000}"/>
    <cellStyle name="20% - Accent3 6 2" xfId="28777" xr:uid="{00000000-0005-0000-0000-000046260000}"/>
    <cellStyle name="20% - Accent3 6 2 2" xfId="28778" xr:uid="{00000000-0005-0000-0000-000047260000}"/>
    <cellStyle name="20% - Accent3 6 2 2 2" xfId="28779" xr:uid="{00000000-0005-0000-0000-000048260000}"/>
    <cellStyle name="20% - Accent3 6 2 3" xfId="28780" xr:uid="{00000000-0005-0000-0000-000049260000}"/>
    <cellStyle name="20% - Accent3 6 3" xfId="28781" xr:uid="{00000000-0005-0000-0000-00004A260000}"/>
    <cellStyle name="20% - Accent3 6 3 2" xfId="28782" xr:uid="{00000000-0005-0000-0000-00004B260000}"/>
    <cellStyle name="20% - Accent3 6 3 2 2" xfId="28783" xr:uid="{00000000-0005-0000-0000-00004C260000}"/>
    <cellStyle name="20% - Accent3 6 3 3" xfId="28784" xr:uid="{00000000-0005-0000-0000-00004D260000}"/>
    <cellStyle name="20% - Accent3 6 4" xfId="28785" xr:uid="{00000000-0005-0000-0000-00004E260000}"/>
    <cellStyle name="20% - Accent3 6 4 2" xfId="28786" xr:uid="{00000000-0005-0000-0000-00004F260000}"/>
    <cellStyle name="20% - Accent3 6 4 2 2" xfId="28787" xr:uid="{00000000-0005-0000-0000-000050260000}"/>
    <cellStyle name="20% - Accent3 6 4 3" xfId="28788" xr:uid="{00000000-0005-0000-0000-000051260000}"/>
    <cellStyle name="20% - Accent3 6 5" xfId="28789" xr:uid="{00000000-0005-0000-0000-000052260000}"/>
    <cellStyle name="20% - Accent3 6 5 2" xfId="28790" xr:uid="{00000000-0005-0000-0000-000053260000}"/>
    <cellStyle name="20% - Accent3 6 5 2 2" xfId="28791" xr:uid="{00000000-0005-0000-0000-000054260000}"/>
    <cellStyle name="20% - Accent3 6 5 3" xfId="28792" xr:uid="{00000000-0005-0000-0000-000055260000}"/>
    <cellStyle name="20% - Accent3 6 6" xfId="28793" xr:uid="{00000000-0005-0000-0000-000056260000}"/>
    <cellStyle name="20% - Accent3 6 6 2" xfId="28794" xr:uid="{00000000-0005-0000-0000-000057260000}"/>
    <cellStyle name="20% - Accent3 6 6 2 2" xfId="28795" xr:uid="{00000000-0005-0000-0000-000058260000}"/>
    <cellStyle name="20% - Accent3 6 6 3" xfId="28796" xr:uid="{00000000-0005-0000-0000-000059260000}"/>
    <cellStyle name="20% - Accent3 6 7" xfId="28797" xr:uid="{00000000-0005-0000-0000-00005A260000}"/>
    <cellStyle name="20% - Accent3 6 7 2" xfId="28798" xr:uid="{00000000-0005-0000-0000-00005B260000}"/>
    <cellStyle name="20% - Accent3 6 7 2 2" xfId="28799" xr:uid="{00000000-0005-0000-0000-00005C260000}"/>
    <cellStyle name="20% - Accent3 6 7 3" xfId="28800" xr:uid="{00000000-0005-0000-0000-00005D260000}"/>
    <cellStyle name="20% - Accent3 6 8" xfId="28801" xr:uid="{00000000-0005-0000-0000-00005E260000}"/>
    <cellStyle name="20% - Accent3 6 8 2" xfId="28802" xr:uid="{00000000-0005-0000-0000-00005F260000}"/>
    <cellStyle name="20% - Accent3 6 9" xfId="28803" xr:uid="{00000000-0005-0000-0000-000060260000}"/>
    <cellStyle name="20% - Accent3 7" xfId="12856" xr:uid="{00000000-0005-0000-0000-000061260000}"/>
    <cellStyle name="20% - Accent3 7 10" xfId="28804" xr:uid="{00000000-0005-0000-0000-000062260000}"/>
    <cellStyle name="20% - Accent3 7 2" xfId="28805" xr:uid="{00000000-0005-0000-0000-000063260000}"/>
    <cellStyle name="20% - Accent3 7 2 2" xfId="28806" xr:uid="{00000000-0005-0000-0000-000064260000}"/>
    <cellStyle name="20% - Accent3 7 2 2 2" xfId="28807" xr:uid="{00000000-0005-0000-0000-000065260000}"/>
    <cellStyle name="20% - Accent3 7 2 3" xfId="28808" xr:uid="{00000000-0005-0000-0000-000066260000}"/>
    <cellStyle name="20% - Accent3 7 3" xfId="28809" xr:uid="{00000000-0005-0000-0000-000067260000}"/>
    <cellStyle name="20% - Accent3 7 3 2" xfId="28810" xr:uid="{00000000-0005-0000-0000-000068260000}"/>
    <cellStyle name="20% - Accent3 7 3 2 2" xfId="28811" xr:uid="{00000000-0005-0000-0000-000069260000}"/>
    <cellStyle name="20% - Accent3 7 3 3" xfId="28812" xr:uid="{00000000-0005-0000-0000-00006A260000}"/>
    <cellStyle name="20% - Accent3 7 4" xfId="28813" xr:uid="{00000000-0005-0000-0000-00006B260000}"/>
    <cellStyle name="20% - Accent3 7 4 2" xfId="28814" xr:uid="{00000000-0005-0000-0000-00006C260000}"/>
    <cellStyle name="20% - Accent3 7 4 2 2" xfId="28815" xr:uid="{00000000-0005-0000-0000-00006D260000}"/>
    <cellStyle name="20% - Accent3 7 4 3" xfId="28816" xr:uid="{00000000-0005-0000-0000-00006E260000}"/>
    <cellStyle name="20% - Accent3 7 5" xfId="28817" xr:uid="{00000000-0005-0000-0000-00006F260000}"/>
    <cellStyle name="20% - Accent3 7 5 2" xfId="28818" xr:uid="{00000000-0005-0000-0000-000070260000}"/>
    <cellStyle name="20% - Accent3 7 5 2 2" xfId="28819" xr:uid="{00000000-0005-0000-0000-000071260000}"/>
    <cellStyle name="20% - Accent3 7 5 3" xfId="28820" xr:uid="{00000000-0005-0000-0000-000072260000}"/>
    <cellStyle name="20% - Accent3 7 6" xfId="28821" xr:uid="{00000000-0005-0000-0000-000073260000}"/>
    <cellStyle name="20% - Accent3 7 6 2" xfId="28822" xr:uid="{00000000-0005-0000-0000-000074260000}"/>
    <cellStyle name="20% - Accent3 7 6 2 2" xfId="28823" xr:uid="{00000000-0005-0000-0000-000075260000}"/>
    <cellStyle name="20% - Accent3 7 6 3" xfId="28824" xr:uid="{00000000-0005-0000-0000-000076260000}"/>
    <cellStyle name="20% - Accent3 7 7" xfId="28825" xr:uid="{00000000-0005-0000-0000-000077260000}"/>
    <cellStyle name="20% - Accent3 7 7 2" xfId="28826" xr:uid="{00000000-0005-0000-0000-000078260000}"/>
    <cellStyle name="20% - Accent3 7 7 2 2" xfId="28827" xr:uid="{00000000-0005-0000-0000-000079260000}"/>
    <cellStyle name="20% - Accent3 7 7 3" xfId="28828" xr:uid="{00000000-0005-0000-0000-00007A260000}"/>
    <cellStyle name="20% - Accent3 7 8" xfId="28829" xr:uid="{00000000-0005-0000-0000-00007B260000}"/>
    <cellStyle name="20% - Accent3 7 8 2" xfId="28830" xr:uid="{00000000-0005-0000-0000-00007C260000}"/>
    <cellStyle name="20% - Accent3 7 9" xfId="28831" xr:uid="{00000000-0005-0000-0000-00007D260000}"/>
    <cellStyle name="20% - Accent3 8" xfId="18332" xr:uid="{00000000-0005-0000-0000-00007E260000}"/>
    <cellStyle name="20% - Accent3 8 2" xfId="28833" xr:uid="{00000000-0005-0000-0000-00007F260000}"/>
    <cellStyle name="20% - Accent3 8 2 2" xfId="28834" xr:uid="{00000000-0005-0000-0000-000080260000}"/>
    <cellStyle name="20% - Accent3 8 3" xfId="28835" xr:uid="{00000000-0005-0000-0000-000081260000}"/>
    <cellStyle name="20% - Accent3 8 4" xfId="28832" xr:uid="{00000000-0005-0000-0000-000082260000}"/>
    <cellStyle name="20% - Accent3 9" xfId="23808" xr:uid="{00000000-0005-0000-0000-000083260000}"/>
    <cellStyle name="20% - Accent3 9 10" xfId="28836" xr:uid="{00000000-0005-0000-0000-000084260000}"/>
    <cellStyle name="20% - Accent3 9 2" xfId="28837" xr:uid="{00000000-0005-0000-0000-000085260000}"/>
    <cellStyle name="20% - Accent3 9 2 2" xfId="28838" xr:uid="{00000000-0005-0000-0000-000086260000}"/>
    <cellStyle name="20% - Accent3 9 2 2 2" xfId="28839" xr:uid="{00000000-0005-0000-0000-000087260000}"/>
    <cellStyle name="20% - Accent3 9 2 3" xfId="28840" xr:uid="{00000000-0005-0000-0000-000088260000}"/>
    <cellStyle name="20% - Accent3 9 3" xfId="28841" xr:uid="{00000000-0005-0000-0000-000089260000}"/>
    <cellStyle name="20% - Accent3 9 3 2" xfId="28842" xr:uid="{00000000-0005-0000-0000-00008A260000}"/>
    <cellStyle name="20% - Accent3 9 3 2 2" xfId="28843" xr:uid="{00000000-0005-0000-0000-00008B260000}"/>
    <cellStyle name="20% - Accent3 9 3 3" xfId="28844" xr:uid="{00000000-0005-0000-0000-00008C260000}"/>
    <cellStyle name="20% - Accent3 9 4" xfId="28845" xr:uid="{00000000-0005-0000-0000-00008D260000}"/>
    <cellStyle name="20% - Accent3 9 4 2" xfId="28846" xr:uid="{00000000-0005-0000-0000-00008E260000}"/>
    <cellStyle name="20% - Accent3 9 4 2 2" xfId="28847" xr:uid="{00000000-0005-0000-0000-00008F260000}"/>
    <cellStyle name="20% - Accent3 9 4 3" xfId="28848" xr:uid="{00000000-0005-0000-0000-000090260000}"/>
    <cellStyle name="20% - Accent3 9 5" xfId="28849" xr:uid="{00000000-0005-0000-0000-000091260000}"/>
    <cellStyle name="20% - Accent3 9 5 2" xfId="28850" xr:uid="{00000000-0005-0000-0000-000092260000}"/>
    <cellStyle name="20% - Accent3 9 5 2 2" xfId="28851" xr:uid="{00000000-0005-0000-0000-000093260000}"/>
    <cellStyle name="20% - Accent3 9 5 3" xfId="28852" xr:uid="{00000000-0005-0000-0000-000094260000}"/>
    <cellStyle name="20% - Accent3 9 6" xfId="28853" xr:uid="{00000000-0005-0000-0000-000095260000}"/>
    <cellStyle name="20% - Accent3 9 6 2" xfId="28854" xr:uid="{00000000-0005-0000-0000-000096260000}"/>
    <cellStyle name="20% - Accent3 9 6 2 2" xfId="28855" xr:uid="{00000000-0005-0000-0000-000097260000}"/>
    <cellStyle name="20% - Accent3 9 6 3" xfId="28856" xr:uid="{00000000-0005-0000-0000-000098260000}"/>
    <cellStyle name="20% - Accent3 9 7" xfId="28857" xr:uid="{00000000-0005-0000-0000-000099260000}"/>
    <cellStyle name="20% - Accent3 9 7 2" xfId="28858" xr:uid="{00000000-0005-0000-0000-00009A260000}"/>
    <cellStyle name="20% - Accent3 9 7 2 2" xfId="28859" xr:uid="{00000000-0005-0000-0000-00009B260000}"/>
    <cellStyle name="20% - Accent3 9 7 3" xfId="28860" xr:uid="{00000000-0005-0000-0000-00009C260000}"/>
    <cellStyle name="20% - Accent3 9 8" xfId="28861" xr:uid="{00000000-0005-0000-0000-00009D260000}"/>
    <cellStyle name="20% - Accent3 9 8 2" xfId="28862" xr:uid="{00000000-0005-0000-0000-00009E260000}"/>
    <cellStyle name="20% - Accent3 9 9" xfId="28863" xr:uid="{00000000-0005-0000-0000-00009F260000}"/>
    <cellStyle name="20% - Accent4" xfId="69" builtinId="42" customBuiltin="1"/>
    <cellStyle name="20% - Accent4 10" xfId="28864" xr:uid="{00000000-0005-0000-0000-0000A1260000}"/>
    <cellStyle name="20% - Accent4 10 2" xfId="28865" xr:uid="{00000000-0005-0000-0000-0000A2260000}"/>
    <cellStyle name="20% - Accent4 10 2 2" xfId="28866" xr:uid="{00000000-0005-0000-0000-0000A3260000}"/>
    <cellStyle name="20% - Accent4 10 2 2 2" xfId="28867" xr:uid="{00000000-0005-0000-0000-0000A4260000}"/>
    <cellStyle name="20% - Accent4 10 2 3" xfId="28868" xr:uid="{00000000-0005-0000-0000-0000A5260000}"/>
    <cellStyle name="20% - Accent4 10 3" xfId="28869" xr:uid="{00000000-0005-0000-0000-0000A6260000}"/>
    <cellStyle name="20% - Accent4 10 3 2" xfId="28870" xr:uid="{00000000-0005-0000-0000-0000A7260000}"/>
    <cellStyle name="20% - Accent4 10 3 2 2" xfId="28871" xr:uid="{00000000-0005-0000-0000-0000A8260000}"/>
    <cellStyle name="20% - Accent4 10 3 3" xfId="28872" xr:uid="{00000000-0005-0000-0000-0000A9260000}"/>
    <cellStyle name="20% - Accent4 10 4" xfId="28873" xr:uid="{00000000-0005-0000-0000-0000AA260000}"/>
    <cellStyle name="20% - Accent4 10 4 2" xfId="28874" xr:uid="{00000000-0005-0000-0000-0000AB260000}"/>
    <cellStyle name="20% - Accent4 10 5" xfId="28875" xr:uid="{00000000-0005-0000-0000-0000AC260000}"/>
    <cellStyle name="20% - Accent4 11" xfId="28876" xr:uid="{00000000-0005-0000-0000-0000AD260000}"/>
    <cellStyle name="20% - Accent4 11 2" xfId="28877" xr:uid="{00000000-0005-0000-0000-0000AE260000}"/>
    <cellStyle name="20% - Accent4 11 2 2" xfId="28878" xr:uid="{00000000-0005-0000-0000-0000AF260000}"/>
    <cellStyle name="20% - Accent4 11 3" xfId="28879" xr:uid="{00000000-0005-0000-0000-0000B0260000}"/>
    <cellStyle name="20% - Accent4 12" xfId="28880" xr:uid="{00000000-0005-0000-0000-0000B1260000}"/>
    <cellStyle name="20% - Accent4 12 2" xfId="28881" xr:uid="{00000000-0005-0000-0000-0000B2260000}"/>
    <cellStyle name="20% - Accent4 12 2 2" xfId="28882" xr:uid="{00000000-0005-0000-0000-0000B3260000}"/>
    <cellStyle name="20% - Accent4 12 3" xfId="28883" xr:uid="{00000000-0005-0000-0000-0000B4260000}"/>
    <cellStyle name="20% - Accent4 13" xfId="28884" xr:uid="{00000000-0005-0000-0000-0000B5260000}"/>
    <cellStyle name="20% - Accent4 13 2" xfId="28885" xr:uid="{00000000-0005-0000-0000-0000B6260000}"/>
    <cellStyle name="20% - Accent4 13 2 2" xfId="28886" xr:uid="{00000000-0005-0000-0000-0000B7260000}"/>
    <cellStyle name="20% - Accent4 13 3" xfId="28887" xr:uid="{00000000-0005-0000-0000-0000B8260000}"/>
    <cellStyle name="20% - Accent4 14" xfId="28888" xr:uid="{00000000-0005-0000-0000-0000B9260000}"/>
    <cellStyle name="20% - Accent4 14 2" xfId="28889" xr:uid="{00000000-0005-0000-0000-0000BA260000}"/>
    <cellStyle name="20% - Accent4 14 2 2" xfId="28890" xr:uid="{00000000-0005-0000-0000-0000BB260000}"/>
    <cellStyle name="20% - Accent4 14 3" xfId="28891" xr:uid="{00000000-0005-0000-0000-0000BC260000}"/>
    <cellStyle name="20% - Accent4 15" xfId="28892" xr:uid="{00000000-0005-0000-0000-0000BD260000}"/>
    <cellStyle name="20% - Accent4 15 2" xfId="28893" xr:uid="{00000000-0005-0000-0000-0000BE260000}"/>
    <cellStyle name="20% - Accent4 15 2 2" xfId="28894" xr:uid="{00000000-0005-0000-0000-0000BF260000}"/>
    <cellStyle name="20% - Accent4 15 3" xfId="28895" xr:uid="{00000000-0005-0000-0000-0000C0260000}"/>
    <cellStyle name="20% - Accent4 16" xfId="28896" xr:uid="{00000000-0005-0000-0000-0000C1260000}"/>
    <cellStyle name="20% - Accent4 16 2" xfId="28897" xr:uid="{00000000-0005-0000-0000-0000C2260000}"/>
    <cellStyle name="20% - Accent4 16 2 2" xfId="28898" xr:uid="{00000000-0005-0000-0000-0000C3260000}"/>
    <cellStyle name="20% - Accent4 16 2 2 2" xfId="28899" xr:uid="{00000000-0005-0000-0000-0000C4260000}"/>
    <cellStyle name="20% - Accent4 16 2 2 2 2" xfId="28900" xr:uid="{00000000-0005-0000-0000-0000C5260000}"/>
    <cellStyle name="20% - Accent4 16 2 2 2 2 2" xfId="28901" xr:uid="{00000000-0005-0000-0000-0000C6260000}"/>
    <cellStyle name="20% - Accent4 16 2 2 2 3" xfId="28902" xr:uid="{00000000-0005-0000-0000-0000C7260000}"/>
    <cellStyle name="20% - Accent4 16 2 2 3" xfId="28903" xr:uid="{00000000-0005-0000-0000-0000C8260000}"/>
    <cellStyle name="20% - Accent4 16 2 2 3 2" xfId="28904" xr:uid="{00000000-0005-0000-0000-0000C9260000}"/>
    <cellStyle name="20% - Accent4 16 2 2 3 2 2" xfId="28905" xr:uid="{00000000-0005-0000-0000-0000CA260000}"/>
    <cellStyle name="20% - Accent4 16 2 2 3 3" xfId="28906" xr:uid="{00000000-0005-0000-0000-0000CB260000}"/>
    <cellStyle name="20% - Accent4 16 2 2 4" xfId="28907" xr:uid="{00000000-0005-0000-0000-0000CC260000}"/>
    <cellStyle name="20% - Accent4 16 2 2 4 2" xfId="28908" xr:uid="{00000000-0005-0000-0000-0000CD260000}"/>
    <cellStyle name="20% - Accent4 16 2 2 5" xfId="28909" xr:uid="{00000000-0005-0000-0000-0000CE260000}"/>
    <cellStyle name="20% - Accent4 16 2 3" xfId="28910" xr:uid="{00000000-0005-0000-0000-0000CF260000}"/>
    <cellStyle name="20% - Accent4 16 2 3 2" xfId="28911" xr:uid="{00000000-0005-0000-0000-0000D0260000}"/>
    <cellStyle name="20% - Accent4 16 2 3 2 2" xfId="28912" xr:uid="{00000000-0005-0000-0000-0000D1260000}"/>
    <cellStyle name="20% - Accent4 16 2 3 2 2 2" xfId="28913" xr:uid="{00000000-0005-0000-0000-0000D2260000}"/>
    <cellStyle name="20% - Accent4 16 2 3 2 3" xfId="28914" xr:uid="{00000000-0005-0000-0000-0000D3260000}"/>
    <cellStyle name="20% - Accent4 16 2 3 3" xfId="28915" xr:uid="{00000000-0005-0000-0000-0000D4260000}"/>
    <cellStyle name="20% - Accent4 16 2 3 3 2" xfId="28916" xr:uid="{00000000-0005-0000-0000-0000D5260000}"/>
    <cellStyle name="20% - Accent4 16 2 3 3 2 2" xfId="28917" xr:uid="{00000000-0005-0000-0000-0000D6260000}"/>
    <cellStyle name="20% - Accent4 16 2 3 3 3" xfId="28918" xr:uid="{00000000-0005-0000-0000-0000D7260000}"/>
    <cellStyle name="20% - Accent4 16 2 3 4" xfId="28919" xr:uid="{00000000-0005-0000-0000-0000D8260000}"/>
    <cellStyle name="20% - Accent4 16 2 3 4 2" xfId="28920" xr:uid="{00000000-0005-0000-0000-0000D9260000}"/>
    <cellStyle name="20% - Accent4 16 2 3 5" xfId="28921" xr:uid="{00000000-0005-0000-0000-0000DA260000}"/>
    <cellStyle name="20% - Accent4 16 2 4" xfId="28922" xr:uid="{00000000-0005-0000-0000-0000DB260000}"/>
    <cellStyle name="20% - Accent4 16 2 4 2" xfId="28923" xr:uid="{00000000-0005-0000-0000-0000DC260000}"/>
    <cellStyle name="20% - Accent4 16 2 4 2 2" xfId="28924" xr:uid="{00000000-0005-0000-0000-0000DD260000}"/>
    <cellStyle name="20% - Accent4 16 2 4 2 2 2" xfId="28925" xr:uid="{00000000-0005-0000-0000-0000DE260000}"/>
    <cellStyle name="20% - Accent4 16 2 4 2 3" xfId="28926" xr:uid="{00000000-0005-0000-0000-0000DF260000}"/>
    <cellStyle name="20% - Accent4 16 2 4 3" xfId="28927" xr:uid="{00000000-0005-0000-0000-0000E0260000}"/>
    <cellStyle name="20% - Accent4 16 2 4 3 2" xfId="28928" xr:uid="{00000000-0005-0000-0000-0000E1260000}"/>
    <cellStyle name="20% - Accent4 16 2 4 3 2 2" xfId="28929" xr:uid="{00000000-0005-0000-0000-0000E2260000}"/>
    <cellStyle name="20% - Accent4 16 2 4 3 3" xfId="28930" xr:uid="{00000000-0005-0000-0000-0000E3260000}"/>
    <cellStyle name="20% - Accent4 16 2 4 4" xfId="28931" xr:uid="{00000000-0005-0000-0000-0000E4260000}"/>
    <cellStyle name="20% - Accent4 16 2 4 4 2" xfId="28932" xr:uid="{00000000-0005-0000-0000-0000E5260000}"/>
    <cellStyle name="20% - Accent4 16 2 4 5" xfId="28933" xr:uid="{00000000-0005-0000-0000-0000E6260000}"/>
    <cellStyle name="20% - Accent4 16 2 5" xfId="28934" xr:uid="{00000000-0005-0000-0000-0000E7260000}"/>
    <cellStyle name="20% - Accent4 16 2 5 2" xfId="28935" xr:uid="{00000000-0005-0000-0000-0000E8260000}"/>
    <cellStyle name="20% - Accent4 16 2 5 2 2" xfId="28936" xr:uid="{00000000-0005-0000-0000-0000E9260000}"/>
    <cellStyle name="20% - Accent4 16 2 5 2 2 2" xfId="28937" xr:uid="{00000000-0005-0000-0000-0000EA260000}"/>
    <cellStyle name="20% - Accent4 16 2 5 2 3" xfId="28938" xr:uid="{00000000-0005-0000-0000-0000EB260000}"/>
    <cellStyle name="20% - Accent4 16 2 5 3" xfId="28939" xr:uid="{00000000-0005-0000-0000-0000EC260000}"/>
    <cellStyle name="20% - Accent4 16 2 5 3 2" xfId="28940" xr:uid="{00000000-0005-0000-0000-0000ED260000}"/>
    <cellStyle name="20% - Accent4 16 2 5 4" xfId="28941" xr:uid="{00000000-0005-0000-0000-0000EE260000}"/>
    <cellStyle name="20% - Accent4 16 2 6" xfId="28942" xr:uid="{00000000-0005-0000-0000-0000EF260000}"/>
    <cellStyle name="20% - Accent4 16 2 6 2" xfId="28943" xr:uid="{00000000-0005-0000-0000-0000F0260000}"/>
    <cellStyle name="20% - Accent4 16 2 6 2 2" xfId="28944" xr:uid="{00000000-0005-0000-0000-0000F1260000}"/>
    <cellStyle name="20% - Accent4 16 2 6 3" xfId="28945" xr:uid="{00000000-0005-0000-0000-0000F2260000}"/>
    <cellStyle name="20% - Accent4 16 2 7" xfId="28946" xr:uid="{00000000-0005-0000-0000-0000F3260000}"/>
    <cellStyle name="20% - Accent4 16 2 7 2" xfId="28947" xr:uid="{00000000-0005-0000-0000-0000F4260000}"/>
    <cellStyle name="20% - Accent4 16 2 8" xfId="28948" xr:uid="{00000000-0005-0000-0000-0000F5260000}"/>
    <cellStyle name="20% - Accent4 16 3" xfId="28949" xr:uid="{00000000-0005-0000-0000-0000F6260000}"/>
    <cellStyle name="20% - Accent4 16 3 2" xfId="28950" xr:uid="{00000000-0005-0000-0000-0000F7260000}"/>
    <cellStyle name="20% - Accent4 16 3 2 2" xfId="28951" xr:uid="{00000000-0005-0000-0000-0000F8260000}"/>
    <cellStyle name="20% - Accent4 16 3 2 2 2" xfId="28952" xr:uid="{00000000-0005-0000-0000-0000F9260000}"/>
    <cellStyle name="20% - Accent4 16 3 2 3" xfId="28953" xr:uid="{00000000-0005-0000-0000-0000FA260000}"/>
    <cellStyle name="20% - Accent4 16 3 3" xfId="28954" xr:uid="{00000000-0005-0000-0000-0000FB260000}"/>
    <cellStyle name="20% - Accent4 16 3 3 2" xfId="28955" xr:uid="{00000000-0005-0000-0000-0000FC260000}"/>
    <cellStyle name="20% - Accent4 16 3 3 2 2" xfId="28956" xr:uid="{00000000-0005-0000-0000-0000FD260000}"/>
    <cellStyle name="20% - Accent4 16 3 3 3" xfId="28957" xr:uid="{00000000-0005-0000-0000-0000FE260000}"/>
    <cellStyle name="20% - Accent4 16 3 4" xfId="28958" xr:uid="{00000000-0005-0000-0000-0000FF260000}"/>
    <cellStyle name="20% - Accent4 16 3 4 2" xfId="28959" xr:uid="{00000000-0005-0000-0000-000000270000}"/>
    <cellStyle name="20% - Accent4 16 3 4 2 2" xfId="28960" xr:uid="{00000000-0005-0000-0000-000001270000}"/>
    <cellStyle name="20% - Accent4 16 3 4 3" xfId="28961" xr:uid="{00000000-0005-0000-0000-000002270000}"/>
    <cellStyle name="20% - Accent4 16 3 5" xfId="28962" xr:uid="{00000000-0005-0000-0000-000003270000}"/>
    <cellStyle name="20% - Accent4 16 3 5 2" xfId="28963" xr:uid="{00000000-0005-0000-0000-000004270000}"/>
    <cellStyle name="20% - Accent4 16 3 6" xfId="28964" xr:uid="{00000000-0005-0000-0000-000005270000}"/>
    <cellStyle name="20% - Accent4 16 4" xfId="28965" xr:uid="{00000000-0005-0000-0000-000006270000}"/>
    <cellStyle name="20% - Accent4 16 4 2" xfId="28966" xr:uid="{00000000-0005-0000-0000-000007270000}"/>
    <cellStyle name="20% - Accent4 16 4 2 2" xfId="28967" xr:uid="{00000000-0005-0000-0000-000008270000}"/>
    <cellStyle name="20% - Accent4 16 4 2 2 2" xfId="28968" xr:uid="{00000000-0005-0000-0000-000009270000}"/>
    <cellStyle name="20% - Accent4 16 4 2 3" xfId="28969" xr:uid="{00000000-0005-0000-0000-00000A270000}"/>
    <cellStyle name="20% - Accent4 16 4 3" xfId="28970" xr:uid="{00000000-0005-0000-0000-00000B270000}"/>
    <cellStyle name="20% - Accent4 16 4 3 2" xfId="28971" xr:uid="{00000000-0005-0000-0000-00000C270000}"/>
    <cellStyle name="20% - Accent4 16 4 3 2 2" xfId="28972" xr:uid="{00000000-0005-0000-0000-00000D270000}"/>
    <cellStyle name="20% - Accent4 16 4 3 3" xfId="28973" xr:uid="{00000000-0005-0000-0000-00000E270000}"/>
    <cellStyle name="20% - Accent4 16 4 4" xfId="28974" xr:uid="{00000000-0005-0000-0000-00000F270000}"/>
    <cellStyle name="20% - Accent4 16 4 4 2" xfId="28975" xr:uid="{00000000-0005-0000-0000-000010270000}"/>
    <cellStyle name="20% - Accent4 16 4 5" xfId="28976" xr:uid="{00000000-0005-0000-0000-000011270000}"/>
    <cellStyle name="20% - Accent4 16 5" xfId="28977" xr:uid="{00000000-0005-0000-0000-000012270000}"/>
    <cellStyle name="20% - Accent4 16 5 2" xfId="28978" xr:uid="{00000000-0005-0000-0000-000013270000}"/>
    <cellStyle name="20% - Accent4 16 5 2 2" xfId="28979" xr:uid="{00000000-0005-0000-0000-000014270000}"/>
    <cellStyle name="20% - Accent4 16 5 2 2 2" xfId="28980" xr:uid="{00000000-0005-0000-0000-000015270000}"/>
    <cellStyle name="20% - Accent4 16 5 2 3" xfId="28981" xr:uid="{00000000-0005-0000-0000-000016270000}"/>
    <cellStyle name="20% - Accent4 16 5 3" xfId="28982" xr:uid="{00000000-0005-0000-0000-000017270000}"/>
    <cellStyle name="20% - Accent4 16 5 3 2" xfId="28983" xr:uid="{00000000-0005-0000-0000-000018270000}"/>
    <cellStyle name="20% - Accent4 16 5 3 2 2" xfId="28984" xr:uid="{00000000-0005-0000-0000-000019270000}"/>
    <cellStyle name="20% - Accent4 16 5 3 3" xfId="28985" xr:uid="{00000000-0005-0000-0000-00001A270000}"/>
    <cellStyle name="20% - Accent4 16 5 4" xfId="28986" xr:uid="{00000000-0005-0000-0000-00001B270000}"/>
    <cellStyle name="20% - Accent4 16 5 4 2" xfId="28987" xr:uid="{00000000-0005-0000-0000-00001C270000}"/>
    <cellStyle name="20% - Accent4 16 5 5" xfId="28988" xr:uid="{00000000-0005-0000-0000-00001D270000}"/>
    <cellStyle name="20% - Accent4 16 6" xfId="28989" xr:uid="{00000000-0005-0000-0000-00001E270000}"/>
    <cellStyle name="20% - Accent4 16 6 2" xfId="28990" xr:uid="{00000000-0005-0000-0000-00001F270000}"/>
    <cellStyle name="20% - Accent4 16 6 2 2" xfId="28991" xr:uid="{00000000-0005-0000-0000-000020270000}"/>
    <cellStyle name="20% - Accent4 16 6 2 2 2" xfId="28992" xr:uid="{00000000-0005-0000-0000-000021270000}"/>
    <cellStyle name="20% - Accent4 16 6 2 3" xfId="28993" xr:uid="{00000000-0005-0000-0000-000022270000}"/>
    <cellStyle name="20% - Accent4 16 6 3" xfId="28994" xr:uid="{00000000-0005-0000-0000-000023270000}"/>
    <cellStyle name="20% - Accent4 16 6 3 2" xfId="28995" xr:uid="{00000000-0005-0000-0000-000024270000}"/>
    <cellStyle name="20% - Accent4 16 6 4" xfId="28996" xr:uid="{00000000-0005-0000-0000-000025270000}"/>
    <cellStyle name="20% - Accent4 16 7" xfId="28997" xr:uid="{00000000-0005-0000-0000-000026270000}"/>
    <cellStyle name="20% - Accent4 16 7 2" xfId="28998" xr:uid="{00000000-0005-0000-0000-000027270000}"/>
    <cellStyle name="20% - Accent4 16 7 2 2" xfId="28999" xr:uid="{00000000-0005-0000-0000-000028270000}"/>
    <cellStyle name="20% - Accent4 16 7 3" xfId="29000" xr:uid="{00000000-0005-0000-0000-000029270000}"/>
    <cellStyle name="20% - Accent4 16 8" xfId="29001" xr:uid="{00000000-0005-0000-0000-00002A270000}"/>
    <cellStyle name="20% - Accent4 16 8 2" xfId="29002" xr:uid="{00000000-0005-0000-0000-00002B270000}"/>
    <cellStyle name="20% - Accent4 16 9" xfId="29003" xr:uid="{00000000-0005-0000-0000-00002C270000}"/>
    <cellStyle name="20% - Accent4 17" xfId="29004" xr:uid="{00000000-0005-0000-0000-00002D270000}"/>
    <cellStyle name="20% - Accent4 17 2" xfId="29005" xr:uid="{00000000-0005-0000-0000-00002E270000}"/>
    <cellStyle name="20% - Accent4 17 2 2" xfId="29006" xr:uid="{00000000-0005-0000-0000-00002F270000}"/>
    <cellStyle name="20% - Accent4 17 2 2 2" xfId="29007" xr:uid="{00000000-0005-0000-0000-000030270000}"/>
    <cellStyle name="20% - Accent4 17 2 2 2 2" xfId="29008" xr:uid="{00000000-0005-0000-0000-000031270000}"/>
    <cellStyle name="20% - Accent4 17 2 2 3" xfId="29009" xr:uid="{00000000-0005-0000-0000-000032270000}"/>
    <cellStyle name="20% - Accent4 17 2 3" xfId="29010" xr:uid="{00000000-0005-0000-0000-000033270000}"/>
    <cellStyle name="20% - Accent4 17 2 3 2" xfId="29011" xr:uid="{00000000-0005-0000-0000-000034270000}"/>
    <cellStyle name="20% - Accent4 17 2 3 2 2" xfId="29012" xr:uid="{00000000-0005-0000-0000-000035270000}"/>
    <cellStyle name="20% - Accent4 17 2 3 3" xfId="29013" xr:uid="{00000000-0005-0000-0000-000036270000}"/>
    <cellStyle name="20% - Accent4 17 2 4" xfId="29014" xr:uid="{00000000-0005-0000-0000-000037270000}"/>
    <cellStyle name="20% - Accent4 17 2 4 2" xfId="29015" xr:uid="{00000000-0005-0000-0000-000038270000}"/>
    <cellStyle name="20% - Accent4 17 2 5" xfId="29016" xr:uid="{00000000-0005-0000-0000-000039270000}"/>
    <cellStyle name="20% - Accent4 17 3" xfId="29017" xr:uid="{00000000-0005-0000-0000-00003A270000}"/>
    <cellStyle name="20% - Accent4 17 3 2" xfId="29018" xr:uid="{00000000-0005-0000-0000-00003B270000}"/>
    <cellStyle name="20% - Accent4 17 3 2 2" xfId="29019" xr:uid="{00000000-0005-0000-0000-00003C270000}"/>
    <cellStyle name="20% - Accent4 17 3 2 2 2" xfId="29020" xr:uid="{00000000-0005-0000-0000-00003D270000}"/>
    <cellStyle name="20% - Accent4 17 3 2 3" xfId="29021" xr:uid="{00000000-0005-0000-0000-00003E270000}"/>
    <cellStyle name="20% - Accent4 17 3 3" xfId="29022" xr:uid="{00000000-0005-0000-0000-00003F270000}"/>
    <cellStyle name="20% - Accent4 17 3 3 2" xfId="29023" xr:uid="{00000000-0005-0000-0000-000040270000}"/>
    <cellStyle name="20% - Accent4 17 3 3 2 2" xfId="29024" xr:uid="{00000000-0005-0000-0000-000041270000}"/>
    <cellStyle name="20% - Accent4 17 3 3 3" xfId="29025" xr:uid="{00000000-0005-0000-0000-000042270000}"/>
    <cellStyle name="20% - Accent4 17 3 4" xfId="29026" xr:uid="{00000000-0005-0000-0000-000043270000}"/>
    <cellStyle name="20% - Accent4 17 3 4 2" xfId="29027" xr:uid="{00000000-0005-0000-0000-000044270000}"/>
    <cellStyle name="20% - Accent4 17 3 5" xfId="29028" xr:uid="{00000000-0005-0000-0000-000045270000}"/>
    <cellStyle name="20% - Accent4 17 4" xfId="29029" xr:uid="{00000000-0005-0000-0000-000046270000}"/>
    <cellStyle name="20% - Accent4 17 4 2" xfId="29030" xr:uid="{00000000-0005-0000-0000-000047270000}"/>
    <cellStyle name="20% - Accent4 17 4 2 2" xfId="29031" xr:uid="{00000000-0005-0000-0000-000048270000}"/>
    <cellStyle name="20% - Accent4 17 4 2 2 2" xfId="29032" xr:uid="{00000000-0005-0000-0000-000049270000}"/>
    <cellStyle name="20% - Accent4 17 4 2 3" xfId="29033" xr:uid="{00000000-0005-0000-0000-00004A270000}"/>
    <cellStyle name="20% - Accent4 17 4 3" xfId="29034" xr:uid="{00000000-0005-0000-0000-00004B270000}"/>
    <cellStyle name="20% - Accent4 17 4 3 2" xfId="29035" xr:uid="{00000000-0005-0000-0000-00004C270000}"/>
    <cellStyle name="20% - Accent4 17 4 3 2 2" xfId="29036" xr:uid="{00000000-0005-0000-0000-00004D270000}"/>
    <cellStyle name="20% - Accent4 17 4 3 3" xfId="29037" xr:uid="{00000000-0005-0000-0000-00004E270000}"/>
    <cellStyle name="20% - Accent4 17 4 4" xfId="29038" xr:uid="{00000000-0005-0000-0000-00004F270000}"/>
    <cellStyle name="20% - Accent4 17 4 4 2" xfId="29039" xr:uid="{00000000-0005-0000-0000-000050270000}"/>
    <cellStyle name="20% - Accent4 17 4 5" xfId="29040" xr:uid="{00000000-0005-0000-0000-000051270000}"/>
    <cellStyle name="20% - Accent4 17 5" xfId="29041" xr:uid="{00000000-0005-0000-0000-000052270000}"/>
    <cellStyle name="20% - Accent4 17 5 2" xfId="29042" xr:uid="{00000000-0005-0000-0000-000053270000}"/>
    <cellStyle name="20% - Accent4 17 5 2 2" xfId="29043" xr:uid="{00000000-0005-0000-0000-000054270000}"/>
    <cellStyle name="20% - Accent4 17 5 2 2 2" xfId="29044" xr:uid="{00000000-0005-0000-0000-000055270000}"/>
    <cellStyle name="20% - Accent4 17 5 2 3" xfId="29045" xr:uid="{00000000-0005-0000-0000-000056270000}"/>
    <cellStyle name="20% - Accent4 17 5 3" xfId="29046" xr:uid="{00000000-0005-0000-0000-000057270000}"/>
    <cellStyle name="20% - Accent4 17 5 3 2" xfId="29047" xr:uid="{00000000-0005-0000-0000-000058270000}"/>
    <cellStyle name="20% - Accent4 17 5 4" xfId="29048" xr:uid="{00000000-0005-0000-0000-000059270000}"/>
    <cellStyle name="20% - Accent4 17 6" xfId="29049" xr:uid="{00000000-0005-0000-0000-00005A270000}"/>
    <cellStyle name="20% - Accent4 17 6 2" xfId="29050" xr:uid="{00000000-0005-0000-0000-00005B270000}"/>
    <cellStyle name="20% - Accent4 17 6 2 2" xfId="29051" xr:uid="{00000000-0005-0000-0000-00005C270000}"/>
    <cellStyle name="20% - Accent4 17 6 3" xfId="29052" xr:uid="{00000000-0005-0000-0000-00005D270000}"/>
    <cellStyle name="20% - Accent4 17 7" xfId="29053" xr:uid="{00000000-0005-0000-0000-00005E270000}"/>
    <cellStyle name="20% - Accent4 17 7 2" xfId="29054" xr:uid="{00000000-0005-0000-0000-00005F270000}"/>
    <cellStyle name="20% - Accent4 17 8" xfId="29055" xr:uid="{00000000-0005-0000-0000-000060270000}"/>
    <cellStyle name="20% - Accent4 18" xfId="29056" xr:uid="{00000000-0005-0000-0000-000061270000}"/>
    <cellStyle name="20% - Accent4 18 2" xfId="29057" xr:uid="{00000000-0005-0000-0000-000062270000}"/>
    <cellStyle name="20% - Accent4 18 2 2" xfId="29058" xr:uid="{00000000-0005-0000-0000-000063270000}"/>
    <cellStyle name="20% - Accent4 18 2 2 2" xfId="29059" xr:uid="{00000000-0005-0000-0000-000064270000}"/>
    <cellStyle name="20% - Accent4 18 2 2 2 2" xfId="29060" xr:uid="{00000000-0005-0000-0000-000065270000}"/>
    <cellStyle name="20% - Accent4 18 2 2 3" xfId="29061" xr:uid="{00000000-0005-0000-0000-000066270000}"/>
    <cellStyle name="20% - Accent4 18 2 3" xfId="29062" xr:uid="{00000000-0005-0000-0000-000067270000}"/>
    <cellStyle name="20% - Accent4 18 2 3 2" xfId="29063" xr:uid="{00000000-0005-0000-0000-000068270000}"/>
    <cellStyle name="20% - Accent4 18 2 4" xfId="29064" xr:uid="{00000000-0005-0000-0000-000069270000}"/>
    <cellStyle name="20% - Accent4 18 3" xfId="29065" xr:uid="{00000000-0005-0000-0000-00006A270000}"/>
    <cellStyle name="20% - Accent4 18 3 2" xfId="29066" xr:uid="{00000000-0005-0000-0000-00006B270000}"/>
    <cellStyle name="20% - Accent4 18 3 2 2" xfId="29067" xr:uid="{00000000-0005-0000-0000-00006C270000}"/>
    <cellStyle name="20% - Accent4 18 3 2 2 2" xfId="29068" xr:uid="{00000000-0005-0000-0000-00006D270000}"/>
    <cellStyle name="20% - Accent4 18 3 2 3" xfId="29069" xr:uid="{00000000-0005-0000-0000-00006E270000}"/>
    <cellStyle name="20% - Accent4 18 3 3" xfId="29070" xr:uid="{00000000-0005-0000-0000-00006F270000}"/>
    <cellStyle name="20% - Accent4 18 3 3 2" xfId="29071" xr:uid="{00000000-0005-0000-0000-000070270000}"/>
    <cellStyle name="20% - Accent4 18 3 4" xfId="29072" xr:uid="{00000000-0005-0000-0000-000071270000}"/>
    <cellStyle name="20% - Accent4 18 4" xfId="29073" xr:uid="{00000000-0005-0000-0000-000072270000}"/>
    <cellStyle name="20% - Accent4 18 4 2" xfId="29074" xr:uid="{00000000-0005-0000-0000-000073270000}"/>
    <cellStyle name="20% - Accent4 18 4 2 2" xfId="29075" xr:uid="{00000000-0005-0000-0000-000074270000}"/>
    <cellStyle name="20% - Accent4 18 4 3" xfId="29076" xr:uid="{00000000-0005-0000-0000-000075270000}"/>
    <cellStyle name="20% - Accent4 18 5" xfId="29077" xr:uid="{00000000-0005-0000-0000-000076270000}"/>
    <cellStyle name="20% - Accent4 18 5 2" xfId="29078" xr:uid="{00000000-0005-0000-0000-000077270000}"/>
    <cellStyle name="20% - Accent4 18 6" xfId="29079" xr:uid="{00000000-0005-0000-0000-000078270000}"/>
    <cellStyle name="20% - Accent4 19" xfId="29080" xr:uid="{00000000-0005-0000-0000-000079270000}"/>
    <cellStyle name="20% - Accent4 19 2" xfId="29081" xr:uid="{00000000-0005-0000-0000-00007A270000}"/>
    <cellStyle name="20% - Accent4 19 2 2" xfId="29082" xr:uid="{00000000-0005-0000-0000-00007B270000}"/>
    <cellStyle name="20% - Accent4 19 3" xfId="29083" xr:uid="{00000000-0005-0000-0000-00007C270000}"/>
    <cellStyle name="20% - Accent4 2" xfId="86" xr:uid="{00000000-0005-0000-0000-00007D270000}"/>
    <cellStyle name="20% - Accent4 2 10" xfId="998" xr:uid="{00000000-0005-0000-0000-00007E270000}"/>
    <cellStyle name="20% - Accent4 2 10 10" xfId="45100" xr:uid="{00000000-0005-0000-0000-00007F270000}"/>
    <cellStyle name="20% - Accent4 2 10 11" xfId="50578" xr:uid="{00000000-0005-0000-0000-000080270000}"/>
    <cellStyle name="20% - Accent4 2 10 2" xfId="2759" xr:uid="{00000000-0005-0000-0000-000081270000}"/>
    <cellStyle name="20% - Accent4 2 10 2 2" xfId="8239" xr:uid="{00000000-0005-0000-0000-000082270000}"/>
    <cellStyle name="20% - Accent4 2 10 2 3" xfId="13715" xr:uid="{00000000-0005-0000-0000-000083270000}"/>
    <cellStyle name="20% - Accent4 2 10 2 4" xfId="19191" xr:uid="{00000000-0005-0000-0000-000084270000}"/>
    <cellStyle name="20% - Accent4 2 10 2 5" xfId="24667" xr:uid="{00000000-0005-0000-0000-000085270000}"/>
    <cellStyle name="20% - Accent4 2 10 2 6" xfId="36463" xr:uid="{00000000-0005-0000-0000-000086270000}"/>
    <cellStyle name="20% - Accent4 2 10 2 7" xfId="41940" xr:uid="{00000000-0005-0000-0000-000087270000}"/>
    <cellStyle name="20% - Accent4 2 10 2 8" xfId="47417" xr:uid="{00000000-0005-0000-0000-000088270000}"/>
    <cellStyle name="20% - Accent4 2 10 2 9" xfId="52935" xr:uid="{00000000-0005-0000-0000-000089270000}"/>
    <cellStyle name="20% - Accent4 2 10 3" xfId="4531" xr:uid="{00000000-0005-0000-0000-00008A270000}"/>
    <cellStyle name="20% - Accent4 2 10 3 2" xfId="10011" xr:uid="{00000000-0005-0000-0000-00008B270000}"/>
    <cellStyle name="20% - Accent4 2 10 3 3" xfId="15487" xr:uid="{00000000-0005-0000-0000-00008C270000}"/>
    <cellStyle name="20% - Accent4 2 10 3 4" xfId="20963" xr:uid="{00000000-0005-0000-0000-00008D270000}"/>
    <cellStyle name="20% - Accent4 2 10 3 5" xfId="26439" xr:uid="{00000000-0005-0000-0000-00008E270000}"/>
    <cellStyle name="20% - Accent4 2 10 3 6" xfId="38235" xr:uid="{00000000-0005-0000-0000-00008F270000}"/>
    <cellStyle name="20% - Accent4 2 10 3 7" xfId="43712" xr:uid="{00000000-0005-0000-0000-000090270000}"/>
    <cellStyle name="20% - Accent4 2 10 3 8" xfId="49189" xr:uid="{00000000-0005-0000-0000-000091270000}"/>
    <cellStyle name="20% - Accent4 2 10 3 9" xfId="54707" xr:uid="{00000000-0005-0000-0000-000092270000}"/>
    <cellStyle name="20% - Accent4 2 10 4" xfId="5919" xr:uid="{00000000-0005-0000-0000-000093270000}"/>
    <cellStyle name="20% - Accent4 2 10 5" xfId="11399" xr:uid="{00000000-0005-0000-0000-000094270000}"/>
    <cellStyle name="20% - Accent4 2 10 6" xfId="16875" xr:uid="{00000000-0005-0000-0000-000095270000}"/>
    <cellStyle name="20% - Accent4 2 10 7" xfId="22351" xr:uid="{00000000-0005-0000-0000-000096270000}"/>
    <cellStyle name="20% - Accent4 2 10 8" xfId="34146" xr:uid="{00000000-0005-0000-0000-000097270000}"/>
    <cellStyle name="20% - Accent4 2 10 9" xfId="39623" xr:uid="{00000000-0005-0000-0000-000098270000}"/>
    <cellStyle name="20% - Accent4 2 11" xfId="1015" xr:uid="{00000000-0005-0000-0000-000099270000}"/>
    <cellStyle name="20% - Accent4 2 11 10" xfId="45101" xr:uid="{00000000-0005-0000-0000-00009A270000}"/>
    <cellStyle name="20% - Accent4 2 11 11" xfId="50579" xr:uid="{00000000-0005-0000-0000-00009B270000}"/>
    <cellStyle name="20% - Accent4 2 11 2" xfId="2776" xr:uid="{00000000-0005-0000-0000-00009C270000}"/>
    <cellStyle name="20% - Accent4 2 11 2 2" xfId="8256" xr:uid="{00000000-0005-0000-0000-00009D270000}"/>
    <cellStyle name="20% - Accent4 2 11 2 3" xfId="13732" xr:uid="{00000000-0005-0000-0000-00009E270000}"/>
    <cellStyle name="20% - Accent4 2 11 2 4" xfId="19208" xr:uid="{00000000-0005-0000-0000-00009F270000}"/>
    <cellStyle name="20% - Accent4 2 11 2 5" xfId="24684" xr:uid="{00000000-0005-0000-0000-0000A0270000}"/>
    <cellStyle name="20% - Accent4 2 11 2 6" xfId="36480" xr:uid="{00000000-0005-0000-0000-0000A1270000}"/>
    <cellStyle name="20% - Accent4 2 11 2 7" xfId="41957" xr:uid="{00000000-0005-0000-0000-0000A2270000}"/>
    <cellStyle name="20% - Accent4 2 11 2 8" xfId="47434" xr:uid="{00000000-0005-0000-0000-0000A3270000}"/>
    <cellStyle name="20% - Accent4 2 11 2 9" xfId="52952" xr:uid="{00000000-0005-0000-0000-0000A4270000}"/>
    <cellStyle name="20% - Accent4 2 11 3" xfId="4548" xr:uid="{00000000-0005-0000-0000-0000A5270000}"/>
    <cellStyle name="20% - Accent4 2 11 3 2" xfId="10028" xr:uid="{00000000-0005-0000-0000-0000A6270000}"/>
    <cellStyle name="20% - Accent4 2 11 3 3" xfId="15504" xr:uid="{00000000-0005-0000-0000-0000A7270000}"/>
    <cellStyle name="20% - Accent4 2 11 3 4" xfId="20980" xr:uid="{00000000-0005-0000-0000-0000A8270000}"/>
    <cellStyle name="20% - Accent4 2 11 3 5" xfId="26456" xr:uid="{00000000-0005-0000-0000-0000A9270000}"/>
    <cellStyle name="20% - Accent4 2 11 3 6" xfId="38252" xr:uid="{00000000-0005-0000-0000-0000AA270000}"/>
    <cellStyle name="20% - Accent4 2 11 3 7" xfId="43729" xr:uid="{00000000-0005-0000-0000-0000AB270000}"/>
    <cellStyle name="20% - Accent4 2 11 3 8" xfId="49206" xr:uid="{00000000-0005-0000-0000-0000AC270000}"/>
    <cellStyle name="20% - Accent4 2 11 3 9" xfId="54724" xr:uid="{00000000-0005-0000-0000-0000AD270000}"/>
    <cellStyle name="20% - Accent4 2 11 4" xfId="5920" xr:uid="{00000000-0005-0000-0000-0000AE270000}"/>
    <cellStyle name="20% - Accent4 2 11 5" xfId="11400" xr:uid="{00000000-0005-0000-0000-0000AF270000}"/>
    <cellStyle name="20% - Accent4 2 11 6" xfId="16876" xr:uid="{00000000-0005-0000-0000-0000B0270000}"/>
    <cellStyle name="20% - Accent4 2 11 7" xfId="22352" xr:uid="{00000000-0005-0000-0000-0000B1270000}"/>
    <cellStyle name="20% - Accent4 2 11 8" xfId="34147" xr:uid="{00000000-0005-0000-0000-0000B2270000}"/>
    <cellStyle name="20% - Accent4 2 11 9" xfId="39624" xr:uid="{00000000-0005-0000-0000-0000B3270000}"/>
    <cellStyle name="20% - Accent4 2 12" xfId="1059" xr:uid="{00000000-0005-0000-0000-0000B4270000}"/>
    <cellStyle name="20% - Accent4 2 12 10" xfId="45102" xr:uid="{00000000-0005-0000-0000-0000B5270000}"/>
    <cellStyle name="20% - Accent4 2 12 11" xfId="50580" xr:uid="{00000000-0005-0000-0000-0000B6270000}"/>
    <cellStyle name="20% - Accent4 2 12 2" xfId="2820" xr:uid="{00000000-0005-0000-0000-0000B7270000}"/>
    <cellStyle name="20% - Accent4 2 12 2 2" xfId="8300" xr:uid="{00000000-0005-0000-0000-0000B8270000}"/>
    <cellStyle name="20% - Accent4 2 12 2 3" xfId="13776" xr:uid="{00000000-0005-0000-0000-0000B9270000}"/>
    <cellStyle name="20% - Accent4 2 12 2 4" xfId="19252" xr:uid="{00000000-0005-0000-0000-0000BA270000}"/>
    <cellStyle name="20% - Accent4 2 12 2 5" xfId="24728" xr:uid="{00000000-0005-0000-0000-0000BB270000}"/>
    <cellStyle name="20% - Accent4 2 12 2 6" xfId="36524" xr:uid="{00000000-0005-0000-0000-0000BC270000}"/>
    <cellStyle name="20% - Accent4 2 12 2 7" xfId="42001" xr:uid="{00000000-0005-0000-0000-0000BD270000}"/>
    <cellStyle name="20% - Accent4 2 12 2 8" xfId="47478" xr:uid="{00000000-0005-0000-0000-0000BE270000}"/>
    <cellStyle name="20% - Accent4 2 12 2 9" xfId="52996" xr:uid="{00000000-0005-0000-0000-0000BF270000}"/>
    <cellStyle name="20% - Accent4 2 12 3" xfId="4592" xr:uid="{00000000-0005-0000-0000-0000C0270000}"/>
    <cellStyle name="20% - Accent4 2 12 3 2" xfId="10072" xr:uid="{00000000-0005-0000-0000-0000C1270000}"/>
    <cellStyle name="20% - Accent4 2 12 3 3" xfId="15548" xr:uid="{00000000-0005-0000-0000-0000C2270000}"/>
    <cellStyle name="20% - Accent4 2 12 3 4" xfId="21024" xr:uid="{00000000-0005-0000-0000-0000C3270000}"/>
    <cellStyle name="20% - Accent4 2 12 3 5" xfId="26500" xr:uid="{00000000-0005-0000-0000-0000C4270000}"/>
    <cellStyle name="20% - Accent4 2 12 3 6" xfId="38296" xr:uid="{00000000-0005-0000-0000-0000C5270000}"/>
    <cellStyle name="20% - Accent4 2 12 3 7" xfId="43773" xr:uid="{00000000-0005-0000-0000-0000C6270000}"/>
    <cellStyle name="20% - Accent4 2 12 3 8" xfId="49250" xr:uid="{00000000-0005-0000-0000-0000C7270000}"/>
    <cellStyle name="20% - Accent4 2 12 3 9" xfId="54768" xr:uid="{00000000-0005-0000-0000-0000C8270000}"/>
    <cellStyle name="20% - Accent4 2 12 4" xfId="5921" xr:uid="{00000000-0005-0000-0000-0000C9270000}"/>
    <cellStyle name="20% - Accent4 2 12 5" xfId="11401" xr:uid="{00000000-0005-0000-0000-0000CA270000}"/>
    <cellStyle name="20% - Accent4 2 12 6" xfId="16877" xr:uid="{00000000-0005-0000-0000-0000CB270000}"/>
    <cellStyle name="20% - Accent4 2 12 7" xfId="22353" xr:uid="{00000000-0005-0000-0000-0000CC270000}"/>
    <cellStyle name="20% - Accent4 2 12 8" xfId="34148" xr:uid="{00000000-0005-0000-0000-0000CD270000}"/>
    <cellStyle name="20% - Accent4 2 12 9" xfId="39625" xr:uid="{00000000-0005-0000-0000-0000CE270000}"/>
    <cellStyle name="20% - Accent4 2 13" xfId="1231" xr:uid="{00000000-0005-0000-0000-0000CF270000}"/>
    <cellStyle name="20% - Accent4 2 13 10" xfId="45103" xr:uid="{00000000-0005-0000-0000-0000D0270000}"/>
    <cellStyle name="20% - Accent4 2 13 11" xfId="50581" xr:uid="{00000000-0005-0000-0000-0000D1270000}"/>
    <cellStyle name="20% - Accent4 2 13 2" xfId="2992" xr:uid="{00000000-0005-0000-0000-0000D2270000}"/>
    <cellStyle name="20% - Accent4 2 13 2 2" xfId="8472" xr:uid="{00000000-0005-0000-0000-0000D3270000}"/>
    <cellStyle name="20% - Accent4 2 13 2 3" xfId="13948" xr:uid="{00000000-0005-0000-0000-0000D4270000}"/>
    <cellStyle name="20% - Accent4 2 13 2 4" xfId="19424" xr:uid="{00000000-0005-0000-0000-0000D5270000}"/>
    <cellStyle name="20% - Accent4 2 13 2 5" xfId="24900" xr:uid="{00000000-0005-0000-0000-0000D6270000}"/>
    <cellStyle name="20% - Accent4 2 13 2 6" xfId="36696" xr:uid="{00000000-0005-0000-0000-0000D7270000}"/>
    <cellStyle name="20% - Accent4 2 13 2 7" xfId="42173" xr:uid="{00000000-0005-0000-0000-0000D8270000}"/>
    <cellStyle name="20% - Accent4 2 13 2 8" xfId="47650" xr:uid="{00000000-0005-0000-0000-0000D9270000}"/>
    <cellStyle name="20% - Accent4 2 13 2 9" xfId="53168" xr:uid="{00000000-0005-0000-0000-0000DA270000}"/>
    <cellStyle name="20% - Accent4 2 13 3" xfId="4764" xr:uid="{00000000-0005-0000-0000-0000DB270000}"/>
    <cellStyle name="20% - Accent4 2 13 3 2" xfId="10244" xr:uid="{00000000-0005-0000-0000-0000DC270000}"/>
    <cellStyle name="20% - Accent4 2 13 3 3" xfId="15720" xr:uid="{00000000-0005-0000-0000-0000DD270000}"/>
    <cellStyle name="20% - Accent4 2 13 3 4" xfId="21196" xr:uid="{00000000-0005-0000-0000-0000DE270000}"/>
    <cellStyle name="20% - Accent4 2 13 3 5" xfId="26672" xr:uid="{00000000-0005-0000-0000-0000DF270000}"/>
    <cellStyle name="20% - Accent4 2 13 3 6" xfId="38468" xr:uid="{00000000-0005-0000-0000-0000E0270000}"/>
    <cellStyle name="20% - Accent4 2 13 3 7" xfId="43945" xr:uid="{00000000-0005-0000-0000-0000E1270000}"/>
    <cellStyle name="20% - Accent4 2 13 3 8" xfId="49422" xr:uid="{00000000-0005-0000-0000-0000E2270000}"/>
    <cellStyle name="20% - Accent4 2 13 3 9" xfId="54940" xr:uid="{00000000-0005-0000-0000-0000E3270000}"/>
    <cellStyle name="20% - Accent4 2 13 4" xfId="5922" xr:uid="{00000000-0005-0000-0000-0000E4270000}"/>
    <cellStyle name="20% - Accent4 2 13 5" xfId="11402" xr:uid="{00000000-0005-0000-0000-0000E5270000}"/>
    <cellStyle name="20% - Accent4 2 13 6" xfId="16878" xr:uid="{00000000-0005-0000-0000-0000E6270000}"/>
    <cellStyle name="20% - Accent4 2 13 7" xfId="22354" xr:uid="{00000000-0005-0000-0000-0000E7270000}"/>
    <cellStyle name="20% - Accent4 2 13 8" xfId="34149" xr:uid="{00000000-0005-0000-0000-0000E8270000}"/>
    <cellStyle name="20% - Accent4 2 13 9" xfId="39626" xr:uid="{00000000-0005-0000-0000-0000E9270000}"/>
    <cellStyle name="20% - Accent4 2 14" xfId="1403" xr:uid="{00000000-0005-0000-0000-0000EA270000}"/>
    <cellStyle name="20% - Accent4 2 14 10" xfId="45104" xr:uid="{00000000-0005-0000-0000-0000EB270000}"/>
    <cellStyle name="20% - Accent4 2 14 11" xfId="50582" xr:uid="{00000000-0005-0000-0000-0000EC270000}"/>
    <cellStyle name="20% - Accent4 2 14 2" xfId="3164" xr:uid="{00000000-0005-0000-0000-0000ED270000}"/>
    <cellStyle name="20% - Accent4 2 14 2 2" xfId="8644" xr:uid="{00000000-0005-0000-0000-0000EE270000}"/>
    <cellStyle name="20% - Accent4 2 14 2 3" xfId="14120" xr:uid="{00000000-0005-0000-0000-0000EF270000}"/>
    <cellStyle name="20% - Accent4 2 14 2 4" xfId="19596" xr:uid="{00000000-0005-0000-0000-0000F0270000}"/>
    <cellStyle name="20% - Accent4 2 14 2 5" xfId="25072" xr:uid="{00000000-0005-0000-0000-0000F1270000}"/>
    <cellStyle name="20% - Accent4 2 14 2 6" xfId="36868" xr:uid="{00000000-0005-0000-0000-0000F2270000}"/>
    <cellStyle name="20% - Accent4 2 14 2 7" xfId="42345" xr:uid="{00000000-0005-0000-0000-0000F3270000}"/>
    <cellStyle name="20% - Accent4 2 14 2 8" xfId="47822" xr:uid="{00000000-0005-0000-0000-0000F4270000}"/>
    <cellStyle name="20% - Accent4 2 14 2 9" xfId="53340" xr:uid="{00000000-0005-0000-0000-0000F5270000}"/>
    <cellStyle name="20% - Accent4 2 14 3" xfId="4936" xr:uid="{00000000-0005-0000-0000-0000F6270000}"/>
    <cellStyle name="20% - Accent4 2 14 3 2" xfId="10416" xr:uid="{00000000-0005-0000-0000-0000F7270000}"/>
    <cellStyle name="20% - Accent4 2 14 3 3" xfId="15892" xr:uid="{00000000-0005-0000-0000-0000F8270000}"/>
    <cellStyle name="20% - Accent4 2 14 3 4" xfId="21368" xr:uid="{00000000-0005-0000-0000-0000F9270000}"/>
    <cellStyle name="20% - Accent4 2 14 3 5" xfId="26844" xr:uid="{00000000-0005-0000-0000-0000FA270000}"/>
    <cellStyle name="20% - Accent4 2 14 3 6" xfId="38640" xr:uid="{00000000-0005-0000-0000-0000FB270000}"/>
    <cellStyle name="20% - Accent4 2 14 3 7" xfId="44117" xr:uid="{00000000-0005-0000-0000-0000FC270000}"/>
    <cellStyle name="20% - Accent4 2 14 3 8" xfId="49594" xr:uid="{00000000-0005-0000-0000-0000FD270000}"/>
    <cellStyle name="20% - Accent4 2 14 3 9" xfId="55112" xr:uid="{00000000-0005-0000-0000-0000FE270000}"/>
    <cellStyle name="20% - Accent4 2 14 4" xfId="5923" xr:uid="{00000000-0005-0000-0000-0000FF270000}"/>
    <cellStyle name="20% - Accent4 2 14 5" xfId="11403" xr:uid="{00000000-0005-0000-0000-000000280000}"/>
    <cellStyle name="20% - Accent4 2 14 6" xfId="16879" xr:uid="{00000000-0005-0000-0000-000001280000}"/>
    <cellStyle name="20% - Accent4 2 14 7" xfId="22355" xr:uid="{00000000-0005-0000-0000-000002280000}"/>
    <cellStyle name="20% - Accent4 2 14 8" xfId="34150" xr:uid="{00000000-0005-0000-0000-000003280000}"/>
    <cellStyle name="20% - Accent4 2 14 9" xfId="39627" xr:uid="{00000000-0005-0000-0000-000004280000}"/>
    <cellStyle name="20% - Accent4 2 15" xfId="1575" xr:uid="{00000000-0005-0000-0000-000005280000}"/>
    <cellStyle name="20% - Accent4 2 15 10" xfId="45105" xr:uid="{00000000-0005-0000-0000-000006280000}"/>
    <cellStyle name="20% - Accent4 2 15 11" xfId="50583" xr:uid="{00000000-0005-0000-0000-000007280000}"/>
    <cellStyle name="20% - Accent4 2 15 2" xfId="3336" xr:uid="{00000000-0005-0000-0000-000008280000}"/>
    <cellStyle name="20% - Accent4 2 15 2 2" xfId="8816" xr:uid="{00000000-0005-0000-0000-000009280000}"/>
    <cellStyle name="20% - Accent4 2 15 2 3" xfId="14292" xr:uid="{00000000-0005-0000-0000-00000A280000}"/>
    <cellStyle name="20% - Accent4 2 15 2 4" xfId="19768" xr:uid="{00000000-0005-0000-0000-00000B280000}"/>
    <cellStyle name="20% - Accent4 2 15 2 5" xfId="25244" xr:uid="{00000000-0005-0000-0000-00000C280000}"/>
    <cellStyle name="20% - Accent4 2 15 2 6" xfId="37040" xr:uid="{00000000-0005-0000-0000-00000D280000}"/>
    <cellStyle name="20% - Accent4 2 15 2 7" xfId="42517" xr:uid="{00000000-0005-0000-0000-00000E280000}"/>
    <cellStyle name="20% - Accent4 2 15 2 8" xfId="47994" xr:uid="{00000000-0005-0000-0000-00000F280000}"/>
    <cellStyle name="20% - Accent4 2 15 2 9" xfId="53512" xr:uid="{00000000-0005-0000-0000-000010280000}"/>
    <cellStyle name="20% - Accent4 2 15 3" xfId="5108" xr:uid="{00000000-0005-0000-0000-000011280000}"/>
    <cellStyle name="20% - Accent4 2 15 3 2" xfId="10588" xr:uid="{00000000-0005-0000-0000-000012280000}"/>
    <cellStyle name="20% - Accent4 2 15 3 3" xfId="16064" xr:uid="{00000000-0005-0000-0000-000013280000}"/>
    <cellStyle name="20% - Accent4 2 15 3 4" xfId="21540" xr:uid="{00000000-0005-0000-0000-000014280000}"/>
    <cellStyle name="20% - Accent4 2 15 3 5" xfId="27016" xr:uid="{00000000-0005-0000-0000-000015280000}"/>
    <cellStyle name="20% - Accent4 2 15 3 6" xfId="38812" xr:uid="{00000000-0005-0000-0000-000016280000}"/>
    <cellStyle name="20% - Accent4 2 15 3 7" xfId="44289" xr:uid="{00000000-0005-0000-0000-000017280000}"/>
    <cellStyle name="20% - Accent4 2 15 3 8" xfId="49766" xr:uid="{00000000-0005-0000-0000-000018280000}"/>
    <cellStyle name="20% - Accent4 2 15 3 9" xfId="55284" xr:uid="{00000000-0005-0000-0000-000019280000}"/>
    <cellStyle name="20% - Accent4 2 15 4" xfId="5924" xr:uid="{00000000-0005-0000-0000-00001A280000}"/>
    <cellStyle name="20% - Accent4 2 15 5" xfId="11404" xr:uid="{00000000-0005-0000-0000-00001B280000}"/>
    <cellStyle name="20% - Accent4 2 15 6" xfId="16880" xr:uid="{00000000-0005-0000-0000-00001C280000}"/>
    <cellStyle name="20% - Accent4 2 15 7" xfId="22356" xr:uid="{00000000-0005-0000-0000-00001D280000}"/>
    <cellStyle name="20% - Accent4 2 15 8" xfId="34151" xr:uid="{00000000-0005-0000-0000-00001E280000}"/>
    <cellStyle name="20% - Accent4 2 15 9" xfId="39628" xr:uid="{00000000-0005-0000-0000-00001F280000}"/>
    <cellStyle name="20% - Accent4 2 16" xfId="1720" xr:uid="{00000000-0005-0000-0000-000020280000}"/>
    <cellStyle name="20% - Accent4 2 16 10" xfId="45106" xr:uid="{00000000-0005-0000-0000-000021280000}"/>
    <cellStyle name="20% - Accent4 2 16 11" xfId="50584" xr:uid="{00000000-0005-0000-0000-000022280000}"/>
    <cellStyle name="20% - Accent4 2 16 2" xfId="3481" xr:uid="{00000000-0005-0000-0000-000023280000}"/>
    <cellStyle name="20% - Accent4 2 16 2 2" xfId="8961" xr:uid="{00000000-0005-0000-0000-000024280000}"/>
    <cellStyle name="20% - Accent4 2 16 2 3" xfId="14437" xr:uid="{00000000-0005-0000-0000-000025280000}"/>
    <cellStyle name="20% - Accent4 2 16 2 4" xfId="19913" xr:uid="{00000000-0005-0000-0000-000026280000}"/>
    <cellStyle name="20% - Accent4 2 16 2 5" xfId="25389" xr:uid="{00000000-0005-0000-0000-000027280000}"/>
    <cellStyle name="20% - Accent4 2 16 2 6" xfId="37185" xr:uid="{00000000-0005-0000-0000-000028280000}"/>
    <cellStyle name="20% - Accent4 2 16 2 7" xfId="42662" xr:uid="{00000000-0005-0000-0000-000029280000}"/>
    <cellStyle name="20% - Accent4 2 16 2 8" xfId="48139" xr:uid="{00000000-0005-0000-0000-00002A280000}"/>
    <cellStyle name="20% - Accent4 2 16 2 9" xfId="53657" xr:uid="{00000000-0005-0000-0000-00002B280000}"/>
    <cellStyle name="20% - Accent4 2 16 3" xfId="5253" xr:uid="{00000000-0005-0000-0000-00002C280000}"/>
    <cellStyle name="20% - Accent4 2 16 3 2" xfId="10733" xr:uid="{00000000-0005-0000-0000-00002D280000}"/>
    <cellStyle name="20% - Accent4 2 16 3 3" xfId="16209" xr:uid="{00000000-0005-0000-0000-00002E280000}"/>
    <cellStyle name="20% - Accent4 2 16 3 4" xfId="21685" xr:uid="{00000000-0005-0000-0000-00002F280000}"/>
    <cellStyle name="20% - Accent4 2 16 3 5" xfId="27161" xr:uid="{00000000-0005-0000-0000-000030280000}"/>
    <cellStyle name="20% - Accent4 2 16 3 6" xfId="38957" xr:uid="{00000000-0005-0000-0000-000031280000}"/>
    <cellStyle name="20% - Accent4 2 16 3 7" xfId="44434" xr:uid="{00000000-0005-0000-0000-000032280000}"/>
    <cellStyle name="20% - Accent4 2 16 3 8" xfId="49911" xr:uid="{00000000-0005-0000-0000-000033280000}"/>
    <cellStyle name="20% - Accent4 2 16 3 9" xfId="55429" xr:uid="{00000000-0005-0000-0000-000034280000}"/>
    <cellStyle name="20% - Accent4 2 16 4" xfId="5925" xr:uid="{00000000-0005-0000-0000-000035280000}"/>
    <cellStyle name="20% - Accent4 2 16 5" xfId="11405" xr:uid="{00000000-0005-0000-0000-000036280000}"/>
    <cellStyle name="20% - Accent4 2 16 6" xfId="16881" xr:uid="{00000000-0005-0000-0000-000037280000}"/>
    <cellStyle name="20% - Accent4 2 16 7" xfId="22357" xr:uid="{00000000-0005-0000-0000-000038280000}"/>
    <cellStyle name="20% - Accent4 2 16 8" xfId="34152" xr:uid="{00000000-0005-0000-0000-000039280000}"/>
    <cellStyle name="20% - Accent4 2 16 9" xfId="39629" xr:uid="{00000000-0005-0000-0000-00003A280000}"/>
    <cellStyle name="20% - Accent4 2 17" xfId="1738" xr:uid="{00000000-0005-0000-0000-00003B280000}"/>
    <cellStyle name="20% - Accent4 2 17 10" xfId="45107" xr:uid="{00000000-0005-0000-0000-00003C280000}"/>
    <cellStyle name="20% - Accent4 2 17 11" xfId="50585" xr:uid="{00000000-0005-0000-0000-00003D280000}"/>
    <cellStyle name="20% - Accent4 2 17 2" xfId="3499" xr:uid="{00000000-0005-0000-0000-00003E280000}"/>
    <cellStyle name="20% - Accent4 2 17 2 2" xfId="8979" xr:uid="{00000000-0005-0000-0000-00003F280000}"/>
    <cellStyle name="20% - Accent4 2 17 2 3" xfId="14455" xr:uid="{00000000-0005-0000-0000-000040280000}"/>
    <cellStyle name="20% - Accent4 2 17 2 4" xfId="19931" xr:uid="{00000000-0005-0000-0000-000041280000}"/>
    <cellStyle name="20% - Accent4 2 17 2 5" xfId="25407" xr:uid="{00000000-0005-0000-0000-000042280000}"/>
    <cellStyle name="20% - Accent4 2 17 2 6" xfId="37203" xr:uid="{00000000-0005-0000-0000-000043280000}"/>
    <cellStyle name="20% - Accent4 2 17 2 7" xfId="42680" xr:uid="{00000000-0005-0000-0000-000044280000}"/>
    <cellStyle name="20% - Accent4 2 17 2 8" xfId="48157" xr:uid="{00000000-0005-0000-0000-000045280000}"/>
    <cellStyle name="20% - Accent4 2 17 2 9" xfId="53675" xr:uid="{00000000-0005-0000-0000-000046280000}"/>
    <cellStyle name="20% - Accent4 2 17 3" xfId="5271" xr:uid="{00000000-0005-0000-0000-000047280000}"/>
    <cellStyle name="20% - Accent4 2 17 3 2" xfId="10751" xr:uid="{00000000-0005-0000-0000-000048280000}"/>
    <cellStyle name="20% - Accent4 2 17 3 3" xfId="16227" xr:uid="{00000000-0005-0000-0000-000049280000}"/>
    <cellStyle name="20% - Accent4 2 17 3 4" xfId="21703" xr:uid="{00000000-0005-0000-0000-00004A280000}"/>
    <cellStyle name="20% - Accent4 2 17 3 5" xfId="27179" xr:uid="{00000000-0005-0000-0000-00004B280000}"/>
    <cellStyle name="20% - Accent4 2 17 3 6" xfId="38975" xr:uid="{00000000-0005-0000-0000-00004C280000}"/>
    <cellStyle name="20% - Accent4 2 17 3 7" xfId="44452" xr:uid="{00000000-0005-0000-0000-00004D280000}"/>
    <cellStyle name="20% - Accent4 2 17 3 8" xfId="49929" xr:uid="{00000000-0005-0000-0000-00004E280000}"/>
    <cellStyle name="20% - Accent4 2 17 3 9" xfId="55447" xr:uid="{00000000-0005-0000-0000-00004F280000}"/>
    <cellStyle name="20% - Accent4 2 17 4" xfId="5926" xr:uid="{00000000-0005-0000-0000-000050280000}"/>
    <cellStyle name="20% - Accent4 2 17 5" xfId="11406" xr:uid="{00000000-0005-0000-0000-000051280000}"/>
    <cellStyle name="20% - Accent4 2 17 6" xfId="16882" xr:uid="{00000000-0005-0000-0000-000052280000}"/>
    <cellStyle name="20% - Accent4 2 17 7" xfId="22358" xr:uid="{00000000-0005-0000-0000-000053280000}"/>
    <cellStyle name="20% - Accent4 2 17 8" xfId="34153" xr:uid="{00000000-0005-0000-0000-000054280000}"/>
    <cellStyle name="20% - Accent4 2 17 9" xfId="39630" xr:uid="{00000000-0005-0000-0000-000055280000}"/>
    <cellStyle name="20% - Accent4 2 18" xfId="1937" xr:uid="{00000000-0005-0000-0000-000056280000}"/>
    <cellStyle name="20% - Accent4 2 18 10" xfId="52114" xr:uid="{00000000-0005-0000-0000-000057280000}"/>
    <cellStyle name="20% - Accent4 2 18 2" xfId="5469" xr:uid="{00000000-0005-0000-0000-000058280000}"/>
    <cellStyle name="20% - Accent4 2 18 2 2" xfId="10949" xr:uid="{00000000-0005-0000-0000-000059280000}"/>
    <cellStyle name="20% - Accent4 2 18 2 3" xfId="16425" xr:uid="{00000000-0005-0000-0000-00005A280000}"/>
    <cellStyle name="20% - Accent4 2 18 2 4" xfId="21901" xr:uid="{00000000-0005-0000-0000-00005B280000}"/>
    <cellStyle name="20% - Accent4 2 18 2 5" xfId="27377" xr:uid="{00000000-0005-0000-0000-00005C280000}"/>
    <cellStyle name="20% - Accent4 2 18 2 6" xfId="39173" xr:uid="{00000000-0005-0000-0000-00005D280000}"/>
    <cellStyle name="20% - Accent4 2 18 2 7" xfId="44650" xr:uid="{00000000-0005-0000-0000-00005E280000}"/>
    <cellStyle name="20% - Accent4 2 18 2 8" xfId="50127" xr:uid="{00000000-0005-0000-0000-00005F280000}"/>
    <cellStyle name="20% - Accent4 2 18 2 9" xfId="55645" xr:uid="{00000000-0005-0000-0000-000060280000}"/>
    <cellStyle name="20% - Accent4 2 18 3" xfId="7418" xr:uid="{00000000-0005-0000-0000-000061280000}"/>
    <cellStyle name="20% - Accent4 2 18 4" xfId="12894" xr:uid="{00000000-0005-0000-0000-000062280000}"/>
    <cellStyle name="20% - Accent4 2 18 5" xfId="18370" xr:uid="{00000000-0005-0000-0000-000063280000}"/>
    <cellStyle name="20% - Accent4 2 18 6" xfId="23846" xr:uid="{00000000-0005-0000-0000-000064280000}"/>
    <cellStyle name="20% - Accent4 2 18 7" xfId="35642" xr:uid="{00000000-0005-0000-0000-000065280000}"/>
    <cellStyle name="20% - Accent4 2 18 8" xfId="41119" xr:uid="{00000000-0005-0000-0000-000066280000}"/>
    <cellStyle name="20% - Accent4 2 18 9" xfId="46596" xr:uid="{00000000-0005-0000-0000-000067280000}"/>
    <cellStyle name="20% - Accent4 2 19" xfId="3688" xr:uid="{00000000-0005-0000-0000-000068280000}"/>
    <cellStyle name="20% - Accent4 2 19 2" xfId="9168" xr:uid="{00000000-0005-0000-0000-000069280000}"/>
    <cellStyle name="20% - Accent4 2 19 3" xfId="14644" xr:uid="{00000000-0005-0000-0000-00006A280000}"/>
    <cellStyle name="20% - Accent4 2 19 4" xfId="20120" xr:uid="{00000000-0005-0000-0000-00006B280000}"/>
    <cellStyle name="20% - Accent4 2 19 5" xfId="25596" xr:uid="{00000000-0005-0000-0000-00006C280000}"/>
    <cellStyle name="20% - Accent4 2 19 6" xfId="37392" xr:uid="{00000000-0005-0000-0000-00006D280000}"/>
    <cellStyle name="20% - Accent4 2 19 7" xfId="42869" xr:uid="{00000000-0005-0000-0000-00006E280000}"/>
    <cellStyle name="20% - Accent4 2 19 8" xfId="48346" xr:uid="{00000000-0005-0000-0000-00006F280000}"/>
    <cellStyle name="20% - Accent4 2 19 9" xfId="53864" xr:uid="{00000000-0005-0000-0000-000070280000}"/>
    <cellStyle name="20% - Accent4 2 2" xfId="133" xr:uid="{00000000-0005-0000-0000-000071280000}"/>
    <cellStyle name="20% - Accent4 2 2 10" xfId="1576" xr:uid="{00000000-0005-0000-0000-000072280000}"/>
    <cellStyle name="20% - Accent4 2 2 10 10" xfId="45109" xr:uid="{00000000-0005-0000-0000-000073280000}"/>
    <cellStyle name="20% - Accent4 2 2 10 11" xfId="50587" xr:uid="{00000000-0005-0000-0000-000074280000}"/>
    <cellStyle name="20% - Accent4 2 2 10 2" xfId="3337" xr:uid="{00000000-0005-0000-0000-000075280000}"/>
    <cellStyle name="20% - Accent4 2 2 10 2 2" xfId="8817" xr:uid="{00000000-0005-0000-0000-000076280000}"/>
    <cellStyle name="20% - Accent4 2 2 10 2 3" xfId="14293" xr:uid="{00000000-0005-0000-0000-000077280000}"/>
    <cellStyle name="20% - Accent4 2 2 10 2 4" xfId="19769" xr:uid="{00000000-0005-0000-0000-000078280000}"/>
    <cellStyle name="20% - Accent4 2 2 10 2 5" xfId="25245" xr:uid="{00000000-0005-0000-0000-000079280000}"/>
    <cellStyle name="20% - Accent4 2 2 10 2 6" xfId="37041" xr:uid="{00000000-0005-0000-0000-00007A280000}"/>
    <cellStyle name="20% - Accent4 2 2 10 2 7" xfId="42518" xr:uid="{00000000-0005-0000-0000-00007B280000}"/>
    <cellStyle name="20% - Accent4 2 2 10 2 8" xfId="47995" xr:uid="{00000000-0005-0000-0000-00007C280000}"/>
    <cellStyle name="20% - Accent4 2 2 10 2 9" xfId="53513" xr:uid="{00000000-0005-0000-0000-00007D280000}"/>
    <cellStyle name="20% - Accent4 2 2 10 3" xfId="5109" xr:uid="{00000000-0005-0000-0000-00007E280000}"/>
    <cellStyle name="20% - Accent4 2 2 10 3 2" xfId="10589" xr:uid="{00000000-0005-0000-0000-00007F280000}"/>
    <cellStyle name="20% - Accent4 2 2 10 3 3" xfId="16065" xr:uid="{00000000-0005-0000-0000-000080280000}"/>
    <cellStyle name="20% - Accent4 2 2 10 3 4" xfId="21541" xr:uid="{00000000-0005-0000-0000-000081280000}"/>
    <cellStyle name="20% - Accent4 2 2 10 3 5" xfId="27017" xr:uid="{00000000-0005-0000-0000-000082280000}"/>
    <cellStyle name="20% - Accent4 2 2 10 3 6" xfId="38813" xr:uid="{00000000-0005-0000-0000-000083280000}"/>
    <cellStyle name="20% - Accent4 2 2 10 3 7" xfId="44290" xr:uid="{00000000-0005-0000-0000-000084280000}"/>
    <cellStyle name="20% - Accent4 2 2 10 3 8" xfId="49767" xr:uid="{00000000-0005-0000-0000-000085280000}"/>
    <cellStyle name="20% - Accent4 2 2 10 3 9" xfId="55285" xr:uid="{00000000-0005-0000-0000-000086280000}"/>
    <cellStyle name="20% - Accent4 2 2 10 4" xfId="5928" xr:uid="{00000000-0005-0000-0000-000087280000}"/>
    <cellStyle name="20% - Accent4 2 2 10 5" xfId="11408" xr:uid="{00000000-0005-0000-0000-000088280000}"/>
    <cellStyle name="20% - Accent4 2 2 10 6" xfId="16884" xr:uid="{00000000-0005-0000-0000-000089280000}"/>
    <cellStyle name="20% - Accent4 2 2 10 7" xfId="22360" xr:uid="{00000000-0005-0000-0000-00008A280000}"/>
    <cellStyle name="20% - Accent4 2 2 10 8" xfId="34155" xr:uid="{00000000-0005-0000-0000-00008B280000}"/>
    <cellStyle name="20% - Accent4 2 2 10 9" xfId="39632" xr:uid="{00000000-0005-0000-0000-00008C280000}"/>
    <cellStyle name="20% - Accent4 2 2 11" xfId="1779" xr:uid="{00000000-0005-0000-0000-00008D280000}"/>
    <cellStyle name="20% - Accent4 2 2 11 10" xfId="45110" xr:uid="{00000000-0005-0000-0000-00008E280000}"/>
    <cellStyle name="20% - Accent4 2 2 11 11" xfId="50588" xr:uid="{00000000-0005-0000-0000-00008F280000}"/>
    <cellStyle name="20% - Accent4 2 2 11 2" xfId="3540" xr:uid="{00000000-0005-0000-0000-000090280000}"/>
    <cellStyle name="20% - Accent4 2 2 11 2 2" xfId="9020" xr:uid="{00000000-0005-0000-0000-000091280000}"/>
    <cellStyle name="20% - Accent4 2 2 11 2 3" xfId="14496" xr:uid="{00000000-0005-0000-0000-000092280000}"/>
    <cellStyle name="20% - Accent4 2 2 11 2 4" xfId="19972" xr:uid="{00000000-0005-0000-0000-000093280000}"/>
    <cellStyle name="20% - Accent4 2 2 11 2 5" xfId="25448" xr:uid="{00000000-0005-0000-0000-000094280000}"/>
    <cellStyle name="20% - Accent4 2 2 11 2 6" xfId="37244" xr:uid="{00000000-0005-0000-0000-000095280000}"/>
    <cellStyle name="20% - Accent4 2 2 11 2 7" xfId="42721" xr:uid="{00000000-0005-0000-0000-000096280000}"/>
    <cellStyle name="20% - Accent4 2 2 11 2 8" xfId="48198" xr:uid="{00000000-0005-0000-0000-000097280000}"/>
    <cellStyle name="20% - Accent4 2 2 11 2 9" xfId="53716" xr:uid="{00000000-0005-0000-0000-000098280000}"/>
    <cellStyle name="20% - Accent4 2 2 11 3" xfId="5312" xr:uid="{00000000-0005-0000-0000-000099280000}"/>
    <cellStyle name="20% - Accent4 2 2 11 3 2" xfId="10792" xr:uid="{00000000-0005-0000-0000-00009A280000}"/>
    <cellStyle name="20% - Accent4 2 2 11 3 3" xfId="16268" xr:uid="{00000000-0005-0000-0000-00009B280000}"/>
    <cellStyle name="20% - Accent4 2 2 11 3 4" xfId="21744" xr:uid="{00000000-0005-0000-0000-00009C280000}"/>
    <cellStyle name="20% - Accent4 2 2 11 3 5" xfId="27220" xr:uid="{00000000-0005-0000-0000-00009D280000}"/>
    <cellStyle name="20% - Accent4 2 2 11 3 6" xfId="39016" xr:uid="{00000000-0005-0000-0000-00009E280000}"/>
    <cellStyle name="20% - Accent4 2 2 11 3 7" xfId="44493" xr:uid="{00000000-0005-0000-0000-00009F280000}"/>
    <cellStyle name="20% - Accent4 2 2 11 3 8" xfId="49970" xr:uid="{00000000-0005-0000-0000-0000A0280000}"/>
    <cellStyle name="20% - Accent4 2 2 11 3 9" xfId="55488" xr:uid="{00000000-0005-0000-0000-0000A1280000}"/>
    <cellStyle name="20% - Accent4 2 2 11 4" xfId="5929" xr:uid="{00000000-0005-0000-0000-0000A2280000}"/>
    <cellStyle name="20% - Accent4 2 2 11 5" xfId="11409" xr:uid="{00000000-0005-0000-0000-0000A3280000}"/>
    <cellStyle name="20% - Accent4 2 2 11 6" xfId="16885" xr:uid="{00000000-0005-0000-0000-0000A4280000}"/>
    <cellStyle name="20% - Accent4 2 2 11 7" xfId="22361" xr:uid="{00000000-0005-0000-0000-0000A5280000}"/>
    <cellStyle name="20% - Accent4 2 2 11 8" xfId="34156" xr:uid="{00000000-0005-0000-0000-0000A6280000}"/>
    <cellStyle name="20% - Accent4 2 2 11 9" xfId="39633" xr:uid="{00000000-0005-0000-0000-0000A7280000}"/>
    <cellStyle name="20% - Accent4 2 2 12" xfId="1938" xr:uid="{00000000-0005-0000-0000-0000A8280000}"/>
    <cellStyle name="20% - Accent4 2 2 12 10" xfId="52115" xr:uid="{00000000-0005-0000-0000-0000A9280000}"/>
    <cellStyle name="20% - Accent4 2 2 12 2" xfId="5470" xr:uid="{00000000-0005-0000-0000-0000AA280000}"/>
    <cellStyle name="20% - Accent4 2 2 12 2 2" xfId="10950" xr:uid="{00000000-0005-0000-0000-0000AB280000}"/>
    <cellStyle name="20% - Accent4 2 2 12 2 3" xfId="16426" xr:uid="{00000000-0005-0000-0000-0000AC280000}"/>
    <cellStyle name="20% - Accent4 2 2 12 2 4" xfId="21902" xr:uid="{00000000-0005-0000-0000-0000AD280000}"/>
    <cellStyle name="20% - Accent4 2 2 12 2 5" xfId="27378" xr:uid="{00000000-0005-0000-0000-0000AE280000}"/>
    <cellStyle name="20% - Accent4 2 2 12 2 6" xfId="39174" xr:uid="{00000000-0005-0000-0000-0000AF280000}"/>
    <cellStyle name="20% - Accent4 2 2 12 2 7" xfId="44651" xr:uid="{00000000-0005-0000-0000-0000B0280000}"/>
    <cellStyle name="20% - Accent4 2 2 12 2 8" xfId="50128" xr:uid="{00000000-0005-0000-0000-0000B1280000}"/>
    <cellStyle name="20% - Accent4 2 2 12 2 9" xfId="55646" xr:uid="{00000000-0005-0000-0000-0000B2280000}"/>
    <cellStyle name="20% - Accent4 2 2 12 3" xfId="7419" xr:uid="{00000000-0005-0000-0000-0000B3280000}"/>
    <cellStyle name="20% - Accent4 2 2 12 4" xfId="12895" xr:uid="{00000000-0005-0000-0000-0000B4280000}"/>
    <cellStyle name="20% - Accent4 2 2 12 5" xfId="18371" xr:uid="{00000000-0005-0000-0000-0000B5280000}"/>
    <cellStyle name="20% - Accent4 2 2 12 6" xfId="23847" xr:uid="{00000000-0005-0000-0000-0000B6280000}"/>
    <cellStyle name="20% - Accent4 2 2 12 7" xfId="35643" xr:uid="{00000000-0005-0000-0000-0000B7280000}"/>
    <cellStyle name="20% - Accent4 2 2 12 8" xfId="41120" xr:uid="{00000000-0005-0000-0000-0000B8280000}"/>
    <cellStyle name="20% - Accent4 2 2 12 9" xfId="46597" xr:uid="{00000000-0005-0000-0000-0000B9280000}"/>
    <cellStyle name="20% - Accent4 2 2 13" xfId="3705" xr:uid="{00000000-0005-0000-0000-0000BA280000}"/>
    <cellStyle name="20% - Accent4 2 2 13 2" xfId="9185" xr:uid="{00000000-0005-0000-0000-0000BB280000}"/>
    <cellStyle name="20% - Accent4 2 2 13 3" xfId="14661" xr:uid="{00000000-0005-0000-0000-0000BC280000}"/>
    <cellStyle name="20% - Accent4 2 2 13 4" xfId="20137" xr:uid="{00000000-0005-0000-0000-0000BD280000}"/>
    <cellStyle name="20% - Accent4 2 2 13 5" xfId="25613" xr:uid="{00000000-0005-0000-0000-0000BE280000}"/>
    <cellStyle name="20% - Accent4 2 2 13 6" xfId="37409" xr:uid="{00000000-0005-0000-0000-0000BF280000}"/>
    <cellStyle name="20% - Accent4 2 2 13 7" xfId="42886" xr:uid="{00000000-0005-0000-0000-0000C0280000}"/>
    <cellStyle name="20% - Accent4 2 2 13 8" xfId="48363" xr:uid="{00000000-0005-0000-0000-0000C1280000}"/>
    <cellStyle name="20% - Accent4 2 2 13 9" xfId="53881" xr:uid="{00000000-0005-0000-0000-0000C2280000}"/>
    <cellStyle name="20% - Accent4 2 2 14" xfId="5927" xr:uid="{00000000-0005-0000-0000-0000C3280000}"/>
    <cellStyle name="20% - Accent4 2 2 15" xfId="11407" xr:uid="{00000000-0005-0000-0000-0000C4280000}"/>
    <cellStyle name="20% - Accent4 2 2 16" xfId="16883" xr:uid="{00000000-0005-0000-0000-0000C5280000}"/>
    <cellStyle name="20% - Accent4 2 2 17" xfId="22359" xr:uid="{00000000-0005-0000-0000-0000C6280000}"/>
    <cellStyle name="20% - Accent4 2 2 18" xfId="29085" xr:uid="{00000000-0005-0000-0000-0000C7280000}"/>
    <cellStyle name="20% - Accent4 2 2 19" xfId="34154" xr:uid="{00000000-0005-0000-0000-0000C8280000}"/>
    <cellStyle name="20% - Accent4 2 2 2" xfId="225" xr:uid="{00000000-0005-0000-0000-0000C9280000}"/>
    <cellStyle name="20% - Accent4 2 2 2 10" xfId="1778" xr:uid="{00000000-0005-0000-0000-0000CA280000}"/>
    <cellStyle name="20% - Accent4 2 2 2 10 10" xfId="45112" xr:uid="{00000000-0005-0000-0000-0000CB280000}"/>
    <cellStyle name="20% - Accent4 2 2 2 10 11" xfId="50590" xr:uid="{00000000-0005-0000-0000-0000CC280000}"/>
    <cellStyle name="20% - Accent4 2 2 2 10 2" xfId="3539" xr:uid="{00000000-0005-0000-0000-0000CD280000}"/>
    <cellStyle name="20% - Accent4 2 2 2 10 2 2" xfId="9019" xr:uid="{00000000-0005-0000-0000-0000CE280000}"/>
    <cellStyle name="20% - Accent4 2 2 2 10 2 3" xfId="14495" xr:uid="{00000000-0005-0000-0000-0000CF280000}"/>
    <cellStyle name="20% - Accent4 2 2 2 10 2 4" xfId="19971" xr:uid="{00000000-0005-0000-0000-0000D0280000}"/>
    <cellStyle name="20% - Accent4 2 2 2 10 2 5" xfId="25447" xr:uid="{00000000-0005-0000-0000-0000D1280000}"/>
    <cellStyle name="20% - Accent4 2 2 2 10 2 6" xfId="37243" xr:uid="{00000000-0005-0000-0000-0000D2280000}"/>
    <cellStyle name="20% - Accent4 2 2 2 10 2 7" xfId="42720" xr:uid="{00000000-0005-0000-0000-0000D3280000}"/>
    <cellStyle name="20% - Accent4 2 2 2 10 2 8" xfId="48197" xr:uid="{00000000-0005-0000-0000-0000D4280000}"/>
    <cellStyle name="20% - Accent4 2 2 2 10 2 9" xfId="53715" xr:uid="{00000000-0005-0000-0000-0000D5280000}"/>
    <cellStyle name="20% - Accent4 2 2 2 10 3" xfId="5311" xr:uid="{00000000-0005-0000-0000-0000D6280000}"/>
    <cellStyle name="20% - Accent4 2 2 2 10 3 2" xfId="10791" xr:uid="{00000000-0005-0000-0000-0000D7280000}"/>
    <cellStyle name="20% - Accent4 2 2 2 10 3 3" xfId="16267" xr:uid="{00000000-0005-0000-0000-0000D8280000}"/>
    <cellStyle name="20% - Accent4 2 2 2 10 3 4" xfId="21743" xr:uid="{00000000-0005-0000-0000-0000D9280000}"/>
    <cellStyle name="20% - Accent4 2 2 2 10 3 5" xfId="27219" xr:uid="{00000000-0005-0000-0000-0000DA280000}"/>
    <cellStyle name="20% - Accent4 2 2 2 10 3 6" xfId="39015" xr:uid="{00000000-0005-0000-0000-0000DB280000}"/>
    <cellStyle name="20% - Accent4 2 2 2 10 3 7" xfId="44492" xr:uid="{00000000-0005-0000-0000-0000DC280000}"/>
    <cellStyle name="20% - Accent4 2 2 2 10 3 8" xfId="49969" xr:uid="{00000000-0005-0000-0000-0000DD280000}"/>
    <cellStyle name="20% - Accent4 2 2 2 10 3 9" xfId="55487" xr:uid="{00000000-0005-0000-0000-0000DE280000}"/>
    <cellStyle name="20% - Accent4 2 2 2 10 4" xfId="5931" xr:uid="{00000000-0005-0000-0000-0000DF280000}"/>
    <cellStyle name="20% - Accent4 2 2 2 10 5" xfId="11411" xr:uid="{00000000-0005-0000-0000-0000E0280000}"/>
    <cellStyle name="20% - Accent4 2 2 2 10 6" xfId="16887" xr:uid="{00000000-0005-0000-0000-0000E1280000}"/>
    <cellStyle name="20% - Accent4 2 2 2 10 7" xfId="22363" xr:uid="{00000000-0005-0000-0000-0000E2280000}"/>
    <cellStyle name="20% - Accent4 2 2 2 10 8" xfId="34158" xr:uid="{00000000-0005-0000-0000-0000E3280000}"/>
    <cellStyle name="20% - Accent4 2 2 2 10 9" xfId="39635" xr:uid="{00000000-0005-0000-0000-0000E4280000}"/>
    <cellStyle name="20% - Accent4 2 2 2 11" xfId="1939" xr:uid="{00000000-0005-0000-0000-0000E5280000}"/>
    <cellStyle name="20% - Accent4 2 2 2 11 10" xfId="52116" xr:uid="{00000000-0005-0000-0000-0000E6280000}"/>
    <cellStyle name="20% - Accent4 2 2 2 11 2" xfId="5471" xr:uid="{00000000-0005-0000-0000-0000E7280000}"/>
    <cellStyle name="20% - Accent4 2 2 2 11 2 2" xfId="10951" xr:uid="{00000000-0005-0000-0000-0000E8280000}"/>
    <cellStyle name="20% - Accent4 2 2 2 11 2 3" xfId="16427" xr:uid="{00000000-0005-0000-0000-0000E9280000}"/>
    <cellStyle name="20% - Accent4 2 2 2 11 2 4" xfId="21903" xr:uid="{00000000-0005-0000-0000-0000EA280000}"/>
    <cellStyle name="20% - Accent4 2 2 2 11 2 5" xfId="27379" xr:uid="{00000000-0005-0000-0000-0000EB280000}"/>
    <cellStyle name="20% - Accent4 2 2 2 11 2 6" xfId="39175" xr:uid="{00000000-0005-0000-0000-0000EC280000}"/>
    <cellStyle name="20% - Accent4 2 2 2 11 2 7" xfId="44652" xr:uid="{00000000-0005-0000-0000-0000ED280000}"/>
    <cellStyle name="20% - Accent4 2 2 2 11 2 8" xfId="50129" xr:uid="{00000000-0005-0000-0000-0000EE280000}"/>
    <cellStyle name="20% - Accent4 2 2 2 11 2 9" xfId="55647" xr:uid="{00000000-0005-0000-0000-0000EF280000}"/>
    <cellStyle name="20% - Accent4 2 2 2 11 3" xfId="7420" xr:uid="{00000000-0005-0000-0000-0000F0280000}"/>
    <cellStyle name="20% - Accent4 2 2 2 11 4" xfId="12896" xr:uid="{00000000-0005-0000-0000-0000F1280000}"/>
    <cellStyle name="20% - Accent4 2 2 2 11 5" xfId="18372" xr:uid="{00000000-0005-0000-0000-0000F2280000}"/>
    <cellStyle name="20% - Accent4 2 2 2 11 6" xfId="23848" xr:uid="{00000000-0005-0000-0000-0000F3280000}"/>
    <cellStyle name="20% - Accent4 2 2 2 11 7" xfId="35644" xr:uid="{00000000-0005-0000-0000-0000F4280000}"/>
    <cellStyle name="20% - Accent4 2 2 2 11 8" xfId="41121" xr:uid="{00000000-0005-0000-0000-0000F5280000}"/>
    <cellStyle name="20% - Accent4 2 2 2 11 9" xfId="46598" xr:uid="{00000000-0005-0000-0000-0000F6280000}"/>
    <cellStyle name="20% - Accent4 2 2 2 12" xfId="3791" xr:uid="{00000000-0005-0000-0000-0000F7280000}"/>
    <cellStyle name="20% - Accent4 2 2 2 12 2" xfId="9271" xr:uid="{00000000-0005-0000-0000-0000F8280000}"/>
    <cellStyle name="20% - Accent4 2 2 2 12 3" xfId="14747" xr:uid="{00000000-0005-0000-0000-0000F9280000}"/>
    <cellStyle name="20% - Accent4 2 2 2 12 4" xfId="20223" xr:uid="{00000000-0005-0000-0000-0000FA280000}"/>
    <cellStyle name="20% - Accent4 2 2 2 12 5" xfId="25699" xr:uid="{00000000-0005-0000-0000-0000FB280000}"/>
    <cellStyle name="20% - Accent4 2 2 2 12 6" xfId="37495" xr:uid="{00000000-0005-0000-0000-0000FC280000}"/>
    <cellStyle name="20% - Accent4 2 2 2 12 7" xfId="42972" xr:uid="{00000000-0005-0000-0000-0000FD280000}"/>
    <cellStyle name="20% - Accent4 2 2 2 12 8" xfId="48449" xr:uid="{00000000-0005-0000-0000-0000FE280000}"/>
    <cellStyle name="20% - Accent4 2 2 2 12 9" xfId="53967" xr:uid="{00000000-0005-0000-0000-0000FF280000}"/>
    <cellStyle name="20% - Accent4 2 2 2 13" xfId="5930" xr:uid="{00000000-0005-0000-0000-000000290000}"/>
    <cellStyle name="20% - Accent4 2 2 2 14" xfId="11410" xr:uid="{00000000-0005-0000-0000-000001290000}"/>
    <cellStyle name="20% - Accent4 2 2 2 15" xfId="16886" xr:uid="{00000000-0005-0000-0000-000002290000}"/>
    <cellStyle name="20% - Accent4 2 2 2 16" xfId="22362" xr:uid="{00000000-0005-0000-0000-000003290000}"/>
    <cellStyle name="20% - Accent4 2 2 2 17" xfId="29086" xr:uid="{00000000-0005-0000-0000-000004290000}"/>
    <cellStyle name="20% - Accent4 2 2 2 18" xfId="34157" xr:uid="{00000000-0005-0000-0000-000005290000}"/>
    <cellStyle name="20% - Accent4 2 2 2 19" xfId="39634" xr:uid="{00000000-0005-0000-0000-000006290000}"/>
    <cellStyle name="20% - Accent4 2 2 2 2" xfId="310" xr:uid="{00000000-0005-0000-0000-000007290000}"/>
    <cellStyle name="20% - Accent4 2 2 2 2 10" xfId="39636" xr:uid="{00000000-0005-0000-0000-000008290000}"/>
    <cellStyle name="20% - Accent4 2 2 2 2 11" xfId="45113" xr:uid="{00000000-0005-0000-0000-000009290000}"/>
    <cellStyle name="20% - Accent4 2 2 2 2 12" xfId="50591" xr:uid="{00000000-0005-0000-0000-00000A290000}"/>
    <cellStyle name="20% - Accent4 2 2 2 2 2" xfId="2109" xr:uid="{00000000-0005-0000-0000-00000B290000}"/>
    <cellStyle name="20% - Accent4 2 2 2 2 2 2" xfId="7589" xr:uid="{00000000-0005-0000-0000-00000C290000}"/>
    <cellStyle name="20% - Accent4 2 2 2 2 2 3" xfId="13065" xr:uid="{00000000-0005-0000-0000-00000D290000}"/>
    <cellStyle name="20% - Accent4 2 2 2 2 2 4" xfId="18541" xr:uid="{00000000-0005-0000-0000-00000E290000}"/>
    <cellStyle name="20% - Accent4 2 2 2 2 2 5" xfId="24017" xr:uid="{00000000-0005-0000-0000-00000F290000}"/>
    <cellStyle name="20% - Accent4 2 2 2 2 2 6" xfId="35813" xr:uid="{00000000-0005-0000-0000-000010290000}"/>
    <cellStyle name="20% - Accent4 2 2 2 2 2 7" xfId="41290" xr:uid="{00000000-0005-0000-0000-000011290000}"/>
    <cellStyle name="20% - Accent4 2 2 2 2 2 8" xfId="46767" xr:uid="{00000000-0005-0000-0000-000012290000}"/>
    <cellStyle name="20% - Accent4 2 2 2 2 2 9" xfId="52285" xr:uid="{00000000-0005-0000-0000-000013290000}"/>
    <cellStyle name="20% - Accent4 2 2 2 2 3" xfId="3872" xr:uid="{00000000-0005-0000-0000-000014290000}"/>
    <cellStyle name="20% - Accent4 2 2 2 2 3 2" xfId="9352" xr:uid="{00000000-0005-0000-0000-000015290000}"/>
    <cellStyle name="20% - Accent4 2 2 2 2 3 3" xfId="14828" xr:uid="{00000000-0005-0000-0000-000016290000}"/>
    <cellStyle name="20% - Accent4 2 2 2 2 3 4" xfId="20304" xr:uid="{00000000-0005-0000-0000-000017290000}"/>
    <cellStyle name="20% - Accent4 2 2 2 2 3 5" xfId="25780" xr:uid="{00000000-0005-0000-0000-000018290000}"/>
    <cellStyle name="20% - Accent4 2 2 2 2 3 6" xfId="37576" xr:uid="{00000000-0005-0000-0000-000019290000}"/>
    <cellStyle name="20% - Accent4 2 2 2 2 3 7" xfId="43053" xr:uid="{00000000-0005-0000-0000-00001A290000}"/>
    <cellStyle name="20% - Accent4 2 2 2 2 3 8" xfId="48530" xr:uid="{00000000-0005-0000-0000-00001B290000}"/>
    <cellStyle name="20% - Accent4 2 2 2 2 3 9" xfId="54048" xr:uid="{00000000-0005-0000-0000-00001C290000}"/>
    <cellStyle name="20% - Accent4 2 2 2 2 4" xfId="5932" xr:uid="{00000000-0005-0000-0000-00001D290000}"/>
    <cellStyle name="20% - Accent4 2 2 2 2 5" xfId="11412" xr:uid="{00000000-0005-0000-0000-00001E290000}"/>
    <cellStyle name="20% - Accent4 2 2 2 2 6" xfId="16888" xr:uid="{00000000-0005-0000-0000-00001F290000}"/>
    <cellStyle name="20% - Accent4 2 2 2 2 7" xfId="22364" xr:uid="{00000000-0005-0000-0000-000020290000}"/>
    <cellStyle name="20% - Accent4 2 2 2 2 8" xfId="29087" xr:uid="{00000000-0005-0000-0000-000021290000}"/>
    <cellStyle name="20% - Accent4 2 2 2 2 9" xfId="34159" xr:uid="{00000000-0005-0000-0000-000022290000}"/>
    <cellStyle name="20% - Accent4 2 2 2 20" xfId="45111" xr:uid="{00000000-0005-0000-0000-000023290000}"/>
    <cellStyle name="20% - Accent4 2 2 2 21" xfId="50589" xr:uid="{00000000-0005-0000-0000-000024290000}"/>
    <cellStyle name="20% - Accent4 2 2 2 3" xfId="511" xr:uid="{00000000-0005-0000-0000-000025290000}"/>
    <cellStyle name="20% - Accent4 2 2 2 3 10" xfId="45114" xr:uid="{00000000-0005-0000-0000-000026290000}"/>
    <cellStyle name="20% - Accent4 2 2 2 3 11" xfId="50592" xr:uid="{00000000-0005-0000-0000-000027290000}"/>
    <cellStyle name="20% - Accent4 2 2 2 3 2" xfId="2272" xr:uid="{00000000-0005-0000-0000-000028290000}"/>
    <cellStyle name="20% - Accent4 2 2 2 3 2 2" xfId="7752" xr:uid="{00000000-0005-0000-0000-000029290000}"/>
    <cellStyle name="20% - Accent4 2 2 2 3 2 3" xfId="13228" xr:uid="{00000000-0005-0000-0000-00002A290000}"/>
    <cellStyle name="20% - Accent4 2 2 2 3 2 4" xfId="18704" xr:uid="{00000000-0005-0000-0000-00002B290000}"/>
    <cellStyle name="20% - Accent4 2 2 2 3 2 5" xfId="24180" xr:uid="{00000000-0005-0000-0000-00002C290000}"/>
    <cellStyle name="20% - Accent4 2 2 2 3 2 6" xfId="35976" xr:uid="{00000000-0005-0000-0000-00002D290000}"/>
    <cellStyle name="20% - Accent4 2 2 2 3 2 7" xfId="41453" xr:uid="{00000000-0005-0000-0000-00002E290000}"/>
    <cellStyle name="20% - Accent4 2 2 2 3 2 8" xfId="46930" xr:uid="{00000000-0005-0000-0000-00002F290000}"/>
    <cellStyle name="20% - Accent4 2 2 2 3 2 9" xfId="52448" xr:uid="{00000000-0005-0000-0000-000030290000}"/>
    <cellStyle name="20% - Accent4 2 2 2 3 3" xfId="4044" xr:uid="{00000000-0005-0000-0000-000031290000}"/>
    <cellStyle name="20% - Accent4 2 2 2 3 3 2" xfId="9524" xr:uid="{00000000-0005-0000-0000-000032290000}"/>
    <cellStyle name="20% - Accent4 2 2 2 3 3 3" xfId="15000" xr:uid="{00000000-0005-0000-0000-000033290000}"/>
    <cellStyle name="20% - Accent4 2 2 2 3 3 4" xfId="20476" xr:uid="{00000000-0005-0000-0000-000034290000}"/>
    <cellStyle name="20% - Accent4 2 2 2 3 3 5" xfId="25952" xr:uid="{00000000-0005-0000-0000-000035290000}"/>
    <cellStyle name="20% - Accent4 2 2 2 3 3 6" xfId="37748" xr:uid="{00000000-0005-0000-0000-000036290000}"/>
    <cellStyle name="20% - Accent4 2 2 2 3 3 7" xfId="43225" xr:uid="{00000000-0005-0000-0000-000037290000}"/>
    <cellStyle name="20% - Accent4 2 2 2 3 3 8" xfId="48702" xr:uid="{00000000-0005-0000-0000-000038290000}"/>
    <cellStyle name="20% - Accent4 2 2 2 3 3 9" xfId="54220" xr:uid="{00000000-0005-0000-0000-000039290000}"/>
    <cellStyle name="20% - Accent4 2 2 2 3 4" xfId="5933" xr:uid="{00000000-0005-0000-0000-00003A290000}"/>
    <cellStyle name="20% - Accent4 2 2 2 3 5" xfId="11413" xr:uid="{00000000-0005-0000-0000-00003B290000}"/>
    <cellStyle name="20% - Accent4 2 2 2 3 6" xfId="16889" xr:uid="{00000000-0005-0000-0000-00003C290000}"/>
    <cellStyle name="20% - Accent4 2 2 2 3 7" xfId="22365" xr:uid="{00000000-0005-0000-0000-00003D290000}"/>
    <cellStyle name="20% - Accent4 2 2 2 3 8" xfId="34160" xr:uid="{00000000-0005-0000-0000-00003E290000}"/>
    <cellStyle name="20% - Accent4 2 2 2 3 9" xfId="39637" xr:uid="{00000000-0005-0000-0000-00003F290000}"/>
    <cellStyle name="20% - Accent4 2 2 2 4" xfId="683" xr:uid="{00000000-0005-0000-0000-000040290000}"/>
    <cellStyle name="20% - Accent4 2 2 2 4 10" xfId="45115" xr:uid="{00000000-0005-0000-0000-000041290000}"/>
    <cellStyle name="20% - Accent4 2 2 2 4 11" xfId="50593" xr:uid="{00000000-0005-0000-0000-000042290000}"/>
    <cellStyle name="20% - Accent4 2 2 2 4 2" xfId="2444" xr:uid="{00000000-0005-0000-0000-000043290000}"/>
    <cellStyle name="20% - Accent4 2 2 2 4 2 2" xfId="7924" xr:uid="{00000000-0005-0000-0000-000044290000}"/>
    <cellStyle name="20% - Accent4 2 2 2 4 2 3" xfId="13400" xr:uid="{00000000-0005-0000-0000-000045290000}"/>
    <cellStyle name="20% - Accent4 2 2 2 4 2 4" xfId="18876" xr:uid="{00000000-0005-0000-0000-000046290000}"/>
    <cellStyle name="20% - Accent4 2 2 2 4 2 5" xfId="24352" xr:uid="{00000000-0005-0000-0000-000047290000}"/>
    <cellStyle name="20% - Accent4 2 2 2 4 2 6" xfId="36148" xr:uid="{00000000-0005-0000-0000-000048290000}"/>
    <cellStyle name="20% - Accent4 2 2 2 4 2 7" xfId="41625" xr:uid="{00000000-0005-0000-0000-000049290000}"/>
    <cellStyle name="20% - Accent4 2 2 2 4 2 8" xfId="47102" xr:uid="{00000000-0005-0000-0000-00004A290000}"/>
    <cellStyle name="20% - Accent4 2 2 2 4 2 9" xfId="52620" xr:uid="{00000000-0005-0000-0000-00004B290000}"/>
    <cellStyle name="20% - Accent4 2 2 2 4 3" xfId="4216" xr:uid="{00000000-0005-0000-0000-00004C290000}"/>
    <cellStyle name="20% - Accent4 2 2 2 4 3 2" xfId="9696" xr:uid="{00000000-0005-0000-0000-00004D290000}"/>
    <cellStyle name="20% - Accent4 2 2 2 4 3 3" xfId="15172" xr:uid="{00000000-0005-0000-0000-00004E290000}"/>
    <cellStyle name="20% - Accent4 2 2 2 4 3 4" xfId="20648" xr:uid="{00000000-0005-0000-0000-00004F290000}"/>
    <cellStyle name="20% - Accent4 2 2 2 4 3 5" xfId="26124" xr:uid="{00000000-0005-0000-0000-000050290000}"/>
    <cellStyle name="20% - Accent4 2 2 2 4 3 6" xfId="37920" xr:uid="{00000000-0005-0000-0000-000051290000}"/>
    <cellStyle name="20% - Accent4 2 2 2 4 3 7" xfId="43397" xr:uid="{00000000-0005-0000-0000-000052290000}"/>
    <cellStyle name="20% - Accent4 2 2 2 4 3 8" xfId="48874" xr:uid="{00000000-0005-0000-0000-000053290000}"/>
    <cellStyle name="20% - Accent4 2 2 2 4 3 9" xfId="54392" xr:uid="{00000000-0005-0000-0000-000054290000}"/>
    <cellStyle name="20% - Accent4 2 2 2 4 4" xfId="5934" xr:uid="{00000000-0005-0000-0000-000055290000}"/>
    <cellStyle name="20% - Accent4 2 2 2 4 5" xfId="11414" xr:uid="{00000000-0005-0000-0000-000056290000}"/>
    <cellStyle name="20% - Accent4 2 2 2 4 6" xfId="16890" xr:uid="{00000000-0005-0000-0000-000057290000}"/>
    <cellStyle name="20% - Accent4 2 2 2 4 7" xfId="22366" xr:uid="{00000000-0005-0000-0000-000058290000}"/>
    <cellStyle name="20% - Accent4 2 2 2 4 8" xfId="34161" xr:uid="{00000000-0005-0000-0000-000059290000}"/>
    <cellStyle name="20% - Accent4 2 2 2 4 9" xfId="39638" xr:uid="{00000000-0005-0000-0000-00005A290000}"/>
    <cellStyle name="20% - Accent4 2 2 2 5" xfId="855" xr:uid="{00000000-0005-0000-0000-00005B290000}"/>
    <cellStyle name="20% - Accent4 2 2 2 5 10" xfId="45116" xr:uid="{00000000-0005-0000-0000-00005C290000}"/>
    <cellStyle name="20% - Accent4 2 2 2 5 11" xfId="50594" xr:uid="{00000000-0005-0000-0000-00005D290000}"/>
    <cellStyle name="20% - Accent4 2 2 2 5 2" xfId="2616" xr:uid="{00000000-0005-0000-0000-00005E290000}"/>
    <cellStyle name="20% - Accent4 2 2 2 5 2 2" xfId="8096" xr:uid="{00000000-0005-0000-0000-00005F290000}"/>
    <cellStyle name="20% - Accent4 2 2 2 5 2 3" xfId="13572" xr:uid="{00000000-0005-0000-0000-000060290000}"/>
    <cellStyle name="20% - Accent4 2 2 2 5 2 4" xfId="19048" xr:uid="{00000000-0005-0000-0000-000061290000}"/>
    <cellStyle name="20% - Accent4 2 2 2 5 2 5" xfId="24524" xr:uid="{00000000-0005-0000-0000-000062290000}"/>
    <cellStyle name="20% - Accent4 2 2 2 5 2 6" xfId="36320" xr:uid="{00000000-0005-0000-0000-000063290000}"/>
    <cellStyle name="20% - Accent4 2 2 2 5 2 7" xfId="41797" xr:uid="{00000000-0005-0000-0000-000064290000}"/>
    <cellStyle name="20% - Accent4 2 2 2 5 2 8" xfId="47274" xr:uid="{00000000-0005-0000-0000-000065290000}"/>
    <cellStyle name="20% - Accent4 2 2 2 5 2 9" xfId="52792" xr:uid="{00000000-0005-0000-0000-000066290000}"/>
    <cellStyle name="20% - Accent4 2 2 2 5 3" xfId="4388" xr:uid="{00000000-0005-0000-0000-000067290000}"/>
    <cellStyle name="20% - Accent4 2 2 2 5 3 2" xfId="9868" xr:uid="{00000000-0005-0000-0000-000068290000}"/>
    <cellStyle name="20% - Accent4 2 2 2 5 3 3" xfId="15344" xr:uid="{00000000-0005-0000-0000-000069290000}"/>
    <cellStyle name="20% - Accent4 2 2 2 5 3 4" xfId="20820" xr:uid="{00000000-0005-0000-0000-00006A290000}"/>
    <cellStyle name="20% - Accent4 2 2 2 5 3 5" xfId="26296" xr:uid="{00000000-0005-0000-0000-00006B290000}"/>
    <cellStyle name="20% - Accent4 2 2 2 5 3 6" xfId="38092" xr:uid="{00000000-0005-0000-0000-00006C290000}"/>
    <cellStyle name="20% - Accent4 2 2 2 5 3 7" xfId="43569" xr:uid="{00000000-0005-0000-0000-00006D290000}"/>
    <cellStyle name="20% - Accent4 2 2 2 5 3 8" xfId="49046" xr:uid="{00000000-0005-0000-0000-00006E290000}"/>
    <cellStyle name="20% - Accent4 2 2 2 5 3 9" xfId="54564" xr:uid="{00000000-0005-0000-0000-00006F290000}"/>
    <cellStyle name="20% - Accent4 2 2 2 5 4" xfId="5935" xr:uid="{00000000-0005-0000-0000-000070290000}"/>
    <cellStyle name="20% - Accent4 2 2 2 5 5" xfId="11415" xr:uid="{00000000-0005-0000-0000-000071290000}"/>
    <cellStyle name="20% - Accent4 2 2 2 5 6" xfId="16891" xr:uid="{00000000-0005-0000-0000-000072290000}"/>
    <cellStyle name="20% - Accent4 2 2 2 5 7" xfId="22367" xr:uid="{00000000-0005-0000-0000-000073290000}"/>
    <cellStyle name="20% - Accent4 2 2 2 5 8" xfId="34162" xr:uid="{00000000-0005-0000-0000-000074290000}"/>
    <cellStyle name="20% - Accent4 2 2 2 5 9" xfId="39639" xr:uid="{00000000-0005-0000-0000-000075290000}"/>
    <cellStyle name="20% - Accent4 2 2 2 6" xfId="1061" xr:uid="{00000000-0005-0000-0000-000076290000}"/>
    <cellStyle name="20% - Accent4 2 2 2 6 10" xfId="45117" xr:uid="{00000000-0005-0000-0000-000077290000}"/>
    <cellStyle name="20% - Accent4 2 2 2 6 11" xfId="50595" xr:uid="{00000000-0005-0000-0000-000078290000}"/>
    <cellStyle name="20% - Accent4 2 2 2 6 2" xfId="2822" xr:uid="{00000000-0005-0000-0000-000079290000}"/>
    <cellStyle name="20% - Accent4 2 2 2 6 2 2" xfId="8302" xr:uid="{00000000-0005-0000-0000-00007A290000}"/>
    <cellStyle name="20% - Accent4 2 2 2 6 2 3" xfId="13778" xr:uid="{00000000-0005-0000-0000-00007B290000}"/>
    <cellStyle name="20% - Accent4 2 2 2 6 2 4" xfId="19254" xr:uid="{00000000-0005-0000-0000-00007C290000}"/>
    <cellStyle name="20% - Accent4 2 2 2 6 2 5" xfId="24730" xr:uid="{00000000-0005-0000-0000-00007D290000}"/>
    <cellStyle name="20% - Accent4 2 2 2 6 2 6" xfId="36526" xr:uid="{00000000-0005-0000-0000-00007E290000}"/>
    <cellStyle name="20% - Accent4 2 2 2 6 2 7" xfId="42003" xr:uid="{00000000-0005-0000-0000-00007F290000}"/>
    <cellStyle name="20% - Accent4 2 2 2 6 2 8" xfId="47480" xr:uid="{00000000-0005-0000-0000-000080290000}"/>
    <cellStyle name="20% - Accent4 2 2 2 6 2 9" xfId="52998" xr:uid="{00000000-0005-0000-0000-000081290000}"/>
    <cellStyle name="20% - Accent4 2 2 2 6 3" xfId="4594" xr:uid="{00000000-0005-0000-0000-000082290000}"/>
    <cellStyle name="20% - Accent4 2 2 2 6 3 2" xfId="10074" xr:uid="{00000000-0005-0000-0000-000083290000}"/>
    <cellStyle name="20% - Accent4 2 2 2 6 3 3" xfId="15550" xr:uid="{00000000-0005-0000-0000-000084290000}"/>
    <cellStyle name="20% - Accent4 2 2 2 6 3 4" xfId="21026" xr:uid="{00000000-0005-0000-0000-000085290000}"/>
    <cellStyle name="20% - Accent4 2 2 2 6 3 5" xfId="26502" xr:uid="{00000000-0005-0000-0000-000086290000}"/>
    <cellStyle name="20% - Accent4 2 2 2 6 3 6" xfId="38298" xr:uid="{00000000-0005-0000-0000-000087290000}"/>
    <cellStyle name="20% - Accent4 2 2 2 6 3 7" xfId="43775" xr:uid="{00000000-0005-0000-0000-000088290000}"/>
    <cellStyle name="20% - Accent4 2 2 2 6 3 8" xfId="49252" xr:uid="{00000000-0005-0000-0000-000089290000}"/>
    <cellStyle name="20% - Accent4 2 2 2 6 3 9" xfId="54770" xr:uid="{00000000-0005-0000-0000-00008A290000}"/>
    <cellStyle name="20% - Accent4 2 2 2 6 4" xfId="5936" xr:uid="{00000000-0005-0000-0000-00008B290000}"/>
    <cellStyle name="20% - Accent4 2 2 2 6 5" xfId="11416" xr:uid="{00000000-0005-0000-0000-00008C290000}"/>
    <cellStyle name="20% - Accent4 2 2 2 6 6" xfId="16892" xr:uid="{00000000-0005-0000-0000-00008D290000}"/>
    <cellStyle name="20% - Accent4 2 2 2 6 7" xfId="22368" xr:uid="{00000000-0005-0000-0000-00008E290000}"/>
    <cellStyle name="20% - Accent4 2 2 2 6 8" xfId="34163" xr:uid="{00000000-0005-0000-0000-00008F290000}"/>
    <cellStyle name="20% - Accent4 2 2 2 6 9" xfId="39640" xr:uid="{00000000-0005-0000-0000-000090290000}"/>
    <cellStyle name="20% - Accent4 2 2 2 7" xfId="1233" xr:uid="{00000000-0005-0000-0000-000091290000}"/>
    <cellStyle name="20% - Accent4 2 2 2 7 10" xfId="45118" xr:uid="{00000000-0005-0000-0000-000092290000}"/>
    <cellStyle name="20% - Accent4 2 2 2 7 11" xfId="50596" xr:uid="{00000000-0005-0000-0000-000093290000}"/>
    <cellStyle name="20% - Accent4 2 2 2 7 2" xfId="2994" xr:uid="{00000000-0005-0000-0000-000094290000}"/>
    <cellStyle name="20% - Accent4 2 2 2 7 2 2" xfId="8474" xr:uid="{00000000-0005-0000-0000-000095290000}"/>
    <cellStyle name="20% - Accent4 2 2 2 7 2 3" xfId="13950" xr:uid="{00000000-0005-0000-0000-000096290000}"/>
    <cellStyle name="20% - Accent4 2 2 2 7 2 4" xfId="19426" xr:uid="{00000000-0005-0000-0000-000097290000}"/>
    <cellStyle name="20% - Accent4 2 2 2 7 2 5" xfId="24902" xr:uid="{00000000-0005-0000-0000-000098290000}"/>
    <cellStyle name="20% - Accent4 2 2 2 7 2 6" xfId="36698" xr:uid="{00000000-0005-0000-0000-000099290000}"/>
    <cellStyle name="20% - Accent4 2 2 2 7 2 7" xfId="42175" xr:uid="{00000000-0005-0000-0000-00009A290000}"/>
    <cellStyle name="20% - Accent4 2 2 2 7 2 8" xfId="47652" xr:uid="{00000000-0005-0000-0000-00009B290000}"/>
    <cellStyle name="20% - Accent4 2 2 2 7 2 9" xfId="53170" xr:uid="{00000000-0005-0000-0000-00009C290000}"/>
    <cellStyle name="20% - Accent4 2 2 2 7 3" xfId="4766" xr:uid="{00000000-0005-0000-0000-00009D290000}"/>
    <cellStyle name="20% - Accent4 2 2 2 7 3 2" xfId="10246" xr:uid="{00000000-0005-0000-0000-00009E290000}"/>
    <cellStyle name="20% - Accent4 2 2 2 7 3 3" xfId="15722" xr:uid="{00000000-0005-0000-0000-00009F290000}"/>
    <cellStyle name="20% - Accent4 2 2 2 7 3 4" xfId="21198" xr:uid="{00000000-0005-0000-0000-0000A0290000}"/>
    <cellStyle name="20% - Accent4 2 2 2 7 3 5" xfId="26674" xr:uid="{00000000-0005-0000-0000-0000A1290000}"/>
    <cellStyle name="20% - Accent4 2 2 2 7 3 6" xfId="38470" xr:uid="{00000000-0005-0000-0000-0000A2290000}"/>
    <cellStyle name="20% - Accent4 2 2 2 7 3 7" xfId="43947" xr:uid="{00000000-0005-0000-0000-0000A3290000}"/>
    <cellStyle name="20% - Accent4 2 2 2 7 3 8" xfId="49424" xr:uid="{00000000-0005-0000-0000-0000A4290000}"/>
    <cellStyle name="20% - Accent4 2 2 2 7 3 9" xfId="54942" xr:uid="{00000000-0005-0000-0000-0000A5290000}"/>
    <cellStyle name="20% - Accent4 2 2 2 7 4" xfId="5937" xr:uid="{00000000-0005-0000-0000-0000A6290000}"/>
    <cellStyle name="20% - Accent4 2 2 2 7 5" xfId="11417" xr:uid="{00000000-0005-0000-0000-0000A7290000}"/>
    <cellStyle name="20% - Accent4 2 2 2 7 6" xfId="16893" xr:uid="{00000000-0005-0000-0000-0000A8290000}"/>
    <cellStyle name="20% - Accent4 2 2 2 7 7" xfId="22369" xr:uid="{00000000-0005-0000-0000-0000A9290000}"/>
    <cellStyle name="20% - Accent4 2 2 2 7 8" xfId="34164" xr:uid="{00000000-0005-0000-0000-0000AA290000}"/>
    <cellStyle name="20% - Accent4 2 2 2 7 9" xfId="39641" xr:uid="{00000000-0005-0000-0000-0000AB290000}"/>
    <cellStyle name="20% - Accent4 2 2 2 8" xfId="1405" xr:uid="{00000000-0005-0000-0000-0000AC290000}"/>
    <cellStyle name="20% - Accent4 2 2 2 8 10" xfId="45119" xr:uid="{00000000-0005-0000-0000-0000AD290000}"/>
    <cellStyle name="20% - Accent4 2 2 2 8 11" xfId="50597" xr:uid="{00000000-0005-0000-0000-0000AE290000}"/>
    <cellStyle name="20% - Accent4 2 2 2 8 2" xfId="3166" xr:uid="{00000000-0005-0000-0000-0000AF290000}"/>
    <cellStyle name="20% - Accent4 2 2 2 8 2 2" xfId="8646" xr:uid="{00000000-0005-0000-0000-0000B0290000}"/>
    <cellStyle name="20% - Accent4 2 2 2 8 2 3" xfId="14122" xr:uid="{00000000-0005-0000-0000-0000B1290000}"/>
    <cellStyle name="20% - Accent4 2 2 2 8 2 4" xfId="19598" xr:uid="{00000000-0005-0000-0000-0000B2290000}"/>
    <cellStyle name="20% - Accent4 2 2 2 8 2 5" xfId="25074" xr:uid="{00000000-0005-0000-0000-0000B3290000}"/>
    <cellStyle name="20% - Accent4 2 2 2 8 2 6" xfId="36870" xr:uid="{00000000-0005-0000-0000-0000B4290000}"/>
    <cellStyle name="20% - Accent4 2 2 2 8 2 7" xfId="42347" xr:uid="{00000000-0005-0000-0000-0000B5290000}"/>
    <cellStyle name="20% - Accent4 2 2 2 8 2 8" xfId="47824" xr:uid="{00000000-0005-0000-0000-0000B6290000}"/>
    <cellStyle name="20% - Accent4 2 2 2 8 2 9" xfId="53342" xr:uid="{00000000-0005-0000-0000-0000B7290000}"/>
    <cellStyle name="20% - Accent4 2 2 2 8 3" xfId="4938" xr:uid="{00000000-0005-0000-0000-0000B8290000}"/>
    <cellStyle name="20% - Accent4 2 2 2 8 3 2" xfId="10418" xr:uid="{00000000-0005-0000-0000-0000B9290000}"/>
    <cellStyle name="20% - Accent4 2 2 2 8 3 3" xfId="15894" xr:uid="{00000000-0005-0000-0000-0000BA290000}"/>
    <cellStyle name="20% - Accent4 2 2 2 8 3 4" xfId="21370" xr:uid="{00000000-0005-0000-0000-0000BB290000}"/>
    <cellStyle name="20% - Accent4 2 2 2 8 3 5" xfId="26846" xr:uid="{00000000-0005-0000-0000-0000BC290000}"/>
    <cellStyle name="20% - Accent4 2 2 2 8 3 6" xfId="38642" xr:uid="{00000000-0005-0000-0000-0000BD290000}"/>
    <cellStyle name="20% - Accent4 2 2 2 8 3 7" xfId="44119" xr:uid="{00000000-0005-0000-0000-0000BE290000}"/>
    <cellStyle name="20% - Accent4 2 2 2 8 3 8" xfId="49596" xr:uid="{00000000-0005-0000-0000-0000BF290000}"/>
    <cellStyle name="20% - Accent4 2 2 2 8 3 9" xfId="55114" xr:uid="{00000000-0005-0000-0000-0000C0290000}"/>
    <cellStyle name="20% - Accent4 2 2 2 8 4" xfId="5938" xr:uid="{00000000-0005-0000-0000-0000C1290000}"/>
    <cellStyle name="20% - Accent4 2 2 2 8 5" xfId="11418" xr:uid="{00000000-0005-0000-0000-0000C2290000}"/>
    <cellStyle name="20% - Accent4 2 2 2 8 6" xfId="16894" xr:uid="{00000000-0005-0000-0000-0000C3290000}"/>
    <cellStyle name="20% - Accent4 2 2 2 8 7" xfId="22370" xr:uid="{00000000-0005-0000-0000-0000C4290000}"/>
    <cellStyle name="20% - Accent4 2 2 2 8 8" xfId="34165" xr:uid="{00000000-0005-0000-0000-0000C5290000}"/>
    <cellStyle name="20% - Accent4 2 2 2 8 9" xfId="39642" xr:uid="{00000000-0005-0000-0000-0000C6290000}"/>
    <cellStyle name="20% - Accent4 2 2 2 9" xfId="1577" xr:uid="{00000000-0005-0000-0000-0000C7290000}"/>
    <cellStyle name="20% - Accent4 2 2 2 9 10" xfId="45120" xr:uid="{00000000-0005-0000-0000-0000C8290000}"/>
    <cellStyle name="20% - Accent4 2 2 2 9 11" xfId="50598" xr:uid="{00000000-0005-0000-0000-0000C9290000}"/>
    <cellStyle name="20% - Accent4 2 2 2 9 2" xfId="3338" xr:uid="{00000000-0005-0000-0000-0000CA290000}"/>
    <cellStyle name="20% - Accent4 2 2 2 9 2 2" xfId="8818" xr:uid="{00000000-0005-0000-0000-0000CB290000}"/>
    <cellStyle name="20% - Accent4 2 2 2 9 2 3" xfId="14294" xr:uid="{00000000-0005-0000-0000-0000CC290000}"/>
    <cellStyle name="20% - Accent4 2 2 2 9 2 4" xfId="19770" xr:uid="{00000000-0005-0000-0000-0000CD290000}"/>
    <cellStyle name="20% - Accent4 2 2 2 9 2 5" xfId="25246" xr:uid="{00000000-0005-0000-0000-0000CE290000}"/>
    <cellStyle name="20% - Accent4 2 2 2 9 2 6" xfId="37042" xr:uid="{00000000-0005-0000-0000-0000CF290000}"/>
    <cellStyle name="20% - Accent4 2 2 2 9 2 7" xfId="42519" xr:uid="{00000000-0005-0000-0000-0000D0290000}"/>
    <cellStyle name="20% - Accent4 2 2 2 9 2 8" xfId="47996" xr:uid="{00000000-0005-0000-0000-0000D1290000}"/>
    <cellStyle name="20% - Accent4 2 2 2 9 2 9" xfId="53514" xr:uid="{00000000-0005-0000-0000-0000D2290000}"/>
    <cellStyle name="20% - Accent4 2 2 2 9 3" xfId="5110" xr:uid="{00000000-0005-0000-0000-0000D3290000}"/>
    <cellStyle name="20% - Accent4 2 2 2 9 3 2" xfId="10590" xr:uid="{00000000-0005-0000-0000-0000D4290000}"/>
    <cellStyle name="20% - Accent4 2 2 2 9 3 3" xfId="16066" xr:uid="{00000000-0005-0000-0000-0000D5290000}"/>
    <cellStyle name="20% - Accent4 2 2 2 9 3 4" xfId="21542" xr:uid="{00000000-0005-0000-0000-0000D6290000}"/>
    <cellStyle name="20% - Accent4 2 2 2 9 3 5" xfId="27018" xr:uid="{00000000-0005-0000-0000-0000D7290000}"/>
    <cellStyle name="20% - Accent4 2 2 2 9 3 6" xfId="38814" xr:uid="{00000000-0005-0000-0000-0000D8290000}"/>
    <cellStyle name="20% - Accent4 2 2 2 9 3 7" xfId="44291" xr:uid="{00000000-0005-0000-0000-0000D9290000}"/>
    <cellStyle name="20% - Accent4 2 2 2 9 3 8" xfId="49768" xr:uid="{00000000-0005-0000-0000-0000DA290000}"/>
    <cellStyle name="20% - Accent4 2 2 2 9 3 9" xfId="55286" xr:uid="{00000000-0005-0000-0000-0000DB290000}"/>
    <cellStyle name="20% - Accent4 2 2 2 9 4" xfId="5939" xr:uid="{00000000-0005-0000-0000-0000DC290000}"/>
    <cellStyle name="20% - Accent4 2 2 2 9 5" xfId="11419" xr:uid="{00000000-0005-0000-0000-0000DD290000}"/>
    <cellStyle name="20% - Accent4 2 2 2 9 6" xfId="16895" xr:uid="{00000000-0005-0000-0000-0000DE290000}"/>
    <cellStyle name="20% - Accent4 2 2 2 9 7" xfId="22371" xr:uid="{00000000-0005-0000-0000-0000DF290000}"/>
    <cellStyle name="20% - Accent4 2 2 2 9 8" xfId="34166" xr:uid="{00000000-0005-0000-0000-0000E0290000}"/>
    <cellStyle name="20% - Accent4 2 2 2 9 9" xfId="39643" xr:uid="{00000000-0005-0000-0000-0000E1290000}"/>
    <cellStyle name="20% - Accent4 2 2 20" xfId="39631" xr:uid="{00000000-0005-0000-0000-0000E2290000}"/>
    <cellStyle name="20% - Accent4 2 2 21" xfId="45108" xr:uid="{00000000-0005-0000-0000-0000E3290000}"/>
    <cellStyle name="20% - Accent4 2 2 22" xfId="50586" xr:uid="{00000000-0005-0000-0000-0000E4290000}"/>
    <cellStyle name="20% - Accent4 2 2 3" xfId="309" xr:uid="{00000000-0005-0000-0000-0000E5290000}"/>
    <cellStyle name="20% - Accent4 2 2 3 10" xfId="39644" xr:uid="{00000000-0005-0000-0000-0000E6290000}"/>
    <cellStyle name="20% - Accent4 2 2 3 11" xfId="45121" xr:uid="{00000000-0005-0000-0000-0000E7290000}"/>
    <cellStyle name="20% - Accent4 2 2 3 12" xfId="50599" xr:uid="{00000000-0005-0000-0000-0000E8290000}"/>
    <cellStyle name="20% - Accent4 2 2 3 2" xfId="2108" xr:uid="{00000000-0005-0000-0000-0000E9290000}"/>
    <cellStyle name="20% - Accent4 2 2 3 2 2" xfId="7588" xr:uid="{00000000-0005-0000-0000-0000EA290000}"/>
    <cellStyle name="20% - Accent4 2 2 3 2 3" xfId="13064" xr:uid="{00000000-0005-0000-0000-0000EB290000}"/>
    <cellStyle name="20% - Accent4 2 2 3 2 4" xfId="18540" xr:uid="{00000000-0005-0000-0000-0000EC290000}"/>
    <cellStyle name="20% - Accent4 2 2 3 2 5" xfId="24016" xr:uid="{00000000-0005-0000-0000-0000ED290000}"/>
    <cellStyle name="20% - Accent4 2 2 3 2 6" xfId="35812" xr:uid="{00000000-0005-0000-0000-0000EE290000}"/>
    <cellStyle name="20% - Accent4 2 2 3 2 7" xfId="41289" xr:uid="{00000000-0005-0000-0000-0000EF290000}"/>
    <cellStyle name="20% - Accent4 2 2 3 2 8" xfId="46766" xr:uid="{00000000-0005-0000-0000-0000F0290000}"/>
    <cellStyle name="20% - Accent4 2 2 3 2 9" xfId="52284" xr:uid="{00000000-0005-0000-0000-0000F1290000}"/>
    <cellStyle name="20% - Accent4 2 2 3 3" xfId="3871" xr:uid="{00000000-0005-0000-0000-0000F2290000}"/>
    <cellStyle name="20% - Accent4 2 2 3 3 2" xfId="9351" xr:uid="{00000000-0005-0000-0000-0000F3290000}"/>
    <cellStyle name="20% - Accent4 2 2 3 3 3" xfId="14827" xr:uid="{00000000-0005-0000-0000-0000F4290000}"/>
    <cellStyle name="20% - Accent4 2 2 3 3 4" xfId="20303" xr:uid="{00000000-0005-0000-0000-0000F5290000}"/>
    <cellStyle name="20% - Accent4 2 2 3 3 5" xfId="25779" xr:uid="{00000000-0005-0000-0000-0000F6290000}"/>
    <cellStyle name="20% - Accent4 2 2 3 3 6" xfId="37575" xr:uid="{00000000-0005-0000-0000-0000F7290000}"/>
    <cellStyle name="20% - Accent4 2 2 3 3 7" xfId="43052" xr:uid="{00000000-0005-0000-0000-0000F8290000}"/>
    <cellStyle name="20% - Accent4 2 2 3 3 8" xfId="48529" xr:uid="{00000000-0005-0000-0000-0000F9290000}"/>
    <cellStyle name="20% - Accent4 2 2 3 3 9" xfId="54047" xr:uid="{00000000-0005-0000-0000-0000FA290000}"/>
    <cellStyle name="20% - Accent4 2 2 3 4" xfId="5940" xr:uid="{00000000-0005-0000-0000-0000FB290000}"/>
    <cellStyle name="20% - Accent4 2 2 3 5" xfId="11420" xr:uid="{00000000-0005-0000-0000-0000FC290000}"/>
    <cellStyle name="20% - Accent4 2 2 3 6" xfId="16896" xr:uid="{00000000-0005-0000-0000-0000FD290000}"/>
    <cellStyle name="20% - Accent4 2 2 3 7" xfId="22372" xr:uid="{00000000-0005-0000-0000-0000FE290000}"/>
    <cellStyle name="20% - Accent4 2 2 3 8" xfId="29088" xr:uid="{00000000-0005-0000-0000-0000FF290000}"/>
    <cellStyle name="20% - Accent4 2 2 3 9" xfId="34167" xr:uid="{00000000-0005-0000-0000-0000002A0000}"/>
    <cellStyle name="20% - Accent4 2 2 4" xfId="510" xr:uid="{00000000-0005-0000-0000-0000012A0000}"/>
    <cellStyle name="20% - Accent4 2 2 4 10" xfId="45122" xr:uid="{00000000-0005-0000-0000-0000022A0000}"/>
    <cellStyle name="20% - Accent4 2 2 4 11" xfId="50600" xr:uid="{00000000-0005-0000-0000-0000032A0000}"/>
    <cellStyle name="20% - Accent4 2 2 4 2" xfId="2271" xr:uid="{00000000-0005-0000-0000-0000042A0000}"/>
    <cellStyle name="20% - Accent4 2 2 4 2 2" xfId="7751" xr:uid="{00000000-0005-0000-0000-0000052A0000}"/>
    <cellStyle name="20% - Accent4 2 2 4 2 3" xfId="13227" xr:uid="{00000000-0005-0000-0000-0000062A0000}"/>
    <cellStyle name="20% - Accent4 2 2 4 2 4" xfId="18703" xr:uid="{00000000-0005-0000-0000-0000072A0000}"/>
    <cellStyle name="20% - Accent4 2 2 4 2 5" xfId="24179" xr:uid="{00000000-0005-0000-0000-0000082A0000}"/>
    <cellStyle name="20% - Accent4 2 2 4 2 6" xfId="35975" xr:uid="{00000000-0005-0000-0000-0000092A0000}"/>
    <cellStyle name="20% - Accent4 2 2 4 2 7" xfId="41452" xr:uid="{00000000-0005-0000-0000-00000A2A0000}"/>
    <cellStyle name="20% - Accent4 2 2 4 2 8" xfId="46929" xr:uid="{00000000-0005-0000-0000-00000B2A0000}"/>
    <cellStyle name="20% - Accent4 2 2 4 2 9" xfId="52447" xr:uid="{00000000-0005-0000-0000-00000C2A0000}"/>
    <cellStyle name="20% - Accent4 2 2 4 3" xfId="4043" xr:uid="{00000000-0005-0000-0000-00000D2A0000}"/>
    <cellStyle name="20% - Accent4 2 2 4 3 2" xfId="9523" xr:uid="{00000000-0005-0000-0000-00000E2A0000}"/>
    <cellStyle name="20% - Accent4 2 2 4 3 3" xfId="14999" xr:uid="{00000000-0005-0000-0000-00000F2A0000}"/>
    <cellStyle name="20% - Accent4 2 2 4 3 4" xfId="20475" xr:uid="{00000000-0005-0000-0000-0000102A0000}"/>
    <cellStyle name="20% - Accent4 2 2 4 3 5" xfId="25951" xr:uid="{00000000-0005-0000-0000-0000112A0000}"/>
    <cellStyle name="20% - Accent4 2 2 4 3 6" xfId="37747" xr:uid="{00000000-0005-0000-0000-0000122A0000}"/>
    <cellStyle name="20% - Accent4 2 2 4 3 7" xfId="43224" xr:uid="{00000000-0005-0000-0000-0000132A0000}"/>
    <cellStyle name="20% - Accent4 2 2 4 3 8" xfId="48701" xr:uid="{00000000-0005-0000-0000-0000142A0000}"/>
    <cellStyle name="20% - Accent4 2 2 4 3 9" xfId="54219" xr:uid="{00000000-0005-0000-0000-0000152A0000}"/>
    <cellStyle name="20% - Accent4 2 2 4 4" xfId="5941" xr:uid="{00000000-0005-0000-0000-0000162A0000}"/>
    <cellStyle name="20% - Accent4 2 2 4 5" xfId="11421" xr:uid="{00000000-0005-0000-0000-0000172A0000}"/>
    <cellStyle name="20% - Accent4 2 2 4 6" xfId="16897" xr:uid="{00000000-0005-0000-0000-0000182A0000}"/>
    <cellStyle name="20% - Accent4 2 2 4 7" xfId="22373" xr:uid="{00000000-0005-0000-0000-0000192A0000}"/>
    <cellStyle name="20% - Accent4 2 2 4 8" xfId="34168" xr:uid="{00000000-0005-0000-0000-00001A2A0000}"/>
    <cellStyle name="20% - Accent4 2 2 4 9" xfId="39645" xr:uid="{00000000-0005-0000-0000-00001B2A0000}"/>
    <cellStyle name="20% - Accent4 2 2 5" xfId="682" xr:uid="{00000000-0005-0000-0000-00001C2A0000}"/>
    <cellStyle name="20% - Accent4 2 2 5 10" xfId="45123" xr:uid="{00000000-0005-0000-0000-00001D2A0000}"/>
    <cellStyle name="20% - Accent4 2 2 5 11" xfId="50601" xr:uid="{00000000-0005-0000-0000-00001E2A0000}"/>
    <cellStyle name="20% - Accent4 2 2 5 2" xfId="2443" xr:uid="{00000000-0005-0000-0000-00001F2A0000}"/>
    <cellStyle name="20% - Accent4 2 2 5 2 2" xfId="7923" xr:uid="{00000000-0005-0000-0000-0000202A0000}"/>
    <cellStyle name="20% - Accent4 2 2 5 2 3" xfId="13399" xr:uid="{00000000-0005-0000-0000-0000212A0000}"/>
    <cellStyle name="20% - Accent4 2 2 5 2 4" xfId="18875" xr:uid="{00000000-0005-0000-0000-0000222A0000}"/>
    <cellStyle name="20% - Accent4 2 2 5 2 5" xfId="24351" xr:uid="{00000000-0005-0000-0000-0000232A0000}"/>
    <cellStyle name="20% - Accent4 2 2 5 2 6" xfId="36147" xr:uid="{00000000-0005-0000-0000-0000242A0000}"/>
    <cellStyle name="20% - Accent4 2 2 5 2 7" xfId="41624" xr:uid="{00000000-0005-0000-0000-0000252A0000}"/>
    <cellStyle name="20% - Accent4 2 2 5 2 8" xfId="47101" xr:uid="{00000000-0005-0000-0000-0000262A0000}"/>
    <cellStyle name="20% - Accent4 2 2 5 2 9" xfId="52619" xr:uid="{00000000-0005-0000-0000-0000272A0000}"/>
    <cellStyle name="20% - Accent4 2 2 5 3" xfId="4215" xr:uid="{00000000-0005-0000-0000-0000282A0000}"/>
    <cellStyle name="20% - Accent4 2 2 5 3 2" xfId="9695" xr:uid="{00000000-0005-0000-0000-0000292A0000}"/>
    <cellStyle name="20% - Accent4 2 2 5 3 3" xfId="15171" xr:uid="{00000000-0005-0000-0000-00002A2A0000}"/>
    <cellStyle name="20% - Accent4 2 2 5 3 4" xfId="20647" xr:uid="{00000000-0005-0000-0000-00002B2A0000}"/>
    <cellStyle name="20% - Accent4 2 2 5 3 5" xfId="26123" xr:uid="{00000000-0005-0000-0000-00002C2A0000}"/>
    <cellStyle name="20% - Accent4 2 2 5 3 6" xfId="37919" xr:uid="{00000000-0005-0000-0000-00002D2A0000}"/>
    <cellStyle name="20% - Accent4 2 2 5 3 7" xfId="43396" xr:uid="{00000000-0005-0000-0000-00002E2A0000}"/>
    <cellStyle name="20% - Accent4 2 2 5 3 8" xfId="48873" xr:uid="{00000000-0005-0000-0000-00002F2A0000}"/>
    <cellStyle name="20% - Accent4 2 2 5 3 9" xfId="54391" xr:uid="{00000000-0005-0000-0000-0000302A0000}"/>
    <cellStyle name="20% - Accent4 2 2 5 4" xfId="5942" xr:uid="{00000000-0005-0000-0000-0000312A0000}"/>
    <cellStyle name="20% - Accent4 2 2 5 5" xfId="11422" xr:uid="{00000000-0005-0000-0000-0000322A0000}"/>
    <cellStyle name="20% - Accent4 2 2 5 6" xfId="16898" xr:uid="{00000000-0005-0000-0000-0000332A0000}"/>
    <cellStyle name="20% - Accent4 2 2 5 7" xfId="22374" xr:uid="{00000000-0005-0000-0000-0000342A0000}"/>
    <cellStyle name="20% - Accent4 2 2 5 8" xfId="34169" xr:uid="{00000000-0005-0000-0000-0000352A0000}"/>
    <cellStyle name="20% - Accent4 2 2 5 9" xfId="39646" xr:uid="{00000000-0005-0000-0000-0000362A0000}"/>
    <cellStyle name="20% - Accent4 2 2 6" xfId="854" xr:uid="{00000000-0005-0000-0000-0000372A0000}"/>
    <cellStyle name="20% - Accent4 2 2 6 10" xfId="45124" xr:uid="{00000000-0005-0000-0000-0000382A0000}"/>
    <cellStyle name="20% - Accent4 2 2 6 11" xfId="50602" xr:uid="{00000000-0005-0000-0000-0000392A0000}"/>
    <cellStyle name="20% - Accent4 2 2 6 2" xfId="2615" xr:uid="{00000000-0005-0000-0000-00003A2A0000}"/>
    <cellStyle name="20% - Accent4 2 2 6 2 2" xfId="8095" xr:uid="{00000000-0005-0000-0000-00003B2A0000}"/>
    <cellStyle name="20% - Accent4 2 2 6 2 3" xfId="13571" xr:uid="{00000000-0005-0000-0000-00003C2A0000}"/>
    <cellStyle name="20% - Accent4 2 2 6 2 4" xfId="19047" xr:uid="{00000000-0005-0000-0000-00003D2A0000}"/>
    <cellStyle name="20% - Accent4 2 2 6 2 5" xfId="24523" xr:uid="{00000000-0005-0000-0000-00003E2A0000}"/>
    <cellStyle name="20% - Accent4 2 2 6 2 6" xfId="36319" xr:uid="{00000000-0005-0000-0000-00003F2A0000}"/>
    <cellStyle name="20% - Accent4 2 2 6 2 7" xfId="41796" xr:uid="{00000000-0005-0000-0000-0000402A0000}"/>
    <cellStyle name="20% - Accent4 2 2 6 2 8" xfId="47273" xr:uid="{00000000-0005-0000-0000-0000412A0000}"/>
    <cellStyle name="20% - Accent4 2 2 6 2 9" xfId="52791" xr:uid="{00000000-0005-0000-0000-0000422A0000}"/>
    <cellStyle name="20% - Accent4 2 2 6 3" xfId="4387" xr:uid="{00000000-0005-0000-0000-0000432A0000}"/>
    <cellStyle name="20% - Accent4 2 2 6 3 2" xfId="9867" xr:uid="{00000000-0005-0000-0000-0000442A0000}"/>
    <cellStyle name="20% - Accent4 2 2 6 3 3" xfId="15343" xr:uid="{00000000-0005-0000-0000-0000452A0000}"/>
    <cellStyle name="20% - Accent4 2 2 6 3 4" xfId="20819" xr:uid="{00000000-0005-0000-0000-0000462A0000}"/>
    <cellStyle name="20% - Accent4 2 2 6 3 5" xfId="26295" xr:uid="{00000000-0005-0000-0000-0000472A0000}"/>
    <cellStyle name="20% - Accent4 2 2 6 3 6" xfId="38091" xr:uid="{00000000-0005-0000-0000-0000482A0000}"/>
    <cellStyle name="20% - Accent4 2 2 6 3 7" xfId="43568" xr:uid="{00000000-0005-0000-0000-0000492A0000}"/>
    <cellStyle name="20% - Accent4 2 2 6 3 8" xfId="49045" xr:uid="{00000000-0005-0000-0000-00004A2A0000}"/>
    <cellStyle name="20% - Accent4 2 2 6 3 9" xfId="54563" xr:uid="{00000000-0005-0000-0000-00004B2A0000}"/>
    <cellStyle name="20% - Accent4 2 2 6 4" xfId="5943" xr:uid="{00000000-0005-0000-0000-00004C2A0000}"/>
    <cellStyle name="20% - Accent4 2 2 6 5" xfId="11423" xr:uid="{00000000-0005-0000-0000-00004D2A0000}"/>
    <cellStyle name="20% - Accent4 2 2 6 6" xfId="16899" xr:uid="{00000000-0005-0000-0000-00004E2A0000}"/>
    <cellStyle name="20% - Accent4 2 2 6 7" xfId="22375" xr:uid="{00000000-0005-0000-0000-00004F2A0000}"/>
    <cellStyle name="20% - Accent4 2 2 6 8" xfId="34170" xr:uid="{00000000-0005-0000-0000-0000502A0000}"/>
    <cellStyle name="20% - Accent4 2 2 6 9" xfId="39647" xr:uid="{00000000-0005-0000-0000-0000512A0000}"/>
    <cellStyle name="20% - Accent4 2 2 7" xfId="1060" xr:uid="{00000000-0005-0000-0000-0000522A0000}"/>
    <cellStyle name="20% - Accent4 2 2 7 10" xfId="45125" xr:uid="{00000000-0005-0000-0000-0000532A0000}"/>
    <cellStyle name="20% - Accent4 2 2 7 11" xfId="50603" xr:uid="{00000000-0005-0000-0000-0000542A0000}"/>
    <cellStyle name="20% - Accent4 2 2 7 2" xfId="2821" xr:uid="{00000000-0005-0000-0000-0000552A0000}"/>
    <cellStyle name="20% - Accent4 2 2 7 2 2" xfId="8301" xr:uid="{00000000-0005-0000-0000-0000562A0000}"/>
    <cellStyle name="20% - Accent4 2 2 7 2 3" xfId="13777" xr:uid="{00000000-0005-0000-0000-0000572A0000}"/>
    <cellStyle name="20% - Accent4 2 2 7 2 4" xfId="19253" xr:uid="{00000000-0005-0000-0000-0000582A0000}"/>
    <cellStyle name="20% - Accent4 2 2 7 2 5" xfId="24729" xr:uid="{00000000-0005-0000-0000-0000592A0000}"/>
    <cellStyle name="20% - Accent4 2 2 7 2 6" xfId="36525" xr:uid="{00000000-0005-0000-0000-00005A2A0000}"/>
    <cellStyle name="20% - Accent4 2 2 7 2 7" xfId="42002" xr:uid="{00000000-0005-0000-0000-00005B2A0000}"/>
    <cellStyle name="20% - Accent4 2 2 7 2 8" xfId="47479" xr:uid="{00000000-0005-0000-0000-00005C2A0000}"/>
    <cellStyle name="20% - Accent4 2 2 7 2 9" xfId="52997" xr:uid="{00000000-0005-0000-0000-00005D2A0000}"/>
    <cellStyle name="20% - Accent4 2 2 7 3" xfId="4593" xr:uid="{00000000-0005-0000-0000-00005E2A0000}"/>
    <cellStyle name="20% - Accent4 2 2 7 3 2" xfId="10073" xr:uid="{00000000-0005-0000-0000-00005F2A0000}"/>
    <cellStyle name="20% - Accent4 2 2 7 3 3" xfId="15549" xr:uid="{00000000-0005-0000-0000-0000602A0000}"/>
    <cellStyle name="20% - Accent4 2 2 7 3 4" xfId="21025" xr:uid="{00000000-0005-0000-0000-0000612A0000}"/>
    <cellStyle name="20% - Accent4 2 2 7 3 5" xfId="26501" xr:uid="{00000000-0005-0000-0000-0000622A0000}"/>
    <cellStyle name="20% - Accent4 2 2 7 3 6" xfId="38297" xr:uid="{00000000-0005-0000-0000-0000632A0000}"/>
    <cellStyle name="20% - Accent4 2 2 7 3 7" xfId="43774" xr:uid="{00000000-0005-0000-0000-0000642A0000}"/>
    <cellStyle name="20% - Accent4 2 2 7 3 8" xfId="49251" xr:uid="{00000000-0005-0000-0000-0000652A0000}"/>
    <cellStyle name="20% - Accent4 2 2 7 3 9" xfId="54769" xr:uid="{00000000-0005-0000-0000-0000662A0000}"/>
    <cellStyle name="20% - Accent4 2 2 7 4" xfId="5944" xr:uid="{00000000-0005-0000-0000-0000672A0000}"/>
    <cellStyle name="20% - Accent4 2 2 7 5" xfId="11424" xr:uid="{00000000-0005-0000-0000-0000682A0000}"/>
    <cellStyle name="20% - Accent4 2 2 7 6" xfId="16900" xr:uid="{00000000-0005-0000-0000-0000692A0000}"/>
    <cellStyle name="20% - Accent4 2 2 7 7" xfId="22376" xr:uid="{00000000-0005-0000-0000-00006A2A0000}"/>
    <cellStyle name="20% - Accent4 2 2 7 8" xfId="34171" xr:uid="{00000000-0005-0000-0000-00006B2A0000}"/>
    <cellStyle name="20% - Accent4 2 2 7 9" xfId="39648" xr:uid="{00000000-0005-0000-0000-00006C2A0000}"/>
    <cellStyle name="20% - Accent4 2 2 8" xfId="1232" xr:uid="{00000000-0005-0000-0000-00006D2A0000}"/>
    <cellStyle name="20% - Accent4 2 2 8 10" xfId="45126" xr:uid="{00000000-0005-0000-0000-00006E2A0000}"/>
    <cellStyle name="20% - Accent4 2 2 8 11" xfId="50604" xr:uid="{00000000-0005-0000-0000-00006F2A0000}"/>
    <cellStyle name="20% - Accent4 2 2 8 2" xfId="2993" xr:uid="{00000000-0005-0000-0000-0000702A0000}"/>
    <cellStyle name="20% - Accent4 2 2 8 2 2" xfId="8473" xr:uid="{00000000-0005-0000-0000-0000712A0000}"/>
    <cellStyle name="20% - Accent4 2 2 8 2 3" xfId="13949" xr:uid="{00000000-0005-0000-0000-0000722A0000}"/>
    <cellStyle name="20% - Accent4 2 2 8 2 4" xfId="19425" xr:uid="{00000000-0005-0000-0000-0000732A0000}"/>
    <cellStyle name="20% - Accent4 2 2 8 2 5" xfId="24901" xr:uid="{00000000-0005-0000-0000-0000742A0000}"/>
    <cellStyle name="20% - Accent4 2 2 8 2 6" xfId="36697" xr:uid="{00000000-0005-0000-0000-0000752A0000}"/>
    <cellStyle name="20% - Accent4 2 2 8 2 7" xfId="42174" xr:uid="{00000000-0005-0000-0000-0000762A0000}"/>
    <cellStyle name="20% - Accent4 2 2 8 2 8" xfId="47651" xr:uid="{00000000-0005-0000-0000-0000772A0000}"/>
    <cellStyle name="20% - Accent4 2 2 8 2 9" xfId="53169" xr:uid="{00000000-0005-0000-0000-0000782A0000}"/>
    <cellStyle name="20% - Accent4 2 2 8 3" xfId="4765" xr:uid="{00000000-0005-0000-0000-0000792A0000}"/>
    <cellStyle name="20% - Accent4 2 2 8 3 2" xfId="10245" xr:uid="{00000000-0005-0000-0000-00007A2A0000}"/>
    <cellStyle name="20% - Accent4 2 2 8 3 3" xfId="15721" xr:uid="{00000000-0005-0000-0000-00007B2A0000}"/>
    <cellStyle name="20% - Accent4 2 2 8 3 4" xfId="21197" xr:uid="{00000000-0005-0000-0000-00007C2A0000}"/>
    <cellStyle name="20% - Accent4 2 2 8 3 5" xfId="26673" xr:uid="{00000000-0005-0000-0000-00007D2A0000}"/>
    <cellStyle name="20% - Accent4 2 2 8 3 6" xfId="38469" xr:uid="{00000000-0005-0000-0000-00007E2A0000}"/>
    <cellStyle name="20% - Accent4 2 2 8 3 7" xfId="43946" xr:uid="{00000000-0005-0000-0000-00007F2A0000}"/>
    <cellStyle name="20% - Accent4 2 2 8 3 8" xfId="49423" xr:uid="{00000000-0005-0000-0000-0000802A0000}"/>
    <cellStyle name="20% - Accent4 2 2 8 3 9" xfId="54941" xr:uid="{00000000-0005-0000-0000-0000812A0000}"/>
    <cellStyle name="20% - Accent4 2 2 8 4" xfId="5945" xr:uid="{00000000-0005-0000-0000-0000822A0000}"/>
    <cellStyle name="20% - Accent4 2 2 8 5" xfId="11425" xr:uid="{00000000-0005-0000-0000-0000832A0000}"/>
    <cellStyle name="20% - Accent4 2 2 8 6" xfId="16901" xr:uid="{00000000-0005-0000-0000-0000842A0000}"/>
    <cellStyle name="20% - Accent4 2 2 8 7" xfId="22377" xr:uid="{00000000-0005-0000-0000-0000852A0000}"/>
    <cellStyle name="20% - Accent4 2 2 8 8" xfId="34172" xr:uid="{00000000-0005-0000-0000-0000862A0000}"/>
    <cellStyle name="20% - Accent4 2 2 8 9" xfId="39649" xr:uid="{00000000-0005-0000-0000-0000872A0000}"/>
    <cellStyle name="20% - Accent4 2 2 9" xfId="1404" xr:uid="{00000000-0005-0000-0000-0000882A0000}"/>
    <cellStyle name="20% - Accent4 2 2 9 10" xfId="45127" xr:uid="{00000000-0005-0000-0000-0000892A0000}"/>
    <cellStyle name="20% - Accent4 2 2 9 11" xfId="50605" xr:uid="{00000000-0005-0000-0000-00008A2A0000}"/>
    <cellStyle name="20% - Accent4 2 2 9 2" xfId="3165" xr:uid="{00000000-0005-0000-0000-00008B2A0000}"/>
    <cellStyle name="20% - Accent4 2 2 9 2 2" xfId="8645" xr:uid="{00000000-0005-0000-0000-00008C2A0000}"/>
    <cellStyle name="20% - Accent4 2 2 9 2 3" xfId="14121" xr:uid="{00000000-0005-0000-0000-00008D2A0000}"/>
    <cellStyle name="20% - Accent4 2 2 9 2 4" xfId="19597" xr:uid="{00000000-0005-0000-0000-00008E2A0000}"/>
    <cellStyle name="20% - Accent4 2 2 9 2 5" xfId="25073" xr:uid="{00000000-0005-0000-0000-00008F2A0000}"/>
    <cellStyle name="20% - Accent4 2 2 9 2 6" xfId="36869" xr:uid="{00000000-0005-0000-0000-0000902A0000}"/>
    <cellStyle name="20% - Accent4 2 2 9 2 7" xfId="42346" xr:uid="{00000000-0005-0000-0000-0000912A0000}"/>
    <cellStyle name="20% - Accent4 2 2 9 2 8" xfId="47823" xr:uid="{00000000-0005-0000-0000-0000922A0000}"/>
    <cellStyle name="20% - Accent4 2 2 9 2 9" xfId="53341" xr:uid="{00000000-0005-0000-0000-0000932A0000}"/>
    <cellStyle name="20% - Accent4 2 2 9 3" xfId="4937" xr:uid="{00000000-0005-0000-0000-0000942A0000}"/>
    <cellStyle name="20% - Accent4 2 2 9 3 2" xfId="10417" xr:uid="{00000000-0005-0000-0000-0000952A0000}"/>
    <cellStyle name="20% - Accent4 2 2 9 3 3" xfId="15893" xr:uid="{00000000-0005-0000-0000-0000962A0000}"/>
    <cellStyle name="20% - Accent4 2 2 9 3 4" xfId="21369" xr:uid="{00000000-0005-0000-0000-0000972A0000}"/>
    <cellStyle name="20% - Accent4 2 2 9 3 5" xfId="26845" xr:uid="{00000000-0005-0000-0000-0000982A0000}"/>
    <cellStyle name="20% - Accent4 2 2 9 3 6" xfId="38641" xr:uid="{00000000-0005-0000-0000-0000992A0000}"/>
    <cellStyle name="20% - Accent4 2 2 9 3 7" xfId="44118" xr:uid="{00000000-0005-0000-0000-00009A2A0000}"/>
    <cellStyle name="20% - Accent4 2 2 9 3 8" xfId="49595" xr:uid="{00000000-0005-0000-0000-00009B2A0000}"/>
    <cellStyle name="20% - Accent4 2 2 9 3 9" xfId="55113" xr:uid="{00000000-0005-0000-0000-00009C2A0000}"/>
    <cellStyle name="20% - Accent4 2 2 9 4" xfId="5946" xr:uid="{00000000-0005-0000-0000-00009D2A0000}"/>
    <cellStyle name="20% - Accent4 2 2 9 5" xfId="11426" xr:uid="{00000000-0005-0000-0000-00009E2A0000}"/>
    <cellStyle name="20% - Accent4 2 2 9 6" xfId="16902" xr:uid="{00000000-0005-0000-0000-00009F2A0000}"/>
    <cellStyle name="20% - Accent4 2 2 9 7" xfId="22378" xr:uid="{00000000-0005-0000-0000-0000A02A0000}"/>
    <cellStyle name="20% - Accent4 2 2 9 8" xfId="34173" xr:uid="{00000000-0005-0000-0000-0000A12A0000}"/>
    <cellStyle name="20% - Accent4 2 2 9 9" xfId="39650" xr:uid="{00000000-0005-0000-0000-0000A22A0000}"/>
    <cellStyle name="20% - Accent4 2 20" xfId="5918" xr:uid="{00000000-0005-0000-0000-0000A32A0000}"/>
    <cellStyle name="20% - Accent4 2 21" xfId="11398" xr:uid="{00000000-0005-0000-0000-0000A42A0000}"/>
    <cellStyle name="20% - Accent4 2 22" xfId="16874" xr:uid="{00000000-0005-0000-0000-0000A52A0000}"/>
    <cellStyle name="20% - Accent4 2 23" xfId="22350" xr:uid="{00000000-0005-0000-0000-0000A62A0000}"/>
    <cellStyle name="20% - Accent4 2 24" xfId="29084" xr:uid="{00000000-0005-0000-0000-0000A72A0000}"/>
    <cellStyle name="20% - Accent4 2 25" xfId="34145" xr:uid="{00000000-0005-0000-0000-0000A82A0000}"/>
    <cellStyle name="20% - Accent4 2 26" xfId="39622" xr:uid="{00000000-0005-0000-0000-0000A92A0000}"/>
    <cellStyle name="20% - Accent4 2 27" xfId="45099" xr:uid="{00000000-0005-0000-0000-0000AA2A0000}"/>
    <cellStyle name="20% - Accent4 2 28" xfId="50577" xr:uid="{00000000-0005-0000-0000-0000AB2A0000}"/>
    <cellStyle name="20% - Accent4 2 3" xfId="150" xr:uid="{00000000-0005-0000-0000-0000AC2A0000}"/>
    <cellStyle name="20% - Accent4 2 3 10" xfId="1578" xr:uid="{00000000-0005-0000-0000-0000AD2A0000}"/>
    <cellStyle name="20% - Accent4 2 3 10 10" xfId="45129" xr:uid="{00000000-0005-0000-0000-0000AE2A0000}"/>
    <cellStyle name="20% - Accent4 2 3 10 11" xfId="50607" xr:uid="{00000000-0005-0000-0000-0000AF2A0000}"/>
    <cellStyle name="20% - Accent4 2 3 10 2" xfId="3339" xr:uid="{00000000-0005-0000-0000-0000B02A0000}"/>
    <cellStyle name="20% - Accent4 2 3 10 2 2" xfId="8819" xr:uid="{00000000-0005-0000-0000-0000B12A0000}"/>
    <cellStyle name="20% - Accent4 2 3 10 2 3" xfId="14295" xr:uid="{00000000-0005-0000-0000-0000B22A0000}"/>
    <cellStyle name="20% - Accent4 2 3 10 2 4" xfId="19771" xr:uid="{00000000-0005-0000-0000-0000B32A0000}"/>
    <cellStyle name="20% - Accent4 2 3 10 2 5" xfId="25247" xr:uid="{00000000-0005-0000-0000-0000B42A0000}"/>
    <cellStyle name="20% - Accent4 2 3 10 2 6" xfId="37043" xr:uid="{00000000-0005-0000-0000-0000B52A0000}"/>
    <cellStyle name="20% - Accent4 2 3 10 2 7" xfId="42520" xr:uid="{00000000-0005-0000-0000-0000B62A0000}"/>
    <cellStyle name="20% - Accent4 2 3 10 2 8" xfId="47997" xr:uid="{00000000-0005-0000-0000-0000B72A0000}"/>
    <cellStyle name="20% - Accent4 2 3 10 2 9" xfId="53515" xr:uid="{00000000-0005-0000-0000-0000B82A0000}"/>
    <cellStyle name="20% - Accent4 2 3 10 3" xfId="5111" xr:uid="{00000000-0005-0000-0000-0000B92A0000}"/>
    <cellStyle name="20% - Accent4 2 3 10 3 2" xfId="10591" xr:uid="{00000000-0005-0000-0000-0000BA2A0000}"/>
    <cellStyle name="20% - Accent4 2 3 10 3 3" xfId="16067" xr:uid="{00000000-0005-0000-0000-0000BB2A0000}"/>
    <cellStyle name="20% - Accent4 2 3 10 3 4" xfId="21543" xr:uid="{00000000-0005-0000-0000-0000BC2A0000}"/>
    <cellStyle name="20% - Accent4 2 3 10 3 5" xfId="27019" xr:uid="{00000000-0005-0000-0000-0000BD2A0000}"/>
    <cellStyle name="20% - Accent4 2 3 10 3 6" xfId="38815" xr:uid="{00000000-0005-0000-0000-0000BE2A0000}"/>
    <cellStyle name="20% - Accent4 2 3 10 3 7" xfId="44292" xr:uid="{00000000-0005-0000-0000-0000BF2A0000}"/>
    <cellStyle name="20% - Accent4 2 3 10 3 8" xfId="49769" xr:uid="{00000000-0005-0000-0000-0000C02A0000}"/>
    <cellStyle name="20% - Accent4 2 3 10 3 9" xfId="55287" xr:uid="{00000000-0005-0000-0000-0000C12A0000}"/>
    <cellStyle name="20% - Accent4 2 3 10 4" xfId="5948" xr:uid="{00000000-0005-0000-0000-0000C22A0000}"/>
    <cellStyle name="20% - Accent4 2 3 10 5" xfId="11428" xr:uid="{00000000-0005-0000-0000-0000C32A0000}"/>
    <cellStyle name="20% - Accent4 2 3 10 6" xfId="16904" xr:uid="{00000000-0005-0000-0000-0000C42A0000}"/>
    <cellStyle name="20% - Accent4 2 3 10 7" xfId="22380" xr:uid="{00000000-0005-0000-0000-0000C52A0000}"/>
    <cellStyle name="20% - Accent4 2 3 10 8" xfId="34175" xr:uid="{00000000-0005-0000-0000-0000C62A0000}"/>
    <cellStyle name="20% - Accent4 2 3 10 9" xfId="39652" xr:uid="{00000000-0005-0000-0000-0000C72A0000}"/>
    <cellStyle name="20% - Accent4 2 3 11" xfId="1734" xr:uid="{00000000-0005-0000-0000-0000C82A0000}"/>
    <cellStyle name="20% - Accent4 2 3 11 10" xfId="45130" xr:uid="{00000000-0005-0000-0000-0000C92A0000}"/>
    <cellStyle name="20% - Accent4 2 3 11 11" xfId="50608" xr:uid="{00000000-0005-0000-0000-0000CA2A0000}"/>
    <cellStyle name="20% - Accent4 2 3 11 2" xfId="3495" xr:uid="{00000000-0005-0000-0000-0000CB2A0000}"/>
    <cellStyle name="20% - Accent4 2 3 11 2 2" xfId="8975" xr:uid="{00000000-0005-0000-0000-0000CC2A0000}"/>
    <cellStyle name="20% - Accent4 2 3 11 2 3" xfId="14451" xr:uid="{00000000-0005-0000-0000-0000CD2A0000}"/>
    <cellStyle name="20% - Accent4 2 3 11 2 4" xfId="19927" xr:uid="{00000000-0005-0000-0000-0000CE2A0000}"/>
    <cellStyle name="20% - Accent4 2 3 11 2 5" xfId="25403" xr:uid="{00000000-0005-0000-0000-0000CF2A0000}"/>
    <cellStyle name="20% - Accent4 2 3 11 2 6" xfId="37199" xr:uid="{00000000-0005-0000-0000-0000D02A0000}"/>
    <cellStyle name="20% - Accent4 2 3 11 2 7" xfId="42676" xr:uid="{00000000-0005-0000-0000-0000D12A0000}"/>
    <cellStyle name="20% - Accent4 2 3 11 2 8" xfId="48153" xr:uid="{00000000-0005-0000-0000-0000D22A0000}"/>
    <cellStyle name="20% - Accent4 2 3 11 2 9" xfId="53671" xr:uid="{00000000-0005-0000-0000-0000D32A0000}"/>
    <cellStyle name="20% - Accent4 2 3 11 3" xfId="5267" xr:uid="{00000000-0005-0000-0000-0000D42A0000}"/>
    <cellStyle name="20% - Accent4 2 3 11 3 2" xfId="10747" xr:uid="{00000000-0005-0000-0000-0000D52A0000}"/>
    <cellStyle name="20% - Accent4 2 3 11 3 3" xfId="16223" xr:uid="{00000000-0005-0000-0000-0000D62A0000}"/>
    <cellStyle name="20% - Accent4 2 3 11 3 4" xfId="21699" xr:uid="{00000000-0005-0000-0000-0000D72A0000}"/>
    <cellStyle name="20% - Accent4 2 3 11 3 5" xfId="27175" xr:uid="{00000000-0005-0000-0000-0000D82A0000}"/>
    <cellStyle name="20% - Accent4 2 3 11 3 6" xfId="38971" xr:uid="{00000000-0005-0000-0000-0000D92A0000}"/>
    <cellStyle name="20% - Accent4 2 3 11 3 7" xfId="44448" xr:uid="{00000000-0005-0000-0000-0000DA2A0000}"/>
    <cellStyle name="20% - Accent4 2 3 11 3 8" xfId="49925" xr:uid="{00000000-0005-0000-0000-0000DB2A0000}"/>
    <cellStyle name="20% - Accent4 2 3 11 3 9" xfId="55443" xr:uid="{00000000-0005-0000-0000-0000DC2A0000}"/>
    <cellStyle name="20% - Accent4 2 3 11 4" xfId="5949" xr:uid="{00000000-0005-0000-0000-0000DD2A0000}"/>
    <cellStyle name="20% - Accent4 2 3 11 5" xfId="11429" xr:uid="{00000000-0005-0000-0000-0000DE2A0000}"/>
    <cellStyle name="20% - Accent4 2 3 11 6" xfId="16905" xr:uid="{00000000-0005-0000-0000-0000DF2A0000}"/>
    <cellStyle name="20% - Accent4 2 3 11 7" xfId="22381" xr:uid="{00000000-0005-0000-0000-0000E02A0000}"/>
    <cellStyle name="20% - Accent4 2 3 11 8" xfId="34176" xr:uid="{00000000-0005-0000-0000-0000E12A0000}"/>
    <cellStyle name="20% - Accent4 2 3 11 9" xfId="39653" xr:uid="{00000000-0005-0000-0000-0000E22A0000}"/>
    <cellStyle name="20% - Accent4 2 3 12" xfId="1940" xr:uid="{00000000-0005-0000-0000-0000E32A0000}"/>
    <cellStyle name="20% - Accent4 2 3 12 10" xfId="52117" xr:uid="{00000000-0005-0000-0000-0000E42A0000}"/>
    <cellStyle name="20% - Accent4 2 3 12 2" xfId="5472" xr:uid="{00000000-0005-0000-0000-0000E52A0000}"/>
    <cellStyle name="20% - Accent4 2 3 12 2 2" xfId="10952" xr:uid="{00000000-0005-0000-0000-0000E62A0000}"/>
    <cellStyle name="20% - Accent4 2 3 12 2 3" xfId="16428" xr:uid="{00000000-0005-0000-0000-0000E72A0000}"/>
    <cellStyle name="20% - Accent4 2 3 12 2 4" xfId="21904" xr:uid="{00000000-0005-0000-0000-0000E82A0000}"/>
    <cellStyle name="20% - Accent4 2 3 12 2 5" xfId="27380" xr:uid="{00000000-0005-0000-0000-0000E92A0000}"/>
    <cellStyle name="20% - Accent4 2 3 12 2 6" xfId="39176" xr:uid="{00000000-0005-0000-0000-0000EA2A0000}"/>
    <cellStyle name="20% - Accent4 2 3 12 2 7" xfId="44653" xr:uid="{00000000-0005-0000-0000-0000EB2A0000}"/>
    <cellStyle name="20% - Accent4 2 3 12 2 8" xfId="50130" xr:uid="{00000000-0005-0000-0000-0000EC2A0000}"/>
    <cellStyle name="20% - Accent4 2 3 12 2 9" xfId="55648" xr:uid="{00000000-0005-0000-0000-0000ED2A0000}"/>
    <cellStyle name="20% - Accent4 2 3 12 3" xfId="7421" xr:uid="{00000000-0005-0000-0000-0000EE2A0000}"/>
    <cellStyle name="20% - Accent4 2 3 12 4" xfId="12897" xr:uid="{00000000-0005-0000-0000-0000EF2A0000}"/>
    <cellStyle name="20% - Accent4 2 3 12 5" xfId="18373" xr:uid="{00000000-0005-0000-0000-0000F02A0000}"/>
    <cellStyle name="20% - Accent4 2 3 12 6" xfId="23849" xr:uid="{00000000-0005-0000-0000-0000F12A0000}"/>
    <cellStyle name="20% - Accent4 2 3 12 7" xfId="35645" xr:uid="{00000000-0005-0000-0000-0000F22A0000}"/>
    <cellStyle name="20% - Accent4 2 3 12 8" xfId="41122" xr:uid="{00000000-0005-0000-0000-0000F32A0000}"/>
    <cellStyle name="20% - Accent4 2 3 12 9" xfId="46599" xr:uid="{00000000-0005-0000-0000-0000F42A0000}"/>
    <cellStyle name="20% - Accent4 2 3 13" xfId="3722" xr:uid="{00000000-0005-0000-0000-0000F52A0000}"/>
    <cellStyle name="20% - Accent4 2 3 13 2" xfId="9202" xr:uid="{00000000-0005-0000-0000-0000F62A0000}"/>
    <cellStyle name="20% - Accent4 2 3 13 3" xfId="14678" xr:uid="{00000000-0005-0000-0000-0000F72A0000}"/>
    <cellStyle name="20% - Accent4 2 3 13 4" xfId="20154" xr:uid="{00000000-0005-0000-0000-0000F82A0000}"/>
    <cellStyle name="20% - Accent4 2 3 13 5" xfId="25630" xr:uid="{00000000-0005-0000-0000-0000F92A0000}"/>
    <cellStyle name="20% - Accent4 2 3 13 6" xfId="37426" xr:uid="{00000000-0005-0000-0000-0000FA2A0000}"/>
    <cellStyle name="20% - Accent4 2 3 13 7" xfId="42903" xr:uid="{00000000-0005-0000-0000-0000FB2A0000}"/>
    <cellStyle name="20% - Accent4 2 3 13 8" xfId="48380" xr:uid="{00000000-0005-0000-0000-0000FC2A0000}"/>
    <cellStyle name="20% - Accent4 2 3 13 9" xfId="53898" xr:uid="{00000000-0005-0000-0000-0000FD2A0000}"/>
    <cellStyle name="20% - Accent4 2 3 14" xfId="5947" xr:uid="{00000000-0005-0000-0000-0000FE2A0000}"/>
    <cellStyle name="20% - Accent4 2 3 15" xfId="11427" xr:uid="{00000000-0005-0000-0000-0000FF2A0000}"/>
    <cellStyle name="20% - Accent4 2 3 16" xfId="16903" xr:uid="{00000000-0005-0000-0000-0000002B0000}"/>
    <cellStyle name="20% - Accent4 2 3 17" xfId="22379" xr:uid="{00000000-0005-0000-0000-0000012B0000}"/>
    <cellStyle name="20% - Accent4 2 3 18" xfId="29089" xr:uid="{00000000-0005-0000-0000-0000022B0000}"/>
    <cellStyle name="20% - Accent4 2 3 19" xfId="34174" xr:uid="{00000000-0005-0000-0000-0000032B0000}"/>
    <cellStyle name="20% - Accent4 2 3 2" xfId="242" xr:uid="{00000000-0005-0000-0000-0000042B0000}"/>
    <cellStyle name="20% - Accent4 2 3 2 10" xfId="1774" xr:uid="{00000000-0005-0000-0000-0000052B0000}"/>
    <cellStyle name="20% - Accent4 2 3 2 10 10" xfId="45132" xr:uid="{00000000-0005-0000-0000-0000062B0000}"/>
    <cellStyle name="20% - Accent4 2 3 2 10 11" xfId="50610" xr:uid="{00000000-0005-0000-0000-0000072B0000}"/>
    <cellStyle name="20% - Accent4 2 3 2 10 2" xfId="3535" xr:uid="{00000000-0005-0000-0000-0000082B0000}"/>
    <cellStyle name="20% - Accent4 2 3 2 10 2 2" xfId="9015" xr:uid="{00000000-0005-0000-0000-0000092B0000}"/>
    <cellStyle name="20% - Accent4 2 3 2 10 2 3" xfId="14491" xr:uid="{00000000-0005-0000-0000-00000A2B0000}"/>
    <cellStyle name="20% - Accent4 2 3 2 10 2 4" xfId="19967" xr:uid="{00000000-0005-0000-0000-00000B2B0000}"/>
    <cellStyle name="20% - Accent4 2 3 2 10 2 5" xfId="25443" xr:uid="{00000000-0005-0000-0000-00000C2B0000}"/>
    <cellStyle name="20% - Accent4 2 3 2 10 2 6" xfId="37239" xr:uid="{00000000-0005-0000-0000-00000D2B0000}"/>
    <cellStyle name="20% - Accent4 2 3 2 10 2 7" xfId="42716" xr:uid="{00000000-0005-0000-0000-00000E2B0000}"/>
    <cellStyle name="20% - Accent4 2 3 2 10 2 8" xfId="48193" xr:uid="{00000000-0005-0000-0000-00000F2B0000}"/>
    <cellStyle name="20% - Accent4 2 3 2 10 2 9" xfId="53711" xr:uid="{00000000-0005-0000-0000-0000102B0000}"/>
    <cellStyle name="20% - Accent4 2 3 2 10 3" xfId="5307" xr:uid="{00000000-0005-0000-0000-0000112B0000}"/>
    <cellStyle name="20% - Accent4 2 3 2 10 3 2" xfId="10787" xr:uid="{00000000-0005-0000-0000-0000122B0000}"/>
    <cellStyle name="20% - Accent4 2 3 2 10 3 3" xfId="16263" xr:uid="{00000000-0005-0000-0000-0000132B0000}"/>
    <cellStyle name="20% - Accent4 2 3 2 10 3 4" xfId="21739" xr:uid="{00000000-0005-0000-0000-0000142B0000}"/>
    <cellStyle name="20% - Accent4 2 3 2 10 3 5" xfId="27215" xr:uid="{00000000-0005-0000-0000-0000152B0000}"/>
    <cellStyle name="20% - Accent4 2 3 2 10 3 6" xfId="39011" xr:uid="{00000000-0005-0000-0000-0000162B0000}"/>
    <cellStyle name="20% - Accent4 2 3 2 10 3 7" xfId="44488" xr:uid="{00000000-0005-0000-0000-0000172B0000}"/>
    <cellStyle name="20% - Accent4 2 3 2 10 3 8" xfId="49965" xr:uid="{00000000-0005-0000-0000-0000182B0000}"/>
    <cellStyle name="20% - Accent4 2 3 2 10 3 9" xfId="55483" xr:uid="{00000000-0005-0000-0000-0000192B0000}"/>
    <cellStyle name="20% - Accent4 2 3 2 10 4" xfId="5951" xr:uid="{00000000-0005-0000-0000-00001A2B0000}"/>
    <cellStyle name="20% - Accent4 2 3 2 10 5" xfId="11431" xr:uid="{00000000-0005-0000-0000-00001B2B0000}"/>
    <cellStyle name="20% - Accent4 2 3 2 10 6" xfId="16907" xr:uid="{00000000-0005-0000-0000-00001C2B0000}"/>
    <cellStyle name="20% - Accent4 2 3 2 10 7" xfId="22383" xr:uid="{00000000-0005-0000-0000-00001D2B0000}"/>
    <cellStyle name="20% - Accent4 2 3 2 10 8" xfId="34178" xr:uid="{00000000-0005-0000-0000-00001E2B0000}"/>
    <cellStyle name="20% - Accent4 2 3 2 10 9" xfId="39655" xr:uid="{00000000-0005-0000-0000-00001F2B0000}"/>
    <cellStyle name="20% - Accent4 2 3 2 11" xfId="1941" xr:uid="{00000000-0005-0000-0000-0000202B0000}"/>
    <cellStyle name="20% - Accent4 2 3 2 11 10" xfId="52118" xr:uid="{00000000-0005-0000-0000-0000212B0000}"/>
    <cellStyle name="20% - Accent4 2 3 2 11 2" xfId="5473" xr:uid="{00000000-0005-0000-0000-0000222B0000}"/>
    <cellStyle name="20% - Accent4 2 3 2 11 2 2" xfId="10953" xr:uid="{00000000-0005-0000-0000-0000232B0000}"/>
    <cellStyle name="20% - Accent4 2 3 2 11 2 3" xfId="16429" xr:uid="{00000000-0005-0000-0000-0000242B0000}"/>
    <cellStyle name="20% - Accent4 2 3 2 11 2 4" xfId="21905" xr:uid="{00000000-0005-0000-0000-0000252B0000}"/>
    <cellStyle name="20% - Accent4 2 3 2 11 2 5" xfId="27381" xr:uid="{00000000-0005-0000-0000-0000262B0000}"/>
    <cellStyle name="20% - Accent4 2 3 2 11 2 6" xfId="39177" xr:uid="{00000000-0005-0000-0000-0000272B0000}"/>
    <cellStyle name="20% - Accent4 2 3 2 11 2 7" xfId="44654" xr:uid="{00000000-0005-0000-0000-0000282B0000}"/>
    <cellStyle name="20% - Accent4 2 3 2 11 2 8" xfId="50131" xr:uid="{00000000-0005-0000-0000-0000292B0000}"/>
    <cellStyle name="20% - Accent4 2 3 2 11 2 9" xfId="55649" xr:uid="{00000000-0005-0000-0000-00002A2B0000}"/>
    <cellStyle name="20% - Accent4 2 3 2 11 3" xfId="7422" xr:uid="{00000000-0005-0000-0000-00002B2B0000}"/>
    <cellStyle name="20% - Accent4 2 3 2 11 4" xfId="12898" xr:uid="{00000000-0005-0000-0000-00002C2B0000}"/>
    <cellStyle name="20% - Accent4 2 3 2 11 5" xfId="18374" xr:uid="{00000000-0005-0000-0000-00002D2B0000}"/>
    <cellStyle name="20% - Accent4 2 3 2 11 6" xfId="23850" xr:uid="{00000000-0005-0000-0000-00002E2B0000}"/>
    <cellStyle name="20% - Accent4 2 3 2 11 7" xfId="35646" xr:uid="{00000000-0005-0000-0000-00002F2B0000}"/>
    <cellStyle name="20% - Accent4 2 3 2 11 8" xfId="41123" xr:uid="{00000000-0005-0000-0000-0000302B0000}"/>
    <cellStyle name="20% - Accent4 2 3 2 11 9" xfId="46600" xr:uid="{00000000-0005-0000-0000-0000312B0000}"/>
    <cellStyle name="20% - Accent4 2 3 2 12" xfId="3808" xr:uid="{00000000-0005-0000-0000-0000322B0000}"/>
    <cellStyle name="20% - Accent4 2 3 2 12 2" xfId="9288" xr:uid="{00000000-0005-0000-0000-0000332B0000}"/>
    <cellStyle name="20% - Accent4 2 3 2 12 3" xfId="14764" xr:uid="{00000000-0005-0000-0000-0000342B0000}"/>
    <cellStyle name="20% - Accent4 2 3 2 12 4" xfId="20240" xr:uid="{00000000-0005-0000-0000-0000352B0000}"/>
    <cellStyle name="20% - Accent4 2 3 2 12 5" xfId="25716" xr:uid="{00000000-0005-0000-0000-0000362B0000}"/>
    <cellStyle name="20% - Accent4 2 3 2 12 6" xfId="37512" xr:uid="{00000000-0005-0000-0000-0000372B0000}"/>
    <cellStyle name="20% - Accent4 2 3 2 12 7" xfId="42989" xr:uid="{00000000-0005-0000-0000-0000382B0000}"/>
    <cellStyle name="20% - Accent4 2 3 2 12 8" xfId="48466" xr:uid="{00000000-0005-0000-0000-0000392B0000}"/>
    <cellStyle name="20% - Accent4 2 3 2 12 9" xfId="53984" xr:uid="{00000000-0005-0000-0000-00003A2B0000}"/>
    <cellStyle name="20% - Accent4 2 3 2 13" xfId="5950" xr:uid="{00000000-0005-0000-0000-00003B2B0000}"/>
    <cellStyle name="20% - Accent4 2 3 2 14" xfId="11430" xr:uid="{00000000-0005-0000-0000-00003C2B0000}"/>
    <cellStyle name="20% - Accent4 2 3 2 15" xfId="16906" xr:uid="{00000000-0005-0000-0000-00003D2B0000}"/>
    <cellStyle name="20% - Accent4 2 3 2 16" xfId="22382" xr:uid="{00000000-0005-0000-0000-00003E2B0000}"/>
    <cellStyle name="20% - Accent4 2 3 2 17" xfId="29090" xr:uid="{00000000-0005-0000-0000-00003F2B0000}"/>
    <cellStyle name="20% - Accent4 2 3 2 18" xfId="34177" xr:uid="{00000000-0005-0000-0000-0000402B0000}"/>
    <cellStyle name="20% - Accent4 2 3 2 19" xfId="39654" xr:uid="{00000000-0005-0000-0000-0000412B0000}"/>
    <cellStyle name="20% - Accent4 2 3 2 2" xfId="312" xr:uid="{00000000-0005-0000-0000-0000422B0000}"/>
    <cellStyle name="20% - Accent4 2 3 2 2 10" xfId="39656" xr:uid="{00000000-0005-0000-0000-0000432B0000}"/>
    <cellStyle name="20% - Accent4 2 3 2 2 11" xfId="45133" xr:uid="{00000000-0005-0000-0000-0000442B0000}"/>
    <cellStyle name="20% - Accent4 2 3 2 2 12" xfId="50611" xr:uid="{00000000-0005-0000-0000-0000452B0000}"/>
    <cellStyle name="20% - Accent4 2 3 2 2 2" xfId="2111" xr:uid="{00000000-0005-0000-0000-0000462B0000}"/>
    <cellStyle name="20% - Accent4 2 3 2 2 2 2" xfId="7591" xr:uid="{00000000-0005-0000-0000-0000472B0000}"/>
    <cellStyle name="20% - Accent4 2 3 2 2 2 3" xfId="13067" xr:uid="{00000000-0005-0000-0000-0000482B0000}"/>
    <cellStyle name="20% - Accent4 2 3 2 2 2 4" xfId="18543" xr:uid="{00000000-0005-0000-0000-0000492B0000}"/>
    <cellStyle name="20% - Accent4 2 3 2 2 2 5" xfId="24019" xr:uid="{00000000-0005-0000-0000-00004A2B0000}"/>
    <cellStyle name="20% - Accent4 2 3 2 2 2 6" xfId="35815" xr:uid="{00000000-0005-0000-0000-00004B2B0000}"/>
    <cellStyle name="20% - Accent4 2 3 2 2 2 7" xfId="41292" xr:uid="{00000000-0005-0000-0000-00004C2B0000}"/>
    <cellStyle name="20% - Accent4 2 3 2 2 2 8" xfId="46769" xr:uid="{00000000-0005-0000-0000-00004D2B0000}"/>
    <cellStyle name="20% - Accent4 2 3 2 2 2 9" xfId="52287" xr:uid="{00000000-0005-0000-0000-00004E2B0000}"/>
    <cellStyle name="20% - Accent4 2 3 2 2 3" xfId="3874" xr:uid="{00000000-0005-0000-0000-00004F2B0000}"/>
    <cellStyle name="20% - Accent4 2 3 2 2 3 2" xfId="9354" xr:uid="{00000000-0005-0000-0000-0000502B0000}"/>
    <cellStyle name="20% - Accent4 2 3 2 2 3 3" xfId="14830" xr:uid="{00000000-0005-0000-0000-0000512B0000}"/>
    <cellStyle name="20% - Accent4 2 3 2 2 3 4" xfId="20306" xr:uid="{00000000-0005-0000-0000-0000522B0000}"/>
    <cellStyle name="20% - Accent4 2 3 2 2 3 5" xfId="25782" xr:uid="{00000000-0005-0000-0000-0000532B0000}"/>
    <cellStyle name="20% - Accent4 2 3 2 2 3 6" xfId="37578" xr:uid="{00000000-0005-0000-0000-0000542B0000}"/>
    <cellStyle name="20% - Accent4 2 3 2 2 3 7" xfId="43055" xr:uid="{00000000-0005-0000-0000-0000552B0000}"/>
    <cellStyle name="20% - Accent4 2 3 2 2 3 8" xfId="48532" xr:uid="{00000000-0005-0000-0000-0000562B0000}"/>
    <cellStyle name="20% - Accent4 2 3 2 2 3 9" xfId="54050" xr:uid="{00000000-0005-0000-0000-0000572B0000}"/>
    <cellStyle name="20% - Accent4 2 3 2 2 4" xfId="5952" xr:uid="{00000000-0005-0000-0000-0000582B0000}"/>
    <cellStyle name="20% - Accent4 2 3 2 2 5" xfId="11432" xr:uid="{00000000-0005-0000-0000-0000592B0000}"/>
    <cellStyle name="20% - Accent4 2 3 2 2 6" xfId="16908" xr:uid="{00000000-0005-0000-0000-00005A2B0000}"/>
    <cellStyle name="20% - Accent4 2 3 2 2 7" xfId="22384" xr:uid="{00000000-0005-0000-0000-00005B2B0000}"/>
    <cellStyle name="20% - Accent4 2 3 2 2 8" xfId="29091" xr:uid="{00000000-0005-0000-0000-00005C2B0000}"/>
    <cellStyle name="20% - Accent4 2 3 2 2 9" xfId="34179" xr:uid="{00000000-0005-0000-0000-00005D2B0000}"/>
    <cellStyle name="20% - Accent4 2 3 2 20" xfId="45131" xr:uid="{00000000-0005-0000-0000-00005E2B0000}"/>
    <cellStyle name="20% - Accent4 2 3 2 21" xfId="50609" xr:uid="{00000000-0005-0000-0000-00005F2B0000}"/>
    <cellStyle name="20% - Accent4 2 3 2 3" xfId="513" xr:uid="{00000000-0005-0000-0000-0000602B0000}"/>
    <cellStyle name="20% - Accent4 2 3 2 3 10" xfId="45134" xr:uid="{00000000-0005-0000-0000-0000612B0000}"/>
    <cellStyle name="20% - Accent4 2 3 2 3 11" xfId="50612" xr:uid="{00000000-0005-0000-0000-0000622B0000}"/>
    <cellStyle name="20% - Accent4 2 3 2 3 2" xfId="2274" xr:uid="{00000000-0005-0000-0000-0000632B0000}"/>
    <cellStyle name="20% - Accent4 2 3 2 3 2 2" xfId="7754" xr:uid="{00000000-0005-0000-0000-0000642B0000}"/>
    <cellStyle name="20% - Accent4 2 3 2 3 2 3" xfId="13230" xr:uid="{00000000-0005-0000-0000-0000652B0000}"/>
    <cellStyle name="20% - Accent4 2 3 2 3 2 4" xfId="18706" xr:uid="{00000000-0005-0000-0000-0000662B0000}"/>
    <cellStyle name="20% - Accent4 2 3 2 3 2 5" xfId="24182" xr:uid="{00000000-0005-0000-0000-0000672B0000}"/>
    <cellStyle name="20% - Accent4 2 3 2 3 2 6" xfId="35978" xr:uid="{00000000-0005-0000-0000-0000682B0000}"/>
    <cellStyle name="20% - Accent4 2 3 2 3 2 7" xfId="41455" xr:uid="{00000000-0005-0000-0000-0000692B0000}"/>
    <cellStyle name="20% - Accent4 2 3 2 3 2 8" xfId="46932" xr:uid="{00000000-0005-0000-0000-00006A2B0000}"/>
    <cellStyle name="20% - Accent4 2 3 2 3 2 9" xfId="52450" xr:uid="{00000000-0005-0000-0000-00006B2B0000}"/>
    <cellStyle name="20% - Accent4 2 3 2 3 3" xfId="4046" xr:uid="{00000000-0005-0000-0000-00006C2B0000}"/>
    <cellStyle name="20% - Accent4 2 3 2 3 3 2" xfId="9526" xr:uid="{00000000-0005-0000-0000-00006D2B0000}"/>
    <cellStyle name="20% - Accent4 2 3 2 3 3 3" xfId="15002" xr:uid="{00000000-0005-0000-0000-00006E2B0000}"/>
    <cellStyle name="20% - Accent4 2 3 2 3 3 4" xfId="20478" xr:uid="{00000000-0005-0000-0000-00006F2B0000}"/>
    <cellStyle name="20% - Accent4 2 3 2 3 3 5" xfId="25954" xr:uid="{00000000-0005-0000-0000-0000702B0000}"/>
    <cellStyle name="20% - Accent4 2 3 2 3 3 6" xfId="37750" xr:uid="{00000000-0005-0000-0000-0000712B0000}"/>
    <cellStyle name="20% - Accent4 2 3 2 3 3 7" xfId="43227" xr:uid="{00000000-0005-0000-0000-0000722B0000}"/>
    <cellStyle name="20% - Accent4 2 3 2 3 3 8" xfId="48704" xr:uid="{00000000-0005-0000-0000-0000732B0000}"/>
    <cellStyle name="20% - Accent4 2 3 2 3 3 9" xfId="54222" xr:uid="{00000000-0005-0000-0000-0000742B0000}"/>
    <cellStyle name="20% - Accent4 2 3 2 3 4" xfId="5953" xr:uid="{00000000-0005-0000-0000-0000752B0000}"/>
    <cellStyle name="20% - Accent4 2 3 2 3 5" xfId="11433" xr:uid="{00000000-0005-0000-0000-0000762B0000}"/>
    <cellStyle name="20% - Accent4 2 3 2 3 6" xfId="16909" xr:uid="{00000000-0005-0000-0000-0000772B0000}"/>
    <cellStyle name="20% - Accent4 2 3 2 3 7" xfId="22385" xr:uid="{00000000-0005-0000-0000-0000782B0000}"/>
    <cellStyle name="20% - Accent4 2 3 2 3 8" xfId="34180" xr:uid="{00000000-0005-0000-0000-0000792B0000}"/>
    <cellStyle name="20% - Accent4 2 3 2 3 9" xfId="39657" xr:uid="{00000000-0005-0000-0000-00007A2B0000}"/>
    <cellStyle name="20% - Accent4 2 3 2 4" xfId="685" xr:uid="{00000000-0005-0000-0000-00007B2B0000}"/>
    <cellStyle name="20% - Accent4 2 3 2 4 10" xfId="45135" xr:uid="{00000000-0005-0000-0000-00007C2B0000}"/>
    <cellStyle name="20% - Accent4 2 3 2 4 11" xfId="50613" xr:uid="{00000000-0005-0000-0000-00007D2B0000}"/>
    <cellStyle name="20% - Accent4 2 3 2 4 2" xfId="2446" xr:uid="{00000000-0005-0000-0000-00007E2B0000}"/>
    <cellStyle name="20% - Accent4 2 3 2 4 2 2" xfId="7926" xr:uid="{00000000-0005-0000-0000-00007F2B0000}"/>
    <cellStyle name="20% - Accent4 2 3 2 4 2 3" xfId="13402" xr:uid="{00000000-0005-0000-0000-0000802B0000}"/>
    <cellStyle name="20% - Accent4 2 3 2 4 2 4" xfId="18878" xr:uid="{00000000-0005-0000-0000-0000812B0000}"/>
    <cellStyle name="20% - Accent4 2 3 2 4 2 5" xfId="24354" xr:uid="{00000000-0005-0000-0000-0000822B0000}"/>
    <cellStyle name="20% - Accent4 2 3 2 4 2 6" xfId="36150" xr:uid="{00000000-0005-0000-0000-0000832B0000}"/>
    <cellStyle name="20% - Accent4 2 3 2 4 2 7" xfId="41627" xr:uid="{00000000-0005-0000-0000-0000842B0000}"/>
    <cellStyle name="20% - Accent4 2 3 2 4 2 8" xfId="47104" xr:uid="{00000000-0005-0000-0000-0000852B0000}"/>
    <cellStyle name="20% - Accent4 2 3 2 4 2 9" xfId="52622" xr:uid="{00000000-0005-0000-0000-0000862B0000}"/>
    <cellStyle name="20% - Accent4 2 3 2 4 3" xfId="4218" xr:uid="{00000000-0005-0000-0000-0000872B0000}"/>
    <cellStyle name="20% - Accent4 2 3 2 4 3 2" xfId="9698" xr:uid="{00000000-0005-0000-0000-0000882B0000}"/>
    <cellStyle name="20% - Accent4 2 3 2 4 3 3" xfId="15174" xr:uid="{00000000-0005-0000-0000-0000892B0000}"/>
    <cellStyle name="20% - Accent4 2 3 2 4 3 4" xfId="20650" xr:uid="{00000000-0005-0000-0000-00008A2B0000}"/>
    <cellStyle name="20% - Accent4 2 3 2 4 3 5" xfId="26126" xr:uid="{00000000-0005-0000-0000-00008B2B0000}"/>
    <cellStyle name="20% - Accent4 2 3 2 4 3 6" xfId="37922" xr:uid="{00000000-0005-0000-0000-00008C2B0000}"/>
    <cellStyle name="20% - Accent4 2 3 2 4 3 7" xfId="43399" xr:uid="{00000000-0005-0000-0000-00008D2B0000}"/>
    <cellStyle name="20% - Accent4 2 3 2 4 3 8" xfId="48876" xr:uid="{00000000-0005-0000-0000-00008E2B0000}"/>
    <cellStyle name="20% - Accent4 2 3 2 4 3 9" xfId="54394" xr:uid="{00000000-0005-0000-0000-00008F2B0000}"/>
    <cellStyle name="20% - Accent4 2 3 2 4 4" xfId="5954" xr:uid="{00000000-0005-0000-0000-0000902B0000}"/>
    <cellStyle name="20% - Accent4 2 3 2 4 5" xfId="11434" xr:uid="{00000000-0005-0000-0000-0000912B0000}"/>
    <cellStyle name="20% - Accent4 2 3 2 4 6" xfId="16910" xr:uid="{00000000-0005-0000-0000-0000922B0000}"/>
    <cellStyle name="20% - Accent4 2 3 2 4 7" xfId="22386" xr:uid="{00000000-0005-0000-0000-0000932B0000}"/>
    <cellStyle name="20% - Accent4 2 3 2 4 8" xfId="34181" xr:uid="{00000000-0005-0000-0000-0000942B0000}"/>
    <cellStyle name="20% - Accent4 2 3 2 4 9" xfId="39658" xr:uid="{00000000-0005-0000-0000-0000952B0000}"/>
    <cellStyle name="20% - Accent4 2 3 2 5" xfId="857" xr:uid="{00000000-0005-0000-0000-0000962B0000}"/>
    <cellStyle name="20% - Accent4 2 3 2 5 10" xfId="45136" xr:uid="{00000000-0005-0000-0000-0000972B0000}"/>
    <cellStyle name="20% - Accent4 2 3 2 5 11" xfId="50614" xr:uid="{00000000-0005-0000-0000-0000982B0000}"/>
    <cellStyle name="20% - Accent4 2 3 2 5 2" xfId="2618" xr:uid="{00000000-0005-0000-0000-0000992B0000}"/>
    <cellStyle name="20% - Accent4 2 3 2 5 2 2" xfId="8098" xr:uid="{00000000-0005-0000-0000-00009A2B0000}"/>
    <cellStyle name="20% - Accent4 2 3 2 5 2 3" xfId="13574" xr:uid="{00000000-0005-0000-0000-00009B2B0000}"/>
    <cellStyle name="20% - Accent4 2 3 2 5 2 4" xfId="19050" xr:uid="{00000000-0005-0000-0000-00009C2B0000}"/>
    <cellStyle name="20% - Accent4 2 3 2 5 2 5" xfId="24526" xr:uid="{00000000-0005-0000-0000-00009D2B0000}"/>
    <cellStyle name="20% - Accent4 2 3 2 5 2 6" xfId="36322" xr:uid="{00000000-0005-0000-0000-00009E2B0000}"/>
    <cellStyle name="20% - Accent4 2 3 2 5 2 7" xfId="41799" xr:uid="{00000000-0005-0000-0000-00009F2B0000}"/>
    <cellStyle name="20% - Accent4 2 3 2 5 2 8" xfId="47276" xr:uid="{00000000-0005-0000-0000-0000A02B0000}"/>
    <cellStyle name="20% - Accent4 2 3 2 5 2 9" xfId="52794" xr:uid="{00000000-0005-0000-0000-0000A12B0000}"/>
    <cellStyle name="20% - Accent4 2 3 2 5 3" xfId="4390" xr:uid="{00000000-0005-0000-0000-0000A22B0000}"/>
    <cellStyle name="20% - Accent4 2 3 2 5 3 2" xfId="9870" xr:uid="{00000000-0005-0000-0000-0000A32B0000}"/>
    <cellStyle name="20% - Accent4 2 3 2 5 3 3" xfId="15346" xr:uid="{00000000-0005-0000-0000-0000A42B0000}"/>
    <cellStyle name="20% - Accent4 2 3 2 5 3 4" xfId="20822" xr:uid="{00000000-0005-0000-0000-0000A52B0000}"/>
    <cellStyle name="20% - Accent4 2 3 2 5 3 5" xfId="26298" xr:uid="{00000000-0005-0000-0000-0000A62B0000}"/>
    <cellStyle name="20% - Accent4 2 3 2 5 3 6" xfId="38094" xr:uid="{00000000-0005-0000-0000-0000A72B0000}"/>
    <cellStyle name="20% - Accent4 2 3 2 5 3 7" xfId="43571" xr:uid="{00000000-0005-0000-0000-0000A82B0000}"/>
    <cellStyle name="20% - Accent4 2 3 2 5 3 8" xfId="49048" xr:uid="{00000000-0005-0000-0000-0000A92B0000}"/>
    <cellStyle name="20% - Accent4 2 3 2 5 3 9" xfId="54566" xr:uid="{00000000-0005-0000-0000-0000AA2B0000}"/>
    <cellStyle name="20% - Accent4 2 3 2 5 4" xfId="5955" xr:uid="{00000000-0005-0000-0000-0000AB2B0000}"/>
    <cellStyle name="20% - Accent4 2 3 2 5 5" xfId="11435" xr:uid="{00000000-0005-0000-0000-0000AC2B0000}"/>
    <cellStyle name="20% - Accent4 2 3 2 5 6" xfId="16911" xr:uid="{00000000-0005-0000-0000-0000AD2B0000}"/>
    <cellStyle name="20% - Accent4 2 3 2 5 7" xfId="22387" xr:uid="{00000000-0005-0000-0000-0000AE2B0000}"/>
    <cellStyle name="20% - Accent4 2 3 2 5 8" xfId="34182" xr:uid="{00000000-0005-0000-0000-0000AF2B0000}"/>
    <cellStyle name="20% - Accent4 2 3 2 5 9" xfId="39659" xr:uid="{00000000-0005-0000-0000-0000B02B0000}"/>
    <cellStyle name="20% - Accent4 2 3 2 6" xfId="1063" xr:uid="{00000000-0005-0000-0000-0000B12B0000}"/>
    <cellStyle name="20% - Accent4 2 3 2 6 10" xfId="45137" xr:uid="{00000000-0005-0000-0000-0000B22B0000}"/>
    <cellStyle name="20% - Accent4 2 3 2 6 11" xfId="50615" xr:uid="{00000000-0005-0000-0000-0000B32B0000}"/>
    <cellStyle name="20% - Accent4 2 3 2 6 2" xfId="2824" xr:uid="{00000000-0005-0000-0000-0000B42B0000}"/>
    <cellStyle name="20% - Accent4 2 3 2 6 2 2" xfId="8304" xr:uid="{00000000-0005-0000-0000-0000B52B0000}"/>
    <cellStyle name="20% - Accent4 2 3 2 6 2 3" xfId="13780" xr:uid="{00000000-0005-0000-0000-0000B62B0000}"/>
    <cellStyle name="20% - Accent4 2 3 2 6 2 4" xfId="19256" xr:uid="{00000000-0005-0000-0000-0000B72B0000}"/>
    <cellStyle name="20% - Accent4 2 3 2 6 2 5" xfId="24732" xr:uid="{00000000-0005-0000-0000-0000B82B0000}"/>
    <cellStyle name="20% - Accent4 2 3 2 6 2 6" xfId="36528" xr:uid="{00000000-0005-0000-0000-0000B92B0000}"/>
    <cellStyle name="20% - Accent4 2 3 2 6 2 7" xfId="42005" xr:uid="{00000000-0005-0000-0000-0000BA2B0000}"/>
    <cellStyle name="20% - Accent4 2 3 2 6 2 8" xfId="47482" xr:uid="{00000000-0005-0000-0000-0000BB2B0000}"/>
    <cellStyle name="20% - Accent4 2 3 2 6 2 9" xfId="53000" xr:uid="{00000000-0005-0000-0000-0000BC2B0000}"/>
    <cellStyle name="20% - Accent4 2 3 2 6 3" xfId="4596" xr:uid="{00000000-0005-0000-0000-0000BD2B0000}"/>
    <cellStyle name="20% - Accent4 2 3 2 6 3 2" xfId="10076" xr:uid="{00000000-0005-0000-0000-0000BE2B0000}"/>
    <cellStyle name="20% - Accent4 2 3 2 6 3 3" xfId="15552" xr:uid="{00000000-0005-0000-0000-0000BF2B0000}"/>
    <cellStyle name="20% - Accent4 2 3 2 6 3 4" xfId="21028" xr:uid="{00000000-0005-0000-0000-0000C02B0000}"/>
    <cellStyle name="20% - Accent4 2 3 2 6 3 5" xfId="26504" xr:uid="{00000000-0005-0000-0000-0000C12B0000}"/>
    <cellStyle name="20% - Accent4 2 3 2 6 3 6" xfId="38300" xr:uid="{00000000-0005-0000-0000-0000C22B0000}"/>
    <cellStyle name="20% - Accent4 2 3 2 6 3 7" xfId="43777" xr:uid="{00000000-0005-0000-0000-0000C32B0000}"/>
    <cellStyle name="20% - Accent4 2 3 2 6 3 8" xfId="49254" xr:uid="{00000000-0005-0000-0000-0000C42B0000}"/>
    <cellStyle name="20% - Accent4 2 3 2 6 3 9" xfId="54772" xr:uid="{00000000-0005-0000-0000-0000C52B0000}"/>
    <cellStyle name="20% - Accent4 2 3 2 6 4" xfId="5956" xr:uid="{00000000-0005-0000-0000-0000C62B0000}"/>
    <cellStyle name="20% - Accent4 2 3 2 6 5" xfId="11436" xr:uid="{00000000-0005-0000-0000-0000C72B0000}"/>
    <cellStyle name="20% - Accent4 2 3 2 6 6" xfId="16912" xr:uid="{00000000-0005-0000-0000-0000C82B0000}"/>
    <cellStyle name="20% - Accent4 2 3 2 6 7" xfId="22388" xr:uid="{00000000-0005-0000-0000-0000C92B0000}"/>
    <cellStyle name="20% - Accent4 2 3 2 6 8" xfId="34183" xr:uid="{00000000-0005-0000-0000-0000CA2B0000}"/>
    <cellStyle name="20% - Accent4 2 3 2 6 9" xfId="39660" xr:uid="{00000000-0005-0000-0000-0000CB2B0000}"/>
    <cellStyle name="20% - Accent4 2 3 2 7" xfId="1235" xr:uid="{00000000-0005-0000-0000-0000CC2B0000}"/>
    <cellStyle name="20% - Accent4 2 3 2 7 10" xfId="45138" xr:uid="{00000000-0005-0000-0000-0000CD2B0000}"/>
    <cellStyle name="20% - Accent4 2 3 2 7 11" xfId="50616" xr:uid="{00000000-0005-0000-0000-0000CE2B0000}"/>
    <cellStyle name="20% - Accent4 2 3 2 7 2" xfId="2996" xr:uid="{00000000-0005-0000-0000-0000CF2B0000}"/>
    <cellStyle name="20% - Accent4 2 3 2 7 2 2" xfId="8476" xr:uid="{00000000-0005-0000-0000-0000D02B0000}"/>
    <cellStyle name="20% - Accent4 2 3 2 7 2 3" xfId="13952" xr:uid="{00000000-0005-0000-0000-0000D12B0000}"/>
    <cellStyle name="20% - Accent4 2 3 2 7 2 4" xfId="19428" xr:uid="{00000000-0005-0000-0000-0000D22B0000}"/>
    <cellStyle name="20% - Accent4 2 3 2 7 2 5" xfId="24904" xr:uid="{00000000-0005-0000-0000-0000D32B0000}"/>
    <cellStyle name="20% - Accent4 2 3 2 7 2 6" xfId="36700" xr:uid="{00000000-0005-0000-0000-0000D42B0000}"/>
    <cellStyle name="20% - Accent4 2 3 2 7 2 7" xfId="42177" xr:uid="{00000000-0005-0000-0000-0000D52B0000}"/>
    <cellStyle name="20% - Accent4 2 3 2 7 2 8" xfId="47654" xr:uid="{00000000-0005-0000-0000-0000D62B0000}"/>
    <cellStyle name="20% - Accent4 2 3 2 7 2 9" xfId="53172" xr:uid="{00000000-0005-0000-0000-0000D72B0000}"/>
    <cellStyle name="20% - Accent4 2 3 2 7 3" xfId="4768" xr:uid="{00000000-0005-0000-0000-0000D82B0000}"/>
    <cellStyle name="20% - Accent4 2 3 2 7 3 2" xfId="10248" xr:uid="{00000000-0005-0000-0000-0000D92B0000}"/>
    <cellStyle name="20% - Accent4 2 3 2 7 3 3" xfId="15724" xr:uid="{00000000-0005-0000-0000-0000DA2B0000}"/>
    <cellStyle name="20% - Accent4 2 3 2 7 3 4" xfId="21200" xr:uid="{00000000-0005-0000-0000-0000DB2B0000}"/>
    <cellStyle name="20% - Accent4 2 3 2 7 3 5" xfId="26676" xr:uid="{00000000-0005-0000-0000-0000DC2B0000}"/>
    <cellStyle name="20% - Accent4 2 3 2 7 3 6" xfId="38472" xr:uid="{00000000-0005-0000-0000-0000DD2B0000}"/>
    <cellStyle name="20% - Accent4 2 3 2 7 3 7" xfId="43949" xr:uid="{00000000-0005-0000-0000-0000DE2B0000}"/>
    <cellStyle name="20% - Accent4 2 3 2 7 3 8" xfId="49426" xr:uid="{00000000-0005-0000-0000-0000DF2B0000}"/>
    <cellStyle name="20% - Accent4 2 3 2 7 3 9" xfId="54944" xr:uid="{00000000-0005-0000-0000-0000E02B0000}"/>
    <cellStyle name="20% - Accent4 2 3 2 7 4" xfId="5957" xr:uid="{00000000-0005-0000-0000-0000E12B0000}"/>
    <cellStyle name="20% - Accent4 2 3 2 7 5" xfId="11437" xr:uid="{00000000-0005-0000-0000-0000E22B0000}"/>
    <cellStyle name="20% - Accent4 2 3 2 7 6" xfId="16913" xr:uid="{00000000-0005-0000-0000-0000E32B0000}"/>
    <cellStyle name="20% - Accent4 2 3 2 7 7" xfId="22389" xr:uid="{00000000-0005-0000-0000-0000E42B0000}"/>
    <cellStyle name="20% - Accent4 2 3 2 7 8" xfId="34184" xr:uid="{00000000-0005-0000-0000-0000E52B0000}"/>
    <cellStyle name="20% - Accent4 2 3 2 7 9" xfId="39661" xr:uid="{00000000-0005-0000-0000-0000E62B0000}"/>
    <cellStyle name="20% - Accent4 2 3 2 8" xfId="1407" xr:uid="{00000000-0005-0000-0000-0000E72B0000}"/>
    <cellStyle name="20% - Accent4 2 3 2 8 10" xfId="45139" xr:uid="{00000000-0005-0000-0000-0000E82B0000}"/>
    <cellStyle name="20% - Accent4 2 3 2 8 11" xfId="50617" xr:uid="{00000000-0005-0000-0000-0000E92B0000}"/>
    <cellStyle name="20% - Accent4 2 3 2 8 2" xfId="3168" xr:uid="{00000000-0005-0000-0000-0000EA2B0000}"/>
    <cellStyle name="20% - Accent4 2 3 2 8 2 2" xfId="8648" xr:uid="{00000000-0005-0000-0000-0000EB2B0000}"/>
    <cellStyle name="20% - Accent4 2 3 2 8 2 3" xfId="14124" xr:uid="{00000000-0005-0000-0000-0000EC2B0000}"/>
    <cellStyle name="20% - Accent4 2 3 2 8 2 4" xfId="19600" xr:uid="{00000000-0005-0000-0000-0000ED2B0000}"/>
    <cellStyle name="20% - Accent4 2 3 2 8 2 5" xfId="25076" xr:uid="{00000000-0005-0000-0000-0000EE2B0000}"/>
    <cellStyle name="20% - Accent4 2 3 2 8 2 6" xfId="36872" xr:uid="{00000000-0005-0000-0000-0000EF2B0000}"/>
    <cellStyle name="20% - Accent4 2 3 2 8 2 7" xfId="42349" xr:uid="{00000000-0005-0000-0000-0000F02B0000}"/>
    <cellStyle name="20% - Accent4 2 3 2 8 2 8" xfId="47826" xr:uid="{00000000-0005-0000-0000-0000F12B0000}"/>
    <cellStyle name="20% - Accent4 2 3 2 8 2 9" xfId="53344" xr:uid="{00000000-0005-0000-0000-0000F22B0000}"/>
    <cellStyle name="20% - Accent4 2 3 2 8 3" xfId="4940" xr:uid="{00000000-0005-0000-0000-0000F32B0000}"/>
    <cellStyle name="20% - Accent4 2 3 2 8 3 2" xfId="10420" xr:uid="{00000000-0005-0000-0000-0000F42B0000}"/>
    <cellStyle name="20% - Accent4 2 3 2 8 3 3" xfId="15896" xr:uid="{00000000-0005-0000-0000-0000F52B0000}"/>
    <cellStyle name="20% - Accent4 2 3 2 8 3 4" xfId="21372" xr:uid="{00000000-0005-0000-0000-0000F62B0000}"/>
    <cellStyle name="20% - Accent4 2 3 2 8 3 5" xfId="26848" xr:uid="{00000000-0005-0000-0000-0000F72B0000}"/>
    <cellStyle name="20% - Accent4 2 3 2 8 3 6" xfId="38644" xr:uid="{00000000-0005-0000-0000-0000F82B0000}"/>
    <cellStyle name="20% - Accent4 2 3 2 8 3 7" xfId="44121" xr:uid="{00000000-0005-0000-0000-0000F92B0000}"/>
    <cellStyle name="20% - Accent4 2 3 2 8 3 8" xfId="49598" xr:uid="{00000000-0005-0000-0000-0000FA2B0000}"/>
    <cellStyle name="20% - Accent4 2 3 2 8 3 9" xfId="55116" xr:uid="{00000000-0005-0000-0000-0000FB2B0000}"/>
    <cellStyle name="20% - Accent4 2 3 2 8 4" xfId="5958" xr:uid="{00000000-0005-0000-0000-0000FC2B0000}"/>
    <cellStyle name="20% - Accent4 2 3 2 8 5" xfId="11438" xr:uid="{00000000-0005-0000-0000-0000FD2B0000}"/>
    <cellStyle name="20% - Accent4 2 3 2 8 6" xfId="16914" xr:uid="{00000000-0005-0000-0000-0000FE2B0000}"/>
    <cellStyle name="20% - Accent4 2 3 2 8 7" xfId="22390" xr:uid="{00000000-0005-0000-0000-0000FF2B0000}"/>
    <cellStyle name="20% - Accent4 2 3 2 8 8" xfId="34185" xr:uid="{00000000-0005-0000-0000-0000002C0000}"/>
    <cellStyle name="20% - Accent4 2 3 2 8 9" xfId="39662" xr:uid="{00000000-0005-0000-0000-0000012C0000}"/>
    <cellStyle name="20% - Accent4 2 3 2 9" xfId="1579" xr:uid="{00000000-0005-0000-0000-0000022C0000}"/>
    <cellStyle name="20% - Accent4 2 3 2 9 10" xfId="45140" xr:uid="{00000000-0005-0000-0000-0000032C0000}"/>
    <cellStyle name="20% - Accent4 2 3 2 9 11" xfId="50618" xr:uid="{00000000-0005-0000-0000-0000042C0000}"/>
    <cellStyle name="20% - Accent4 2 3 2 9 2" xfId="3340" xr:uid="{00000000-0005-0000-0000-0000052C0000}"/>
    <cellStyle name="20% - Accent4 2 3 2 9 2 2" xfId="8820" xr:uid="{00000000-0005-0000-0000-0000062C0000}"/>
    <cellStyle name="20% - Accent4 2 3 2 9 2 3" xfId="14296" xr:uid="{00000000-0005-0000-0000-0000072C0000}"/>
    <cellStyle name="20% - Accent4 2 3 2 9 2 4" xfId="19772" xr:uid="{00000000-0005-0000-0000-0000082C0000}"/>
    <cellStyle name="20% - Accent4 2 3 2 9 2 5" xfId="25248" xr:uid="{00000000-0005-0000-0000-0000092C0000}"/>
    <cellStyle name="20% - Accent4 2 3 2 9 2 6" xfId="37044" xr:uid="{00000000-0005-0000-0000-00000A2C0000}"/>
    <cellStyle name="20% - Accent4 2 3 2 9 2 7" xfId="42521" xr:uid="{00000000-0005-0000-0000-00000B2C0000}"/>
    <cellStyle name="20% - Accent4 2 3 2 9 2 8" xfId="47998" xr:uid="{00000000-0005-0000-0000-00000C2C0000}"/>
    <cellStyle name="20% - Accent4 2 3 2 9 2 9" xfId="53516" xr:uid="{00000000-0005-0000-0000-00000D2C0000}"/>
    <cellStyle name="20% - Accent4 2 3 2 9 3" xfId="5112" xr:uid="{00000000-0005-0000-0000-00000E2C0000}"/>
    <cellStyle name="20% - Accent4 2 3 2 9 3 2" xfId="10592" xr:uid="{00000000-0005-0000-0000-00000F2C0000}"/>
    <cellStyle name="20% - Accent4 2 3 2 9 3 3" xfId="16068" xr:uid="{00000000-0005-0000-0000-0000102C0000}"/>
    <cellStyle name="20% - Accent4 2 3 2 9 3 4" xfId="21544" xr:uid="{00000000-0005-0000-0000-0000112C0000}"/>
    <cellStyle name="20% - Accent4 2 3 2 9 3 5" xfId="27020" xr:uid="{00000000-0005-0000-0000-0000122C0000}"/>
    <cellStyle name="20% - Accent4 2 3 2 9 3 6" xfId="38816" xr:uid="{00000000-0005-0000-0000-0000132C0000}"/>
    <cellStyle name="20% - Accent4 2 3 2 9 3 7" xfId="44293" xr:uid="{00000000-0005-0000-0000-0000142C0000}"/>
    <cellStyle name="20% - Accent4 2 3 2 9 3 8" xfId="49770" xr:uid="{00000000-0005-0000-0000-0000152C0000}"/>
    <cellStyle name="20% - Accent4 2 3 2 9 3 9" xfId="55288" xr:uid="{00000000-0005-0000-0000-0000162C0000}"/>
    <cellStyle name="20% - Accent4 2 3 2 9 4" xfId="5959" xr:uid="{00000000-0005-0000-0000-0000172C0000}"/>
    <cellStyle name="20% - Accent4 2 3 2 9 5" xfId="11439" xr:uid="{00000000-0005-0000-0000-0000182C0000}"/>
    <cellStyle name="20% - Accent4 2 3 2 9 6" xfId="16915" xr:uid="{00000000-0005-0000-0000-0000192C0000}"/>
    <cellStyle name="20% - Accent4 2 3 2 9 7" xfId="22391" xr:uid="{00000000-0005-0000-0000-00001A2C0000}"/>
    <cellStyle name="20% - Accent4 2 3 2 9 8" xfId="34186" xr:uid="{00000000-0005-0000-0000-00001B2C0000}"/>
    <cellStyle name="20% - Accent4 2 3 2 9 9" xfId="39663" xr:uid="{00000000-0005-0000-0000-00001C2C0000}"/>
    <cellStyle name="20% - Accent4 2 3 20" xfId="39651" xr:uid="{00000000-0005-0000-0000-00001D2C0000}"/>
    <cellStyle name="20% - Accent4 2 3 21" xfId="45128" xr:uid="{00000000-0005-0000-0000-00001E2C0000}"/>
    <cellStyle name="20% - Accent4 2 3 22" xfId="50606" xr:uid="{00000000-0005-0000-0000-00001F2C0000}"/>
    <cellStyle name="20% - Accent4 2 3 3" xfId="311" xr:uid="{00000000-0005-0000-0000-0000202C0000}"/>
    <cellStyle name="20% - Accent4 2 3 3 10" xfId="39664" xr:uid="{00000000-0005-0000-0000-0000212C0000}"/>
    <cellStyle name="20% - Accent4 2 3 3 11" xfId="45141" xr:uid="{00000000-0005-0000-0000-0000222C0000}"/>
    <cellStyle name="20% - Accent4 2 3 3 12" xfId="50619" xr:uid="{00000000-0005-0000-0000-0000232C0000}"/>
    <cellStyle name="20% - Accent4 2 3 3 2" xfId="2110" xr:uid="{00000000-0005-0000-0000-0000242C0000}"/>
    <cellStyle name="20% - Accent4 2 3 3 2 2" xfId="7590" xr:uid="{00000000-0005-0000-0000-0000252C0000}"/>
    <cellStyle name="20% - Accent4 2 3 3 2 3" xfId="13066" xr:uid="{00000000-0005-0000-0000-0000262C0000}"/>
    <cellStyle name="20% - Accent4 2 3 3 2 4" xfId="18542" xr:uid="{00000000-0005-0000-0000-0000272C0000}"/>
    <cellStyle name="20% - Accent4 2 3 3 2 5" xfId="24018" xr:uid="{00000000-0005-0000-0000-0000282C0000}"/>
    <cellStyle name="20% - Accent4 2 3 3 2 6" xfId="35814" xr:uid="{00000000-0005-0000-0000-0000292C0000}"/>
    <cellStyle name="20% - Accent4 2 3 3 2 7" xfId="41291" xr:uid="{00000000-0005-0000-0000-00002A2C0000}"/>
    <cellStyle name="20% - Accent4 2 3 3 2 8" xfId="46768" xr:uid="{00000000-0005-0000-0000-00002B2C0000}"/>
    <cellStyle name="20% - Accent4 2 3 3 2 9" xfId="52286" xr:uid="{00000000-0005-0000-0000-00002C2C0000}"/>
    <cellStyle name="20% - Accent4 2 3 3 3" xfId="3873" xr:uid="{00000000-0005-0000-0000-00002D2C0000}"/>
    <cellStyle name="20% - Accent4 2 3 3 3 2" xfId="9353" xr:uid="{00000000-0005-0000-0000-00002E2C0000}"/>
    <cellStyle name="20% - Accent4 2 3 3 3 3" xfId="14829" xr:uid="{00000000-0005-0000-0000-00002F2C0000}"/>
    <cellStyle name="20% - Accent4 2 3 3 3 4" xfId="20305" xr:uid="{00000000-0005-0000-0000-0000302C0000}"/>
    <cellStyle name="20% - Accent4 2 3 3 3 5" xfId="25781" xr:uid="{00000000-0005-0000-0000-0000312C0000}"/>
    <cellStyle name="20% - Accent4 2 3 3 3 6" xfId="37577" xr:uid="{00000000-0005-0000-0000-0000322C0000}"/>
    <cellStyle name="20% - Accent4 2 3 3 3 7" xfId="43054" xr:uid="{00000000-0005-0000-0000-0000332C0000}"/>
    <cellStyle name="20% - Accent4 2 3 3 3 8" xfId="48531" xr:uid="{00000000-0005-0000-0000-0000342C0000}"/>
    <cellStyle name="20% - Accent4 2 3 3 3 9" xfId="54049" xr:uid="{00000000-0005-0000-0000-0000352C0000}"/>
    <cellStyle name="20% - Accent4 2 3 3 4" xfId="5960" xr:uid="{00000000-0005-0000-0000-0000362C0000}"/>
    <cellStyle name="20% - Accent4 2 3 3 5" xfId="11440" xr:uid="{00000000-0005-0000-0000-0000372C0000}"/>
    <cellStyle name="20% - Accent4 2 3 3 6" xfId="16916" xr:uid="{00000000-0005-0000-0000-0000382C0000}"/>
    <cellStyle name="20% - Accent4 2 3 3 7" xfId="22392" xr:uid="{00000000-0005-0000-0000-0000392C0000}"/>
    <cellStyle name="20% - Accent4 2 3 3 8" xfId="29092" xr:uid="{00000000-0005-0000-0000-00003A2C0000}"/>
    <cellStyle name="20% - Accent4 2 3 3 9" xfId="34187" xr:uid="{00000000-0005-0000-0000-00003B2C0000}"/>
    <cellStyle name="20% - Accent4 2 3 4" xfId="512" xr:uid="{00000000-0005-0000-0000-00003C2C0000}"/>
    <cellStyle name="20% - Accent4 2 3 4 10" xfId="45142" xr:uid="{00000000-0005-0000-0000-00003D2C0000}"/>
    <cellStyle name="20% - Accent4 2 3 4 11" xfId="50620" xr:uid="{00000000-0005-0000-0000-00003E2C0000}"/>
    <cellStyle name="20% - Accent4 2 3 4 2" xfId="2273" xr:uid="{00000000-0005-0000-0000-00003F2C0000}"/>
    <cellStyle name="20% - Accent4 2 3 4 2 2" xfId="7753" xr:uid="{00000000-0005-0000-0000-0000402C0000}"/>
    <cellStyle name="20% - Accent4 2 3 4 2 3" xfId="13229" xr:uid="{00000000-0005-0000-0000-0000412C0000}"/>
    <cellStyle name="20% - Accent4 2 3 4 2 4" xfId="18705" xr:uid="{00000000-0005-0000-0000-0000422C0000}"/>
    <cellStyle name="20% - Accent4 2 3 4 2 5" xfId="24181" xr:uid="{00000000-0005-0000-0000-0000432C0000}"/>
    <cellStyle name="20% - Accent4 2 3 4 2 6" xfId="35977" xr:uid="{00000000-0005-0000-0000-0000442C0000}"/>
    <cellStyle name="20% - Accent4 2 3 4 2 7" xfId="41454" xr:uid="{00000000-0005-0000-0000-0000452C0000}"/>
    <cellStyle name="20% - Accent4 2 3 4 2 8" xfId="46931" xr:uid="{00000000-0005-0000-0000-0000462C0000}"/>
    <cellStyle name="20% - Accent4 2 3 4 2 9" xfId="52449" xr:uid="{00000000-0005-0000-0000-0000472C0000}"/>
    <cellStyle name="20% - Accent4 2 3 4 3" xfId="4045" xr:uid="{00000000-0005-0000-0000-0000482C0000}"/>
    <cellStyle name="20% - Accent4 2 3 4 3 2" xfId="9525" xr:uid="{00000000-0005-0000-0000-0000492C0000}"/>
    <cellStyle name="20% - Accent4 2 3 4 3 3" xfId="15001" xr:uid="{00000000-0005-0000-0000-00004A2C0000}"/>
    <cellStyle name="20% - Accent4 2 3 4 3 4" xfId="20477" xr:uid="{00000000-0005-0000-0000-00004B2C0000}"/>
    <cellStyle name="20% - Accent4 2 3 4 3 5" xfId="25953" xr:uid="{00000000-0005-0000-0000-00004C2C0000}"/>
    <cellStyle name="20% - Accent4 2 3 4 3 6" xfId="37749" xr:uid="{00000000-0005-0000-0000-00004D2C0000}"/>
    <cellStyle name="20% - Accent4 2 3 4 3 7" xfId="43226" xr:uid="{00000000-0005-0000-0000-00004E2C0000}"/>
    <cellStyle name="20% - Accent4 2 3 4 3 8" xfId="48703" xr:uid="{00000000-0005-0000-0000-00004F2C0000}"/>
    <cellStyle name="20% - Accent4 2 3 4 3 9" xfId="54221" xr:uid="{00000000-0005-0000-0000-0000502C0000}"/>
    <cellStyle name="20% - Accent4 2 3 4 4" xfId="5961" xr:uid="{00000000-0005-0000-0000-0000512C0000}"/>
    <cellStyle name="20% - Accent4 2 3 4 5" xfId="11441" xr:uid="{00000000-0005-0000-0000-0000522C0000}"/>
    <cellStyle name="20% - Accent4 2 3 4 6" xfId="16917" xr:uid="{00000000-0005-0000-0000-0000532C0000}"/>
    <cellStyle name="20% - Accent4 2 3 4 7" xfId="22393" xr:uid="{00000000-0005-0000-0000-0000542C0000}"/>
    <cellStyle name="20% - Accent4 2 3 4 8" xfId="34188" xr:uid="{00000000-0005-0000-0000-0000552C0000}"/>
    <cellStyle name="20% - Accent4 2 3 4 9" xfId="39665" xr:uid="{00000000-0005-0000-0000-0000562C0000}"/>
    <cellStyle name="20% - Accent4 2 3 5" xfId="684" xr:uid="{00000000-0005-0000-0000-0000572C0000}"/>
    <cellStyle name="20% - Accent4 2 3 5 10" xfId="45143" xr:uid="{00000000-0005-0000-0000-0000582C0000}"/>
    <cellStyle name="20% - Accent4 2 3 5 11" xfId="50621" xr:uid="{00000000-0005-0000-0000-0000592C0000}"/>
    <cellStyle name="20% - Accent4 2 3 5 2" xfId="2445" xr:uid="{00000000-0005-0000-0000-00005A2C0000}"/>
    <cellStyle name="20% - Accent4 2 3 5 2 2" xfId="7925" xr:uid="{00000000-0005-0000-0000-00005B2C0000}"/>
    <cellStyle name="20% - Accent4 2 3 5 2 3" xfId="13401" xr:uid="{00000000-0005-0000-0000-00005C2C0000}"/>
    <cellStyle name="20% - Accent4 2 3 5 2 4" xfId="18877" xr:uid="{00000000-0005-0000-0000-00005D2C0000}"/>
    <cellStyle name="20% - Accent4 2 3 5 2 5" xfId="24353" xr:uid="{00000000-0005-0000-0000-00005E2C0000}"/>
    <cellStyle name="20% - Accent4 2 3 5 2 6" xfId="36149" xr:uid="{00000000-0005-0000-0000-00005F2C0000}"/>
    <cellStyle name="20% - Accent4 2 3 5 2 7" xfId="41626" xr:uid="{00000000-0005-0000-0000-0000602C0000}"/>
    <cellStyle name="20% - Accent4 2 3 5 2 8" xfId="47103" xr:uid="{00000000-0005-0000-0000-0000612C0000}"/>
    <cellStyle name="20% - Accent4 2 3 5 2 9" xfId="52621" xr:uid="{00000000-0005-0000-0000-0000622C0000}"/>
    <cellStyle name="20% - Accent4 2 3 5 3" xfId="4217" xr:uid="{00000000-0005-0000-0000-0000632C0000}"/>
    <cellStyle name="20% - Accent4 2 3 5 3 2" xfId="9697" xr:uid="{00000000-0005-0000-0000-0000642C0000}"/>
    <cellStyle name="20% - Accent4 2 3 5 3 3" xfId="15173" xr:uid="{00000000-0005-0000-0000-0000652C0000}"/>
    <cellStyle name="20% - Accent4 2 3 5 3 4" xfId="20649" xr:uid="{00000000-0005-0000-0000-0000662C0000}"/>
    <cellStyle name="20% - Accent4 2 3 5 3 5" xfId="26125" xr:uid="{00000000-0005-0000-0000-0000672C0000}"/>
    <cellStyle name="20% - Accent4 2 3 5 3 6" xfId="37921" xr:uid="{00000000-0005-0000-0000-0000682C0000}"/>
    <cellStyle name="20% - Accent4 2 3 5 3 7" xfId="43398" xr:uid="{00000000-0005-0000-0000-0000692C0000}"/>
    <cellStyle name="20% - Accent4 2 3 5 3 8" xfId="48875" xr:uid="{00000000-0005-0000-0000-00006A2C0000}"/>
    <cellStyle name="20% - Accent4 2 3 5 3 9" xfId="54393" xr:uid="{00000000-0005-0000-0000-00006B2C0000}"/>
    <cellStyle name="20% - Accent4 2 3 5 4" xfId="5962" xr:uid="{00000000-0005-0000-0000-00006C2C0000}"/>
    <cellStyle name="20% - Accent4 2 3 5 5" xfId="11442" xr:uid="{00000000-0005-0000-0000-00006D2C0000}"/>
    <cellStyle name="20% - Accent4 2 3 5 6" xfId="16918" xr:uid="{00000000-0005-0000-0000-00006E2C0000}"/>
    <cellStyle name="20% - Accent4 2 3 5 7" xfId="22394" xr:uid="{00000000-0005-0000-0000-00006F2C0000}"/>
    <cellStyle name="20% - Accent4 2 3 5 8" xfId="34189" xr:uid="{00000000-0005-0000-0000-0000702C0000}"/>
    <cellStyle name="20% - Accent4 2 3 5 9" xfId="39666" xr:uid="{00000000-0005-0000-0000-0000712C0000}"/>
    <cellStyle name="20% - Accent4 2 3 6" xfId="856" xr:uid="{00000000-0005-0000-0000-0000722C0000}"/>
    <cellStyle name="20% - Accent4 2 3 6 10" xfId="45144" xr:uid="{00000000-0005-0000-0000-0000732C0000}"/>
    <cellStyle name="20% - Accent4 2 3 6 11" xfId="50622" xr:uid="{00000000-0005-0000-0000-0000742C0000}"/>
    <cellStyle name="20% - Accent4 2 3 6 2" xfId="2617" xr:uid="{00000000-0005-0000-0000-0000752C0000}"/>
    <cellStyle name="20% - Accent4 2 3 6 2 2" xfId="8097" xr:uid="{00000000-0005-0000-0000-0000762C0000}"/>
    <cellStyle name="20% - Accent4 2 3 6 2 3" xfId="13573" xr:uid="{00000000-0005-0000-0000-0000772C0000}"/>
    <cellStyle name="20% - Accent4 2 3 6 2 4" xfId="19049" xr:uid="{00000000-0005-0000-0000-0000782C0000}"/>
    <cellStyle name="20% - Accent4 2 3 6 2 5" xfId="24525" xr:uid="{00000000-0005-0000-0000-0000792C0000}"/>
    <cellStyle name="20% - Accent4 2 3 6 2 6" xfId="36321" xr:uid="{00000000-0005-0000-0000-00007A2C0000}"/>
    <cellStyle name="20% - Accent4 2 3 6 2 7" xfId="41798" xr:uid="{00000000-0005-0000-0000-00007B2C0000}"/>
    <cellStyle name="20% - Accent4 2 3 6 2 8" xfId="47275" xr:uid="{00000000-0005-0000-0000-00007C2C0000}"/>
    <cellStyle name="20% - Accent4 2 3 6 2 9" xfId="52793" xr:uid="{00000000-0005-0000-0000-00007D2C0000}"/>
    <cellStyle name="20% - Accent4 2 3 6 3" xfId="4389" xr:uid="{00000000-0005-0000-0000-00007E2C0000}"/>
    <cellStyle name="20% - Accent4 2 3 6 3 2" xfId="9869" xr:uid="{00000000-0005-0000-0000-00007F2C0000}"/>
    <cellStyle name="20% - Accent4 2 3 6 3 3" xfId="15345" xr:uid="{00000000-0005-0000-0000-0000802C0000}"/>
    <cellStyle name="20% - Accent4 2 3 6 3 4" xfId="20821" xr:uid="{00000000-0005-0000-0000-0000812C0000}"/>
    <cellStyle name="20% - Accent4 2 3 6 3 5" xfId="26297" xr:uid="{00000000-0005-0000-0000-0000822C0000}"/>
    <cellStyle name="20% - Accent4 2 3 6 3 6" xfId="38093" xr:uid="{00000000-0005-0000-0000-0000832C0000}"/>
    <cellStyle name="20% - Accent4 2 3 6 3 7" xfId="43570" xr:uid="{00000000-0005-0000-0000-0000842C0000}"/>
    <cellStyle name="20% - Accent4 2 3 6 3 8" xfId="49047" xr:uid="{00000000-0005-0000-0000-0000852C0000}"/>
    <cellStyle name="20% - Accent4 2 3 6 3 9" xfId="54565" xr:uid="{00000000-0005-0000-0000-0000862C0000}"/>
    <cellStyle name="20% - Accent4 2 3 6 4" xfId="5963" xr:uid="{00000000-0005-0000-0000-0000872C0000}"/>
    <cellStyle name="20% - Accent4 2 3 6 5" xfId="11443" xr:uid="{00000000-0005-0000-0000-0000882C0000}"/>
    <cellStyle name="20% - Accent4 2 3 6 6" xfId="16919" xr:uid="{00000000-0005-0000-0000-0000892C0000}"/>
    <cellStyle name="20% - Accent4 2 3 6 7" xfId="22395" xr:uid="{00000000-0005-0000-0000-00008A2C0000}"/>
    <cellStyle name="20% - Accent4 2 3 6 8" xfId="34190" xr:uid="{00000000-0005-0000-0000-00008B2C0000}"/>
    <cellStyle name="20% - Accent4 2 3 6 9" xfId="39667" xr:uid="{00000000-0005-0000-0000-00008C2C0000}"/>
    <cellStyle name="20% - Accent4 2 3 7" xfId="1062" xr:uid="{00000000-0005-0000-0000-00008D2C0000}"/>
    <cellStyle name="20% - Accent4 2 3 7 10" xfId="45145" xr:uid="{00000000-0005-0000-0000-00008E2C0000}"/>
    <cellStyle name="20% - Accent4 2 3 7 11" xfId="50623" xr:uid="{00000000-0005-0000-0000-00008F2C0000}"/>
    <cellStyle name="20% - Accent4 2 3 7 2" xfId="2823" xr:uid="{00000000-0005-0000-0000-0000902C0000}"/>
    <cellStyle name="20% - Accent4 2 3 7 2 2" xfId="8303" xr:uid="{00000000-0005-0000-0000-0000912C0000}"/>
    <cellStyle name="20% - Accent4 2 3 7 2 3" xfId="13779" xr:uid="{00000000-0005-0000-0000-0000922C0000}"/>
    <cellStyle name="20% - Accent4 2 3 7 2 4" xfId="19255" xr:uid="{00000000-0005-0000-0000-0000932C0000}"/>
    <cellStyle name="20% - Accent4 2 3 7 2 5" xfId="24731" xr:uid="{00000000-0005-0000-0000-0000942C0000}"/>
    <cellStyle name="20% - Accent4 2 3 7 2 6" xfId="36527" xr:uid="{00000000-0005-0000-0000-0000952C0000}"/>
    <cellStyle name="20% - Accent4 2 3 7 2 7" xfId="42004" xr:uid="{00000000-0005-0000-0000-0000962C0000}"/>
    <cellStyle name="20% - Accent4 2 3 7 2 8" xfId="47481" xr:uid="{00000000-0005-0000-0000-0000972C0000}"/>
    <cellStyle name="20% - Accent4 2 3 7 2 9" xfId="52999" xr:uid="{00000000-0005-0000-0000-0000982C0000}"/>
    <cellStyle name="20% - Accent4 2 3 7 3" xfId="4595" xr:uid="{00000000-0005-0000-0000-0000992C0000}"/>
    <cellStyle name="20% - Accent4 2 3 7 3 2" xfId="10075" xr:uid="{00000000-0005-0000-0000-00009A2C0000}"/>
    <cellStyle name="20% - Accent4 2 3 7 3 3" xfId="15551" xr:uid="{00000000-0005-0000-0000-00009B2C0000}"/>
    <cellStyle name="20% - Accent4 2 3 7 3 4" xfId="21027" xr:uid="{00000000-0005-0000-0000-00009C2C0000}"/>
    <cellStyle name="20% - Accent4 2 3 7 3 5" xfId="26503" xr:uid="{00000000-0005-0000-0000-00009D2C0000}"/>
    <cellStyle name="20% - Accent4 2 3 7 3 6" xfId="38299" xr:uid="{00000000-0005-0000-0000-00009E2C0000}"/>
    <cellStyle name="20% - Accent4 2 3 7 3 7" xfId="43776" xr:uid="{00000000-0005-0000-0000-00009F2C0000}"/>
    <cellStyle name="20% - Accent4 2 3 7 3 8" xfId="49253" xr:uid="{00000000-0005-0000-0000-0000A02C0000}"/>
    <cellStyle name="20% - Accent4 2 3 7 3 9" xfId="54771" xr:uid="{00000000-0005-0000-0000-0000A12C0000}"/>
    <cellStyle name="20% - Accent4 2 3 7 4" xfId="5964" xr:uid="{00000000-0005-0000-0000-0000A22C0000}"/>
    <cellStyle name="20% - Accent4 2 3 7 5" xfId="11444" xr:uid="{00000000-0005-0000-0000-0000A32C0000}"/>
    <cellStyle name="20% - Accent4 2 3 7 6" xfId="16920" xr:uid="{00000000-0005-0000-0000-0000A42C0000}"/>
    <cellStyle name="20% - Accent4 2 3 7 7" xfId="22396" xr:uid="{00000000-0005-0000-0000-0000A52C0000}"/>
    <cellStyle name="20% - Accent4 2 3 7 8" xfId="34191" xr:uid="{00000000-0005-0000-0000-0000A62C0000}"/>
    <cellStyle name="20% - Accent4 2 3 7 9" xfId="39668" xr:uid="{00000000-0005-0000-0000-0000A72C0000}"/>
    <cellStyle name="20% - Accent4 2 3 8" xfId="1234" xr:uid="{00000000-0005-0000-0000-0000A82C0000}"/>
    <cellStyle name="20% - Accent4 2 3 8 10" xfId="45146" xr:uid="{00000000-0005-0000-0000-0000A92C0000}"/>
    <cellStyle name="20% - Accent4 2 3 8 11" xfId="50624" xr:uid="{00000000-0005-0000-0000-0000AA2C0000}"/>
    <cellStyle name="20% - Accent4 2 3 8 2" xfId="2995" xr:uid="{00000000-0005-0000-0000-0000AB2C0000}"/>
    <cellStyle name="20% - Accent4 2 3 8 2 2" xfId="8475" xr:uid="{00000000-0005-0000-0000-0000AC2C0000}"/>
    <cellStyle name="20% - Accent4 2 3 8 2 3" xfId="13951" xr:uid="{00000000-0005-0000-0000-0000AD2C0000}"/>
    <cellStyle name="20% - Accent4 2 3 8 2 4" xfId="19427" xr:uid="{00000000-0005-0000-0000-0000AE2C0000}"/>
    <cellStyle name="20% - Accent4 2 3 8 2 5" xfId="24903" xr:uid="{00000000-0005-0000-0000-0000AF2C0000}"/>
    <cellStyle name="20% - Accent4 2 3 8 2 6" xfId="36699" xr:uid="{00000000-0005-0000-0000-0000B02C0000}"/>
    <cellStyle name="20% - Accent4 2 3 8 2 7" xfId="42176" xr:uid="{00000000-0005-0000-0000-0000B12C0000}"/>
    <cellStyle name="20% - Accent4 2 3 8 2 8" xfId="47653" xr:uid="{00000000-0005-0000-0000-0000B22C0000}"/>
    <cellStyle name="20% - Accent4 2 3 8 2 9" xfId="53171" xr:uid="{00000000-0005-0000-0000-0000B32C0000}"/>
    <cellStyle name="20% - Accent4 2 3 8 3" xfId="4767" xr:uid="{00000000-0005-0000-0000-0000B42C0000}"/>
    <cellStyle name="20% - Accent4 2 3 8 3 2" xfId="10247" xr:uid="{00000000-0005-0000-0000-0000B52C0000}"/>
    <cellStyle name="20% - Accent4 2 3 8 3 3" xfId="15723" xr:uid="{00000000-0005-0000-0000-0000B62C0000}"/>
    <cellStyle name="20% - Accent4 2 3 8 3 4" xfId="21199" xr:uid="{00000000-0005-0000-0000-0000B72C0000}"/>
    <cellStyle name="20% - Accent4 2 3 8 3 5" xfId="26675" xr:uid="{00000000-0005-0000-0000-0000B82C0000}"/>
    <cellStyle name="20% - Accent4 2 3 8 3 6" xfId="38471" xr:uid="{00000000-0005-0000-0000-0000B92C0000}"/>
    <cellStyle name="20% - Accent4 2 3 8 3 7" xfId="43948" xr:uid="{00000000-0005-0000-0000-0000BA2C0000}"/>
    <cellStyle name="20% - Accent4 2 3 8 3 8" xfId="49425" xr:uid="{00000000-0005-0000-0000-0000BB2C0000}"/>
    <cellStyle name="20% - Accent4 2 3 8 3 9" xfId="54943" xr:uid="{00000000-0005-0000-0000-0000BC2C0000}"/>
    <cellStyle name="20% - Accent4 2 3 8 4" xfId="5965" xr:uid="{00000000-0005-0000-0000-0000BD2C0000}"/>
    <cellStyle name="20% - Accent4 2 3 8 5" xfId="11445" xr:uid="{00000000-0005-0000-0000-0000BE2C0000}"/>
    <cellStyle name="20% - Accent4 2 3 8 6" xfId="16921" xr:uid="{00000000-0005-0000-0000-0000BF2C0000}"/>
    <cellStyle name="20% - Accent4 2 3 8 7" xfId="22397" xr:uid="{00000000-0005-0000-0000-0000C02C0000}"/>
    <cellStyle name="20% - Accent4 2 3 8 8" xfId="34192" xr:uid="{00000000-0005-0000-0000-0000C12C0000}"/>
    <cellStyle name="20% - Accent4 2 3 8 9" xfId="39669" xr:uid="{00000000-0005-0000-0000-0000C22C0000}"/>
    <cellStyle name="20% - Accent4 2 3 9" xfId="1406" xr:uid="{00000000-0005-0000-0000-0000C32C0000}"/>
    <cellStyle name="20% - Accent4 2 3 9 10" xfId="45147" xr:uid="{00000000-0005-0000-0000-0000C42C0000}"/>
    <cellStyle name="20% - Accent4 2 3 9 11" xfId="50625" xr:uid="{00000000-0005-0000-0000-0000C52C0000}"/>
    <cellStyle name="20% - Accent4 2 3 9 2" xfId="3167" xr:uid="{00000000-0005-0000-0000-0000C62C0000}"/>
    <cellStyle name="20% - Accent4 2 3 9 2 2" xfId="8647" xr:uid="{00000000-0005-0000-0000-0000C72C0000}"/>
    <cellStyle name="20% - Accent4 2 3 9 2 3" xfId="14123" xr:uid="{00000000-0005-0000-0000-0000C82C0000}"/>
    <cellStyle name="20% - Accent4 2 3 9 2 4" xfId="19599" xr:uid="{00000000-0005-0000-0000-0000C92C0000}"/>
    <cellStyle name="20% - Accent4 2 3 9 2 5" xfId="25075" xr:uid="{00000000-0005-0000-0000-0000CA2C0000}"/>
    <cellStyle name="20% - Accent4 2 3 9 2 6" xfId="36871" xr:uid="{00000000-0005-0000-0000-0000CB2C0000}"/>
    <cellStyle name="20% - Accent4 2 3 9 2 7" xfId="42348" xr:uid="{00000000-0005-0000-0000-0000CC2C0000}"/>
    <cellStyle name="20% - Accent4 2 3 9 2 8" xfId="47825" xr:uid="{00000000-0005-0000-0000-0000CD2C0000}"/>
    <cellStyle name="20% - Accent4 2 3 9 2 9" xfId="53343" xr:uid="{00000000-0005-0000-0000-0000CE2C0000}"/>
    <cellStyle name="20% - Accent4 2 3 9 3" xfId="4939" xr:uid="{00000000-0005-0000-0000-0000CF2C0000}"/>
    <cellStyle name="20% - Accent4 2 3 9 3 2" xfId="10419" xr:uid="{00000000-0005-0000-0000-0000D02C0000}"/>
    <cellStyle name="20% - Accent4 2 3 9 3 3" xfId="15895" xr:uid="{00000000-0005-0000-0000-0000D12C0000}"/>
    <cellStyle name="20% - Accent4 2 3 9 3 4" xfId="21371" xr:uid="{00000000-0005-0000-0000-0000D22C0000}"/>
    <cellStyle name="20% - Accent4 2 3 9 3 5" xfId="26847" xr:uid="{00000000-0005-0000-0000-0000D32C0000}"/>
    <cellStyle name="20% - Accent4 2 3 9 3 6" xfId="38643" xr:uid="{00000000-0005-0000-0000-0000D42C0000}"/>
    <cellStyle name="20% - Accent4 2 3 9 3 7" xfId="44120" xr:uid="{00000000-0005-0000-0000-0000D52C0000}"/>
    <cellStyle name="20% - Accent4 2 3 9 3 8" xfId="49597" xr:uid="{00000000-0005-0000-0000-0000D62C0000}"/>
    <cellStyle name="20% - Accent4 2 3 9 3 9" xfId="55115" xr:uid="{00000000-0005-0000-0000-0000D72C0000}"/>
    <cellStyle name="20% - Accent4 2 3 9 4" xfId="5966" xr:uid="{00000000-0005-0000-0000-0000D82C0000}"/>
    <cellStyle name="20% - Accent4 2 3 9 5" xfId="11446" xr:uid="{00000000-0005-0000-0000-0000D92C0000}"/>
    <cellStyle name="20% - Accent4 2 3 9 6" xfId="16922" xr:uid="{00000000-0005-0000-0000-0000DA2C0000}"/>
    <cellStyle name="20% - Accent4 2 3 9 7" xfId="22398" xr:uid="{00000000-0005-0000-0000-0000DB2C0000}"/>
    <cellStyle name="20% - Accent4 2 3 9 8" xfId="34193" xr:uid="{00000000-0005-0000-0000-0000DC2C0000}"/>
    <cellStyle name="20% - Accent4 2 3 9 9" xfId="39670" xr:uid="{00000000-0005-0000-0000-0000DD2C0000}"/>
    <cellStyle name="20% - Accent4 2 4" xfId="167" xr:uid="{00000000-0005-0000-0000-0000DE2C0000}"/>
    <cellStyle name="20% - Accent4 2 4 10" xfId="1580" xr:uid="{00000000-0005-0000-0000-0000DF2C0000}"/>
    <cellStyle name="20% - Accent4 2 4 10 10" xfId="45149" xr:uid="{00000000-0005-0000-0000-0000E02C0000}"/>
    <cellStyle name="20% - Accent4 2 4 10 11" xfId="50627" xr:uid="{00000000-0005-0000-0000-0000E12C0000}"/>
    <cellStyle name="20% - Accent4 2 4 10 2" xfId="3341" xr:uid="{00000000-0005-0000-0000-0000E22C0000}"/>
    <cellStyle name="20% - Accent4 2 4 10 2 2" xfId="8821" xr:uid="{00000000-0005-0000-0000-0000E32C0000}"/>
    <cellStyle name="20% - Accent4 2 4 10 2 3" xfId="14297" xr:uid="{00000000-0005-0000-0000-0000E42C0000}"/>
    <cellStyle name="20% - Accent4 2 4 10 2 4" xfId="19773" xr:uid="{00000000-0005-0000-0000-0000E52C0000}"/>
    <cellStyle name="20% - Accent4 2 4 10 2 5" xfId="25249" xr:uid="{00000000-0005-0000-0000-0000E62C0000}"/>
    <cellStyle name="20% - Accent4 2 4 10 2 6" xfId="37045" xr:uid="{00000000-0005-0000-0000-0000E72C0000}"/>
    <cellStyle name="20% - Accent4 2 4 10 2 7" xfId="42522" xr:uid="{00000000-0005-0000-0000-0000E82C0000}"/>
    <cellStyle name="20% - Accent4 2 4 10 2 8" xfId="47999" xr:uid="{00000000-0005-0000-0000-0000E92C0000}"/>
    <cellStyle name="20% - Accent4 2 4 10 2 9" xfId="53517" xr:uid="{00000000-0005-0000-0000-0000EA2C0000}"/>
    <cellStyle name="20% - Accent4 2 4 10 3" xfId="5113" xr:uid="{00000000-0005-0000-0000-0000EB2C0000}"/>
    <cellStyle name="20% - Accent4 2 4 10 3 2" xfId="10593" xr:uid="{00000000-0005-0000-0000-0000EC2C0000}"/>
    <cellStyle name="20% - Accent4 2 4 10 3 3" xfId="16069" xr:uid="{00000000-0005-0000-0000-0000ED2C0000}"/>
    <cellStyle name="20% - Accent4 2 4 10 3 4" xfId="21545" xr:uid="{00000000-0005-0000-0000-0000EE2C0000}"/>
    <cellStyle name="20% - Accent4 2 4 10 3 5" xfId="27021" xr:uid="{00000000-0005-0000-0000-0000EF2C0000}"/>
    <cellStyle name="20% - Accent4 2 4 10 3 6" xfId="38817" xr:uid="{00000000-0005-0000-0000-0000F02C0000}"/>
    <cellStyle name="20% - Accent4 2 4 10 3 7" xfId="44294" xr:uid="{00000000-0005-0000-0000-0000F12C0000}"/>
    <cellStyle name="20% - Accent4 2 4 10 3 8" xfId="49771" xr:uid="{00000000-0005-0000-0000-0000F22C0000}"/>
    <cellStyle name="20% - Accent4 2 4 10 3 9" xfId="55289" xr:uid="{00000000-0005-0000-0000-0000F32C0000}"/>
    <cellStyle name="20% - Accent4 2 4 10 4" xfId="5968" xr:uid="{00000000-0005-0000-0000-0000F42C0000}"/>
    <cellStyle name="20% - Accent4 2 4 10 5" xfId="11448" xr:uid="{00000000-0005-0000-0000-0000F52C0000}"/>
    <cellStyle name="20% - Accent4 2 4 10 6" xfId="16924" xr:uid="{00000000-0005-0000-0000-0000F62C0000}"/>
    <cellStyle name="20% - Accent4 2 4 10 7" xfId="22400" xr:uid="{00000000-0005-0000-0000-0000F72C0000}"/>
    <cellStyle name="20% - Accent4 2 4 10 8" xfId="34195" xr:uid="{00000000-0005-0000-0000-0000F82C0000}"/>
    <cellStyle name="20% - Accent4 2 4 10 9" xfId="39672" xr:uid="{00000000-0005-0000-0000-0000F92C0000}"/>
    <cellStyle name="20% - Accent4 2 4 11" xfId="1773" xr:uid="{00000000-0005-0000-0000-0000FA2C0000}"/>
    <cellStyle name="20% - Accent4 2 4 11 10" xfId="45150" xr:uid="{00000000-0005-0000-0000-0000FB2C0000}"/>
    <cellStyle name="20% - Accent4 2 4 11 11" xfId="50628" xr:uid="{00000000-0005-0000-0000-0000FC2C0000}"/>
    <cellStyle name="20% - Accent4 2 4 11 2" xfId="3534" xr:uid="{00000000-0005-0000-0000-0000FD2C0000}"/>
    <cellStyle name="20% - Accent4 2 4 11 2 2" xfId="9014" xr:uid="{00000000-0005-0000-0000-0000FE2C0000}"/>
    <cellStyle name="20% - Accent4 2 4 11 2 3" xfId="14490" xr:uid="{00000000-0005-0000-0000-0000FF2C0000}"/>
    <cellStyle name="20% - Accent4 2 4 11 2 4" xfId="19966" xr:uid="{00000000-0005-0000-0000-0000002D0000}"/>
    <cellStyle name="20% - Accent4 2 4 11 2 5" xfId="25442" xr:uid="{00000000-0005-0000-0000-0000012D0000}"/>
    <cellStyle name="20% - Accent4 2 4 11 2 6" xfId="37238" xr:uid="{00000000-0005-0000-0000-0000022D0000}"/>
    <cellStyle name="20% - Accent4 2 4 11 2 7" xfId="42715" xr:uid="{00000000-0005-0000-0000-0000032D0000}"/>
    <cellStyle name="20% - Accent4 2 4 11 2 8" xfId="48192" xr:uid="{00000000-0005-0000-0000-0000042D0000}"/>
    <cellStyle name="20% - Accent4 2 4 11 2 9" xfId="53710" xr:uid="{00000000-0005-0000-0000-0000052D0000}"/>
    <cellStyle name="20% - Accent4 2 4 11 3" xfId="5306" xr:uid="{00000000-0005-0000-0000-0000062D0000}"/>
    <cellStyle name="20% - Accent4 2 4 11 3 2" xfId="10786" xr:uid="{00000000-0005-0000-0000-0000072D0000}"/>
    <cellStyle name="20% - Accent4 2 4 11 3 3" xfId="16262" xr:uid="{00000000-0005-0000-0000-0000082D0000}"/>
    <cellStyle name="20% - Accent4 2 4 11 3 4" xfId="21738" xr:uid="{00000000-0005-0000-0000-0000092D0000}"/>
    <cellStyle name="20% - Accent4 2 4 11 3 5" xfId="27214" xr:uid="{00000000-0005-0000-0000-00000A2D0000}"/>
    <cellStyle name="20% - Accent4 2 4 11 3 6" xfId="39010" xr:uid="{00000000-0005-0000-0000-00000B2D0000}"/>
    <cellStyle name="20% - Accent4 2 4 11 3 7" xfId="44487" xr:uid="{00000000-0005-0000-0000-00000C2D0000}"/>
    <cellStyle name="20% - Accent4 2 4 11 3 8" xfId="49964" xr:uid="{00000000-0005-0000-0000-00000D2D0000}"/>
    <cellStyle name="20% - Accent4 2 4 11 3 9" xfId="55482" xr:uid="{00000000-0005-0000-0000-00000E2D0000}"/>
    <cellStyle name="20% - Accent4 2 4 11 4" xfId="5969" xr:uid="{00000000-0005-0000-0000-00000F2D0000}"/>
    <cellStyle name="20% - Accent4 2 4 11 5" xfId="11449" xr:uid="{00000000-0005-0000-0000-0000102D0000}"/>
    <cellStyle name="20% - Accent4 2 4 11 6" xfId="16925" xr:uid="{00000000-0005-0000-0000-0000112D0000}"/>
    <cellStyle name="20% - Accent4 2 4 11 7" xfId="22401" xr:uid="{00000000-0005-0000-0000-0000122D0000}"/>
    <cellStyle name="20% - Accent4 2 4 11 8" xfId="34196" xr:uid="{00000000-0005-0000-0000-0000132D0000}"/>
    <cellStyle name="20% - Accent4 2 4 11 9" xfId="39673" xr:uid="{00000000-0005-0000-0000-0000142D0000}"/>
    <cellStyle name="20% - Accent4 2 4 12" xfId="1942" xr:uid="{00000000-0005-0000-0000-0000152D0000}"/>
    <cellStyle name="20% - Accent4 2 4 12 10" xfId="52119" xr:uid="{00000000-0005-0000-0000-0000162D0000}"/>
    <cellStyle name="20% - Accent4 2 4 12 2" xfId="5474" xr:uid="{00000000-0005-0000-0000-0000172D0000}"/>
    <cellStyle name="20% - Accent4 2 4 12 2 2" xfId="10954" xr:uid="{00000000-0005-0000-0000-0000182D0000}"/>
    <cellStyle name="20% - Accent4 2 4 12 2 3" xfId="16430" xr:uid="{00000000-0005-0000-0000-0000192D0000}"/>
    <cellStyle name="20% - Accent4 2 4 12 2 4" xfId="21906" xr:uid="{00000000-0005-0000-0000-00001A2D0000}"/>
    <cellStyle name="20% - Accent4 2 4 12 2 5" xfId="27382" xr:uid="{00000000-0005-0000-0000-00001B2D0000}"/>
    <cellStyle name="20% - Accent4 2 4 12 2 6" xfId="39178" xr:uid="{00000000-0005-0000-0000-00001C2D0000}"/>
    <cellStyle name="20% - Accent4 2 4 12 2 7" xfId="44655" xr:uid="{00000000-0005-0000-0000-00001D2D0000}"/>
    <cellStyle name="20% - Accent4 2 4 12 2 8" xfId="50132" xr:uid="{00000000-0005-0000-0000-00001E2D0000}"/>
    <cellStyle name="20% - Accent4 2 4 12 2 9" xfId="55650" xr:uid="{00000000-0005-0000-0000-00001F2D0000}"/>
    <cellStyle name="20% - Accent4 2 4 12 3" xfId="7423" xr:uid="{00000000-0005-0000-0000-0000202D0000}"/>
    <cellStyle name="20% - Accent4 2 4 12 4" xfId="12899" xr:uid="{00000000-0005-0000-0000-0000212D0000}"/>
    <cellStyle name="20% - Accent4 2 4 12 5" xfId="18375" xr:uid="{00000000-0005-0000-0000-0000222D0000}"/>
    <cellStyle name="20% - Accent4 2 4 12 6" xfId="23851" xr:uid="{00000000-0005-0000-0000-0000232D0000}"/>
    <cellStyle name="20% - Accent4 2 4 12 7" xfId="35647" xr:uid="{00000000-0005-0000-0000-0000242D0000}"/>
    <cellStyle name="20% - Accent4 2 4 12 8" xfId="41124" xr:uid="{00000000-0005-0000-0000-0000252D0000}"/>
    <cellStyle name="20% - Accent4 2 4 12 9" xfId="46601" xr:uid="{00000000-0005-0000-0000-0000262D0000}"/>
    <cellStyle name="20% - Accent4 2 4 13" xfId="3739" xr:uid="{00000000-0005-0000-0000-0000272D0000}"/>
    <cellStyle name="20% - Accent4 2 4 13 2" xfId="9219" xr:uid="{00000000-0005-0000-0000-0000282D0000}"/>
    <cellStyle name="20% - Accent4 2 4 13 3" xfId="14695" xr:uid="{00000000-0005-0000-0000-0000292D0000}"/>
    <cellStyle name="20% - Accent4 2 4 13 4" xfId="20171" xr:uid="{00000000-0005-0000-0000-00002A2D0000}"/>
    <cellStyle name="20% - Accent4 2 4 13 5" xfId="25647" xr:uid="{00000000-0005-0000-0000-00002B2D0000}"/>
    <cellStyle name="20% - Accent4 2 4 13 6" xfId="37443" xr:uid="{00000000-0005-0000-0000-00002C2D0000}"/>
    <cellStyle name="20% - Accent4 2 4 13 7" xfId="42920" xr:uid="{00000000-0005-0000-0000-00002D2D0000}"/>
    <cellStyle name="20% - Accent4 2 4 13 8" xfId="48397" xr:uid="{00000000-0005-0000-0000-00002E2D0000}"/>
    <cellStyle name="20% - Accent4 2 4 13 9" xfId="53915" xr:uid="{00000000-0005-0000-0000-00002F2D0000}"/>
    <cellStyle name="20% - Accent4 2 4 14" xfId="5967" xr:uid="{00000000-0005-0000-0000-0000302D0000}"/>
    <cellStyle name="20% - Accent4 2 4 15" xfId="11447" xr:uid="{00000000-0005-0000-0000-0000312D0000}"/>
    <cellStyle name="20% - Accent4 2 4 16" xfId="16923" xr:uid="{00000000-0005-0000-0000-0000322D0000}"/>
    <cellStyle name="20% - Accent4 2 4 17" xfId="22399" xr:uid="{00000000-0005-0000-0000-0000332D0000}"/>
    <cellStyle name="20% - Accent4 2 4 18" xfId="29093" xr:uid="{00000000-0005-0000-0000-0000342D0000}"/>
    <cellStyle name="20% - Accent4 2 4 19" xfId="34194" xr:uid="{00000000-0005-0000-0000-0000352D0000}"/>
    <cellStyle name="20% - Accent4 2 4 2" xfId="259" xr:uid="{00000000-0005-0000-0000-0000362D0000}"/>
    <cellStyle name="20% - Accent4 2 4 2 10" xfId="1772" xr:uid="{00000000-0005-0000-0000-0000372D0000}"/>
    <cellStyle name="20% - Accent4 2 4 2 10 10" xfId="45152" xr:uid="{00000000-0005-0000-0000-0000382D0000}"/>
    <cellStyle name="20% - Accent4 2 4 2 10 11" xfId="50630" xr:uid="{00000000-0005-0000-0000-0000392D0000}"/>
    <cellStyle name="20% - Accent4 2 4 2 10 2" xfId="3533" xr:uid="{00000000-0005-0000-0000-00003A2D0000}"/>
    <cellStyle name="20% - Accent4 2 4 2 10 2 2" xfId="9013" xr:uid="{00000000-0005-0000-0000-00003B2D0000}"/>
    <cellStyle name="20% - Accent4 2 4 2 10 2 3" xfId="14489" xr:uid="{00000000-0005-0000-0000-00003C2D0000}"/>
    <cellStyle name="20% - Accent4 2 4 2 10 2 4" xfId="19965" xr:uid="{00000000-0005-0000-0000-00003D2D0000}"/>
    <cellStyle name="20% - Accent4 2 4 2 10 2 5" xfId="25441" xr:uid="{00000000-0005-0000-0000-00003E2D0000}"/>
    <cellStyle name="20% - Accent4 2 4 2 10 2 6" xfId="37237" xr:uid="{00000000-0005-0000-0000-00003F2D0000}"/>
    <cellStyle name="20% - Accent4 2 4 2 10 2 7" xfId="42714" xr:uid="{00000000-0005-0000-0000-0000402D0000}"/>
    <cellStyle name="20% - Accent4 2 4 2 10 2 8" xfId="48191" xr:uid="{00000000-0005-0000-0000-0000412D0000}"/>
    <cellStyle name="20% - Accent4 2 4 2 10 2 9" xfId="53709" xr:uid="{00000000-0005-0000-0000-0000422D0000}"/>
    <cellStyle name="20% - Accent4 2 4 2 10 3" xfId="5305" xr:uid="{00000000-0005-0000-0000-0000432D0000}"/>
    <cellStyle name="20% - Accent4 2 4 2 10 3 2" xfId="10785" xr:uid="{00000000-0005-0000-0000-0000442D0000}"/>
    <cellStyle name="20% - Accent4 2 4 2 10 3 3" xfId="16261" xr:uid="{00000000-0005-0000-0000-0000452D0000}"/>
    <cellStyle name="20% - Accent4 2 4 2 10 3 4" xfId="21737" xr:uid="{00000000-0005-0000-0000-0000462D0000}"/>
    <cellStyle name="20% - Accent4 2 4 2 10 3 5" xfId="27213" xr:uid="{00000000-0005-0000-0000-0000472D0000}"/>
    <cellStyle name="20% - Accent4 2 4 2 10 3 6" xfId="39009" xr:uid="{00000000-0005-0000-0000-0000482D0000}"/>
    <cellStyle name="20% - Accent4 2 4 2 10 3 7" xfId="44486" xr:uid="{00000000-0005-0000-0000-0000492D0000}"/>
    <cellStyle name="20% - Accent4 2 4 2 10 3 8" xfId="49963" xr:uid="{00000000-0005-0000-0000-00004A2D0000}"/>
    <cellStyle name="20% - Accent4 2 4 2 10 3 9" xfId="55481" xr:uid="{00000000-0005-0000-0000-00004B2D0000}"/>
    <cellStyle name="20% - Accent4 2 4 2 10 4" xfId="5971" xr:uid="{00000000-0005-0000-0000-00004C2D0000}"/>
    <cellStyle name="20% - Accent4 2 4 2 10 5" xfId="11451" xr:uid="{00000000-0005-0000-0000-00004D2D0000}"/>
    <cellStyle name="20% - Accent4 2 4 2 10 6" xfId="16927" xr:uid="{00000000-0005-0000-0000-00004E2D0000}"/>
    <cellStyle name="20% - Accent4 2 4 2 10 7" xfId="22403" xr:uid="{00000000-0005-0000-0000-00004F2D0000}"/>
    <cellStyle name="20% - Accent4 2 4 2 10 8" xfId="34198" xr:uid="{00000000-0005-0000-0000-0000502D0000}"/>
    <cellStyle name="20% - Accent4 2 4 2 10 9" xfId="39675" xr:uid="{00000000-0005-0000-0000-0000512D0000}"/>
    <cellStyle name="20% - Accent4 2 4 2 11" xfId="1943" xr:uid="{00000000-0005-0000-0000-0000522D0000}"/>
    <cellStyle name="20% - Accent4 2 4 2 11 10" xfId="52120" xr:uid="{00000000-0005-0000-0000-0000532D0000}"/>
    <cellStyle name="20% - Accent4 2 4 2 11 2" xfId="5475" xr:uid="{00000000-0005-0000-0000-0000542D0000}"/>
    <cellStyle name="20% - Accent4 2 4 2 11 2 2" xfId="10955" xr:uid="{00000000-0005-0000-0000-0000552D0000}"/>
    <cellStyle name="20% - Accent4 2 4 2 11 2 3" xfId="16431" xr:uid="{00000000-0005-0000-0000-0000562D0000}"/>
    <cellStyle name="20% - Accent4 2 4 2 11 2 4" xfId="21907" xr:uid="{00000000-0005-0000-0000-0000572D0000}"/>
    <cellStyle name="20% - Accent4 2 4 2 11 2 5" xfId="27383" xr:uid="{00000000-0005-0000-0000-0000582D0000}"/>
    <cellStyle name="20% - Accent4 2 4 2 11 2 6" xfId="39179" xr:uid="{00000000-0005-0000-0000-0000592D0000}"/>
    <cellStyle name="20% - Accent4 2 4 2 11 2 7" xfId="44656" xr:uid="{00000000-0005-0000-0000-00005A2D0000}"/>
    <cellStyle name="20% - Accent4 2 4 2 11 2 8" xfId="50133" xr:uid="{00000000-0005-0000-0000-00005B2D0000}"/>
    <cellStyle name="20% - Accent4 2 4 2 11 2 9" xfId="55651" xr:uid="{00000000-0005-0000-0000-00005C2D0000}"/>
    <cellStyle name="20% - Accent4 2 4 2 11 3" xfId="7424" xr:uid="{00000000-0005-0000-0000-00005D2D0000}"/>
    <cellStyle name="20% - Accent4 2 4 2 11 4" xfId="12900" xr:uid="{00000000-0005-0000-0000-00005E2D0000}"/>
    <cellStyle name="20% - Accent4 2 4 2 11 5" xfId="18376" xr:uid="{00000000-0005-0000-0000-00005F2D0000}"/>
    <cellStyle name="20% - Accent4 2 4 2 11 6" xfId="23852" xr:uid="{00000000-0005-0000-0000-0000602D0000}"/>
    <cellStyle name="20% - Accent4 2 4 2 11 7" xfId="35648" xr:uid="{00000000-0005-0000-0000-0000612D0000}"/>
    <cellStyle name="20% - Accent4 2 4 2 11 8" xfId="41125" xr:uid="{00000000-0005-0000-0000-0000622D0000}"/>
    <cellStyle name="20% - Accent4 2 4 2 11 9" xfId="46602" xr:uid="{00000000-0005-0000-0000-0000632D0000}"/>
    <cellStyle name="20% - Accent4 2 4 2 12" xfId="3825" xr:uid="{00000000-0005-0000-0000-0000642D0000}"/>
    <cellStyle name="20% - Accent4 2 4 2 12 2" xfId="9305" xr:uid="{00000000-0005-0000-0000-0000652D0000}"/>
    <cellStyle name="20% - Accent4 2 4 2 12 3" xfId="14781" xr:uid="{00000000-0005-0000-0000-0000662D0000}"/>
    <cellStyle name="20% - Accent4 2 4 2 12 4" xfId="20257" xr:uid="{00000000-0005-0000-0000-0000672D0000}"/>
    <cellStyle name="20% - Accent4 2 4 2 12 5" xfId="25733" xr:uid="{00000000-0005-0000-0000-0000682D0000}"/>
    <cellStyle name="20% - Accent4 2 4 2 12 6" xfId="37529" xr:uid="{00000000-0005-0000-0000-0000692D0000}"/>
    <cellStyle name="20% - Accent4 2 4 2 12 7" xfId="43006" xr:uid="{00000000-0005-0000-0000-00006A2D0000}"/>
    <cellStyle name="20% - Accent4 2 4 2 12 8" xfId="48483" xr:uid="{00000000-0005-0000-0000-00006B2D0000}"/>
    <cellStyle name="20% - Accent4 2 4 2 12 9" xfId="54001" xr:uid="{00000000-0005-0000-0000-00006C2D0000}"/>
    <cellStyle name="20% - Accent4 2 4 2 13" xfId="5970" xr:uid="{00000000-0005-0000-0000-00006D2D0000}"/>
    <cellStyle name="20% - Accent4 2 4 2 14" xfId="11450" xr:uid="{00000000-0005-0000-0000-00006E2D0000}"/>
    <cellStyle name="20% - Accent4 2 4 2 15" xfId="16926" xr:uid="{00000000-0005-0000-0000-00006F2D0000}"/>
    <cellStyle name="20% - Accent4 2 4 2 16" xfId="22402" xr:uid="{00000000-0005-0000-0000-0000702D0000}"/>
    <cellStyle name="20% - Accent4 2 4 2 17" xfId="29094" xr:uid="{00000000-0005-0000-0000-0000712D0000}"/>
    <cellStyle name="20% - Accent4 2 4 2 18" xfId="34197" xr:uid="{00000000-0005-0000-0000-0000722D0000}"/>
    <cellStyle name="20% - Accent4 2 4 2 19" xfId="39674" xr:uid="{00000000-0005-0000-0000-0000732D0000}"/>
    <cellStyle name="20% - Accent4 2 4 2 2" xfId="314" xr:uid="{00000000-0005-0000-0000-0000742D0000}"/>
    <cellStyle name="20% - Accent4 2 4 2 2 10" xfId="39676" xr:uid="{00000000-0005-0000-0000-0000752D0000}"/>
    <cellStyle name="20% - Accent4 2 4 2 2 11" xfId="45153" xr:uid="{00000000-0005-0000-0000-0000762D0000}"/>
    <cellStyle name="20% - Accent4 2 4 2 2 12" xfId="50631" xr:uid="{00000000-0005-0000-0000-0000772D0000}"/>
    <cellStyle name="20% - Accent4 2 4 2 2 2" xfId="2113" xr:uid="{00000000-0005-0000-0000-0000782D0000}"/>
    <cellStyle name="20% - Accent4 2 4 2 2 2 2" xfId="7593" xr:uid="{00000000-0005-0000-0000-0000792D0000}"/>
    <cellStyle name="20% - Accent4 2 4 2 2 2 3" xfId="13069" xr:uid="{00000000-0005-0000-0000-00007A2D0000}"/>
    <cellStyle name="20% - Accent4 2 4 2 2 2 4" xfId="18545" xr:uid="{00000000-0005-0000-0000-00007B2D0000}"/>
    <cellStyle name="20% - Accent4 2 4 2 2 2 5" xfId="24021" xr:uid="{00000000-0005-0000-0000-00007C2D0000}"/>
    <cellStyle name="20% - Accent4 2 4 2 2 2 6" xfId="35817" xr:uid="{00000000-0005-0000-0000-00007D2D0000}"/>
    <cellStyle name="20% - Accent4 2 4 2 2 2 7" xfId="41294" xr:uid="{00000000-0005-0000-0000-00007E2D0000}"/>
    <cellStyle name="20% - Accent4 2 4 2 2 2 8" xfId="46771" xr:uid="{00000000-0005-0000-0000-00007F2D0000}"/>
    <cellStyle name="20% - Accent4 2 4 2 2 2 9" xfId="52289" xr:uid="{00000000-0005-0000-0000-0000802D0000}"/>
    <cellStyle name="20% - Accent4 2 4 2 2 3" xfId="3876" xr:uid="{00000000-0005-0000-0000-0000812D0000}"/>
    <cellStyle name="20% - Accent4 2 4 2 2 3 2" xfId="9356" xr:uid="{00000000-0005-0000-0000-0000822D0000}"/>
    <cellStyle name="20% - Accent4 2 4 2 2 3 3" xfId="14832" xr:uid="{00000000-0005-0000-0000-0000832D0000}"/>
    <cellStyle name="20% - Accent4 2 4 2 2 3 4" xfId="20308" xr:uid="{00000000-0005-0000-0000-0000842D0000}"/>
    <cellStyle name="20% - Accent4 2 4 2 2 3 5" xfId="25784" xr:uid="{00000000-0005-0000-0000-0000852D0000}"/>
    <cellStyle name="20% - Accent4 2 4 2 2 3 6" xfId="37580" xr:uid="{00000000-0005-0000-0000-0000862D0000}"/>
    <cellStyle name="20% - Accent4 2 4 2 2 3 7" xfId="43057" xr:uid="{00000000-0005-0000-0000-0000872D0000}"/>
    <cellStyle name="20% - Accent4 2 4 2 2 3 8" xfId="48534" xr:uid="{00000000-0005-0000-0000-0000882D0000}"/>
    <cellStyle name="20% - Accent4 2 4 2 2 3 9" xfId="54052" xr:uid="{00000000-0005-0000-0000-0000892D0000}"/>
    <cellStyle name="20% - Accent4 2 4 2 2 4" xfId="5972" xr:uid="{00000000-0005-0000-0000-00008A2D0000}"/>
    <cellStyle name="20% - Accent4 2 4 2 2 5" xfId="11452" xr:uid="{00000000-0005-0000-0000-00008B2D0000}"/>
    <cellStyle name="20% - Accent4 2 4 2 2 6" xfId="16928" xr:uid="{00000000-0005-0000-0000-00008C2D0000}"/>
    <cellStyle name="20% - Accent4 2 4 2 2 7" xfId="22404" xr:uid="{00000000-0005-0000-0000-00008D2D0000}"/>
    <cellStyle name="20% - Accent4 2 4 2 2 8" xfId="29095" xr:uid="{00000000-0005-0000-0000-00008E2D0000}"/>
    <cellStyle name="20% - Accent4 2 4 2 2 9" xfId="34199" xr:uid="{00000000-0005-0000-0000-00008F2D0000}"/>
    <cellStyle name="20% - Accent4 2 4 2 20" xfId="45151" xr:uid="{00000000-0005-0000-0000-0000902D0000}"/>
    <cellStyle name="20% - Accent4 2 4 2 21" xfId="50629" xr:uid="{00000000-0005-0000-0000-0000912D0000}"/>
    <cellStyle name="20% - Accent4 2 4 2 3" xfId="515" xr:uid="{00000000-0005-0000-0000-0000922D0000}"/>
    <cellStyle name="20% - Accent4 2 4 2 3 10" xfId="45154" xr:uid="{00000000-0005-0000-0000-0000932D0000}"/>
    <cellStyle name="20% - Accent4 2 4 2 3 11" xfId="50632" xr:uid="{00000000-0005-0000-0000-0000942D0000}"/>
    <cellStyle name="20% - Accent4 2 4 2 3 2" xfId="2276" xr:uid="{00000000-0005-0000-0000-0000952D0000}"/>
    <cellStyle name="20% - Accent4 2 4 2 3 2 2" xfId="7756" xr:uid="{00000000-0005-0000-0000-0000962D0000}"/>
    <cellStyle name="20% - Accent4 2 4 2 3 2 3" xfId="13232" xr:uid="{00000000-0005-0000-0000-0000972D0000}"/>
    <cellStyle name="20% - Accent4 2 4 2 3 2 4" xfId="18708" xr:uid="{00000000-0005-0000-0000-0000982D0000}"/>
    <cellStyle name="20% - Accent4 2 4 2 3 2 5" xfId="24184" xr:uid="{00000000-0005-0000-0000-0000992D0000}"/>
    <cellStyle name="20% - Accent4 2 4 2 3 2 6" xfId="35980" xr:uid="{00000000-0005-0000-0000-00009A2D0000}"/>
    <cellStyle name="20% - Accent4 2 4 2 3 2 7" xfId="41457" xr:uid="{00000000-0005-0000-0000-00009B2D0000}"/>
    <cellStyle name="20% - Accent4 2 4 2 3 2 8" xfId="46934" xr:uid="{00000000-0005-0000-0000-00009C2D0000}"/>
    <cellStyle name="20% - Accent4 2 4 2 3 2 9" xfId="52452" xr:uid="{00000000-0005-0000-0000-00009D2D0000}"/>
    <cellStyle name="20% - Accent4 2 4 2 3 3" xfId="4048" xr:uid="{00000000-0005-0000-0000-00009E2D0000}"/>
    <cellStyle name="20% - Accent4 2 4 2 3 3 2" xfId="9528" xr:uid="{00000000-0005-0000-0000-00009F2D0000}"/>
    <cellStyle name="20% - Accent4 2 4 2 3 3 3" xfId="15004" xr:uid="{00000000-0005-0000-0000-0000A02D0000}"/>
    <cellStyle name="20% - Accent4 2 4 2 3 3 4" xfId="20480" xr:uid="{00000000-0005-0000-0000-0000A12D0000}"/>
    <cellStyle name="20% - Accent4 2 4 2 3 3 5" xfId="25956" xr:uid="{00000000-0005-0000-0000-0000A22D0000}"/>
    <cellStyle name="20% - Accent4 2 4 2 3 3 6" xfId="37752" xr:uid="{00000000-0005-0000-0000-0000A32D0000}"/>
    <cellStyle name="20% - Accent4 2 4 2 3 3 7" xfId="43229" xr:uid="{00000000-0005-0000-0000-0000A42D0000}"/>
    <cellStyle name="20% - Accent4 2 4 2 3 3 8" xfId="48706" xr:uid="{00000000-0005-0000-0000-0000A52D0000}"/>
    <cellStyle name="20% - Accent4 2 4 2 3 3 9" xfId="54224" xr:uid="{00000000-0005-0000-0000-0000A62D0000}"/>
    <cellStyle name="20% - Accent4 2 4 2 3 4" xfId="5973" xr:uid="{00000000-0005-0000-0000-0000A72D0000}"/>
    <cellStyle name="20% - Accent4 2 4 2 3 5" xfId="11453" xr:uid="{00000000-0005-0000-0000-0000A82D0000}"/>
    <cellStyle name="20% - Accent4 2 4 2 3 6" xfId="16929" xr:uid="{00000000-0005-0000-0000-0000A92D0000}"/>
    <cellStyle name="20% - Accent4 2 4 2 3 7" xfId="22405" xr:uid="{00000000-0005-0000-0000-0000AA2D0000}"/>
    <cellStyle name="20% - Accent4 2 4 2 3 8" xfId="34200" xr:uid="{00000000-0005-0000-0000-0000AB2D0000}"/>
    <cellStyle name="20% - Accent4 2 4 2 3 9" xfId="39677" xr:uid="{00000000-0005-0000-0000-0000AC2D0000}"/>
    <cellStyle name="20% - Accent4 2 4 2 4" xfId="687" xr:uid="{00000000-0005-0000-0000-0000AD2D0000}"/>
    <cellStyle name="20% - Accent4 2 4 2 4 10" xfId="45155" xr:uid="{00000000-0005-0000-0000-0000AE2D0000}"/>
    <cellStyle name="20% - Accent4 2 4 2 4 11" xfId="50633" xr:uid="{00000000-0005-0000-0000-0000AF2D0000}"/>
    <cellStyle name="20% - Accent4 2 4 2 4 2" xfId="2448" xr:uid="{00000000-0005-0000-0000-0000B02D0000}"/>
    <cellStyle name="20% - Accent4 2 4 2 4 2 2" xfId="7928" xr:uid="{00000000-0005-0000-0000-0000B12D0000}"/>
    <cellStyle name="20% - Accent4 2 4 2 4 2 3" xfId="13404" xr:uid="{00000000-0005-0000-0000-0000B22D0000}"/>
    <cellStyle name="20% - Accent4 2 4 2 4 2 4" xfId="18880" xr:uid="{00000000-0005-0000-0000-0000B32D0000}"/>
    <cellStyle name="20% - Accent4 2 4 2 4 2 5" xfId="24356" xr:uid="{00000000-0005-0000-0000-0000B42D0000}"/>
    <cellStyle name="20% - Accent4 2 4 2 4 2 6" xfId="36152" xr:uid="{00000000-0005-0000-0000-0000B52D0000}"/>
    <cellStyle name="20% - Accent4 2 4 2 4 2 7" xfId="41629" xr:uid="{00000000-0005-0000-0000-0000B62D0000}"/>
    <cellStyle name="20% - Accent4 2 4 2 4 2 8" xfId="47106" xr:uid="{00000000-0005-0000-0000-0000B72D0000}"/>
    <cellStyle name="20% - Accent4 2 4 2 4 2 9" xfId="52624" xr:uid="{00000000-0005-0000-0000-0000B82D0000}"/>
    <cellStyle name="20% - Accent4 2 4 2 4 3" xfId="4220" xr:uid="{00000000-0005-0000-0000-0000B92D0000}"/>
    <cellStyle name="20% - Accent4 2 4 2 4 3 2" xfId="9700" xr:uid="{00000000-0005-0000-0000-0000BA2D0000}"/>
    <cellStyle name="20% - Accent4 2 4 2 4 3 3" xfId="15176" xr:uid="{00000000-0005-0000-0000-0000BB2D0000}"/>
    <cellStyle name="20% - Accent4 2 4 2 4 3 4" xfId="20652" xr:uid="{00000000-0005-0000-0000-0000BC2D0000}"/>
    <cellStyle name="20% - Accent4 2 4 2 4 3 5" xfId="26128" xr:uid="{00000000-0005-0000-0000-0000BD2D0000}"/>
    <cellStyle name="20% - Accent4 2 4 2 4 3 6" xfId="37924" xr:uid="{00000000-0005-0000-0000-0000BE2D0000}"/>
    <cellStyle name="20% - Accent4 2 4 2 4 3 7" xfId="43401" xr:uid="{00000000-0005-0000-0000-0000BF2D0000}"/>
    <cellStyle name="20% - Accent4 2 4 2 4 3 8" xfId="48878" xr:uid="{00000000-0005-0000-0000-0000C02D0000}"/>
    <cellStyle name="20% - Accent4 2 4 2 4 3 9" xfId="54396" xr:uid="{00000000-0005-0000-0000-0000C12D0000}"/>
    <cellStyle name="20% - Accent4 2 4 2 4 4" xfId="5974" xr:uid="{00000000-0005-0000-0000-0000C22D0000}"/>
    <cellStyle name="20% - Accent4 2 4 2 4 5" xfId="11454" xr:uid="{00000000-0005-0000-0000-0000C32D0000}"/>
    <cellStyle name="20% - Accent4 2 4 2 4 6" xfId="16930" xr:uid="{00000000-0005-0000-0000-0000C42D0000}"/>
    <cellStyle name="20% - Accent4 2 4 2 4 7" xfId="22406" xr:uid="{00000000-0005-0000-0000-0000C52D0000}"/>
    <cellStyle name="20% - Accent4 2 4 2 4 8" xfId="34201" xr:uid="{00000000-0005-0000-0000-0000C62D0000}"/>
    <cellStyle name="20% - Accent4 2 4 2 4 9" xfId="39678" xr:uid="{00000000-0005-0000-0000-0000C72D0000}"/>
    <cellStyle name="20% - Accent4 2 4 2 5" xfId="859" xr:uid="{00000000-0005-0000-0000-0000C82D0000}"/>
    <cellStyle name="20% - Accent4 2 4 2 5 10" xfId="45156" xr:uid="{00000000-0005-0000-0000-0000C92D0000}"/>
    <cellStyle name="20% - Accent4 2 4 2 5 11" xfId="50634" xr:uid="{00000000-0005-0000-0000-0000CA2D0000}"/>
    <cellStyle name="20% - Accent4 2 4 2 5 2" xfId="2620" xr:uid="{00000000-0005-0000-0000-0000CB2D0000}"/>
    <cellStyle name="20% - Accent4 2 4 2 5 2 2" xfId="8100" xr:uid="{00000000-0005-0000-0000-0000CC2D0000}"/>
    <cellStyle name="20% - Accent4 2 4 2 5 2 3" xfId="13576" xr:uid="{00000000-0005-0000-0000-0000CD2D0000}"/>
    <cellStyle name="20% - Accent4 2 4 2 5 2 4" xfId="19052" xr:uid="{00000000-0005-0000-0000-0000CE2D0000}"/>
    <cellStyle name="20% - Accent4 2 4 2 5 2 5" xfId="24528" xr:uid="{00000000-0005-0000-0000-0000CF2D0000}"/>
    <cellStyle name="20% - Accent4 2 4 2 5 2 6" xfId="36324" xr:uid="{00000000-0005-0000-0000-0000D02D0000}"/>
    <cellStyle name="20% - Accent4 2 4 2 5 2 7" xfId="41801" xr:uid="{00000000-0005-0000-0000-0000D12D0000}"/>
    <cellStyle name="20% - Accent4 2 4 2 5 2 8" xfId="47278" xr:uid="{00000000-0005-0000-0000-0000D22D0000}"/>
    <cellStyle name="20% - Accent4 2 4 2 5 2 9" xfId="52796" xr:uid="{00000000-0005-0000-0000-0000D32D0000}"/>
    <cellStyle name="20% - Accent4 2 4 2 5 3" xfId="4392" xr:uid="{00000000-0005-0000-0000-0000D42D0000}"/>
    <cellStyle name="20% - Accent4 2 4 2 5 3 2" xfId="9872" xr:uid="{00000000-0005-0000-0000-0000D52D0000}"/>
    <cellStyle name="20% - Accent4 2 4 2 5 3 3" xfId="15348" xr:uid="{00000000-0005-0000-0000-0000D62D0000}"/>
    <cellStyle name="20% - Accent4 2 4 2 5 3 4" xfId="20824" xr:uid="{00000000-0005-0000-0000-0000D72D0000}"/>
    <cellStyle name="20% - Accent4 2 4 2 5 3 5" xfId="26300" xr:uid="{00000000-0005-0000-0000-0000D82D0000}"/>
    <cellStyle name="20% - Accent4 2 4 2 5 3 6" xfId="38096" xr:uid="{00000000-0005-0000-0000-0000D92D0000}"/>
    <cellStyle name="20% - Accent4 2 4 2 5 3 7" xfId="43573" xr:uid="{00000000-0005-0000-0000-0000DA2D0000}"/>
    <cellStyle name="20% - Accent4 2 4 2 5 3 8" xfId="49050" xr:uid="{00000000-0005-0000-0000-0000DB2D0000}"/>
    <cellStyle name="20% - Accent4 2 4 2 5 3 9" xfId="54568" xr:uid="{00000000-0005-0000-0000-0000DC2D0000}"/>
    <cellStyle name="20% - Accent4 2 4 2 5 4" xfId="5975" xr:uid="{00000000-0005-0000-0000-0000DD2D0000}"/>
    <cellStyle name="20% - Accent4 2 4 2 5 5" xfId="11455" xr:uid="{00000000-0005-0000-0000-0000DE2D0000}"/>
    <cellStyle name="20% - Accent4 2 4 2 5 6" xfId="16931" xr:uid="{00000000-0005-0000-0000-0000DF2D0000}"/>
    <cellStyle name="20% - Accent4 2 4 2 5 7" xfId="22407" xr:uid="{00000000-0005-0000-0000-0000E02D0000}"/>
    <cellStyle name="20% - Accent4 2 4 2 5 8" xfId="34202" xr:uid="{00000000-0005-0000-0000-0000E12D0000}"/>
    <cellStyle name="20% - Accent4 2 4 2 5 9" xfId="39679" xr:uid="{00000000-0005-0000-0000-0000E22D0000}"/>
    <cellStyle name="20% - Accent4 2 4 2 6" xfId="1065" xr:uid="{00000000-0005-0000-0000-0000E32D0000}"/>
    <cellStyle name="20% - Accent4 2 4 2 6 10" xfId="45157" xr:uid="{00000000-0005-0000-0000-0000E42D0000}"/>
    <cellStyle name="20% - Accent4 2 4 2 6 11" xfId="50635" xr:uid="{00000000-0005-0000-0000-0000E52D0000}"/>
    <cellStyle name="20% - Accent4 2 4 2 6 2" xfId="2826" xr:uid="{00000000-0005-0000-0000-0000E62D0000}"/>
    <cellStyle name="20% - Accent4 2 4 2 6 2 2" xfId="8306" xr:uid="{00000000-0005-0000-0000-0000E72D0000}"/>
    <cellStyle name="20% - Accent4 2 4 2 6 2 3" xfId="13782" xr:uid="{00000000-0005-0000-0000-0000E82D0000}"/>
    <cellStyle name="20% - Accent4 2 4 2 6 2 4" xfId="19258" xr:uid="{00000000-0005-0000-0000-0000E92D0000}"/>
    <cellStyle name="20% - Accent4 2 4 2 6 2 5" xfId="24734" xr:uid="{00000000-0005-0000-0000-0000EA2D0000}"/>
    <cellStyle name="20% - Accent4 2 4 2 6 2 6" xfId="36530" xr:uid="{00000000-0005-0000-0000-0000EB2D0000}"/>
    <cellStyle name="20% - Accent4 2 4 2 6 2 7" xfId="42007" xr:uid="{00000000-0005-0000-0000-0000EC2D0000}"/>
    <cellStyle name="20% - Accent4 2 4 2 6 2 8" xfId="47484" xr:uid="{00000000-0005-0000-0000-0000ED2D0000}"/>
    <cellStyle name="20% - Accent4 2 4 2 6 2 9" xfId="53002" xr:uid="{00000000-0005-0000-0000-0000EE2D0000}"/>
    <cellStyle name="20% - Accent4 2 4 2 6 3" xfId="4598" xr:uid="{00000000-0005-0000-0000-0000EF2D0000}"/>
    <cellStyle name="20% - Accent4 2 4 2 6 3 2" xfId="10078" xr:uid="{00000000-0005-0000-0000-0000F02D0000}"/>
    <cellStyle name="20% - Accent4 2 4 2 6 3 3" xfId="15554" xr:uid="{00000000-0005-0000-0000-0000F12D0000}"/>
    <cellStyle name="20% - Accent4 2 4 2 6 3 4" xfId="21030" xr:uid="{00000000-0005-0000-0000-0000F22D0000}"/>
    <cellStyle name="20% - Accent4 2 4 2 6 3 5" xfId="26506" xr:uid="{00000000-0005-0000-0000-0000F32D0000}"/>
    <cellStyle name="20% - Accent4 2 4 2 6 3 6" xfId="38302" xr:uid="{00000000-0005-0000-0000-0000F42D0000}"/>
    <cellStyle name="20% - Accent4 2 4 2 6 3 7" xfId="43779" xr:uid="{00000000-0005-0000-0000-0000F52D0000}"/>
    <cellStyle name="20% - Accent4 2 4 2 6 3 8" xfId="49256" xr:uid="{00000000-0005-0000-0000-0000F62D0000}"/>
    <cellStyle name="20% - Accent4 2 4 2 6 3 9" xfId="54774" xr:uid="{00000000-0005-0000-0000-0000F72D0000}"/>
    <cellStyle name="20% - Accent4 2 4 2 6 4" xfId="5976" xr:uid="{00000000-0005-0000-0000-0000F82D0000}"/>
    <cellStyle name="20% - Accent4 2 4 2 6 5" xfId="11456" xr:uid="{00000000-0005-0000-0000-0000F92D0000}"/>
    <cellStyle name="20% - Accent4 2 4 2 6 6" xfId="16932" xr:uid="{00000000-0005-0000-0000-0000FA2D0000}"/>
    <cellStyle name="20% - Accent4 2 4 2 6 7" xfId="22408" xr:uid="{00000000-0005-0000-0000-0000FB2D0000}"/>
    <cellStyle name="20% - Accent4 2 4 2 6 8" xfId="34203" xr:uid="{00000000-0005-0000-0000-0000FC2D0000}"/>
    <cellStyle name="20% - Accent4 2 4 2 6 9" xfId="39680" xr:uid="{00000000-0005-0000-0000-0000FD2D0000}"/>
    <cellStyle name="20% - Accent4 2 4 2 7" xfId="1237" xr:uid="{00000000-0005-0000-0000-0000FE2D0000}"/>
    <cellStyle name="20% - Accent4 2 4 2 7 10" xfId="45158" xr:uid="{00000000-0005-0000-0000-0000FF2D0000}"/>
    <cellStyle name="20% - Accent4 2 4 2 7 11" xfId="50636" xr:uid="{00000000-0005-0000-0000-0000002E0000}"/>
    <cellStyle name="20% - Accent4 2 4 2 7 2" xfId="2998" xr:uid="{00000000-0005-0000-0000-0000012E0000}"/>
    <cellStyle name="20% - Accent4 2 4 2 7 2 2" xfId="8478" xr:uid="{00000000-0005-0000-0000-0000022E0000}"/>
    <cellStyle name="20% - Accent4 2 4 2 7 2 3" xfId="13954" xr:uid="{00000000-0005-0000-0000-0000032E0000}"/>
    <cellStyle name="20% - Accent4 2 4 2 7 2 4" xfId="19430" xr:uid="{00000000-0005-0000-0000-0000042E0000}"/>
    <cellStyle name="20% - Accent4 2 4 2 7 2 5" xfId="24906" xr:uid="{00000000-0005-0000-0000-0000052E0000}"/>
    <cellStyle name="20% - Accent4 2 4 2 7 2 6" xfId="36702" xr:uid="{00000000-0005-0000-0000-0000062E0000}"/>
    <cellStyle name="20% - Accent4 2 4 2 7 2 7" xfId="42179" xr:uid="{00000000-0005-0000-0000-0000072E0000}"/>
    <cellStyle name="20% - Accent4 2 4 2 7 2 8" xfId="47656" xr:uid="{00000000-0005-0000-0000-0000082E0000}"/>
    <cellStyle name="20% - Accent4 2 4 2 7 2 9" xfId="53174" xr:uid="{00000000-0005-0000-0000-0000092E0000}"/>
    <cellStyle name="20% - Accent4 2 4 2 7 3" xfId="4770" xr:uid="{00000000-0005-0000-0000-00000A2E0000}"/>
    <cellStyle name="20% - Accent4 2 4 2 7 3 2" xfId="10250" xr:uid="{00000000-0005-0000-0000-00000B2E0000}"/>
    <cellStyle name="20% - Accent4 2 4 2 7 3 3" xfId="15726" xr:uid="{00000000-0005-0000-0000-00000C2E0000}"/>
    <cellStyle name="20% - Accent4 2 4 2 7 3 4" xfId="21202" xr:uid="{00000000-0005-0000-0000-00000D2E0000}"/>
    <cellStyle name="20% - Accent4 2 4 2 7 3 5" xfId="26678" xr:uid="{00000000-0005-0000-0000-00000E2E0000}"/>
    <cellStyle name="20% - Accent4 2 4 2 7 3 6" xfId="38474" xr:uid="{00000000-0005-0000-0000-00000F2E0000}"/>
    <cellStyle name="20% - Accent4 2 4 2 7 3 7" xfId="43951" xr:uid="{00000000-0005-0000-0000-0000102E0000}"/>
    <cellStyle name="20% - Accent4 2 4 2 7 3 8" xfId="49428" xr:uid="{00000000-0005-0000-0000-0000112E0000}"/>
    <cellStyle name="20% - Accent4 2 4 2 7 3 9" xfId="54946" xr:uid="{00000000-0005-0000-0000-0000122E0000}"/>
    <cellStyle name="20% - Accent4 2 4 2 7 4" xfId="5977" xr:uid="{00000000-0005-0000-0000-0000132E0000}"/>
    <cellStyle name="20% - Accent4 2 4 2 7 5" xfId="11457" xr:uid="{00000000-0005-0000-0000-0000142E0000}"/>
    <cellStyle name="20% - Accent4 2 4 2 7 6" xfId="16933" xr:uid="{00000000-0005-0000-0000-0000152E0000}"/>
    <cellStyle name="20% - Accent4 2 4 2 7 7" xfId="22409" xr:uid="{00000000-0005-0000-0000-0000162E0000}"/>
    <cellStyle name="20% - Accent4 2 4 2 7 8" xfId="34204" xr:uid="{00000000-0005-0000-0000-0000172E0000}"/>
    <cellStyle name="20% - Accent4 2 4 2 7 9" xfId="39681" xr:uid="{00000000-0005-0000-0000-0000182E0000}"/>
    <cellStyle name="20% - Accent4 2 4 2 8" xfId="1409" xr:uid="{00000000-0005-0000-0000-0000192E0000}"/>
    <cellStyle name="20% - Accent4 2 4 2 8 10" xfId="45159" xr:uid="{00000000-0005-0000-0000-00001A2E0000}"/>
    <cellStyle name="20% - Accent4 2 4 2 8 11" xfId="50637" xr:uid="{00000000-0005-0000-0000-00001B2E0000}"/>
    <cellStyle name="20% - Accent4 2 4 2 8 2" xfId="3170" xr:uid="{00000000-0005-0000-0000-00001C2E0000}"/>
    <cellStyle name="20% - Accent4 2 4 2 8 2 2" xfId="8650" xr:uid="{00000000-0005-0000-0000-00001D2E0000}"/>
    <cellStyle name="20% - Accent4 2 4 2 8 2 3" xfId="14126" xr:uid="{00000000-0005-0000-0000-00001E2E0000}"/>
    <cellStyle name="20% - Accent4 2 4 2 8 2 4" xfId="19602" xr:uid="{00000000-0005-0000-0000-00001F2E0000}"/>
    <cellStyle name="20% - Accent4 2 4 2 8 2 5" xfId="25078" xr:uid="{00000000-0005-0000-0000-0000202E0000}"/>
    <cellStyle name="20% - Accent4 2 4 2 8 2 6" xfId="36874" xr:uid="{00000000-0005-0000-0000-0000212E0000}"/>
    <cellStyle name="20% - Accent4 2 4 2 8 2 7" xfId="42351" xr:uid="{00000000-0005-0000-0000-0000222E0000}"/>
    <cellStyle name="20% - Accent4 2 4 2 8 2 8" xfId="47828" xr:uid="{00000000-0005-0000-0000-0000232E0000}"/>
    <cellStyle name="20% - Accent4 2 4 2 8 2 9" xfId="53346" xr:uid="{00000000-0005-0000-0000-0000242E0000}"/>
    <cellStyle name="20% - Accent4 2 4 2 8 3" xfId="4942" xr:uid="{00000000-0005-0000-0000-0000252E0000}"/>
    <cellStyle name="20% - Accent4 2 4 2 8 3 2" xfId="10422" xr:uid="{00000000-0005-0000-0000-0000262E0000}"/>
    <cellStyle name="20% - Accent4 2 4 2 8 3 3" xfId="15898" xr:uid="{00000000-0005-0000-0000-0000272E0000}"/>
    <cellStyle name="20% - Accent4 2 4 2 8 3 4" xfId="21374" xr:uid="{00000000-0005-0000-0000-0000282E0000}"/>
    <cellStyle name="20% - Accent4 2 4 2 8 3 5" xfId="26850" xr:uid="{00000000-0005-0000-0000-0000292E0000}"/>
    <cellStyle name="20% - Accent4 2 4 2 8 3 6" xfId="38646" xr:uid="{00000000-0005-0000-0000-00002A2E0000}"/>
    <cellStyle name="20% - Accent4 2 4 2 8 3 7" xfId="44123" xr:uid="{00000000-0005-0000-0000-00002B2E0000}"/>
    <cellStyle name="20% - Accent4 2 4 2 8 3 8" xfId="49600" xr:uid="{00000000-0005-0000-0000-00002C2E0000}"/>
    <cellStyle name="20% - Accent4 2 4 2 8 3 9" xfId="55118" xr:uid="{00000000-0005-0000-0000-00002D2E0000}"/>
    <cellStyle name="20% - Accent4 2 4 2 8 4" xfId="5978" xr:uid="{00000000-0005-0000-0000-00002E2E0000}"/>
    <cellStyle name="20% - Accent4 2 4 2 8 5" xfId="11458" xr:uid="{00000000-0005-0000-0000-00002F2E0000}"/>
    <cellStyle name="20% - Accent4 2 4 2 8 6" xfId="16934" xr:uid="{00000000-0005-0000-0000-0000302E0000}"/>
    <cellStyle name="20% - Accent4 2 4 2 8 7" xfId="22410" xr:uid="{00000000-0005-0000-0000-0000312E0000}"/>
    <cellStyle name="20% - Accent4 2 4 2 8 8" xfId="34205" xr:uid="{00000000-0005-0000-0000-0000322E0000}"/>
    <cellStyle name="20% - Accent4 2 4 2 8 9" xfId="39682" xr:uid="{00000000-0005-0000-0000-0000332E0000}"/>
    <cellStyle name="20% - Accent4 2 4 2 9" xfId="1581" xr:uid="{00000000-0005-0000-0000-0000342E0000}"/>
    <cellStyle name="20% - Accent4 2 4 2 9 10" xfId="45160" xr:uid="{00000000-0005-0000-0000-0000352E0000}"/>
    <cellStyle name="20% - Accent4 2 4 2 9 11" xfId="50638" xr:uid="{00000000-0005-0000-0000-0000362E0000}"/>
    <cellStyle name="20% - Accent4 2 4 2 9 2" xfId="3342" xr:uid="{00000000-0005-0000-0000-0000372E0000}"/>
    <cellStyle name="20% - Accent4 2 4 2 9 2 2" xfId="8822" xr:uid="{00000000-0005-0000-0000-0000382E0000}"/>
    <cellStyle name="20% - Accent4 2 4 2 9 2 3" xfId="14298" xr:uid="{00000000-0005-0000-0000-0000392E0000}"/>
    <cellStyle name="20% - Accent4 2 4 2 9 2 4" xfId="19774" xr:uid="{00000000-0005-0000-0000-00003A2E0000}"/>
    <cellStyle name="20% - Accent4 2 4 2 9 2 5" xfId="25250" xr:uid="{00000000-0005-0000-0000-00003B2E0000}"/>
    <cellStyle name="20% - Accent4 2 4 2 9 2 6" xfId="37046" xr:uid="{00000000-0005-0000-0000-00003C2E0000}"/>
    <cellStyle name="20% - Accent4 2 4 2 9 2 7" xfId="42523" xr:uid="{00000000-0005-0000-0000-00003D2E0000}"/>
    <cellStyle name="20% - Accent4 2 4 2 9 2 8" xfId="48000" xr:uid="{00000000-0005-0000-0000-00003E2E0000}"/>
    <cellStyle name="20% - Accent4 2 4 2 9 2 9" xfId="53518" xr:uid="{00000000-0005-0000-0000-00003F2E0000}"/>
    <cellStyle name="20% - Accent4 2 4 2 9 3" xfId="5114" xr:uid="{00000000-0005-0000-0000-0000402E0000}"/>
    <cellStyle name="20% - Accent4 2 4 2 9 3 2" xfId="10594" xr:uid="{00000000-0005-0000-0000-0000412E0000}"/>
    <cellStyle name="20% - Accent4 2 4 2 9 3 3" xfId="16070" xr:uid="{00000000-0005-0000-0000-0000422E0000}"/>
    <cellStyle name="20% - Accent4 2 4 2 9 3 4" xfId="21546" xr:uid="{00000000-0005-0000-0000-0000432E0000}"/>
    <cellStyle name="20% - Accent4 2 4 2 9 3 5" xfId="27022" xr:uid="{00000000-0005-0000-0000-0000442E0000}"/>
    <cellStyle name="20% - Accent4 2 4 2 9 3 6" xfId="38818" xr:uid="{00000000-0005-0000-0000-0000452E0000}"/>
    <cellStyle name="20% - Accent4 2 4 2 9 3 7" xfId="44295" xr:uid="{00000000-0005-0000-0000-0000462E0000}"/>
    <cellStyle name="20% - Accent4 2 4 2 9 3 8" xfId="49772" xr:uid="{00000000-0005-0000-0000-0000472E0000}"/>
    <cellStyle name="20% - Accent4 2 4 2 9 3 9" xfId="55290" xr:uid="{00000000-0005-0000-0000-0000482E0000}"/>
    <cellStyle name="20% - Accent4 2 4 2 9 4" xfId="5979" xr:uid="{00000000-0005-0000-0000-0000492E0000}"/>
    <cellStyle name="20% - Accent4 2 4 2 9 5" xfId="11459" xr:uid="{00000000-0005-0000-0000-00004A2E0000}"/>
    <cellStyle name="20% - Accent4 2 4 2 9 6" xfId="16935" xr:uid="{00000000-0005-0000-0000-00004B2E0000}"/>
    <cellStyle name="20% - Accent4 2 4 2 9 7" xfId="22411" xr:uid="{00000000-0005-0000-0000-00004C2E0000}"/>
    <cellStyle name="20% - Accent4 2 4 2 9 8" xfId="34206" xr:uid="{00000000-0005-0000-0000-00004D2E0000}"/>
    <cellStyle name="20% - Accent4 2 4 2 9 9" xfId="39683" xr:uid="{00000000-0005-0000-0000-00004E2E0000}"/>
    <cellStyle name="20% - Accent4 2 4 20" xfId="39671" xr:uid="{00000000-0005-0000-0000-00004F2E0000}"/>
    <cellStyle name="20% - Accent4 2 4 21" xfId="45148" xr:uid="{00000000-0005-0000-0000-0000502E0000}"/>
    <cellStyle name="20% - Accent4 2 4 22" xfId="50626" xr:uid="{00000000-0005-0000-0000-0000512E0000}"/>
    <cellStyle name="20% - Accent4 2 4 3" xfId="313" xr:uid="{00000000-0005-0000-0000-0000522E0000}"/>
    <cellStyle name="20% - Accent4 2 4 3 10" xfId="39684" xr:uid="{00000000-0005-0000-0000-0000532E0000}"/>
    <cellStyle name="20% - Accent4 2 4 3 11" xfId="45161" xr:uid="{00000000-0005-0000-0000-0000542E0000}"/>
    <cellStyle name="20% - Accent4 2 4 3 12" xfId="50639" xr:uid="{00000000-0005-0000-0000-0000552E0000}"/>
    <cellStyle name="20% - Accent4 2 4 3 2" xfId="2112" xr:uid="{00000000-0005-0000-0000-0000562E0000}"/>
    <cellStyle name="20% - Accent4 2 4 3 2 2" xfId="7592" xr:uid="{00000000-0005-0000-0000-0000572E0000}"/>
    <cellStyle name="20% - Accent4 2 4 3 2 3" xfId="13068" xr:uid="{00000000-0005-0000-0000-0000582E0000}"/>
    <cellStyle name="20% - Accent4 2 4 3 2 4" xfId="18544" xr:uid="{00000000-0005-0000-0000-0000592E0000}"/>
    <cellStyle name="20% - Accent4 2 4 3 2 5" xfId="24020" xr:uid="{00000000-0005-0000-0000-00005A2E0000}"/>
    <cellStyle name="20% - Accent4 2 4 3 2 6" xfId="35816" xr:uid="{00000000-0005-0000-0000-00005B2E0000}"/>
    <cellStyle name="20% - Accent4 2 4 3 2 7" xfId="41293" xr:uid="{00000000-0005-0000-0000-00005C2E0000}"/>
    <cellStyle name="20% - Accent4 2 4 3 2 8" xfId="46770" xr:uid="{00000000-0005-0000-0000-00005D2E0000}"/>
    <cellStyle name="20% - Accent4 2 4 3 2 9" xfId="52288" xr:uid="{00000000-0005-0000-0000-00005E2E0000}"/>
    <cellStyle name="20% - Accent4 2 4 3 3" xfId="3875" xr:uid="{00000000-0005-0000-0000-00005F2E0000}"/>
    <cellStyle name="20% - Accent4 2 4 3 3 2" xfId="9355" xr:uid="{00000000-0005-0000-0000-0000602E0000}"/>
    <cellStyle name="20% - Accent4 2 4 3 3 3" xfId="14831" xr:uid="{00000000-0005-0000-0000-0000612E0000}"/>
    <cellStyle name="20% - Accent4 2 4 3 3 4" xfId="20307" xr:uid="{00000000-0005-0000-0000-0000622E0000}"/>
    <cellStyle name="20% - Accent4 2 4 3 3 5" xfId="25783" xr:uid="{00000000-0005-0000-0000-0000632E0000}"/>
    <cellStyle name="20% - Accent4 2 4 3 3 6" xfId="37579" xr:uid="{00000000-0005-0000-0000-0000642E0000}"/>
    <cellStyle name="20% - Accent4 2 4 3 3 7" xfId="43056" xr:uid="{00000000-0005-0000-0000-0000652E0000}"/>
    <cellStyle name="20% - Accent4 2 4 3 3 8" xfId="48533" xr:uid="{00000000-0005-0000-0000-0000662E0000}"/>
    <cellStyle name="20% - Accent4 2 4 3 3 9" xfId="54051" xr:uid="{00000000-0005-0000-0000-0000672E0000}"/>
    <cellStyle name="20% - Accent4 2 4 3 4" xfId="5980" xr:uid="{00000000-0005-0000-0000-0000682E0000}"/>
    <cellStyle name="20% - Accent4 2 4 3 5" xfId="11460" xr:uid="{00000000-0005-0000-0000-0000692E0000}"/>
    <cellStyle name="20% - Accent4 2 4 3 6" xfId="16936" xr:uid="{00000000-0005-0000-0000-00006A2E0000}"/>
    <cellStyle name="20% - Accent4 2 4 3 7" xfId="22412" xr:uid="{00000000-0005-0000-0000-00006B2E0000}"/>
    <cellStyle name="20% - Accent4 2 4 3 8" xfId="29096" xr:uid="{00000000-0005-0000-0000-00006C2E0000}"/>
    <cellStyle name="20% - Accent4 2 4 3 9" xfId="34207" xr:uid="{00000000-0005-0000-0000-00006D2E0000}"/>
    <cellStyle name="20% - Accent4 2 4 4" xfId="514" xr:uid="{00000000-0005-0000-0000-00006E2E0000}"/>
    <cellStyle name="20% - Accent4 2 4 4 10" xfId="45162" xr:uid="{00000000-0005-0000-0000-00006F2E0000}"/>
    <cellStyle name="20% - Accent4 2 4 4 11" xfId="50640" xr:uid="{00000000-0005-0000-0000-0000702E0000}"/>
    <cellStyle name="20% - Accent4 2 4 4 2" xfId="2275" xr:uid="{00000000-0005-0000-0000-0000712E0000}"/>
    <cellStyle name="20% - Accent4 2 4 4 2 2" xfId="7755" xr:uid="{00000000-0005-0000-0000-0000722E0000}"/>
    <cellStyle name="20% - Accent4 2 4 4 2 3" xfId="13231" xr:uid="{00000000-0005-0000-0000-0000732E0000}"/>
    <cellStyle name="20% - Accent4 2 4 4 2 4" xfId="18707" xr:uid="{00000000-0005-0000-0000-0000742E0000}"/>
    <cellStyle name="20% - Accent4 2 4 4 2 5" xfId="24183" xr:uid="{00000000-0005-0000-0000-0000752E0000}"/>
    <cellStyle name="20% - Accent4 2 4 4 2 6" xfId="35979" xr:uid="{00000000-0005-0000-0000-0000762E0000}"/>
    <cellStyle name="20% - Accent4 2 4 4 2 7" xfId="41456" xr:uid="{00000000-0005-0000-0000-0000772E0000}"/>
    <cellStyle name="20% - Accent4 2 4 4 2 8" xfId="46933" xr:uid="{00000000-0005-0000-0000-0000782E0000}"/>
    <cellStyle name="20% - Accent4 2 4 4 2 9" xfId="52451" xr:uid="{00000000-0005-0000-0000-0000792E0000}"/>
    <cellStyle name="20% - Accent4 2 4 4 3" xfId="4047" xr:uid="{00000000-0005-0000-0000-00007A2E0000}"/>
    <cellStyle name="20% - Accent4 2 4 4 3 2" xfId="9527" xr:uid="{00000000-0005-0000-0000-00007B2E0000}"/>
    <cellStyle name="20% - Accent4 2 4 4 3 3" xfId="15003" xr:uid="{00000000-0005-0000-0000-00007C2E0000}"/>
    <cellStyle name="20% - Accent4 2 4 4 3 4" xfId="20479" xr:uid="{00000000-0005-0000-0000-00007D2E0000}"/>
    <cellStyle name="20% - Accent4 2 4 4 3 5" xfId="25955" xr:uid="{00000000-0005-0000-0000-00007E2E0000}"/>
    <cellStyle name="20% - Accent4 2 4 4 3 6" xfId="37751" xr:uid="{00000000-0005-0000-0000-00007F2E0000}"/>
    <cellStyle name="20% - Accent4 2 4 4 3 7" xfId="43228" xr:uid="{00000000-0005-0000-0000-0000802E0000}"/>
    <cellStyle name="20% - Accent4 2 4 4 3 8" xfId="48705" xr:uid="{00000000-0005-0000-0000-0000812E0000}"/>
    <cellStyle name="20% - Accent4 2 4 4 3 9" xfId="54223" xr:uid="{00000000-0005-0000-0000-0000822E0000}"/>
    <cellStyle name="20% - Accent4 2 4 4 4" xfId="5981" xr:uid="{00000000-0005-0000-0000-0000832E0000}"/>
    <cellStyle name="20% - Accent4 2 4 4 5" xfId="11461" xr:uid="{00000000-0005-0000-0000-0000842E0000}"/>
    <cellStyle name="20% - Accent4 2 4 4 6" xfId="16937" xr:uid="{00000000-0005-0000-0000-0000852E0000}"/>
    <cellStyle name="20% - Accent4 2 4 4 7" xfId="22413" xr:uid="{00000000-0005-0000-0000-0000862E0000}"/>
    <cellStyle name="20% - Accent4 2 4 4 8" xfId="34208" xr:uid="{00000000-0005-0000-0000-0000872E0000}"/>
    <cellStyle name="20% - Accent4 2 4 4 9" xfId="39685" xr:uid="{00000000-0005-0000-0000-0000882E0000}"/>
    <cellStyle name="20% - Accent4 2 4 5" xfId="686" xr:uid="{00000000-0005-0000-0000-0000892E0000}"/>
    <cellStyle name="20% - Accent4 2 4 5 10" xfId="45163" xr:uid="{00000000-0005-0000-0000-00008A2E0000}"/>
    <cellStyle name="20% - Accent4 2 4 5 11" xfId="50641" xr:uid="{00000000-0005-0000-0000-00008B2E0000}"/>
    <cellStyle name="20% - Accent4 2 4 5 2" xfId="2447" xr:uid="{00000000-0005-0000-0000-00008C2E0000}"/>
    <cellStyle name="20% - Accent4 2 4 5 2 2" xfId="7927" xr:uid="{00000000-0005-0000-0000-00008D2E0000}"/>
    <cellStyle name="20% - Accent4 2 4 5 2 3" xfId="13403" xr:uid="{00000000-0005-0000-0000-00008E2E0000}"/>
    <cellStyle name="20% - Accent4 2 4 5 2 4" xfId="18879" xr:uid="{00000000-0005-0000-0000-00008F2E0000}"/>
    <cellStyle name="20% - Accent4 2 4 5 2 5" xfId="24355" xr:uid="{00000000-0005-0000-0000-0000902E0000}"/>
    <cellStyle name="20% - Accent4 2 4 5 2 6" xfId="36151" xr:uid="{00000000-0005-0000-0000-0000912E0000}"/>
    <cellStyle name="20% - Accent4 2 4 5 2 7" xfId="41628" xr:uid="{00000000-0005-0000-0000-0000922E0000}"/>
    <cellStyle name="20% - Accent4 2 4 5 2 8" xfId="47105" xr:uid="{00000000-0005-0000-0000-0000932E0000}"/>
    <cellStyle name="20% - Accent4 2 4 5 2 9" xfId="52623" xr:uid="{00000000-0005-0000-0000-0000942E0000}"/>
    <cellStyle name="20% - Accent4 2 4 5 3" xfId="4219" xr:uid="{00000000-0005-0000-0000-0000952E0000}"/>
    <cellStyle name="20% - Accent4 2 4 5 3 2" xfId="9699" xr:uid="{00000000-0005-0000-0000-0000962E0000}"/>
    <cellStyle name="20% - Accent4 2 4 5 3 3" xfId="15175" xr:uid="{00000000-0005-0000-0000-0000972E0000}"/>
    <cellStyle name="20% - Accent4 2 4 5 3 4" xfId="20651" xr:uid="{00000000-0005-0000-0000-0000982E0000}"/>
    <cellStyle name="20% - Accent4 2 4 5 3 5" xfId="26127" xr:uid="{00000000-0005-0000-0000-0000992E0000}"/>
    <cellStyle name="20% - Accent4 2 4 5 3 6" xfId="37923" xr:uid="{00000000-0005-0000-0000-00009A2E0000}"/>
    <cellStyle name="20% - Accent4 2 4 5 3 7" xfId="43400" xr:uid="{00000000-0005-0000-0000-00009B2E0000}"/>
    <cellStyle name="20% - Accent4 2 4 5 3 8" xfId="48877" xr:uid="{00000000-0005-0000-0000-00009C2E0000}"/>
    <cellStyle name="20% - Accent4 2 4 5 3 9" xfId="54395" xr:uid="{00000000-0005-0000-0000-00009D2E0000}"/>
    <cellStyle name="20% - Accent4 2 4 5 4" xfId="5982" xr:uid="{00000000-0005-0000-0000-00009E2E0000}"/>
    <cellStyle name="20% - Accent4 2 4 5 5" xfId="11462" xr:uid="{00000000-0005-0000-0000-00009F2E0000}"/>
    <cellStyle name="20% - Accent4 2 4 5 6" xfId="16938" xr:uid="{00000000-0005-0000-0000-0000A02E0000}"/>
    <cellStyle name="20% - Accent4 2 4 5 7" xfId="22414" xr:uid="{00000000-0005-0000-0000-0000A12E0000}"/>
    <cellStyle name="20% - Accent4 2 4 5 8" xfId="34209" xr:uid="{00000000-0005-0000-0000-0000A22E0000}"/>
    <cellStyle name="20% - Accent4 2 4 5 9" xfId="39686" xr:uid="{00000000-0005-0000-0000-0000A32E0000}"/>
    <cellStyle name="20% - Accent4 2 4 6" xfId="858" xr:uid="{00000000-0005-0000-0000-0000A42E0000}"/>
    <cellStyle name="20% - Accent4 2 4 6 10" xfId="45164" xr:uid="{00000000-0005-0000-0000-0000A52E0000}"/>
    <cellStyle name="20% - Accent4 2 4 6 11" xfId="50642" xr:uid="{00000000-0005-0000-0000-0000A62E0000}"/>
    <cellStyle name="20% - Accent4 2 4 6 2" xfId="2619" xr:uid="{00000000-0005-0000-0000-0000A72E0000}"/>
    <cellStyle name="20% - Accent4 2 4 6 2 2" xfId="8099" xr:uid="{00000000-0005-0000-0000-0000A82E0000}"/>
    <cellStyle name="20% - Accent4 2 4 6 2 3" xfId="13575" xr:uid="{00000000-0005-0000-0000-0000A92E0000}"/>
    <cellStyle name="20% - Accent4 2 4 6 2 4" xfId="19051" xr:uid="{00000000-0005-0000-0000-0000AA2E0000}"/>
    <cellStyle name="20% - Accent4 2 4 6 2 5" xfId="24527" xr:uid="{00000000-0005-0000-0000-0000AB2E0000}"/>
    <cellStyle name="20% - Accent4 2 4 6 2 6" xfId="36323" xr:uid="{00000000-0005-0000-0000-0000AC2E0000}"/>
    <cellStyle name="20% - Accent4 2 4 6 2 7" xfId="41800" xr:uid="{00000000-0005-0000-0000-0000AD2E0000}"/>
    <cellStyle name="20% - Accent4 2 4 6 2 8" xfId="47277" xr:uid="{00000000-0005-0000-0000-0000AE2E0000}"/>
    <cellStyle name="20% - Accent4 2 4 6 2 9" xfId="52795" xr:uid="{00000000-0005-0000-0000-0000AF2E0000}"/>
    <cellStyle name="20% - Accent4 2 4 6 3" xfId="4391" xr:uid="{00000000-0005-0000-0000-0000B02E0000}"/>
    <cellStyle name="20% - Accent4 2 4 6 3 2" xfId="9871" xr:uid="{00000000-0005-0000-0000-0000B12E0000}"/>
    <cellStyle name="20% - Accent4 2 4 6 3 3" xfId="15347" xr:uid="{00000000-0005-0000-0000-0000B22E0000}"/>
    <cellStyle name="20% - Accent4 2 4 6 3 4" xfId="20823" xr:uid="{00000000-0005-0000-0000-0000B32E0000}"/>
    <cellStyle name="20% - Accent4 2 4 6 3 5" xfId="26299" xr:uid="{00000000-0005-0000-0000-0000B42E0000}"/>
    <cellStyle name="20% - Accent4 2 4 6 3 6" xfId="38095" xr:uid="{00000000-0005-0000-0000-0000B52E0000}"/>
    <cellStyle name="20% - Accent4 2 4 6 3 7" xfId="43572" xr:uid="{00000000-0005-0000-0000-0000B62E0000}"/>
    <cellStyle name="20% - Accent4 2 4 6 3 8" xfId="49049" xr:uid="{00000000-0005-0000-0000-0000B72E0000}"/>
    <cellStyle name="20% - Accent4 2 4 6 3 9" xfId="54567" xr:uid="{00000000-0005-0000-0000-0000B82E0000}"/>
    <cellStyle name="20% - Accent4 2 4 6 4" xfId="5983" xr:uid="{00000000-0005-0000-0000-0000B92E0000}"/>
    <cellStyle name="20% - Accent4 2 4 6 5" xfId="11463" xr:uid="{00000000-0005-0000-0000-0000BA2E0000}"/>
    <cellStyle name="20% - Accent4 2 4 6 6" xfId="16939" xr:uid="{00000000-0005-0000-0000-0000BB2E0000}"/>
    <cellStyle name="20% - Accent4 2 4 6 7" xfId="22415" xr:uid="{00000000-0005-0000-0000-0000BC2E0000}"/>
    <cellStyle name="20% - Accent4 2 4 6 8" xfId="34210" xr:uid="{00000000-0005-0000-0000-0000BD2E0000}"/>
    <cellStyle name="20% - Accent4 2 4 6 9" xfId="39687" xr:uid="{00000000-0005-0000-0000-0000BE2E0000}"/>
    <cellStyle name="20% - Accent4 2 4 7" xfId="1064" xr:uid="{00000000-0005-0000-0000-0000BF2E0000}"/>
    <cellStyle name="20% - Accent4 2 4 7 10" xfId="45165" xr:uid="{00000000-0005-0000-0000-0000C02E0000}"/>
    <cellStyle name="20% - Accent4 2 4 7 11" xfId="50643" xr:uid="{00000000-0005-0000-0000-0000C12E0000}"/>
    <cellStyle name="20% - Accent4 2 4 7 2" xfId="2825" xr:uid="{00000000-0005-0000-0000-0000C22E0000}"/>
    <cellStyle name="20% - Accent4 2 4 7 2 2" xfId="8305" xr:uid="{00000000-0005-0000-0000-0000C32E0000}"/>
    <cellStyle name="20% - Accent4 2 4 7 2 3" xfId="13781" xr:uid="{00000000-0005-0000-0000-0000C42E0000}"/>
    <cellStyle name="20% - Accent4 2 4 7 2 4" xfId="19257" xr:uid="{00000000-0005-0000-0000-0000C52E0000}"/>
    <cellStyle name="20% - Accent4 2 4 7 2 5" xfId="24733" xr:uid="{00000000-0005-0000-0000-0000C62E0000}"/>
    <cellStyle name="20% - Accent4 2 4 7 2 6" xfId="36529" xr:uid="{00000000-0005-0000-0000-0000C72E0000}"/>
    <cellStyle name="20% - Accent4 2 4 7 2 7" xfId="42006" xr:uid="{00000000-0005-0000-0000-0000C82E0000}"/>
    <cellStyle name="20% - Accent4 2 4 7 2 8" xfId="47483" xr:uid="{00000000-0005-0000-0000-0000C92E0000}"/>
    <cellStyle name="20% - Accent4 2 4 7 2 9" xfId="53001" xr:uid="{00000000-0005-0000-0000-0000CA2E0000}"/>
    <cellStyle name="20% - Accent4 2 4 7 3" xfId="4597" xr:uid="{00000000-0005-0000-0000-0000CB2E0000}"/>
    <cellStyle name="20% - Accent4 2 4 7 3 2" xfId="10077" xr:uid="{00000000-0005-0000-0000-0000CC2E0000}"/>
    <cellStyle name="20% - Accent4 2 4 7 3 3" xfId="15553" xr:uid="{00000000-0005-0000-0000-0000CD2E0000}"/>
    <cellStyle name="20% - Accent4 2 4 7 3 4" xfId="21029" xr:uid="{00000000-0005-0000-0000-0000CE2E0000}"/>
    <cellStyle name="20% - Accent4 2 4 7 3 5" xfId="26505" xr:uid="{00000000-0005-0000-0000-0000CF2E0000}"/>
    <cellStyle name="20% - Accent4 2 4 7 3 6" xfId="38301" xr:uid="{00000000-0005-0000-0000-0000D02E0000}"/>
    <cellStyle name="20% - Accent4 2 4 7 3 7" xfId="43778" xr:uid="{00000000-0005-0000-0000-0000D12E0000}"/>
    <cellStyle name="20% - Accent4 2 4 7 3 8" xfId="49255" xr:uid="{00000000-0005-0000-0000-0000D22E0000}"/>
    <cellStyle name="20% - Accent4 2 4 7 3 9" xfId="54773" xr:uid="{00000000-0005-0000-0000-0000D32E0000}"/>
    <cellStyle name="20% - Accent4 2 4 7 4" xfId="5984" xr:uid="{00000000-0005-0000-0000-0000D42E0000}"/>
    <cellStyle name="20% - Accent4 2 4 7 5" xfId="11464" xr:uid="{00000000-0005-0000-0000-0000D52E0000}"/>
    <cellStyle name="20% - Accent4 2 4 7 6" xfId="16940" xr:uid="{00000000-0005-0000-0000-0000D62E0000}"/>
    <cellStyle name="20% - Accent4 2 4 7 7" xfId="22416" xr:uid="{00000000-0005-0000-0000-0000D72E0000}"/>
    <cellStyle name="20% - Accent4 2 4 7 8" xfId="34211" xr:uid="{00000000-0005-0000-0000-0000D82E0000}"/>
    <cellStyle name="20% - Accent4 2 4 7 9" xfId="39688" xr:uid="{00000000-0005-0000-0000-0000D92E0000}"/>
    <cellStyle name="20% - Accent4 2 4 8" xfId="1236" xr:uid="{00000000-0005-0000-0000-0000DA2E0000}"/>
    <cellStyle name="20% - Accent4 2 4 8 10" xfId="45166" xr:uid="{00000000-0005-0000-0000-0000DB2E0000}"/>
    <cellStyle name="20% - Accent4 2 4 8 11" xfId="50644" xr:uid="{00000000-0005-0000-0000-0000DC2E0000}"/>
    <cellStyle name="20% - Accent4 2 4 8 2" xfId="2997" xr:uid="{00000000-0005-0000-0000-0000DD2E0000}"/>
    <cellStyle name="20% - Accent4 2 4 8 2 2" xfId="8477" xr:uid="{00000000-0005-0000-0000-0000DE2E0000}"/>
    <cellStyle name="20% - Accent4 2 4 8 2 3" xfId="13953" xr:uid="{00000000-0005-0000-0000-0000DF2E0000}"/>
    <cellStyle name="20% - Accent4 2 4 8 2 4" xfId="19429" xr:uid="{00000000-0005-0000-0000-0000E02E0000}"/>
    <cellStyle name="20% - Accent4 2 4 8 2 5" xfId="24905" xr:uid="{00000000-0005-0000-0000-0000E12E0000}"/>
    <cellStyle name="20% - Accent4 2 4 8 2 6" xfId="36701" xr:uid="{00000000-0005-0000-0000-0000E22E0000}"/>
    <cellStyle name="20% - Accent4 2 4 8 2 7" xfId="42178" xr:uid="{00000000-0005-0000-0000-0000E32E0000}"/>
    <cellStyle name="20% - Accent4 2 4 8 2 8" xfId="47655" xr:uid="{00000000-0005-0000-0000-0000E42E0000}"/>
    <cellStyle name="20% - Accent4 2 4 8 2 9" xfId="53173" xr:uid="{00000000-0005-0000-0000-0000E52E0000}"/>
    <cellStyle name="20% - Accent4 2 4 8 3" xfId="4769" xr:uid="{00000000-0005-0000-0000-0000E62E0000}"/>
    <cellStyle name="20% - Accent4 2 4 8 3 2" xfId="10249" xr:uid="{00000000-0005-0000-0000-0000E72E0000}"/>
    <cellStyle name="20% - Accent4 2 4 8 3 3" xfId="15725" xr:uid="{00000000-0005-0000-0000-0000E82E0000}"/>
    <cellStyle name="20% - Accent4 2 4 8 3 4" xfId="21201" xr:uid="{00000000-0005-0000-0000-0000E92E0000}"/>
    <cellStyle name="20% - Accent4 2 4 8 3 5" xfId="26677" xr:uid="{00000000-0005-0000-0000-0000EA2E0000}"/>
    <cellStyle name="20% - Accent4 2 4 8 3 6" xfId="38473" xr:uid="{00000000-0005-0000-0000-0000EB2E0000}"/>
    <cellStyle name="20% - Accent4 2 4 8 3 7" xfId="43950" xr:uid="{00000000-0005-0000-0000-0000EC2E0000}"/>
    <cellStyle name="20% - Accent4 2 4 8 3 8" xfId="49427" xr:uid="{00000000-0005-0000-0000-0000ED2E0000}"/>
    <cellStyle name="20% - Accent4 2 4 8 3 9" xfId="54945" xr:uid="{00000000-0005-0000-0000-0000EE2E0000}"/>
    <cellStyle name="20% - Accent4 2 4 8 4" xfId="5985" xr:uid="{00000000-0005-0000-0000-0000EF2E0000}"/>
    <cellStyle name="20% - Accent4 2 4 8 5" xfId="11465" xr:uid="{00000000-0005-0000-0000-0000F02E0000}"/>
    <cellStyle name="20% - Accent4 2 4 8 6" xfId="16941" xr:uid="{00000000-0005-0000-0000-0000F12E0000}"/>
    <cellStyle name="20% - Accent4 2 4 8 7" xfId="22417" xr:uid="{00000000-0005-0000-0000-0000F22E0000}"/>
    <cellStyle name="20% - Accent4 2 4 8 8" xfId="34212" xr:uid="{00000000-0005-0000-0000-0000F32E0000}"/>
    <cellStyle name="20% - Accent4 2 4 8 9" xfId="39689" xr:uid="{00000000-0005-0000-0000-0000F42E0000}"/>
    <cellStyle name="20% - Accent4 2 4 9" xfId="1408" xr:uid="{00000000-0005-0000-0000-0000F52E0000}"/>
    <cellStyle name="20% - Accent4 2 4 9 10" xfId="45167" xr:uid="{00000000-0005-0000-0000-0000F62E0000}"/>
    <cellStyle name="20% - Accent4 2 4 9 11" xfId="50645" xr:uid="{00000000-0005-0000-0000-0000F72E0000}"/>
    <cellStyle name="20% - Accent4 2 4 9 2" xfId="3169" xr:uid="{00000000-0005-0000-0000-0000F82E0000}"/>
    <cellStyle name="20% - Accent4 2 4 9 2 2" xfId="8649" xr:uid="{00000000-0005-0000-0000-0000F92E0000}"/>
    <cellStyle name="20% - Accent4 2 4 9 2 3" xfId="14125" xr:uid="{00000000-0005-0000-0000-0000FA2E0000}"/>
    <cellStyle name="20% - Accent4 2 4 9 2 4" xfId="19601" xr:uid="{00000000-0005-0000-0000-0000FB2E0000}"/>
    <cellStyle name="20% - Accent4 2 4 9 2 5" xfId="25077" xr:uid="{00000000-0005-0000-0000-0000FC2E0000}"/>
    <cellStyle name="20% - Accent4 2 4 9 2 6" xfId="36873" xr:uid="{00000000-0005-0000-0000-0000FD2E0000}"/>
    <cellStyle name="20% - Accent4 2 4 9 2 7" xfId="42350" xr:uid="{00000000-0005-0000-0000-0000FE2E0000}"/>
    <cellStyle name="20% - Accent4 2 4 9 2 8" xfId="47827" xr:uid="{00000000-0005-0000-0000-0000FF2E0000}"/>
    <cellStyle name="20% - Accent4 2 4 9 2 9" xfId="53345" xr:uid="{00000000-0005-0000-0000-0000002F0000}"/>
    <cellStyle name="20% - Accent4 2 4 9 3" xfId="4941" xr:uid="{00000000-0005-0000-0000-0000012F0000}"/>
    <cellStyle name="20% - Accent4 2 4 9 3 2" xfId="10421" xr:uid="{00000000-0005-0000-0000-0000022F0000}"/>
    <cellStyle name="20% - Accent4 2 4 9 3 3" xfId="15897" xr:uid="{00000000-0005-0000-0000-0000032F0000}"/>
    <cellStyle name="20% - Accent4 2 4 9 3 4" xfId="21373" xr:uid="{00000000-0005-0000-0000-0000042F0000}"/>
    <cellStyle name="20% - Accent4 2 4 9 3 5" xfId="26849" xr:uid="{00000000-0005-0000-0000-0000052F0000}"/>
    <cellStyle name="20% - Accent4 2 4 9 3 6" xfId="38645" xr:uid="{00000000-0005-0000-0000-0000062F0000}"/>
    <cellStyle name="20% - Accent4 2 4 9 3 7" xfId="44122" xr:uid="{00000000-0005-0000-0000-0000072F0000}"/>
    <cellStyle name="20% - Accent4 2 4 9 3 8" xfId="49599" xr:uid="{00000000-0005-0000-0000-0000082F0000}"/>
    <cellStyle name="20% - Accent4 2 4 9 3 9" xfId="55117" xr:uid="{00000000-0005-0000-0000-0000092F0000}"/>
    <cellStyle name="20% - Accent4 2 4 9 4" xfId="5986" xr:uid="{00000000-0005-0000-0000-00000A2F0000}"/>
    <cellStyle name="20% - Accent4 2 4 9 5" xfId="11466" xr:uid="{00000000-0005-0000-0000-00000B2F0000}"/>
    <cellStyle name="20% - Accent4 2 4 9 6" xfId="16942" xr:uid="{00000000-0005-0000-0000-00000C2F0000}"/>
    <cellStyle name="20% - Accent4 2 4 9 7" xfId="22418" xr:uid="{00000000-0005-0000-0000-00000D2F0000}"/>
    <cellStyle name="20% - Accent4 2 4 9 8" xfId="34213" xr:uid="{00000000-0005-0000-0000-00000E2F0000}"/>
    <cellStyle name="20% - Accent4 2 4 9 9" xfId="39690" xr:uid="{00000000-0005-0000-0000-00000F2F0000}"/>
    <cellStyle name="20% - Accent4 2 5" xfId="208" xr:uid="{00000000-0005-0000-0000-0000102F0000}"/>
    <cellStyle name="20% - Accent4 2 5 10" xfId="1771" xr:uid="{00000000-0005-0000-0000-0000112F0000}"/>
    <cellStyle name="20% - Accent4 2 5 10 10" xfId="45169" xr:uid="{00000000-0005-0000-0000-0000122F0000}"/>
    <cellStyle name="20% - Accent4 2 5 10 11" xfId="50647" xr:uid="{00000000-0005-0000-0000-0000132F0000}"/>
    <cellStyle name="20% - Accent4 2 5 10 2" xfId="3532" xr:uid="{00000000-0005-0000-0000-0000142F0000}"/>
    <cellStyle name="20% - Accent4 2 5 10 2 2" xfId="9012" xr:uid="{00000000-0005-0000-0000-0000152F0000}"/>
    <cellStyle name="20% - Accent4 2 5 10 2 3" xfId="14488" xr:uid="{00000000-0005-0000-0000-0000162F0000}"/>
    <cellStyle name="20% - Accent4 2 5 10 2 4" xfId="19964" xr:uid="{00000000-0005-0000-0000-0000172F0000}"/>
    <cellStyle name="20% - Accent4 2 5 10 2 5" xfId="25440" xr:uid="{00000000-0005-0000-0000-0000182F0000}"/>
    <cellStyle name="20% - Accent4 2 5 10 2 6" xfId="37236" xr:uid="{00000000-0005-0000-0000-0000192F0000}"/>
    <cellStyle name="20% - Accent4 2 5 10 2 7" xfId="42713" xr:uid="{00000000-0005-0000-0000-00001A2F0000}"/>
    <cellStyle name="20% - Accent4 2 5 10 2 8" xfId="48190" xr:uid="{00000000-0005-0000-0000-00001B2F0000}"/>
    <cellStyle name="20% - Accent4 2 5 10 2 9" xfId="53708" xr:uid="{00000000-0005-0000-0000-00001C2F0000}"/>
    <cellStyle name="20% - Accent4 2 5 10 3" xfId="5304" xr:uid="{00000000-0005-0000-0000-00001D2F0000}"/>
    <cellStyle name="20% - Accent4 2 5 10 3 2" xfId="10784" xr:uid="{00000000-0005-0000-0000-00001E2F0000}"/>
    <cellStyle name="20% - Accent4 2 5 10 3 3" xfId="16260" xr:uid="{00000000-0005-0000-0000-00001F2F0000}"/>
    <cellStyle name="20% - Accent4 2 5 10 3 4" xfId="21736" xr:uid="{00000000-0005-0000-0000-0000202F0000}"/>
    <cellStyle name="20% - Accent4 2 5 10 3 5" xfId="27212" xr:uid="{00000000-0005-0000-0000-0000212F0000}"/>
    <cellStyle name="20% - Accent4 2 5 10 3 6" xfId="39008" xr:uid="{00000000-0005-0000-0000-0000222F0000}"/>
    <cellStyle name="20% - Accent4 2 5 10 3 7" xfId="44485" xr:uid="{00000000-0005-0000-0000-0000232F0000}"/>
    <cellStyle name="20% - Accent4 2 5 10 3 8" xfId="49962" xr:uid="{00000000-0005-0000-0000-0000242F0000}"/>
    <cellStyle name="20% - Accent4 2 5 10 3 9" xfId="55480" xr:uid="{00000000-0005-0000-0000-0000252F0000}"/>
    <cellStyle name="20% - Accent4 2 5 10 4" xfId="5988" xr:uid="{00000000-0005-0000-0000-0000262F0000}"/>
    <cellStyle name="20% - Accent4 2 5 10 5" xfId="11468" xr:uid="{00000000-0005-0000-0000-0000272F0000}"/>
    <cellStyle name="20% - Accent4 2 5 10 6" xfId="16944" xr:uid="{00000000-0005-0000-0000-0000282F0000}"/>
    <cellStyle name="20% - Accent4 2 5 10 7" xfId="22420" xr:uid="{00000000-0005-0000-0000-0000292F0000}"/>
    <cellStyle name="20% - Accent4 2 5 10 8" xfId="34215" xr:uid="{00000000-0005-0000-0000-00002A2F0000}"/>
    <cellStyle name="20% - Accent4 2 5 10 9" xfId="39692" xr:uid="{00000000-0005-0000-0000-00002B2F0000}"/>
    <cellStyle name="20% - Accent4 2 5 11" xfId="1944" xr:uid="{00000000-0005-0000-0000-00002C2F0000}"/>
    <cellStyle name="20% - Accent4 2 5 11 10" xfId="52121" xr:uid="{00000000-0005-0000-0000-00002D2F0000}"/>
    <cellStyle name="20% - Accent4 2 5 11 2" xfId="5476" xr:uid="{00000000-0005-0000-0000-00002E2F0000}"/>
    <cellStyle name="20% - Accent4 2 5 11 2 2" xfId="10956" xr:uid="{00000000-0005-0000-0000-00002F2F0000}"/>
    <cellStyle name="20% - Accent4 2 5 11 2 3" xfId="16432" xr:uid="{00000000-0005-0000-0000-0000302F0000}"/>
    <cellStyle name="20% - Accent4 2 5 11 2 4" xfId="21908" xr:uid="{00000000-0005-0000-0000-0000312F0000}"/>
    <cellStyle name="20% - Accent4 2 5 11 2 5" xfId="27384" xr:uid="{00000000-0005-0000-0000-0000322F0000}"/>
    <cellStyle name="20% - Accent4 2 5 11 2 6" xfId="39180" xr:uid="{00000000-0005-0000-0000-0000332F0000}"/>
    <cellStyle name="20% - Accent4 2 5 11 2 7" xfId="44657" xr:uid="{00000000-0005-0000-0000-0000342F0000}"/>
    <cellStyle name="20% - Accent4 2 5 11 2 8" xfId="50134" xr:uid="{00000000-0005-0000-0000-0000352F0000}"/>
    <cellStyle name="20% - Accent4 2 5 11 2 9" xfId="55652" xr:uid="{00000000-0005-0000-0000-0000362F0000}"/>
    <cellStyle name="20% - Accent4 2 5 11 3" xfId="7425" xr:uid="{00000000-0005-0000-0000-0000372F0000}"/>
    <cellStyle name="20% - Accent4 2 5 11 4" xfId="12901" xr:uid="{00000000-0005-0000-0000-0000382F0000}"/>
    <cellStyle name="20% - Accent4 2 5 11 5" xfId="18377" xr:uid="{00000000-0005-0000-0000-0000392F0000}"/>
    <cellStyle name="20% - Accent4 2 5 11 6" xfId="23853" xr:uid="{00000000-0005-0000-0000-00003A2F0000}"/>
    <cellStyle name="20% - Accent4 2 5 11 7" xfId="35649" xr:uid="{00000000-0005-0000-0000-00003B2F0000}"/>
    <cellStyle name="20% - Accent4 2 5 11 8" xfId="41126" xr:uid="{00000000-0005-0000-0000-00003C2F0000}"/>
    <cellStyle name="20% - Accent4 2 5 11 9" xfId="46603" xr:uid="{00000000-0005-0000-0000-00003D2F0000}"/>
    <cellStyle name="20% - Accent4 2 5 12" xfId="3774" xr:uid="{00000000-0005-0000-0000-00003E2F0000}"/>
    <cellStyle name="20% - Accent4 2 5 12 2" xfId="9254" xr:uid="{00000000-0005-0000-0000-00003F2F0000}"/>
    <cellStyle name="20% - Accent4 2 5 12 3" xfId="14730" xr:uid="{00000000-0005-0000-0000-0000402F0000}"/>
    <cellStyle name="20% - Accent4 2 5 12 4" xfId="20206" xr:uid="{00000000-0005-0000-0000-0000412F0000}"/>
    <cellStyle name="20% - Accent4 2 5 12 5" xfId="25682" xr:uid="{00000000-0005-0000-0000-0000422F0000}"/>
    <cellStyle name="20% - Accent4 2 5 12 6" xfId="37478" xr:uid="{00000000-0005-0000-0000-0000432F0000}"/>
    <cellStyle name="20% - Accent4 2 5 12 7" xfId="42955" xr:uid="{00000000-0005-0000-0000-0000442F0000}"/>
    <cellStyle name="20% - Accent4 2 5 12 8" xfId="48432" xr:uid="{00000000-0005-0000-0000-0000452F0000}"/>
    <cellStyle name="20% - Accent4 2 5 12 9" xfId="53950" xr:uid="{00000000-0005-0000-0000-0000462F0000}"/>
    <cellStyle name="20% - Accent4 2 5 13" xfId="5987" xr:uid="{00000000-0005-0000-0000-0000472F0000}"/>
    <cellStyle name="20% - Accent4 2 5 14" xfId="11467" xr:uid="{00000000-0005-0000-0000-0000482F0000}"/>
    <cellStyle name="20% - Accent4 2 5 15" xfId="16943" xr:uid="{00000000-0005-0000-0000-0000492F0000}"/>
    <cellStyle name="20% - Accent4 2 5 16" xfId="22419" xr:uid="{00000000-0005-0000-0000-00004A2F0000}"/>
    <cellStyle name="20% - Accent4 2 5 17" xfId="29097" xr:uid="{00000000-0005-0000-0000-00004B2F0000}"/>
    <cellStyle name="20% - Accent4 2 5 18" xfId="34214" xr:uid="{00000000-0005-0000-0000-00004C2F0000}"/>
    <cellStyle name="20% - Accent4 2 5 19" xfId="39691" xr:uid="{00000000-0005-0000-0000-00004D2F0000}"/>
    <cellStyle name="20% - Accent4 2 5 2" xfId="315" xr:uid="{00000000-0005-0000-0000-00004E2F0000}"/>
    <cellStyle name="20% - Accent4 2 5 2 10" xfId="39693" xr:uid="{00000000-0005-0000-0000-00004F2F0000}"/>
    <cellStyle name="20% - Accent4 2 5 2 11" xfId="45170" xr:uid="{00000000-0005-0000-0000-0000502F0000}"/>
    <cellStyle name="20% - Accent4 2 5 2 12" xfId="50648" xr:uid="{00000000-0005-0000-0000-0000512F0000}"/>
    <cellStyle name="20% - Accent4 2 5 2 2" xfId="2114" xr:uid="{00000000-0005-0000-0000-0000522F0000}"/>
    <cellStyle name="20% - Accent4 2 5 2 2 10" xfId="52290" xr:uid="{00000000-0005-0000-0000-0000532F0000}"/>
    <cellStyle name="20% - Accent4 2 5 2 2 2" xfId="7594" xr:uid="{00000000-0005-0000-0000-0000542F0000}"/>
    <cellStyle name="20% - Accent4 2 5 2 2 3" xfId="13070" xr:uid="{00000000-0005-0000-0000-0000552F0000}"/>
    <cellStyle name="20% - Accent4 2 5 2 2 4" xfId="18546" xr:uid="{00000000-0005-0000-0000-0000562F0000}"/>
    <cellStyle name="20% - Accent4 2 5 2 2 5" xfId="24022" xr:uid="{00000000-0005-0000-0000-0000572F0000}"/>
    <cellStyle name="20% - Accent4 2 5 2 2 6" xfId="29099" xr:uid="{00000000-0005-0000-0000-0000582F0000}"/>
    <cellStyle name="20% - Accent4 2 5 2 2 7" xfId="35818" xr:uid="{00000000-0005-0000-0000-0000592F0000}"/>
    <cellStyle name="20% - Accent4 2 5 2 2 8" xfId="41295" xr:uid="{00000000-0005-0000-0000-00005A2F0000}"/>
    <cellStyle name="20% - Accent4 2 5 2 2 9" xfId="46772" xr:uid="{00000000-0005-0000-0000-00005B2F0000}"/>
    <cellStyle name="20% - Accent4 2 5 2 3" xfId="3877" xr:uid="{00000000-0005-0000-0000-00005C2F0000}"/>
    <cellStyle name="20% - Accent4 2 5 2 3 2" xfId="9357" xr:uid="{00000000-0005-0000-0000-00005D2F0000}"/>
    <cellStyle name="20% - Accent4 2 5 2 3 3" xfId="14833" xr:uid="{00000000-0005-0000-0000-00005E2F0000}"/>
    <cellStyle name="20% - Accent4 2 5 2 3 4" xfId="20309" xr:uid="{00000000-0005-0000-0000-00005F2F0000}"/>
    <cellStyle name="20% - Accent4 2 5 2 3 5" xfId="25785" xr:uid="{00000000-0005-0000-0000-0000602F0000}"/>
    <cellStyle name="20% - Accent4 2 5 2 3 6" xfId="37581" xr:uid="{00000000-0005-0000-0000-0000612F0000}"/>
    <cellStyle name="20% - Accent4 2 5 2 3 7" xfId="43058" xr:uid="{00000000-0005-0000-0000-0000622F0000}"/>
    <cellStyle name="20% - Accent4 2 5 2 3 8" xfId="48535" xr:uid="{00000000-0005-0000-0000-0000632F0000}"/>
    <cellStyle name="20% - Accent4 2 5 2 3 9" xfId="54053" xr:uid="{00000000-0005-0000-0000-0000642F0000}"/>
    <cellStyle name="20% - Accent4 2 5 2 4" xfId="5989" xr:uid="{00000000-0005-0000-0000-0000652F0000}"/>
    <cellStyle name="20% - Accent4 2 5 2 5" xfId="11469" xr:uid="{00000000-0005-0000-0000-0000662F0000}"/>
    <cellStyle name="20% - Accent4 2 5 2 6" xfId="16945" xr:uid="{00000000-0005-0000-0000-0000672F0000}"/>
    <cellStyle name="20% - Accent4 2 5 2 7" xfId="22421" xr:uid="{00000000-0005-0000-0000-0000682F0000}"/>
    <cellStyle name="20% - Accent4 2 5 2 8" xfId="29098" xr:uid="{00000000-0005-0000-0000-0000692F0000}"/>
    <cellStyle name="20% - Accent4 2 5 2 9" xfId="34216" xr:uid="{00000000-0005-0000-0000-00006A2F0000}"/>
    <cellStyle name="20% - Accent4 2 5 20" xfId="45168" xr:uid="{00000000-0005-0000-0000-00006B2F0000}"/>
    <cellStyle name="20% - Accent4 2 5 21" xfId="50646" xr:uid="{00000000-0005-0000-0000-00006C2F0000}"/>
    <cellStyle name="20% - Accent4 2 5 3" xfId="516" xr:uid="{00000000-0005-0000-0000-00006D2F0000}"/>
    <cellStyle name="20% - Accent4 2 5 3 10" xfId="39694" xr:uid="{00000000-0005-0000-0000-00006E2F0000}"/>
    <cellStyle name="20% - Accent4 2 5 3 11" xfId="45171" xr:uid="{00000000-0005-0000-0000-00006F2F0000}"/>
    <cellStyle name="20% - Accent4 2 5 3 12" xfId="50649" xr:uid="{00000000-0005-0000-0000-0000702F0000}"/>
    <cellStyle name="20% - Accent4 2 5 3 2" xfId="2277" xr:uid="{00000000-0005-0000-0000-0000712F0000}"/>
    <cellStyle name="20% - Accent4 2 5 3 2 2" xfId="7757" xr:uid="{00000000-0005-0000-0000-0000722F0000}"/>
    <cellStyle name="20% - Accent4 2 5 3 2 3" xfId="13233" xr:uid="{00000000-0005-0000-0000-0000732F0000}"/>
    <cellStyle name="20% - Accent4 2 5 3 2 4" xfId="18709" xr:uid="{00000000-0005-0000-0000-0000742F0000}"/>
    <cellStyle name="20% - Accent4 2 5 3 2 5" xfId="24185" xr:uid="{00000000-0005-0000-0000-0000752F0000}"/>
    <cellStyle name="20% - Accent4 2 5 3 2 6" xfId="35981" xr:uid="{00000000-0005-0000-0000-0000762F0000}"/>
    <cellStyle name="20% - Accent4 2 5 3 2 7" xfId="41458" xr:uid="{00000000-0005-0000-0000-0000772F0000}"/>
    <cellStyle name="20% - Accent4 2 5 3 2 8" xfId="46935" xr:uid="{00000000-0005-0000-0000-0000782F0000}"/>
    <cellStyle name="20% - Accent4 2 5 3 2 9" xfId="52453" xr:uid="{00000000-0005-0000-0000-0000792F0000}"/>
    <cellStyle name="20% - Accent4 2 5 3 3" xfId="4049" xr:uid="{00000000-0005-0000-0000-00007A2F0000}"/>
    <cellStyle name="20% - Accent4 2 5 3 3 2" xfId="9529" xr:uid="{00000000-0005-0000-0000-00007B2F0000}"/>
    <cellStyle name="20% - Accent4 2 5 3 3 3" xfId="15005" xr:uid="{00000000-0005-0000-0000-00007C2F0000}"/>
    <cellStyle name="20% - Accent4 2 5 3 3 4" xfId="20481" xr:uid="{00000000-0005-0000-0000-00007D2F0000}"/>
    <cellStyle name="20% - Accent4 2 5 3 3 5" xfId="25957" xr:uid="{00000000-0005-0000-0000-00007E2F0000}"/>
    <cellStyle name="20% - Accent4 2 5 3 3 6" xfId="37753" xr:uid="{00000000-0005-0000-0000-00007F2F0000}"/>
    <cellStyle name="20% - Accent4 2 5 3 3 7" xfId="43230" xr:uid="{00000000-0005-0000-0000-0000802F0000}"/>
    <cellStyle name="20% - Accent4 2 5 3 3 8" xfId="48707" xr:uid="{00000000-0005-0000-0000-0000812F0000}"/>
    <cellStyle name="20% - Accent4 2 5 3 3 9" xfId="54225" xr:uid="{00000000-0005-0000-0000-0000822F0000}"/>
    <cellStyle name="20% - Accent4 2 5 3 4" xfId="5990" xr:uid="{00000000-0005-0000-0000-0000832F0000}"/>
    <cellStyle name="20% - Accent4 2 5 3 5" xfId="11470" xr:uid="{00000000-0005-0000-0000-0000842F0000}"/>
    <cellStyle name="20% - Accent4 2 5 3 6" xfId="16946" xr:uid="{00000000-0005-0000-0000-0000852F0000}"/>
    <cellStyle name="20% - Accent4 2 5 3 7" xfId="22422" xr:uid="{00000000-0005-0000-0000-0000862F0000}"/>
    <cellStyle name="20% - Accent4 2 5 3 8" xfId="29100" xr:uid="{00000000-0005-0000-0000-0000872F0000}"/>
    <cellStyle name="20% - Accent4 2 5 3 9" xfId="34217" xr:uid="{00000000-0005-0000-0000-0000882F0000}"/>
    <cellStyle name="20% - Accent4 2 5 4" xfId="688" xr:uid="{00000000-0005-0000-0000-0000892F0000}"/>
    <cellStyle name="20% - Accent4 2 5 4 10" xfId="45172" xr:uid="{00000000-0005-0000-0000-00008A2F0000}"/>
    <cellStyle name="20% - Accent4 2 5 4 11" xfId="50650" xr:uid="{00000000-0005-0000-0000-00008B2F0000}"/>
    <cellStyle name="20% - Accent4 2 5 4 2" xfId="2449" xr:uid="{00000000-0005-0000-0000-00008C2F0000}"/>
    <cellStyle name="20% - Accent4 2 5 4 2 2" xfId="7929" xr:uid="{00000000-0005-0000-0000-00008D2F0000}"/>
    <cellStyle name="20% - Accent4 2 5 4 2 3" xfId="13405" xr:uid="{00000000-0005-0000-0000-00008E2F0000}"/>
    <cellStyle name="20% - Accent4 2 5 4 2 4" xfId="18881" xr:uid="{00000000-0005-0000-0000-00008F2F0000}"/>
    <cellStyle name="20% - Accent4 2 5 4 2 5" xfId="24357" xr:uid="{00000000-0005-0000-0000-0000902F0000}"/>
    <cellStyle name="20% - Accent4 2 5 4 2 6" xfId="36153" xr:uid="{00000000-0005-0000-0000-0000912F0000}"/>
    <cellStyle name="20% - Accent4 2 5 4 2 7" xfId="41630" xr:uid="{00000000-0005-0000-0000-0000922F0000}"/>
    <cellStyle name="20% - Accent4 2 5 4 2 8" xfId="47107" xr:uid="{00000000-0005-0000-0000-0000932F0000}"/>
    <cellStyle name="20% - Accent4 2 5 4 2 9" xfId="52625" xr:uid="{00000000-0005-0000-0000-0000942F0000}"/>
    <cellStyle name="20% - Accent4 2 5 4 3" xfId="4221" xr:uid="{00000000-0005-0000-0000-0000952F0000}"/>
    <cellStyle name="20% - Accent4 2 5 4 3 2" xfId="9701" xr:uid="{00000000-0005-0000-0000-0000962F0000}"/>
    <cellStyle name="20% - Accent4 2 5 4 3 3" xfId="15177" xr:uid="{00000000-0005-0000-0000-0000972F0000}"/>
    <cellStyle name="20% - Accent4 2 5 4 3 4" xfId="20653" xr:uid="{00000000-0005-0000-0000-0000982F0000}"/>
    <cellStyle name="20% - Accent4 2 5 4 3 5" xfId="26129" xr:uid="{00000000-0005-0000-0000-0000992F0000}"/>
    <cellStyle name="20% - Accent4 2 5 4 3 6" xfId="37925" xr:uid="{00000000-0005-0000-0000-00009A2F0000}"/>
    <cellStyle name="20% - Accent4 2 5 4 3 7" xfId="43402" xr:uid="{00000000-0005-0000-0000-00009B2F0000}"/>
    <cellStyle name="20% - Accent4 2 5 4 3 8" xfId="48879" xr:uid="{00000000-0005-0000-0000-00009C2F0000}"/>
    <cellStyle name="20% - Accent4 2 5 4 3 9" xfId="54397" xr:uid="{00000000-0005-0000-0000-00009D2F0000}"/>
    <cellStyle name="20% - Accent4 2 5 4 4" xfId="5991" xr:uid="{00000000-0005-0000-0000-00009E2F0000}"/>
    <cellStyle name="20% - Accent4 2 5 4 5" xfId="11471" xr:uid="{00000000-0005-0000-0000-00009F2F0000}"/>
    <cellStyle name="20% - Accent4 2 5 4 6" xfId="16947" xr:uid="{00000000-0005-0000-0000-0000A02F0000}"/>
    <cellStyle name="20% - Accent4 2 5 4 7" xfId="22423" xr:uid="{00000000-0005-0000-0000-0000A12F0000}"/>
    <cellStyle name="20% - Accent4 2 5 4 8" xfId="34218" xr:uid="{00000000-0005-0000-0000-0000A22F0000}"/>
    <cellStyle name="20% - Accent4 2 5 4 9" xfId="39695" xr:uid="{00000000-0005-0000-0000-0000A32F0000}"/>
    <cellStyle name="20% - Accent4 2 5 5" xfId="860" xr:uid="{00000000-0005-0000-0000-0000A42F0000}"/>
    <cellStyle name="20% - Accent4 2 5 5 10" xfId="45173" xr:uid="{00000000-0005-0000-0000-0000A52F0000}"/>
    <cellStyle name="20% - Accent4 2 5 5 11" xfId="50651" xr:uid="{00000000-0005-0000-0000-0000A62F0000}"/>
    <cellStyle name="20% - Accent4 2 5 5 2" xfId="2621" xr:uid="{00000000-0005-0000-0000-0000A72F0000}"/>
    <cellStyle name="20% - Accent4 2 5 5 2 2" xfId="8101" xr:uid="{00000000-0005-0000-0000-0000A82F0000}"/>
    <cellStyle name="20% - Accent4 2 5 5 2 3" xfId="13577" xr:uid="{00000000-0005-0000-0000-0000A92F0000}"/>
    <cellStyle name="20% - Accent4 2 5 5 2 4" xfId="19053" xr:uid="{00000000-0005-0000-0000-0000AA2F0000}"/>
    <cellStyle name="20% - Accent4 2 5 5 2 5" xfId="24529" xr:uid="{00000000-0005-0000-0000-0000AB2F0000}"/>
    <cellStyle name="20% - Accent4 2 5 5 2 6" xfId="36325" xr:uid="{00000000-0005-0000-0000-0000AC2F0000}"/>
    <cellStyle name="20% - Accent4 2 5 5 2 7" xfId="41802" xr:uid="{00000000-0005-0000-0000-0000AD2F0000}"/>
    <cellStyle name="20% - Accent4 2 5 5 2 8" xfId="47279" xr:uid="{00000000-0005-0000-0000-0000AE2F0000}"/>
    <cellStyle name="20% - Accent4 2 5 5 2 9" xfId="52797" xr:uid="{00000000-0005-0000-0000-0000AF2F0000}"/>
    <cellStyle name="20% - Accent4 2 5 5 3" xfId="4393" xr:uid="{00000000-0005-0000-0000-0000B02F0000}"/>
    <cellStyle name="20% - Accent4 2 5 5 3 2" xfId="9873" xr:uid="{00000000-0005-0000-0000-0000B12F0000}"/>
    <cellStyle name="20% - Accent4 2 5 5 3 3" xfId="15349" xr:uid="{00000000-0005-0000-0000-0000B22F0000}"/>
    <cellStyle name="20% - Accent4 2 5 5 3 4" xfId="20825" xr:uid="{00000000-0005-0000-0000-0000B32F0000}"/>
    <cellStyle name="20% - Accent4 2 5 5 3 5" xfId="26301" xr:uid="{00000000-0005-0000-0000-0000B42F0000}"/>
    <cellStyle name="20% - Accent4 2 5 5 3 6" xfId="38097" xr:uid="{00000000-0005-0000-0000-0000B52F0000}"/>
    <cellStyle name="20% - Accent4 2 5 5 3 7" xfId="43574" xr:uid="{00000000-0005-0000-0000-0000B62F0000}"/>
    <cellStyle name="20% - Accent4 2 5 5 3 8" xfId="49051" xr:uid="{00000000-0005-0000-0000-0000B72F0000}"/>
    <cellStyle name="20% - Accent4 2 5 5 3 9" xfId="54569" xr:uid="{00000000-0005-0000-0000-0000B82F0000}"/>
    <cellStyle name="20% - Accent4 2 5 5 4" xfId="5992" xr:uid="{00000000-0005-0000-0000-0000B92F0000}"/>
    <cellStyle name="20% - Accent4 2 5 5 5" xfId="11472" xr:uid="{00000000-0005-0000-0000-0000BA2F0000}"/>
    <cellStyle name="20% - Accent4 2 5 5 6" xfId="16948" xr:uid="{00000000-0005-0000-0000-0000BB2F0000}"/>
    <cellStyle name="20% - Accent4 2 5 5 7" xfId="22424" xr:uid="{00000000-0005-0000-0000-0000BC2F0000}"/>
    <cellStyle name="20% - Accent4 2 5 5 8" xfId="34219" xr:uid="{00000000-0005-0000-0000-0000BD2F0000}"/>
    <cellStyle name="20% - Accent4 2 5 5 9" xfId="39696" xr:uid="{00000000-0005-0000-0000-0000BE2F0000}"/>
    <cellStyle name="20% - Accent4 2 5 6" xfId="1066" xr:uid="{00000000-0005-0000-0000-0000BF2F0000}"/>
    <cellStyle name="20% - Accent4 2 5 6 10" xfId="45174" xr:uid="{00000000-0005-0000-0000-0000C02F0000}"/>
    <cellStyle name="20% - Accent4 2 5 6 11" xfId="50652" xr:uid="{00000000-0005-0000-0000-0000C12F0000}"/>
    <cellStyle name="20% - Accent4 2 5 6 2" xfId="2827" xr:uid="{00000000-0005-0000-0000-0000C22F0000}"/>
    <cellStyle name="20% - Accent4 2 5 6 2 2" xfId="8307" xr:uid="{00000000-0005-0000-0000-0000C32F0000}"/>
    <cellStyle name="20% - Accent4 2 5 6 2 3" xfId="13783" xr:uid="{00000000-0005-0000-0000-0000C42F0000}"/>
    <cellStyle name="20% - Accent4 2 5 6 2 4" xfId="19259" xr:uid="{00000000-0005-0000-0000-0000C52F0000}"/>
    <cellStyle name="20% - Accent4 2 5 6 2 5" xfId="24735" xr:uid="{00000000-0005-0000-0000-0000C62F0000}"/>
    <cellStyle name="20% - Accent4 2 5 6 2 6" xfId="36531" xr:uid="{00000000-0005-0000-0000-0000C72F0000}"/>
    <cellStyle name="20% - Accent4 2 5 6 2 7" xfId="42008" xr:uid="{00000000-0005-0000-0000-0000C82F0000}"/>
    <cellStyle name="20% - Accent4 2 5 6 2 8" xfId="47485" xr:uid="{00000000-0005-0000-0000-0000C92F0000}"/>
    <cellStyle name="20% - Accent4 2 5 6 2 9" xfId="53003" xr:uid="{00000000-0005-0000-0000-0000CA2F0000}"/>
    <cellStyle name="20% - Accent4 2 5 6 3" xfId="4599" xr:uid="{00000000-0005-0000-0000-0000CB2F0000}"/>
    <cellStyle name="20% - Accent4 2 5 6 3 2" xfId="10079" xr:uid="{00000000-0005-0000-0000-0000CC2F0000}"/>
    <cellStyle name="20% - Accent4 2 5 6 3 3" xfId="15555" xr:uid="{00000000-0005-0000-0000-0000CD2F0000}"/>
    <cellStyle name="20% - Accent4 2 5 6 3 4" xfId="21031" xr:uid="{00000000-0005-0000-0000-0000CE2F0000}"/>
    <cellStyle name="20% - Accent4 2 5 6 3 5" xfId="26507" xr:uid="{00000000-0005-0000-0000-0000CF2F0000}"/>
    <cellStyle name="20% - Accent4 2 5 6 3 6" xfId="38303" xr:uid="{00000000-0005-0000-0000-0000D02F0000}"/>
    <cellStyle name="20% - Accent4 2 5 6 3 7" xfId="43780" xr:uid="{00000000-0005-0000-0000-0000D12F0000}"/>
    <cellStyle name="20% - Accent4 2 5 6 3 8" xfId="49257" xr:uid="{00000000-0005-0000-0000-0000D22F0000}"/>
    <cellStyle name="20% - Accent4 2 5 6 3 9" xfId="54775" xr:uid="{00000000-0005-0000-0000-0000D32F0000}"/>
    <cellStyle name="20% - Accent4 2 5 6 4" xfId="5993" xr:uid="{00000000-0005-0000-0000-0000D42F0000}"/>
    <cellStyle name="20% - Accent4 2 5 6 5" xfId="11473" xr:uid="{00000000-0005-0000-0000-0000D52F0000}"/>
    <cellStyle name="20% - Accent4 2 5 6 6" xfId="16949" xr:uid="{00000000-0005-0000-0000-0000D62F0000}"/>
    <cellStyle name="20% - Accent4 2 5 6 7" xfId="22425" xr:uid="{00000000-0005-0000-0000-0000D72F0000}"/>
    <cellStyle name="20% - Accent4 2 5 6 8" xfId="34220" xr:uid="{00000000-0005-0000-0000-0000D82F0000}"/>
    <cellStyle name="20% - Accent4 2 5 6 9" xfId="39697" xr:uid="{00000000-0005-0000-0000-0000D92F0000}"/>
    <cellStyle name="20% - Accent4 2 5 7" xfId="1238" xr:uid="{00000000-0005-0000-0000-0000DA2F0000}"/>
    <cellStyle name="20% - Accent4 2 5 7 10" xfId="45175" xr:uid="{00000000-0005-0000-0000-0000DB2F0000}"/>
    <cellStyle name="20% - Accent4 2 5 7 11" xfId="50653" xr:uid="{00000000-0005-0000-0000-0000DC2F0000}"/>
    <cellStyle name="20% - Accent4 2 5 7 2" xfId="2999" xr:uid="{00000000-0005-0000-0000-0000DD2F0000}"/>
    <cellStyle name="20% - Accent4 2 5 7 2 2" xfId="8479" xr:uid="{00000000-0005-0000-0000-0000DE2F0000}"/>
    <cellStyle name="20% - Accent4 2 5 7 2 3" xfId="13955" xr:uid="{00000000-0005-0000-0000-0000DF2F0000}"/>
    <cellStyle name="20% - Accent4 2 5 7 2 4" xfId="19431" xr:uid="{00000000-0005-0000-0000-0000E02F0000}"/>
    <cellStyle name="20% - Accent4 2 5 7 2 5" xfId="24907" xr:uid="{00000000-0005-0000-0000-0000E12F0000}"/>
    <cellStyle name="20% - Accent4 2 5 7 2 6" xfId="36703" xr:uid="{00000000-0005-0000-0000-0000E22F0000}"/>
    <cellStyle name="20% - Accent4 2 5 7 2 7" xfId="42180" xr:uid="{00000000-0005-0000-0000-0000E32F0000}"/>
    <cellStyle name="20% - Accent4 2 5 7 2 8" xfId="47657" xr:uid="{00000000-0005-0000-0000-0000E42F0000}"/>
    <cellStyle name="20% - Accent4 2 5 7 2 9" xfId="53175" xr:uid="{00000000-0005-0000-0000-0000E52F0000}"/>
    <cellStyle name="20% - Accent4 2 5 7 3" xfId="4771" xr:uid="{00000000-0005-0000-0000-0000E62F0000}"/>
    <cellStyle name="20% - Accent4 2 5 7 3 2" xfId="10251" xr:uid="{00000000-0005-0000-0000-0000E72F0000}"/>
    <cellStyle name="20% - Accent4 2 5 7 3 3" xfId="15727" xr:uid="{00000000-0005-0000-0000-0000E82F0000}"/>
    <cellStyle name="20% - Accent4 2 5 7 3 4" xfId="21203" xr:uid="{00000000-0005-0000-0000-0000E92F0000}"/>
    <cellStyle name="20% - Accent4 2 5 7 3 5" xfId="26679" xr:uid="{00000000-0005-0000-0000-0000EA2F0000}"/>
    <cellStyle name="20% - Accent4 2 5 7 3 6" xfId="38475" xr:uid="{00000000-0005-0000-0000-0000EB2F0000}"/>
    <cellStyle name="20% - Accent4 2 5 7 3 7" xfId="43952" xr:uid="{00000000-0005-0000-0000-0000EC2F0000}"/>
    <cellStyle name="20% - Accent4 2 5 7 3 8" xfId="49429" xr:uid="{00000000-0005-0000-0000-0000ED2F0000}"/>
    <cellStyle name="20% - Accent4 2 5 7 3 9" xfId="54947" xr:uid="{00000000-0005-0000-0000-0000EE2F0000}"/>
    <cellStyle name="20% - Accent4 2 5 7 4" xfId="5994" xr:uid="{00000000-0005-0000-0000-0000EF2F0000}"/>
    <cellStyle name="20% - Accent4 2 5 7 5" xfId="11474" xr:uid="{00000000-0005-0000-0000-0000F02F0000}"/>
    <cellStyle name="20% - Accent4 2 5 7 6" xfId="16950" xr:uid="{00000000-0005-0000-0000-0000F12F0000}"/>
    <cellStyle name="20% - Accent4 2 5 7 7" xfId="22426" xr:uid="{00000000-0005-0000-0000-0000F22F0000}"/>
    <cellStyle name="20% - Accent4 2 5 7 8" xfId="34221" xr:uid="{00000000-0005-0000-0000-0000F32F0000}"/>
    <cellStyle name="20% - Accent4 2 5 7 9" xfId="39698" xr:uid="{00000000-0005-0000-0000-0000F42F0000}"/>
    <cellStyle name="20% - Accent4 2 5 8" xfId="1410" xr:uid="{00000000-0005-0000-0000-0000F52F0000}"/>
    <cellStyle name="20% - Accent4 2 5 8 10" xfId="45176" xr:uid="{00000000-0005-0000-0000-0000F62F0000}"/>
    <cellStyle name="20% - Accent4 2 5 8 11" xfId="50654" xr:uid="{00000000-0005-0000-0000-0000F72F0000}"/>
    <cellStyle name="20% - Accent4 2 5 8 2" xfId="3171" xr:uid="{00000000-0005-0000-0000-0000F82F0000}"/>
    <cellStyle name="20% - Accent4 2 5 8 2 2" xfId="8651" xr:uid="{00000000-0005-0000-0000-0000F92F0000}"/>
    <cellStyle name="20% - Accent4 2 5 8 2 3" xfId="14127" xr:uid="{00000000-0005-0000-0000-0000FA2F0000}"/>
    <cellStyle name="20% - Accent4 2 5 8 2 4" xfId="19603" xr:uid="{00000000-0005-0000-0000-0000FB2F0000}"/>
    <cellStyle name="20% - Accent4 2 5 8 2 5" xfId="25079" xr:uid="{00000000-0005-0000-0000-0000FC2F0000}"/>
    <cellStyle name="20% - Accent4 2 5 8 2 6" xfId="36875" xr:uid="{00000000-0005-0000-0000-0000FD2F0000}"/>
    <cellStyle name="20% - Accent4 2 5 8 2 7" xfId="42352" xr:uid="{00000000-0005-0000-0000-0000FE2F0000}"/>
    <cellStyle name="20% - Accent4 2 5 8 2 8" xfId="47829" xr:uid="{00000000-0005-0000-0000-0000FF2F0000}"/>
    <cellStyle name="20% - Accent4 2 5 8 2 9" xfId="53347" xr:uid="{00000000-0005-0000-0000-000000300000}"/>
    <cellStyle name="20% - Accent4 2 5 8 3" xfId="4943" xr:uid="{00000000-0005-0000-0000-000001300000}"/>
    <cellStyle name="20% - Accent4 2 5 8 3 2" xfId="10423" xr:uid="{00000000-0005-0000-0000-000002300000}"/>
    <cellStyle name="20% - Accent4 2 5 8 3 3" xfId="15899" xr:uid="{00000000-0005-0000-0000-000003300000}"/>
    <cellStyle name="20% - Accent4 2 5 8 3 4" xfId="21375" xr:uid="{00000000-0005-0000-0000-000004300000}"/>
    <cellStyle name="20% - Accent4 2 5 8 3 5" xfId="26851" xr:uid="{00000000-0005-0000-0000-000005300000}"/>
    <cellStyle name="20% - Accent4 2 5 8 3 6" xfId="38647" xr:uid="{00000000-0005-0000-0000-000006300000}"/>
    <cellStyle name="20% - Accent4 2 5 8 3 7" xfId="44124" xr:uid="{00000000-0005-0000-0000-000007300000}"/>
    <cellStyle name="20% - Accent4 2 5 8 3 8" xfId="49601" xr:uid="{00000000-0005-0000-0000-000008300000}"/>
    <cellStyle name="20% - Accent4 2 5 8 3 9" xfId="55119" xr:uid="{00000000-0005-0000-0000-000009300000}"/>
    <cellStyle name="20% - Accent4 2 5 8 4" xfId="5995" xr:uid="{00000000-0005-0000-0000-00000A300000}"/>
    <cellStyle name="20% - Accent4 2 5 8 5" xfId="11475" xr:uid="{00000000-0005-0000-0000-00000B300000}"/>
    <cellStyle name="20% - Accent4 2 5 8 6" xfId="16951" xr:uid="{00000000-0005-0000-0000-00000C300000}"/>
    <cellStyle name="20% - Accent4 2 5 8 7" xfId="22427" xr:uid="{00000000-0005-0000-0000-00000D300000}"/>
    <cellStyle name="20% - Accent4 2 5 8 8" xfId="34222" xr:uid="{00000000-0005-0000-0000-00000E300000}"/>
    <cellStyle name="20% - Accent4 2 5 8 9" xfId="39699" xr:uid="{00000000-0005-0000-0000-00000F300000}"/>
    <cellStyle name="20% - Accent4 2 5 9" xfId="1582" xr:uid="{00000000-0005-0000-0000-000010300000}"/>
    <cellStyle name="20% - Accent4 2 5 9 10" xfId="45177" xr:uid="{00000000-0005-0000-0000-000011300000}"/>
    <cellStyle name="20% - Accent4 2 5 9 11" xfId="50655" xr:uid="{00000000-0005-0000-0000-000012300000}"/>
    <cellStyle name="20% - Accent4 2 5 9 2" xfId="3343" xr:uid="{00000000-0005-0000-0000-000013300000}"/>
    <cellStyle name="20% - Accent4 2 5 9 2 2" xfId="8823" xr:uid="{00000000-0005-0000-0000-000014300000}"/>
    <cellStyle name="20% - Accent4 2 5 9 2 3" xfId="14299" xr:uid="{00000000-0005-0000-0000-000015300000}"/>
    <cellStyle name="20% - Accent4 2 5 9 2 4" xfId="19775" xr:uid="{00000000-0005-0000-0000-000016300000}"/>
    <cellStyle name="20% - Accent4 2 5 9 2 5" xfId="25251" xr:uid="{00000000-0005-0000-0000-000017300000}"/>
    <cellStyle name="20% - Accent4 2 5 9 2 6" xfId="37047" xr:uid="{00000000-0005-0000-0000-000018300000}"/>
    <cellStyle name="20% - Accent4 2 5 9 2 7" xfId="42524" xr:uid="{00000000-0005-0000-0000-000019300000}"/>
    <cellStyle name="20% - Accent4 2 5 9 2 8" xfId="48001" xr:uid="{00000000-0005-0000-0000-00001A300000}"/>
    <cellStyle name="20% - Accent4 2 5 9 2 9" xfId="53519" xr:uid="{00000000-0005-0000-0000-00001B300000}"/>
    <cellStyle name="20% - Accent4 2 5 9 3" xfId="5115" xr:uid="{00000000-0005-0000-0000-00001C300000}"/>
    <cellStyle name="20% - Accent4 2 5 9 3 2" xfId="10595" xr:uid="{00000000-0005-0000-0000-00001D300000}"/>
    <cellStyle name="20% - Accent4 2 5 9 3 3" xfId="16071" xr:uid="{00000000-0005-0000-0000-00001E300000}"/>
    <cellStyle name="20% - Accent4 2 5 9 3 4" xfId="21547" xr:uid="{00000000-0005-0000-0000-00001F300000}"/>
    <cellStyle name="20% - Accent4 2 5 9 3 5" xfId="27023" xr:uid="{00000000-0005-0000-0000-000020300000}"/>
    <cellStyle name="20% - Accent4 2 5 9 3 6" xfId="38819" xr:uid="{00000000-0005-0000-0000-000021300000}"/>
    <cellStyle name="20% - Accent4 2 5 9 3 7" xfId="44296" xr:uid="{00000000-0005-0000-0000-000022300000}"/>
    <cellStyle name="20% - Accent4 2 5 9 3 8" xfId="49773" xr:uid="{00000000-0005-0000-0000-000023300000}"/>
    <cellStyle name="20% - Accent4 2 5 9 3 9" xfId="55291" xr:uid="{00000000-0005-0000-0000-000024300000}"/>
    <cellStyle name="20% - Accent4 2 5 9 4" xfId="5996" xr:uid="{00000000-0005-0000-0000-000025300000}"/>
    <cellStyle name="20% - Accent4 2 5 9 5" xfId="11476" xr:uid="{00000000-0005-0000-0000-000026300000}"/>
    <cellStyle name="20% - Accent4 2 5 9 6" xfId="16952" xr:uid="{00000000-0005-0000-0000-000027300000}"/>
    <cellStyle name="20% - Accent4 2 5 9 7" xfId="22428" xr:uid="{00000000-0005-0000-0000-000028300000}"/>
    <cellStyle name="20% - Accent4 2 5 9 8" xfId="34223" xr:uid="{00000000-0005-0000-0000-000029300000}"/>
    <cellStyle name="20% - Accent4 2 5 9 9" xfId="39700" xr:uid="{00000000-0005-0000-0000-00002A300000}"/>
    <cellStyle name="20% - Accent4 2 6" xfId="308" xr:uid="{00000000-0005-0000-0000-00002B300000}"/>
    <cellStyle name="20% - Accent4 2 6 10" xfId="39701" xr:uid="{00000000-0005-0000-0000-00002C300000}"/>
    <cellStyle name="20% - Accent4 2 6 11" xfId="45178" xr:uid="{00000000-0005-0000-0000-00002D300000}"/>
    <cellStyle name="20% - Accent4 2 6 12" xfId="50656" xr:uid="{00000000-0005-0000-0000-00002E300000}"/>
    <cellStyle name="20% - Accent4 2 6 2" xfId="2107" xr:uid="{00000000-0005-0000-0000-00002F300000}"/>
    <cellStyle name="20% - Accent4 2 6 2 10" xfId="52283" xr:uid="{00000000-0005-0000-0000-000030300000}"/>
    <cellStyle name="20% - Accent4 2 6 2 2" xfId="7587" xr:uid="{00000000-0005-0000-0000-000031300000}"/>
    <cellStyle name="20% - Accent4 2 6 2 2 2" xfId="29103" xr:uid="{00000000-0005-0000-0000-000032300000}"/>
    <cellStyle name="20% - Accent4 2 6 2 3" xfId="13063" xr:uid="{00000000-0005-0000-0000-000033300000}"/>
    <cellStyle name="20% - Accent4 2 6 2 4" xfId="18539" xr:uid="{00000000-0005-0000-0000-000034300000}"/>
    <cellStyle name="20% - Accent4 2 6 2 5" xfId="24015" xr:uid="{00000000-0005-0000-0000-000035300000}"/>
    <cellStyle name="20% - Accent4 2 6 2 6" xfId="29102" xr:uid="{00000000-0005-0000-0000-000036300000}"/>
    <cellStyle name="20% - Accent4 2 6 2 7" xfId="35811" xr:uid="{00000000-0005-0000-0000-000037300000}"/>
    <cellStyle name="20% - Accent4 2 6 2 8" xfId="41288" xr:uid="{00000000-0005-0000-0000-000038300000}"/>
    <cellStyle name="20% - Accent4 2 6 2 9" xfId="46765" xr:uid="{00000000-0005-0000-0000-000039300000}"/>
    <cellStyle name="20% - Accent4 2 6 3" xfId="3870" xr:uid="{00000000-0005-0000-0000-00003A300000}"/>
    <cellStyle name="20% - Accent4 2 6 3 10" xfId="54046" xr:uid="{00000000-0005-0000-0000-00003B300000}"/>
    <cellStyle name="20% - Accent4 2 6 3 2" xfId="9350" xr:uid="{00000000-0005-0000-0000-00003C300000}"/>
    <cellStyle name="20% - Accent4 2 6 3 3" xfId="14826" xr:uid="{00000000-0005-0000-0000-00003D300000}"/>
    <cellStyle name="20% - Accent4 2 6 3 4" xfId="20302" xr:uid="{00000000-0005-0000-0000-00003E300000}"/>
    <cellStyle name="20% - Accent4 2 6 3 5" xfId="25778" xr:uid="{00000000-0005-0000-0000-00003F300000}"/>
    <cellStyle name="20% - Accent4 2 6 3 6" xfId="29104" xr:uid="{00000000-0005-0000-0000-000040300000}"/>
    <cellStyle name="20% - Accent4 2 6 3 7" xfId="37574" xr:uid="{00000000-0005-0000-0000-000041300000}"/>
    <cellStyle name="20% - Accent4 2 6 3 8" xfId="43051" xr:uid="{00000000-0005-0000-0000-000042300000}"/>
    <cellStyle name="20% - Accent4 2 6 3 9" xfId="48528" xr:uid="{00000000-0005-0000-0000-000043300000}"/>
    <cellStyle name="20% - Accent4 2 6 4" xfId="5997" xr:uid="{00000000-0005-0000-0000-000044300000}"/>
    <cellStyle name="20% - Accent4 2 6 5" xfId="11477" xr:uid="{00000000-0005-0000-0000-000045300000}"/>
    <cellStyle name="20% - Accent4 2 6 6" xfId="16953" xr:uid="{00000000-0005-0000-0000-000046300000}"/>
    <cellStyle name="20% - Accent4 2 6 7" xfId="22429" xr:uid="{00000000-0005-0000-0000-000047300000}"/>
    <cellStyle name="20% - Accent4 2 6 8" xfId="29101" xr:uid="{00000000-0005-0000-0000-000048300000}"/>
    <cellStyle name="20% - Accent4 2 6 9" xfId="34224" xr:uid="{00000000-0005-0000-0000-000049300000}"/>
    <cellStyle name="20% - Accent4 2 7" xfId="509" xr:uid="{00000000-0005-0000-0000-00004A300000}"/>
    <cellStyle name="20% - Accent4 2 7 10" xfId="39702" xr:uid="{00000000-0005-0000-0000-00004B300000}"/>
    <cellStyle name="20% - Accent4 2 7 11" xfId="45179" xr:uid="{00000000-0005-0000-0000-00004C300000}"/>
    <cellStyle name="20% - Accent4 2 7 12" xfId="50657" xr:uid="{00000000-0005-0000-0000-00004D300000}"/>
    <cellStyle name="20% - Accent4 2 7 2" xfId="2270" xr:uid="{00000000-0005-0000-0000-00004E300000}"/>
    <cellStyle name="20% - Accent4 2 7 2 10" xfId="52446" xr:uid="{00000000-0005-0000-0000-00004F300000}"/>
    <cellStyle name="20% - Accent4 2 7 2 2" xfId="7750" xr:uid="{00000000-0005-0000-0000-000050300000}"/>
    <cellStyle name="20% - Accent4 2 7 2 2 2" xfId="29107" xr:uid="{00000000-0005-0000-0000-000051300000}"/>
    <cellStyle name="20% - Accent4 2 7 2 3" xfId="13226" xr:uid="{00000000-0005-0000-0000-000052300000}"/>
    <cellStyle name="20% - Accent4 2 7 2 4" xfId="18702" xr:uid="{00000000-0005-0000-0000-000053300000}"/>
    <cellStyle name="20% - Accent4 2 7 2 5" xfId="24178" xr:uid="{00000000-0005-0000-0000-000054300000}"/>
    <cellStyle name="20% - Accent4 2 7 2 6" xfId="29106" xr:uid="{00000000-0005-0000-0000-000055300000}"/>
    <cellStyle name="20% - Accent4 2 7 2 7" xfId="35974" xr:uid="{00000000-0005-0000-0000-000056300000}"/>
    <cellStyle name="20% - Accent4 2 7 2 8" xfId="41451" xr:uid="{00000000-0005-0000-0000-000057300000}"/>
    <cellStyle name="20% - Accent4 2 7 2 9" xfId="46928" xr:uid="{00000000-0005-0000-0000-000058300000}"/>
    <cellStyle name="20% - Accent4 2 7 3" xfId="4042" xr:uid="{00000000-0005-0000-0000-000059300000}"/>
    <cellStyle name="20% - Accent4 2 7 3 10" xfId="54218" xr:uid="{00000000-0005-0000-0000-00005A300000}"/>
    <cellStyle name="20% - Accent4 2 7 3 2" xfId="9522" xr:uid="{00000000-0005-0000-0000-00005B300000}"/>
    <cellStyle name="20% - Accent4 2 7 3 3" xfId="14998" xr:uid="{00000000-0005-0000-0000-00005C300000}"/>
    <cellStyle name="20% - Accent4 2 7 3 4" xfId="20474" xr:uid="{00000000-0005-0000-0000-00005D300000}"/>
    <cellStyle name="20% - Accent4 2 7 3 5" xfId="25950" xr:uid="{00000000-0005-0000-0000-00005E300000}"/>
    <cellStyle name="20% - Accent4 2 7 3 6" xfId="29108" xr:uid="{00000000-0005-0000-0000-00005F300000}"/>
    <cellStyle name="20% - Accent4 2 7 3 7" xfId="37746" xr:uid="{00000000-0005-0000-0000-000060300000}"/>
    <cellStyle name="20% - Accent4 2 7 3 8" xfId="43223" xr:uid="{00000000-0005-0000-0000-000061300000}"/>
    <cellStyle name="20% - Accent4 2 7 3 9" xfId="48700" xr:uid="{00000000-0005-0000-0000-000062300000}"/>
    <cellStyle name="20% - Accent4 2 7 4" xfId="5998" xr:uid="{00000000-0005-0000-0000-000063300000}"/>
    <cellStyle name="20% - Accent4 2 7 5" xfId="11478" xr:uid="{00000000-0005-0000-0000-000064300000}"/>
    <cellStyle name="20% - Accent4 2 7 6" xfId="16954" xr:uid="{00000000-0005-0000-0000-000065300000}"/>
    <cellStyle name="20% - Accent4 2 7 7" xfId="22430" xr:uid="{00000000-0005-0000-0000-000066300000}"/>
    <cellStyle name="20% - Accent4 2 7 8" xfId="29105" xr:uid="{00000000-0005-0000-0000-000067300000}"/>
    <cellStyle name="20% - Accent4 2 7 9" xfId="34225" xr:uid="{00000000-0005-0000-0000-000068300000}"/>
    <cellStyle name="20% - Accent4 2 8" xfId="681" xr:uid="{00000000-0005-0000-0000-000069300000}"/>
    <cellStyle name="20% - Accent4 2 8 10" xfId="39703" xr:uid="{00000000-0005-0000-0000-00006A300000}"/>
    <cellStyle name="20% - Accent4 2 8 11" xfId="45180" xr:uid="{00000000-0005-0000-0000-00006B300000}"/>
    <cellStyle name="20% - Accent4 2 8 12" xfId="50658" xr:uid="{00000000-0005-0000-0000-00006C300000}"/>
    <cellStyle name="20% - Accent4 2 8 2" xfId="2442" xr:uid="{00000000-0005-0000-0000-00006D300000}"/>
    <cellStyle name="20% - Accent4 2 8 2 10" xfId="52618" xr:uid="{00000000-0005-0000-0000-00006E300000}"/>
    <cellStyle name="20% - Accent4 2 8 2 2" xfId="7922" xr:uid="{00000000-0005-0000-0000-00006F300000}"/>
    <cellStyle name="20% - Accent4 2 8 2 3" xfId="13398" xr:uid="{00000000-0005-0000-0000-000070300000}"/>
    <cellStyle name="20% - Accent4 2 8 2 4" xfId="18874" xr:uid="{00000000-0005-0000-0000-000071300000}"/>
    <cellStyle name="20% - Accent4 2 8 2 5" xfId="24350" xr:uid="{00000000-0005-0000-0000-000072300000}"/>
    <cellStyle name="20% - Accent4 2 8 2 6" xfId="29110" xr:uid="{00000000-0005-0000-0000-000073300000}"/>
    <cellStyle name="20% - Accent4 2 8 2 7" xfId="36146" xr:uid="{00000000-0005-0000-0000-000074300000}"/>
    <cellStyle name="20% - Accent4 2 8 2 8" xfId="41623" xr:uid="{00000000-0005-0000-0000-000075300000}"/>
    <cellStyle name="20% - Accent4 2 8 2 9" xfId="47100" xr:uid="{00000000-0005-0000-0000-000076300000}"/>
    <cellStyle name="20% - Accent4 2 8 3" xfId="4214" xr:uid="{00000000-0005-0000-0000-000077300000}"/>
    <cellStyle name="20% - Accent4 2 8 3 2" xfId="9694" xr:uid="{00000000-0005-0000-0000-000078300000}"/>
    <cellStyle name="20% - Accent4 2 8 3 3" xfId="15170" xr:uid="{00000000-0005-0000-0000-000079300000}"/>
    <cellStyle name="20% - Accent4 2 8 3 4" xfId="20646" xr:uid="{00000000-0005-0000-0000-00007A300000}"/>
    <cellStyle name="20% - Accent4 2 8 3 5" xfId="26122" xr:uid="{00000000-0005-0000-0000-00007B300000}"/>
    <cellStyle name="20% - Accent4 2 8 3 6" xfId="37918" xr:uid="{00000000-0005-0000-0000-00007C300000}"/>
    <cellStyle name="20% - Accent4 2 8 3 7" xfId="43395" xr:uid="{00000000-0005-0000-0000-00007D300000}"/>
    <cellStyle name="20% - Accent4 2 8 3 8" xfId="48872" xr:uid="{00000000-0005-0000-0000-00007E300000}"/>
    <cellStyle name="20% - Accent4 2 8 3 9" xfId="54390" xr:uid="{00000000-0005-0000-0000-00007F300000}"/>
    <cellStyle name="20% - Accent4 2 8 4" xfId="5999" xr:uid="{00000000-0005-0000-0000-000080300000}"/>
    <cellStyle name="20% - Accent4 2 8 5" xfId="11479" xr:uid="{00000000-0005-0000-0000-000081300000}"/>
    <cellStyle name="20% - Accent4 2 8 6" xfId="16955" xr:uid="{00000000-0005-0000-0000-000082300000}"/>
    <cellStyle name="20% - Accent4 2 8 7" xfId="22431" xr:uid="{00000000-0005-0000-0000-000083300000}"/>
    <cellStyle name="20% - Accent4 2 8 8" xfId="29109" xr:uid="{00000000-0005-0000-0000-000084300000}"/>
    <cellStyle name="20% - Accent4 2 8 9" xfId="34226" xr:uid="{00000000-0005-0000-0000-000085300000}"/>
    <cellStyle name="20% - Accent4 2 9" xfId="853" xr:uid="{00000000-0005-0000-0000-000086300000}"/>
    <cellStyle name="20% - Accent4 2 9 10" xfId="39704" xr:uid="{00000000-0005-0000-0000-000087300000}"/>
    <cellStyle name="20% - Accent4 2 9 11" xfId="45181" xr:uid="{00000000-0005-0000-0000-000088300000}"/>
    <cellStyle name="20% - Accent4 2 9 12" xfId="50659" xr:uid="{00000000-0005-0000-0000-000089300000}"/>
    <cellStyle name="20% - Accent4 2 9 2" xfId="2614" xr:uid="{00000000-0005-0000-0000-00008A300000}"/>
    <cellStyle name="20% - Accent4 2 9 2 2" xfId="8094" xr:uid="{00000000-0005-0000-0000-00008B300000}"/>
    <cellStyle name="20% - Accent4 2 9 2 3" xfId="13570" xr:uid="{00000000-0005-0000-0000-00008C300000}"/>
    <cellStyle name="20% - Accent4 2 9 2 4" xfId="19046" xr:uid="{00000000-0005-0000-0000-00008D300000}"/>
    <cellStyle name="20% - Accent4 2 9 2 5" xfId="24522" xr:uid="{00000000-0005-0000-0000-00008E300000}"/>
    <cellStyle name="20% - Accent4 2 9 2 6" xfId="36318" xr:uid="{00000000-0005-0000-0000-00008F300000}"/>
    <cellStyle name="20% - Accent4 2 9 2 7" xfId="41795" xr:uid="{00000000-0005-0000-0000-000090300000}"/>
    <cellStyle name="20% - Accent4 2 9 2 8" xfId="47272" xr:uid="{00000000-0005-0000-0000-000091300000}"/>
    <cellStyle name="20% - Accent4 2 9 2 9" xfId="52790" xr:uid="{00000000-0005-0000-0000-000092300000}"/>
    <cellStyle name="20% - Accent4 2 9 3" xfId="4386" xr:uid="{00000000-0005-0000-0000-000093300000}"/>
    <cellStyle name="20% - Accent4 2 9 3 2" xfId="9866" xr:uid="{00000000-0005-0000-0000-000094300000}"/>
    <cellStyle name="20% - Accent4 2 9 3 3" xfId="15342" xr:uid="{00000000-0005-0000-0000-000095300000}"/>
    <cellStyle name="20% - Accent4 2 9 3 4" xfId="20818" xr:uid="{00000000-0005-0000-0000-000096300000}"/>
    <cellStyle name="20% - Accent4 2 9 3 5" xfId="26294" xr:uid="{00000000-0005-0000-0000-000097300000}"/>
    <cellStyle name="20% - Accent4 2 9 3 6" xfId="38090" xr:uid="{00000000-0005-0000-0000-000098300000}"/>
    <cellStyle name="20% - Accent4 2 9 3 7" xfId="43567" xr:uid="{00000000-0005-0000-0000-000099300000}"/>
    <cellStyle name="20% - Accent4 2 9 3 8" xfId="49044" xr:uid="{00000000-0005-0000-0000-00009A300000}"/>
    <cellStyle name="20% - Accent4 2 9 3 9" xfId="54562" xr:uid="{00000000-0005-0000-0000-00009B300000}"/>
    <cellStyle name="20% - Accent4 2 9 4" xfId="6000" xr:uid="{00000000-0005-0000-0000-00009C300000}"/>
    <cellStyle name="20% - Accent4 2 9 5" xfId="11480" xr:uid="{00000000-0005-0000-0000-00009D300000}"/>
    <cellStyle name="20% - Accent4 2 9 6" xfId="16956" xr:uid="{00000000-0005-0000-0000-00009E300000}"/>
    <cellStyle name="20% - Accent4 2 9 7" xfId="22432" xr:uid="{00000000-0005-0000-0000-00009F300000}"/>
    <cellStyle name="20% - Accent4 2 9 8" xfId="29111" xr:uid="{00000000-0005-0000-0000-0000A0300000}"/>
    <cellStyle name="20% - Accent4 2 9 9" xfId="34227" xr:uid="{00000000-0005-0000-0000-0000A1300000}"/>
    <cellStyle name="20% - Accent4 20" xfId="29112" xr:uid="{00000000-0005-0000-0000-0000A2300000}"/>
    <cellStyle name="20% - Accent4 20 2" xfId="29113" xr:uid="{00000000-0005-0000-0000-0000A3300000}"/>
    <cellStyle name="20% - Accent4 20 2 2" xfId="29114" xr:uid="{00000000-0005-0000-0000-0000A4300000}"/>
    <cellStyle name="20% - Accent4 20 3" xfId="29115" xr:uid="{00000000-0005-0000-0000-0000A5300000}"/>
    <cellStyle name="20% - Accent4 21" xfId="29116" xr:uid="{00000000-0005-0000-0000-0000A6300000}"/>
    <cellStyle name="20% - Accent4 21 2" xfId="29117" xr:uid="{00000000-0005-0000-0000-0000A7300000}"/>
    <cellStyle name="20% - Accent4 22" xfId="29118" xr:uid="{00000000-0005-0000-0000-0000A8300000}"/>
    <cellStyle name="20% - Accent4 23" xfId="29119" xr:uid="{00000000-0005-0000-0000-0000A9300000}"/>
    <cellStyle name="20% - Accent4 23 2" xfId="29120" xr:uid="{00000000-0005-0000-0000-0000AA300000}"/>
    <cellStyle name="20% - Accent4 24" xfId="29121" xr:uid="{00000000-0005-0000-0000-0000AB300000}"/>
    <cellStyle name="20% - Accent4 24 2" xfId="29122" xr:uid="{00000000-0005-0000-0000-0000AC300000}"/>
    <cellStyle name="20% - Accent4 25" xfId="29123" xr:uid="{00000000-0005-0000-0000-0000AD300000}"/>
    <cellStyle name="20% - Accent4 26" xfId="27561" xr:uid="{00000000-0005-0000-0000-0000AE300000}"/>
    <cellStyle name="20% - Accent4 27" xfId="35606" xr:uid="{00000000-0005-0000-0000-0000AF300000}"/>
    <cellStyle name="20% - Accent4 28" xfId="41083" xr:uid="{00000000-0005-0000-0000-0000B0300000}"/>
    <cellStyle name="20% - Accent4 29" xfId="46560" xr:uid="{00000000-0005-0000-0000-0000B1300000}"/>
    <cellStyle name="20% - Accent4 3" xfId="190" xr:uid="{00000000-0005-0000-0000-0000B2300000}"/>
    <cellStyle name="20% - Accent4 3 10" xfId="1770" xr:uid="{00000000-0005-0000-0000-0000B3300000}"/>
    <cellStyle name="20% - Accent4 3 10 10" xfId="45183" xr:uid="{00000000-0005-0000-0000-0000B4300000}"/>
    <cellStyle name="20% - Accent4 3 10 11" xfId="50661" xr:uid="{00000000-0005-0000-0000-0000B5300000}"/>
    <cellStyle name="20% - Accent4 3 10 2" xfId="3531" xr:uid="{00000000-0005-0000-0000-0000B6300000}"/>
    <cellStyle name="20% - Accent4 3 10 2 2" xfId="9011" xr:uid="{00000000-0005-0000-0000-0000B7300000}"/>
    <cellStyle name="20% - Accent4 3 10 2 3" xfId="14487" xr:uid="{00000000-0005-0000-0000-0000B8300000}"/>
    <cellStyle name="20% - Accent4 3 10 2 4" xfId="19963" xr:uid="{00000000-0005-0000-0000-0000B9300000}"/>
    <cellStyle name="20% - Accent4 3 10 2 5" xfId="25439" xr:uid="{00000000-0005-0000-0000-0000BA300000}"/>
    <cellStyle name="20% - Accent4 3 10 2 6" xfId="37235" xr:uid="{00000000-0005-0000-0000-0000BB300000}"/>
    <cellStyle name="20% - Accent4 3 10 2 7" xfId="42712" xr:uid="{00000000-0005-0000-0000-0000BC300000}"/>
    <cellStyle name="20% - Accent4 3 10 2 8" xfId="48189" xr:uid="{00000000-0005-0000-0000-0000BD300000}"/>
    <cellStyle name="20% - Accent4 3 10 2 9" xfId="53707" xr:uid="{00000000-0005-0000-0000-0000BE300000}"/>
    <cellStyle name="20% - Accent4 3 10 3" xfId="5303" xr:uid="{00000000-0005-0000-0000-0000BF300000}"/>
    <cellStyle name="20% - Accent4 3 10 3 2" xfId="10783" xr:uid="{00000000-0005-0000-0000-0000C0300000}"/>
    <cellStyle name="20% - Accent4 3 10 3 3" xfId="16259" xr:uid="{00000000-0005-0000-0000-0000C1300000}"/>
    <cellStyle name="20% - Accent4 3 10 3 4" xfId="21735" xr:uid="{00000000-0005-0000-0000-0000C2300000}"/>
    <cellStyle name="20% - Accent4 3 10 3 5" xfId="27211" xr:uid="{00000000-0005-0000-0000-0000C3300000}"/>
    <cellStyle name="20% - Accent4 3 10 3 6" xfId="39007" xr:uid="{00000000-0005-0000-0000-0000C4300000}"/>
    <cellStyle name="20% - Accent4 3 10 3 7" xfId="44484" xr:uid="{00000000-0005-0000-0000-0000C5300000}"/>
    <cellStyle name="20% - Accent4 3 10 3 8" xfId="49961" xr:uid="{00000000-0005-0000-0000-0000C6300000}"/>
    <cellStyle name="20% - Accent4 3 10 3 9" xfId="55479" xr:uid="{00000000-0005-0000-0000-0000C7300000}"/>
    <cellStyle name="20% - Accent4 3 10 4" xfId="6002" xr:uid="{00000000-0005-0000-0000-0000C8300000}"/>
    <cellStyle name="20% - Accent4 3 10 5" xfId="11482" xr:uid="{00000000-0005-0000-0000-0000C9300000}"/>
    <cellStyle name="20% - Accent4 3 10 6" xfId="16958" xr:uid="{00000000-0005-0000-0000-0000CA300000}"/>
    <cellStyle name="20% - Accent4 3 10 7" xfId="22434" xr:uid="{00000000-0005-0000-0000-0000CB300000}"/>
    <cellStyle name="20% - Accent4 3 10 8" xfId="34229" xr:uid="{00000000-0005-0000-0000-0000CC300000}"/>
    <cellStyle name="20% - Accent4 3 10 9" xfId="39706" xr:uid="{00000000-0005-0000-0000-0000CD300000}"/>
    <cellStyle name="20% - Accent4 3 11" xfId="1945" xr:uid="{00000000-0005-0000-0000-0000CE300000}"/>
    <cellStyle name="20% - Accent4 3 11 10" xfId="52122" xr:uid="{00000000-0005-0000-0000-0000CF300000}"/>
    <cellStyle name="20% - Accent4 3 11 2" xfId="5477" xr:uid="{00000000-0005-0000-0000-0000D0300000}"/>
    <cellStyle name="20% - Accent4 3 11 2 2" xfId="10957" xr:uid="{00000000-0005-0000-0000-0000D1300000}"/>
    <cellStyle name="20% - Accent4 3 11 2 3" xfId="16433" xr:uid="{00000000-0005-0000-0000-0000D2300000}"/>
    <cellStyle name="20% - Accent4 3 11 2 4" xfId="21909" xr:uid="{00000000-0005-0000-0000-0000D3300000}"/>
    <cellStyle name="20% - Accent4 3 11 2 5" xfId="27385" xr:uid="{00000000-0005-0000-0000-0000D4300000}"/>
    <cellStyle name="20% - Accent4 3 11 2 6" xfId="39181" xr:uid="{00000000-0005-0000-0000-0000D5300000}"/>
    <cellStyle name="20% - Accent4 3 11 2 7" xfId="44658" xr:uid="{00000000-0005-0000-0000-0000D6300000}"/>
    <cellStyle name="20% - Accent4 3 11 2 8" xfId="50135" xr:uid="{00000000-0005-0000-0000-0000D7300000}"/>
    <cellStyle name="20% - Accent4 3 11 2 9" xfId="55653" xr:uid="{00000000-0005-0000-0000-0000D8300000}"/>
    <cellStyle name="20% - Accent4 3 11 3" xfId="7426" xr:uid="{00000000-0005-0000-0000-0000D9300000}"/>
    <cellStyle name="20% - Accent4 3 11 4" xfId="12902" xr:uid="{00000000-0005-0000-0000-0000DA300000}"/>
    <cellStyle name="20% - Accent4 3 11 5" xfId="18378" xr:uid="{00000000-0005-0000-0000-0000DB300000}"/>
    <cellStyle name="20% - Accent4 3 11 6" xfId="23854" xr:uid="{00000000-0005-0000-0000-0000DC300000}"/>
    <cellStyle name="20% - Accent4 3 11 7" xfId="35650" xr:uid="{00000000-0005-0000-0000-0000DD300000}"/>
    <cellStyle name="20% - Accent4 3 11 8" xfId="41127" xr:uid="{00000000-0005-0000-0000-0000DE300000}"/>
    <cellStyle name="20% - Accent4 3 11 9" xfId="46604" xr:uid="{00000000-0005-0000-0000-0000DF300000}"/>
    <cellStyle name="20% - Accent4 3 12" xfId="3760" xr:uid="{00000000-0005-0000-0000-0000E0300000}"/>
    <cellStyle name="20% - Accent4 3 12 2" xfId="9240" xr:uid="{00000000-0005-0000-0000-0000E1300000}"/>
    <cellStyle name="20% - Accent4 3 12 3" xfId="14716" xr:uid="{00000000-0005-0000-0000-0000E2300000}"/>
    <cellStyle name="20% - Accent4 3 12 4" xfId="20192" xr:uid="{00000000-0005-0000-0000-0000E3300000}"/>
    <cellStyle name="20% - Accent4 3 12 5" xfId="25668" xr:uid="{00000000-0005-0000-0000-0000E4300000}"/>
    <cellStyle name="20% - Accent4 3 12 6" xfId="37464" xr:uid="{00000000-0005-0000-0000-0000E5300000}"/>
    <cellStyle name="20% - Accent4 3 12 7" xfId="42941" xr:uid="{00000000-0005-0000-0000-0000E6300000}"/>
    <cellStyle name="20% - Accent4 3 12 8" xfId="48418" xr:uid="{00000000-0005-0000-0000-0000E7300000}"/>
    <cellStyle name="20% - Accent4 3 12 9" xfId="53936" xr:uid="{00000000-0005-0000-0000-0000E8300000}"/>
    <cellStyle name="20% - Accent4 3 13" xfId="6001" xr:uid="{00000000-0005-0000-0000-0000E9300000}"/>
    <cellStyle name="20% - Accent4 3 14" xfId="11481" xr:uid="{00000000-0005-0000-0000-0000EA300000}"/>
    <cellStyle name="20% - Accent4 3 15" xfId="16957" xr:uid="{00000000-0005-0000-0000-0000EB300000}"/>
    <cellStyle name="20% - Accent4 3 16" xfId="22433" xr:uid="{00000000-0005-0000-0000-0000EC300000}"/>
    <cellStyle name="20% - Accent4 3 17" xfId="29124" xr:uid="{00000000-0005-0000-0000-0000ED300000}"/>
    <cellStyle name="20% - Accent4 3 18" xfId="34228" xr:uid="{00000000-0005-0000-0000-0000EE300000}"/>
    <cellStyle name="20% - Accent4 3 19" xfId="39705" xr:uid="{00000000-0005-0000-0000-0000EF300000}"/>
    <cellStyle name="20% - Accent4 3 2" xfId="316" xr:uid="{00000000-0005-0000-0000-0000F0300000}"/>
    <cellStyle name="20% - Accent4 3 2 10" xfId="39707" xr:uid="{00000000-0005-0000-0000-0000F1300000}"/>
    <cellStyle name="20% - Accent4 3 2 11" xfId="45184" xr:uid="{00000000-0005-0000-0000-0000F2300000}"/>
    <cellStyle name="20% - Accent4 3 2 12" xfId="50662" xr:uid="{00000000-0005-0000-0000-0000F3300000}"/>
    <cellStyle name="20% - Accent4 3 2 2" xfId="2115" xr:uid="{00000000-0005-0000-0000-0000F4300000}"/>
    <cellStyle name="20% - Accent4 3 2 2 10" xfId="52291" xr:uid="{00000000-0005-0000-0000-0000F5300000}"/>
    <cellStyle name="20% - Accent4 3 2 2 2" xfId="7595" xr:uid="{00000000-0005-0000-0000-0000F6300000}"/>
    <cellStyle name="20% - Accent4 3 2 2 2 2" xfId="29127" xr:uid="{00000000-0005-0000-0000-0000F7300000}"/>
    <cellStyle name="20% - Accent4 3 2 2 3" xfId="13071" xr:uid="{00000000-0005-0000-0000-0000F8300000}"/>
    <cellStyle name="20% - Accent4 3 2 2 4" xfId="18547" xr:uid="{00000000-0005-0000-0000-0000F9300000}"/>
    <cellStyle name="20% - Accent4 3 2 2 5" xfId="24023" xr:uid="{00000000-0005-0000-0000-0000FA300000}"/>
    <cellStyle name="20% - Accent4 3 2 2 6" xfId="29126" xr:uid="{00000000-0005-0000-0000-0000FB300000}"/>
    <cellStyle name="20% - Accent4 3 2 2 7" xfId="35819" xr:uid="{00000000-0005-0000-0000-0000FC300000}"/>
    <cellStyle name="20% - Accent4 3 2 2 8" xfId="41296" xr:uid="{00000000-0005-0000-0000-0000FD300000}"/>
    <cellStyle name="20% - Accent4 3 2 2 9" xfId="46773" xr:uid="{00000000-0005-0000-0000-0000FE300000}"/>
    <cellStyle name="20% - Accent4 3 2 3" xfId="3878" xr:uid="{00000000-0005-0000-0000-0000FF300000}"/>
    <cellStyle name="20% - Accent4 3 2 3 10" xfId="54054" xr:uid="{00000000-0005-0000-0000-000000310000}"/>
    <cellStyle name="20% - Accent4 3 2 3 2" xfId="9358" xr:uid="{00000000-0005-0000-0000-000001310000}"/>
    <cellStyle name="20% - Accent4 3 2 3 3" xfId="14834" xr:uid="{00000000-0005-0000-0000-000002310000}"/>
    <cellStyle name="20% - Accent4 3 2 3 4" xfId="20310" xr:uid="{00000000-0005-0000-0000-000003310000}"/>
    <cellStyle name="20% - Accent4 3 2 3 5" xfId="25786" xr:uid="{00000000-0005-0000-0000-000004310000}"/>
    <cellStyle name="20% - Accent4 3 2 3 6" xfId="29128" xr:uid="{00000000-0005-0000-0000-000005310000}"/>
    <cellStyle name="20% - Accent4 3 2 3 7" xfId="37582" xr:uid="{00000000-0005-0000-0000-000006310000}"/>
    <cellStyle name="20% - Accent4 3 2 3 8" xfId="43059" xr:uid="{00000000-0005-0000-0000-000007310000}"/>
    <cellStyle name="20% - Accent4 3 2 3 9" xfId="48536" xr:uid="{00000000-0005-0000-0000-000008310000}"/>
    <cellStyle name="20% - Accent4 3 2 4" xfId="6003" xr:uid="{00000000-0005-0000-0000-000009310000}"/>
    <cellStyle name="20% - Accent4 3 2 5" xfId="11483" xr:uid="{00000000-0005-0000-0000-00000A310000}"/>
    <cellStyle name="20% - Accent4 3 2 6" xfId="16959" xr:uid="{00000000-0005-0000-0000-00000B310000}"/>
    <cellStyle name="20% - Accent4 3 2 7" xfId="22435" xr:uid="{00000000-0005-0000-0000-00000C310000}"/>
    <cellStyle name="20% - Accent4 3 2 8" xfId="29125" xr:uid="{00000000-0005-0000-0000-00000D310000}"/>
    <cellStyle name="20% - Accent4 3 2 9" xfId="34230" xr:uid="{00000000-0005-0000-0000-00000E310000}"/>
    <cellStyle name="20% - Accent4 3 20" xfId="45182" xr:uid="{00000000-0005-0000-0000-00000F310000}"/>
    <cellStyle name="20% - Accent4 3 21" xfId="50660" xr:uid="{00000000-0005-0000-0000-000010310000}"/>
    <cellStyle name="20% - Accent4 3 3" xfId="517" xr:uid="{00000000-0005-0000-0000-000011310000}"/>
    <cellStyle name="20% - Accent4 3 3 10" xfId="39708" xr:uid="{00000000-0005-0000-0000-000012310000}"/>
    <cellStyle name="20% - Accent4 3 3 11" xfId="45185" xr:uid="{00000000-0005-0000-0000-000013310000}"/>
    <cellStyle name="20% - Accent4 3 3 12" xfId="50663" xr:uid="{00000000-0005-0000-0000-000014310000}"/>
    <cellStyle name="20% - Accent4 3 3 2" xfId="2278" xr:uid="{00000000-0005-0000-0000-000015310000}"/>
    <cellStyle name="20% - Accent4 3 3 2 10" xfId="52454" xr:uid="{00000000-0005-0000-0000-000016310000}"/>
    <cellStyle name="20% - Accent4 3 3 2 2" xfId="7758" xr:uid="{00000000-0005-0000-0000-000017310000}"/>
    <cellStyle name="20% - Accent4 3 3 2 2 2" xfId="29131" xr:uid="{00000000-0005-0000-0000-000018310000}"/>
    <cellStyle name="20% - Accent4 3 3 2 3" xfId="13234" xr:uid="{00000000-0005-0000-0000-000019310000}"/>
    <cellStyle name="20% - Accent4 3 3 2 4" xfId="18710" xr:uid="{00000000-0005-0000-0000-00001A310000}"/>
    <cellStyle name="20% - Accent4 3 3 2 5" xfId="24186" xr:uid="{00000000-0005-0000-0000-00001B310000}"/>
    <cellStyle name="20% - Accent4 3 3 2 6" xfId="29130" xr:uid="{00000000-0005-0000-0000-00001C310000}"/>
    <cellStyle name="20% - Accent4 3 3 2 7" xfId="35982" xr:uid="{00000000-0005-0000-0000-00001D310000}"/>
    <cellStyle name="20% - Accent4 3 3 2 8" xfId="41459" xr:uid="{00000000-0005-0000-0000-00001E310000}"/>
    <cellStyle name="20% - Accent4 3 3 2 9" xfId="46936" xr:uid="{00000000-0005-0000-0000-00001F310000}"/>
    <cellStyle name="20% - Accent4 3 3 3" xfId="4050" xr:uid="{00000000-0005-0000-0000-000020310000}"/>
    <cellStyle name="20% - Accent4 3 3 3 10" xfId="54226" xr:uid="{00000000-0005-0000-0000-000021310000}"/>
    <cellStyle name="20% - Accent4 3 3 3 2" xfId="9530" xr:uid="{00000000-0005-0000-0000-000022310000}"/>
    <cellStyle name="20% - Accent4 3 3 3 3" xfId="15006" xr:uid="{00000000-0005-0000-0000-000023310000}"/>
    <cellStyle name="20% - Accent4 3 3 3 4" xfId="20482" xr:uid="{00000000-0005-0000-0000-000024310000}"/>
    <cellStyle name="20% - Accent4 3 3 3 5" xfId="25958" xr:uid="{00000000-0005-0000-0000-000025310000}"/>
    <cellStyle name="20% - Accent4 3 3 3 6" xfId="29132" xr:uid="{00000000-0005-0000-0000-000026310000}"/>
    <cellStyle name="20% - Accent4 3 3 3 7" xfId="37754" xr:uid="{00000000-0005-0000-0000-000027310000}"/>
    <cellStyle name="20% - Accent4 3 3 3 8" xfId="43231" xr:uid="{00000000-0005-0000-0000-000028310000}"/>
    <cellStyle name="20% - Accent4 3 3 3 9" xfId="48708" xr:uid="{00000000-0005-0000-0000-000029310000}"/>
    <cellStyle name="20% - Accent4 3 3 4" xfId="6004" xr:uid="{00000000-0005-0000-0000-00002A310000}"/>
    <cellStyle name="20% - Accent4 3 3 5" xfId="11484" xr:uid="{00000000-0005-0000-0000-00002B310000}"/>
    <cellStyle name="20% - Accent4 3 3 6" xfId="16960" xr:uid="{00000000-0005-0000-0000-00002C310000}"/>
    <cellStyle name="20% - Accent4 3 3 7" xfId="22436" xr:uid="{00000000-0005-0000-0000-00002D310000}"/>
    <cellStyle name="20% - Accent4 3 3 8" xfId="29129" xr:uid="{00000000-0005-0000-0000-00002E310000}"/>
    <cellStyle name="20% - Accent4 3 3 9" xfId="34231" xr:uid="{00000000-0005-0000-0000-00002F310000}"/>
    <cellStyle name="20% - Accent4 3 4" xfId="689" xr:uid="{00000000-0005-0000-0000-000030310000}"/>
    <cellStyle name="20% - Accent4 3 4 10" xfId="39709" xr:uid="{00000000-0005-0000-0000-000031310000}"/>
    <cellStyle name="20% - Accent4 3 4 11" xfId="45186" xr:uid="{00000000-0005-0000-0000-000032310000}"/>
    <cellStyle name="20% - Accent4 3 4 12" xfId="50664" xr:uid="{00000000-0005-0000-0000-000033310000}"/>
    <cellStyle name="20% - Accent4 3 4 2" xfId="2450" xr:uid="{00000000-0005-0000-0000-000034310000}"/>
    <cellStyle name="20% - Accent4 3 4 2 10" xfId="52626" xr:uid="{00000000-0005-0000-0000-000035310000}"/>
    <cellStyle name="20% - Accent4 3 4 2 2" xfId="7930" xr:uid="{00000000-0005-0000-0000-000036310000}"/>
    <cellStyle name="20% - Accent4 3 4 2 2 2" xfId="29135" xr:uid="{00000000-0005-0000-0000-000037310000}"/>
    <cellStyle name="20% - Accent4 3 4 2 3" xfId="13406" xr:uid="{00000000-0005-0000-0000-000038310000}"/>
    <cellStyle name="20% - Accent4 3 4 2 4" xfId="18882" xr:uid="{00000000-0005-0000-0000-000039310000}"/>
    <cellStyle name="20% - Accent4 3 4 2 5" xfId="24358" xr:uid="{00000000-0005-0000-0000-00003A310000}"/>
    <cellStyle name="20% - Accent4 3 4 2 6" xfId="29134" xr:uid="{00000000-0005-0000-0000-00003B310000}"/>
    <cellStyle name="20% - Accent4 3 4 2 7" xfId="36154" xr:uid="{00000000-0005-0000-0000-00003C310000}"/>
    <cellStyle name="20% - Accent4 3 4 2 8" xfId="41631" xr:uid="{00000000-0005-0000-0000-00003D310000}"/>
    <cellStyle name="20% - Accent4 3 4 2 9" xfId="47108" xr:uid="{00000000-0005-0000-0000-00003E310000}"/>
    <cellStyle name="20% - Accent4 3 4 3" xfId="4222" xr:uid="{00000000-0005-0000-0000-00003F310000}"/>
    <cellStyle name="20% - Accent4 3 4 3 10" xfId="54398" xr:uid="{00000000-0005-0000-0000-000040310000}"/>
    <cellStyle name="20% - Accent4 3 4 3 2" xfId="9702" xr:uid="{00000000-0005-0000-0000-000041310000}"/>
    <cellStyle name="20% - Accent4 3 4 3 3" xfId="15178" xr:uid="{00000000-0005-0000-0000-000042310000}"/>
    <cellStyle name="20% - Accent4 3 4 3 4" xfId="20654" xr:uid="{00000000-0005-0000-0000-000043310000}"/>
    <cellStyle name="20% - Accent4 3 4 3 5" xfId="26130" xr:uid="{00000000-0005-0000-0000-000044310000}"/>
    <cellStyle name="20% - Accent4 3 4 3 6" xfId="29136" xr:uid="{00000000-0005-0000-0000-000045310000}"/>
    <cellStyle name="20% - Accent4 3 4 3 7" xfId="37926" xr:uid="{00000000-0005-0000-0000-000046310000}"/>
    <cellStyle name="20% - Accent4 3 4 3 8" xfId="43403" xr:uid="{00000000-0005-0000-0000-000047310000}"/>
    <cellStyle name="20% - Accent4 3 4 3 9" xfId="48880" xr:uid="{00000000-0005-0000-0000-000048310000}"/>
    <cellStyle name="20% - Accent4 3 4 4" xfId="6005" xr:uid="{00000000-0005-0000-0000-000049310000}"/>
    <cellStyle name="20% - Accent4 3 4 5" xfId="11485" xr:uid="{00000000-0005-0000-0000-00004A310000}"/>
    <cellStyle name="20% - Accent4 3 4 6" xfId="16961" xr:uid="{00000000-0005-0000-0000-00004B310000}"/>
    <cellStyle name="20% - Accent4 3 4 7" xfId="22437" xr:uid="{00000000-0005-0000-0000-00004C310000}"/>
    <cellStyle name="20% - Accent4 3 4 8" xfId="29133" xr:uid="{00000000-0005-0000-0000-00004D310000}"/>
    <cellStyle name="20% - Accent4 3 4 9" xfId="34232" xr:uid="{00000000-0005-0000-0000-00004E310000}"/>
    <cellStyle name="20% - Accent4 3 5" xfId="861" xr:uid="{00000000-0005-0000-0000-00004F310000}"/>
    <cellStyle name="20% - Accent4 3 5 10" xfId="39710" xr:uid="{00000000-0005-0000-0000-000050310000}"/>
    <cellStyle name="20% - Accent4 3 5 11" xfId="45187" xr:uid="{00000000-0005-0000-0000-000051310000}"/>
    <cellStyle name="20% - Accent4 3 5 12" xfId="50665" xr:uid="{00000000-0005-0000-0000-000052310000}"/>
    <cellStyle name="20% - Accent4 3 5 2" xfId="2622" xr:uid="{00000000-0005-0000-0000-000053310000}"/>
    <cellStyle name="20% - Accent4 3 5 2 10" xfId="52798" xr:uid="{00000000-0005-0000-0000-000054310000}"/>
    <cellStyle name="20% - Accent4 3 5 2 2" xfId="8102" xr:uid="{00000000-0005-0000-0000-000055310000}"/>
    <cellStyle name="20% - Accent4 3 5 2 2 2" xfId="29139" xr:uid="{00000000-0005-0000-0000-000056310000}"/>
    <cellStyle name="20% - Accent4 3 5 2 3" xfId="13578" xr:uid="{00000000-0005-0000-0000-000057310000}"/>
    <cellStyle name="20% - Accent4 3 5 2 4" xfId="19054" xr:uid="{00000000-0005-0000-0000-000058310000}"/>
    <cellStyle name="20% - Accent4 3 5 2 5" xfId="24530" xr:uid="{00000000-0005-0000-0000-000059310000}"/>
    <cellStyle name="20% - Accent4 3 5 2 6" xfId="29138" xr:uid="{00000000-0005-0000-0000-00005A310000}"/>
    <cellStyle name="20% - Accent4 3 5 2 7" xfId="36326" xr:uid="{00000000-0005-0000-0000-00005B310000}"/>
    <cellStyle name="20% - Accent4 3 5 2 8" xfId="41803" xr:uid="{00000000-0005-0000-0000-00005C310000}"/>
    <cellStyle name="20% - Accent4 3 5 2 9" xfId="47280" xr:uid="{00000000-0005-0000-0000-00005D310000}"/>
    <cellStyle name="20% - Accent4 3 5 3" xfId="4394" xr:uid="{00000000-0005-0000-0000-00005E310000}"/>
    <cellStyle name="20% - Accent4 3 5 3 10" xfId="54570" xr:uid="{00000000-0005-0000-0000-00005F310000}"/>
    <cellStyle name="20% - Accent4 3 5 3 2" xfId="9874" xr:uid="{00000000-0005-0000-0000-000060310000}"/>
    <cellStyle name="20% - Accent4 3 5 3 3" xfId="15350" xr:uid="{00000000-0005-0000-0000-000061310000}"/>
    <cellStyle name="20% - Accent4 3 5 3 4" xfId="20826" xr:uid="{00000000-0005-0000-0000-000062310000}"/>
    <cellStyle name="20% - Accent4 3 5 3 5" xfId="26302" xr:uid="{00000000-0005-0000-0000-000063310000}"/>
    <cellStyle name="20% - Accent4 3 5 3 6" xfId="29140" xr:uid="{00000000-0005-0000-0000-000064310000}"/>
    <cellStyle name="20% - Accent4 3 5 3 7" xfId="38098" xr:uid="{00000000-0005-0000-0000-000065310000}"/>
    <cellStyle name="20% - Accent4 3 5 3 8" xfId="43575" xr:uid="{00000000-0005-0000-0000-000066310000}"/>
    <cellStyle name="20% - Accent4 3 5 3 9" xfId="49052" xr:uid="{00000000-0005-0000-0000-000067310000}"/>
    <cellStyle name="20% - Accent4 3 5 4" xfId="6006" xr:uid="{00000000-0005-0000-0000-000068310000}"/>
    <cellStyle name="20% - Accent4 3 5 5" xfId="11486" xr:uid="{00000000-0005-0000-0000-000069310000}"/>
    <cellStyle name="20% - Accent4 3 5 6" xfId="16962" xr:uid="{00000000-0005-0000-0000-00006A310000}"/>
    <cellStyle name="20% - Accent4 3 5 7" xfId="22438" xr:uid="{00000000-0005-0000-0000-00006B310000}"/>
    <cellStyle name="20% - Accent4 3 5 8" xfId="29137" xr:uid="{00000000-0005-0000-0000-00006C310000}"/>
    <cellStyle name="20% - Accent4 3 5 9" xfId="34233" xr:uid="{00000000-0005-0000-0000-00006D310000}"/>
    <cellStyle name="20% - Accent4 3 6" xfId="1067" xr:uid="{00000000-0005-0000-0000-00006E310000}"/>
    <cellStyle name="20% - Accent4 3 6 10" xfId="39711" xr:uid="{00000000-0005-0000-0000-00006F310000}"/>
    <cellStyle name="20% - Accent4 3 6 11" xfId="45188" xr:uid="{00000000-0005-0000-0000-000070310000}"/>
    <cellStyle name="20% - Accent4 3 6 12" xfId="50666" xr:uid="{00000000-0005-0000-0000-000071310000}"/>
    <cellStyle name="20% - Accent4 3 6 2" xfId="2828" xr:uid="{00000000-0005-0000-0000-000072310000}"/>
    <cellStyle name="20% - Accent4 3 6 2 10" xfId="53004" xr:uid="{00000000-0005-0000-0000-000073310000}"/>
    <cellStyle name="20% - Accent4 3 6 2 2" xfId="8308" xr:uid="{00000000-0005-0000-0000-000074310000}"/>
    <cellStyle name="20% - Accent4 3 6 2 2 2" xfId="29143" xr:uid="{00000000-0005-0000-0000-000075310000}"/>
    <cellStyle name="20% - Accent4 3 6 2 3" xfId="13784" xr:uid="{00000000-0005-0000-0000-000076310000}"/>
    <cellStyle name="20% - Accent4 3 6 2 4" xfId="19260" xr:uid="{00000000-0005-0000-0000-000077310000}"/>
    <cellStyle name="20% - Accent4 3 6 2 5" xfId="24736" xr:uid="{00000000-0005-0000-0000-000078310000}"/>
    <cellStyle name="20% - Accent4 3 6 2 6" xfId="29142" xr:uid="{00000000-0005-0000-0000-000079310000}"/>
    <cellStyle name="20% - Accent4 3 6 2 7" xfId="36532" xr:uid="{00000000-0005-0000-0000-00007A310000}"/>
    <cellStyle name="20% - Accent4 3 6 2 8" xfId="42009" xr:uid="{00000000-0005-0000-0000-00007B310000}"/>
    <cellStyle name="20% - Accent4 3 6 2 9" xfId="47486" xr:uid="{00000000-0005-0000-0000-00007C310000}"/>
    <cellStyle name="20% - Accent4 3 6 3" xfId="4600" xr:uid="{00000000-0005-0000-0000-00007D310000}"/>
    <cellStyle name="20% - Accent4 3 6 3 10" xfId="54776" xr:uid="{00000000-0005-0000-0000-00007E310000}"/>
    <cellStyle name="20% - Accent4 3 6 3 2" xfId="10080" xr:uid="{00000000-0005-0000-0000-00007F310000}"/>
    <cellStyle name="20% - Accent4 3 6 3 3" xfId="15556" xr:uid="{00000000-0005-0000-0000-000080310000}"/>
    <cellStyle name="20% - Accent4 3 6 3 4" xfId="21032" xr:uid="{00000000-0005-0000-0000-000081310000}"/>
    <cellStyle name="20% - Accent4 3 6 3 5" xfId="26508" xr:uid="{00000000-0005-0000-0000-000082310000}"/>
    <cellStyle name="20% - Accent4 3 6 3 6" xfId="29144" xr:uid="{00000000-0005-0000-0000-000083310000}"/>
    <cellStyle name="20% - Accent4 3 6 3 7" xfId="38304" xr:uid="{00000000-0005-0000-0000-000084310000}"/>
    <cellStyle name="20% - Accent4 3 6 3 8" xfId="43781" xr:uid="{00000000-0005-0000-0000-000085310000}"/>
    <cellStyle name="20% - Accent4 3 6 3 9" xfId="49258" xr:uid="{00000000-0005-0000-0000-000086310000}"/>
    <cellStyle name="20% - Accent4 3 6 4" xfId="6007" xr:uid="{00000000-0005-0000-0000-000087310000}"/>
    <cellStyle name="20% - Accent4 3 6 5" xfId="11487" xr:uid="{00000000-0005-0000-0000-000088310000}"/>
    <cellStyle name="20% - Accent4 3 6 6" xfId="16963" xr:uid="{00000000-0005-0000-0000-000089310000}"/>
    <cellStyle name="20% - Accent4 3 6 7" xfId="22439" xr:uid="{00000000-0005-0000-0000-00008A310000}"/>
    <cellStyle name="20% - Accent4 3 6 8" xfId="29141" xr:uid="{00000000-0005-0000-0000-00008B310000}"/>
    <cellStyle name="20% - Accent4 3 6 9" xfId="34234" xr:uid="{00000000-0005-0000-0000-00008C310000}"/>
    <cellStyle name="20% - Accent4 3 7" xfId="1239" xr:uid="{00000000-0005-0000-0000-00008D310000}"/>
    <cellStyle name="20% - Accent4 3 7 10" xfId="39712" xr:uid="{00000000-0005-0000-0000-00008E310000}"/>
    <cellStyle name="20% - Accent4 3 7 11" xfId="45189" xr:uid="{00000000-0005-0000-0000-00008F310000}"/>
    <cellStyle name="20% - Accent4 3 7 12" xfId="50667" xr:uid="{00000000-0005-0000-0000-000090310000}"/>
    <cellStyle name="20% - Accent4 3 7 2" xfId="3000" xr:uid="{00000000-0005-0000-0000-000091310000}"/>
    <cellStyle name="20% - Accent4 3 7 2 10" xfId="53176" xr:uid="{00000000-0005-0000-0000-000092310000}"/>
    <cellStyle name="20% - Accent4 3 7 2 2" xfId="8480" xr:uid="{00000000-0005-0000-0000-000093310000}"/>
    <cellStyle name="20% - Accent4 3 7 2 2 2" xfId="29147" xr:uid="{00000000-0005-0000-0000-000094310000}"/>
    <cellStyle name="20% - Accent4 3 7 2 3" xfId="13956" xr:uid="{00000000-0005-0000-0000-000095310000}"/>
    <cellStyle name="20% - Accent4 3 7 2 4" xfId="19432" xr:uid="{00000000-0005-0000-0000-000096310000}"/>
    <cellStyle name="20% - Accent4 3 7 2 5" xfId="24908" xr:uid="{00000000-0005-0000-0000-000097310000}"/>
    <cellStyle name="20% - Accent4 3 7 2 6" xfId="29146" xr:uid="{00000000-0005-0000-0000-000098310000}"/>
    <cellStyle name="20% - Accent4 3 7 2 7" xfId="36704" xr:uid="{00000000-0005-0000-0000-000099310000}"/>
    <cellStyle name="20% - Accent4 3 7 2 8" xfId="42181" xr:uid="{00000000-0005-0000-0000-00009A310000}"/>
    <cellStyle name="20% - Accent4 3 7 2 9" xfId="47658" xr:uid="{00000000-0005-0000-0000-00009B310000}"/>
    <cellStyle name="20% - Accent4 3 7 3" xfId="4772" xr:uid="{00000000-0005-0000-0000-00009C310000}"/>
    <cellStyle name="20% - Accent4 3 7 3 10" xfId="54948" xr:uid="{00000000-0005-0000-0000-00009D310000}"/>
    <cellStyle name="20% - Accent4 3 7 3 2" xfId="10252" xr:uid="{00000000-0005-0000-0000-00009E310000}"/>
    <cellStyle name="20% - Accent4 3 7 3 3" xfId="15728" xr:uid="{00000000-0005-0000-0000-00009F310000}"/>
    <cellStyle name="20% - Accent4 3 7 3 4" xfId="21204" xr:uid="{00000000-0005-0000-0000-0000A0310000}"/>
    <cellStyle name="20% - Accent4 3 7 3 5" xfId="26680" xr:uid="{00000000-0005-0000-0000-0000A1310000}"/>
    <cellStyle name="20% - Accent4 3 7 3 6" xfId="29148" xr:uid="{00000000-0005-0000-0000-0000A2310000}"/>
    <cellStyle name="20% - Accent4 3 7 3 7" xfId="38476" xr:uid="{00000000-0005-0000-0000-0000A3310000}"/>
    <cellStyle name="20% - Accent4 3 7 3 8" xfId="43953" xr:uid="{00000000-0005-0000-0000-0000A4310000}"/>
    <cellStyle name="20% - Accent4 3 7 3 9" xfId="49430" xr:uid="{00000000-0005-0000-0000-0000A5310000}"/>
    <cellStyle name="20% - Accent4 3 7 4" xfId="6008" xr:uid="{00000000-0005-0000-0000-0000A6310000}"/>
    <cellStyle name="20% - Accent4 3 7 5" xfId="11488" xr:uid="{00000000-0005-0000-0000-0000A7310000}"/>
    <cellStyle name="20% - Accent4 3 7 6" xfId="16964" xr:uid="{00000000-0005-0000-0000-0000A8310000}"/>
    <cellStyle name="20% - Accent4 3 7 7" xfId="22440" xr:uid="{00000000-0005-0000-0000-0000A9310000}"/>
    <cellStyle name="20% - Accent4 3 7 8" xfId="29145" xr:uid="{00000000-0005-0000-0000-0000AA310000}"/>
    <cellStyle name="20% - Accent4 3 7 9" xfId="34235" xr:uid="{00000000-0005-0000-0000-0000AB310000}"/>
    <cellStyle name="20% - Accent4 3 8" xfId="1411" xr:uid="{00000000-0005-0000-0000-0000AC310000}"/>
    <cellStyle name="20% - Accent4 3 8 10" xfId="39713" xr:uid="{00000000-0005-0000-0000-0000AD310000}"/>
    <cellStyle name="20% - Accent4 3 8 11" xfId="45190" xr:uid="{00000000-0005-0000-0000-0000AE310000}"/>
    <cellStyle name="20% - Accent4 3 8 12" xfId="50668" xr:uid="{00000000-0005-0000-0000-0000AF310000}"/>
    <cellStyle name="20% - Accent4 3 8 2" xfId="3172" xr:uid="{00000000-0005-0000-0000-0000B0310000}"/>
    <cellStyle name="20% - Accent4 3 8 2 10" xfId="53348" xr:uid="{00000000-0005-0000-0000-0000B1310000}"/>
    <cellStyle name="20% - Accent4 3 8 2 2" xfId="8652" xr:uid="{00000000-0005-0000-0000-0000B2310000}"/>
    <cellStyle name="20% - Accent4 3 8 2 3" xfId="14128" xr:uid="{00000000-0005-0000-0000-0000B3310000}"/>
    <cellStyle name="20% - Accent4 3 8 2 4" xfId="19604" xr:uid="{00000000-0005-0000-0000-0000B4310000}"/>
    <cellStyle name="20% - Accent4 3 8 2 5" xfId="25080" xr:uid="{00000000-0005-0000-0000-0000B5310000}"/>
    <cellStyle name="20% - Accent4 3 8 2 6" xfId="29150" xr:uid="{00000000-0005-0000-0000-0000B6310000}"/>
    <cellStyle name="20% - Accent4 3 8 2 7" xfId="36876" xr:uid="{00000000-0005-0000-0000-0000B7310000}"/>
    <cellStyle name="20% - Accent4 3 8 2 8" xfId="42353" xr:uid="{00000000-0005-0000-0000-0000B8310000}"/>
    <cellStyle name="20% - Accent4 3 8 2 9" xfId="47830" xr:uid="{00000000-0005-0000-0000-0000B9310000}"/>
    <cellStyle name="20% - Accent4 3 8 3" xfId="4944" xr:uid="{00000000-0005-0000-0000-0000BA310000}"/>
    <cellStyle name="20% - Accent4 3 8 3 2" xfId="10424" xr:uid="{00000000-0005-0000-0000-0000BB310000}"/>
    <cellStyle name="20% - Accent4 3 8 3 3" xfId="15900" xr:uid="{00000000-0005-0000-0000-0000BC310000}"/>
    <cellStyle name="20% - Accent4 3 8 3 4" xfId="21376" xr:uid="{00000000-0005-0000-0000-0000BD310000}"/>
    <cellStyle name="20% - Accent4 3 8 3 5" xfId="26852" xr:uid="{00000000-0005-0000-0000-0000BE310000}"/>
    <cellStyle name="20% - Accent4 3 8 3 6" xfId="38648" xr:uid="{00000000-0005-0000-0000-0000BF310000}"/>
    <cellStyle name="20% - Accent4 3 8 3 7" xfId="44125" xr:uid="{00000000-0005-0000-0000-0000C0310000}"/>
    <cellStyle name="20% - Accent4 3 8 3 8" xfId="49602" xr:uid="{00000000-0005-0000-0000-0000C1310000}"/>
    <cellStyle name="20% - Accent4 3 8 3 9" xfId="55120" xr:uid="{00000000-0005-0000-0000-0000C2310000}"/>
    <cellStyle name="20% - Accent4 3 8 4" xfId="6009" xr:uid="{00000000-0005-0000-0000-0000C3310000}"/>
    <cellStyle name="20% - Accent4 3 8 5" xfId="11489" xr:uid="{00000000-0005-0000-0000-0000C4310000}"/>
    <cellStyle name="20% - Accent4 3 8 6" xfId="16965" xr:uid="{00000000-0005-0000-0000-0000C5310000}"/>
    <cellStyle name="20% - Accent4 3 8 7" xfId="22441" xr:uid="{00000000-0005-0000-0000-0000C6310000}"/>
    <cellStyle name="20% - Accent4 3 8 8" xfId="29149" xr:uid="{00000000-0005-0000-0000-0000C7310000}"/>
    <cellStyle name="20% - Accent4 3 8 9" xfId="34236" xr:uid="{00000000-0005-0000-0000-0000C8310000}"/>
    <cellStyle name="20% - Accent4 3 9" xfId="1583" xr:uid="{00000000-0005-0000-0000-0000C9310000}"/>
    <cellStyle name="20% - Accent4 3 9 10" xfId="39714" xr:uid="{00000000-0005-0000-0000-0000CA310000}"/>
    <cellStyle name="20% - Accent4 3 9 11" xfId="45191" xr:uid="{00000000-0005-0000-0000-0000CB310000}"/>
    <cellStyle name="20% - Accent4 3 9 12" xfId="50669" xr:uid="{00000000-0005-0000-0000-0000CC310000}"/>
    <cellStyle name="20% - Accent4 3 9 2" xfId="3344" xr:uid="{00000000-0005-0000-0000-0000CD310000}"/>
    <cellStyle name="20% - Accent4 3 9 2 2" xfId="8824" xr:uid="{00000000-0005-0000-0000-0000CE310000}"/>
    <cellStyle name="20% - Accent4 3 9 2 3" xfId="14300" xr:uid="{00000000-0005-0000-0000-0000CF310000}"/>
    <cellStyle name="20% - Accent4 3 9 2 4" xfId="19776" xr:uid="{00000000-0005-0000-0000-0000D0310000}"/>
    <cellStyle name="20% - Accent4 3 9 2 5" xfId="25252" xr:uid="{00000000-0005-0000-0000-0000D1310000}"/>
    <cellStyle name="20% - Accent4 3 9 2 6" xfId="37048" xr:uid="{00000000-0005-0000-0000-0000D2310000}"/>
    <cellStyle name="20% - Accent4 3 9 2 7" xfId="42525" xr:uid="{00000000-0005-0000-0000-0000D3310000}"/>
    <cellStyle name="20% - Accent4 3 9 2 8" xfId="48002" xr:uid="{00000000-0005-0000-0000-0000D4310000}"/>
    <cellStyle name="20% - Accent4 3 9 2 9" xfId="53520" xr:uid="{00000000-0005-0000-0000-0000D5310000}"/>
    <cellStyle name="20% - Accent4 3 9 3" xfId="5116" xr:uid="{00000000-0005-0000-0000-0000D6310000}"/>
    <cellStyle name="20% - Accent4 3 9 3 2" xfId="10596" xr:uid="{00000000-0005-0000-0000-0000D7310000}"/>
    <cellStyle name="20% - Accent4 3 9 3 3" xfId="16072" xr:uid="{00000000-0005-0000-0000-0000D8310000}"/>
    <cellStyle name="20% - Accent4 3 9 3 4" xfId="21548" xr:uid="{00000000-0005-0000-0000-0000D9310000}"/>
    <cellStyle name="20% - Accent4 3 9 3 5" xfId="27024" xr:uid="{00000000-0005-0000-0000-0000DA310000}"/>
    <cellStyle name="20% - Accent4 3 9 3 6" xfId="38820" xr:uid="{00000000-0005-0000-0000-0000DB310000}"/>
    <cellStyle name="20% - Accent4 3 9 3 7" xfId="44297" xr:uid="{00000000-0005-0000-0000-0000DC310000}"/>
    <cellStyle name="20% - Accent4 3 9 3 8" xfId="49774" xr:uid="{00000000-0005-0000-0000-0000DD310000}"/>
    <cellStyle name="20% - Accent4 3 9 3 9" xfId="55292" xr:uid="{00000000-0005-0000-0000-0000DE310000}"/>
    <cellStyle name="20% - Accent4 3 9 4" xfId="6010" xr:uid="{00000000-0005-0000-0000-0000DF310000}"/>
    <cellStyle name="20% - Accent4 3 9 5" xfId="11490" xr:uid="{00000000-0005-0000-0000-0000E0310000}"/>
    <cellStyle name="20% - Accent4 3 9 6" xfId="16966" xr:uid="{00000000-0005-0000-0000-0000E1310000}"/>
    <cellStyle name="20% - Accent4 3 9 7" xfId="22442" xr:uid="{00000000-0005-0000-0000-0000E2310000}"/>
    <cellStyle name="20% - Accent4 3 9 8" xfId="29151" xr:uid="{00000000-0005-0000-0000-0000E3310000}"/>
    <cellStyle name="20% - Accent4 3 9 9" xfId="34237" xr:uid="{00000000-0005-0000-0000-0000E4310000}"/>
    <cellStyle name="20% - Accent4 4" xfId="317" xr:uid="{00000000-0005-0000-0000-0000E5310000}"/>
    <cellStyle name="20% - Accent4 4 10" xfId="1946" xr:uid="{00000000-0005-0000-0000-0000E6310000}"/>
    <cellStyle name="20% - Accent4 4 10 10" xfId="52123" xr:uid="{00000000-0005-0000-0000-0000E7310000}"/>
    <cellStyle name="20% - Accent4 4 10 2" xfId="5478" xr:uid="{00000000-0005-0000-0000-0000E8310000}"/>
    <cellStyle name="20% - Accent4 4 10 2 2" xfId="10958" xr:uid="{00000000-0005-0000-0000-0000E9310000}"/>
    <cellStyle name="20% - Accent4 4 10 2 3" xfId="16434" xr:uid="{00000000-0005-0000-0000-0000EA310000}"/>
    <cellStyle name="20% - Accent4 4 10 2 4" xfId="21910" xr:uid="{00000000-0005-0000-0000-0000EB310000}"/>
    <cellStyle name="20% - Accent4 4 10 2 5" xfId="27386" xr:uid="{00000000-0005-0000-0000-0000EC310000}"/>
    <cellStyle name="20% - Accent4 4 10 2 6" xfId="39182" xr:uid="{00000000-0005-0000-0000-0000ED310000}"/>
    <cellStyle name="20% - Accent4 4 10 2 7" xfId="44659" xr:uid="{00000000-0005-0000-0000-0000EE310000}"/>
    <cellStyle name="20% - Accent4 4 10 2 8" xfId="50136" xr:uid="{00000000-0005-0000-0000-0000EF310000}"/>
    <cellStyle name="20% - Accent4 4 10 2 9" xfId="55654" xr:uid="{00000000-0005-0000-0000-0000F0310000}"/>
    <cellStyle name="20% - Accent4 4 10 3" xfId="7427" xr:uid="{00000000-0005-0000-0000-0000F1310000}"/>
    <cellStyle name="20% - Accent4 4 10 4" xfId="12903" xr:uid="{00000000-0005-0000-0000-0000F2310000}"/>
    <cellStyle name="20% - Accent4 4 10 5" xfId="18379" xr:uid="{00000000-0005-0000-0000-0000F3310000}"/>
    <cellStyle name="20% - Accent4 4 10 6" xfId="23855" xr:uid="{00000000-0005-0000-0000-0000F4310000}"/>
    <cellStyle name="20% - Accent4 4 10 7" xfId="35651" xr:uid="{00000000-0005-0000-0000-0000F5310000}"/>
    <cellStyle name="20% - Accent4 4 10 8" xfId="41128" xr:uid="{00000000-0005-0000-0000-0000F6310000}"/>
    <cellStyle name="20% - Accent4 4 10 9" xfId="46605" xr:uid="{00000000-0005-0000-0000-0000F7310000}"/>
    <cellStyle name="20% - Accent4 4 11" xfId="3879" xr:uid="{00000000-0005-0000-0000-0000F8310000}"/>
    <cellStyle name="20% - Accent4 4 11 2" xfId="9359" xr:uid="{00000000-0005-0000-0000-0000F9310000}"/>
    <cellStyle name="20% - Accent4 4 11 3" xfId="14835" xr:uid="{00000000-0005-0000-0000-0000FA310000}"/>
    <cellStyle name="20% - Accent4 4 11 4" xfId="20311" xr:uid="{00000000-0005-0000-0000-0000FB310000}"/>
    <cellStyle name="20% - Accent4 4 11 5" xfId="25787" xr:uid="{00000000-0005-0000-0000-0000FC310000}"/>
    <cellStyle name="20% - Accent4 4 11 6" xfId="37583" xr:uid="{00000000-0005-0000-0000-0000FD310000}"/>
    <cellStyle name="20% - Accent4 4 11 7" xfId="43060" xr:uid="{00000000-0005-0000-0000-0000FE310000}"/>
    <cellStyle name="20% - Accent4 4 11 8" xfId="48537" xr:uid="{00000000-0005-0000-0000-0000FF310000}"/>
    <cellStyle name="20% - Accent4 4 11 9" xfId="54055" xr:uid="{00000000-0005-0000-0000-000000320000}"/>
    <cellStyle name="20% - Accent4 4 12" xfId="6011" xr:uid="{00000000-0005-0000-0000-000001320000}"/>
    <cellStyle name="20% - Accent4 4 13" xfId="11491" xr:uid="{00000000-0005-0000-0000-000002320000}"/>
    <cellStyle name="20% - Accent4 4 14" xfId="16967" xr:uid="{00000000-0005-0000-0000-000003320000}"/>
    <cellStyle name="20% - Accent4 4 15" xfId="22443" xr:uid="{00000000-0005-0000-0000-000004320000}"/>
    <cellStyle name="20% - Accent4 4 16" xfId="29152" xr:uid="{00000000-0005-0000-0000-000005320000}"/>
    <cellStyle name="20% - Accent4 4 17" xfId="34238" xr:uid="{00000000-0005-0000-0000-000006320000}"/>
    <cellStyle name="20% - Accent4 4 18" xfId="39715" xr:uid="{00000000-0005-0000-0000-000007320000}"/>
    <cellStyle name="20% - Accent4 4 19" xfId="45192" xr:uid="{00000000-0005-0000-0000-000008320000}"/>
    <cellStyle name="20% - Accent4 4 2" xfId="518" xr:uid="{00000000-0005-0000-0000-000009320000}"/>
    <cellStyle name="20% - Accent4 4 2 10" xfId="39716" xr:uid="{00000000-0005-0000-0000-00000A320000}"/>
    <cellStyle name="20% - Accent4 4 2 11" xfId="45193" xr:uid="{00000000-0005-0000-0000-00000B320000}"/>
    <cellStyle name="20% - Accent4 4 2 12" xfId="50671" xr:uid="{00000000-0005-0000-0000-00000C320000}"/>
    <cellStyle name="20% - Accent4 4 2 2" xfId="2279" xr:uid="{00000000-0005-0000-0000-00000D320000}"/>
    <cellStyle name="20% - Accent4 4 2 2 10" xfId="52455" xr:uid="{00000000-0005-0000-0000-00000E320000}"/>
    <cellStyle name="20% - Accent4 4 2 2 2" xfId="7759" xr:uid="{00000000-0005-0000-0000-00000F320000}"/>
    <cellStyle name="20% - Accent4 4 2 2 2 2" xfId="29155" xr:uid="{00000000-0005-0000-0000-000010320000}"/>
    <cellStyle name="20% - Accent4 4 2 2 3" xfId="13235" xr:uid="{00000000-0005-0000-0000-000011320000}"/>
    <cellStyle name="20% - Accent4 4 2 2 4" xfId="18711" xr:uid="{00000000-0005-0000-0000-000012320000}"/>
    <cellStyle name="20% - Accent4 4 2 2 5" xfId="24187" xr:uid="{00000000-0005-0000-0000-000013320000}"/>
    <cellStyle name="20% - Accent4 4 2 2 6" xfId="29154" xr:uid="{00000000-0005-0000-0000-000014320000}"/>
    <cellStyle name="20% - Accent4 4 2 2 7" xfId="35983" xr:uid="{00000000-0005-0000-0000-000015320000}"/>
    <cellStyle name="20% - Accent4 4 2 2 8" xfId="41460" xr:uid="{00000000-0005-0000-0000-000016320000}"/>
    <cellStyle name="20% - Accent4 4 2 2 9" xfId="46937" xr:uid="{00000000-0005-0000-0000-000017320000}"/>
    <cellStyle name="20% - Accent4 4 2 3" xfId="4051" xr:uid="{00000000-0005-0000-0000-000018320000}"/>
    <cellStyle name="20% - Accent4 4 2 3 10" xfId="54227" xr:uid="{00000000-0005-0000-0000-000019320000}"/>
    <cellStyle name="20% - Accent4 4 2 3 2" xfId="9531" xr:uid="{00000000-0005-0000-0000-00001A320000}"/>
    <cellStyle name="20% - Accent4 4 2 3 3" xfId="15007" xr:uid="{00000000-0005-0000-0000-00001B320000}"/>
    <cellStyle name="20% - Accent4 4 2 3 4" xfId="20483" xr:uid="{00000000-0005-0000-0000-00001C320000}"/>
    <cellStyle name="20% - Accent4 4 2 3 5" xfId="25959" xr:uid="{00000000-0005-0000-0000-00001D320000}"/>
    <cellStyle name="20% - Accent4 4 2 3 6" xfId="29156" xr:uid="{00000000-0005-0000-0000-00001E320000}"/>
    <cellStyle name="20% - Accent4 4 2 3 7" xfId="37755" xr:uid="{00000000-0005-0000-0000-00001F320000}"/>
    <cellStyle name="20% - Accent4 4 2 3 8" xfId="43232" xr:uid="{00000000-0005-0000-0000-000020320000}"/>
    <cellStyle name="20% - Accent4 4 2 3 9" xfId="48709" xr:uid="{00000000-0005-0000-0000-000021320000}"/>
    <cellStyle name="20% - Accent4 4 2 4" xfId="6012" xr:uid="{00000000-0005-0000-0000-000022320000}"/>
    <cellStyle name="20% - Accent4 4 2 5" xfId="11492" xr:uid="{00000000-0005-0000-0000-000023320000}"/>
    <cellStyle name="20% - Accent4 4 2 6" xfId="16968" xr:uid="{00000000-0005-0000-0000-000024320000}"/>
    <cellStyle name="20% - Accent4 4 2 7" xfId="22444" xr:uid="{00000000-0005-0000-0000-000025320000}"/>
    <cellStyle name="20% - Accent4 4 2 8" xfId="29153" xr:uid="{00000000-0005-0000-0000-000026320000}"/>
    <cellStyle name="20% - Accent4 4 2 9" xfId="34239" xr:uid="{00000000-0005-0000-0000-000027320000}"/>
    <cellStyle name="20% - Accent4 4 20" xfId="50670" xr:uid="{00000000-0005-0000-0000-000028320000}"/>
    <cellStyle name="20% - Accent4 4 3" xfId="690" xr:uid="{00000000-0005-0000-0000-000029320000}"/>
    <cellStyle name="20% - Accent4 4 3 10" xfId="39717" xr:uid="{00000000-0005-0000-0000-00002A320000}"/>
    <cellStyle name="20% - Accent4 4 3 11" xfId="45194" xr:uid="{00000000-0005-0000-0000-00002B320000}"/>
    <cellStyle name="20% - Accent4 4 3 12" xfId="50672" xr:uid="{00000000-0005-0000-0000-00002C320000}"/>
    <cellStyle name="20% - Accent4 4 3 2" xfId="2451" xr:uid="{00000000-0005-0000-0000-00002D320000}"/>
    <cellStyle name="20% - Accent4 4 3 2 10" xfId="52627" xr:uid="{00000000-0005-0000-0000-00002E320000}"/>
    <cellStyle name="20% - Accent4 4 3 2 2" xfId="7931" xr:uid="{00000000-0005-0000-0000-00002F320000}"/>
    <cellStyle name="20% - Accent4 4 3 2 2 2" xfId="29159" xr:uid="{00000000-0005-0000-0000-000030320000}"/>
    <cellStyle name="20% - Accent4 4 3 2 3" xfId="13407" xr:uid="{00000000-0005-0000-0000-000031320000}"/>
    <cellStyle name="20% - Accent4 4 3 2 4" xfId="18883" xr:uid="{00000000-0005-0000-0000-000032320000}"/>
    <cellStyle name="20% - Accent4 4 3 2 5" xfId="24359" xr:uid="{00000000-0005-0000-0000-000033320000}"/>
    <cellStyle name="20% - Accent4 4 3 2 6" xfId="29158" xr:uid="{00000000-0005-0000-0000-000034320000}"/>
    <cellStyle name="20% - Accent4 4 3 2 7" xfId="36155" xr:uid="{00000000-0005-0000-0000-000035320000}"/>
    <cellStyle name="20% - Accent4 4 3 2 8" xfId="41632" xr:uid="{00000000-0005-0000-0000-000036320000}"/>
    <cellStyle name="20% - Accent4 4 3 2 9" xfId="47109" xr:uid="{00000000-0005-0000-0000-000037320000}"/>
    <cellStyle name="20% - Accent4 4 3 3" xfId="4223" xr:uid="{00000000-0005-0000-0000-000038320000}"/>
    <cellStyle name="20% - Accent4 4 3 3 10" xfId="54399" xr:uid="{00000000-0005-0000-0000-000039320000}"/>
    <cellStyle name="20% - Accent4 4 3 3 2" xfId="9703" xr:uid="{00000000-0005-0000-0000-00003A320000}"/>
    <cellStyle name="20% - Accent4 4 3 3 3" xfId="15179" xr:uid="{00000000-0005-0000-0000-00003B320000}"/>
    <cellStyle name="20% - Accent4 4 3 3 4" xfId="20655" xr:uid="{00000000-0005-0000-0000-00003C320000}"/>
    <cellStyle name="20% - Accent4 4 3 3 5" xfId="26131" xr:uid="{00000000-0005-0000-0000-00003D320000}"/>
    <cellStyle name="20% - Accent4 4 3 3 6" xfId="29160" xr:uid="{00000000-0005-0000-0000-00003E320000}"/>
    <cellStyle name="20% - Accent4 4 3 3 7" xfId="37927" xr:uid="{00000000-0005-0000-0000-00003F320000}"/>
    <cellStyle name="20% - Accent4 4 3 3 8" xfId="43404" xr:uid="{00000000-0005-0000-0000-000040320000}"/>
    <cellStyle name="20% - Accent4 4 3 3 9" xfId="48881" xr:uid="{00000000-0005-0000-0000-000041320000}"/>
    <cellStyle name="20% - Accent4 4 3 4" xfId="6013" xr:uid="{00000000-0005-0000-0000-000042320000}"/>
    <cellStyle name="20% - Accent4 4 3 5" xfId="11493" xr:uid="{00000000-0005-0000-0000-000043320000}"/>
    <cellStyle name="20% - Accent4 4 3 6" xfId="16969" xr:uid="{00000000-0005-0000-0000-000044320000}"/>
    <cellStyle name="20% - Accent4 4 3 7" xfId="22445" xr:uid="{00000000-0005-0000-0000-000045320000}"/>
    <cellStyle name="20% - Accent4 4 3 8" xfId="29157" xr:uid="{00000000-0005-0000-0000-000046320000}"/>
    <cellStyle name="20% - Accent4 4 3 9" xfId="34240" xr:uid="{00000000-0005-0000-0000-000047320000}"/>
    <cellStyle name="20% - Accent4 4 4" xfId="862" xr:uid="{00000000-0005-0000-0000-000048320000}"/>
    <cellStyle name="20% - Accent4 4 4 10" xfId="39718" xr:uid="{00000000-0005-0000-0000-000049320000}"/>
    <cellStyle name="20% - Accent4 4 4 11" xfId="45195" xr:uid="{00000000-0005-0000-0000-00004A320000}"/>
    <cellStyle name="20% - Accent4 4 4 12" xfId="50673" xr:uid="{00000000-0005-0000-0000-00004B320000}"/>
    <cellStyle name="20% - Accent4 4 4 2" xfId="2623" xr:uid="{00000000-0005-0000-0000-00004C320000}"/>
    <cellStyle name="20% - Accent4 4 4 2 10" xfId="52799" xr:uid="{00000000-0005-0000-0000-00004D320000}"/>
    <cellStyle name="20% - Accent4 4 4 2 2" xfId="8103" xr:uid="{00000000-0005-0000-0000-00004E320000}"/>
    <cellStyle name="20% - Accent4 4 4 2 2 2" xfId="29163" xr:uid="{00000000-0005-0000-0000-00004F320000}"/>
    <cellStyle name="20% - Accent4 4 4 2 3" xfId="13579" xr:uid="{00000000-0005-0000-0000-000050320000}"/>
    <cellStyle name="20% - Accent4 4 4 2 4" xfId="19055" xr:uid="{00000000-0005-0000-0000-000051320000}"/>
    <cellStyle name="20% - Accent4 4 4 2 5" xfId="24531" xr:uid="{00000000-0005-0000-0000-000052320000}"/>
    <cellStyle name="20% - Accent4 4 4 2 6" xfId="29162" xr:uid="{00000000-0005-0000-0000-000053320000}"/>
    <cellStyle name="20% - Accent4 4 4 2 7" xfId="36327" xr:uid="{00000000-0005-0000-0000-000054320000}"/>
    <cellStyle name="20% - Accent4 4 4 2 8" xfId="41804" xr:uid="{00000000-0005-0000-0000-000055320000}"/>
    <cellStyle name="20% - Accent4 4 4 2 9" xfId="47281" xr:uid="{00000000-0005-0000-0000-000056320000}"/>
    <cellStyle name="20% - Accent4 4 4 3" xfId="4395" xr:uid="{00000000-0005-0000-0000-000057320000}"/>
    <cellStyle name="20% - Accent4 4 4 3 10" xfId="54571" xr:uid="{00000000-0005-0000-0000-000058320000}"/>
    <cellStyle name="20% - Accent4 4 4 3 2" xfId="9875" xr:uid="{00000000-0005-0000-0000-000059320000}"/>
    <cellStyle name="20% - Accent4 4 4 3 3" xfId="15351" xr:uid="{00000000-0005-0000-0000-00005A320000}"/>
    <cellStyle name="20% - Accent4 4 4 3 4" xfId="20827" xr:uid="{00000000-0005-0000-0000-00005B320000}"/>
    <cellStyle name="20% - Accent4 4 4 3 5" xfId="26303" xr:uid="{00000000-0005-0000-0000-00005C320000}"/>
    <cellStyle name="20% - Accent4 4 4 3 6" xfId="29164" xr:uid="{00000000-0005-0000-0000-00005D320000}"/>
    <cellStyle name="20% - Accent4 4 4 3 7" xfId="38099" xr:uid="{00000000-0005-0000-0000-00005E320000}"/>
    <cellStyle name="20% - Accent4 4 4 3 8" xfId="43576" xr:uid="{00000000-0005-0000-0000-00005F320000}"/>
    <cellStyle name="20% - Accent4 4 4 3 9" xfId="49053" xr:uid="{00000000-0005-0000-0000-000060320000}"/>
    <cellStyle name="20% - Accent4 4 4 4" xfId="6014" xr:uid="{00000000-0005-0000-0000-000061320000}"/>
    <cellStyle name="20% - Accent4 4 4 5" xfId="11494" xr:uid="{00000000-0005-0000-0000-000062320000}"/>
    <cellStyle name="20% - Accent4 4 4 6" xfId="16970" xr:uid="{00000000-0005-0000-0000-000063320000}"/>
    <cellStyle name="20% - Accent4 4 4 7" xfId="22446" xr:uid="{00000000-0005-0000-0000-000064320000}"/>
    <cellStyle name="20% - Accent4 4 4 8" xfId="29161" xr:uid="{00000000-0005-0000-0000-000065320000}"/>
    <cellStyle name="20% - Accent4 4 4 9" xfId="34241" xr:uid="{00000000-0005-0000-0000-000066320000}"/>
    <cellStyle name="20% - Accent4 4 5" xfId="1068" xr:uid="{00000000-0005-0000-0000-000067320000}"/>
    <cellStyle name="20% - Accent4 4 5 10" xfId="39719" xr:uid="{00000000-0005-0000-0000-000068320000}"/>
    <cellStyle name="20% - Accent4 4 5 11" xfId="45196" xr:uid="{00000000-0005-0000-0000-000069320000}"/>
    <cellStyle name="20% - Accent4 4 5 12" xfId="50674" xr:uid="{00000000-0005-0000-0000-00006A320000}"/>
    <cellStyle name="20% - Accent4 4 5 2" xfId="2829" xr:uid="{00000000-0005-0000-0000-00006B320000}"/>
    <cellStyle name="20% - Accent4 4 5 2 10" xfId="53005" xr:uid="{00000000-0005-0000-0000-00006C320000}"/>
    <cellStyle name="20% - Accent4 4 5 2 2" xfId="8309" xr:uid="{00000000-0005-0000-0000-00006D320000}"/>
    <cellStyle name="20% - Accent4 4 5 2 2 2" xfId="29167" xr:uid="{00000000-0005-0000-0000-00006E320000}"/>
    <cellStyle name="20% - Accent4 4 5 2 3" xfId="13785" xr:uid="{00000000-0005-0000-0000-00006F320000}"/>
    <cellStyle name="20% - Accent4 4 5 2 4" xfId="19261" xr:uid="{00000000-0005-0000-0000-000070320000}"/>
    <cellStyle name="20% - Accent4 4 5 2 5" xfId="24737" xr:uid="{00000000-0005-0000-0000-000071320000}"/>
    <cellStyle name="20% - Accent4 4 5 2 6" xfId="29166" xr:uid="{00000000-0005-0000-0000-000072320000}"/>
    <cellStyle name="20% - Accent4 4 5 2 7" xfId="36533" xr:uid="{00000000-0005-0000-0000-000073320000}"/>
    <cellStyle name="20% - Accent4 4 5 2 8" xfId="42010" xr:uid="{00000000-0005-0000-0000-000074320000}"/>
    <cellStyle name="20% - Accent4 4 5 2 9" xfId="47487" xr:uid="{00000000-0005-0000-0000-000075320000}"/>
    <cellStyle name="20% - Accent4 4 5 3" xfId="4601" xr:uid="{00000000-0005-0000-0000-000076320000}"/>
    <cellStyle name="20% - Accent4 4 5 3 10" xfId="54777" xr:uid="{00000000-0005-0000-0000-000077320000}"/>
    <cellStyle name="20% - Accent4 4 5 3 2" xfId="10081" xr:uid="{00000000-0005-0000-0000-000078320000}"/>
    <cellStyle name="20% - Accent4 4 5 3 3" xfId="15557" xr:uid="{00000000-0005-0000-0000-000079320000}"/>
    <cellStyle name="20% - Accent4 4 5 3 4" xfId="21033" xr:uid="{00000000-0005-0000-0000-00007A320000}"/>
    <cellStyle name="20% - Accent4 4 5 3 5" xfId="26509" xr:uid="{00000000-0005-0000-0000-00007B320000}"/>
    <cellStyle name="20% - Accent4 4 5 3 6" xfId="29168" xr:uid="{00000000-0005-0000-0000-00007C320000}"/>
    <cellStyle name="20% - Accent4 4 5 3 7" xfId="38305" xr:uid="{00000000-0005-0000-0000-00007D320000}"/>
    <cellStyle name="20% - Accent4 4 5 3 8" xfId="43782" xr:uid="{00000000-0005-0000-0000-00007E320000}"/>
    <cellStyle name="20% - Accent4 4 5 3 9" xfId="49259" xr:uid="{00000000-0005-0000-0000-00007F320000}"/>
    <cellStyle name="20% - Accent4 4 5 4" xfId="6015" xr:uid="{00000000-0005-0000-0000-000080320000}"/>
    <cellStyle name="20% - Accent4 4 5 5" xfId="11495" xr:uid="{00000000-0005-0000-0000-000081320000}"/>
    <cellStyle name="20% - Accent4 4 5 6" xfId="16971" xr:uid="{00000000-0005-0000-0000-000082320000}"/>
    <cellStyle name="20% - Accent4 4 5 7" xfId="22447" xr:uid="{00000000-0005-0000-0000-000083320000}"/>
    <cellStyle name="20% - Accent4 4 5 8" xfId="29165" xr:uid="{00000000-0005-0000-0000-000084320000}"/>
    <cellStyle name="20% - Accent4 4 5 9" xfId="34242" xr:uid="{00000000-0005-0000-0000-000085320000}"/>
    <cellStyle name="20% - Accent4 4 6" xfId="1240" xr:uid="{00000000-0005-0000-0000-000086320000}"/>
    <cellStyle name="20% - Accent4 4 6 10" xfId="39720" xr:uid="{00000000-0005-0000-0000-000087320000}"/>
    <cellStyle name="20% - Accent4 4 6 11" xfId="45197" xr:uid="{00000000-0005-0000-0000-000088320000}"/>
    <cellStyle name="20% - Accent4 4 6 12" xfId="50675" xr:uid="{00000000-0005-0000-0000-000089320000}"/>
    <cellStyle name="20% - Accent4 4 6 2" xfId="3001" xr:uid="{00000000-0005-0000-0000-00008A320000}"/>
    <cellStyle name="20% - Accent4 4 6 2 10" xfId="53177" xr:uid="{00000000-0005-0000-0000-00008B320000}"/>
    <cellStyle name="20% - Accent4 4 6 2 2" xfId="8481" xr:uid="{00000000-0005-0000-0000-00008C320000}"/>
    <cellStyle name="20% - Accent4 4 6 2 2 2" xfId="29171" xr:uid="{00000000-0005-0000-0000-00008D320000}"/>
    <cellStyle name="20% - Accent4 4 6 2 3" xfId="13957" xr:uid="{00000000-0005-0000-0000-00008E320000}"/>
    <cellStyle name="20% - Accent4 4 6 2 4" xfId="19433" xr:uid="{00000000-0005-0000-0000-00008F320000}"/>
    <cellStyle name="20% - Accent4 4 6 2 5" xfId="24909" xr:uid="{00000000-0005-0000-0000-000090320000}"/>
    <cellStyle name="20% - Accent4 4 6 2 6" xfId="29170" xr:uid="{00000000-0005-0000-0000-000091320000}"/>
    <cellStyle name="20% - Accent4 4 6 2 7" xfId="36705" xr:uid="{00000000-0005-0000-0000-000092320000}"/>
    <cellStyle name="20% - Accent4 4 6 2 8" xfId="42182" xr:uid="{00000000-0005-0000-0000-000093320000}"/>
    <cellStyle name="20% - Accent4 4 6 2 9" xfId="47659" xr:uid="{00000000-0005-0000-0000-000094320000}"/>
    <cellStyle name="20% - Accent4 4 6 3" xfId="4773" xr:uid="{00000000-0005-0000-0000-000095320000}"/>
    <cellStyle name="20% - Accent4 4 6 3 10" xfId="54949" xr:uid="{00000000-0005-0000-0000-000096320000}"/>
    <cellStyle name="20% - Accent4 4 6 3 2" xfId="10253" xr:uid="{00000000-0005-0000-0000-000097320000}"/>
    <cellStyle name="20% - Accent4 4 6 3 3" xfId="15729" xr:uid="{00000000-0005-0000-0000-000098320000}"/>
    <cellStyle name="20% - Accent4 4 6 3 4" xfId="21205" xr:uid="{00000000-0005-0000-0000-000099320000}"/>
    <cellStyle name="20% - Accent4 4 6 3 5" xfId="26681" xr:uid="{00000000-0005-0000-0000-00009A320000}"/>
    <cellStyle name="20% - Accent4 4 6 3 6" xfId="29172" xr:uid="{00000000-0005-0000-0000-00009B320000}"/>
    <cellStyle name="20% - Accent4 4 6 3 7" xfId="38477" xr:uid="{00000000-0005-0000-0000-00009C320000}"/>
    <cellStyle name="20% - Accent4 4 6 3 8" xfId="43954" xr:uid="{00000000-0005-0000-0000-00009D320000}"/>
    <cellStyle name="20% - Accent4 4 6 3 9" xfId="49431" xr:uid="{00000000-0005-0000-0000-00009E320000}"/>
    <cellStyle name="20% - Accent4 4 6 4" xfId="6016" xr:uid="{00000000-0005-0000-0000-00009F320000}"/>
    <cellStyle name="20% - Accent4 4 6 5" xfId="11496" xr:uid="{00000000-0005-0000-0000-0000A0320000}"/>
    <cellStyle name="20% - Accent4 4 6 6" xfId="16972" xr:uid="{00000000-0005-0000-0000-0000A1320000}"/>
    <cellStyle name="20% - Accent4 4 6 7" xfId="22448" xr:uid="{00000000-0005-0000-0000-0000A2320000}"/>
    <cellStyle name="20% - Accent4 4 6 8" xfId="29169" xr:uid="{00000000-0005-0000-0000-0000A3320000}"/>
    <cellStyle name="20% - Accent4 4 6 9" xfId="34243" xr:uid="{00000000-0005-0000-0000-0000A4320000}"/>
    <cellStyle name="20% - Accent4 4 7" xfId="1412" xr:uid="{00000000-0005-0000-0000-0000A5320000}"/>
    <cellStyle name="20% - Accent4 4 7 10" xfId="39721" xr:uid="{00000000-0005-0000-0000-0000A6320000}"/>
    <cellStyle name="20% - Accent4 4 7 11" xfId="45198" xr:uid="{00000000-0005-0000-0000-0000A7320000}"/>
    <cellStyle name="20% - Accent4 4 7 12" xfId="50676" xr:uid="{00000000-0005-0000-0000-0000A8320000}"/>
    <cellStyle name="20% - Accent4 4 7 2" xfId="3173" xr:uid="{00000000-0005-0000-0000-0000A9320000}"/>
    <cellStyle name="20% - Accent4 4 7 2 10" xfId="53349" xr:uid="{00000000-0005-0000-0000-0000AA320000}"/>
    <cellStyle name="20% - Accent4 4 7 2 2" xfId="8653" xr:uid="{00000000-0005-0000-0000-0000AB320000}"/>
    <cellStyle name="20% - Accent4 4 7 2 2 2" xfId="29175" xr:uid="{00000000-0005-0000-0000-0000AC320000}"/>
    <cellStyle name="20% - Accent4 4 7 2 3" xfId="14129" xr:uid="{00000000-0005-0000-0000-0000AD320000}"/>
    <cellStyle name="20% - Accent4 4 7 2 4" xfId="19605" xr:uid="{00000000-0005-0000-0000-0000AE320000}"/>
    <cellStyle name="20% - Accent4 4 7 2 5" xfId="25081" xr:uid="{00000000-0005-0000-0000-0000AF320000}"/>
    <cellStyle name="20% - Accent4 4 7 2 6" xfId="29174" xr:uid="{00000000-0005-0000-0000-0000B0320000}"/>
    <cellStyle name="20% - Accent4 4 7 2 7" xfId="36877" xr:uid="{00000000-0005-0000-0000-0000B1320000}"/>
    <cellStyle name="20% - Accent4 4 7 2 8" xfId="42354" xr:uid="{00000000-0005-0000-0000-0000B2320000}"/>
    <cellStyle name="20% - Accent4 4 7 2 9" xfId="47831" xr:uid="{00000000-0005-0000-0000-0000B3320000}"/>
    <cellStyle name="20% - Accent4 4 7 3" xfId="4945" xr:uid="{00000000-0005-0000-0000-0000B4320000}"/>
    <cellStyle name="20% - Accent4 4 7 3 10" xfId="55121" xr:uid="{00000000-0005-0000-0000-0000B5320000}"/>
    <cellStyle name="20% - Accent4 4 7 3 2" xfId="10425" xr:uid="{00000000-0005-0000-0000-0000B6320000}"/>
    <cellStyle name="20% - Accent4 4 7 3 3" xfId="15901" xr:uid="{00000000-0005-0000-0000-0000B7320000}"/>
    <cellStyle name="20% - Accent4 4 7 3 4" xfId="21377" xr:uid="{00000000-0005-0000-0000-0000B8320000}"/>
    <cellStyle name="20% - Accent4 4 7 3 5" xfId="26853" xr:uid="{00000000-0005-0000-0000-0000B9320000}"/>
    <cellStyle name="20% - Accent4 4 7 3 6" xfId="29176" xr:uid="{00000000-0005-0000-0000-0000BA320000}"/>
    <cellStyle name="20% - Accent4 4 7 3 7" xfId="38649" xr:uid="{00000000-0005-0000-0000-0000BB320000}"/>
    <cellStyle name="20% - Accent4 4 7 3 8" xfId="44126" xr:uid="{00000000-0005-0000-0000-0000BC320000}"/>
    <cellStyle name="20% - Accent4 4 7 3 9" xfId="49603" xr:uid="{00000000-0005-0000-0000-0000BD320000}"/>
    <cellStyle name="20% - Accent4 4 7 4" xfId="6017" xr:uid="{00000000-0005-0000-0000-0000BE320000}"/>
    <cellStyle name="20% - Accent4 4 7 5" xfId="11497" xr:uid="{00000000-0005-0000-0000-0000BF320000}"/>
    <cellStyle name="20% - Accent4 4 7 6" xfId="16973" xr:uid="{00000000-0005-0000-0000-0000C0320000}"/>
    <cellStyle name="20% - Accent4 4 7 7" xfId="22449" xr:uid="{00000000-0005-0000-0000-0000C1320000}"/>
    <cellStyle name="20% - Accent4 4 7 8" xfId="29173" xr:uid="{00000000-0005-0000-0000-0000C2320000}"/>
    <cellStyle name="20% - Accent4 4 7 9" xfId="34244" xr:uid="{00000000-0005-0000-0000-0000C3320000}"/>
    <cellStyle name="20% - Accent4 4 8" xfId="1584" xr:uid="{00000000-0005-0000-0000-0000C4320000}"/>
    <cellStyle name="20% - Accent4 4 8 10" xfId="39722" xr:uid="{00000000-0005-0000-0000-0000C5320000}"/>
    <cellStyle name="20% - Accent4 4 8 11" xfId="45199" xr:uid="{00000000-0005-0000-0000-0000C6320000}"/>
    <cellStyle name="20% - Accent4 4 8 12" xfId="50677" xr:uid="{00000000-0005-0000-0000-0000C7320000}"/>
    <cellStyle name="20% - Accent4 4 8 2" xfId="3345" xr:uid="{00000000-0005-0000-0000-0000C8320000}"/>
    <cellStyle name="20% - Accent4 4 8 2 10" xfId="53521" xr:uid="{00000000-0005-0000-0000-0000C9320000}"/>
    <cellStyle name="20% - Accent4 4 8 2 2" xfId="8825" xr:uid="{00000000-0005-0000-0000-0000CA320000}"/>
    <cellStyle name="20% - Accent4 4 8 2 3" xfId="14301" xr:uid="{00000000-0005-0000-0000-0000CB320000}"/>
    <cellStyle name="20% - Accent4 4 8 2 4" xfId="19777" xr:uid="{00000000-0005-0000-0000-0000CC320000}"/>
    <cellStyle name="20% - Accent4 4 8 2 5" xfId="25253" xr:uid="{00000000-0005-0000-0000-0000CD320000}"/>
    <cellStyle name="20% - Accent4 4 8 2 6" xfId="29178" xr:uid="{00000000-0005-0000-0000-0000CE320000}"/>
    <cellStyle name="20% - Accent4 4 8 2 7" xfId="37049" xr:uid="{00000000-0005-0000-0000-0000CF320000}"/>
    <cellStyle name="20% - Accent4 4 8 2 8" xfId="42526" xr:uid="{00000000-0005-0000-0000-0000D0320000}"/>
    <cellStyle name="20% - Accent4 4 8 2 9" xfId="48003" xr:uid="{00000000-0005-0000-0000-0000D1320000}"/>
    <cellStyle name="20% - Accent4 4 8 3" xfId="5117" xr:uid="{00000000-0005-0000-0000-0000D2320000}"/>
    <cellStyle name="20% - Accent4 4 8 3 2" xfId="10597" xr:uid="{00000000-0005-0000-0000-0000D3320000}"/>
    <cellStyle name="20% - Accent4 4 8 3 3" xfId="16073" xr:uid="{00000000-0005-0000-0000-0000D4320000}"/>
    <cellStyle name="20% - Accent4 4 8 3 4" xfId="21549" xr:uid="{00000000-0005-0000-0000-0000D5320000}"/>
    <cellStyle name="20% - Accent4 4 8 3 5" xfId="27025" xr:uid="{00000000-0005-0000-0000-0000D6320000}"/>
    <cellStyle name="20% - Accent4 4 8 3 6" xfId="38821" xr:uid="{00000000-0005-0000-0000-0000D7320000}"/>
    <cellStyle name="20% - Accent4 4 8 3 7" xfId="44298" xr:uid="{00000000-0005-0000-0000-0000D8320000}"/>
    <cellStyle name="20% - Accent4 4 8 3 8" xfId="49775" xr:uid="{00000000-0005-0000-0000-0000D9320000}"/>
    <cellStyle name="20% - Accent4 4 8 3 9" xfId="55293" xr:uid="{00000000-0005-0000-0000-0000DA320000}"/>
    <cellStyle name="20% - Accent4 4 8 4" xfId="6018" xr:uid="{00000000-0005-0000-0000-0000DB320000}"/>
    <cellStyle name="20% - Accent4 4 8 5" xfId="11498" xr:uid="{00000000-0005-0000-0000-0000DC320000}"/>
    <cellStyle name="20% - Accent4 4 8 6" xfId="16974" xr:uid="{00000000-0005-0000-0000-0000DD320000}"/>
    <cellStyle name="20% - Accent4 4 8 7" xfId="22450" xr:uid="{00000000-0005-0000-0000-0000DE320000}"/>
    <cellStyle name="20% - Accent4 4 8 8" xfId="29177" xr:uid="{00000000-0005-0000-0000-0000DF320000}"/>
    <cellStyle name="20% - Accent4 4 8 9" xfId="34245" xr:uid="{00000000-0005-0000-0000-0000E0320000}"/>
    <cellStyle name="20% - Accent4 4 9" xfId="1824" xr:uid="{00000000-0005-0000-0000-0000E1320000}"/>
    <cellStyle name="20% - Accent4 4 9 10" xfId="39723" xr:uid="{00000000-0005-0000-0000-0000E2320000}"/>
    <cellStyle name="20% - Accent4 4 9 11" xfId="45200" xr:uid="{00000000-0005-0000-0000-0000E3320000}"/>
    <cellStyle name="20% - Accent4 4 9 12" xfId="50678" xr:uid="{00000000-0005-0000-0000-0000E4320000}"/>
    <cellStyle name="20% - Accent4 4 9 2" xfId="3585" xr:uid="{00000000-0005-0000-0000-0000E5320000}"/>
    <cellStyle name="20% - Accent4 4 9 2 2" xfId="9065" xr:uid="{00000000-0005-0000-0000-0000E6320000}"/>
    <cellStyle name="20% - Accent4 4 9 2 3" xfId="14541" xr:uid="{00000000-0005-0000-0000-0000E7320000}"/>
    <cellStyle name="20% - Accent4 4 9 2 4" xfId="20017" xr:uid="{00000000-0005-0000-0000-0000E8320000}"/>
    <cellStyle name="20% - Accent4 4 9 2 5" xfId="25493" xr:uid="{00000000-0005-0000-0000-0000E9320000}"/>
    <cellStyle name="20% - Accent4 4 9 2 6" xfId="37289" xr:uid="{00000000-0005-0000-0000-0000EA320000}"/>
    <cellStyle name="20% - Accent4 4 9 2 7" xfId="42766" xr:uid="{00000000-0005-0000-0000-0000EB320000}"/>
    <cellStyle name="20% - Accent4 4 9 2 8" xfId="48243" xr:uid="{00000000-0005-0000-0000-0000EC320000}"/>
    <cellStyle name="20% - Accent4 4 9 2 9" xfId="53761" xr:uid="{00000000-0005-0000-0000-0000ED320000}"/>
    <cellStyle name="20% - Accent4 4 9 3" xfId="5357" xr:uid="{00000000-0005-0000-0000-0000EE320000}"/>
    <cellStyle name="20% - Accent4 4 9 3 2" xfId="10837" xr:uid="{00000000-0005-0000-0000-0000EF320000}"/>
    <cellStyle name="20% - Accent4 4 9 3 3" xfId="16313" xr:uid="{00000000-0005-0000-0000-0000F0320000}"/>
    <cellStyle name="20% - Accent4 4 9 3 4" xfId="21789" xr:uid="{00000000-0005-0000-0000-0000F1320000}"/>
    <cellStyle name="20% - Accent4 4 9 3 5" xfId="27265" xr:uid="{00000000-0005-0000-0000-0000F2320000}"/>
    <cellStyle name="20% - Accent4 4 9 3 6" xfId="39061" xr:uid="{00000000-0005-0000-0000-0000F3320000}"/>
    <cellStyle name="20% - Accent4 4 9 3 7" xfId="44538" xr:uid="{00000000-0005-0000-0000-0000F4320000}"/>
    <cellStyle name="20% - Accent4 4 9 3 8" xfId="50015" xr:uid="{00000000-0005-0000-0000-0000F5320000}"/>
    <cellStyle name="20% - Accent4 4 9 3 9" xfId="55533" xr:uid="{00000000-0005-0000-0000-0000F6320000}"/>
    <cellStyle name="20% - Accent4 4 9 4" xfId="6019" xr:uid="{00000000-0005-0000-0000-0000F7320000}"/>
    <cellStyle name="20% - Accent4 4 9 5" xfId="11499" xr:uid="{00000000-0005-0000-0000-0000F8320000}"/>
    <cellStyle name="20% - Accent4 4 9 6" xfId="16975" xr:uid="{00000000-0005-0000-0000-0000F9320000}"/>
    <cellStyle name="20% - Accent4 4 9 7" xfId="22451" xr:uid="{00000000-0005-0000-0000-0000FA320000}"/>
    <cellStyle name="20% - Accent4 4 9 8" xfId="29179" xr:uid="{00000000-0005-0000-0000-0000FB320000}"/>
    <cellStyle name="20% - Accent4 4 9 9" xfId="34246" xr:uid="{00000000-0005-0000-0000-0000FC320000}"/>
    <cellStyle name="20% - Accent4 5" xfId="3676" xr:uid="{00000000-0005-0000-0000-0000FD320000}"/>
    <cellStyle name="20% - Accent4 5 10" xfId="29180" xr:uid="{00000000-0005-0000-0000-0000FE320000}"/>
    <cellStyle name="20% - Accent4 5 11" xfId="37380" xr:uid="{00000000-0005-0000-0000-0000FF320000}"/>
    <cellStyle name="20% - Accent4 5 12" xfId="42857" xr:uid="{00000000-0005-0000-0000-000000330000}"/>
    <cellStyle name="20% - Accent4 5 13" xfId="48334" xr:uid="{00000000-0005-0000-0000-000001330000}"/>
    <cellStyle name="20% - Accent4 5 14" xfId="52035" xr:uid="{00000000-0005-0000-0000-000002330000}"/>
    <cellStyle name="20% - Accent4 5 2" xfId="9156" xr:uid="{00000000-0005-0000-0000-000003330000}"/>
    <cellStyle name="20% - Accent4 5 2 2" xfId="29182" xr:uid="{00000000-0005-0000-0000-000004330000}"/>
    <cellStyle name="20% - Accent4 5 2 2 2" xfId="29183" xr:uid="{00000000-0005-0000-0000-000005330000}"/>
    <cellStyle name="20% - Accent4 5 2 3" xfId="29184" xr:uid="{00000000-0005-0000-0000-000006330000}"/>
    <cellStyle name="20% - Accent4 5 2 4" xfId="29181" xr:uid="{00000000-0005-0000-0000-000007330000}"/>
    <cellStyle name="20% - Accent4 5 2 5" xfId="53852" xr:uid="{00000000-0005-0000-0000-000008330000}"/>
    <cellStyle name="20% - Accent4 5 3" xfId="14632" xr:uid="{00000000-0005-0000-0000-000009330000}"/>
    <cellStyle name="20% - Accent4 5 3 2" xfId="29186" xr:uid="{00000000-0005-0000-0000-00000A330000}"/>
    <cellStyle name="20% - Accent4 5 3 2 2" xfId="29187" xr:uid="{00000000-0005-0000-0000-00000B330000}"/>
    <cellStyle name="20% - Accent4 5 3 3" xfId="29188" xr:uid="{00000000-0005-0000-0000-00000C330000}"/>
    <cellStyle name="20% - Accent4 5 3 4" xfId="29185" xr:uid="{00000000-0005-0000-0000-00000D330000}"/>
    <cellStyle name="20% - Accent4 5 4" xfId="20108" xr:uid="{00000000-0005-0000-0000-00000E330000}"/>
    <cellStyle name="20% - Accent4 5 4 2" xfId="29190" xr:uid="{00000000-0005-0000-0000-00000F330000}"/>
    <cellStyle name="20% - Accent4 5 4 2 2" xfId="29191" xr:uid="{00000000-0005-0000-0000-000010330000}"/>
    <cellStyle name="20% - Accent4 5 4 3" xfId="29192" xr:uid="{00000000-0005-0000-0000-000011330000}"/>
    <cellStyle name="20% - Accent4 5 4 4" xfId="29189" xr:uid="{00000000-0005-0000-0000-000012330000}"/>
    <cellStyle name="20% - Accent4 5 5" xfId="25584" xr:uid="{00000000-0005-0000-0000-000013330000}"/>
    <cellStyle name="20% - Accent4 5 5 2" xfId="29194" xr:uid="{00000000-0005-0000-0000-000014330000}"/>
    <cellStyle name="20% - Accent4 5 5 2 2" xfId="29195" xr:uid="{00000000-0005-0000-0000-000015330000}"/>
    <cellStyle name="20% - Accent4 5 5 3" xfId="29196" xr:uid="{00000000-0005-0000-0000-000016330000}"/>
    <cellStyle name="20% - Accent4 5 5 4" xfId="29193" xr:uid="{00000000-0005-0000-0000-000017330000}"/>
    <cellStyle name="20% - Accent4 5 6" xfId="29197" xr:uid="{00000000-0005-0000-0000-000018330000}"/>
    <cellStyle name="20% - Accent4 5 6 2" xfId="29198" xr:uid="{00000000-0005-0000-0000-000019330000}"/>
    <cellStyle name="20% - Accent4 5 6 2 2" xfId="29199" xr:uid="{00000000-0005-0000-0000-00001A330000}"/>
    <cellStyle name="20% - Accent4 5 6 3" xfId="29200" xr:uid="{00000000-0005-0000-0000-00001B330000}"/>
    <cellStyle name="20% - Accent4 5 7" xfId="29201" xr:uid="{00000000-0005-0000-0000-00001C330000}"/>
    <cellStyle name="20% - Accent4 5 7 2" xfId="29202" xr:uid="{00000000-0005-0000-0000-00001D330000}"/>
    <cellStyle name="20% - Accent4 5 7 2 2" xfId="29203" xr:uid="{00000000-0005-0000-0000-00001E330000}"/>
    <cellStyle name="20% - Accent4 5 7 3" xfId="29204" xr:uid="{00000000-0005-0000-0000-00001F330000}"/>
    <cellStyle name="20% - Accent4 5 8" xfId="29205" xr:uid="{00000000-0005-0000-0000-000020330000}"/>
    <cellStyle name="20% - Accent4 5 8 2" xfId="29206" xr:uid="{00000000-0005-0000-0000-000021330000}"/>
    <cellStyle name="20% - Accent4 5 9" xfId="29207" xr:uid="{00000000-0005-0000-0000-000022330000}"/>
    <cellStyle name="20% - Accent4 6" xfId="7381" xr:uid="{00000000-0005-0000-0000-000023330000}"/>
    <cellStyle name="20% - Accent4 6 10" xfId="29208" xr:uid="{00000000-0005-0000-0000-000024330000}"/>
    <cellStyle name="20% - Accent4 6 2" xfId="29209" xr:uid="{00000000-0005-0000-0000-000025330000}"/>
    <cellStyle name="20% - Accent4 6 2 2" xfId="29210" xr:uid="{00000000-0005-0000-0000-000026330000}"/>
    <cellStyle name="20% - Accent4 6 2 2 2" xfId="29211" xr:uid="{00000000-0005-0000-0000-000027330000}"/>
    <cellStyle name="20% - Accent4 6 2 3" xfId="29212" xr:uid="{00000000-0005-0000-0000-000028330000}"/>
    <cellStyle name="20% - Accent4 6 3" xfId="29213" xr:uid="{00000000-0005-0000-0000-000029330000}"/>
    <cellStyle name="20% - Accent4 6 3 2" xfId="29214" xr:uid="{00000000-0005-0000-0000-00002A330000}"/>
    <cellStyle name="20% - Accent4 6 3 2 2" xfId="29215" xr:uid="{00000000-0005-0000-0000-00002B330000}"/>
    <cellStyle name="20% - Accent4 6 3 3" xfId="29216" xr:uid="{00000000-0005-0000-0000-00002C330000}"/>
    <cellStyle name="20% - Accent4 6 4" xfId="29217" xr:uid="{00000000-0005-0000-0000-00002D330000}"/>
    <cellStyle name="20% - Accent4 6 4 2" xfId="29218" xr:uid="{00000000-0005-0000-0000-00002E330000}"/>
    <cellStyle name="20% - Accent4 6 4 2 2" xfId="29219" xr:uid="{00000000-0005-0000-0000-00002F330000}"/>
    <cellStyle name="20% - Accent4 6 4 3" xfId="29220" xr:uid="{00000000-0005-0000-0000-000030330000}"/>
    <cellStyle name="20% - Accent4 6 5" xfId="29221" xr:uid="{00000000-0005-0000-0000-000031330000}"/>
    <cellStyle name="20% - Accent4 6 5 2" xfId="29222" xr:uid="{00000000-0005-0000-0000-000032330000}"/>
    <cellStyle name="20% - Accent4 6 5 2 2" xfId="29223" xr:uid="{00000000-0005-0000-0000-000033330000}"/>
    <cellStyle name="20% - Accent4 6 5 3" xfId="29224" xr:uid="{00000000-0005-0000-0000-000034330000}"/>
    <cellStyle name="20% - Accent4 6 6" xfId="29225" xr:uid="{00000000-0005-0000-0000-000035330000}"/>
    <cellStyle name="20% - Accent4 6 6 2" xfId="29226" xr:uid="{00000000-0005-0000-0000-000036330000}"/>
    <cellStyle name="20% - Accent4 6 6 2 2" xfId="29227" xr:uid="{00000000-0005-0000-0000-000037330000}"/>
    <cellStyle name="20% - Accent4 6 6 3" xfId="29228" xr:uid="{00000000-0005-0000-0000-000038330000}"/>
    <cellStyle name="20% - Accent4 6 7" xfId="29229" xr:uid="{00000000-0005-0000-0000-000039330000}"/>
    <cellStyle name="20% - Accent4 6 7 2" xfId="29230" xr:uid="{00000000-0005-0000-0000-00003A330000}"/>
    <cellStyle name="20% - Accent4 6 7 2 2" xfId="29231" xr:uid="{00000000-0005-0000-0000-00003B330000}"/>
    <cellStyle name="20% - Accent4 6 7 3" xfId="29232" xr:uid="{00000000-0005-0000-0000-00003C330000}"/>
    <cellStyle name="20% - Accent4 6 8" xfId="29233" xr:uid="{00000000-0005-0000-0000-00003D330000}"/>
    <cellStyle name="20% - Accent4 6 8 2" xfId="29234" xr:uid="{00000000-0005-0000-0000-00003E330000}"/>
    <cellStyle name="20% - Accent4 6 9" xfId="29235" xr:uid="{00000000-0005-0000-0000-00003F330000}"/>
    <cellStyle name="20% - Accent4 7" xfId="12858" xr:uid="{00000000-0005-0000-0000-000040330000}"/>
    <cellStyle name="20% - Accent4 7 10" xfId="29236" xr:uid="{00000000-0005-0000-0000-000041330000}"/>
    <cellStyle name="20% - Accent4 7 2" xfId="29237" xr:uid="{00000000-0005-0000-0000-000042330000}"/>
    <cellStyle name="20% - Accent4 7 2 2" xfId="29238" xr:uid="{00000000-0005-0000-0000-000043330000}"/>
    <cellStyle name="20% - Accent4 7 2 2 2" xfId="29239" xr:uid="{00000000-0005-0000-0000-000044330000}"/>
    <cellStyle name="20% - Accent4 7 2 3" xfId="29240" xr:uid="{00000000-0005-0000-0000-000045330000}"/>
    <cellStyle name="20% - Accent4 7 3" xfId="29241" xr:uid="{00000000-0005-0000-0000-000046330000}"/>
    <cellStyle name="20% - Accent4 7 3 2" xfId="29242" xr:uid="{00000000-0005-0000-0000-000047330000}"/>
    <cellStyle name="20% - Accent4 7 3 2 2" xfId="29243" xr:uid="{00000000-0005-0000-0000-000048330000}"/>
    <cellStyle name="20% - Accent4 7 3 3" xfId="29244" xr:uid="{00000000-0005-0000-0000-000049330000}"/>
    <cellStyle name="20% - Accent4 7 4" xfId="29245" xr:uid="{00000000-0005-0000-0000-00004A330000}"/>
    <cellStyle name="20% - Accent4 7 4 2" xfId="29246" xr:uid="{00000000-0005-0000-0000-00004B330000}"/>
    <cellStyle name="20% - Accent4 7 4 2 2" xfId="29247" xr:uid="{00000000-0005-0000-0000-00004C330000}"/>
    <cellStyle name="20% - Accent4 7 4 3" xfId="29248" xr:uid="{00000000-0005-0000-0000-00004D330000}"/>
    <cellStyle name="20% - Accent4 7 5" xfId="29249" xr:uid="{00000000-0005-0000-0000-00004E330000}"/>
    <cellStyle name="20% - Accent4 7 5 2" xfId="29250" xr:uid="{00000000-0005-0000-0000-00004F330000}"/>
    <cellStyle name="20% - Accent4 7 5 2 2" xfId="29251" xr:uid="{00000000-0005-0000-0000-000050330000}"/>
    <cellStyle name="20% - Accent4 7 5 3" xfId="29252" xr:uid="{00000000-0005-0000-0000-000051330000}"/>
    <cellStyle name="20% - Accent4 7 6" xfId="29253" xr:uid="{00000000-0005-0000-0000-000052330000}"/>
    <cellStyle name="20% - Accent4 7 6 2" xfId="29254" xr:uid="{00000000-0005-0000-0000-000053330000}"/>
    <cellStyle name="20% - Accent4 7 6 2 2" xfId="29255" xr:uid="{00000000-0005-0000-0000-000054330000}"/>
    <cellStyle name="20% - Accent4 7 6 3" xfId="29256" xr:uid="{00000000-0005-0000-0000-000055330000}"/>
    <cellStyle name="20% - Accent4 7 7" xfId="29257" xr:uid="{00000000-0005-0000-0000-000056330000}"/>
    <cellStyle name="20% - Accent4 7 7 2" xfId="29258" xr:uid="{00000000-0005-0000-0000-000057330000}"/>
    <cellStyle name="20% - Accent4 7 7 2 2" xfId="29259" xr:uid="{00000000-0005-0000-0000-000058330000}"/>
    <cellStyle name="20% - Accent4 7 7 3" xfId="29260" xr:uid="{00000000-0005-0000-0000-000059330000}"/>
    <cellStyle name="20% - Accent4 7 8" xfId="29261" xr:uid="{00000000-0005-0000-0000-00005A330000}"/>
    <cellStyle name="20% - Accent4 7 8 2" xfId="29262" xr:uid="{00000000-0005-0000-0000-00005B330000}"/>
    <cellStyle name="20% - Accent4 7 9" xfId="29263" xr:uid="{00000000-0005-0000-0000-00005C330000}"/>
    <cellStyle name="20% - Accent4 8" xfId="18334" xr:uid="{00000000-0005-0000-0000-00005D330000}"/>
    <cellStyle name="20% - Accent4 8 2" xfId="29265" xr:uid="{00000000-0005-0000-0000-00005E330000}"/>
    <cellStyle name="20% - Accent4 8 2 2" xfId="29266" xr:uid="{00000000-0005-0000-0000-00005F330000}"/>
    <cellStyle name="20% - Accent4 8 3" xfId="29267" xr:uid="{00000000-0005-0000-0000-000060330000}"/>
    <cellStyle name="20% - Accent4 8 4" xfId="29264" xr:uid="{00000000-0005-0000-0000-000061330000}"/>
    <cellStyle name="20% - Accent4 9" xfId="23810" xr:uid="{00000000-0005-0000-0000-000062330000}"/>
    <cellStyle name="20% - Accent4 9 10" xfId="29268" xr:uid="{00000000-0005-0000-0000-000063330000}"/>
    <cellStyle name="20% - Accent4 9 2" xfId="29269" xr:uid="{00000000-0005-0000-0000-000064330000}"/>
    <cellStyle name="20% - Accent4 9 2 2" xfId="29270" xr:uid="{00000000-0005-0000-0000-000065330000}"/>
    <cellStyle name="20% - Accent4 9 2 2 2" xfId="29271" xr:uid="{00000000-0005-0000-0000-000066330000}"/>
    <cellStyle name="20% - Accent4 9 2 3" xfId="29272" xr:uid="{00000000-0005-0000-0000-000067330000}"/>
    <cellStyle name="20% - Accent4 9 3" xfId="29273" xr:uid="{00000000-0005-0000-0000-000068330000}"/>
    <cellStyle name="20% - Accent4 9 3 2" xfId="29274" xr:uid="{00000000-0005-0000-0000-000069330000}"/>
    <cellStyle name="20% - Accent4 9 3 2 2" xfId="29275" xr:uid="{00000000-0005-0000-0000-00006A330000}"/>
    <cellStyle name="20% - Accent4 9 3 3" xfId="29276" xr:uid="{00000000-0005-0000-0000-00006B330000}"/>
    <cellStyle name="20% - Accent4 9 4" xfId="29277" xr:uid="{00000000-0005-0000-0000-00006C330000}"/>
    <cellStyle name="20% - Accent4 9 4 2" xfId="29278" xr:uid="{00000000-0005-0000-0000-00006D330000}"/>
    <cellStyle name="20% - Accent4 9 4 2 2" xfId="29279" xr:uid="{00000000-0005-0000-0000-00006E330000}"/>
    <cellStyle name="20% - Accent4 9 4 3" xfId="29280" xr:uid="{00000000-0005-0000-0000-00006F330000}"/>
    <cellStyle name="20% - Accent4 9 5" xfId="29281" xr:uid="{00000000-0005-0000-0000-000070330000}"/>
    <cellStyle name="20% - Accent4 9 5 2" xfId="29282" xr:uid="{00000000-0005-0000-0000-000071330000}"/>
    <cellStyle name="20% - Accent4 9 5 2 2" xfId="29283" xr:uid="{00000000-0005-0000-0000-000072330000}"/>
    <cellStyle name="20% - Accent4 9 5 3" xfId="29284" xr:uid="{00000000-0005-0000-0000-000073330000}"/>
    <cellStyle name="20% - Accent4 9 6" xfId="29285" xr:uid="{00000000-0005-0000-0000-000074330000}"/>
    <cellStyle name="20% - Accent4 9 6 2" xfId="29286" xr:uid="{00000000-0005-0000-0000-000075330000}"/>
    <cellStyle name="20% - Accent4 9 6 2 2" xfId="29287" xr:uid="{00000000-0005-0000-0000-000076330000}"/>
    <cellStyle name="20% - Accent4 9 6 3" xfId="29288" xr:uid="{00000000-0005-0000-0000-000077330000}"/>
    <cellStyle name="20% - Accent4 9 7" xfId="29289" xr:uid="{00000000-0005-0000-0000-000078330000}"/>
    <cellStyle name="20% - Accent4 9 7 2" xfId="29290" xr:uid="{00000000-0005-0000-0000-000079330000}"/>
    <cellStyle name="20% - Accent4 9 7 2 2" xfId="29291" xr:uid="{00000000-0005-0000-0000-00007A330000}"/>
    <cellStyle name="20% - Accent4 9 7 3" xfId="29292" xr:uid="{00000000-0005-0000-0000-00007B330000}"/>
    <cellStyle name="20% - Accent4 9 8" xfId="29293" xr:uid="{00000000-0005-0000-0000-00007C330000}"/>
    <cellStyle name="20% - Accent4 9 8 2" xfId="29294" xr:uid="{00000000-0005-0000-0000-00007D330000}"/>
    <cellStyle name="20% - Accent4 9 9" xfId="29295" xr:uid="{00000000-0005-0000-0000-00007E330000}"/>
    <cellStyle name="20% - Accent5" xfId="73" builtinId="46" customBuiltin="1"/>
    <cellStyle name="20% - Accent5 10" xfId="29296" xr:uid="{00000000-0005-0000-0000-000080330000}"/>
    <cellStyle name="20% - Accent5 10 2" xfId="29297" xr:uid="{00000000-0005-0000-0000-000081330000}"/>
    <cellStyle name="20% - Accent5 10 2 2" xfId="29298" xr:uid="{00000000-0005-0000-0000-000082330000}"/>
    <cellStyle name="20% - Accent5 10 2 2 2" xfId="29299" xr:uid="{00000000-0005-0000-0000-000083330000}"/>
    <cellStyle name="20% - Accent5 10 2 3" xfId="29300" xr:uid="{00000000-0005-0000-0000-000084330000}"/>
    <cellStyle name="20% - Accent5 10 3" xfId="29301" xr:uid="{00000000-0005-0000-0000-000085330000}"/>
    <cellStyle name="20% - Accent5 10 3 2" xfId="29302" xr:uid="{00000000-0005-0000-0000-000086330000}"/>
    <cellStyle name="20% - Accent5 10 3 2 2" xfId="29303" xr:uid="{00000000-0005-0000-0000-000087330000}"/>
    <cellStyle name="20% - Accent5 10 3 3" xfId="29304" xr:uid="{00000000-0005-0000-0000-000088330000}"/>
    <cellStyle name="20% - Accent5 10 4" xfId="29305" xr:uid="{00000000-0005-0000-0000-000089330000}"/>
    <cellStyle name="20% - Accent5 10 4 2" xfId="29306" xr:uid="{00000000-0005-0000-0000-00008A330000}"/>
    <cellStyle name="20% - Accent5 10 5" xfId="29307" xr:uid="{00000000-0005-0000-0000-00008B330000}"/>
    <cellStyle name="20% - Accent5 11" xfId="29308" xr:uid="{00000000-0005-0000-0000-00008C330000}"/>
    <cellStyle name="20% - Accent5 11 2" xfId="29309" xr:uid="{00000000-0005-0000-0000-00008D330000}"/>
    <cellStyle name="20% - Accent5 11 2 2" xfId="29310" xr:uid="{00000000-0005-0000-0000-00008E330000}"/>
    <cellStyle name="20% - Accent5 11 3" xfId="29311" xr:uid="{00000000-0005-0000-0000-00008F330000}"/>
    <cellStyle name="20% - Accent5 12" xfId="29312" xr:uid="{00000000-0005-0000-0000-000090330000}"/>
    <cellStyle name="20% - Accent5 12 2" xfId="29313" xr:uid="{00000000-0005-0000-0000-000091330000}"/>
    <cellStyle name="20% - Accent5 12 2 2" xfId="29314" xr:uid="{00000000-0005-0000-0000-000092330000}"/>
    <cellStyle name="20% - Accent5 12 3" xfId="29315" xr:uid="{00000000-0005-0000-0000-000093330000}"/>
    <cellStyle name="20% - Accent5 13" xfId="29316" xr:uid="{00000000-0005-0000-0000-000094330000}"/>
    <cellStyle name="20% - Accent5 13 2" xfId="29317" xr:uid="{00000000-0005-0000-0000-000095330000}"/>
    <cellStyle name="20% - Accent5 13 2 2" xfId="29318" xr:uid="{00000000-0005-0000-0000-000096330000}"/>
    <cellStyle name="20% - Accent5 13 3" xfId="29319" xr:uid="{00000000-0005-0000-0000-000097330000}"/>
    <cellStyle name="20% - Accent5 14" xfId="29320" xr:uid="{00000000-0005-0000-0000-000098330000}"/>
    <cellStyle name="20% - Accent5 14 2" xfId="29321" xr:uid="{00000000-0005-0000-0000-000099330000}"/>
    <cellStyle name="20% - Accent5 14 2 2" xfId="29322" xr:uid="{00000000-0005-0000-0000-00009A330000}"/>
    <cellStyle name="20% - Accent5 14 3" xfId="29323" xr:uid="{00000000-0005-0000-0000-00009B330000}"/>
    <cellStyle name="20% - Accent5 15" xfId="29324" xr:uid="{00000000-0005-0000-0000-00009C330000}"/>
    <cellStyle name="20% - Accent5 15 2" xfId="29325" xr:uid="{00000000-0005-0000-0000-00009D330000}"/>
    <cellStyle name="20% - Accent5 15 2 2" xfId="29326" xr:uid="{00000000-0005-0000-0000-00009E330000}"/>
    <cellStyle name="20% - Accent5 15 3" xfId="29327" xr:uid="{00000000-0005-0000-0000-00009F330000}"/>
    <cellStyle name="20% - Accent5 16" xfId="29328" xr:uid="{00000000-0005-0000-0000-0000A0330000}"/>
    <cellStyle name="20% - Accent5 16 2" xfId="29329" xr:uid="{00000000-0005-0000-0000-0000A1330000}"/>
    <cellStyle name="20% - Accent5 16 2 2" xfId="29330" xr:uid="{00000000-0005-0000-0000-0000A2330000}"/>
    <cellStyle name="20% - Accent5 16 2 2 2" xfId="29331" xr:uid="{00000000-0005-0000-0000-0000A3330000}"/>
    <cellStyle name="20% - Accent5 16 2 2 2 2" xfId="29332" xr:uid="{00000000-0005-0000-0000-0000A4330000}"/>
    <cellStyle name="20% - Accent5 16 2 2 2 2 2" xfId="29333" xr:uid="{00000000-0005-0000-0000-0000A5330000}"/>
    <cellStyle name="20% - Accent5 16 2 2 2 3" xfId="29334" xr:uid="{00000000-0005-0000-0000-0000A6330000}"/>
    <cellStyle name="20% - Accent5 16 2 2 3" xfId="29335" xr:uid="{00000000-0005-0000-0000-0000A7330000}"/>
    <cellStyle name="20% - Accent5 16 2 2 3 2" xfId="29336" xr:uid="{00000000-0005-0000-0000-0000A8330000}"/>
    <cellStyle name="20% - Accent5 16 2 2 3 2 2" xfId="29337" xr:uid="{00000000-0005-0000-0000-0000A9330000}"/>
    <cellStyle name="20% - Accent5 16 2 2 3 3" xfId="29338" xr:uid="{00000000-0005-0000-0000-0000AA330000}"/>
    <cellStyle name="20% - Accent5 16 2 2 4" xfId="29339" xr:uid="{00000000-0005-0000-0000-0000AB330000}"/>
    <cellStyle name="20% - Accent5 16 2 2 4 2" xfId="29340" xr:uid="{00000000-0005-0000-0000-0000AC330000}"/>
    <cellStyle name="20% - Accent5 16 2 2 5" xfId="29341" xr:uid="{00000000-0005-0000-0000-0000AD330000}"/>
    <cellStyle name="20% - Accent5 16 2 3" xfId="29342" xr:uid="{00000000-0005-0000-0000-0000AE330000}"/>
    <cellStyle name="20% - Accent5 16 2 3 2" xfId="29343" xr:uid="{00000000-0005-0000-0000-0000AF330000}"/>
    <cellStyle name="20% - Accent5 16 2 3 2 2" xfId="29344" xr:uid="{00000000-0005-0000-0000-0000B0330000}"/>
    <cellStyle name="20% - Accent5 16 2 3 2 2 2" xfId="29345" xr:uid="{00000000-0005-0000-0000-0000B1330000}"/>
    <cellStyle name="20% - Accent5 16 2 3 2 3" xfId="29346" xr:uid="{00000000-0005-0000-0000-0000B2330000}"/>
    <cellStyle name="20% - Accent5 16 2 3 3" xfId="29347" xr:uid="{00000000-0005-0000-0000-0000B3330000}"/>
    <cellStyle name="20% - Accent5 16 2 3 3 2" xfId="29348" xr:uid="{00000000-0005-0000-0000-0000B4330000}"/>
    <cellStyle name="20% - Accent5 16 2 3 3 2 2" xfId="29349" xr:uid="{00000000-0005-0000-0000-0000B5330000}"/>
    <cellStyle name="20% - Accent5 16 2 3 3 3" xfId="29350" xr:uid="{00000000-0005-0000-0000-0000B6330000}"/>
    <cellStyle name="20% - Accent5 16 2 3 4" xfId="29351" xr:uid="{00000000-0005-0000-0000-0000B7330000}"/>
    <cellStyle name="20% - Accent5 16 2 3 4 2" xfId="29352" xr:uid="{00000000-0005-0000-0000-0000B8330000}"/>
    <cellStyle name="20% - Accent5 16 2 3 5" xfId="29353" xr:uid="{00000000-0005-0000-0000-0000B9330000}"/>
    <cellStyle name="20% - Accent5 16 2 4" xfId="29354" xr:uid="{00000000-0005-0000-0000-0000BA330000}"/>
    <cellStyle name="20% - Accent5 16 2 4 2" xfId="29355" xr:uid="{00000000-0005-0000-0000-0000BB330000}"/>
    <cellStyle name="20% - Accent5 16 2 4 2 2" xfId="29356" xr:uid="{00000000-0005-0000-0000-0000BC330000}"/>
    <cellStyle name="20% - Accent5 16 2 4 2 2 2" xfId="29357" xr:uid="{00000000-0005-0000-0000-0000BD330000}"/>
    <cellStyle name="20% - Accent5 16 2 4 2 3" xfId="29358" xr:uid="{00000000-0005-0000-0000-0000BE330000}"/>
    <cellStyle name="20% - Accent5 16 2 4 3" xfId="29359" xr:uid="{00000000-0005-0000-0000-0000BF330000}"/>
    <cellStyle name="20% - Accent5 16 2 4 3 2" xfId="29360" xr:uid="{00000000-0005-0000-0000-0000C0330000}"/>
    <cellStyle name="20% - Accent5 16 2 4 3 2 2" xfId="29361" xr:uid="{00000000-0005-0000-0000-0000C1330000}"/>
    <cellStyle name="20% - Accent5 16 2 4 3 3" xfId="29362" xr:uid="{00000000-0005-0000-0000-0000C2330000}"/>
    <cellStyle name="20% - Accent5 16 2 4 4" xfId="29363" xr:uid="{00000000-0005-0000-0000-0000C3330000}"/>
    <cellStyle name="20% - Accent5 16 2 4 4 2" xfId="29364" xr:uid="{00000000-0005-0000-0000-0000C4330000}"/>
    <cellStyle name="20% - Accent5 16 2 4 5" xfId="29365" xr:uid="{00000000-0005-0000-0000-0000C5330000}"/>
    <cellStyle name="20% - Accent5 16 2 5" xfId="29366" xr:uid="{00000000-0005-0000-0000-0000C6330000}"/>
    <cellStyle name="20% - Accent5 16 2 5 2" xfId="29367" xr:uid="{00000000-0005-0000-0000-0000C7330000}"/>
    <cellStyle name="20% - Accent5 16 2 5 2 2" xfId="29368" xr:uid="{00000000-0005-0000-0000-0000C8330000}"/>
    <cellStyle name="20% - Accent5 16 2 5 2 2 2" xfId="29369" xr:uid="{00000000-0005-0000-0000-0000C9330000}"/>
    <cellStyle name="20% - Accent5 16 2 5 2 3" xfId="29370" xr:uid="{00000000-0005-0000-0000-0000CA330000}"/>
    <cellStyle name="20% - Accent5 16 2 5 3" xfId="29371" xr:uid="{00000000-0005-0000-0000-0000CB330000}"/>
    <cellStyle name="20% - Accent5 16 2 5 3 2" xfId="29372" xr:uid="{00000000-0005-0000-0000-0000CC330000}"/>
    <cellStyle name="20% - Accent5 16 2 5 4" xfId="29373" xr:uid="{00000000-0005-0000-0000-0000CD330000}"/>
    <cellStyle name="20% - Accent5 16 2 6" xfId="29374" xr:uid="{00000000-0005-0000-0000-0000CE330000}"/>
    <cellStyle name="20% - Accent5 16 2 6 2" xfId="29375" xr:uid="{00000000-0005-0000-0000-0000CF330000}"/>
    <cellStyle name="20% - Accent5 16 2 6 2 2" xfId="29376" xr:uid="{00000000-0005-0000-0000-0000D0330000}"/>
    <cellStyle name="20% - Accent5 16 2 6 3" xfId="29377" xr:uid="{00000000-0005-0000-0000-0000D1330000}"/>
    <cellStyle name="20% - Accent5 16 2 7" xfId="29378" xr:uid="{00000000-0005-0000-0000-0000D2330000}"/>
    <cellStyle name="20% - Accent5 16 2 7 2" xfId="29379" xr:uid="{00000000-0005-0000-0000-0000D3330000}"/>
    <cellStyle name="20% - Accent5 16 2 8" xfId="29380" xr:uid="{00000000-0005-0000-0000-0000D4330000}"/>
    <cellStyle name="20% - Accent5 16 3" xfId="29381" xr:uid="{00000000-0005-0000-0000-0000D5330000}"/>
    <cellStyle name="20% - Accent5 16 3 2" xfId="29382" xr:uid="{00000000-0005-0000-0000-0000D6330000}"/>
    <cellStyle name="20% - Accent5 16 3 2 2" xfId="29383" xr:uid="{00000000-0005-0000-0000-0000D7330000}"/>
    <cellStyle name="20% - Accent5 16 3 2 2 2" xfId="29384" xr:uid="{00000000-0005-0000-0000-0000D8330000}"/>
    <cellStyle name="20% - Accent5 16 3 2 3" xfId="29385" xr:uid="{00000000-0005-0000-0000-0000D9330000}"/>
    <cellStyle name="20% - Accent5 16 3 3" xfId="29386" xr:uid="{00000000-0005-0000-0000-0000DA330000}"/>
    <cellStyle name="20% - Accent5 16 3 3 2" xfId="29387" xr:uid="{00000000-0005-0000-0000-0000DB330000}"/>
    <cellStyle name="20% - Accent5 16 3 3 2 2" xfId="29388" xr:uid="{00000000-0005-0000-0000-0000DC330000}"/>
    <cellStyle name="20% - Accent5 16 3 3 3" xfId="29389" xr:uid="{00000000-0005-0000-0000-0000DD330000}"/>
    <cellStyle name="20% - Accent5 16 3 4" xfId="29390" xr:uid="{00000000-0005-0000-0000-0000DE330000}"/>
    <cellStyle name="20% - Accent5 16 3 4 2" xfId="29391" xr:uid="{00000000-0005-0000-0000-0000DF330000}"/>
    <cellStyle name="20% - Accent5 16 3 4 2 2" xfId="29392" xr:uid="{00000000-0005-0000-0000-0000E0330000}"/>
    <cellStyle name="20% - Accent5 16 3 4 3" xfId="29393" xr:uid="{00000000-0005-0000-0000-0000E1330000}"/>
    <cellStyle name="20% - Accent5 16 3 5" xfId="29394" xr:uid="{00000000-0005-0000-0000-0000E2330000}"/>
    <cellStyle name="20% - Accent5 16 3 5 2" xfId="29395" xr:uid="{00000000-0005-0000-0000-0000E3330000}"/>
    <cellStyle name="20% - Accent5 16 3 6" xfId="29396" xr:uid="{00000000-0005-0000-0000-0000E4330000}"/>
    <cellStyle name="20% - Accent5 16 4" xfId="29397" xr:uid="{00000000-0005-0000-0000-0000E5330000}"/>
    <cellStyle name="20% - Accent5 16 4 2" xfId="29398" xr:uid="{00000000-0005-0000-0000-0000E6330000}"/>
    <cellStyle name="20% - Accent5 16 4 2 2" xfId="29399" xr:uid="{00000000-0005-0000-0000-0000E7330000}"/>
    <cellStyle name="20% - Accent5 16 4 2 2 2" xfId="29400" xr:uid="{00000000-0005-0000-0000-0000E8330000}"/>
    <cellStyle name="20% - Accent5 16 4 2 3" xfId="29401" xr:uid="{00000000-0005-0000-0000-0000E9330000}"/>
    <cellStyle name="20% - Accent5 16 4 3" xfId="29402" xr:uid="{00000000-0005-0000-0000-0000EA330000}"/>
    <cellStyle name="20% - Accent5 16 4 3 2" xfId="29403" xr:uid="{00000000-0005-0000-0000-0000EB330000}"/>
    <cellStyle name="20% - Accent5 16 4 3 2 2" xfId="29404" xr:uid="{00000000-0005-0000-0000-0000EC330000}"/>
    <cellStyle name="20% - Accent5 16 4 3 3" xfId="29405" xr:uid="{00000000-0005-0000-0000-0000ED330000}"/>
    <cellStyle name="20% - Accent5 16 4 4" xfId="29406" xr:uid="{00000000-0005-0000-0000-0000EE330000}"/>
    <cellStyle name="20% - Accent5 16 4 4 2" xfId="29407" xr:uid="{00000000-0005-0000-0000-0000EF330000}"/>
    <cellStyle name="20% - Accent5 16 4 5" xfId="29408" xr:uid="{00000000-0005-0000-0000-0000F0330000}"/>
    <cellStyle name="20% - Accent5 16 5" xfId="29409" xr:uid="{00000000-0005-0000-0000-0000F1330000}"/>
    <cellStyle name="20% - Accent5 16 5 2" xfId="29410" xr:uid="{00000000-0005-0000-0000-0000F2330000}"/>
    <cellStyle name="20% - Accent5 16 5 2 2" xfId="29411" xr:uid="{00000000-0005-0000-0000-0000F3330000}"/>
    <cellStyle name="20% - Accent5 16 5 2 2 2" xfId="29412" xr:uid="{00000000-0005-0000-0000-0000F4330000}"/>
    <cellStyle name="20% - Accent5 16 5 2 3" xfId="29413" xr:uid="{00000000-0005-0000-0000-0000F5330000}"/>
    <cellStyle name="20% - Accent5 16 5 3" xfId="29414" xr:uid="{00000000-0005-0000-0000-0000F6330000}"/>
    <cellStyle name="20% - Accent5 16 5 3 2" xfId="29415" xr:uid="{00000000-0005-0000-0000-0000F7330000}"/>
    <cellStyle name="20% - Accent5 16 5 3 2 2" xfId="29416" xr:uid="{00000000-0005-0000-0000-0000F8330000}"/>
    <cellStyle name="20% - Accent5 16 5 3 3" xfId="29417" xr:uid="{00000000-0005-0000-0000-0000F9330000}"/>
    <cellStyle name="20% - Accent5 16 5 4" xfId="29418" xr:uid="{00000000-0005-0000-0000-0000FA330000}"/>
    <cellStyle name="20% - Accent5 16 5 4 2" xfId="29419" xr:uid="{00000000-0005-0000-0000-0000FB330000}"/>
    <cellStyle name="20% - Accent5 16 5 5" xfId="29420" xr:uid="{00000000-0005-0000-0000-0000FC330000}"/>
    <cellStyle name="20% - Accent5 16 6" xfId="29421" xr:uid="{00000000-0005-0000-0000-0000FD330000}"/>
    <cellStyle name="20% - Accent5 16 6 2" xfId="29422" xr:uid="{00000000-0005-0000-0000-0000FE330000}"/>
    <cellStyle name="20% - Accent5 16 6 2 2" xfId="29423" xr:uid="{00000000-0005-0000-0000-0000FF330000}"/>
    <cellStyle name="20% - Accent5 16 6 2 2 2" xfId="29424" xr:uid="{00000000-0005-0000-0000-000000340000}"/>
    <cellStyle name="20% - Accent5 16 6 2 3" xfId="29425" xr:uid="{00000000-0005-0000-0000-000001340000}"/>
    <cellStyle name="20% - Accent5 16 6 3" xfId="29426" xr:uid="{00000000-0005-0000-0000-000002340000}"/>
    <cellStyle name="20% - Accent5 16 6 3 2" xfId="29427" xr:uid="{00000000-0005-0000-0000-000003340000}"/>
    <cellStyle name="20% - Accent5 16 6 4" xfId="29428" xr:uid="{00000000-0005-0000-0000-000004340000}"/>
    <cellStyle name="20% - Accent5 16 7" xfId="29429" xr:uid="{00000000-0005-0000-0000-000005340000}"/>
    <cellStyle name="20% - Accent5 16 7 2" xfId="29430" xr:uid="{00000000-0005-0000-0000-000006340000}"/>
    <cellStyle name="20% - Accent5 16 7 2 2" xfId="29431" xr:uid="{00000000-0005-0000-0000-000007340000}"/>
    <cellStyle name="20% - Accent5 16 7 3" xfId="29432" xr:uid="{00000000-0005-0000-0000-000008340000}"/>
    <cellStyle name="20% - Accent5 16 8" xfId="29433" xr:uid="{00000000-0005-0000-0000-000009340000}"/>
    <cellStyle name="20% - Accent5 16 8 2" xfId="29434" xr:uid="{00000000-0005-0000-0000-00000A340000}"/>
    <cellStyle name="20% - Accent5 16 9" xfId="29435" xr:uid="{00000000-0005-0000-0000-00000B340000}"/>
    <cellStyle name="20% - Accent5 17" xfId="29436" xr:uid="{00000000-0005-0000-0000-00000C340000}"/>
    <cellStyle name="20% - Accent5 17 2" xfId="29437" xr:uid="{00000000-0005-0000-0000-00000D340000}"/>
    <cellStyle name="20% - Accent5 17 2 2" xfId="29438" xr:uid="{00000000-0005-0000-0000-00000E340000}"/>
    <cellStyle name="20% - Accent5 17 2 2 2" xfId="29439" xr:uid="{00000000-0005-0000-0000-00000F340000}"/>
    <cellStyle name="20% - Accent5 17 2 2 2 2" xfId="29440" xr:uid="{00000000-0005-0000-0000-000010340000}"/>
    <cellStyle name="20% - Accent5 17 2 2 3" xfId="29441" xr:uid="{00000000-0005-0000-0000-000011340000}"/>
    <cellStyle name="20% - Accent5 17 2 3" xfId="29442" xr:uid="{00000000-0005-0000-0000-000012340000}"/>
    <cellStyle name="20% - Accent5 17 2 3 2" xfId="29443" xr:uid="{00000000-0005-0000-0000-000013340000}"/>
    <cellStyle name="20% - Accent5 17 2 3 2 2" xfId="29444" xr:uid="{00000000-0005-0000-0000-000014340000}"/>
    <cellStyle name="20% - Accent5 17 2 3 3" xfId="29445" xr:uid="{00000000-0005-0000-0000-000015340000}"/>
    <cellStyle name="20% - Accent5 17 2 4" xfId="29446" xr:uid="{00000000-0005-0000-0000-000016340000}"/>
    <cellStyle name="20% - Accent5 17 2 4 2" xfId="29447" xr:uid="{00000000-0005-0000-0000-000017340000}"/>
    <cellStyle name="20% - Accent5 17 2 5" xfId="29448" xr:uid="{00000000-0005-0000-0000-000018340000}"/>
    <cellStyle name="20% - Accent5 17 3" xfId="29449" xr:uid="{00000000-0005-0000-0000-000019340000}"/>
    <cellStyle name="20% - Accent5 17 3 2" xfId="29450" xr:uid="{00000000-0005-0000-0000-00001A340000}"/>
    <cellStyle name="20% - Accent5 17 3 2 2" xfId="29451" xr:uid="{00000000-0005-0000-0000-00001B340000}"/>
    <cellStyle name="20% - Accent5 17 3 2 2 2" xfId="29452" xr:uid="{00000000-0005-0000-0000-00001C340000}"/>
    <cellStyle name="20% - Accent5 17 3 2 3" xfId="29453" xr:uid="{00000000-0005-0000-0000-00001D340000}"/>
    <cellStyle name="20% - Accent5 17 3 3" xfId="29454" xr:uid="{00000000-0005-0000-0000-00001E340000}"/>
    <cellStyle name="20% - Accent5 17 3 3 2" xfId="29455" xr:uid="{00000000-0005-0000-0000-00001F340000}"/>
    <cellStyle name="20% - Accent5 17 3 3 2 2" xfId="29456" xr:uid="{00000000-0005-0000-0000-000020340000}"/>
    <cellStyle name="20% - Accent5 17 3 3 3" xfId="29457" xr:uid="{00000000-0005-0000-0000-000021340000}"/>
    <cellStyle name="20% - Accent5 17 3 4" xfId="29458" xr:uid="{00000000-0005-0000-0000-000022340000}"/>
    <cellStyle name="20% - Accent5 17 3 4 2" xfId="29459" xr:uid="{00000000-0005-0000-0000-000023340000}"/>
    <cellStyle name="20% - Accent5 17 3 5" xfId="29460" xr:uid="{00000000-0005-0000-0000-000024340000}"/>
    <cellStyle name="20% - Accent5 17 4" xfId="29461" xr:uid="{00000000-0005-0000-0000-000025340000}"/>
    <cellStyle name="20% - Accent5 17 4 2" xfId="29462" xr:uid="{00000000-0005-0000-0000-000026340000}"/>
    <cellStyle name="20% - Accent5 17 4 2 2" xfId="29463" xr:uid="{00000000-0005-0000-0000-000027340000}"/>
    <cellStyle name="20% - Accent5 17 4 2 2 2" xfId="29464" xr:uid="{00000000-0005-0000-0000-000028340000}"/>
    <cellStyle name="20% - Accent5 17 4 2 3" xfId="29465" xr:uid="{00000000-0005-0000-0000-000029340000}"/>
    <cellStyle name="20% - Accent5 17 4 3" xfId="29466" xr:uid="{00000000-0005-0000-0000-00002A340000}"/>
    <cellStyle name="20% - Accent5 17 4 3 2" xfId="29467" xr:uid="{00000000-0005-0000-0000-00002B340000}"/>
    <cellStyle name="20% - Accent5 17 4 3 2 2" xfId="29468" xr:uid="{00000000-0005-0000-0000-00002C340000}"/>
    <cellStyle name="20% - Accent5 17 4 3 3" xfId="29469" xr:uid="{00000000-0005-0000-0000-00002D340000}"/>
    <cellStyle name="20% - Accent5 17 4 4" xfId="29470" xr:uid="{00000000-0005-0000-0000-00002E340000}"/>
    <cellStyle name="20% - Accent5 17 4 4 2" xfId="29471" xr:uid="{00000000-0005-0000-0000-00002F340000}"/>
    <cellStyle name="20% - Accent5 17 4 5" xfId="29472" xr:uid="{00000000-0005-0000-0000-000030340000}"/>
    <cellStyle name="20% - Accent5 17 5" xfId="29473" xr:uid="{00000000-0005-0000-0000-000031340000}"/>
    <cellStyle name="20% - Accent5 17 5 2" xfId="29474" xr:uid="{00000000-0005-0000-0000-000032340000}"/>
    <cellStyle name="20% - Accent5 17 5 2 2" xfId="29475" xr:uid="{00000000-0005-0000-0000-000033340000}"/>
    <cellStyle name="20% - Accent5 17 5 2 2 2" xfId="29476" xr:uid="{00000000-0005-0000-0000-000034340000}"/>
    <cellStyle name="20% - Accent5 17 5 2 3" xfId="29477" xr:uid="{00000000-0005-0000-0000-000035340000}"/>
    <cellStyle name="20% - Accent5 17 5 3" xfId="29478" xr:uid="{00000000-0005-0000-0000-000036340000}"/>
    <cellStyle name="20% - Accent5 17 5 3 2" xfId="29479" xr:uid="{00000000-0005-0000-0000-000037340000}"/>
    <cellStyle name="20% - Accent5 17 5 4" xfId="29480" xr:uid="{00000000-0005-0000-0000-000038340000}"/>
    <cellStyle name="20% - Accent5 17 6" xfId="29481" xr:uid="{00000000-0005-0000-0000-000039340000}"/>
    <cellStyle name="20% - Accent5 17 6 2" xfId="29482" xr:uid="{00000000-0005-0000-0000-00003A340000}"/>
    <cellStyle name="20% - Accent5 17 6 2 2" xfId="29483" xr:uid="{00000000-0005-0000-0000-00003B340000}"/>
    <cellStyle name="20% - Accent5 17 6 3" xfId="29484" xr:uid="{00000000-0005-0000-0000-00003C340000}"/>
    <cellStyle name="20% - Accent5 17 7" xfId="29485" xr:uid="{00000000-0005-0000-0000-00003D340000}"/>
    <cellStyle name="20% - Accent5 17 7 2" xfId="29486" xr:uid="{00000000-0005-0000-0000-00003E340000}"/>
    <cellStyle name="20% - Accent5 17 8" xfId="29487" xr:uid="{00000000-0005-0000-0000-00003F340000}"/>
    <cellStyle name="20% - Accent5 18" xfId="29488" xr:uid="{00000000-0005-0000-0000-000040340000}"/>
    <cellStyle name="20% - Accent5 18 2" xfId="29489" xr:uid="{00000000-0005-0000-0000-000041340000}"/>
    <cellStyle name="20% - Accent5 18 2 2" xfId="29490" xr:uid="{00000000-0005-0000-0000-000042340000}"/>
    <cellStyle name="20% - Accent5 18 2 2 2" xfId="29491" xr:uid="{00000000-0005-0000-0000-000043340000}"/>
    <cellStyle name="20% - Accent5 18 2 2 2 2" xfId="29492" xr:uid="{00000000-0005-0000-0000-000044340000}"/>
    <cellStyle name="20% - Accent5 18 2 2 3" xfId="29493" xr:uid="{00000000-0005-0000-0000-000045340000}"/>
    <cellStyle name="20% - Accent5 18 2 3" xfId="29494" xr:uid="{00000000-0005-0000-0000-000046340000}"/>
    <cellStyle name="20% - Accent5 18 2 3 2" xfId="29495" xr:uid="{00000000-0005-0000-0000-000047340000}"/>
    <cellStyle name="20% - Accent5 18 2 4" xfId="29496" xr:uid="{00000000-0005-0000-0000-000048340000}"/>
    <cellStyle name="20% - Accent5 18 3" xfId="29497" xr:uid="{00000000-0005-0000-0000-000049340000}"/>
    <cellStyle name="20% - Accent5 18 3 2" xfId="29498" xr:uid="{00000000-0005-0000-0000-00004A340000}"/>
    <cellStyle name="20% - Accent5 18 3 2 2" xfId="29499" xr:uid="{00000000-0005-0000-0000-00004B340000}"/>
    <cellStyle name="20% - Accent5 18 3 2 2 2" xfId="29500" xr:uid="{00000000-0005-0000-0000-00004C340000}"/>
    <cellStyle name="20% - Accent5 18 3 2 3" xfId="29501" xr:uid="{00000000-0005-0000-0000-00004D340000}"/>
    <cellStyle name="20% - Accent5 18 3 3" xfId="29502" xr:uid="{00000000-0005-0000-0000-00004E340000}"/>
    <cellStyle name="20% - Accent5 18 3 3 2" xfId="29503" xr:uid="{00000000-0005-0000-0000-00004F340000}"/>
    <cellStyle name="20% - Accent5 18 3 4" xfId="29504" xr:uid="{00000000-0005-0000-0000-000050340000}"/>
    <cellStyle name="20% - Accent5 18 4" xfId="29505" xr:uid="{00000000-0005-0000-0000-000051340000}"/>
    <cellStyle name="20% - Accent5 18 4 2" xfId="29506" xr:uid="{00000000-0005-0000-0000-000052340000}"/>
    <cellStyle name="20% - Accent5 18 4 2 2" xfId="29507" xr:uid="{00000000-0005-0000-0000-000053340000}"/>
    <cellStyle name="20% - Accent5 18 4 3" xfId="29508" xr:uid="{00000000-0005-0000-0000-000054340000}"/>
    <cellStyle name="20% - Accent5 18 5" xfId="29509" xr:uid="{00000000-0005-0000-0000-000055340000}"/>
    <cellStyle name="20% - Accent5 18 5 2" xfId="29510" xr:uid="{00000000-0005-0000-0000-000056340000}"/>
    <cellStyle name="20% - Accent5 18 6" xfId="29511" xr:uid="{00000000-0005-0000-0000-000057340000}"/>
    <cellStyle name="20% - Accent5 19" xfId="29512" xr:uid="{00000000-0005-0000-0000-000058340000}"/>
    <cellStyle name="20% - Accent5 19 2" xfId="29513" xr:uid="{00000000-0005-0000-0000-000059340000}"/>
    <cellStyle name="20% - Accent5 19 2 2" xfId="29514" xr:uid="{00000000-0005-0000-0000-00005A340000}"/>
    <cellStyle name="20% - Accent5 19 3" xfId="29515" xr:uid="{00000000-0005-0000-0000-00005B340000}"/>
    <cellStyle name="20% - Accent5 2" xfId="87" xr:uid="{00000000-0005-0000-0000-00005C340000}"/>
    <cellStyle name="20% - Accent5 2 10" xfId="999" xr:uid="{00000000-0005-0000-0000-00005D340000}"/>
    <cellStyle name="20% - Accent5 2 10 10" xfId="45202" xr:uid="{00000000-0005-0000-0000-00005E340000}"/>
    <cellStyle name="20% - Accent5 2 10 11" xfId="50680" xr:uid="{00000000-0005-0000-0000-00005F340000}"/>
    <cellStyle name="20% - Accent5 2 10 2" xfId="2760" xr:uid="{00000000-0005-0000-0000-000060340000}"/>
    <cellStyle name="20% - Accent5 2 10 2 2" xfId="8240" xr:uid="{00000000-0005-0000-0000-000061340000}"/>
    <cellStyle name="20% - Accent5 2 10 2 3" xfId="13716" xr:uid="{00000000-0005-0000-0000-000062340000}"/>
    <cellStyle name="20% - Accent5 2 10 2 4" xfId="19192" xr:uid="{00000000-0005-0000-0000-000063340000}"/>
    <cellStyle name="20% - Accent5 2 10 2 5" xfId="24668" xr:uid="{00000000-0005-0000-0000-000064340000}"/>
    <cellStyle name="20% - Accent5 2 10 2 6" xfId="36464" xr:uid="{00000000-0005-0000-0000-000065340000}"/>
    <cellStyle name="20% - Accent5 2 10 2 7" xfId="41941" xr:uid="{00000000-0005-0000-0000-000066340000}"/>
    <cellStyle name="20% - Accent5 2 10 2 8" xfId="47418" xr:uid="{00000000-0005-0000-0000-000067340000}"/>
    <cellStyle name="20% - Accent5 2 10 2 9" xfId="52936" xr:uid="{00000000-0005-0000-0000-000068340000}"/>
    <cellStyle name="20% - Accent5 2 10 3" xfId="4532" xr:uid="{00000000-0005-0000-0000-000069340000}"/>
    <cellStyle name="20% - Accent5 2 10 3 2" xfId="10012" xr:uid="{00000000-0005-0000-0000-00006A340000}"/>
    <cellStyle name="20% - Accent5 2 10 3 3" xfId="15488" xr:uid="{00000000-0005-0000-0000-00006B340000}"/>
    <cellStyle name="20% - Accent5 2 10 3 4" xfId="20964" xr:uid="{00000000-0005-0000-0000-00006C340000}"/>
    <cellStyle name="20% - Accent5 2 10 3 5" xfId="26440" xr:uid="{00000000-0005-0000-0000-00006D340000}"/>
    <cellStyle name="20% - Accent5 2 10 3 6" xfId="38236" xr:uid="{00000000-0005-0000-0000-00006E340000}"/>
    <cellStyle name="20% - Accent5 2 10 3 7" xfId="43713" xr:uid="{00000000-0005-0000-0000-00006F340000}"/>
    <cellStyle name="20% - Accent5 2 10 3 8" xfId="49190" xr:uid="{00000000-0005-0000-0000-000070340000}"/>
    <cellStyle name="20% - Accent5 2 10 3 9" xfId="54708" xr:uid="{00000000-0005-0000-0000-000071340000}"/>
    <cellStyle name="20% - Accent5 2 10 4" xfId="6021" xr:uid="{00000000-0005-0000-0000-000072340000}"/>
    <cellStyle name="20% - Accent5 2 10 5" xfId="11501" xr:uid="{00000000-0005-0000-0000-000073340000}"/>
    <cellStyle name="20% - Accent5 2 10 6" xfId="16977" xr:uid="{00000000-0005-0000-0000-000074340000}"/>
    <cellStyle name="20% - Accent5 2 10 7" xfId="22453" xr:uid="{00000000-0005-0000-0000-000075340000}"/>
    <cellStyle name="20% - Accent5 2 10 8" xfId="34248" xr:uid="{00000000-0005-0000-0000-000076340000}"/>
    <cellStyle name="20% - Accent5 2 10 9" xfId="39725" xr:uid="{00000000-0005-0000-0000-000077340000}"/>
    <cellStyle name="20% - Accent5 2 11" xfId="1016" xr:uid="{00000000-0005-0000-0000-000078340000}"/>
    <cellStyle name="20% - Accent5 2 11 10" xfId="45203" xr:uid="{00000000-0005-0000-0000-000079340000}"/>
    <cellStyle name="20% - Accent5 2 11 11" xfId="50681" xr:uid="{00000000-0005-0000-0000-00007A340000}"/>
    <cellStyle name="20% - Accent5 2 11 2" xfId="2777" xr:uid="{00000000-0005-0000-0000-00007B340000}"/>
    <cellStyle name="20% - Accent5 2 11 2 2" xfId="8257" xr:uid="{00000000-0005-0000-0000-00007C340000}"/>
    <cellStyle name="20% - Accent5 2 11 2 3" xfId="13733" xr:uid="{00000000-0005-0000-0000-00007D340000}"/>
    <cellStyle name="20% - Accent5 2 11 2 4" xfId="19209" xr:uid="{00000000-0005-0000-0000-00007E340000}"/>
    <cellStyle name="20% - Accent5 2 11 2 5" xfId="24685" xr:uid="{00000000-0005-0000-0000-00007F340000}"/>
    <cellStyle name="20% - Accent5 2 11 2 6" xfId="36481" xr:uid="{00000000-0005-0000-0000-000080340000}"/>
    <cellStyle name="20% - Accent5 2 11 2 7" xfId="41958" xr:uid="{00000000-0005-0000-0000-000081340000}"/>
    <cellStyle name="20% - Accent5 2 11 2 8" xfId="47435" xr:uid="{00000000-0005-0000-0000-000082340000}"/>
    <cellStyle name="20% - Accent5 2 11 2 9" xfId="52953" xr:uid="{00000000-0005-0000-0000-000083340000}"/>
    <cellStyle name="20% - Accent5 2 11 3" xfId="4549" xr:uid="{00000000-0005-0000-0000-000084340000}"/>
    <cellStyle name="20% - Accent5 2 11 3 2" xfId="10029" xr:uid="{00000000-0005-0000-0000-000085340000}"/>
    <cellStyle name="20% - Accent5 2 11 3 3" xfId="15505" xr:uid="{00000000-0005-0000-0000-000086340000}"/>
    <cellStyle name="20% - Accent5 2 11 3 4" xfId="20981" xr:uid="{00000000-0005-0000-0000-000087340000}"/>
    <cellStyle name="20% - Accent5 2 11 3 5" xfId="26457" xr:uid="{00000000-0005-0000-0000-000088340000}"/>
    <cellStyle name="20% - Accent5 2 11 3 6" xfId="38253" xr:uid="{00000000-0005-0000-0000-000089340000}"/>
    <cellStyle name="20% - Accent5 2 11 3 7" xfId="43730" xr:uid="{00000000-0005-0000-0000-00008A340000}"/>
    <cellStyle name="20% - Accent5 2 11 3 8" xfId="49207" xr:uid="{00000000-0005-0000-0000-00008B340000}"/>
    <cellStyle name="20% - Accent5 2 11 3 9" xfId="54725" xr:uid="{00000000-0005-0000-0000-00008C340000}"/>
    <cellStyle name="20% - Accent5 2 11 4" xfId="6022" xr:uid="{00000000-0005-0000-0000-00008D340000}"/>
    <cellStyle name="20% - Accent5 2 11 5" xfId="11502" xr:uid="{00000000-0005-0000-0000-00008E340000}"/>
    <cellStyle name="20% - Accent5 2 11 6" xfId="16978" xr:uid="{00000000-0005-0000-0000-00008F340000}"/>
    <cellStyle name="20% - Accent5 2 11 7" xfId="22454" xr:uid="{00000000-0005-0000-0000-000090340000}"/>
    <cellStyle name="20% - Accent5 2 11 8" xfId="34249" xr:uid="{00000000-0005-0000-0000-000091340000}"/>
    <cellStyle name="20% - Accent5 2 11 9" xfId="39726" xr:uid="{00000000-0005-0000-0000-000092340000}"/>
    <cellStyle name="20% - Accent5 2 12" xfId="1069" xr:uid="{00000000-0005-0000-0000-000093340000}"/>
    <cellStyle name="20% - Accent5 2 12 10" xfId="45204" xr:uid="{00000000-0005-0000-0000-000094340000}"/>
    <cellStyle name="20% - Accent5 2 12 11" xfId="50682" xr:uid="{00000000-0005-0000-0000-000095340000}"/>
    <cellStyle name="20% - Accent5 2 12 2" xfId="2830" xr:uid="{00000000-0005-0000-0000-000096340000}"/>
    <cellStyle name="20% - Accent5 2 12 2 2" xfId="8310" xr:uid="{00000000-0005-0000-0000-000097340000}"/>
    <cellStyle name="20% - Accent5 2 12 2 3" xfId="13786" xr:uid="{00000000-0005-0000-0000-000098340000}"/>
    <cellStyle name="20% - Accent5 2 12 2 4" xfId="19262" xr:uid="{00000000-0005-0000-0000-000099340000}"/>
    <cellStyle name="20% - Accent5 2 12 2 5" xfId="24738" xr:uid="{00000000-0005-0000-0000-00009A340000}"/>
    <cellStyle name="20% - Accent5 2 12 2 6" xfId="36534" xr:uid="{00000000-0005-0000-0000-00009B340000}"/>
    <cellStyle name="20% - Accent5 2 12 2 7" xfId="42011" xr:uid="{00000000-0005-0000-0000-00009C340000}"/>
    <cellStyle name="20% - Accent5 2 12 2 8" xfId="47488" xr:uid="{00000000-0005-0000-0000-00009D340000}"/>
    <cellStyle name="20% - Accent5 2 12 2 9" xfId="53006" xr:uid="{00000000-0005-0000-0000-00009E340000}"/>
    <cellStyle name="20% - Accent5 2 12 3" xfId="4602" xr:uid="{00000000-0005-0000-0000-00009F340000}"/>
    <cellStyle name="20% - Accent5 2 12 3 2" xfId="10082" xr:uid="{00000000-0005-0000-0000-0000A0340000}"/>
    <cellStyle name="20% - Accent5 2 12 3 3" xfId="15558" xr:uid="{00000000-0005-0000-0000-0000A1340000}"/>
    <cellStyle name="20% - Accent5 2 12 3 4" xfId="21034" xr:uid="{00000000-0005-0000-0000-0000A2340000}"/>
    <cellStyle name="20% - Accent5 2 12 3 5" xfId="26510" xr:uid="{00000000-0005-0000-0000-0000A3340000}"/>
    <cellStyle name="20% - Accent5 2 12 3 6" xfId="38306" xr:uid="{00000000-0005-0000-0000-0000A4340000}"/>
    <cellStyle name="20% - Accent5 2 12 3 7" xfId="43783" xr:uid="{00000000-0005-0000-0000-0000A5340000}"/>
    <cellStyle name="20% - Accent5 2 12 3 8" xfId="49260" xr:uid="{00000000-0005-0000-0000-0000A6340000}"/>
    <cellStyle name="20% - Accent5 2 12 3 9" xfId="54778" xr:uid="{00000000-0005-0000-0000-0000A7340000}"/>
    <cellStyle name="20% - Accent5 2 12 4" xfId="6023" xr:uid="{00000000-0005-0000-0000-0000A8340000}"/>
    <cellStyle name="20% - Accent5 2 12 5" xfId="11503" xr:uid="{00000000-0005-0000-0000-0000A9340000}"/>
    <cellStyle name="20% - Accent5 2 12 6" xfId="16979" xr:uid="{00000000-0005-0000-0000-0000AA340000}"/>
    <cellStyle name="20% - Accent5 2 12 7" xfId="22455" xr:uid="{00000000-0005-0000-0000-0000AB340000}"/>
    <cellStyle name="20% - Accent5 2 12 8" xfId="34250" xr:uid="{00000000-0005-0000-0000-0000AC340000}"/>
    <cellStyle name="20% - Accent5 2 12 9" xfId="39727" xr:uid="{00000000-0005-0000-0000-0000AD340000}"/>
    <cellStyle name="20% - Accent5 2 13" xfId="1241" xr:uid="{00000000-0005-0000-0000-0000AE340000}"/>
    <cellStyle name="20% - Accent5 2 13 10" xfId="45205" xr:uid="{00000000-0005-0000-0000-0000AF340000}"/>
    <cellStyle name="20% - Accent5 2 13 11" xfId="50683" xr:uid="{00000000-0005-0000-0000-0000B0340000}"/>
    <cellStyle name="20% - Accent5 2 13 2" xfId="3002" xr:uid="{00000000-0005-0000-0000-0000B1340000}"/>
    <cellStyle name="20% - Accent5 2 13 2 2" xfId="8482" xr:uid="{00000000-0005-0000-0000-0000B2340000}"/>
    <cellStyle name="20% - Accent5 2 13 2 3" xfId="13958" xr:uid="{00000000-0005-0000-0000-0000B3340000}"/>
    <cellStyle name="20% - Accent5 2 13 2 4" xfId="19434" xr:uid="{00000000-0005-0000-0000-0000B4340000}"/>
    <cellStyle name="20% - Accent5 2 13 2 5" xfId="24910" xr:uid="{00000000-0005-0000-0000-0000B5340000}"/>
    <cellStyle name="20% - Accent5 2 13 2 6" xfId="36706" xr:uid="{00000000-0005-0000-0000-0000B6340000}"/>
    <cellStyle name="20% - Accent5 2 13 2 7" xfId="42183" xr:uid="{00000000-0005-0000-0000-0000B7340000}"/>
    <cellStyle name="20% - Accent5 2 13 2 8" xfId="47660" xr:uid="{00000000-0005-0000-0000-0000B8340000}"/>
    <cellStyle name="20% - Accent5 2 13 2 9" xfId="53178" xr:uid="{00000000-0005-0000-0000-0000B9340000}"/>
    <cellStyle name="20% - Accent5 2 13 3" xfId="4774" xr:uid="{00000000-0005-0000-0000-0000BA340000}"/>
    <cellStyle name="20% - Accent5 2 13 3 2" xfId="10254" xr:uid="{00000000-0005-0000-0000-0000BB340000}"/>
    <cellStyle name="20% - Accent5 2 13 3 3" xfId="15730" xr:uid="{00000000-0005-0000-0000-0000BC340000}"/>
    <cellStyle name="20% - Accent5 2 13 3 4" xfId="21206" xr:uid="{00000000-0005-0000-0000-0000BD340000}"/>
    <cellStyle name="20% - Accent5 2 13 3 5" xfId="26682" xr:uid="{00000000-0005-0000-0000-0000BE340000}"/>
    <cellStyle name="20% - Accent5 2 13 3 6" xfId="38478" xr:uid="{00000000-0005-0000-0000-0000BF340000}"/>
    <cellStyle name="20% - Accent5 2 13 3 7" xfId="43955" xr:uid="{00000000-0005-0000-0000-0000C0340000}"/>
    <cellStyle name="20% - Accent5 2 13 3 8" xfId="49432" xr:uid="{00000000-0005-0000-0000-0000C1340000}"/>
    <cellStyle name="20% - Accent5 2 13 3 9" xfId="54950" xr:uid="{00000000-0005-0000-0000-0000C2340000}"/>
    <cellStyle name="20% - Accent5 2 13 4" xfId="6024" xr:uid="{00000000-0005-0000-0000-0000C3340000}"/>
    <cellStyle name="20% - Accent5 2 13 5" xfId="11504" xr:uid="{00000000-0005-0000-0000-0000C4340000}"/>
    <cellStyle name="20% - Accent5 2 13 6" xfId="16980" xr:uid="{00000000-0005-0000-0000-0000C5340000}"/>
    <cellStyle name="20% - Accent5 2 13 7" xfId="22456" xr:uid="{00000000-0005-0000-0000-0000C6340000}"/>
    <cellStyle name="20% - Accent5 2 13 8" xfId="34251" xr:uid="{00000000-0005-0000-0000-0000C7340000}"/>
    <cellStyle name="20% - Accent5 2 13 9" xfId="39728" xr:uid="{00000000-0005-0000-0000-0000C8340000}"/>
    <cellStyle name="20% - Accent5 2 14" xfId="1413" xr:uid="{00000000-0005-0000-0000-0000C9340000}"/>
    <cellStyle name="20% - Accent5 2 14 10" xfId="45206" xr:uid="{00000000-0005-0000-0000-0000CA340000}"/>
    <cellStyle name="20% - Accent5 2 14 11" xfId="50684" xr:uid="{00000000-0005-0000-0000-0000CB340000}"/>
    <cellStyle name="20% - Accent5 2 14 2" xfId="3174" xr:uid="{00000000-0005-0000-0000-0000CC340000}"/>
    <cellStyle name="20% - Accent5 2 14 2 2" xfId="8654" xr:uid="{00000000-0005-0000-0000-0000CD340000}"/>
    <cellStyle name="20% - Accent5 2 14 2 3" xfId="14130" xr:uid="{00000000-0005-0000-0000-0000CE340000}"/>
    <cellStyle name="20% - Accent5 2 14 2 4" xfId="19606" xr:uid="{00000000-0005-0000-0000-0000CF340000}"/>
    <cellStyle name="20% - Accent5 2 14 2 5" xfId="25082" xr:uid="{00000000-0005-0000-0000-0000D0340000}"/>
    <cellStyle name="20% - Accent5 2 14 2 6" xfId="36878" xr:uid="{00000000-0005-0000-0000-0000D1340000}"/>
    <cellStyle name="20% - Accent5 2 14 2 7" xfId="42355" xr:uid="{00000000-0005-0000-0000-0000D2340000}"/>
    <cellStyle name="20% - Accent5 2 14 2 8" xfId="47832" xr:uid="{00000000-0005-0000-0000-0000D3340000}"/>
    <cellStyle name="20% - Accent5 2 14 2 9" xfId="53350" xr:uid="{00000000-0005-0000-0000-0000D4340000}"/>
    <cellStyle name="20% - Accent5 2 14 3" xfId="4946" xr:uid="{00000000-0005-0000-0000-0000D5340000}"/>
    <cellStyle name="20% - Accent5 2 14 3 2" xfId="10426" xr:uid="{00000000-0005-0000-0000-0000D6340000}"/>
    <cellStyle name="20% - Accent5 2 14 3 3" xfId="15902" xr:uid="{00000000-0005-0000-0000-0000D7340000}"/>
    <cellStyle name="20% - Accent5 2 14 3 4" xfId="21378" xr:uid="{00000000-0005-0000-0000-0000D8340000}"/>
    <cellStyle name="20% - Accent5 2 14 3 5" xfId="26854" xr:uid="{00000000-0005-0000-0000-0000D9340000}"/>
    <cellStyle name="20% - Accent5 2 14 3 6" xfId="38650" xr:uid="{00000000-0005-0000-0000-0000DA340000}"/>
    <cellStyle name="20% - Accent5 2 14 3 7" xfId="44127" xr:uid="{00000000-0005-0000-0000-0000DB340000}"/>
    <cellStyle name="20% - Accent5 2 14 3 8" xfId="49604" xr:uid="{00000000-0005-0000-0000-0000DC340000}"/>
    <cellStyle name="20% - Accent5 2 14 3 9" xfId="55122" xr:uid="{00000000-0005-0000-0000-0000DD340000}"/>
    <cellStyle name="20% - Accent5 2 14 4" xfId="6025" xr:uid="{00000000-0005-0000-0000-0000DE340000}"/>
    <cellStyle name="20% - Accent5 2 14 5" xfId="11505" xr:uid="{00000000-0005-0000-0000-0000DF340000}"/>
    <cellStyle name="20% - Accent5 2 14 6" xfId="16981" xr:uid="{00000000-0005-0000-0000-0000E0340000}"/>
    <cellStyle name="20% - Accent5 2 14 7" xfId="22457" xr:uid="{00000000-0005-0000-0000-0000E1340000}"/>
    <cellStyle name="20% - Accent5 2 14 8" xfId="34252" xr:uid="{00000000-0005-0000-0000-0000E2340000}"/>
    <cellStyle name="20% - Accent5 2 14 9" xfId="39729" xr:uid="{00000000-0005-0000-0000-0000E3340000}"/>
    <cellStyle name="20% - Accent5 2 15" xfId="1585" xr:uid="{00000000-0005-0000-0000-0000E4340000}"/>
    <cellStyle name="20% - Accent5 2 15 10" xfId="45207" xr:uid="{00000000-0005-0000-0000-0000E5340000}"/>
    <cellStyle name="20% - Accent5 2 15 11" xfId="50685" xr:uid="{00000000-0005-0000-0000-0000E6340000}"/>
    <cellStyle name="20% - Accent5 2 15 2" xfId="3346" xr:uid="{00000000-0005-0000-0000-0000E7340000}"/>
    <cellStyle name="20% - Accent5 2 15 2 2" xfId="8826" xr:uid="{00000000-0005-0000-0000-0000E8340000}"/>
    <cellStyle name="20% - Accent5 2 15 2 3" xfId="14302" xr:uid="{00000000-0005-0000-0000-0000E9340000}"/>
    <cellStyle name="20% - Accent5 2 15 2 4" xfId="19778" xr:uid="{00000000-0005-0000-0000-0000EA340000}"/>
    <cellStyle name="20% - Accent5 2 15 2 5" xfId="25254" xr:uid="{00000000-0005-0000-0000-0000EB340000}"/>
    <cellStyle name="20% - Accent5 2 15 2 6" xfId="37050" xr:uid="{00000000-0005-0000-0000-0000EC340000}"/>
    <cellStyle name="20% - Accent5 2 15 2 7" xfId="42527" xr:uid="{00000000-0005-0000-0000-0000ED340000}"/>
    <cellStyle name="20% - Accent5 2 15 2 8" xfId="48004" xr:uid="{00000000-0005-0000-0000-0000EE340000}"/>
    <cellStyle name="20% - Accent5 2 15 2 9" xfId="53522" xr:uid="{00000000-0005-0000-0000-0000EF340000}"/>
    <cellStyle name="20% - Accent5 2 15 3" xfId="5118" xr:uid="{00000000-0005-0000-0000-0000F0340000}"/>
    <cellStyle name="20% - Accent5 2 15 3 2" xfId="10598" xr:uid="{00000000-0005-0000-0000-0000F1340000}"/>
    <cellStyle name="20% - Accent5 2 15 3 3" xfId="16074" xr:uid="{00000000-0005-0000-0000-0000F2340000}"/>
    <cellStyle name="20% - Accent5 2 15 3 4" xfId="21550" xr:uid="{00000000-0005-0000-0000-0000F3340000}"/>
    <cellStyle name="20% - Accent5 2 15 3 5" xfId="27026" xr:uid="{00000000-0005-0000-0000-0000F4340000}"/>
    <cellStyle name="20% - Accent5 2 15 3 6" xfId="38822" xr:uid="{00000000-0005-0000-0000-0000F5340000}"/>
    <cellStyle name="20% - Accent5 2 15 3 7" xfId="44299" xr:uid="{00000000-0005-0000-0000-0000F6340000}"/>
    <cellStyle name="20% - Accent5 2 15 3 8" xfId="49776" xr:uid="{00000000-0005-0000-0000-0000F7340000}"/>
    <cellStyle name="20% - Accent5 2 15 3 9" xfId="55294" xr:uid="{00000000-0005-0000-0000-0000F8340000}"/>
    <cellStyle name="20% - Accent5 2 15 4" xfId="6026" xr:uid="{00000000-0005-0000-0000-0000F9340000}"/>
    <cellStyle name="20% - Accent5 2 15 5" xfId="11506" xr:uid="{00000000-0005-0000-0000-0000FA340000}"/>
    <cellStyle name="20% - Accent5 2 15 6" xfId="16982" xr:uid="{00000000-0005-0000-0000-0000FB340000}"/>
    <cellStyle name="20% - Accent5 2 15 7" xfId="22458" xr:uid="{00000000-0005-0000-0000-0000FC340000}"/>
    <cellStyle name="20% - Accent5 2 15 8" xfId="34253" xr:uid="{00000000-0005-0000-0000-0000FD340000}"/>
    <cellStyle name="20% - Accent5 2 15 9" xfId="39730" xr:uid="{00000000-0005-0000-0000-0000FE340000}"/>
    <cellStyle name="20% - Accent5 2 16" xfId="1721" xr:uid="{00000000-0005-0000-0000-0000FF340000}"/>
    <cellStyle name="20% - Accent5 2 16 10" xfId="45208" xr:uid="{00000000-0005-0000-0000-000000350000}"/>
    <cellStyle name="20% - Accent5 2 16 11" xfId="50686" xr:uid="{00000000-0005-0000-0000-000001350000}"/>
    <cellStyle name="20% - Accent5 2 16 2" xfId="3482" xr:uid="{00000000-0005-0000-0000-000002350000}"/>
    <cellStyle name="20% - Accent5 2 16 2 2" xfId="8962" xr:uid="{00000000-0005-0000-0000-000003350000}"/>
    <cellStyle name="20% - Accent5 2 16 2 3" xfId="14438" xr:uid="{00000000-0005-0000-0000-000004350000}"/>
    <cellStyle name="20% - Accent5 2 16 2 4" xfId="19914" xr:uid="{00000000-0005-0000-0000-000005350000}"/>
    <cellStyle name="20% - Accent5 2 16 2 5" xfId="25390" xr:uid="{00000000-0005-0000-0000-000006350000}"/>
    <cellStyle name="20% - Accent5 2 16 2 6" xfId="37186" xr:uid="{00000000-0005-0000-0000-000007350000}"/>
    <cellStyle name="20% - Accent5 2 16 2 7" xfId="42663" xr:uid="{00000000-0005-0000-0000-000008350000}"/>
    <cellStyle name="20% - Accent5 2 16 2 8" xfId="48140" xr:uid="{00000000-0005-0000-0000-000009350000}"/>
    <cellStyle name="20% - Accent5 2 16 2 9" xfId="53658" xr:uid="{00000000-0005-0000-0000-00000A350000}"/>
    <cellStyle name="20% - Accent5 2 16 3" xfId="5254" xr:uid="{00000000-0005-0000-0000-00000B350000}"/>
    <cellStyle name="20% - Accent5 2 16 3 2" xfId="10734" xr:uid="{00000000-0005-0000-0000-00000C350000}"/>
    <cellStyle name="20% - Accent5 2 16 3 3" xfId="16210" xr:uid="{00000000-0005-0000-0000-00000D350000}"/>
    <cellStyle name="20% - Accent5 2 16 3 4" xfId="21686" xr:uid="{00000000-0005-0000-0000-00000E350000}"/>
    <cellStyle name="20% - Accent5 2 16 3 5" xfId="27162" xr:uid="{00000000-0005-0000-0000-00000F350000}"/>
    <cellStyle name="20% - Accent5 2 16 3 6" xfId="38958" xr:uid="{00000000-0005-0000-0000-000010350000}"/>
    <cellStyle name="20% - Accent5 2 16 3 7" xfId="44435" xr:uid="{00000000-0005-0000-0000-000011350000}"/>
    <cellStyle name="20% - Accent5 2 16 3 8" xfId="49912" xr:uid="{00000000-0005-0000-0000-000012350000}"/>
    <cellStyle name="20% - Accent5 2 16 3 9" xfId="55430" xr:uid="{00000000-0005-0000-0000-000013350000}"/>
    <cellStyle name="20% - Accent5 2 16 4" xfId="6027" xr:uid="{00000000-0005-0000-0000-000014350000}"/>
    <cellStyle name="20% - Accent5 2 16 5" xfId="11507" xr:uid="{00000000-0005-0000-0000-000015350000}"/>
    <cellStyle name="20% - Accent5 2 16 6" xfId="16983" xr:uid="{00000000-0005-0000-0000-000016350000}"/>
    <cellStyle name="20% - Accent5 2 16 7" xfId="22459" xr:uid="{00000000-0005-0000-0000-000017350000}"/>
    <cellStyle name="20% - Accent5 2 16 8" xfId="34254" xr:uid="{00000000-0005-0000-0000-000018350000}"/>
    <cellStyle name="20% - Accent5 2 16 9" xfId="39731" xr:uid="{00000000-0005-0000-0000-000019350000}"/>
    <cellStyle name="20% - Accent5 2 17" xfId="1739" xr:uid="{00000000-0005-0000-0000-00001A350000}"/>
    <cellStyle name="20% - Accent5 2 17 10" xfId="45209" xr:uid="{00000000-0005-0000-0000-00001B350000}"/>
    <cellStyle name="20% - Accent5 2 17 11" xfId="50687" xr:uid="{00000000-0005-0000-0000-00001C350000}"/>
    <cellStyle name="20% - Accent5 2 17 2" xfId="3500" xr:uid="{00000000-0005-0000-0000-00001D350000}"/>
    <cellStyle name="20% - Accent5 2 17 2 2" xfId="8980" xr:uid="{00000000-0005-0000-0000-00001E350000}"/>
    <cellStyle name="20% - Accent5 2 17 2 3" xfId="14456" xr:uid="{00000000-0005-0000-0000-00001F350000}"/>
    <cellStyle name="20% - Accent5 2 17 2 4" xfId="19932" xr:uid="{00000000-0005-0000-0000-000020350000}"/>
    <cellStyle name="20% - Accent5 2 17 2 5" xfId="25408" xr:uid="{00000000-0005-0000-0000-000021350000}"/>
    <cellStyle name="20% - Accent5 2 17 2 6" xfId="37204" xr:uid="{00000000-0005-0000-0000-000022350000}"/>
    <cellStyle name="20% - Accent5 2 17 2 7" xfId="42681" xr:uid="{00000000-0005-0000-0000-000023350000}"/>
    <cellStyle name="20% - Accent5 2 17 2 8" xfId="48158" xr:uid="{00000000-0005-0000-0000-000024350000}"/>
    <cellStyle name="20% - Accent5 2 17 2 9" xfId="53676" xr:uid="{00000000-0005-0000-0000-000025350000}"/>
    <cellStyle name="20% - Accent5 2 17 3" xfId="5272" xr:uid="{00000000-0005-0000-0000-000026350000}"/>
    <cellStyle name="20% - Accent5 2 17 3 2" xfId="10752" xr:uid="{00000000-0005-0000-0000-000027350000}"/>
    <cellStyle name="20% - Accent5 2 17 3 3" xfId="16228" xr:uid="{00000000-0005-0000-0000-000028350000}"/>
    <cellStyle name="20% - Accent5 2 17 3 4" xfId="21704" xr:uid="{00000000-0005-0000-0000-000029350000}"/>
    <cellStyle name="20% - Accent5 2 17 3 5" xfId="27180" xr:uid="{00000000-0005-0000-0000-00002A350000}"/>
    <cellStyle name="20% - Accent5 2 17 3 6" xfId="38976" xr:uid="{00000000-0005-0000-0000-00002B350000}"/>
    <cellStyle name="20% - Accent5 2 17 3 7" xfId="44453" xr:uid="{00000000-0005-0000-0000-00002C350000}"/>
    <cellStyle name="20% - Accent5 2 17 3 8" xfId="49930" xr:uid="{00000000-0005-0000-0000-00002D350000}"/>
    <cellStyle name="20% - Accent5 2 17 3 9" xfId="55448" xr:uid="{00000000-0005-0000-0000-00002E350000}"/>
    <cellStyle name="20% - Accent5 2 17 4" xfId="6028" xr:uid="{00000000-0005-0000-0000-00002F350000}"/>
    <cellStyle name="20% - Accent5 2 17 5" xfId="11508" xr:uid="{00000000-0005-0000-0000-000030350000}"/>
    <cellStyle name="20% - Accent5 2 17 6" xfId="16984" xr:uid="{00000000-0005-0000-0000-000031350000}"/>
    <cellStyle name="20% - Accent5 2 17 7" xfId="22460" xr:uid="{00000000-0005-0000-0000-000032350000}"/>
    <cellStyle name="20% - Accent5 2 17 8" xfId="34255" xr:uid="{00000000-0005-0000-0000-000033350000}"/>
    <cellStyle name="20% - Accent5 2 17 9" xfId="39732" xr:uid="{00000000-0005-0000-0000-000034350000}"/>
    <cellStyle name="20% - Accent5 2 18" xfId="1947" xr:uid="{00000000-0005-0000-0000-000035350000}"/>
    <cellStyle name="20% - Accent5 2 18 10" xfId="52124" xr:uid="{00000000-0005-0000-0000-000036350000}"/>
    <cellStyle name="20% - Accent5 2 18 2" xfId="5479" xr:uid="{00000000-0005-0000-0000-000037350000}"/>
    <cellStyle name="20% - Accent5 2 18 2 2" xfId="10959" xr:uid="{00000000-0005-0000-0000-000038350000}"/>
    <cellStyle name="20% - Accent5 2 18 2 3" xfId="16435" xr:uid="{00000000-0005-0000-0000-000039350000}"/>
    <cellStyle name="20% - Accent5 2 18 2 4" xfId="21911" xr:uid="{00000000-0005-0000-0000-00003A350000}"/>
    <cellStyle name="20% - Accent5 2 18 2 5" xfId="27387" xr:uid="{00000000-0005-0000-0000-00003B350000}"/>
    <cellStyle name="20% - Accent5 2 18 2 6" xfId="39183" xr:uid="{00000000-0005-0000-0000-00003C350000}"/>
    <cellStyle name="20% - Accent5 2 18 2 7" xfId="44660" xr:uid="{00000000-0005-0000-0000-00003D350000}"/>
    <cellStyle name="20% - Accent5 2 18 2 8" xfId="50137" xr:uid="{00000000-0005-0000-0000-00003E350000}"/>
    <cellStyle name="20% - Accent5 2 18 2 9" xfId="55655" xr:uid="{00000000-0005-0000-0000-00003F350000}"/>
    <cellStyle name="20% - Accent5 2 18 3" xfId="7428" xr:uid="{00000000-0005-0000-0000-000040350000}"/>
    <cellStyle name="20% - Accent5 2 18 4" xfId="12904" xr:uid="{00000000-0005-0000-0000-000041350000}"/>
    <cellStyle name="20% - Accent5 2 18 5" xfId="18380" xr:uid="{00000000-0005-0000-0000-000042350000}"/>
    <cellStyle name="20% - Accent5 2 18 6" xfId="23856" xr:uid="{00000000-0005-0000-0000-000043350000}"/>
    <cellStyle name="20% - Accent5 2 18 7" xfId="35652" xr:uid="{00000000-0005-0000-0000-000044350000}"/>
    <cellStyle name="20% - Accent5 2 18 8" xfId="41129" xr:uid="{00000000-0005-0000-0000-000045350000}"/>
    <cellStyle name="20% - Accent5 2 18 9" xfId="46606" xr:uid="{00000000-0005-0000-0000-000046350000}"/>
    <cellStyle name="20% - Accent5 2 19" xfId="3689" xr:uid="{00000000-0005-0000-0000-000047350000}"/>
    <cellStyle name="20% - Accent5 2 19 2" xfId="9169" xr:uid="{00000000-0005-0000-0000-000048350000}"/>
    <cellStyle name="20% - Accent5 2 19 3" xfId="14645" xr:uid="{00000000-0005-0000-0000-000049350000}"/>
    <cellStyle name="20% - Accent5 2 19 4" xfId="20121" xr:uid="{00000000-0005-0000-0000-00004A350000}"/>
    <cellStyle name="20% - Accent5 2 19 5" xfId="25597" xr:uid="{00000000-0005-0000-0000-00004B350000}"/>
    <cellStyle name="20% - Accent5 2 19 6" xfId="37393" xr:uid="{00000000-0005-0000-0000-00004C350000}"/>
    <cellStyle name="20% - Accent5 2 19 7" xfId="42870" xr:uid="{00000000-0005-0000-0000-00004D350000}"/>
    <cellStyle name="20% - Accent5 2 19 8" xfId="48347" xr:uid="{00000000-0005-0000-0000-00004E350000}"/>
    <cellStyle name="20% - Accent5 2 19 9" xfId="53865" xr:uid="{00000000-0005-0000-0000-00004F350000}"/>
    <cellStyle name="20% - Accent5 2 2" xfId="134" xr:uid="{00000000-0005-0000-0000-000050350000}"/>
    <cellStyle name="20% - Accent5 2 2 10" xfId="1586" xr:uid="{00000000-0005-0000-0000-000051350000}"/>
    <cellStyle name="20% - Accent5 2 2 10 10" xfId="45211" xr:uid="{00000000-0005-0000-0000-000052350000}"/>
    <cellStyle name="20% - Accent5 2 2 10 11" xfId="50689" xr:uid="{00000000-0005-0000-0000-000053350000}"/>
    <cellStyle name="20% - Accent5 2 2 10 2" xfId="3347" xr:uid="{00000000-0005-0000-0000-000054350000}"/>
    <cellStyle name="20% - Accent5 2 2 10 2 2" xfId="8827" xr:uid="{00000000-0005-0000-0000-000055350000}"/>
    <cellStyle name="20% - Accent5 2 2 10 2 3" xfId="14303" xr:uid="{00000000-0005-0000-0000-000056350000}"/>
    <cellStyle name="20% - Accent5 2 2 10 2 4" xfId="19779" xr:uid="{00000000-0005-0000-0000-000057350000}"/>
    <cellStyle name="20% - Accent5 2 2 10 2 5" xfId="25255" xr:uid="{00000000-0005-0000-0000-000058350000}"/>
    <cellStyle name="20% - Accent5 2 2 10 2 6" xfId="37051" xr:uid="{00000000-0005-0000-0000-000059350000}"/>
    <cellStyle name="20% - Accent5 2 2 10 2 7" xfId="42528" xr:uid="{00000000-0005-0000-0000-00005A350000}"/>
    <cellStyle name="20% - Accent5 2 2 10 2 8" xfId="48005" xr:uid="{00000000-0005-0000-0000-00005B350000}"/>
    <cellStyle name="20% - Accent5 2 2 10 2 9" xfId="53523" xr:uid="{00000000-0005-0000-0000-00005C350000}"/>
    <cellStyle name="20% - Accent5 2 2 10 3" xfId="5119" xr:uid="{00000000-0005-0000-0000-00005D350000}"/>
    <cellStyle name="20% - Accent5 2 2 10 3 2" xfId="10599" xr:uid="{00000000-0005-0000-0000-00005E350000}"/>
    <cellStyle name="20% - Accent5 2 2 10 3 3" xfId="16075" xr:uid="{00000000-0005-0000-0000-00005F350000}"/>
    <cellStyle name="20% - Accent5 2 2 10 3 4" xfId="21551" xr:uid="{00000000-0005-0000-0000-000060350000}"/>
    <cellStyle name="20% - Accent5 2 2 10 3 5" xfId="27027" xr:uid="{00000000-0005-0000-0000-000061350000}"/>
    <cellStyle name="20% - Accent5 2 2 10 3 6" xfId="38823" xr:uid="{00000000-0005-0000-0000-000062350000}"/>
    <cellStyle name="20% - Accent5 2 2 10 3 7" xfId="44300" xr:uid="{00000000-0005-0000-0000-000063350000}"/>
    <cellStyle name="20% - Accent5 2 2 10 3 8" xfId="49777" xr:uid="{00000000-0005-0000-0000-000064350000}"/>
    <cellStyle name="20% - Accent5 2 2 10 3 9" xfId="55295" xr:uid="{00000000-0005-0000-0000-000065350000}"/>
    <cellStyle name="20% - Accent5 2 2 10 4" xfId="6030" xr:uid="{00000000-0005-0000-0000-000066350000}"/>
    <cellStyle name="20% - Accent5 2 2 10 5" xfId="11510" xr:uid="{00000000-0005-0000-0000-000067350000}"/>
    <cellStyle name="20% - Accent5 2 2 10 6" xfId="16986" xr:uid="{00000000-0005-0000-0000-000068350000}"/>
    <cellStyle name="20% - Accent5 2 2 10 7" xfId="22462" xr:uid="{00000000-0005-0000-0000-000069350000}"/>
    <cellStyle name="20% - Accent5 2 2 10 8" xfId="34257" xr:uid="{00000000-0005-0000-0000-00006A350000}"/>
    <cellStyle name="20% - Accent5 2 2 10 9" xfId="39734" xr:uid="{00000000-0005-0000-0000-00006B350000}"/>
    <cellStyle name="20% - Accent5 2 2 11" xfId="1769" xr:uid="{00000000-0005-0000-0000-00006C350000}"/>
    <cellStyle name="20% - Accent5 2 2 11 10" xfId="45212" xr:uid="{00000000-0005-0000-0000-00006D350000}"/>
    <cellStyle name="20% - Accent5 2 2 11 11" xfId="50690" xr:uid="{00000000-0005-0000-0000-00006E350000}"/>
    <cellStyle name="20% - Accent5 2 2 11 2" xfId="3530" xr:uid="{00000000-0005-0000-0000-00006F350000}"/>
    <cellStyle name="20% - Accent5 2 2 11 2 2" xfId="9010" xr:uid="{00000000-0005-0000-0000-000070350000}"/>
    <cellStyle name="20% - Accent5 2 2 11 2 3" xfId="14486" xr:uid="{00000000-0005-0000-0000-000071350000}"/>
    <cellStyle name="20% - Accent5 2 2 11 2 4" xfId="19962" xr:uid="{00000000-0005-0000-0000-000072350000}"/>
    <cellStyle name="20% - Accent5 2 2 11 2 5" xfId="25438" xr:uid="{00000000-0005-0000-0000-000073350000}"/>
    <cellStyle name="20% - Accent5 2 2 11 2 6" xfId="37234" xr:uid="{00000000-0005-0000-0000-000074350000}"/>
    <cellStyle name="20% - Accent5 2 2 11 2 7" xfId="42711" xr:uid="{00000000-0005-0000-0000-000075350000}"/>
    <cellStyle name="20% - Accent5 2 2 11 2 8" xfId="48188" xr:uid="{00000000-0005-0000-0000-000076350000}"/>
    <cellStyle name="20% - Accent5 2 2 11 2 9" xfId="53706" xr:uid="{00000000-0005-0000-0000-000077350000}"/>
    <cellStyle name="20% - Accent5 2 2 11 3" xfId="5302" xr:uid="{00000000-0005-0000-0000-000078350000}"/>
    <cellStyle name="20% - Accent5 2 2 11 3 2" xfId="10782" xr:uid="{00000000-0005-0000-0000-000079350000}"/>
    <cellStyle name="20% - Accent5 2 2 11 3 3" xfId="16258" xr:uid="{00000000-0005-0000-0000-00007A350000}"/>
    <cellStyle name="20% - Accent5 2 2 11 3 4" xfId="21734" xr:uid="{00000000-0005-0000-0000-00007B350000}"/>
    <cellStyle name="20% - Accent5 2 2 11 3 5" xfId="27210" xr:uid="{00000000-0005-0000-0000-00007C350000}"/>
    <cellStyle name="20% - Accent5 2 2 11 3 6" xfId="39006" xr:uid="{00000000-0005-0000-0000-00007D350000}"/>
    <cellStyle name="20% - Accent5 2 2 11 3 7" xfId="44483" xr:uid="{00000000-0005-0000-0000-00007E350000}"/>
    <cellStyle name="20% - Accent5 2 2 11 3 8" xfId="49960" xr:uid="{00000000-0005-0000-0000-00007F350000}"/>
    <cellStyle name="20% - Accent5 2 2 11 3 9" xfId="55478" xr:uid="{00000000-0005-0000-0000-000080350000}"/>
    <cellStyle name="20% - Accent5 2 2 11 4" xfId="6031" xr:uid="{00000000-0005-0000-0000-000081350000}"/>
    <cellStyle name="20% - Accent5 2 2 11 5" xfId="11511" xr:uid="{00000000-0005-0000-0000-000082350000}"/>
    <cellStyle name="20% - Accent5 2 2 11 6" xfId="16987" xr:uid="{00000000-0005-0000-0000-000083350000}"/>
    <cellStyle name="20% - Accent5 2 2 11 7" xfId="22463" xr:uid="{00000000-0005-0000-0000-000084350000}"/>
    <cellStyle name="20% - Accent5 2 2 11 8" xfId="34258" xr:uid="{00000000-0005-0000-0000-000085350000}"/>
    <cellStyle name="20% - Accent5 2 2 11 9" xfId="39735" xr:uid="{00000000-0005-0000-0000-000086350000}"/>
    <cellStyle name="20% - Accent5 2 2 12" xfId="1948" xr:uid="{00000000-0005-0000-0000-000087350000}"/>
    <cellStyle name="20% - Accent5 2 2 12 10" xfId="52125" xr:uid="{00000000-0005-0000-0000-000088350000}"/>
    <cellStyle name="20% - Accent5 2 2 12 2" xfId="5480" xr:uid="{00000000-0005-0000-0000-000089350000}"/>
    <cellStyle name="20% - Accent5 2 2 12 2 2" xfId="10960" xr:uid="{00000000-0005-0000-0000-00008A350000}"/>
    <cellStyle name="20% - Accent5 2 2 12 2 3" xfId="16436" xr:uid="{00000000-0005-0000-0000-00008B350000}"/>
    <cellStyle name="20% - Accent5 2 2 12 2 4" xfId="21912" xr:uid="{00000000-0005-0000-0000-00008C350000}"/>
    <cellStyle name="20% - Accent5 2 2 12 2 5" xfId="27388" xr:uid="{00000000-0005-0000-0000-00008D350000}"/>
    <cellStyle name="20% - Accent5 2 2 12 2 6" xfId="39184" xr:uid="{00000000-0005-0000-0000-00008E350000}"/>
    <cellStyle name="20% - Accent5 2 2 12 2 7" xfId="44661" xr:uid="{00000000-0005-0000-0000-00008F350000}"/>
    <cellStyle name="20% - Accent5 2 2 12 2 8" xfId="50138" xr:uid="{00000000-0005-0000-0000-000090350000}"/>
    <cellStyle name="20% - Accent5 2 2 12 2 9" xfId="55656" xr:uid="{00000000-0005-0000-0000-000091350000}"/>
    <cellStyle name="20% - Accent5 2 2 12 3" xfId="7429" xr:uid="{00000000-0005-0000-0000-000092350000}"/>
    <cellStyle name="20% - Accent5 2 2 12 4" xfId="12905" xr:uid="{00000000-0005-0000-0000-000093350000}"/>
    <cellStyle name="20% - Accent5 2 2 12 5" xfId="18381" xr:uid="{00000000-0005-0000-0000-000094350000}"/>
    <cellStyle name="20% - Accent5 2 2 12 6" xfId="23857" xr:uid="{00000000-0005-0000-0000-000095350000}"/>
    <cellStyle name="20% - Accent5 2 2 12 7" xfId="35653" xr:uid="{00000000-0005-0000-0000-000096350000}"/>
    <cellStyle name="20% - Accent5 2 2 12 8" xfId="41130" xr:uid="{00000000-0005-0000-0000-000097350000}"/>
    <cellStyle name="20% - Accent5 2 2 12 9" xfId="46607" xr:uid="{00000000-0005-0000-0000-000098350000}"/>
    <cellStyle name="20% - Accent5 2 2 13" xfId="3706" xr:uid="{00000000-0005-0000-0000-000099350000}"/>
    <cellStyle name="20% - Accent5 2 2 13 2" xfId="9186" xr:uid="{00000000-0005-0000-0000-00009A350000}"/>
    <cellStyle name="20% - Accent5 2 2 13 3" xfId="14662" xr:uid="{00000000-0005-0000-0000-00009B350000}"/>
    <cellStyle name="20% - Accent5 2 2 13 4" xfId="20138" xr:uid="{00000000-0005-0000-0000-00009C350000}"/>
    <cellStyle name="20% - Accent5 2 2 13 5" xfId="25614" xr:uid="{00000000-0005-0000-0000-00009D350000}"/>
    <cellStyle name="20% - Accent5 2 2 13 6" xfId="37410" xr:uid="{00000000-0005-0000-0000-00009E350000}"/>
    <cellStyle name="20% - Accent5 2 2 13 7" xfId="42887" xr:uid="{00000000-0005-0000-0000-00009F350000}"/>
    <cellStyle name="20% - Accent5 2 2 13 8" xfId="48364" xr:uid="{00000000-0005-0000-0000-0000A0350000}"/>
    <cellStyle name="20% - Accent5 2 2 13 9" xfId="53882" xr:uid="{00000000-0005-0000-0000-0000A1350000}"/>
    <cellStyle name="20% - Accent5 2 2 14" xfId="6029" xr:uid="{00000000-0005-0000-0000-0000A2350000}"/>
    <cellStyle name="20% - Accent5 2 2 15" xfId="11509" xr:uid="{00000000-0005-0000-0000-0000A3350000}"/>
    <cellStyle name="20% - Accent5 2 2 16" xfId="16985" xr:uid="{00000000-0005-0000-0000-0000A4350000}"/>
    <cellStyle name="20% - Accent5 2 2 17" xfId="22461" xr:uid="{00000000-0005-0000-0000-0000A5350000}"/>
    <cellStyle name="20% - Accent5 2 2 18" xfId="29517" xr:uid="{00000000-0005-0000-0000-0000A6350000}"/>
    <cellStyle name="20% - Accent5 2 2 19" xfId="34256" xr:uid="{00000000-0005-0000-0000-0000A7350000}"/>
    <cellStyle name="20% - Accent5 2 2 2" xfId="226" xr:uid="{00000000-0005-0000-0000-0000A8350000}"/>
    <cellStyle name="20% - Accent5 2 2 2 10" xfId="1768" xr:uid="{00000000-0005-0000-0000-0000A9350000}"/>
    <cellStyle name="20% - Accent5 2 2 2 10 10" xfId="45214" xr:uid="{00000000-0005-0000-0000-0000AA350000}"/>
    <cellStyle name="20% - Accent5 2 2 2 10 11" xfId="50692" xr:uid="{00000000-0005-0000-0000-0000AB350000}"/>
    <cellStyle name="20% - Accent5 2 2 2 10 2" xfId="3529" xr:uid="{00000000-0005-0000-0000-0000AC350000}"/>
    <cellStyle name="20% - Accent5 2 2 2 10 2 2" xfId="9009" xr:uid="{00000000-0005-0000-0000-0000AD350000}"/>
    <cellStyle name="20% - Accent5 2 2 2 10 2 3" xfId="14485" xr:uid="{00000000-0005-0000-0000-0000AE350000}"/>
    <cellStyle name="20% - Accent5 2 2 2 10 2 4" xfId="19961" xr:uid="{00000000-0005-0000-0000-0000AF350000}"/>
    <cellStyle name="20% - Accent5 2 2 2 10 2 5" xfId="25437" xr:uid="{00000000-0005-0000-0000-0000B0350000}"/>
    <cellStyle name="20% - Accent5 2 2 2 10 2 6" xfId="37233" xr:uid="{00000000-0005-0000-0000-0000B1350000}"/>
    <cellStyle name="20% - Accent5 2 2 2 10 2 7" xfId="42710" xr:uid="{00000000-0005-0000-0000-0000B2350000}"/>
    <cellStyle name="20% - Accent5 2 2 2 10 2 8" xfId="48187" xr:uid="{00000000-0005-0000-0000-0000B3350000}"/>
    <cellStyle name="20% - Accent5 2 2 2 10 2 9" xfId="53705" xr:uid="{00000000-0005-0000-0000-0000B4350000}"/>
    <cellStyle name="20% - Accent5 2 2 2 10 3" xfId="5301" xr:uid="{00000000-0005-0000-0000-0000B5350000}"/>
    <cellStyle name="20% - Accent5 2 2 2 10 3 2" xfId="10781" xr:uid="{00000000-0005-0000-0000-0000B6350000}"/>
    <cellStyle name="20% - Accent5 2 2 2 10 3 3" xfId="16257" xr:uid="{00000000-0005-0000-0000-0000B7350000}"/>
    <cellStyle name="20% - Accent5 2 2 2 10 3 4" xfId="21733" xr:uid="{00000000-0005-0000-0000-0000B8350000}"/>
    <cellStyle name="20% - Accent5 2 2 2 10 3 5" xfId="27209" xr:uid="{00000000-0005-0000-0000-0000B9350000}"/>
    <cellStyle name="20% - Accent5 2 2 2 10 3 6" xfId="39005" xr:uid="{00000000-0005-0000-0000-0000BA350000}"/>
    <cellStyle name="20% - Accent5 2 2 2 10 3 7" xfId="44482" xr:uid="{00000000-0005-0000-0000-0000BB350000}"/>
    <cellStyle name="20% - Accent5 2 2 2 10 3 8" xfId="49959" xr:uid="{00000000-0005-0000-0000-0000BC350000}"/>
    <cellStyle name="20% - Accent5 2 2 2 10 3 9" xfId="55477" xr:uid="{00000000-0005-0000-0000-0000BD350000}"/>
    <cellStyle name="20% - Accent5 2 2 2 10 4" xfId="6033" xr:uid="{00000000-0005-0000-0000-0000BE350000}"/>
    <cellStyle name="20% - Accent5 2 2 2 10 5" xfId="11513" xr:uid="{00000000-0005-0000-0000-0000BF350000}"/>
    <cellStyle name="20% - Accent5 2 2 2 10 6" xfId="16989" xr:uid="{00000000-0005-0000-0000-0000C0350000}"/>
    <cellStyle name="20% - Accent5 2 2 2 10 7" xfId="22465" xr:uid="{00000000-0005-0000-0000-0000C1350000}"/>
    <cellStyle name="20% - Accent5 2 2 2 10 8" xfId="34260" xr:uid="{00000000-0005-0000-0000-0000C2350000}"/>
    <cellStyle name="20% - Accent5 2 2 2 10 9" xfId="39737" xr:uid="{00000000-0005-0000-0000-0000C3350000}"/>
    <cellStyle name="20% - Accent5 2 2 2 11" xfId="1949" xr:uid="{00000000-0005-0000-0000-0000C4350000}"/>
    <cellStyle name="20% - Accent5 2 2 2 11 10" xfId="52126" xr:uid="{00000000-0005-0000-0000-0000C5350000}"/>
    <cellStyle name="20% - Accent5 2 2 2 11 2" xfId="5481" xr:uid="{00000000-0005-0000-0000-0000C6350000}"/>
    <cellStyle name="20% - Accent5 2 2 2 11 2 2" xfId="10961" xr:uid="{00000000-0005-0000-0000-0000C7350000}"/>
    <cellStyle name="20% - Accent5 2 2 2 11 2 3" xfId="16437" xr:uid="{00000000-0005-0000-0000-0000C8350000}"/>
    <cellStyle name="20% - Accent5 2 2 2 11 2 4" xfId="21913" xr:uid="{00000000-0005-0000-0000-0000C9350000}"/>
    <cellStyle name="20% - Accent5 2 2 2 11 2 5" xfId="27389" xr:uid="{00000000-0005-0000-0000-0000CA350000}"/>
    <cellStyle name="20% - Accent5 2 2 2 11 2 6" xfId="39185" xr:uid="{00000000-0005-0000-0000-0000CB350000}"/>
    <cellStyle name="20% - Accent5 2 2 2 11 2 7" xfId="44662" xr:uid="{00000000-0005-0000-0000-0000CC350000}"/>
    <cellStyle name="20% - Accent5 2 2 2 11 2 8" xfId="50139" xr:uid="{00000000-0005-0000-0000-0000CD350000}"/>
    <cellStyle name="20% - Accent5 2 2 2 11 2 9" xfId="55657" xr:uid="{00000000-0005-0000-0000-0000CE350000}"/>
    <cellStyle name="20% - Accent5 2 2 2 11 3" xfId="7430" xr:uid="{00000000-0005-0000-0000-0000CF350000}"/>
    <cellStyle name="20% - Accent5 2 2 2 11 4" xfId="12906" xr:uid="{00000000-0005-0000-0000-0000D0350000}"/>
    <cellStyle name="20% - Accent5 2 2 2 11 5" xfId="18382" xr:uid="{00000000-0005-0000-0000-0000D1350000}"/>
    <cellStyle name="20% - Accent5 2 2 2 11 6" xfId="23858" xr:uid="{00000000-0005-0000-0000-0000D2350000}"/>
    <cellStyle name="20% - Accent5 2 2 2 11 7" xfId="35654" xr:uid="{00000000-0005-0000-0000-0000D3350000}"/>
    <cellStyle name="20% - Accent5 2 2 2 11 8" xfId="41131" xr:uid="{00000000-0005-0000-0000-0000D4350000}"/>
    <cellStyle name="20% - Accent5 2 2 2 11 9" xfId="46608" xr:uid="{00000000-0005-0000-0000-0000D5350000}"/>
    <cellStyle name="20% - Accent5 2 2 2 12" xfId="3792" xr:uid="{00000000-0005-0000-0000-0000D6350000}"/>
    <cellStyle name="20% - Accent5 2 2 2 12 2" xfId="9272" xr:uid="{00000000-0005-0000-0000-0000D7350000}"/>
    <cellStyle name="20% - Accent5 2 2 2 12 3" xfId="14748" xr:uid="{00000000-0005-0000-0000-0000D8350000}"/>
    <cellStyle name="20% - Accent5 2 2 2 12 4" xfId="20224" xr:uid="{00000000-0005-0000-0000-0000D9350000}"/>
    <cellStyle name="20% - Accent5 2 2 2 12 5" xfId="25700" xr:uid="{00000000-0005-0000-0000-0000DA350000}"/>
    <cellStyle name="20% - Accent5 2 2 2 12 6" xfId="37496" xr:uid="{00000000-0005-0000-0000-0000DB350000}"/>
    <cellStyle name="20% - Accent5 2 2 2 12 7" xfId="42973" xr:uid="{00000000-0005-0000-0000-0000DC350000}"/>
    <cellStyle name="20% - Accent5 2 2 2 12 8" xfId="48450" xr:uid="{00000000-0005-0000-0000-0000DD350000}"/>
    <cellStyle name="20% - Accent5 2 2 2 12 9" xfId="53968" xr:uid="{00000000-0005-0000-0000-0000DE350000}"/>
    <cellStyle name="20% - Accent5 2 2 2 13" xfId="6032" xr:uid="{00000000-0005-0000-0000-0000DF350000}"/>
    <cellStyle name="20% - Accent5 2 2 2 14" xfId="11512" xr:uid="{00000000-0005-0000-0000-0000E0350000}"/>
    <cellStyle name="20% - Accent5 2 2 2 15" xfId="16988" xr:uid="{00000000-0005-0000-0000-0000E1350000}"/>
    <cellStyle name="20% - Accent5 2 2 2 16" xfId="22464" xr:uid="{00000000-0005-0000-0000-0000E2350000}"/>
    <cellStyle name="20% - Accent5 2 2 2 17" xfId="29518" xr:uid="{00000000-0005-0000-0000-0000E3350000}"/>
    <cellStyle name="20% - Accent5 2 2 2 18" xfId="34259" xr:uid="{00000000-0005-0000-0000-0000E4350000}"/>
    <cellStyle name="20% - Accent5 2 2 2 19" xfId="39736" xr:uid="{00000000-0005-0000-0000-0000E5350000}"/>
    <cellStyle name="20% - Accent5 2 2 2 2" xfId="320" xr:uid="{00000000-0005-0000-0000-0000E6350000}"/>
    <cellStyle name="20% - Accent5 2 2 2 2 10" xfId="39738" xr:uid="{00000000-0005-0000-0000-0000E7350000}"/>
    <cellStyle name="20% - Accent5 2 2 2 2 11" xfId="45215" xr:uid="{00000000-0005-0000-0000-0000E8350000}"/>
    <cellStyle name="20% - Accent5 2 2 2 2 12" xfId="50693" xr:uid="{00000000-0005-0000-0000-0000E9350000}"/>
    <cellStyle name="20% - Accent5 2 2 2 2 2" xfId="2118" xr:uid="{00000000-0005-0000-0000-0000EA350000}"/>
    <cellStyle name="20% - Accent5 2 2 2 2 2 2" xfId="7598" xr:uid="{00000000-0005-0000-0000-0000EB350000}"/>
    <cellStyle name="20% - Accent5 2 2 2 2 2 3" xfId="13074" xr:uid="{00000000-0005-0000-0000-0000EC350000}"/>
    <cellStyle name="20% - Accent5 2 2 2 2 2 4" xfId="18550" xr:uid="{00000000-0005-0000-0000-0000ED350000}"/>
    <cellStyle name="20% - Accent5 2 2 2 2 2 5" xfId="24026" xr:uid="{00000000-0005-0000-0000-0000EE350000}"/>
    <cellStyle name="20% - Accent5 2 2 2 2 2 6" xfId="35822" xr:uid="{00000000-0005-0000-0000-0000EF350000}"/>
    <cellStyle name="20% - Accent5 2 2 2 2 2 7" xfId="41299" xr:uid="{00000000-0005-0000-0000-0000F0350000}"/>
    <cellStyle name="20% - Accent5 2 2 2 2 2 8" xfId="46776" xr:uid="{00000000-0005-0000-0000-0000F1350000}"/>
    <cellStyle name="20% - Accent5 2 2 2 2 2 9" xfId="52294" xr:uid="{00000000-0005-0000-0000-0000F2350000}"/>
    <cellStyle name="20% - Accent5 2 2 2 2 3" xfId="3882" xr:uid="{00000000-0005-0000-0000-0000F3350000}"/>
    <cellStyle name="20% - Accent5 2 2 2 2 3 2" xfId="9362" xr:uid="{00000000-0005-0000-0000-0000F4350000}"/>
    <cellStyle name="20% - Accent5 2 2 2 2 3 3" xfId="14838" xr:uid="{00000000-0005-0000-0000-0000F5350000}"/>
    <cellStyle name="20% - Accent5 2 2 2 2 3 4" xfId="20314" xr:uid="{00000000-0005-0000-0000-0000F6350000}"/>
    <cellStyle name="20% - Accent5 2 2 2 2 3 5" xfId="25790" xr:uid="{00000000-0005-0000-0000-0000F7350000}"/>
    <cellStyle name="20% - Accent5 2 2 2 2 3 6" xfId="37586" xr:uid="{00000000-0005-0000-0000-0000F8350000}"/>
    <cellStyle name="20% - Accent5 2 2 2 2 3 7" xfId="43063" xr:uid="{00000000-0005-0000-0000-0000F9350000}"/>
    <cellStyle name="20% - Accent5 2 2 2 2 3 8" xfId="48540" xr:uid="{00000000-0005-0000-0000-0000FA350000}"/>
    <cellStyle name="20% - Accent5 2 2 2 2 3 9" xfId="54058" xr:uid="{00000000-0005-0000-0000-0000FB350000}"/>
    <cellStyle name="20% - Accent5 2 2 2 2 4" xfId="6034" xr:uid="{00000000-0005-0000-0000-0000FC350000}"/>
    <cellStyle name="20% - Accent5 2 2 2 2 5" xfId="11514" xr:uid="{00000000-0005-0000-0000-0000FD350000}"/>
    <cellStyle name="20% - Accent5 2 2 2 2 6" xfId="16990" xr:uid="{00000000-0005-0000-0000-0000FE350000}"/>
    <cellStyle name="20% - Accent5 2 2 2 2 7" xfId="22466" xr:uid="{00000000-0005-0000-0000-0000FF350000}"/>
    <cellStyle name="20% - Accent5 2 2 2 2 8" xfId="29519" xr:uid="{00000000-0005-0000-0000-000000360000}"/>
    <cellStyle name="20% - Accent5 2 2 2 2 9" xfId="34261" xr:uid="{00000000-0005-0000-0000-000001360000}"/>
    <cellStyle name="20% - Accent5 2 2 2 20" xfId="45213" xr:uid="{00000000-0005-0000-0000-000002360000}"/>
    <cellStyle name="20% - Accent5 2 2 2 21" xfId="50691" xr:uid="{00000000-0005-0000-0000-000003360000}"/>
    <cellStyle name="20% - Accent5 2 2 2 3" xfId="521" xr:uid="{00000000-0005-0000-0000-000004360000}"/>
    <cellStyle name="20% - Accent5 2 2 2 3 10" xfId="45216" xr:uid="{00000000-0005-0000-0000-000005360000}"/>
    <cellStyle name="20% - Accent5 2 2 2 3 11" xfId="50694" xr:uid="{00000000-0005-0000-0000-000006360000}"/>
    <cellStyle name="20% - Accent5 2 2 2 3 2" xfId="2282" xr:uid="{00000000-0005-0000-0000-000007360000}"/>
    <cellStyle name="20% - Accent5 2 2 2 3 2 2" xfId="7762" xr:uid="{00000000-0005-0000-0000-000008360000}"/>
    <cellStyle name="20% - Accent5 2 2 2 3 2 3" xfId="13238" xr:uid="{00000000-0005-0000-0000-000009360000}"/>
    <cellStyle name="20% - Accent5 2 2 2 3 2 4" xfId="18714" xr:uid="{00000000-0005-0000-0000-00000A360000}"/>
    <cellStyle name="20% - Accent5 2 2 2 3 2 5" xfId="24190" xr:uid="{00000000-0005-0000-0000-00000B360000}"/>
    <cellStyle name="20% - Accent5 2 2 2 3 2 6" xfId="35986" xr:uid="{00000000-0005-0000-0000-00000C360000}"/>
    <cellStyle name="20% - Accent5 2 2 2 3 2 7" xfId="41463" xr:uid="{00000000-0005-0000-0000-00000D360000}"/>
    <cellStyle name="20% - Accent5 2 2 2 3 2 8" xfId="46940" xr:uid="{00000000-0005-0000-0000-00000E360000}"/>
    <cellStyle name="20% - Accent5 2 2 2 3 2 9" xfId="52458" xr:uid="{00000000-0005-0000-0000-00000F360000}"/>
    <cellStyle name="20% - Accent5 2 2 2 3 3" xfId="4054" xr:uid="{00000000-0005-0000-0000-000010360000}"/>
    <cellStyle name="20% - Accent5 2 2 2 3 3 2" xfId="9534" xr:uid="{00000000-0005-0000-0000-000011360000}"/>
    <cellStyle name="20% - Accent5 2 2 2 3 3 3" xfId="15010" xr:uid="{00000000-0005-0000-0000-000012360000}"/>
    <cellStyle name="20% - Accent5 2 2 2 3 3 4" xfId="20486" xr:uid="{00000000-0005-0000-0000-000013360000}"/>
    <cellStyle name="20% - Accent5 2 2 2 3 3 5" xfId="25962" xr:uid="{00000000-0005-0000-0000-000014360000}"/>
    <cellStyle name="20% - Accent5 2 2 2 3 3 6" xfId="37758" xr:uid="{00000000-0005-0000-0000-000015360000}"/>
    <cellStyle name="20% - Accent5 2 2 2 3 3 7" xfId="43235" xr:uid="{00000000-0005-0000-0000-000016360000}"/>
    <cellStyle name="20% - Accent5 2 2 2 3 3 8" xfId="48712" xr:uid="{00000000-0005-0000-0000-000017360000}"/>
    <cellStyle name="20% - Accent5 2 2 2 3 3 9" xfId="54230" xr:uid="{00000000-0005-0000-0000-000018360000}"/>
    <cellStyle name="20% - Accent5 2 2 2 3 4" xfId="6035" xr:uid="{00000000-0005-0000-0000-000019360000}"/>
    <cellStyle name="20% - Accent5 2 2 2 3 5" xfId="11515" xr:uid="{00000000-0005-0000-0000-00001A360000}"/>
    <cellStyle name="20% - Accent5 2 2 2 3 6" xfId="16991" xr:uid="{00000000-0005-0000-0000-00001B360000}"/>
    <cellStyle name="20% - Accent5 2 2 2 3 7" xfId="22467" xr:uid="{00000000-0005-0000-0000-00001C360000}"/>
    <cellStyle name="20% - Accent5 2 2 2 3 8" xfId="34262" xr:uid="{00000000-0005-0000-0000-00001D360000}"/>
    <cellStyle name="20% - Accent5 2 2 2 3 9" xfId="39739" xr:uid="{00000000-0005-0000-0000-00001E360000}"/>
    <cellStyle name="20% - Accent5 2 2 2 4" xfId="693" xr:uid="{00000000-0005-0000-0000-00001F360000}"/>
    <cellStyle name="20% - Accent5 2 2 2 4 10" xfId="45217" xr:uid="{00000000-0005-0000-0000-000020360000}"/>
    <cellStyle name="20% - Accent5 2 2 2 4 11" xfId="50695" xr:uid="{00000000-0005-0000-0000-000021360000}"/>
    <cellStyle name="20% - Accent5 2 2 2 4 2" xfId="2454" xr:uid="{00000000-0005-0000-0000-000022360000}"/>
    <cellStyle name="20% - Accent5 2 2 2 4 2 2" xfId="7934" xr:uid="{00000000-0005-0000-0000-000023360000}"/>
    <cellStyle name="20% - Accent5 2 2 2 4 2 3" xfId="13410" xr:uid="{00000000-0005-0000-0000-000024360000}"/>
    <cellStyle name="20% - Accent5 2 2 2 4 2 4" xfId="18886" xr:uid="{00000000-0005-0000-0000-000025360000}"/>
    <cellStyle name="20% - Accent5 2 2 2 4 2 5" xfId="24362" xr:uid="{00000000-0005-0000-0000-000026360000}"/>
    <cellStyle name="20% - Accent5 2 2 2 4 2 6" xfId="36158" xr:uid="{00000000-0005-0000-0000-000027360000}"/>
    <cellStyle name="20% - Accent5 2 2 2 4 2 7" xfId="41635" xr:uid="{00000000-0005-0000-0000-000028360000}"/>
    <cellStyle name="20% - Accent5 2 2 2 4 2 8" xfId="47112" xr:uid="{00000000-0005-0000-0000-000029360000}"/>
    <cellStyle name="20% - Accent5 2 2 2 4 2 9" xfId="52630" xr:uid="{00000000-0005-0000-0000-00002A360000}"/>
    <cellStyle name="20% - Accent5 2 2 2 4 3" xfId="4226" xr:uid="{00000000-0005-0000-0000-00002B360000}"/>
    <cellStyle name="20% - Accent5 2 2 2 4 3 2" xfId="9706" xr:uid="{00000000-0005-0000-0000-00002C360000}"/>
    <cellStyle name="20% - Accent5 2 2 2 4 3 3" xfId="15182" xr:uid="{00000000-0005-0000-0000-00002D360000}"/>
    <cellStyle name="20% - Accent5 2 2 2 4 3 4" xfId="20658" xr:uid="{00000000-0005-0000-0000-00002E360000}"/>
    <cellStyle name="20% - Accent5 2 2 2 4 3 5" xfId="26134" xr:uid="{00000000-0005-0000-0000-00002F360000}"/>
    <cellStyle name="20% - Accent5 2 2 2 4 3 6" xfId="37930" xr:uid="{00000000-0005-0000-0000-000030360000}"/>
    <cellStyle name="20% - Accent5 2 2 2 4 3 7" xfId="43407" xr:uid="{00000000-0005-0000-0000-000031360000}"/>
    <cellStyle name="20% - Accent5 2 2 2 4 3 8" xfId="48884" xr:uid="{00000000-0005-0000-0000-000032360000}"/>
    <cellStyle name="20% - Accent5 2 2 2 4 3 9" xfId="54402" xr:uid="{00000000-0005-0000-0000-000033360000}"/>
    <cellStyle name="20% - Accent5 2 2 2 4 4" xfId="6036" xr:uid="{00000000-0005-0000-0000-000034360000}"/>
    <cellStyle name="20% - Accent5 2 2 2 4 5" xfId="11516" xr:uid="{00000000-0005-0000-0000-000035360000}"/>
    <cellStyle name="20% - Accent5 2 2 2 4 6" xfId="16992" xr:uid="{00000000-0005-0000-0000-000036360000}"/>
    <cellStyle name="20% - Accent5 2 2 2 4 7" xfId="22468" xr:uid="{00000000-0005-0000-0000-000037360000}"/>
    <cellStyle name="20% - Accent5 2 2 2 4 8" xfId="34263" xr:uid="{00000000-0005-0000-0000-000038360000}"/>
    <cellStyle name="20% - Accent5 2 2 2 4 9" xfId="39740" xr:uid="{00000000-0005-0000-0000-000039360000}"/>
    <cellStyle name="20% - Accent5 2 2 2 5" xfId="865" xr:uid="{00000000-0005-0000-0000-00003A360000}"/>
    <cellStyle name="20% - Accent5 2 2 2 5 10" xfId="45218" xr:uid="{00000000-0005-0000-0000-00003B360000}"/>
    <cellStyle name="20% - Accent5 2 2 2 5 11" xfId="50696" xr:uid="{00000000-0005-0000-0000-00003C360000}"/>
    <cellStyle name="20% - Accent5 2 2 2 5 2" xfId="2626" xr:uid="{00000000-0005-0000-0000-00003D360000}"/>
    <cellStyle name="20% - Accent5 2 2 2 5 2 2" xfId="8106" xr:uid="{00000000-0005-0000-0000-00003E360000}"/>
    <cellStyle name="20% - Accent5 2 2 2 5 2 3" xfId="13582" xr:uid="{00000000-0005-0000-0000-00003F360000}"/>
    <cellStyle name="20% - Accent5 2 2 2 5 2 4" xfId="19058" xr:uid="{00000000-0005-0000-0000-000040360000}"/>
    <cellStyle name="20% - Accent5 2 2 2 5 2 5" xfId="24534" xr:uid="{00000000-0005-0000-0000-000041360000}"/>
    <cellStyle name="20% - Accent5 2 2 2 5 2 6" xfId="36330" xr:uid="{00000000-0005-0000-0000-000042360000}"/>
    <cellStyle name="20% - Accent5 2 2 2 5 2 7" xfId="41807" xr:uid="{00000000-0005-0000-0000-000043360000}"/>
    <cellStyle name="20% - Accent5 2 2 2 5 2 8" xfId="47284" xr:uid="{00000000-0005-0000-0000-000044360000}"/>
    <cellStyle name="20% - Accent5 2 2 2 5 2 9" xfId="52802" xr:uid="{00000000-0005-0000-0000-000045360000}"/>
    <cellStyle name="20% - Accent5 2 2 2 5 3" xfId="4398" xr:uid="{00000000-0005-0000-0000-000046360000}"/>
    <cellStyle name="20% - Accent5 2 2 2 5 3 2" xfId="9878" xr:uid="{00000000-0005-0000-0000-000047360000}"/>
    <cellStyle name="20% - Accent5 2 2 2 5 3 3" xfId="15354" xr:uid="{00000000-0005-0000-0000-000048360000}"/>
    <cellStyle name="20% - Accent5 2 2 2 5 3 4" xfId="20830" xr:uid="{00000000-0005-0000-0000-000049360000}"/>
    <cellStyle name="20% - Accent5 2 2 2 5 3 5" xfId="26306" xr:uid="{00000000-0005-0000-0000-00004A360000}"/>
    <cellStyle name="20% - Accent5 2 2 2 5 3 6" xfId="38102" xr:uid="{00000000-0005-0000-0000-00004B360000}"/>
    <cellStyle name="20% - Accent5 2 2 2 5 3 7" xfId="43579" xr:uid="{00000000-0005-0000-0000-00004C360000}"/>
    <cellStyle name="20% - Accent5 2 2 2 5 3 8" xfId="49056" xr:uid="{00000000-0005-0000-0000-00004D360000}"/>
    <cellStyle name="20% - Accent5 2 2 2 5 3 9" xfId="54574" xr:uid="{00000000-0005-0000-0000-00004E360000}"/>
    <cellStyle name="20% - Accent5 2 2 2 5 4" xfId="6037" xr:uid="{00000000-0005-0000-0000-00004F360000}"/>
    <cellStyle name="20% - Accent5 2 2 2 5 5" xfId="11517" xr:uid="{00000000-0005-0000-0000-000050360000}"/>
    <cellStyle name="20% - Accent5 2 2 2 5 6" xfId="16993" xr:uid="{00000000-0005-0000-0000-000051360000}"/>
    <cellStyle name="20% - Accent5 2 2 2 5 7" xfId="22469" xr:uid="{00000000-0005-0000-0000-000052360000}"/>
    <cellStyle name="20% - Accent5 2 2 2 5 8" xfId="34264" xr:uid="{00000000-0005-0000-0000-000053360000}"/>
    <cellStyle name="20% - Accent5 2 2 2 5 9" xfId="39741" xr:uid="{00000000-0005-0000-0000-000054360000}"/>
    <cellStyle name="20% - Accent5 2 2 2 6" xfId="1071" xr:uid="{00000000-0005-0000-0000-000055360000}"/>
    <cellStyle name="20% - Accent5 2 2 2 6 10" xfId="45219" xr:uid="{00000000-0005-0000-0000-000056360000}"/>
    <cellStyle name="20% - Accent5 2 2 2 6 11" xfId="50697" xr:uid="{00000000-0005-0000-0000-000057360000}"/>
    <cellStyle name="20% - Accent5 2 2 2 6 2" xfId="2832" xr:uid="{00000000-0005-0000-0000-000058360000}"/>
    <cellStyle name="20% - Accent5 2 2 2 6 2 2" xfId="8312" xr:uid="{00000000-0005-0000-0000-000059360000}"/>
    <cellStyle name="20% - Accent5 2 2 2 6 2 3" xfId="13788" xr:uid="{00000000-0005-0000-0000-00005A360000}"/>
    <cellStyle name="20% - Accent5 2 2 2 6 2 4" xfId="19264" xr:uid="{00000000-0005-0000-0000-00005B360000}"/>
    <cellStyle name="20% - Accent5 2 2 2 6 2 5" xfId="24740" xr:uid="{00000000-0005-0000-0000-00005C360000}"/>
    <cellStyle name="20% - Accent5 2 2 2 6 2 6" xfId="36536" xr:uid="{00000000-0005-0000-0000-00005D360000}"/>
    <cellStyle name="20% - Accent5 2 2 2 6 2 7" xfId="42013" xr:uid="{00000000-0005-0000-0000-00005E360000}"/>
    <cellStyle name="20% - Accent5 2 2 2 6 2 8" xfId="47490" xr:uid="{00000000-0005-0000-0000-00005F360000}"/>
    <cellStyle name="20% - Accent5 2 2 2 6 2 9" xfId="53008" xr:uid="{00000000-0005-0000-0000-000060360000}"/>
    <cellStyle name="20% - Accent5 2 2 2 6 3" xfId="4604" xr:uid="{00000000-0005-0000-0000-000061360000}"/>
    <cellStyle name="20% - Accent5 2 2 2 6 3 2" xfId="10084" xr:uid="{00000000-0005-0000-0000-000062360000}"/>
    <cellStyle name="20% - Accent5 2 2 2 6 3 3" xfId="15560" xr:uid="{00000000-0005-0000-0000-000063360000}"/>
    <cellStyle name="20% - Accent5 2 2 2 6 3 4" xfId="21036" xr:uid="{00000000-0005-0000-0000-000064360000}"/>
    <cellStyle name="20% - Accent5 2 2 2 6 3 5" xfId="26512" xr:uid="{00000000-0005-0000-0000-000065360000}"/>
    <cellStyle name="20% - Accent5 2 2 2 6 3 6" xfId="38308" xr:uid="{00000000-0005-0000-0000-000066360000}"/>
    <cellStyle name="20% - Accent5 2 2 2 6 3 7" xfId="43785" xr:uid="{00000000-0005-0000-0000-000067360000}"/>
    <cellStyle name="20% - Accent5 2 2 2 6 3 8" xfId="49262" xr:uid="{00000000-0005-0000-0000-000068360000}"/>
    <cellStyle name="20% - Accent5 2 2 2 6 3 9" xfId="54780" xr:uid="{00000000-0005-0000-0000-000069360000}"/>
    <cellStyle name="20% - Accent5 2 2 2 6 4" xfId="6038" xr:uid="{00000000-0005-0000-0000-00006A360000}"/>
    <cellStyle name="20% - Accent5 2 2 2 6 5" xfId="11518" xr:uid="{00000000-0005-0000-0000-00006B360000}"/>
    <cellStyle name="20% - Accent5 2 2 2 6 6" xfId="16994" xr:uid="{00000000-0005-0000-0000-00006C360000}"/>
    <cellStyle name="20% - Accent5 2 2 2 6 7" xfId="22470" xr:uid="{00000000-0005-0000-0000-00006D360000}"/>
    <cellStyle name="20% - Accent5 2 2 2 6 8" xfId="34265" xr:uid="{00000000-0005-0000-0000-00006E360000}"/>
    <cellStyle name="20% - Accent5 2 2 2 6 9" xfId="39742" xr:uid="{00000000-0005-0000-0000-00006F360000}"/>
    <cellStyle name="20% - Accent5 2 2 2 7" xfId="1243" xr:uid="{00000000-0005-0000-0000-000070360000}"/>
    <cellStyle name="20% - Accent5 2 2 2 7 10" xfId="45220" xr:uid="{00000000-0005-0000-0000-000071360000}"/>
    <cellStyle name="20% - Accent5 2 2 2 7 11" xfId="50698" xr:uid="{00000000-0005-0000-0000-000072360000}"/>
    <cellStyle name="20% - Accent5 2 2 2 7 2" xfId="3004" xr:uid="{00000000-0005-0000-0000-000073360000}"/>
    <cellStyle name="20% - Accent5 2 2 2 7 2 2" xfId="8484" xr:uid="{00000000-0005-0000-0000-000074360000}"/>
    <cellStyle name="20% - Accent5 2 2 2 7 2 3" xfId="13960" xr:uid="{00000000-0005-0000-0000-000075360000}"/>
    <cellStyle name="20% - Accent5 2 2 2 7 2 4" xfId="19436" xr:uid="{00000000-0005-0000-0000-000076360000}"/>
    <cellStyle name="20% - Accent5 2 2 2 7 2 5" xfId="24912" xr:uid="{00000000-0005-0000-0000-000077360000}"/>
    <cellStyle name="20% - Accent5 2 2 2 7 2 6" xfId="36708" xr:uid="{00000000-0005-0000-0000-000078360000}"/>
    <cellStyle name="20% - Accent5 2 2 2 7 2 7" xfId="42185" xr:uid="{00000000-0005-0000-0000-000079360000}"/>
    <cellStyle name="20% - Accent5 2 2 2 7 2 8" xfId="47662" xr:uid="{00000000-0005-0000-0000-00007A360000}"/>
    <cellStyle name="20% - Accent5 2 2 2 7 2 9" xfId="53180" xr:uid="{00000000-0005-0000-0000-00007B360000}"/>
    <cellStyle name="20% - Accent5 2 2 2 7 3" xfId="4776" xr:uid="{00000000-0005-0000-0000-00007C360000}"/>
    <cellStyle name="20% - Accent5 2 2 2 7 3 2" xfId="10256" xr:uid="{00000000-0005-0000-0000-00007D360000}"/>
    <cellStyle name="20% - Accent5 2 2 2 7 3 3" xfId="15732" xr:uid="{00000000-0005-0000-0000-00007E360000}"/>
    <cellStyle name="20% - Accent5 2 2 2 7 3 4" xfId="21208" xr:uid="{00000000-0005-0000-0000-00007F360000}"/>
    <cellStyle name="20% - Accent5 2 2 2 7 3 5" xfId="26684" xr:uid="{00000000-0005-0000-0000-000080360000}"/>
    <cellStyle name="20% - Accent5 2 2 2 7 3 6" xfId="38480" xr:uid="{00000000-0005-0000-0000-000081360000}"/>
    <cellStyle name="20% - Accent5 2 2 2 7 3 7" xfId="43957" xr:uid="{00000000-0005-0000-0000-000082360000}"/>
    <cellStyle name="20% - Accent5 2 2 2 7 3 8" xfId="49434" xr:uid="{00000000-0005-0000-0000-000083360000}"/>
    <cellStyle name="20% - Accent5 2 2 2 7 3 9" xfId="54952" xr:uid="{00000000-0005-0000-0000-000084360000}"/>
    <cellStyle name="20% - Accent5 2 2 2 7 4" xfId="6039" xr:uid="{00000000-0005-0000-0000-000085360000}"/>
    <cellStyle name="20% - Accent5 2 2 2 7 5" xfId="11519" xr:uid="{00000000-0005-0000-0000-000086360000}"/>
    <cellStyle name="20% - Accent5 2 2 2 7 6" xfId="16995" xr:uid="{00000000-0005-0000-0000-000087360000}"/>
    <cellStyle name="20% - Accent5 2 2 2 7 7" xfId="22471" xr:uid="{00000000-0005-0000-0000-000088360000}"/>
    <cellStyle name="20% - Accent5 2 2 2 7 8" xfId="34266" xr:uid="{00000000-0005-0000-0000-000089360000}"/>
    <cellStyle name="20% - Accent5 2 2 2 7 9" xfId="39743" xr:uid="{00000000-0005-0000-0000-00008A360000}"/>
    <cellStyle name="20% - Accent5 2 2 2 8" xfId="1415" xr:uid="{00000000-0005-0000-0000-00008B360000}"/>
    <cellStyle name="20% - Accent5 2 2 2 8 10" xfId="45221" xr:uid="{00000000-0005-0000-0000-00008C360000}"/>
    <cellStyle name="20% - Accent5 2 2 2 8 11" xfId="50699" xr:uid="{00000000-0005-0000-0000-00008D360000}"/>
    <cellStyle name="20% - Accent5 2 2 2 8 2" xfId="3176" xr:uid="{00000000-0005-0000-0000-00008E360000}"/>
    <cellStyle name="20% - Accent5 2 2 2 8 2 2" xfId="8656" xr:uid="{00000000-0005-0000-0000-00008F360000}"/>
    <cellStyle name="20% - Accent5 2 2 2 8 2 3" xfId="14132" xr:uid="{00000000-0005-0000-0000-000090360000}"/>
    <cellStyle name="20% - Accent5 2 2 2 8 2 4" xfId="19608" xr:uid="{00000000-0005-0000-0000-000091360000}"/>
    <cellStyle name="20% - Accent5 2 2 2 8 2 5" xfId="25084" xr:uid="{00000000-0005-0000-0000-000092360000}"/>
    <cellStyle name="20% - Accent5 2 2 2 8 2 6" xfId="36880" xr:uid="{00000000-0005-0000-0000-000093360000}"/>
    <cellStyle name="20% - Accent5 2 2 2 8 2 7" xfId="42357" xr:uid="{00000000-0005-0000-0000-000094360000}"/>
    <cellStyle name="20% - Accent5 2 2 2 8 2 8" xfId="47834" xr:uid="{00000000-0005-0000-0000-000095360000}"/>
    <cellStyle name="20% - Accent5 2 2 2 8 2 9" xfId="53352" xr:uid="{00000000-0005-0000-0000-000096360000}"/>
    <cellStyle name="20% - Accent5 2 2 2 8 3" xfId="4948" xr:uid="{00000000-0005-0000-0000-000097360000}"/>
    <cellStyle name="20% - Accent5 2 2 2 8 3 2" xfId="10428" xr:uid="{00000000-0005-0000-0000-000098360000}"/>
    <cellStyle name="20% - Accent5 2 2 2 8 3 3" xfId="15904" xr:uid="{00000000-0005-0000-0000-000099360000}"/>
    <cellStyle name="20% - Accent5 2 2 2 8 3 4" xfId="21380" xr:uid="{00000000-0005-0000-0000-00009A360000}"/>
    <cellStyle name="20% - Accent5 2 2 2 8 3 5" xfId="26856" xr:uid="{00000000-0005-0000-0000-00009B360000}"/>
    <cellStyle name="20% - Accent5 2 2 2 8 3 6" xfId="38652" xr:uid="{00000000-0005-0000-0000-00009C360000}"/>
    <cellStyle name="20% - Accent5 2 2 2 8 3 7" xfId="44129" xr:uid="{00000000-0005-0000-0000-00009D360000}"/>
    <cellStyle name="20% - Accent5 2 2 2 8 3 8" xfId="49606" xr:uid="{00000000-0005-0000-0000-00009E360000}"/>
    <cellStyle name="20% - Accent5 2 2 2 8 3 9" xfId="55124" xr:uid="{00000000-0005-0000-0000-00009F360000}"/>
    <cellStyle name="20% - Accent5 2 2 2 8 4" xfId="6040" xr:uid="{00000000-0005-0000-0000-0000A0360000}"/>
    <cellStyle name="20% - Accent5 2 2 2 8 5" xfId="11520" xr:uid="{00000000-0005-0000-0000-0000A1360000}"/>
    <cellStyle name="20% - Accent5 2 2 2 8 6" xfId="16996" xr:uid="{00000000-0005-0000-0000-0000A2360000}"/>
    <cellStyle name="20% - Accent5 2 2 2 8 7" xfId="22472" xr:uid="{00000000-0005-0000-0000-0000A3360000}"/>
    <cellStyle name="20% - Accent5 2 2 2 8 8" xfId="34267" xr:uid="{00000000-0005-0000-0000-0000A4360000}"/>
    <cellStyle name="20% - Accent5 2 2 2 8 9" xfId="39744" xr:uid="{00000000-0005-0000-0000-0000A5360000}"/>
    <cellStyle name="20% - Accent5 2 2 2 9" xfId="1587" xr:uid="{00000000-0005-0000-0000-0000A6360000}"/>
    <cellStyle name="20% - Accent5 2 2 2 9 10" xfId="45222" xr:uid="{00000000-0005-0000-0000-0000A7360000}"/>
    <cellStyle name="20% - Accent5 2 2 2 9 11" xfId="50700" xr:uid="{00000000-0005-0000-0000-0000A8360000}"/>
    <cellStyle name="20% - Accent5 2 2 2 9 2" xfId="3348" xr:uid="{00000000-0005-0000-0000-0000A9360000}"/>
    <cellStyle name="20% - Accent5 2 2 2 9 2 2" xfId="8828" xr:uid="{00000000-0005-0000-0000-0000AA360000}"/>
    <cellStyle name="20% - Accent5 2 2 2 9 2 3" xfId="14304" xr:uid="{00000000-0005-0000-0000-0000AB360000}"/>
    <cellStyle name="20% - Accent5 2 2 2 9 2 4" xfId="19780" xr:uid="{00000000-0005-0000-0000-0000AC360000}"/>
    <cellStyle name="20% - Accent5 2 2 2 9 2 5" xfId="25256" xr:uid="{00000000-0005-0000-0000-0000AD360000}"/>
    <cellStyle name="20% - Accent5 2 2 2 9 2 6" xfId="37052" xr:uid="{00000000-0005-0000-0000-0000AE360000}"/>
    <cellStyle name="20% - Accent5 2 2 2 9 2 7" xfId="42529" xr:uid="{00000000-0005-0000-0000-0000AF360000}"/>
    <cellStyle name="20% - Accent5 2 2 2 9 2 8" xfId="48006" xr:uid="{00000000-0005-0000-0000-0000B0360000}"/>
    <cellStyle name="20% - Accent5 2 2 2 9 2 9" xfId="53524" xr:uid="{00000000-0005-0000-0000-0000B1360000}"/>
    <cellStyle name="20% - Accent5 2 2 2 9 3" xfId="5120" xr:uid="{00000000-0005-0000-0000-0000B2360000}"/>
    <cellStyle name="20% - Accent5 2 2 2 9 3 2" xfId="10600" xr:uid="{00000000-0005-0000-0000-0000B3360000}"/>
    <cellStyle name="20% - Accent5 2 2 2 9 3 3" xfId="16076" xr:uid="{00000000-0005-0000-0000-0000B4360000}"/>
    <cellStyle name="20% - Accent5 2 2 2 9 3 4" xfId="21552" xr:uid="{00000000-0005-0000-0000-0000B5360000}"/>
    <cellStyle name="20% - Accent5 2 2 2 9 3 5" xfId="27028" xr:uid="{00000000-0005-0000-0000-0000B6360000}"/>
    <cellStyle name="20% - Accent5 2 2 2 9 3 6" xfId="38824" xr:uid="{00000000-0005-0000-0000-0000B7360000}"/>
    <cellStyle name="20% - Accent5 2 2 2 9 3 7" xfId="44301" xr:uid="{00000000-0005-0000-0000-0000B8360000}"/>
    <cellStyle name="20% - Accent5 2 2 2 9 3 8" xfId="49778" xr:uid="{00000000-0005-0000-0000-0000B9360000}"/>
    <cellStyle name="20% - Accent5 2 2 2 9 3 9" xfId="55296" xr:uid="{00000000-0005-0000-0000-0000BA360000}"/>
    <cellStyle name="20% - Accent5 2 2 2 9 4" xfId="6041" xr:uid="{00000000-0005-0000-0000-0000BB360000}"/>
    <cellStyle name="20% - Accent5 2 2 2 9 5" xfId="11521" xr:uid="{00000000-0005-0000-0000-0000BC360000}"/>
    <cellStyle name="20% - Accent5 2 2 2 9 6" xfId="16997" xr:uid="{00000000-0005-0000-0000-0000BD360000}"/>
    <cellStyle name="20% - Accent5 2 2 2 9 7" xfId="22473" xr:uid="{00000000-0005-0000-0000-0000BE360000}"/>
    <cellStyle name="20% - Accent5 2 2 2 9 8" xfId="34268" xr:uid="{00000000-0005-0000-0000-0000BF360000}"/>
    <cellStyle name="20% - Accent5 2 2 2 9 9" xfId="39745" xr:uid="{00000000-0005-0000-0000-0000C0360000}"/>
    <cellStyle name="20% - Accent5 2 2 20" xfId="39733" xr:uid="{00000000-0005-0000-0000-0000C1360000}"/>
    <cellStyle name="20% - Accent5 2 2 21" xfId="45210" xr:uid="{00000000-0005-0000-0000-0000C2360000}"/>
    <cellStyle name="20% - Accent5 2 2 22" xfId="50688" xr:uid="{00000000-0005-0000-0000-0000C3360000}"/>
    <cellStyle name="20% - Accent5 2 2 3" xfId="319" xr:uid="{00000000-0005-0000-0000-0000C4360000}"/>
    <cellStyle name="20% - Accent5 2 2 3 10" xfId="39746" xr:uid="{00000000-0005-0000-0000-0000C5360000}"/>
    <cellStyle name="20% - Accent5 2 2 3 11" xfId="45223" xr:uid="{00000000-0005-0000-0000-0000C6360000}"/>
    <cellStyle name="20% - Accent5 2 2 3 12" xfId="50701" xr:uid="{00000000-0005-0000-0000-0000C7360000}"/>
    <cellStyle name="20% - Accent5 2 2 3 2" xfId="2117" xr:uid="{00000000-0005-0000-0000-0000C8360000}"/>
    <cellStyle name="20% - Accent5 2 2 3 2 2" xfId="7597" xr:uid="{00000000-0005-0000-0000-0000C9360000}"/>
    <cellStyle name="20% - Accent5 2 2 3 2 3" xfId="13073" xr:uid="{00000000-0005-0000-0000-0000CA360000}"/>
    <cellStyle name="20% - Accent5 2 2 3 2 4" xfId="18549" xr:uid="{00000000-0005-0000-0000-0000CB360000}"/>
    <cellStyle name="20% - Accent5 2 2 3 2 5" xfId="24025" xr:uid="{00000000-0005-0000-0000-0000CC360000}"/>
    <cellStyle name="20% - Accent5 2 2 3 2 6" xfId="35821" xr:uid="{00000000-0005-0000-0000-0000CD360000}"/>
    <cellStyle name="20% - Accent5 2 2 3 2 7" xfId="41298" xr:uid="{00000000-0005-0000-0000-0000CE360000}"/>
    <cellStyle name="20% - Accent5 2 2 3 2 8" xfId="46775" xr:uid="{00000000-0005-0000-0000-0000CF360000}"/>
    <cellStyle name="20% - Accent5 2 2 3 2 9" xfId="52293" xr:uid="{00000000-0005-0000-0000-0000D0360000}"/>
    <cellStyle name="20% - Accent5 2 2 3 3" xfId="3881" xr:uid="{00000000-0005-0000-0000-0000D1360000}"/>
    <cellStyle name="20% - Accent5 2 2 3 3 2" xfId="9361" xr:uid="{00000000-0005-0000-0000-0000D2360000}"/>
    <cellStyle name="20% - Accent5 2 2 3 3 3" xfId="14837" xr:uid="{00000000-0005-0000-0000-0000D3360000}"/>
    <cellStyle name="20% - Accent5 2 2 3 3 4" xfId="20313" xr:uid="{00000000-0005-0000-0000-0000D4360000}"/>
    <cellStyle name="20% - Accent5 2 2 3 3 5" xfId="25789" xr:uid="{00000000-0005-0000-0000-0000D5360000}"/>
    <cellStyle name="20% - Accent5 2 2 3 3 6" xfId="37585" xr:uid="{00000000-0005-0000-0000-0000D6360000}"/>
    <cellStyle name="20% - Accent5 2 2 3 3 7" xfId="43062" xr:uid="{00000000-0005-0000-0000-0000D7360000}"/>
    <cellStyle name="20% - Accent5 2 2 3 3 8" xfId="48539" xr:uid="{00000000-0005-0000-0000-0000D8360000}"/>
    <cellStyle name="20% - Accent5 2 2 3 3 9" xfId="54057" xr:uid="{00000000-0005-0000-0000-0000D9360000}"/>
    <cellStyle name="20% - Accent5 2 2 3 4" xfId="6042" xr:uid="{00000000-0005-0000-0000-0000DA360000}"/>
    <cellStyle name="20% - Accent5 2 2 3 5" xfId="11522" xr:uid="{00000000-0005-0000-0000-0000DB360000}"/>
    <cellStyle name="20% - Accent5 2 2 3 6" xfId="16998" xr:uid="{00000000-0005-0000-0000-0000DC360000}"/>
    <cellStyle name="20% - Accent5 2 2 3 7" xfId="22474" xr:uid="{00000000-0005-0000-0000-0000DD360000}"/>
    <cellStyle name="20% - Accent5 2 2 3 8" xfId="29520" xr:uid="{00000000-0005-0000-0000-0000DE360000}"/>
    <cellStyle name="20% - Accent5 2 2 3 9" xfId="34269" xr:uid="{00000000-0005-0000-0000-0000DF360000}"/>
    <cellStyle name="20% - Accent5 2 2 4" xfId="520" xr:uid="{00000000-0005-0000-0000-0000E0360000}"/>
    <cellStyle name="20% - Accent5 2 2 4 10" xfId="45224" xr:uid="{00000000-0005-0000-0000-0000E1360000}"/>
    <cellStyle name="20% - Accent5 2 2 4 11" xfId="50702" xr:uid="{00000000-0005-0000-0000-0000E2360000}"/>
    <cellStyle name="20% - Accent5 2 2 4 2" xfId="2281" xr:uid="{00000000-0005-0000-0000-0000E3360000}"/>
    <cellStyle name="20% - Accent5 2 2 4 2 2" xfId="7761" xr:uid="{00000000-0005-0000-0000-0000E4360000}"/>
    <cellStyle name="20% - Accent5 2 2 4 2 3" xfId="13237" xr:uid="{00000000-0005-0000-0000-0000E5360000}"/>
    <cellStyle name="20% - Accent5 2 2 4 2 4" xfId="18713" xr:uid="{00000000-0005-0000-0000-0000E6360000}"/>
    <cellStyle name="20% - Accent5 2 2 4 2 5" xfId="24189" xr:uid="{00000000-0005-0000-0000-0000E7360000}"/>
    <cellStyle name="20% - Accent5 2 2 4 2 6" xfId="35985" xr:uid="{00000000-0005-0000-0000-0000E8360000}"/>
    <cellStyle name="20% - Accent5 2 2 4 2 7" xfId="41462" xr:uid="{00000000-0005-0000-0000-0000E9360000}"/>
    <cellStyle name="20% - Accent5 2 2 4 2 8" xfId="46939" xr:uid="{00000000-0005-0000-0000-0000EA360000}"/>
    <cellStyle name="20% - Accent5 2 2 4 2 9" xfId="52457" xr:uid="{00000000-0005-0000-0000-0000EB360000}"/>
    <cellStyle name="20% - Accent5 2 2 4 3" xfId="4053" xr:uid="{00000000-0005-0000-0000-0000EC360000}"/>
    <cellStyle name="20% - Accent5 2 2 4 3 2" xfId="9533" xr:uid="{00000000-0005-0000-0000-0000ED360000}"/>
    <cellStyle name="20% - Accent5 2 2 4 3 3" xfId="15009" xr:uid="{00000000-0005-0000-0000-0000EE360000}"/>
    <cellStyle name="20% - Accent5 2 2 4 3 4" xfId="20485" xr:uid="{00000000-0005-0000-0000-0000EF360000}"/>
    <cellStyle name="20% - Accent5 2 2 4 3 5" xfId="25961" xr:uid="{00000000-0005-0000-0000-0000F0360000}"/>
    <cellStyle name="20% - Accent5 2 2 4 3 6" xfId="37757" xr:uid="{00000000-0005-0000-0000-0000F1360000}"/>
    <cellStyle name="20% - Accent5 2 2 4 3 7" xfId="43234" xr:uid="{00000000-0005-0000-0000-0000F2360000}"/>
    <cellStyle name="20% - Accent5 2 2 4 3 8" xfId="48711" xr:uid="{00000000-0005-0000-0000-0000F3360000}"/>
    <cellStyle name="20% - Accent5 2 2 4 3 9" xfId="54229" xr:uid="{00000000-0005-0000-0000-0000F4360000}"/>
    <cellStyle name="20% - Accent5 2 2 4 4" xfId="6043" xr:uid="{00000000-0005-0000-0000-0000F5360000}"/>
    <cellStyle name="20% - Accent5 2 2 4 5" xfId="11523" xr:uid="{00000000-0005-0000-0000-0000F6360000}"/>
    <cellStyle name="20% - Accent5 2 2 4 6" xfId="16999" xr:uid="{00000000-0005-0000-0000-0000F7360000}"/>
    <cellStyle name="20% - Accent5 2 2 4 7" xfId="22475" xr:uid="{00000000-0005-0000-0000-0000F8360000}"/>
    <cellStyle name="20% - Accent5 2 2 4 8" xfId="34270" xr:uid="{00000000-0005-0000-0000-0000F9360000}"/>
    <cellStyle name="20% - Accent5 2 2 4 9" xfId="39747" xr:uid="{00000000-0005-0000-0000-0000FA360000}"/>
    <cellStyle name="20% - Accent5 2 2 5" xfId="692" xr:uid="{00000000-0005-0000-0000-0000FB360000}"/>
    <cellStyle name="20% - Accent5 2 2 5 10" xfId="45225" xr:uid="{00000000-0005-0000-0000-0000FC360000}"/>
    <cellStyle name="20% - Accent5 2 2 5 11" xfId="50703" xr:uid="{00000000-0005-0000-0000-0000FD360000}"/>
    <cellStyle name="20% - Accent5 2 2 5 2" xfId="2453" xr:uid="{00000000-0005-0000-0000-0000FE360000}"/>
    <cellStyle name="20% - Accent5 2 2 5 2 2" xfId="7933" xr:uid="{00000000-0005-0000-0000-0000FF360000}"/>
    <cellStyle name="20% - Accent5 2 2 5 2 3" xfId="13409" xr:uid="{00000000-0005-0000-0000-000000370000}"/>
    <cellStyle name="20% - Accent5 2 2 5 2 4" xfId="18885" xr:uid="{00000000-0005-0000-0000-000001370000}"/>
    <cellStyle name="20% - Accent5 2 2 5 2 5" xfId="24361" xr:uid="{00000000-0005-0000-0000-000002370000}"/>
    <cellStyle name="20% - Accent5 2 2 5 2 6" xfId="36157" xr:uid="{00000000-0005-0000-0000-000003370000}"/>
    <cellStyle name="20% - Accent5 2 2 5 2 7" xfId="41634" xr:uid="{00000000-0005-0000-0000-000004370000}"/>
    <cellStyle name="20% - Accent5 2 2 5 2 8" xfId="47111" xr:uid="{00000000-0005-0000-0000-000005370000}"/>
    <cellStyle name="20% - Accent5 2 2 5 2 9" xfId="52629" xr:uid="{00000000-0005-0000-0000-000006370000}"/>
    <cellStyle name="20% - Accent5 2 2 5 3" xfId="4225" xr:uid="{00000000-0005-0000-0000-000007370000}"/>
    <cellStyle name="20% - Accent5 2 2 5 3 2" xfId="9705" xr:uid="{00000000-0005-0000-0000-000008370000}"/>
    <cellStyle name="20% - Accent5 2 2 5 3 3" xfId="15181" xr:uid="{00000000-0005-0000-0000-000009370000}"/>
    <cellStyle name="20% - Accent5 2 2 5 3 4" xfId="20657" xr:uid="{00000000-0005-0000-0000-00000A370000}"/>
    <cellStyle name="20% - Accent5 2 2 5 3 5" xfId="26133" xr:uid="{00000000-0005-0000-0000-00000B370000}"/>
    <cellStyle name="20% - Accent5 2 2 5 3 6" xfId="37929" xr:uid="{00000000-0005-0000-0000-00000C370000}"/>
    <cellStyle name="20% - Accent5 2 2 5 3 7" xfId="43406" xr:uid="{00000000-0005-0000-0000-00000D370000}"/>
    <cellStyle name="20% - Accent5 2 2 5 3 8" xfId="48883" xr:uid="{00000000-0005-0000-0000-00000E370000}"/>
    <cellStyle name="20% - Accent5 2 2 5 3 9" xfId="54401" xr:uid="{00000000-0005-0000-0000-00000F370000}"/>
    <cellStyle name="20% - Accent5 2 2 5 4" xfId="6044" xr:uid="{00000000-0005-0000-0000-000010370000}"/>
    <cellStyle name="20% - Accent5 2 2 5 5" xfId="11524" xr:uid="{00000000-0005-0000-0000-000011370000}"/>
    <cellStyle name="20% - Accent5 2 2 5 6" xfId="17000" xr:uid="{00000000-0005-0000-0000-000012370000}"/>
    <cellStyle name="20% - Accent5 2 2 5 7" xfId="22476" xr:uid="{00000000-0005-0000-0000-000013370000}"/>
    <cellStyle name="20% - Accent5 2 2 5 8" xfId="34271" xr:uid="{00000000-0005-0000-0000-000014370000}"/>
    <cellStyle name="20% - Accent5 2 2 5 9" xfId="39748" xr:uid="{00000000-0005-0000-0000-000015370000}"/>
    <cellStyle name="20% - Accent5 2 2 6" xfId="864" xr:uid="{00000000-0005-0000-0000-000016370000}"/>
    <cellStyle name="20% - Accent5 2 2 6 10" xfId="45226" xr:uid="{00000000-0005-0000-0000-000017370000}"/>
    <cellStyle name="20% - Accent5 2 2 6 11" xfId="50704" xr:uid="{00000000-0005-0000-0000-000018370000}"/>
    <cellStyle name="20% - Accent5 2 2 6 2" xfId="2625" xr:uid="{00000000-0005-0000-0000-000019370000}"/>
    <cellStyle name="20% - Accent5 2 2 6 2 2" xfId="8105" xr:uid="{00000000-0005-0000-0000-00001A370000}"/>
    <cellStyle name="20% - Accent5 2 2 6 2 3" xfId="13581" xr:uid="{00000000-0005-0000-0000-00001B370000}"/>
    <cellStyle name="20% - Accent5 2 2 6 2 4" xfId="19057" xr:uid="{00000000-0005-0000-0000-00001C370000}"/>
    <cellStyle name="20% - Accent5 2 2 6 2 5" xfId="24533" xr:uid="{00000000-0005-0000-0000-00001D370000}"/>
    <cellStyle name="20% - Accent5 2 2 6 2 6" xfId="36329" xr:uid="{00000000-0005-0000-0000-00001E370000}"/>
    <cellStyle name="20% - Accent5 2 2 6 2 7" xfId="41806" xr:uid="{00000000-0005-0000-0000-00001F370000}"/>
    <cellStyle name="20% - Accent5 2 2 6 2 8" xfId="47283" xr:uid="{00000000-0005-0000-0000-000020370000}"/>
    <cellStyle name="20% - Accent5 2 2 6 2 9" xfId="52801" xr:uid="{00000000-0005-0000-0000-000021370000}"/>
    <cellStyle name="20% - Accent5 2 2 6 3" xfId="4397" xr:uid="{00000000-0005-0000-0000-000022370000}"/>
    <cellStyle name="20% - Accent5 2 2 6 3 2" xfId="9877" xr:uid="{00000000-0005-0000-0000-000023370000}"/>
    <cellStyle name="20% - Accent5 2 2 6 3 3" xfId="15353" xr:uid="{00000000-0005-0000-0000-000024370000}"/>
    <cellStyle name="20% - Accent5 2 2 6 3 4" xfId="20829" xr:uid="{00000000-0005-0000-0000-000025370000}"/>
    <cellStyle name="20% - Accent5 2 2 6 3 5" xfId="26305" xr:uid="{00000000-0005-0000-0000-000026370000}"/>
    <cellStyle name="20% - Accent5 2 2 6 3 6" xfId="38101" xr:uid="{00000000-0005-0000-0000-000027370000}"/>
    <cellStyle name="20% - Accent5 2 2 6 3 7" xfId="43578" xr:uid="{00000000-0005-0000-0000-000028370000}"/>
    <cellStyle name="20% - Accent5 2 2 6 3 8" xfId="49055" xr:uid="{00000000-0005-0000-0000-000029370000}"/>
    <cellStyle name="20% - Accent5 2 2 6 3 9" xfId="54573" xr:uid="{00000000-0005-0000-0000-00002A370000}"/>
    <cellStyle name="20% - Accent5 2 2 6 4" xfId="6045" xr:uid="{00000000-0005-0000-0000-00002B370000}"/>
    <cellStyle name="20% - Accent5 2 2 6 5" xfId="11525" xr:uid="{00000000-0005-0000-0000-00002C370000}"/>
    <cellStyle name="20% - Accent5 2 2 6 6" xfId="17001" xr:uid="{00000000-0005-0000-0000-00002D370000}"/>
    <cellStyle name="20% - Accent5 2 2 6 7" xfId="22477" xr:uid="{00000000-0005-0000-0000-00002E370000}"/>
    <cellStyle name="20% - Accent5 2 2 6 8" xfId="34272" xr:uid="{00000000-0005-0000-0000-00002F370000}"/>
    <cellStyle name="20% - Accent5 2 2 6 9" xfId="39749" xr:uid="{00000000-0005-0000-0000-000030370000}"/>
    <cellStyle name="20% - Accent5 2 2 7" xfId="1070" xr:uid="{00000000-0005-0000-0000-000031370000}"/>
    <cellStyle name="20% - Accent5 2 2 7 10" xfId="45227" xr:uid="{00000000-0005-0000-0000-000032370000}"/>
    <cellStyle name="20% - Accent5 2 2 7 11" xfId="50705" xr:uid="{00000000-0005-0000-0000-000033370000}"/>
    <cellStyle name="20% - Accent5 2 2 7 2" xfId="2831" xr:uid="{00000000-0005-0000-0000-000034370000}"/>
    <cellStyle name="20% - Accent5 2 2 7 2 2" xfId="8311" xr:uid="{00000000-0005-0000-0000-000035370000}"/>
    <cellStyle name="20% - Accent5 2 2 7 2 3" xfId="13787" xr:uid="{00000000-0005-0000-0000-000036370000}"/>
    <cellStyle name="20% - Accent5 2 2 7 2 4" xfId="19263" xr:uid="{00000000-0005-0000-0000-000037370000}"/>
    <cellStyle name="20% - Accent5 2 2 7 2 5" xfId="24739" xr:uid="{00000000-0005-0000-0000-000038370000}"/>
    <cellStyle name="20% - Accent5 2 2 7 2 6" xfId="36535" xr:uid="{00000000-0005-0000-0000-000039370000}"/>
    <cellStyle name="20% - Accent5 2 2 7 2 7" xfId="42012" xr:uid="{00000000-0005-0000-0000-00003A370000}"/>
    <cellStyle name="20% - Accent5 2 2 7 2 8" xfId="47489" xr:uid="{00000000-0005-0000-0000-00003B370000}"/>
    <cellStyle name="20% - Accent5 2 2 7 2 9" xfId="53007" xr:uid="{00000000-0005-0000-0000-00003C370000}"/>
    <cellStyle name="20% - Accent5 2 2 7 3" xfId="4603" xr:uid="{00000000-0005-0000-0000-00003D370000}"/>
    <cellStyle name="20% - Accent5 2 2 7 3 2" xfId="10083" xr:uid="{00000000-0005-0000-0000-00003E370000}"/>
    <cellStyle name="20% - Accent5 2 2 7 3 3" xfId="15559" xr:uid="{00000000-0005-0000-0000-00003F370000}"/>
    <cellStyle name="20% - Accent5 2 2 7 3 4" xfId="21035" xr:uid="{00000000-0005-0000-0000-000040370000}"/>
    <cellStyle name="20% - Accent5 2 2 7 3 5" xfId="26511" xr:uid="{00000000-0005-0000-0000-000041370000}"/>
    <cellStyle name="20% - Accent5 2 2 7 3 6" xfId="38307" xr:uid="{00000000-0005-0000-0000-000042370000}"/>
    <cellStyle name="20% - Accent5 2 2 7 3 7" xfId="43784" xr:uid="{00000000-0005-0000-0000-000043370000}"/>
    <cellStyle name="20% - Accent5 2 2 7 3 8" xfId="49261" xr:uid="{00000000-0005-0000-0000-000044370000}"/>
    <cellStyle name="20% - Accent5 2 2 7 3 9" xfId="54779" xr:uid="{00000000-0005-0000-0000-000045370000}"/>
    <cellStyle name="20% - Accent5 2 2 7 4" xfId="6046" xr:uid="{00000000-0005-0000-0000-000046370000}"/>
    <cellStyle name="20% - Accent5 2 2 7 5" xfId="11526" xr:uid="{00000000-0005-0000-0000-000047370000}"/>
    <cellStyle name="20% - Accent5 2 2 7 6" xfId="17002" xr:uid="{00000000-0005-0000-0000-000048370000}"/>
    <cellStyle name="20% - Accent5 2 2 7 7" xfId="22478" xr:uid="{00000000-0005-0000-0000-000049370000}"/>
    <cellStyle name="20% - Accent5 2 2 7 8" xfId="34273" xr:uid="{00000000-0005-0000-0000-00004A370000}"/>
    <cellStyle name="20% - Accent5 2 2 7 9" xfId="39750" xr:uid="{00000000-0005-0000-0000-00004B370000}"/>
    <cellStyle name="20% - Accent5 2 2 8" xfId="1242" xr:uid="{00000000-0005-0000-0000-00004C370000}"/>
    <cellStyle name="20% - Accent5 2 2 8 10" xfId="45228" xr:uid="{00000000-0005-0000-0000-00004D370000}"/>
    <cellStyle name="20% - Accent5 2 2 8 11" xfId="50706" xr:uid="{00000000-0005-0000-0000-00004E370000}"/>
    <cellStyle name="20% - Accent5 2 2 8 2" xfId="3003" xr:uid="{00000000-0005-0000-0000-00004F370000}"/>
    <cellStyle name="20% - Accent5 2 2 8 2 2" xfId="8483" xr:uid="{00000000-0005-0000-0000-000050370000}"/>
    <cellStyle name="20% - Accent5 2 2 8 2 3" xfId="13959" xr:uid="{00000000-0005-0000-0000-000051370000}"/>
    <cellStyle name="20% - Accent5 2 2 8 2 4" xfId="19435" xr:uid="{00000000-0005-0000-0000-000052370000}"/>
    <cellStyle name="20% - Accent5 2 2 8 2 5" xfId="24911" xr:uid="{00000000-0005-0000-0000-000053370000}"/>
    <cellStyle name="20% - Accent5 2 2 8 2 6" xfId="36707" xr:uid="{00000000-0005-0000-0000-000054370000}"/>
    <cellStyle name="20% - Accent5 2 2 8 2 7" xfId="42184" xr:uid="{00000000-0005-0000-0000-000055370000}"/>
    <cellStyle name="20% - Accent5 2 2 8 2 8" xfId="47661" xr:uid="{00000000-0005-0000-0000-000056370000}"/>
    <cellStyle name="20% - Accent5 2 2 8 2 9" xfId="53179" xr:uid="{00000000-0005-0000-0000-000057370000}"/>
    <cellStyle name="20% - Accent5 2 2 8 3" xfId="4775" xr:uid="{00000000-0005-0000-0000-000058370000}"/>
    <cellStyle name="20% - Accent5 2 2 8 3 2" xfId="10255" xr:uid="{00000000-0005-0000-0000-000059370000}"/>
    <cellStyle name="20% - Accent5 2 2 8 3 3" xfId="15731" xr:uid="{00000000-0005-0000-0000-00005A370000}"/>
    <cellStyle name="20% - Accent5 2 2 8 3 4" xfId="21207" xr:uid="{00000000-0005-0000-0000-00005B370000}"/>
    <cellStyle name="20% - Accent5 2 2 8 3 5" xfId="26683" xr:uid="{00000000-0005-0000-0000-00005C370000}"/>
    <cellStyle name="20% - Accent5 2 2 8 3 6" xfId="38479" xr:uid="{00000000-0005-0000-0000-00005D370000}"/>
    <cellStyle name="20% - Accent5 2 2 8 3 7" xfId="43956" xr:uid="{00000000-0005-0000-0000-00005E370000}"/>
    <cellStyle name="20% - Accent5 2 2 8 3 8" xfId="49433" xr:uid="{00000000-0005-0000-0000-00005F370000}"/>
    <cellStyle name="20% - Accent5 2 2 8 3 9" xfId="54951" xr:uid="{00000000-0005-0000-0000-000060370000}"/>
    <cellStyle name="20% - Accent5 2 2 8 4" xfId="6047" xr:uid="{00000000-0005-0000-0000-000061370000}"/>
    <cellStyle name="20% - Accent5 2 2 8 5" xfId="11527" xr:uid="{00000000-0005-0000-0000-000062370000}"/>
    <cellStyle name="20% - Accent5 2 2 8 6" xfId="17003" xr:uid="{00000000-0005-0000-0000-000063370000}"/>
    <cellStyle name="20% - Accent5 2 2 8 7" xfId="22479" xr:uid="{00000000-0005-0000-0000-000064370000}"/>
    <cellStyle name="20% - Accent5 2 2 8 8" xfId="34274" xr:uid="{00000000-0005-0000-0000-000065370000}"/>
    <cellStyle name="20% - Accent5 2 2 8 9" xfId="39751" xr:uid="{00000000-0005-0000-0000-000066370000}"/>
    <cellStyle name="20% - Accent5 2 2 9" xfId="1414" xr:uid="{00000000-0005-0000-0000-000067370000}"/>
    <cellStyle name="20% - Accent5 2 2 9 10" xfId="45229" xr:uid="{00000000-0005-0000-0000-000068370000}"/>
    <cellStyle name="20% - Accent5 2 2 9 11" xfId="50707" xr:uid="{00000000-0005-0000-0000-000069370000}"/>
    <cellStyle name="20% - Accent5 2 2 9 2" xfId="3175" xr:uid="{00000000-0005-0000-0000-00006A370000}"/>
    <cellStyle name="20% - Accent5 2 2 9 2 2" xfId="8655" xr:uid="{00000000-0005-0000-0000-00006B370000}"/>
    <cellStyle name="20% - Accent5 2 2 9 2 3" xfId="14131" xr:uid="{00000000-0005-0000-0000-00006C370000}"/>
    <cellStyle name="20% - Accent5 2 2 9 2 4" xfId="19607" xr:uid="{00000000-0005-0000-0000-00006D370000}"/>
    <cellStyle name="20% - Accent5 2 2 9 2 5" xfId="25083" xr:uid="{00000000-0005-0000-0000-00006E370000}"/>
    <cellStyle name="20% - Accent5 2 2 9 2 6" xfId="36879" xr:uid="{00000000-0005-0000-0000-00006F370000}"/>
    <cellStyle name="20% - Accent5 2 2 9 2 7" xfId="42356" xr:uid="{00000000-0005-0000-0000-000070370000}"/>
    <cellStyle name="20% - Accent5 2 2 9 2 8" xfId="47833" xr:uid="{00000000-0005-0000-0000-000071370000}"/>
    <cellStyle name="20% - Accent5 2 2 9 2 9" xfId="53351" xr:uid="{00000000-0005-0000-0000-000072370000}"/>
    <cellStyle name="20% - Accent5 2 2 9 3" xfId="4947" xr:uid="{00000000-0005-0000-0000-000073370000}"/>
    <cellStyle name="20% - Accent5 2 2 9 3 2" xfId="10427" xr:uid="{00000000-0005-0000-0000-000074370000}"/>
    <cellStyle name="20% - Accent5 2 2 9 3 3" xfId="15903" xr:uid="{00000000-0005-0000-0000-000075370000}"/>
    <cellStyle name="20% - Accent5 2 2 9 3 4" xfId="21379" xr:uid="{00000000-0005-0000-0000-000076370000}"/>
    <cellStyle name="20% - Accent5 2 2 9 3 5" xfId="26855" xr:uid="{00000000-0005-0000-0000-000077370000}"/>
    <cellStyle name="20% - Accent5 2 2 9 3 6" xfId="38651" xr:uid="{00000000-0005-0000-0000-000078370000}"/>
    <cellStyle name="20% - Accent5 2 2 9 3 7" xfId="44128" xr:uid="{00000000-0005-0000-0000-000079370000}"/>
    <cellStyle name="20% - Accent5 2 2 9 3 8" xfId="49605" xr:uid="{00000000-0005-0000-0000-00007A370000}"/>
    <cellStyle name="20% - Accent5 2 2 9 3 9" xfId="55123" xr:uid="{00000000-0005-0000-0000-00007B370000}"/>
    <cellStyle name="20% - Accent5 2 2 9 4" xfId="6048" xr:uid="{00000000-0005-0000-0000-00007C370000}"/>
    <cellStyle name="20% - Accent5 2 2 9 5" xfId="11528" xr:uid="{00000000-0005-0000-0000-00007D370000}"/>
    <cellStyle name="20% - Accent5 2 2 9 6" xfId="17004" xr:uid="{00000000-0005-0000-0000-00007E370000}"/>
    <cellStyle name="20% - Accent5 2 2 9 7" xfId="22480" xr:uid="{00000000-0005-0000-0000-00007F370000}"/>
    <cellStyle name="20% - Accent5 2 2 9 8" xfId="34275" xr:uid="{00000000-0005-0000-0000-000080370000}"/>
    <cellStyle name="20% - Accent5 2 2 9 9" xfId="39752" xr:uid="{00000000-0005-0000-0000-000081370000}"/>
    <cellStyle name="20% - Accent5 2 20" xfId="6020" xr:uid="{00000000-0005-0000-0000-000082370000}"/>
    <cellStyle name="20% - Accent5 2 21" xfId="11500" xr:uid="{00000000-0005-0000-0000-000083370000}"/>
    <cellStyle name="20% - Accent5 2 22" xfId="16976" xr:uid="{00000000-0005-0000-0000-000084370000}"/>
    <cellStyle name="20% - Accent5 2 23" xfId="22452" xr:uid="{00000000-0005-0000-0000-000085370000}"/>
    <cellStyle name="20% - Accent5 2 24" xfId="29516" xr:uid="{00000000-0005-0000-0000-000086370000}"/>
    <cellStyle name="20% - Accent5 2 25" xfId="34247" xr:uid="{00000000-0005-0000-0000-000087370000}"/>
    <cellStyle name="20% - Accent5 2 26" xfId="39724" xr:uid="{00000000-0005-0000-0000-000088370000}"/>
    <cellStyle name="20% - Accent5 2 27" xfId="45201" xr:uid="{00000000-0005-0000-0000-000089370000}"/>
    <cellStyle name="20% - Accent5 2 28" xfId="50679" xr:uid="{00000000-0005-0000-0000-00008A370000}"/>
    <cellStyle name="20% - Accent5 2 3" xfId="151" xr:uid="{00000000-0005-0000-0000-00008B370000}"/>
    <cellStyle name="20% - Accent5 2 3 10" xfId="1588" xr:uid="{00000000-0005-0000-0000-00008C370000}"/>
    <cellStyle name="20% - Accent5 2 3 10 10" xfId="45231" xr:uid="{00000000-0005-0000-0000-00008D370000}"/>
    <cellStyle name="20% - Accent5 2 3 10 11" xfId="50709" xr:uid="{00000000-0005-0000-0000-00008E370000}"/>
    <cellStyle name="20% - Accent5 2 3 10 2" xfId="3349" xr:uid="{00000000-0005-0000-0000-00008F370000}"/>
    <cellStyle name="20% - Accent5 2 3 10 2 2" xfId="8829" xr:uid="{00000000-0005-0000-0000-000090370000}"/>
    <cellStyle name="20% - Accent5 2 3 10 2 3" xfId="14305" xr:uid="{00000000-0005-0000-0000-000091370000}"/>
    <cellStyle name="20% - Accent5 2 3 10 2 4" xfId="19781" xr:uid="{00000000-0005-0000-0000-000092370000}"/>
    <cellStyle name="20% - Accent5 2 3 10 2 5" xfId="25257" xr:uid="{00000000-0005-0000-0000-000093370000}"/>
    <cellStyle name="20% - Accent5 2 3 10 2 6" xfId="37053" xr:uid="{00000000-0005-0000-0000-000094370000}"/>
    <cellStyle name="20% - Accent5 2 3 10 2 7" xfId="42530" xr:uid="{00000000-0005-0000-0000-000095370000}"/>
    <cellStyle name="20% - Accent5 2 3 10 2 8" xfId="48007" xr:uid="{00000000-0005-0000-0000-000096370000}"/>
    <cellStyle name="20% - Accent5 2 3 10 2 9" xfId="53525" xr:uid="{00000000-0005-0000-0000-000097370000}"/>
    <cellStyle name="20% - Accent5 2 3 10 3" xfId="5121" xr:uid="{00000000-0005-0000-0000-000098370000}"/>
    <cellStyle name="20% - Accent5 2 3 10 3 2" xfId="10601" xr:uid="{00000000-0005-0000-0000-000099370000}"/>
    <cellStyle name="20% - Accent5 2 3 10 3 3" xfId="16077" xr:uid="{00000000-0005-0000-0000-00009A370000}"/>
    <cellStyle name="20% - Accent5 2 3 10 3 4" xfId="21553" xr:uid="{00000000-0005-0000-0000-00009B370000}"/>
    <cellStyle name="20% - Accent5 2 3 10 3 5" xfId="27029" xr:uid="{00000000-0005-0000-0000-00009C370000}"/>
    <cellStyle name="20% - Accent5 2 3 10 3 6" xfId="38825" xr:uid="{00000000-0005-0000-0000-00009D370000}"/>
    <cellStyle name="20% - Accent5 2 3 10 3 7" xfId="44302" xr:uid="{00000000-0005-0000-0000-00009E370000}"/>
    <cellStyle name="20% - Accent5 2 3 10 3 8" xfId="49779" xr:uid="{00000000-0005-0000-0000-00009F370000}"/>
    <cellStyle name="20% - Accent5 2 3 10 3 9" xfId="55297" xr:uid="{00000000-0005-0000-0000-0000A0370000}"/>
    <cellStyle name="20% - Accent5 2 3 10 4" xfId="6050" xr:uid="{00000000-0005-0000-0000-0000A1370000}"/>
    <cellStyle name="20% - Accent5 2 3 10 5" xfId="11530" xr:uid="{00000000-0005-0000-0000-0000A2370000}"/>
    <cellStyle name="20% - Accent5 2 3 10 6" xfId="17006" xr:uid="{00000000-0005-0000-0000-0000A3370000}"/>
    <cellStyle name="20% - Accent5 2 3 10 7" xfId="22482" xr:uid="{00000000-0005-0000-0000-0000A4370000}"/>
    <cellStyle name="20% - Accent5 2 3 10 8" xfId="34277" xr:uid="{00000000-0005-0000-0000-0000A5370000}"/>
    <cellStyle name="20% - Accent5 2 3 10 9" xfId="39754" xr:uid="{00000000-0005-0000-0000-0000A6370000}"/>
    <cellStyle name="20% - Accent5 2 3 11" xfId="1809" xr:uid="{00000000-0005-0000-0000-0000A7370000}"/>
    <cellStyle name="20% - Accent5 2 3 11 10" xfId="45232" xr:uid="{00000000-0005-0000-0000-0000A8370000}"/>
    <cellStyle name="20% - Accent5 2 3 11 11" xfId="50710" xr:uid="{00000000-0005-0000-0000-0000A9370000}"/>
    <cellStyle name="20% - Accent5 2 3 11 2" xfId="3570" xr:uid="{00000000-0005-0000-0000-0000AA370000}"/>
    <cellStyle name="20% - Accent5 2 3 11 2 2" xfId="9050" xr:uid="{00000000-0005-0000-0000-0000AB370000}"/>
    <cellStyle name="20% - Accent5 2 3 11 2 3" xfId="14526" xr:uid="{00000000-0005-0000-0000-0000AC370000}"/>
    <cellStyle name="20% - Accent5 2 3 11 2 4" xfId="20002" xr:uid="{00000000-0005-0000-0000-0000AD370000}"/>
    <cellStyle name="20% - Accent5 2 3 11 2 5" xfId="25478" xr:uid="{00000000-0005-0000-0000-0000AE370000}"/>
    <cellStyle name="20% - Accent5 2 3 11 2 6" xfId="37274" xr:uid="{00000000-0005-0000-0000-0000AF370000}"/>
    <cellStyle name="20% - Accent5 2 3 11 2 7" xfId="42751" xr:uid="{00000000-0005-0000-0000-0000B0370000}"/>
    <cellStyle name="20% - Accent5 2 3 11 2 8" xfId="48228" xr:uid="{00000000-0005-0000-0000-0000B1370000}"/>
    <cellStyle name="20% - Accent5 2 3 11 2 9" xfId="53746" xr:uid="{00000000-0005-0000-0000-0000B2370000}"/>
    <cellStyle name="20% - Accent5 2 3 11 3" xfId="5342" xr:uid="{00000000-0005-0000-0000-0000B3370000}"/>
    <cellStyle name="20% - Accent5 2 3 11 3 2" xfId="10822" xr:uid="{00000000-0005-0000-0000-0000B4370000}"/>
    <cellStyle name="20% - Accent5 2 3 11 3 3" xfId="16298" xr:uid="{00000000-0005-0000-0000-0000B5370000}"/>
    <cellStyle name="20% - Accent5 2 3 11 3 4" xfId="21774" xr:uid="{00000000-0005-0000-0000-0000B6370000}"/>
    <cellStyle name="20% - Accent5 2 3 11 3 5" xfId="27250" xr:uid="{00000000-0005-0000-0000-0000B7370000}"/>
    <cellStyle name="20% - Accent5 2 3 11 3 6" xfId="39046" xr:uid="{00000000-0005-0000-0000-0000B8370000}"/>
    <cellStyle name="20% - Accent5 2 3 11 3 7" xfId="44523" xr:uid="{00000000-0005-0000-0000-0000B9370000}"/>
    <cellStyle name="20% - Accent5 2 3 11 3 8" xfId="50000" xr:uid="{00000000-0005-0000-0000-0000BA370000}"/>
    <cellStyle name="20% - Accent5 2 3 11 3 9" xfId="55518" xr:uid="{00000000-0005-0000-0000-0000BB370000}"/>
    <cellStyle name="20% - Accent5 2 3 11 4" xfId="6051" xr:uid="{00000000-0005-0000-0000-0000BC370000}"/>
    <cellStyle name="20% - Accent5 2 3 11 5" xfId="11531" xr:uid="{00000000-0005-0000-0000-0000BD370000}"/>
    <cellStyle name="20% - Accent5 2 3 11 6" xfId="17007" xr:uid="{00000000-0005-0000-0000-0000BE370000}"/>
    <cellStyle name="20% - Accent5 2 3 11 7" xfId="22483" xr:uid="{00000000-0005-0000-0000-0000BF370000}"/>
    <cellStyle name="20% - Accent5 2 3 11 8" xfId="34278" xr:uid="{00000000-0005-0000-0000-0000C0370000}"/>
    <cellStyle name="20% - Accent5 2 3 11 9" xfId="39755" xr:uid="{00000000-0005-0000-0000-0000C1370000}"/>
    <cellStyle name="20% - Accent5 2 3 12" xfId="1950" xr:uid="{00000000-0005-0000-0000-0000C2370000}"/>
    <cellStyle name="20% - Accent5 2 3 12 10" xfId="52127" xr:uid="{00000000-0005-0000-0000-0000C3370000}"/>
    <cellStyle name="20% - Accent5 2 3 12 2" xfId="5482" xr:uid="{00000000-0005-0000-0000-0000C4370000}"/>
    <cellStyle name="20% - Accent5 2 3 12 2 2" xfId="10962" xr:uid="{00000000-0005-0000-0000-0000C5370000}"/>
    <cellStyle name="20% - Accent5 2 3 12 2 3" xfId="16438" xr:uid="{00000000-0005-0000-0000-0000C6370000}"/>
    <cellStyle name="20% - Accent5 2 3 12 2 4" xfId="21914" xr:uid="{00000000-0005-0000-0000-0000C7370000}"/>
    <cellStyle name="20% - Accent5 2 3 12 2 5" xfId="27390" xr:uid="{00000000-0005-0000-0000-0000C8370000}"/>
    <cellStyle name="20% - Accent5 2 3 12 2 6" xfId="39186" xr:uid="{00000000-0005-0000-0000-0000C9370000}"/>
    <cellStyle name="20% - Accent5 2 3 12 2 7" xfId="44663" xr:uid="{00000000-0005-0000-0000-0000CA370000}"/>
    <cellStyle name="20% - Accent5 2 3 12 2 8" xfId="50140" xr:uid="{00000000-0005-0000-0000-0000CB370000}"/>
    <cellStyle name="20% - Accent5 2 3 12 2 9" xfId="55658" xr:uid="{00000000-0005-0000-0000-0000CC370000}"/>
    <cellStyle name="20% - Accent5 2 3 12 3" xfId="7431" xr:uid="{00000000-0005-0000-0000-0000CD370000}"/>
    <cellStyle name="20% - Accent5 2 3 12 4" xfId="12907" xr:uid="{00000000-0005-0000-0000-0000CE370000}"/>
    <cellStyle name="20% - Accent5 2 3 12 5" xfId="18383" xr:uid="{00000000-0005-0000-0000-0000CF370000}"/>
    <cellStyle name="20% - Accent5 2 3 12 6" xfId="23859" xr:uid="{00000000-0005-0000-0000-0000D0370000}"/>
    <cellStyle name="20% - Accent5 2 3 12 7" xfId="35655" xr:uid="{00000000-0005-0000-0000-0000D1370000}"/>
    <cellStyle name="20% - Accent5 2 3 12 8" xfId="41132" xr:uid="{00000000-0005-0000-0000-0000D2370000}"/>
    <cellStyle name="20% - Accent5 2 3 12 9" xfId="46609" xr:uid="{00000000-0005-0000-0000-0000D3370000}"/>
    <cellStyle name="20% - Accent5 2 3 13" xfId="3723" xr:uid="{00000000-0005-0000-0000-0000D4370000}"/>
    <cellStyle name="20% - Accent5 2 3 13 2" xfId="9203" xr:uid="{00000000-0005-0000-0000-0000D5370000}"/>
    <cellStyle name="20% - Accent5 2 3 13 3" xfId="14679" xr:uid="{00000000-0005-0000-0000-0000D6370000}"/>
    <cellStyle name="20% - Accent5 2 3 13 4" xfId="20155" xr:uid="{00000000-0005-0000-0000-0000D7370000}"/>
    <cellStyle name="20% - Accent5 2 3 13 5" xfId="25631" xr:uid="{00000000-0005-0000-0000-0000D8370000}"/>
    <cellStyle name="20% - Accent5 2 3 13 6" xfId="37427" xr:uid="{00000000-0005-0000-0000-0000D9370000}"/>
    <cellStyle name="20% - Accent5 2 3 13 7" xfId="42904" xr:uid="{00000000-0005-0000-0000-0000DA370000}"/>
    <cellStyle name="20% - Accent5 2 3 13 8" xfId="48381" xr:uid="{00000000-0005-0000-0000-0000DB370000}"/>
    <cellStyle name="20% - Accent5 2 3 13 9" xfId="53899" xr:uid="{00000000-0005-0000-0000-0000DC370000}"/>
    <cellStyle name="20% - Accent5 2 3 14" xfId="6049" xr:uid="{00000000-0005-0000-0000-0000DD370000}"/>
    <cellStyle name="20% - Accent5 2 3 15" xfId="11529" xr:uid="{00000000-0005-0000-0000-0000DE370000}"/>
    <cellStyle name="20% - Accent5 2 3 16" xfId="17005" xr:uid="{00000000-0005-0000-0000-0000DF370000}"/>
    <cellStyle name="20% - Accent5 2 3 17" xfId="22481" xr:uid="{00000000-0005-0000-0000-0000E0370000}"/>
    <cellStyle name="20% - Accent5 2 3 18" xfId="29521" xr:uid="{00000000-0005-0000-0000-0000E1370000}"/>
    <cellStyle name="20% - Accent5 2 3 19" xfId="34276" xr:uid="{00000000-0005-0000-0000-0000E2370000}"/>
    <cellStyle name="20% - Accent5 2 3 2" xfId="243" xr:uid="{00000000-0005-0000-0000-0000E3370000}"/>
    <cellStyle name="20% - Accent5 2 3 2 10" xfId="1767" xr:uid="{00000000-0005-0000-0000-0000E4370000}"/>
    <cellStyle name="20% - Accent5 2 3 2 10 10" xfId="45234" xr:uid="{00000000-0005-0000-0000-0000E5370000}"/>
    <cellStyle name="20% - Accent5 2 3 2 10 11" xfId="50712" xr:uid="{00000000-0005-0000-0000-0000E6370000}"/>
    <cellStyle name="20% - Accent5 2 3 2 10 2" xfId="3528" xr:uid="{00000000-0005-0000-0000-0000E7370000}"/>
    <cellStyle name="20% - Accent5 2 3 2 10 2 2" xfId="9008" xr:uid="{00000000-0005-0000-0000-0000E8370000}"/>
    <cellStyle name="20% - Accent5 2 3 2 10 2 3" xfId="14484" xr:uid="{00000000-0005-0000-0000-0000E9370000}"/>
    <cellStyle name="20% - Accent5 2 3 2 10 2 4" xfId="19960" xr:uid="{00000000-0005-0000-0000-0000EA370000}"/>
    <cellStyle name="20% - Accent5 2 3 2 10 2 5" xfId="25436" xr:uid="{00000000-0005-0000-0000-0000EB370000}"/>
    <cellStyle name="20% - Accent5 2 3 2 10 2 6" xfId="37232" xr:uid="{00000000-0005-0000-0000-0000EC370000}"/>
    <cellStyle name="20% - Accent5 2 3 2 10 2 7" xfId="42709" xr:uid="{00000000-0005-0000-0000-0000ED370000}"/>
    <cellStyle name="20% - Accent5 2 3 2 10 2 8" xfId="48186" xr:uid="{00000000-0005-0000-0000-0000EE370000}"/>
    <cellStyle name="20% - Accent5 2 3 2 10 2 9" xfId="53704" xr:uid="{00000000-0005-0000-0000-0000EF370000}"/>
    <cellStyle name="20% - Accent5 2 3 2 10 3" xfId="5300" xr:uid="{00000000-0005-0000-0000-0000F0370000}"/>
    <cellStyle name="20% - Accent5 2 3 2 10 3 2" xfId="10780" xr:uid="{00000000-0005-0000-0000-0000F1370000}"/>
    <cellStyle name="20% - Accent5 2 3 2 10 3 3" xfId="16256" xr:uid="{00000000-0005-0000-0000-0000F2370000}"/>
    <cellStyle name="20% - Accent5 2 3 2 10 3 4" xfId="21732" xr:uid="{00000000-0005-0000-0000-0000F3370000}"/>
    <cellStyle name="20% - Accent5 2 3 2 10 3 5" xfId="27208" xr:uid="{00000000-0005-0000-0000-0000F4370000}"/>
    <cellStyle name="20% - Accent5 2 3 2 10 3 6" xfId="39004" xr:uid="{00000000-0005-0000-0000-0000F5370000}"/>
    <cellStyle name="20% - Accent5 2 3 2 10 3 7" xfId="44481" xr:uid="{00000000-0005-0000-0000-0000F6370000}"/>
    <cellStyle name="20% - Accent5 2 3 2 10 3 8" xfId="49958" xr:uid="{00000000-0005-0000-0000-0000F7370000}"/>
    <cellStyle name="20% - Accent5 2 3 2 10 3 9" xfId="55476" xr:uid="{00000000-0005-0000-0000-0000F8370000}"/>
    <cellStyle name="20% - Accent5 2 3 2 10 4" xfId="6053" xr:uid="{00000000-0005-0000-0000-0000F9370000}"/>
    <cellStyle name="20% - Accent5 2 3 2 10 5" xfId="11533" xr:uid="{00000000-0005-0000-0000-0000FA370000}"/>
    <cellStyle name="20% - Accent5 2 3 2 10 6" xfId="17009" xr:uid="{00000000-0005-0000-0000-0000FB370000}"/>
    <cellStyle name="20% - Accent5 2 3 2 10 7" xfId="22485" xr:uid="{00000000-0005-0000-0000-0000FC370000}"/>
    <cellStyle name="20% - Accent5 2 3 2 10 8" xfId="34280" xr:uid="{00000000-0005-0000-0000-0000FD370000}"/>
    <cellStyle name="20% - Accent5 2 3 2 10 9" xfId="39757" xr:uid="{00000000-0005-0000-0000-0000FE370000}"/>
    <cellStyle name="20% - Accent5 2 3 2 11" xfId="1951" xr:uid="{00000000-0005-0000-0000-0000FF370000}"/>
    <cellStyle name="20% - Accent5 2 3 2 11 10" xfId="52128" xr:uid="{00000000-0005-0000-0000-000000380000}"/>
    <cellStyle name="20% - Accent5 2 3 2 11 2" xfId="5483" xr:uid="{00000000-0005-0000-0000-000001380000}"/>
    <cellStyle name="20% - Accent5 2 3 2 11 2 2" xfId="10963" xr:uid="{00000000-0005-0000-0000-000002380000}"/>
    <cellStyle name="20% - Accent5 2 3 2 11 2 3" xfId="16439" xr:uid="{00000000-0005-0000-0000-000003380000}"/>
    <cellStyle name="20% - Accent5 2 3 2 11 2 4" xfId="21915" xr:uid="{00000000-0005-0000-0000-000004380000}"/>
    <cellStyle name="20% - Accent5 2 3 2 11 2 5" xfId="27391" xr:uid="{00000000-0005-0000-0000-000005380000}"/>
    <cellStyle name="20% - Accent5 2 3 2 11 2 6" xfId="39187" xr:uid="{00000000-0005-0000-0000-000006380000}"/>
    <cellStyle name="20% - Accent5 2 3 2 11 2 7" xfId="44664" xr:uid="{00000000-0005-0000-0000-000007380000}"/>
    <cellStyle name="20% - Accent5 2 3 2 11 2 8" xfId="50141" xr:uid="{00000000-0005-0000-0000-000008380000}"/>
    <cellStyle name="20% - Accent5 2 3 2 11 2 9" xfId="55659" xr:uid="{00000000-0005-0000-0000-000009380000}"/>
    <cellStyle name="20% - Accent5 2 3 2 11 3" xfId="7432" xr:uid="{00000000-0005-0000-0000-00000A380000}"/>
    <cellStyle name="20% - Accent5 2 3 2 11 4" xfId="12908" xr:uid="{00000000-0005-0000-0000-00000B380000}"/>
    <cellStyle name="20% - Accent5 2 3 2 11 5" xfId="18384" xr:uid="{00000000-0005-0000-0000-00000C380000}"/>
    <cellStyle name="20% - Accent5 2 3 2 11 6" xfId="23860" xr:uid="{00000000-0005-0000-0000-00000D380000}"/>
    <cellStyle name="20% - Accent5 2 3 2 11 7" xfId="35656" xr:uid="{00000000-0005-0000-0000-00000E380000}"/>
    <cellStyle name="20% - Accent5 2 3 2 11 8" xfId="41133" xr:uid="{00000000-0005-0000-0000-00000F380000}"/>
    <cellStyle name="20% - Accent5 2 3 2 11 9" xfId="46610" xr:uid="{00000000-0005-0000-0000-000010380000}"/>
    <cellStyle name="20% - Accent5 2 3 2 12" xfId="3809" xr:uid="{00000000-0005-0000-0000-000011380000}"/>
    <cellStyle name="20% - Accent5 2 3 2 12 2" xfId="9289" xr:uid="{00000000-0005-0000-0000-000012380000}"/>
    <cellStyle name="20% - Accent5 2 3 2 12 3" xfId="14765" xr:uid="{00000000-0005-0000-0000-000013380000}"/>
    <cellStyle name="20% - Accent5 2 3 2 12 4" xfId="20241" xr:uid="{00000000-0005-0000-0000-000014380000}"/>
    <cellStyle name="20% - Accent5 2 3 2 12 5" xfId="25717" xr:uid="{00000000-0005-0000-0000-000015380000}"/>
    <cellStyle name="20% - Accent5 2 3 2 12 6" xfId="37513" xr:uid="{00000000-0005-0000-0000-000016380000}"/>
    <cellStyle name="20% - Accent5 2 3 2 12 7" xfId="42990" xr:uid="{00000000-0005-0000-0000-000017380000}"/>
    <cellStyle name="20% - Accent5 2 3 2 12 8" xfId="48467" xr:uid="{00000000-0005-0000-0000-000018380000}"/>
    <cellStyle name="20% - Accent5 2 3 2 12 9" xfId="53985" xr:uid="{00000000-0005-0000-0000-000019380000}"/>
    <cellStyle name="20% - Accent5 2 3 2 13" xfId="6052" xr:uid="{00000000-0005-0000-0000-00001A380000}"/>
    <cellStyle name="20% - Accent5 2 3 2 14" xfId="11532" xr:uid="{00000000-0005-0000-0000-00001B380000}"/>
    <cellStyle name="20% - Accent5 2 3 2 15" xfId="17008" xr:uid="{00000000-0005-0000-0000-00001C380000}"/>
    <cellStyle name="20% - Accent5 2 3 2 16" xfId="22484" xr:uid="{00000000-0005-0000-0000-00001D380000}"/>
    <cellStyle name="20% - Accent5 2 3 2 17" xfId="29522" xr:uid="{00000000-0005-0000-0000-00001E380000}"/>
    <cellStyle name="20% - Accent5 2 3 2 18" xfId="34279" xr:uid="{00000000-0005-0000-0000-00001F380000}"/>
    <cellStyle name="20% - Accent5 2 3 2 19" xfId="39756" xr:uid="{00000000-0005-0000-0000-000020380000}"/>
    <cellStyle name="20% - Accent5 2 3 2 2" xfId="322" xr:uid="{00000000-0005-0000-0000-000021380000}"/>
    <cellStyle name="20% - Accent5 2 3 2 2 10" xfId="39758" xr:uid="{00000000-0005-0000-0000-000022380000}"/>
    <cellStyle name="20% - Accent5 2 3 2 2 11" xfId="45235" xr:uid="{00000000-0005-0000-0000-000023380000}"/>
    <cellStyle name="20% - Accent5 2 3 2 2 12" xfId="50713" xr:uid="{00000000-0005-0000-0000-000024380000}"/>
    <cellStyle name="20% - Accent5 2 3 2 2 2" xfId="2120" xr:uid="{00000000-0005-0000-0000-000025380000}"/>
    <cellStyle name="20% - Accent5 2 3 2 2 2 2" xfId="7600" xr:uid="{00000000-0005-0000-0000-000026380000}"/>
    <cellStyle name="20% - Accent5 2 3 2 2 2 3" xfId="13076" xr:uid="{00000000-0005-0000-0000-000027380000}"/>
    <cellStyle name="20% - Accent5 2 3 2 2 2 4" xfId="18552" xr:uid="{00000000-0005-0000-0000-000028380000}"/>
    <cellStyle name="20% - Accent5 2 3 2 2 2 5" xfId="24028" xr:uid="{00000000-0005-0000-0000-000029380000}"/>
    <cellStyle name="20% - Accent5 2 3 2 2 2 6" xfId="35824" xr:uid="{00000000-0005-0000-0000-00002A380000}"/>
    <cellStyle name="20% - Accent5 2 3 2 2 2 7" xfId="41301" xr:uid="{00000000-0005-0000-0000-00002B380000}"/>
    <cellStyle name="20% - Accent5 2 3 2 2 2 8" xfId="46778" xr:uid="{00000000-0005-0000-0000-00002C380000}"/>
    <cellStyle name="20% - Accent5 2 3 2 2 2 9" xfId="52296" xr:uid="{00000000-0005-0000-0000-00002D380000}"/>
    <cellStyle name="20% - Accent5 2 3 2 2 3" xfId="3884" xr:uid="{00000000-0005-0000-0000-00002E380000}"/>
    <cellStyle name="20% - Accent5 2 3 2 2 3 2" xfId="9364" xr:uid="{00000000-0005-0000-0000-00002F380000}"/>
    <cellStyle name="20% - Accent5 2 3 2 2 3 3" xfId="14840" xr:uid="{00000000-0005-0000-0000-000030380000}"/>
    <cellStyle name="20% - Accent5 2 3 2 2 3 4" xfId="20316" xr:uid="{00000000-0005-0000-0000-000031380000}"/>
    <cellStyle name="20% - Accent5 2 3 2 2 3 5" xfId="25792" xr:uid="{00000000-0005-0000-0000-000032380000}"/>
    <cellStyle name="20% - Accent5 2 3 2 2 3 6" xfId="37588" xr:uid="{00000000-0005-0000-0000-000033380000}"/>
    <cellStyle name="20% - Accent5 2 3 2 2 3 7" xfId="43065" xr:uid="{00000000-0005-0000-0000-000034380000}"/>
    <cellStyle name="20% - Accent5 2 3 2 2 3 8" xfId="48542" xr:uid="{00000000-0005-0000-0000-000035380000}"/>
    <cellStyle name="20% - Accent5 2 3 2 2 3 9" xfId="54060" xr:uid="{00000000-0005-0000-0000-000036380000}"/>
    <cellStyle name="20% - Accent5 2 3 2 2 4" xfId="6054" xr:uid="{00000000-0005-0000-0000-000037380000}"/>
    <cellStyle name="20% - Accent5 2 3 2 2 5" xfId="11534" xr:uid="{00000000-0005-0000-0000-000038380000}"/>
    <cellStyle name="20% - Accent5 2 3 2 2 6" xfId="17010" xr:uid="{00000000-0005-0000-0000-000039380000}"/>
    <cellStyle name="20% - Accent5 2 3 2 2 7" xfId="22486" xr:uid="{00000000-0005-0000-0000-00003A380000}"/>
    <cellStyle name="20% - Accent5 2 3 2 2 8" xfId="29523" xr:uid="{00000000-0005-0000-0000-00003B380000}"/>
    <cellStyle name="20% - Accent5 2 3 2 2 9" xfId="34281" xr:uid="{00000000-0005-0000-0000-00003C380000}"/>
    <cellStyle name="20% - Accent5 2 3 2 20" xfId="45233" xr:uid="{00000000-0005-0000-0000-00003D380000}"/>
    <cellStyle name="20% - Accent5 2 3 2 21" xfId="50711" xr:uid="{00000000-0005-0000-0000-00003E380000}"/>
    <cellStyle name="20% - Accent5 2 3 2 3" xfId="523" xr:uid="{00000000-0005-0000-0000-00003F380000}"/>
    <cellStyle name="20% - Accent5 2 3 2 3 10" xfId="45236" xr:uid="{00000000-0005-0000-0000-000040380000}"/>
    <cellStyle name="20% - Accent5 2 3 2 3 11" xfId="50714" xr:uid="{00000000-0005-0000-0000-000041380000}"/>
    <cellStyle name="20% - Accent5 2 3 2 3 2" xfId="2284" xr:uid="{00000000-0005-0000-0000-000042380000}"/>
    <cellStyle name="20% - Accent5 2 3 2 3 2 2" xfId="7764" xr:uid="{00000000-0005-0000-0000-000043380000}"/>
    <cellStyle name="20% - Accent5 2 3 2 3 2 3" xfId="13240" xr:uid="{00000000-0005-0000-0000-000044380000}"/>
    <cellStyle name="20% - Accent5 2 3 2 3 2 4" xfId="18716" xr:uid="{00000000-0005-0000-0000-000045380000}"/>
    <cellStyle name="20% - Accent5 2 3 2 3 2 5" xfId="24192" xr:uid="{00000000-0005-0000-0000-000046380000}"/>
    <cellStyle name="20% - Accent5 2 3 2 3 2 6" xfId="35988" xr:uid="{00000000-0005-0000-0000-000047380000}"/>
    <cellStyle name="20% - Accent5 2 3 2 3 2 7" xfId="41465" xr:uid="{00000000-0005-0000-0000-000048380000}"/>
    <cellStyle name="20% - Accent5 2 3 2 3 2 8" xfId="46942" xr:uid="{00000000-0005-0000-0000-000049380000}"/>
    <cellStyle name="20% - Accent5 2 3 2 3 2 9" xfId="52460" xr:uid="{00000000-0005-0000-0000-00004A380000}"/>
    <cellStyle name="20% - Accent5 2 3 2 3 3" xfId="4056" xr:uid="{00000000-0005-0000-0000-00004B380000}"/>
    <cellStyle name="20% - Accent5 2 3 2 3 3 2" xfId="9536" xr:uid="{00000000-0005-0000-0000-00004C380000}"/>
    <cellStyle name="20% - Accent5 2 3 2 3 3 3" xfId="15012" xr:uid="{00000000-0005-0000-0000-00004D380000}"/>
    <cellStyle name="20% - Accent5 2 3 2 3 3 4" xfId="20488" xr:uid="{00000000-0005-0000-0000-00004E380000}"/>
    <cellStyle name="20% - Accent5 2 3 2 3 3 5" xfId="25964" xr:uid="{00000000-0005-0000-0000-00004F380000}"/>
    <cellStyle name="20% - Accent5 2 3 2 3 3 6" xfId="37760" xr:uid="{00000000-0005-0000-0000-000050380000}"/>
    <cellStyle name="20% - Accent5 2 3 2 3 3 7" xfId="43237" xr:uid="{00000000-0005-0000-0000-000051380000}"/>
    <cellStyle name="20% - Accent5 2 3 2 3 3 8" xfId="48714" xr:uid="{00000000-0005-0000-0000-000052380000}"/>
    <cellStyle name="20% - Accent5 2 3 2 3 3 9" xfId="54232" xr:uid="{00000000-0005-0000-0000-000053380000}"/>
    <cellStyle name="20% - Accent5 2 3 2 3 4" xfId="6055" xr:uid="{00000000-0005-0000-0000-000054380000}"/>
    <cellStyle name="20% - Accent5 2 3 2 3 5" xfId="11535" xr:uid="{00000000-0005-0000-0000-000055380000}"/>
    <cellStyle name="20% - Accent5 2 3 2 3 6" xfId="17011" xr:uid="{00000000-0005-0000-0000-000056380000}"/>
    <cellStyle name="20% - Accent5 2 3 2 3 7" xfId="22487" xr:uid="{00000000-0005-0000-0000-000057380000}"/>
    <cellStyle name="20% - Accent5 2 3 2 3 8" xfId="34282" xr:uid="{00000000-0005-0000-0000-000058380000}"/>
    <cellStyle name="20% - Accent5 2 3 2 3 9" xfId="39759" xr:uid="{00000000-0005-0000-0000-000059380000}"/>
    <cellStyle name="20% - Accent5 2 3 2 4" xfId="695" xr:uid="{00000000-0005-0000-0000-00005A380000}"/>
    <cellStyle name="20% - Accent5 2 3 2 4 10" xfId="45237" xr:uid="{00000000-0005-0000-0000-00005B380000}"/>
    <cellStyle name="20% - Accent5 2 3 2 4 11" xfId="50715" xr:uid="{00000000-0005-0000-0000-00005C380000}"/>
    <cellStyle name="20% - Accent5 2 3 2 4 2" xfId="2456" xr:uid="{00000000-0005-0000-0000-00005D380000}"/>
    <cellStyle name="20% - Accent5 2 3 2 4 2 2" xfId="7936" xr:uid="{00000000-0005-0000-0000-00005E380000}"/>
    <cellStyle name="20% - Accent5 2 3 2 4 2 3" xfId="13412" xr:uid="{00000000-0005-0000-0000-00005F380000}"/>
    <cellStyle name="20% - Accent5 2 3 2 4 2 4" xfId="18888" xr:uid="{00000000-0005-0000-0000-000060380000}"/>
    <cellStyle name="20% - Accent5 2 3 2 4 2 5" xfId="24364" xr:uid="{00000000-0005-0000-0000-000061380000}"/>
    <cellStyle name="20% - Accent5 2 3 2 4 2 6" xfId="36160" xr:uid="{00000000-0005-0000-0000-000062380000}"/>
    <cellStyle name="20% - Accent5 2 3 2 4 2 7" xfId="41637" xr:uid="{00000000-0005-0000-0000-000063380000}"/>
    <cellStyle name="20% - Accent5 2 3 2 4 2 8" xfId="47114" xr:uid="{00000000-0005-0000-0000-000064380000}"/>
    <cellStyle name="20% - Accent5 2 3 2 4 2 9" xfId="52632" xr:uid="{00000000-0005-0000-0000-000065380000}"/>
    <cellStyle name="20% - Accent5 2 3 2 4 3" xfId="4228" xr:uid="{00000000-0005-0000-0000-000066380000}"/>
    <cellStyle name="20% - Accent5 2 3 2 4 3 2" xfId="9708" xr:uid="{00000000-0005-0000-0000-000067380000}"/>
    <cellStyle name="20% - Accent5 2 3 2 4 3 3" xfId="15184" xr:uid="{00000000-0005-0000-0000-000068380000}"/>
    <cellStyle name="20% - Accent5 2 3 2 4 3 4" xfId="20660" xr:uid="{00000000-0005-0000-0000-000069380000}"/>
    <cellStyle name="20% - Accent5 2 3 2 4 3 5" xfId="26136" xr:uid="{00000000-0005-0000-0000-00006A380000}"/>
    <cellStyle name="20% - Accent5 2 3 2 4 3 6" xfId="37932" xr:uid="{00000000-0005-0000-0000-00006B380000}"/>
    <cellStyle name="20% - Accent5 2 3 2 4 3 7" xfId="43409" xr:uid="{00000000-0005-0000-0000-00006C380000}"/>
    <cellStyle name="20% - Accent5 2 3 2 4 3 8" xfId="48886" xr:uid="{00000000-0005-0000-0000-00006D380000}"/>
    <cellStyle name="20% - Accent5 2 3 2 4 3 9" xfId="54404" xr:uid="{00000000-0005-0000-0000-00006E380000}"/>
    <cellStyle name="20% - Accent5 2 3 2 4 4" xfId="6056" xr:uid="{00000000-0005-0000-0000-00006F380000}"/>
    <cellStyle name="20% - Accent5 2 3 2 4 5" xfId="11536" xr:uid="{00000000-0005-0000-0000-000070380000}"/>
    <cellStyle name="20% - Accent5 2 3 2 4 6" xfId="17012" xr:uid="{00000000-0005-0000-0000-000071380000}"/>
    <cellStyle name="20% - Accent5 2 3 2 4 7" xfId="22488" xr:uid="{00000000-0005-0000-0000-000072380000}"/>
    <cellStyle name="20% - Accent5 2 3 2 4 8" xfId="34283" xr:uid="{00000000-0005-0000-0000-000073380000}"/>
    <cellStyle name="20% - Accent5 2 3 2 4 9" xfId="39760" xr:uid="{00000000-0005-0000-0000-000074380000}"/>
    <cellStyle name="20% - Accent5 2 3 2 5" xfId="867" xr:uid="{00000000-0005-0000-0000-000075380000}"/>
    <cellStyle name="20% - Accent5 2 3 2 5 10" xfId="45238" xr:uid="{00000000-0005-0000-0000-000076380000}"/>
    <cellStyle name="20% - Accent5 2 3 2 5 11" xfId="50716" xr:uid="{00000000-0005-0000-0000-000077380000}"/>
    <cellStyle name="20% - Accent5 2 3 2 5 2" xfId="2628" xr:uid="{00000000-0005-0000-0000-000078380000}"/>
    <cellStyle name="20% - Accent5 2 3 2 5 2 2" xfId="8108" xr:uid="{00000000-0005-0000-0000-000079380000}"/>
    <cellStyle name="20% - Accent5 2 3 2 5 2 3" xfId="13584" xr:uid="{00000000-0005-0000-0000-00007A380000}"/>
    <cellStyle name="20% - Accent5 2 3 2 5 2 4" xfId="19060" xr:uid="{00000000-0005-0000-0000-00007B380000}"/>
    <cellStyle name="20% - Accent5 2 3 2 5 2 5" xfId="24536" xr:uid="{00000000-0005-0000-0000-00007C380000}"/>
    <cellStyle name="20% - Accent5 2 3 2 5 2 6" xfId="36332" xr:uid="{00000000-0005-0000-0000-00007D380000}"/>
    <cellStyle name="20% - Accent5 2 3 2 5 2 7" xfId="41809" xr:uid="{00000000-0005-0000-0000-00007E380000}"/>
    <cellStyle name="20% - Accent5 2 3 2 5 2 8" xfId="47286" xr:uid="{00000000-0005-0000-0000-00007F380000}"/>
    <cellStyle name="20% - Accent5 2 3 2 5 2 9" xfId="52804" xr:uid="{00000000-0005-0000-0000-000080380000}"/>
    <cellStyle name="20% - Accent5 2 3 2 5 3" xfId="4400" xr:uid="{00000000-0005-0000-0000-000081380000}"/>
    <cellStyle name="20% - Accent5 2 3 2 5 3 2" xfId="9880" xr:uid="{00000000-0005-0000-0000-000082380000}"/>
    <cellStyle name="20% - Accent5 2 3 2 5 3 3" xfId="15356" xr:uid="{00000000-0005-0000-0000-000083380000}"/>
    <cellStyle name="20% - Accent5 2 3 2 5 3 4" xfId="20832" xr:uid="{00000000-0005-0000-0000-000084380000}"/>
    <cellStyle name="20% - Accent5 2 3 2 5 3 5" xfId="26308" xr:uid="{00000000-0005-0000-0000-000085380000}"/>
    <cellStyle name="20% - Accent5 2 3 2 5 3 6" xfId="38104" xr:uid="{00000000-0005-0000-0000-000086380000}"/>
    <cellStyle name="20% - Accent5 2 3 2 5 3 7" xfId="43581" xr:uid="{00000000-0005-0000-0000-000087380000}"/>
    <cellStyle name="20% - Accent5 2 3 2 5 3 8" xfId="49058" xr:uid="{00000000-0005-0000-0000-000088380000}"/>
    <cellStyle name="20% - Accent5 2 3 2 5 3 9" xfId="54576" xr:uid="{00000000-0005-0000-0000-000089380000}"/>
    <cellStyle name="20% - Accent5 2 3 2 5 4" xfId="6057" xr:uid="{00000000-0005-0000-0000-00008A380000}"/>
    <cellStyle name="20% - Accent5 2 3 2 5 5" xfId="11537" xr:uid="{00000000-0005-0000-0000-00008B380000}"/>
    <cellStyle name="20% - Accent5 2 3 2 5 6" xfId="17013" xr:uid="{00000000-0005-0000-0000-00008C380000}"/>
    <cellStyle name="20% - Accent5 2 3 2 5 7" xfId="22489" xr:uid="{00000000-0005-0000-0000-00008D380000}"/>
    <cellStyle name="20% - Accent5 2 3 2 5 8" xfId="34284" xr:uid="{00000000-0005-0000-0000-00008E380000}"/>
    <cellStyle name="20% - Accent5 2 3 2 5 9" xfId="39761" xr:uid="{00000000-0005-0000-0000-00008F380000}"/>
    <cellStyle name="20% - Accent5 2 3 2 6" xfId="1073" xr:uid="{00000000-0005-0000-0000-000090380000}"/>
    <cellStyle name="20% - Accent5 2 3 2 6 10" xfId="45239" xr:uid="{00000000-0005-0000-0000-000091380000}"/>
    <cellStyle name="20% - Accent5 2 3 2 6 11" xfId="50717" xr:uid="{00000000-0005-0000-0000-000092380000}"/>
    <cellStyle name="20% - Accent5 2 3 2 6 2" xfId="2834" xr:uid="{00000000-0005-0000-0000-000093380000}"/>
    <cellStyle name="20% - Accent5 2 3 2 6 2 2" xfId="8314" xr:uid="{00000000-0005-0000-0000-000094380000}"/>
    <cellStyle name="20% - Accent5 2 3 2 6 2 3" xfId="13790" xr:uid="{00000000-0005-0000-0000-000095380000}"/>
    <cellStyle name="20% - Accent5 2 3 2 6 2 4" xfId="19266" xr:uid="{00000000-0005-0000-0000-000096380000}"/>
    <cellStyle name="20% - Accent5 2 3 2 6 2 5" xfId="24742" xr:uid="{00000000-0005-0000-0000-000097380000}"/>
    <cellStyle name="20% - Accent5 2 3 2 6 2 6" xfId="36538" xr:uid="{00000000-0005-0000-0000-000098380000}"/>
    <cellStyle name="20% - Accent5 2 3 2 6 2 7" xfId="42015" xr:uid="{00000000-0005-0000-0000-000099380000}"/>
    <cellStyle name="20% - Accent5 2 3 2 6 2 8" xfId="47492" xr:uid="{00000000-0005-0000-0000-00009A380000}"/>
    <cellStyle name="20% - Accent5 2 3 2 6 2 9" xfId="53010" xr:uid="{00000000-0005-0000-0000-00009B380000}"/>
    <cellStyle name="20% - Accent5 2 3 2 6 3" xfId="4606" xr:uid="{00000000-0005-0000-0000-00009C380000}"/>
    <cellStyle name="20% - Accent5 2 3 2 6 3 2" xfId="10086" xr:uid="{00000000-0005-0000-0000-00009D380000}"/>
    <cellStyle name="20% - Accent5 2 3 2 6 3 3" xfId="15562" xr:uid="{00000000-0005-0000-0000-00009E380000}"/>
    <cellStyle name="20% - Accent5 2 3 2 6 3 4" xfId="21038" xr:uid="{00000000-0005-0000-0000-00009F380000}"/>
    <cellStyle name="20% - Accent5 2 3 2 6 3 5" xfId="26514" xr:uid="{00000000-0005-0000-0000-0000A0380000}"/>
    <cellStyle name="20% - Accent5 2 3 2 6 3 6" xfId="38310" xr:uid="{00000000-0005-0000-0000-0000A1380000}"/>
    <cellStyle name="20% - Accent5 2 3 2 6 3 7" xfId="43787" xr:uid="{00000000-0005-0000-0000-0000A2380000}"/>
    <cellStyle name="20% - Accent5 2 3 2 6 3 8" xfId="49264" xr:uid="{00000000-0005-0000-0000-0000A3380000}"/>
    <cellStyle name="20% - Accent5 2 3 2 6 3 9" xfId="54782" xr:uid="{00000000-0005-0000-0000-0000A4380000}"/>
    <cellStyle name="20% - Accent5 2 3 2 6 4" xfId="6058" xr:uid="{00000000-0005-0000-0000-0000A5380000}"/>
    <cellStyle name="20% - Accent5 2 3 2 6 5" xfId="11538" xr:uid="{00000000-0005-0000-0000-0000A6380000}"/>
    <cellStyle name="20% - Accent5 2 3 2 6 6" xfId="17014" xr:uid="{00000000-0005-0000-0000-0000A7380000}"/>
    <cellStyle name="20% - Accent5 2 3 2 6 7" xfId="22490" xr:uid="{00000000-0005-0000-0000-0000A8380000}"/>
    <cellStyle name="20% - Accent5 2 3 2 6 8" xfId="34285" xr:uid="{00000000-0005-0000-0000-0000A9380000}"/>
    <cellStyle name="20% - Accent5 2 3 2 6 9" xfId="39762" xr:uid="{00000000-0005-0000-0000-0000AA380000}"/>
    <cellStyle name="20% - Accent5 2 3 2 7" xfId="1245" xr:uid="{00000000-0005-0000-0000-0000AB380000}"/>
    <cellStyle name="20% - Accent5 2 3 2 7 10" xfId="45240" xr:uid="{00000000-0005-0000-0000-0000AC380000}"/>
    <cellStyle name="20% - Accent5 2 3 2 7 11" xfId="50718" xr:uid="{00000000-0005-0000-0000-0000AD380000}"/>
    <cellStyle name="20% - Accent5 2 3 2 7 2" xfId="3006" xr:uid="{00000000-0005-0000-0000-0000AE380000}"/>
    <cellStyle name="20% - Accent5 2 3 2 7 2 2" xfId="8486" xr:uid="{00000000-0005-0000-0000-0000AF380000}"/>
    <cellStyle name="20% - Accent5 2 3 2 7 2 3" xfId="13962" xr:uid="{00000000-0005-0000-0000-0000B0380000}"/>
    <cellStyle name="20% - Accent5 2 3 2 7 2 4" xfId="19438" xr:uid="{00000000-0005-0000-0000-0000B1380000}"/>
    <cellStyle name="20% - Accent5 2 3 2 7 2 5" xfId="24914" xr:uid="{00000000-0005-0000-0000-0000B2380000}"/>
    <cellStyle name="20% - Accent5 2 3 2 7 2 6" xfId="36710" xr:uid="{00000000-0005-0000-0000-0000B3380000}"/>
    <cellStyle name="20% - Accent5 2 3 2 7 2 7" xfId="42187" xr:uid="{00000000-0005-0000-0000-0000B4380000}"/>
    <cellStyle name="20% - Accent5 2 3 2 7 2 8" xfId="47664" xr:uid="{00000000-0005-0000-0000-0000B5380000}"/>
    <cellStyle name="20% - Accent5 2 3 2 7 2 9" xfId="53182" xr:uid="{00000000-0005-0000-0000-0000B6380000}"/>
    <cellStyle name="20% - Accent5 2 3 2 7 3" xfId="4778" xr:uid="{00000000-0005-0000-0000-0000B7380000}"/>
    <cellStyle name="20% - Accent5 2 3 2 7 3 2" xfId="10258" xr:uid="{00000000-0005-0000-0000-0000B8380000}"/>
    <cellStyle name="20% - Accent5 2 3 2 7 3 3" xfId="15734" xr:uid="{00000000-0005-0000-0000-0000B9380000}"/>
    <cellStyle name="20% - Accent5 2 3 2 7 3 4" xfId="21210" xr:uid="{00000000-0005-0000-0000-0000BA380000}"/>
    <cellStyle name="20% - Accent5 2 3 2 7 3 5" xfId="26686" xr:uid="{00000000-0005-0000-0000-0000BB380000}"/>
    <cellStyle name="20% - Accent5 2 3 2 7 3 6" xfId="38482" xr:uid="{00000000-0005-0000-0000-0000BC380000}"/>
    <cellStyle name="20% - Accent5 2 3 2 7 3 7" xfId="43959" xr:uid="{00000000-0005-0000-0000-0000BD380000}"/>
    <cellStyle name="20% - Accent5 2 3 2 7 3 8" xfId="49436" xr:uid="{00000000-0005-0000-0000-0000BE380000}"/>
    <cellStyle name="20% - Accent5 2 3 2 7 3 9" xfId="54954" xr:uid="{00000000-0005-0000-0000-0000BF380000}"/>
    <cellStyle name="20% - Accent5 2 3 2 7 4" xfId="6059" xr:uid="{00000000-0005-0000-0000-0000C0380000}"/>
    <cellStyle name="20% - Accent5 2 3 2 7 5" xfId="11539" xr:uid="{00000000-0005-0000-0000-0000C1380000}"/>
    <cellStyle name="20% - Accent5 2 3 2 7 6" xfId="17015" xr:uid="{00000000-0005-0000-0000-0000C2380000}"/>
    <cellStyle name="20% - Accent5 2 3 2 7 7" xfId="22491" xr:uid="{00000000-0005-0000-0000-0000C3380000}"/>
    <cellStyle name="20% - Accent5 2 3 2 7 8" xfId="34286" xr:uid="{00000000-0005-0000-0000-0000C4380000}"/>
    <cellStyle name="20% - Accent5 2 3 2 7 9" xfId="39763" xr:uid="{00000000-0005-0000-0000-0000C5380000}"/>
    <cellStyle name="20% - Accent5 2 3 2 8" xfId="1417" xr:uid="{00000000-0005-0000-0000-0000C6380000}"/>
    <cellStyle name="20% - Accent5 2 3 2 8 10" xfId="45241" xr:uid="{00000000-0005-0000-0000-0000C7380000}"/>
    <cellStyle name="20% - Accent5 2 3 2 8 11" xfId="50719" xr:uid="{00000000-0005-0000-0000-0000C8380000}"/>
    <cellStyle name="20% - Accent5 2 3 2 8 2" xfId="3178" xr:uid="{00000000-0005-0000-0000-0000C9380000}"/>
    <cellStyle name="20% - Accent5 2 3 2 8 2 2" xfId="8658" xr:uid="{00000000-0005-0000-0000-0000CA380000}"/>
    <cellStyle name="20% - Accent5 2 3 2 8 2 3" xfId="14134" xr:uid="{00000000-0005-0000-0000-0000CB380000}"/>
    <cellStyle name="20% - Accent5 2 3 2 8 2 4" xfId="19610" xr:uid="{00000000-0005-0000-0000-0000CC380000}"/>
    <cellStyle name="20% - Accent5 2 3 2 8 2 5" xfId="25086" xr:uid="{00000000-0005-0000-0000-0000CD380000}"/>
    <cellStyle name="20% - Accent5 2 3 2 8 2 6" xfId="36882" xr:uid="{00000000-0005-0000-0000-0000CE380000}"/>
    <cellStyle name="20% - Accent5 2 3 2 8 2 7" xfId="42359" xr:uid="{00000000-0005-0000-0000-0000CF380000}"/>
    <cellStyle name="20% - Accent5 2 3 2 8 2 8" xfId="47836" xr:uid="{00000000-0005-0000-0000-0000D0380000}"/>
    <cellStyle name="20% - Accent5 2 3 2 8 2 9" xfId="53354" xr:uid="{00000000-0005-0000-0000-0000D1380000}"/>
    <cellStyle name="20% - Accent5 2 3 2 8 3" xfId="4950" xr:uid="{00000000-0005-0000-0000-0000D2380000}"/>
    <cellStyle name="20% - Accent5 2 3 2 8 3 2" xfId="10430" xr:uid="{00000000-0005-0000-0000-0000D3380000}"/>
    <cellStyle name="20% - Accent5 2 3 2 8 3 3" xfId="15906" xr:uid="{00000000-0005-0000-0000-0000D4380000}"/>
    <cellStyle name="20% - Accent5 2 3 2 8 3 4" xfId="21382" xr:uid="{00000000-0005-0000-0000-0000D5380000}"/>
    <cellStyle name="20% - Accent5 2 3 2 8 3 5" xfId="26858" xr:uid="{00000000-0005-0000-0000-0000D6380000}"/>
    <cellStyle name="20% - Accent5 2 3 2 8 3 6" xfId="38654" xr:uid="{00000000-0005-0000-0000-0000D7380000}"/>
    <cellStyle name="20% - Accent5 2 3 2 8 3 7" xfId="44131" xr:uid="{00000000-0005-0000-0000-0000D8380000}"/>
    <cellStyle name="20% - Accent5 2 3 2 8 3 8" xfId="49608" xr:uid="{00000000-0005-0000-0000-0000D9380000}"/>
    <cellStyle name="20% - Accent5 2 3 2 8 3 9" xfId="55126" xr:uid="{00000000-0005-0000-0000-0000DA380000}"/>
    <cellStyle name="20% - Accent5 2 3 2 8 4" xfId="6060" xr:uid="{00000000-0005-0000-0000-0000DB380000}"/>
    <cellStyle name="20% - Accent5 2 3 2 8 5" xfId="11540" xr:uid="{00000000-0005-0000-0000-0000DC380000}"/>
    <cellStyle name="20% - Accent5 2 3 2 8 6" xfId="17016" xr:uid="{00000000-0005-0000-0000-0000DD380000}"/>
    <cellStyle name="20% - Accent5 2 3 2 8 7" xfId="22492" xr:uid="{00000000-0005-0000-0000-0000DE380000}"/>
    <cellStyle name="20% - Accent5 2 3 2 8 8" xfId="34287" xr:uid="{00000000-0005-0000-0000-0000DF380000}"/>
    <cellStyle name="20% - Accent5 2 3 2 8 9" xfId="39764" xr:uid="{00000000-0005-0000-0000-0000E0380000}"/>
    <cellStyle name="20% - Accent5 2 3 2 9" xfId="1589" xr:uid="{00000000-0005-0000-0000-0000E1380000}"/>
    <cellStyle name="20% - Accent5 2 3 2 9 10" xfId="45242" xr:uid="{00000000-0005-0000-0000-0000E2380000}"/>
    <cellStyle name="20% - Accent5 2 3 2 9 11" xfId="50720" xr:uid="{00000000-0005-0000-0000-0000E3380000}"/>
    <cellStyle name="20% - Accent5 2 3 2 9 2" xfId="3350" xr:uid="{00000000-0005-0000-0000-0000E4380000}"/>
    <cellStyle name="20% - Accent5 2 3 2 9 2 2" xfId="8830" xr:uid="{00000000-0005-0000-0000-0000E5380000}"/>
    <cellStyle name="20% - Accent5 2 3 2 9 2 3" xfId="14306" xr:uid="{00000000-0005-0000-0000-0000E6380000}"/>
    <cellStyle name="20% - Accent5 2 3 2 9 2 4" xfId="19782" xr:uid="{00000000-0005-0000-0000-0000E7380000}"/>
    <cellStyle name="20% - Accent5 2 3 2 9 2 5" xfId="25258" xr:uid="{00000000-0005-0000-0000-0000E8380000}"/>
    <cellStyle name="20% - Accent5 2 3 2 9 2 6" xfId="37054" xr:uid="{00000000-0005-0000-0000-0000E9380000}"/>
    <cellStyle name="20% - Accent5 2 3 2 9 2 7" xfId="42531" xr:uid="{00000000-0005-0000-0000-0000EA380000}"/>
    <cellStyle name="20% - Accent5 2 3 2 9 2 8" xfId="48008" xr:uid="{00000000-0005-0000-0000-0000EB380000}"/>
    <cellStyle name="20% - Accent5 2 3 2 9 2 9" xfId="53526" xr:uid="{00000000-0005-0000-0000-0000EC380000}"/>
    <cellStyle name="20% - Accent5 2 3 2 9 3" xfId="5122" xr:uid="{00000000-0005-0000-0000-0000ED380000}"/>
    <cellStyle name="20% - Accent5 2 3 2 9 3 2" xfId="10602" xr:uid="{00000000-0005-0000-0000-0000EE380000}"/>
    <cellStyle name="20% - Accent5 2 3 2 9 3 3" xfId="16078" xr:uid="{00000000-0005-0000-0000-0000EF380000}"/>
    <cellStyle name="20% - Accent5 2 3 2 9 3 4" xfId="21554" xr:uid="{00000000-0005-0000-0000-0000F0380000}"/>
    <cellStyle name="20% - Accent5 2 3 2 9 3 5" xfId="27030" xr:uid="{00000000-0005-0000-0000-0000F1380000}"/>
    <cellStyle name="20% - Accent5 2 3 2 9 3 6" xfId="38826" xr:uid="{00000000-0005-0000-0000-0000F2380000}"/>
    <cellStyle name="20% - Accent5 2 3 2 9 3 7" xfId="44303" xr:uid="{00000000-0005-0000-0000-0000F3380000}"/>
    <cellStyle name="20% - Accent5 2 3 2 9 3 8" xfId="49780" xr:uid="{00000000-0005-0000-0000-0000F4380000}"/>
    <cellStyle name="20% - Accent5 2 3 2 9 3 9" xfId="55298" xr:uid="{00000000-0005-0000-0000-0000F5380000}"/>
    <cellStyle name="20% - Accent5 2 3 2 9 4" xfId="6061" xr:uid="{00000000-0005-0000-0000-0000F6380000}"/>
    <cellStyle name="20% - Accent5 2 3 2 9 5" xfId="11541" xr:uid="{00000000-0005-0000-0000-0000F7380000}"/>
    <cellStyle name="20% - Accent5 2 3 2 9 6" xfId="17017" xr:uid="{00000000-0005-0000-0000-0000F8380000}"/>
    <cellStyle name="20% - Accent5 2 3 2 9 7" xfId="22493" xr:uid="{00000000-0005-0000-0000-0000F9380000}"/>
    <cellStyle name="20% - Accent5 2 3 2 9 8" xfId="34288" xr:uid="{00000000-0005-0000-0000-0000FA380000}"/>
    <cellStyle name="20% - Accent5 2 3 2 9 9" xfId="39765" xr:uid="{00000000-0005-0000-0000-0000FB380000}"/>
    <cellStyle name="20% - Accent5 2 3 20" xfId="39753" xr:uid="{00000000-0005-0000-0000-0000FC380000}"/>
    <cellStyle name="20% - Accent5 2 3 21" xfId="45230" xr:uid="{00000000-0005-0000-0000-0000FD380000}"/>
    <cellStyle name="20% - Accent5 2 3 22" xfId="50708" xr:uid="{00000000-0005-0000-0000-0000FE380000}"/>
    <cellStyle name="20% - Accent5 2 3 3" xfId="321" xr:uid="{00000000-0005-0000-0000-0000FF380000}"/>
    <cellStyle name="20% - Accent5 2 3 3 10" xfId="39766" xr:uid="{00000000-0005-0000-0000-000000390000}"/>
    <cellStyle name="20% - Accent5 2 3 3 11" xfId="45243" xr:uid="{00000000-0005-0000-0000-000001390000}"/>
    <cellStyle name="20% - Accent5 2 3 3 12" xfId="50721" xr:uid="{00000000-0005-0000-0000-000002390000}"/>
    <cellStyle name="20% - Accent5 2 3 3 2" xfId="2119" xr:uid="{00000000-0005-0000-0000-000003390000}"/>
    <cellStyle name="20% - Accent5 2 3 3 2 2" xfId="7599" xr:uid="{00000000-0005-0000-0000-000004390000}"/>
    <cellStyle name="20% - Accent5 2 3 3 2 3" xfId="13075" xr:uid="{00000000-0005-0000-0000-000005390000}"/>
    <cellStyle name="20% - Accent5 2 3 3 2 4" xfId="18551" xr:uid="{00000000-0005-0000-0000-000006390000}"/>
    <cellStyle name="20% - Accent5 2 3 3 2 5" xfId="24027" xr:uid="{00000000-0005-0000-0000-000007390000}"/>
    <cellStyle name="20% - Accent5 2 3 3 2 6" xfId="35823" xr:uid="{00000000-0005-0000-0000-000008390000}"/>
    <cellStyle name="20% - Accent5 2 3 3 2 7" xfId="41300" xr:uid="{00000000-0005-0000-0000-000009390000}"/>
    <cellStyle name="20% - Accent5 2 3 3 2 8" xfId="46777" xr:uid="{00000000-0005-0000-0000-00000A390000}"/>
    <cellStyle name="20% - Accent5 2 3 3 2 9" xfId="52295" xr:uid="{00000000-0005-0000-0000-00000B390000}"/>
    <cellStyle name="20% - Accent5 2 3 3 3" xfId="3883" xr:uid="{00000000-0005-0000-0000-00000C390000}"/>
    <cellStyle name="20% - Accent5 2 3 3 3 2" xfId="9363" xr:uid="{00000000-0005-0000-0000-00000D390000}"/>
    <cellStyle name="20% - Accent5 2 3 3 3 3" xfId="14839" xr:uid="{00000000-0005-0000-0000-00000E390000}"/>
    <cellStyle name="20% - Accent5 2 3 3 3 4" xfId="20315" xr:uid="{00000000-0005-0000-0000-00000F390000}"/>
    <cellStyle name="20% - Accent5 2 3 3 3 5" xfId="25791" xr:uid="{00000000-0005-0000-0000-000010390000}"/>
    <cellStyle name="20% - Accent5 2 3 3 3 6" xfId="37587" xr:uid="{00000000-0005-0000-0000-000011390000}"/>
    <cellStyle name="20% - Accent5 2 3 3 3 7" xfId="43064" xr:uid="{00000000-0005-0000-0000-000012390000}"/>
    <cellStyle name="20% - Accent5 2 3 3 3 8" xfId="48541" xr:uid="{00000000-0005-0000-0000-000013390000}"/>
    <cellStyle name="20% - Accent5 2 3 3 3 9" xfId="54059" xr:uid="{00000000-0005-0000-0000-000014390000}"/>
    <cellStyle name="20% - Accent5 2 3 3 4" xfId="6062" xr:uid="{00000000-0005-0000-0000-000015390000}"/>
    <cellStyle name="20% - Accent5 2 3 3 5" xfId="11542" xr:uid="{00000000-0005-0000-0000-000016390000}"/>
    <cellStyle name="20% - Accent5 2 3 3 6" xfId="17018" xr:uid="{00000000-0005-0000-0000-000017390000}"/>
    <cellStyle name="20% - Accent5 2 3 3 7" xfId="22494" xr:uid="{00000000-0005-0000-0000-000018390000}"/>
    <cellStyle name="20% - Accent5 2 3 3 8" xfId="29524" xr:uid="{00000000-0005-0000-0000-000019390000}"/>
    <cellStyle name="20% - Accent5 2 3 3 9" xfId="34289" xr:uid="{00000000-0005-0000-0000-00001A390000}"/>
    <cellStyle name="20% - Accent5 2 3 4" xfId="522" xr:uid="{00000000-0005-0000-0000-00001B390000}"/>
    <cellStyle name="20% - Accent5 2 3 4 10" xfId="45244" xr:uid="{00000000-0005-0000-0000-00001C390000}"/>
    <cellStyle name="20% - Accent5 2 3 4 11" xfId="50722" xr:uid="{00000000-0005-0000-0000-00001D390000}"/>
    <cellStyle name="20% - Accent5 2 3 4 2" xfId="2283" xr:uid="{00000000-0005-0000-0000-00001E390000}"/>
    <cellStyle name="20% - Accent5 2 3 4 2 2" xfId="7763" xr:uid="{00000000-0005-0000-0000-00001F390000}"/>
    <cellStyle name="20% - Accent5 2 3 4 2 3" xfId="13239" xr:uid="{00000000-0005-0000-0000-000020390000}"/>
    <cellStyle name="20% - Accent5 2 3 4 2 4" xfId="18715" xr:uid="{00000000-0005-0000-0000-000021390000}"/>
    <cellStyle name="20% - Accent5 2 3 4 2 5" xfId="24191" xr:uid="{00000000-0005-0000-0000-000022390000}"/>
    <cellStyle name="20% - Accent5 2 3 4 2 6" xfId="35987" xr:uid="{00000000-0005-0000-0000-000023390000}"/>
    <cellStyle name="20% - Accent5 2 3 4 2 7" xfId="41464" xr:uid="{00000000-0005-0000-0000-000024390000}"/>
    <cellStyle name="20% - Accent5 2 3 4 2 8" xfId="46941" xr:uid="{00000000-0005-0000-0000-000025390000}"/>
    <cellStyle name="20% - Accent5 2 3 4 2 9" xfId="52459" xr:uid="{00000000-0005-0000-0000-000026390000}"/>
    <cellStyle name="20% - Accent5 2 3 4 3" xfId="4055" xr:uid="{00000000-0005-0000-0000-000027390000}"/>
    <cellStyle name="20% - Accent5 2 3 4 3 2" xfId="9535" xr:uid="{00000000-0005-0000-0000-000028390000}"/>
    <cellStyle name="20% - Accent5 2 3 4 3 3" xfId="15011" xr:uid="{00000000-0005-0000-0000-000029390000}"/>
    <cellStyle name="20% - Accent5 2 3 4 3 4" xfId="20487" xr:uid="{00000000-0005-0000-0000-00002A390000}"/>
    <cellStyle name="20% - Accent5 2 3 4 3 5" xfId="25963" xr:uid="{00000000-0005-0000-0000-00002B390000}"/>
    <cellStyle name="20% - Accent5 2 3 4 3 6" xfId="37759" xr:uid="{00000000-0005-0000-0000-00002C390000}"/>
    <cellStyle name="20% - Accent5 2 3 4 3 7" xfId="43236" xr:uid="{00000000-0005-0000-0000-00002D390000}"/>
    <cellStyle name="20% - Accent5 2 3 4 3 8" xfId="48713" xr:uid="{00000000-0005-0000-0000-00002E390000}"/>
    <cellStyle name="20% - Accent5 2 3 4 3 9" xfId="54231" xr:uid="{00000000-0005-0000-0000-00002F390000}"/>
    <cellStyle name="20% - Accent5 2 3 4 4" xfId="6063" xr:uid="{00000000-0005-0000-0000-000030390000}"/>
    <cellStyle name="20% - Accent5 2 3 4 5" xfId="11543" xr:uid="{00000000-0005-0000-0000-000031390000}"/>
    <cellStyle name="20% - Accent5 2 3 4 6" xfId="17019" xr:uid="{00000000-0005-0000-0000-000032390000}"/>
    <cellStyle name="20% - Accent5 2 3 4 7" xfId="22495" xr:uid="{00000000-0005-0000-0000-000033390000}"/>
    <cellStyle name="20% - Accent5 2 3 4 8" xfId="34290" xr:uid="{00000000-0005-0000-0000-000034390000}"/>
    <cellStyle name="20% - Accent5 2 3 4 9" xfId="39767" xr:uid="{00000000-0005-0000-0000-000035390000}"/>
    <cellStyle name="20% - Accent5 2 3 5" xfId="694" xr:uid="{00000000-0005-0000-0000-000036390000}"/>
    <cellStyle name="20% - Accent5 2 3 5 10" xfId="45245" xr:uid="{00000000-0005-0000-0000-000037390000}"/>
    <cellStyle name="20% - Accent5 2 3 5 11" xfId="50723" xr:uid="{00000000-0005-0000-0000-000038390000}"/>
    <cellStyle name="20% - Accent5 2 3 5 2" xfId="2455" xr:uid="{00000000-0005-0000-0000-000039390000}"/>
    <cellStyle name="20% - Accent5 2 3 5 2 2" xfId="7935" xr:uid="{00000000-0005-0000-0000-00003A390000}"/>
    <cellStyle name="20% - Accent5 2 3 5 2 3" xfId="13411" xr:uid="{00000000-0005-0000-0000-00003B390000}"/>
    <cellStyle name="20% - Accent5 2 3 5 2 4" xfId="18887" xr:uid="{00000000-0005-0000-0000-00003C390000}"/>
    <cellStyle name="20% - Accent5 2 3 5 2 5" xfId="24363" xr:uid="{00000000-0005-0000-0000-00003D390000}"/>
    <cellStyle name="20% - Accent5 2 3 5 2 6" xfId="36159" xr:uid="{00000000-0005-0000-0000-00003E390000}"/>
    <cellStyle name="20% - Accent5 2 3 5 2 7" xfId="41636" xr:uid="{00000000-0005-0000-0000-00003F390000}"/>
    <cellStyle name="20% - Accent5 2 3 5 2 8" xfId="47113" xr:uid="{00000000-0005-0000-0000-000040390000}"/>
    <cellStyle name="20% - Accent5 2 3 5 2 9" xfId="52631" xr:uid="{00000000-0005-0000-0000-000041390000}"/>
    <cellStyle name="20% - Accent5 2 3 5 3" xfId="4227" xr:uid="{00000000-0005-0000-0000-000042390000}"/>
    <cellStyle name="20% - Accent5 2 3 5 3 2" xfId="9707" xr:uid="{00000000-0005-0000-0000-000043390000}"/>
    <cellStyle name="20% - Accent5 2 3 5 3 3" xfId="15183" xr:uid="{00000000-0005-0000-0000-000044390000}"/>
    <cellStyle name="20% - Accent5 2 3 5 3 4" xfId="20659" xr:uid="{00000000-0005-0000-0000-000045390000}"/>
    <cellStyle name="20% - Accent5 2 3 5 3 5" xfId="26135" xr:uid="{00000000-0005-0000-0000-000046390000}"/>
    <cellStyle name="20% - Accent5 2 3 5 3 6" xfId="37931" xr:uid="{00000000-0005-0000-0000-000047390000}"/>
    <cellStyle name="20% - Accent5 2 3 5 3 7" xfId="43408" xr:uid="{00000000-0005-0000-0000-000048390000}"/>
    <cellStyle name="20% - Accent5 2 3 5 3 8" xfId="48885" xr:uid="{00000000-0005-0000-0000-000049390000}"/>
    <cellStyle name="20% - Accent5 2 3 5 3 9" xfId="54403" xr:uid="{00000000-0005-0000-0000-00004A390000}"/>
    <cellStyle name="20% - Accent5 2 3 5 4" xfId="6064" xr:uid="{00000000-0005-0000-0000-00004B390000}"/>
    <cellStyle name="20% - Accent5 2 3 5 5" xfId="11544" xr:uid="{00000000-0005-0000-0000-00004C390000}"/>
    <cellStyle name="20% - Accent5 2 3 5 6" xfId="17020" xr:uid="{00000000-0005-0000-0000-00004D390000}"/>
    <cellStyle name="20% - Accent5 2 3 5 7" xfId="22496" xr:uid="{00000000-0005-0000-0000-00004E390000}"/>
    <cellStyle name="20% - Accent5 2 3 5 8" xfId="34291" xr:uid="{00000000-0005-0000-0000-00004F390000}"/>
    <cellStyle name="20% - Accent5 2 3 5 9" xfId="39768" xr:uid="{00000000-0005-0000-0000-000050390000}"/>
    <cellStyle name="20% - Accent5 2 3 6" xfId="866" xr:uid="{00000000-0005-0000-0000-000051390000}"/>
    <cellStyle name="20% - Accent5 2 3 6 10" xfId="45246" xr:uid="{00000000-0005-0000-0000-000052390000}"/>
    <cellStyle name="20% - Accent5 2 3 6 11" xfId="50724" xr:uid="{00000000-0005-0000-0000-000053390000}"/>
    <cellStyle name="20% - Accent5 2 3 6 2" xfId="2627" xr:uid="{00000000-0005-0000-0000-000054390000}"/>
    <cellStyle name="20% - Accent5 2 3 6 2 2" xfId="8107" xr:uid="{00000000-0005-0000-0000-000055390000}"/>
    <cellStyle name="20% - Accent5 2 3 6 2 3" xfId="13583" xr:uid="{00000000-0005-0000-0000-000056390000}"/>
    <cellStyle name="20% - Accent5 2 3 6 2 4" xfId="19059" xr:uid="{00000000-0005-0000-0000-000057390000}"/>
    <cellStyle name="20% - Accent5 2 3 6 2 5" xfId="24535" xr:uid="{00000000-0005-0000-0000-000058390000}"/>
    <cellStyle name="20% - Accent5 2 3 6 2 6" xfId="36331" xr:uid="{00000000-0005-0000-0000-000059390000}"/>
    <cellStyle name="20% - Accent5 2 3 6 2 7" xfId="41808" xr:uid="{00000000-0005-0000-0000-00005A390000}"/>
    <cellStyle name="20% - Accent5 2 3 6 2 8" xfId="47285" xr:uid="{00000000-0005-0000-0000-00005B390000}"/>
    <cellStyle name="20% - Accent5 2 3 6 2 9" xfId="52803" xr:uid="{00000000-0005-0000-0000-00005C390000}"/>
    <cellStyle name="20% - Accent5 2 3 6 3" xfId="4399" xr:uid="{00000000-0005-0000-0000-00005D390000}"/>
    <cellStyle name="20% - Accent5 2 3 6 3 2" xfId="9879" xr:uid="{00000000-0005-0000-0000-00005E390000}"/>
    <cellStyle name="20% - Accent5 2 3 6 3 3" xfId="15355" xr:uid="{00000000-0005-0000-0000-00005F390000}"/>
    <cellStyle name="20% - Accent5 2 3 6 3 4" xfId="20831" xr:uid="{00000000-0005-0000-0000-000060390000}"/>
    <cellStyle name="20% - Accent5 2 3 6 3 5" xfId="26307" xr:uid="{00000000-0005-0000-0000-000061390000}"/>
    <cellStyle name="20% - Accent5 2 3 6 3 6" xfId="38103" xr:uid="{00000000-0005-0000-0000-000062390000}"/>
    <cellStyle name="20% - Accent5 2 3 6 3 7" xfId="43580" xr:uid="{00000000-0005-0000-0000-000063390000}"/>
    <cellStyle name="20% - Accent5 2 3 6 3 8" xfId="49057" xr:uid="{00000000-0005-0000-0000-000064390000}"/>
    <cellStyle name="20% - Accent5 2 3 6 3 9" xfId="54575" xr:uid="{00000000-0005-0000-0000-000065390000}"/>
    <cellStyle name="20% - Accent5 2 3 6 4" xfId="6065" xr:uid="{00000000-0005-0000-0000-000066390000}"/>
    <cellStyle name="20% - Accent5 2 3 6 5" xfId="11545" xr:uid="{00000000-0005-0000-0000-000067390000}"/>
    <cellStyle name="20% - Accent5 2 3 6 6" xfId="17021" xr:uid="{00000000-0005-0000-0000-000068390000}"/>
    <cellStyle name="20% - Accent5 2 3 6 7" xfId="22497" xr:uid="{00000000-0005-0000-0000-000069390000}"/>
    <cellStyle name="20% - Accent5 2 3 6 8" xfId="34292" xr:uid="{00000000-0005-0000-0000-00006A390000}"/>
    <cellStyle name="20% - Accent5 2 3 6 9" xfId="39769" xr:uid="{00000000-0005-0000-0000-00006B390000}"/>
    <cellStyle name="20% - Accent5 2 3 7" xfId="1072" xr:uid="{00000000-0005-0000-0000-00006C390000}"/>
    <cellStyle name="20% - Accent5 2 3 7 10" xfId="45247" xr:uid="{00000000-0005-0000-0000-00006D390000}"/>
    <cellStyle name="20% - Accent5 2 3 7 11" xfId="50725" xr:uid="{00000000-0005-0000-0000-00006E390000}"/>
    <cellStyle name="20% - Accent5 2 3 7 2" xfId="2833" xr:uid="{00000000-0005-0000-0000-00006F390000}"/>
    <cellStyle name="20% - Accent5 2 3 7 2 2" xfId="8313" xr:uid="{00000000-0005-0000-0000-000070390000}"/>
    <cellStyle name="20% - Accent5 2 3 7 2 3" xfId="13789" xr:uid="{00000000-0005-0000-0000-000071390000}"/>
    <cellStyle name="20% - Accent5 2 3 7 2 4" xfId="19265" xr:uid="{00000000-0005-0000-0000-000072390000}"/>
    <cellStyle name="20% - Accent5 2 3 7 2 5" xfId="24741" xr:uid="{00000000-0005-0000-0000-000073390000}"/>
    <cellStyle name="20% - Accent5 2 3 7 2 6" xfId="36537" xr:uid="{00000000-0005-0000-0000-000074390000}"/>
    <cellStyle name="20% - Accent5 2 3 7 2 7" xfId="42014" xr:uid="{00000000-0005-0000-0000-000075390000}"/>
    <cellStyle name="20% - Accent5 2 3 7 2 8" xfId="47491" xr:uid="{00000000-0005-0000-0000-000076390000}"/>
    <cellStyle name="20% - Accent5 2 3 7 2 9" xfId="53009" xr:uid="{00000000-0005-0000-0000-000077390000}"/>
    <cellStyle name="20% - Accent5 2 3 7 3" xfId="4605" xr:uid="{00000000-0005-0000-0000-000078390000}"/>
    <cellStyle name="20% - Accent5 2 3 7 3 2" xfId="10085" xr:uid="{00000000-0005-0000-0000-000079390000}"/>
    <cellStyle name="20% - Accent5 2 3 7 3 3" xfId="15561" xr:uid="{00000000-0005-0000-0000-00007A390000}"/>
    <cellStyle name="20% - Accent5 2 3 7 3 4" xfId="21037" xr:uid="{00000000-0005-0000-0000-00007B390000}"/>
    <cellStyle name="20% - Accent5 2 3 7 3 5" xfId="26513" xr:uid="{00000000-0005-0000-0000-00007C390000}"/>
    <cellStyle name="20% - Accent5 2 3 7 3 6" xfId="38309" xr:uid="{00000000-0005-0000-0000-00007D390000}"/>
    <cellStyle name="20% - Accent5 2 3 7 3 7" xfId="43786" xr:uid="{00000000-0005-0000-0000-00007E390000}"/>
    <cellStyle name="20% - Accent5 2 3 7 3 8" xfId="49263" xr:uid="{00000000-0005-0000-0000-00007F390000}"/>
    <cellStyle name="20% - Accent5 2 3 7 3 9" xfId="54781" xr:uid="{00000000-0005-0000-0000-000080390000}"/>
    <cellStyle name="20% - Accent5 2 3 7 4" xfId="6066" xr:uid="{00000000-0005-0000-0000-000081390000}"/>
    <cellStyle name="20% - Accent5 2 3 7 5" xfId="11546" xr:uid="{00000000-0005-0000-0000-000082390000}"/>
    <cellStyle name="20% - Accent5 2 3 7 6" xfId="17022" xr:uid="{00000000-0005-0000-0000-000083390000}"/>
    <cellStyle name="20% - Accent5 2 3 7 7" xfId="22498" xr:uid="{00000000-0005-0000-0000-000084390000}"/>
    <cellStyle name="20% - Accent5 2 3 7 8" xfId="34293" xr:uid="{00000000-0005-0000-0000-000085390000}"/>
    <cellStyle name="20% - Accent5 2 3 7 9" xfId="39770" xr:uid="{00000000-0005-0000-0000-000086390000}"/>
    <cellStyle name="20% - Accent5 2 3 8" xfId="1244" xr:uid="{00000000-0005-0000-0000-000087390000}"/>
    <cellStyle name="20% - Accent5 2 3 8 10" xfId="45248" xr:uid="{00000000-0005-0000-0000-000088390000}"/>
    <cellStyle name="20% - Accent5 2 3 8 11" xfId="50726" xr:uid="{00000000-0005-0000-0000-000089390000}"/>
    <cellStyle name="20% - Accent5 2 3 8 2" xfId="3005" xr:uid="{00000000-0005-0000-0000-00008A390000}"/>
    <cellStyle name="20% - Accent5 2 3 8 2 2" xfId="8485" xr:uid="{00000000-0005-0000-0000-00008B390000}"/>
    <cellStyle name="20% - Accent5 2 3 8 2 3" xfId="13961" xr:uid="{00000000-0005-0000-0000-00008C390000}"/>
    <cellStyle name="20% - Accent5 2 3 8 2 4" xfId="19437" xr:uid="{00000000-0005-0000-0000-00008D390000}"/>
    <cellStyle name="20% - Accent5 2 3 8 2 5" xfId="24913" xr:uid="{00000000-0005-0000-0000-00008E390000}"/>
    <cellStyle name="20% - Accent5 2 3 8 2 6" xfId="36709" xr:uid="{00000000-0005-0000-0000-00008F390000}"/>
    <cellStyle name="20% - Accent5 2 3 8 2 7" xfId="42186" xr:uid="{00000000-0005-0000-0000-000090390000}"/>
    <cellStyle name="20% - Accent5 2 3 8 2 8" xfId="47663" xr:uid="{00000000-0005-0000-0000-000091390000}"/>
    <cellStyle name="20% - Accent5 2 3 8 2 9" xfId="53181" xr:uid="{00000000-0005-0000-0000-000092390000}"/>
    <cellStyle name="20% - Accent5 2 3 8 3" xfId="4777" xr:uid="{00000000-0005-0000-0000-000093390000}"/>
    <cellStyle name="20% - Accent5 2 3 8 3 2" xfId="10257" xr:uid="{00000000-0005-0000-0000-000094390000}"/>
    <cellStyle name="20% - Accent5 2 3 8 3 3" xfId="15733" xr:uid="{00000000-0005-0000-0000-000095390000}"/>
    <cellStyle name="20% - Accent5 2 3 8 3 4" xfId="21209" xr:uid="{00000000-0005-0000-0000-000096390000}"/>
    <cellStyle name="20% - Accent5 2 3 8 3 5" xfId="26685" xr:uid="{00000000-0005-0000-0000-000097390000}"/>
    <cellStyle name="20% - Accent5 2 3 8 3 6" xfId="38481" xr:uid="{00000000-0005-0000-0000-000098390000}"/>
    <cellStyle name="20% - Accent5 2 3 8 3 7" xfId="43958" xr:uid="{00000000-0005-0000-0000-000099390000}"/>
    <cellStyle name="20% - Accent5 2 3 8 3 8" xfId="49435" xr:uid="{00000000-0005-0000-0000-00009A390000}"/>
    <cellStyle name="20% - Accent5 2 3 8 3 9" xfId="54953" xr:uid="{00000000-0005-0000-0000-00009B390000}"/>
    <cellStyle name="20% - Accent5 2 3 8 4" xfId="6067" xr:uid="{00000000-0005-0000-0000-00009C390000}"/>
    <cellStyle name="20% - Accent5 2 3 8 5" xfId="11547" xr:uid="{00000000-0005-0000-0000-00009D390000}"/>
    <cellStyle name="20% - Accent5 2 3 8 6" xfId="17023" xr:uid="{00000000-0005-0000-0000-00009E390000}"/>
    <cellStyle name="20% - Accent5 2 3 8 7" xfId="22499" xr:uid="{00000000-0005-0000-0000-00009F390000}"/>
    <cellStyle name="20% - Accent5 2 3 8 8" xfId="34294" xr:uid="{00000000-0005-0000-0000-0000A0390000}"/>
    <cellStyle name="20% - Accent5 2 3 8 9" xfId="39771" xr:uid="{00000000-0005-0000-0000-0000A1390000}"/>
    <cellStyle name="20% - Accent5 2 3 9" xfId="1416" xr:uid="{00000000-0005-0000-0000-0000A2390000}"/>
    <cellStyle name="20% - Accent5 2 3 9 10" xfId="45249" xr:uid="{00000000-0005-0000-0000-0000A3390000}"/>
    <cellStyle name="20% - Accent5 2 3 9 11" xfId="50727" xr:uid="{00000000-0005-0000-0000-0000A4390000}"/>
    <cellStyle name="20% - Accent5 2 3 9 2" xfId="3177" xr:uid="{00000000-0005-0000-0000-0000A5390000}"/>
    <cellStyle name="20% - Accent5 2 3 9 2 2" xfId="8657" xr:uid="{00000000-0005-0000-0000-0000A6390000}"/>
    <cellStyle name="20% - Accent5 2 3 9 2 3" xfId="14133" xr:uid="{00000000-0005-0000-0000-0000A7390000}"/>
    <cellStyle name="20% - Accent5 2 3 9 2 4" xfId="19609" xr:uid="{00000000-0005-0000-0000-0000A8390000}"/>
    <cellStyle name="20% - Accent5 2 3 9 2 5" xfId="25085" xr:uid="{00000000-0005-0000-0000-0000A9390000}"/>
    <cellStyle name="20% - Accent5 2 3 9 2 6" xfId="36881" xr:uid="{00000000-0005-0000-0000-0000AA390000}"/>
    <cellStyle name="20% - Accent5 2 3 9 2 7" xfId="42358" xr:uid="{00000000-0005-0000-0000-0000AB390000}"/>
    <cellStyle name="20% - Accent5 2 3 9 2 8" xfId="47835" xr:uid="{00000000-0005-0000-0000-0000AC390000}"/>
    <cellStyle name="20% - Accent5 2 3 9 2 9" xfId="53353" xr:uid="{00000000-0005-0000-0000-0000AD390000}"/>
    <cellStyle name="20% - Accent5 2 3 9 3" xfId="4949" xr:uid="{00000000-0005-0000-0000-0000AE390000}"/>
    <cellStyle name="20% - Accent5 2 3 9 3 2" xfId="10429" xr:uid="{00000000-0005-0000-0000-0000AF390000}"/>
    <cellStyle name="20% - Accent5 2 3 9 3 3" xfId="15905" xr:uid="{00000000-0005-0000-0000-0000B0390000}"/>
    <cellStyle name="20% - Accent5 2 3 9 3 4" xfId="21381" xr:uid="{00000000-0005-0000-0000-0000B1390000}"/>
    <cellStyle name="20% - Accent5 2 3 9 3 5" xfId="26857" xr:uid="{00000000-0005-0000-0000-0000B2390000}"/>
    <cellStyle name="20% - Accent5 2 3 9 3 6" xfId="38653" xr:uid="{00000000-0005-0000-0000-0000B3390000}"/>
    <cellStyle name="20% - Accent5 2 3 9 3 7" xfId="44130" xr:uid="{00000000-0005-0000-0000-0000B4390000}"/>
    <cellStyle name="20% - Accent5 2 3 9 3 8" xfId="49607" xr:uid="{00000000-0005-0000-0000-0000B5390000}"/>
    <cellStyle name="20% - Accent5 2 3 9 3 9" xfId="55125" xr:uid="{00000000-0005-0000-0000-0000B6390000}"/>
    <cellStyle name="20% - Accent5 2 3 9 4" xfId="6068" xr:uid="{00000000-0005-0000-0000-0000B7390000}"/>
    <cellStyle name="20% - Accent5 2 3 9 5" xfId="11548" xr:uid="{00000000-0005-0000-0000-0000B8390000}"/>
    <cellStyle name="20% - Accent5 2 3 9 6" xfId="17024" xr:uid="{00000000-0005-0000-0000-0000B9390000}"/>
    <cellStyle name="20% - Accent5 2 3 9 7" xfId="22500" xr:uid="{00000000-0005-0000-0000-0000BA390000}"/>
    <cellStyle name="20% - Accent5 2 3 9 8" xfId="34295" xr:uid="{00000000-0005-0000-0000-0000BB390000}"/>
    <cellStyle name="20% - Accent5 2 3 9 9" xfId="39772" xr:uid="{00000000-0005-0000-0000-0000BC390000}"/>
    <cellStyle name="20% - Accent5 2 4" xfId="168" xr:uid="{00000000-0005-0000-0000-0000BD390000}"/>
    <cellStyle name="20% - Accent5 2 4 10" xfId="1590" xr:uid="{00000000-0005-0000-0000-0000BE390000}"/>
    <cellStyle name="20% - Accent5 2 4 10 10" xfId="45251" xr:uid="{00000000-0005-0000-0000-0000BF390000}"/>
    <cellStyle name="20% - Accent5 2 4 10 11" xfId="50729" xr:uid="{00000000-0005-0000-0000-0000C0390000}"/>
    <cellStyle name="20% - Accent5 2 4 10 2" xfId="3351" xr:uid="{00000000-0005-0000-0000-0000C1390000}"/>
    <cellStyle name="20% - Accent5 2 4 10 2 2" xfId="8831" xr:uid="{00000000-0005-0000-0000-0000C2390000}"/>
    <cellStyle name="20% - Accent5 2 4 10 2 3" xfId="14307" xr:uid="{00000000-0005-0000-0000-0000C3390000}"/>
    <cellStyle name="20% - Accent5 2 4 10 2 4" xfId="19783" xr:uid="{00000000-0005-0000-0000-0000C4390000}"/>
    <cellStyle name="20% - Accent5 2 4 10 2 5" xfId="25259" xr:uid="{00000000-0005-0000-0000-0000C5390000}"/>
    <cellStyle name="20% - Accent5 2 4 10 2 6" xfId="37055" xr:uid="{00000000-0005-0000-0000-0000C6390000}"/>
    <cellStyle name="20% - Accent5 2 4 10 2 7" xfId="42532" xr:uid="{00000000-0005-0000-0000-0000C7390000}"/>
    <cellStyle name="20% - Accent5 2 4 10 2 8" xfId="48009" xr:uid="{00000000-0005-0000-0000-0000C8390000}"/>
    <cellStyle name="20% - Accent5 2 4 10 2 9" xfId="53527" xr:uid="{00000000-0005-0000-0000-0000C9390000}"/>
    <cellStyle name="20% - Accent5 2 4 10 3" xfId="5123" xr:uid="{00000000-0005-0000-0000-0000CA390000}"/>
    <cellStyle name="20% - Accent5 2 4 10 3 2" xfId="10603" xr:uid="{00000000-0005-0000-0000-0000CB390000}"/>
    <cellStyle name="20% - Accent5 2 4 10 3 3" xfId="16079" xr:uid="{00000000-0005-0000-0000-0000CC390000}"/>
    <cellStyle name="20% - Accent5 2 4 10 3 4" xfId="21555" xr:uid="{00000000-0005-0000-0000-0000CD390000}"/>
    <cellStyle name="20% - Accent5 2 4 10 3 5" xfId="27031" xr:uid="{00000000-0005-0000-0000-0000CE390000}"/>
    <cellStyle name="20% - Accent5 2 4 10 3 6" xfId="38827" xr:uid="{00000000-0005-0000-0000-0000CF390000}"/>
    <cellStyle name="20% - Accent5 2 4 10 3 7" xfId="44304" xr:uid="{00000000-0005-0000-0000-0000D0390000}"/>
    <cellStyle name="20% - Accent5 2 4 10 3 8" xfId="49781" xr:uid="{00000000-0005-0000-0000-0000D1390000}"/>
    <cellStyle name="20% - Accent5 2 4 10 3 9" xfId="55299" xr:uid="{00000000-0005-0000-0000-0000D2390000}"/>
    <cellStyle name="20% - Accent5 2 4 10 4" xfId="6070" xr:uid="{00000000-0005-0000-0000-0000D3390000}"/>
    <cellStyle name="20% - Accent5 2 4 10 5" xfId="11550" xr:uid="{00000000-0005-0000-0000-0000D4390000}"/>
    <cellStyle name="20% - Accent5 2 4 10 6" xfId="17026" xr:uid="{00000000-0005-0000-0000-0000D5390000}"/>
    <cellStyle name="20% - Accent5 2 4 10 7" xfId="22502" xr:uid="{00000000-0005-0000-0000-0000D6390000}"/>
    <cellStyle name="20% - Accent5 2 4 10 8" xfId="34297" xr:uid="{00000000-0005-0000-0000-0000D7390000}"/>
    <cellStyle name="20% - Accent5 2 4 10 9" xfId="39774" xr:uid="{00000000-0005-0000-0000-0000D8390000}"/>
    <cellStyle name="20% - Accent5 2 4 11" xfId="1766" xr:uid="{00000000-0005-0000-0000-0000D9390000}"/>
    <cellStyle name="20% - Accent5 2 4 11 10" xfId="45252" xr:uid="{00000000-0005-0000-0000-0000DA390000}"/>
    <cellStyle name="20% - Accent5 2 4 11 11" xfId="50730" xr:uid="{00000000-0005-0000-0000-0000DB390000}"/>
    <cellStyle name="20% - Accent5 2 4 11 2" xfId="3527" xr:uid="{00000000-0005-0000-0000-0000DC390000}"/>
    <cellStyle name="20% - Accent5 2 4 11 2 2" xfId="9007" xr:uid="{00000000-0005-0000-0000-0000DD390000}"/>
    <cellStyle name="20% - Accent5 2 4 11 2 3" xfId="14483" xr:uid="{00000000-0005-0000-0000-0000DE390000}"/>
    <cellStyle name="20% - Accent5 2 4 11 2 4" xfId="19959" xr:uid="{00000000-0005-0000-0000-0000DF390000}"/>
    <cellStyle name="20% - Accent5 2 4 11 2 5" xfId="25435" xr:uid="{00000000-0005-0000-0000-0000E0390000}"/>
    <cellStyle name="20% - Accent5 2 4 11 2 6" xfId="37231" xr:uid="{00000000-0005-0000-0000-0000E1390000}"/>
    <cellStyle name="20% - Accent5 2 4 11 2 7" xfId="42708" xr:uid="{00000000-0005-0000-0000-0000E2390000}"/>
    <cellStyle name="20% - Accent5 2 4 11 2 8" xfId="48185" xr:uid="{00000000-0005-0000-0000-0000E3390000}"/>
    <cellStyle name="20% - Accent5 2 4 11 2 9" xfId="53703" xr:uid="{00000000-0005-0000-0000-0000E4390000}"/>
    <cellStyle name="20% - Accent5 2 4 11 3" xfId="5299" xr:uid="{00000000-0005-0000-0000-0000E5390000}"/>
    <cellStyle name="20% - Accent5 2 4 11 3 2" xfId="10779" xr:uid="{00000000-0005-0000-0000-0000E6390000}"/>
    <cellStyle name="20% - Accent5 2 4 11 3 3" xfId="16255" xr:uid="{00000000-0005-0000-0000-0000E7390000}"/>
    <cellStyle name="20% - Accent5 2 4 11 3 4" xfId="21731" xr:uid="{00000000-0005-0000-0000-0000E8390000}"/>
    <cellStyle name="20% - Accent5 2 4 11 3 5" xfId="27207" xr:uid="{00000000-0005-0000-0000-0000E9390000}"/>
    <cellStyle name="20% - Accent5 2 4 11 3 6" xfId="39003" xr:uid="{00000000-0005-0000-0000-0000EA390000}"/>
    <cellStyle name="20% - Accent5 2 4 11 3 7" xfId="44480" xr:uid="{00000000-0005-0000-0000-0000EB390000}"/>
    <cellStyle name="20% - Accent5 2 4 11 3 8" xfId="49957" xr:uid="{00000000-0005-0000-0000-0000EC390000}"/>
    <cellStyle name="20% - Accent5 2 4 11 3 9" xfId="55475" xr:uid="{00000000-0005-0000-0000-0000ED390000}"/>
    <cellStyle name="20% - Accent5 2 4 11 4" xfId="6071" xr:uid="{00000000-0005-0000-0000-0000EE390000}"/>
    <cellStyle name="20% - Accent5 2 4 11 5" xfId="11551" xr:uid="{00000000-0005-0000-0000-0000EF390000}"/>
    <cellStyle name="20% - Accent5 2 4 11 6" xfId="17027" xr:uid="{00000000-0005-0000-0000-0000F0390000}"/>
    <cellStyle name="20% - Accent5 2 4 11 7" xfId="22503" xr:uid="{00000000-0005-0000-0000-0000F1390000}"/>
    <cellStyle name="20% - Accent5 2 4 11 8" xfId="34298" xr:uid="{00000000-0005-0000-0000-0000F2390000}"/>
    <cellStyle name="20% - Accent5 2 4 11 9" xfId="39775" xr:uid="{00000000-0005-0000-0000-0000F3390000}"/>
    <cellStyle name="20% - Accent5 2 4 12" xfId="1952" xr:uid="{00000000-0005-0000-0000-0000F4390000}"/>
    <cellStyle name="20% - Accent5 2 4 12 10" xfId="52129" xr:uid="{00000000-0005-0000-0000-0000F5390000}"/>
    <cellStyle name="20% - Accent5 2 4 12 2" xfId="5484" xr:uid="{00000000-0005-0000-0000-0000F6390000}"/>
    <cellStyle name="20% - Accent5 2 4 12 2 2" xfId="10964" xr:uid="{00000000-0005-0000-0000-0000F7390000}"/>
    <cellStyle name="20% - Accent5 2 4 12 2 3" xfId="16440" xr:uid="{00000000-0005-0000-0000-0000F8390000}"/>
    <cellStyle name="20% - Accent5 2 4 12 2 4" xfId="21916" xr:uid="{00000000-0005-0000-0000-0000F9390000}"/>
    <cellStyle name="20% - Accent5 2 4 12 2 5" xfId="27392" xr:uid="{00000000-0005-0000-0000-0000FA390000}"/>
    <cellStyle name="20% - Accent5 2 4 12 2 6" xfId="39188" xr:uid="{00000000-0005-0000-0000-0000FB390000}"/>
    <cellStyle name="20% - Accent5 2 4 12 2 7" xfId="44665" xr:uid="{00000000-0005-0000-0000-0000FC390000}"/>
    <cellStyle name="20% - Accent5 2 4 12 2 8" xfId="50142" xr:uid="{00000000-0005-0000-0000-0000FD390000}"/>
    <cellStyle name="20% - Accent5 2 4 12 2 9" xfId="55660" xr:uid="{00000000-0005-0000-0000-0000FE390000}"/>
    <cellStyle name="20% - Accent5 2 4 12 3" xfId="7433" xr:uid="{00000000-0005-0000-0000-0000FF390000}"/>
    <cellStyle name="20% - Accent5 2 4 12 4" xfId="12909" xr:uid="{00000000-0005-0000-0000-0000003A0000}"/>
    <cellStyle name="20% - Accent5 2 4 12 5" xfId="18385" xr:uid="{00000000-0005-0000-0000-0000013A0000}"/>
    <cellStyle name="20% - Accent5 2 4 12 6" xfId="23861" xr:uid="{00000000-0005-0000-0000-0000023A0000}"/>
    <cellStyle name="20% - Accent5 2 4 12 7" xfId="35657" xr:uid="{00000000-0005-0000-0000-0000033A0000}"/>
    <cellStyle name="20% - Accent5 2 4 12 8" xfId="41134" xr:uid="{00000000-0005-0000-0000-0000043A0000}"/>
    <cellStyle name="20% - Accent5 2 4 12 9" xfId="46611" xr:uid="{00000000-0005-0000-0000-0000053A0000}"/>
    <cellStyle name="20% - Accent5 2 4 13" xfId="3740" xr:uid="{00000000-0005-0000-0000-0000063A0000}"/>
    <cellStyle name="20% - Accent5 2 4 13 2" xfId="9220" xr:uid="{00000000-0005-0000-0000-0000073A0000}"/>
    <cellStyle name="20% - Accent5 2 4 13 3" xfId="14696" xr:uid="{00000000-0005-0000-0000-0000083A0000}"/>
    <cellStyle name="20% - Accent5 2 4 13 4" xfId="20172" xr:uid="{00000000-0005-0000-0000-0000093A0000}"/>
    <cellStyle name="20% - Accent5 2 4 13 5" xfId="25648" xr:uid="{00000000-0005-0000-0000-00000A3A0000}"/>
    <cellStyle name="20% - Accent5 2 4 13 6" xfId="37444" xr:uid="{00000000-0005-0000-0000-00000B3A0000}"/>
    <cellStyle name="20% - Accent5 2 4 13 7" xfId="42921" xr:uid="{00000000-0005-0000-0000-00000C3A0000}"/>
    <cellStyle name="20% - Accent5 2 4 13 8" xfId="48398" xr:uid="{00000000-0005-0000-0000-00000D3A0000}"/>
    <cellStyle name="20% - Accent5 2 4 13 9" xfId="53916" xr:uid="{00000000-0005-0000-0000-00000E3A0000}"/>
    <cellStyle name="20% - Accent5 2 4 14" xfId="6069" xr:uid="{00000000-0005-0000-0000-00000F3A0000}"/>
    <cellStyle name="20% - Accent5 2 4 15" xfId="11549" xr:uid="{00000000-0005-0000-0000-0000103A0000}"/>
    <cellStyle name="20% - Accent5 2 4 16" xfId="17025" xr:uid="{00000000-0005-0000-0000-0000113A0000}"/>
    <cellStyle name="20% - Accent5 2 4 17" xfId="22501" xr:uid="{00000000-0005-0000-0000-0000123A0000}"/>
    <cellStyle name="20% - Accent5 2 4 18" xfId="29525" xr:uid="{00000000-0005-0000-0000-0000133A0000}"/>
    <cellStyle name="20% - Accent5 2 4 19" xfId="34296" xr:uid="{00000000-0005-0000-0000-0000143A0000}"/>
    <cellStyle name="20% - Accent5 2 4 2" xfId="260" xr:uid="{00000000-0005-0000-0000-0000153A0000}"/>
    <cellStyle name="20% - Accent5 2 4 2 10" xfId="1765" xr:uid="{00000000-0005-0000-0000-0000163A0000}"/>
    <cellStyle name="20% - Accent5 2 4 2 10 10" xfId="45254" xr:uid="{00000000-0005-0000-0000-0000173A0000}"/>
    <cellStyle name="20% - Accent5 2 4 2 10 11" xfId="50732" xr:uid="{00000000-0005-0000-0000-0000183A0000}"/>
    <cellStyle name="20% - Accent5 2 4 2 10 2" xfId="3526" xr:uid="{00000000-0005-0000-0000-0000193A0000}"/>
    <cellStyle name="20% - Accent5 2 4 2 10 2 2" xfId="9006" xr:uid="{00000000-0005-0000-0000-00001A3A0000}"/>
    <cellStyle name="20% - Accent5 2 4 2 10 2 3" xfId="14482" xr:uid="{00000000-0005-0000-0000-00001B3A0000}"/>
    <cellStyle name="20% - Accent5 2 4 2 10 2 4" xfId="19958" xr:uid="{00000000-0005-0000-0000-00001C3A0000}"/>
    <cellStyle name="20% - Accent5 2 4 2 10 2 5" xfId="25434" xr:uid="{00000000-0005-0000-0000-00001D3A0000}"/>
    <cellStyle name="20% - Accent5 2 4 2 10 2 6" xfId="37230" xr:uid="{00000000-0005-0000-0000-00001E3A0000}"/>
    <cellStyle name="20% - Accent5 2 4 2 10 2 7" xfId="42707" xr:uid="{00000000-0005-0000-0000-00001F3A0000}"/>
    <cellStyle name="20% - Accent5 2 4 2 10 2 8" xfId="48184" xr:uid="{00000000-0005-0000-0000-0000203A0000}"/>
    <cellStyle name="20% - Accent5 2 4 2 10 2 9" xfId="53702" xr:uid="{00000000-0005-0000-0000-0000213A0000}"/>
    <cellStyle name="20% - Accent5 2 4 2 10 3" xfId="5298" xr:uid="{00000000-0005-0000-0000-0000223A0000}"/>
    <cellStyle name="20% - Accent5 2 4 2 10 3 2" xfId="10778" xr:uid="{00000000-0005-0000-0000-0000233A0000}"/>
    <cellStyle name="20% - Accent5 2 4 2 10 3 3" xfId="16254" xr:uid="{00000000-0005-0000-0000-0000243A0000}"/>
    <cellStyle name="20% - Accent5 2 4 2 10 3 4" xfId="21730" xr:uid="{00000000-0005-0000-0000-0000253A0000}"/>
    <cellStyle name="20% - Accent5 2 4 2 10 3 5" xfId="27206" xr:uid="{00000000-0005-0000-0000-0000263A0000}"/>
    <cellStyle name="20% - Accent5 2 4 2 10 3 6" xfId="39002" xr:uid="{00000000-0005-0000-0000-0000273A0000}"/>
    <cellStyle name="20% - Accent5 2 4 2 10 3 7" xfId="44479" xr:uid="{00000000-0005-0000-0000-0000283A0000}"/>
    <cellStyle name="20% - Accent5 2 4 2 10 3 8" xfId="49956" xr:uid="{00000000-0005-0000-0000-0000293A0000}"/>
    <cellStyle name="20% - Accent5 2 4 2 10 3 9" xfId="55474" xr:uid="{00000000-0005-0000-0000-00002A3A0000}"/>
    <cellStyle name="20% - Accent5 2 4 2 10 4" xfId="6073" xr:uid="{00000000-0005-0000-0000-00002B3A0000}"/>
    <cellStyle name="20% - Accent5 2 4 2 10 5" xfId="11553" xr:uid="{00000000-0005-0000-0000-00002C3A0000}"/>
    <cellStyle name="20% - Accent5 2 4 2 10 6" xfId="17029" xr:uid="{00000000-0005-0000-0000-00002D3A0000}"/>
    <cellStyle name="20% - Accent5 2 4 2 10 7" xfId="22505" xr:uid="{00000000-0005-0000-0000-00002E3A0000}"/>
    <cellStyle name="20% - Accent5 2 4 2 10 8" xfId="34300" xr:uid="{00000000-0005-0000-0000-00002F3A0000}"/>
    <cellStyle name="20% - Accent5 2 4 2 10 9" xfId="39777" xr:uid="{00000000-0005-0000-0000-0000303A0000}"/>
    <cellStyle name="20% - Accent5 2 4 2 11" xfId="1953" xr:uid="{00000000-0005-0000-0000-0000313A0000}"/>
    <cellStyle name="20% - Accent5 2 4 2 11 10" xfId="52130" xr:uid="{00000000-0005-0000-0000-0000323A0000}"/>
    <cellStyle name="20% - Accent5 2 4 2 11 2" xfId="5485" xr:uid="{00000000-0005-0000-0000-0000333A0000}"/>
    <cellStyle name="20% - Accent5 2 4 2 11 2 2" xfId="10965" xr:uid="{00000000-0005-0000-0000-0000343A0000}"/>
    <cellStyle name="20% - Accent5 2 4 2 11 2 3" xfId="16441" xr:uid="{00000000-0005-0000-0000-0000353A0000}"/>
    <cellStyle name="20% - Accent5 2 4 2 11 2 4" xfId="21917" xr:uid="{00000000-0005-0000-0000-0000363A0000}"/>
    <cellStyle name="20% - Accent5 2 4 2 11 2 5" xfId="27393" xr:uid="{00000000-0005-0000-0000-0000373A0000}"/>
    <cellStyle name="20% - Accent5 2 4 2 11 2 6" xfId="39189" xr:uid="{00000000-0005-0000-0000-0000383A0000}"/>
    <cellStyle name="20% - Accent5 2 4 2 11 2 7" xfId="44666" xr:uid="{00000000-0005-0000-0000-0000393A0000}"/>
    <cellStyle name="20% - Accent5 2 4 2 11 2 8" xfId="50143" xr:uid="{00000000-0005-0000-0000-00003A3A0000}"/>
    <cellStyle name="20% - Accent5 2 4 2 11 2 9" xfId="55661" xr:uid="{00000000-0005-0000-0000-00003B3A0000}"/>
    <cellStyle name="20% - Accent5 2 4 2 11 3" xfId="7434" xr:uid="{00000000-0005-0000-0000-00003C3A0000}"/>
    <cellStyle name="20% - Accent5 2 4 2 11 4" xfId="12910" xr:uid="{00000000-0005-0000-0000-00003D3A0000}"/>
    <cellStyle name="20% - Accent5 2 4 2 11 5" xfId="18386" xr:uid="{00000000-0005-0000-0000-00003E3A0000}"/>
    <cellStyle name="20% - Accent5 2 4 2 11 6" xfId="23862" xr:uid="{00000000-0005-0000-0000-00003F3A0000}"/>
    <cellStyle name="20% - Accent5 2 4 2 11 7" xfId="35658" xr:uid="{00000000-0005-0000-0000-0000403A0000}"/>
    <cellStyle name="20% - Accent5 2 4 2 11 8" xfId="41135" xr:uid="{00000000-0005-0000-0000-0000413A0000}"/>
    <cellStyle name="20% - Accent5 2 4 2 11 9" xfId="46612" xr:uid="{00000000-0005-0000-0000-0000423A0000}"/>
    <cellStyle name="20% - Accent5 2 4 2 12" xfId="3826" xr:uid="{00000000-0005-0000-0000-0000433A0000}"/>
    <cellStyle name="20% - Accent5 2 4 2 12 2" xfId="9306" xr:uid="{00000000-0005-0000-0000-0000443A0000}"/>
    <cellStyle name="20% - Accent5 2 4 2 12 3" xfId="14782" xr:uid="{00000000-0005-0000-0000-0000453A0000}"/>
    <cellStyle name="20% - Accent5 2 4 2 12 4" xfId="20258" xr:uid="{00000000-0005-0000-0000-0000463A0000}"/>
    <cellStyle name="20% - Accent5 2 4 2 12 5" xfId="25734" xr:uid="{00000000-0005-0000-0000-0000473A0000}"/>
    <cellStyle name="20% - Accent5 2 4 2 12 6" xfId="37530" xr:uid="{00000000-0005-0000-0000-0000483A0000}"/>
    <cellStyle name="20% - Accent5 2 4 2 12 7" xfId="43007" xr:uid="{00000000-0005-0000-0000-0000493A0000}"/>
    <cellStyle name="20% - Accent5 2 4 2 12 8" xfId="48484" xr:uid="{00000000-0005-0000-0000-00004A3A0000}"/>
    <cellStyle name="20% - Accent5 2 4 2 12 9" xfId="54002" xr:uid="{00000000-0005-0000-0000-00004B3A0000}"/>
    <cellStyle name="20% - Accent5 2 4 2 13" xfId="6072" xr:uid="{00000000-0005-0000-0000-00004C3A0000}"/>
    <cellStyle name="20% - Accent5 2 4 2 14" xfId="11552" xr:uid="{00000000-0005-0000-0000-00004D3A0000}"/>
    <cellStyle name="20% - Accent5 2 4 2 15" xfId="17028" xr:uid="{00000000-0005-0000-0000-00004E3A0000}"/>
    <cellStyle name="20% - Accent5 2 4 2 16" xfId="22504" xr:uid="{00000000-0005-0000-0000-00004F3A0000}"/>
    <cellStyle name="20% - Accent5 2 4 2 17" xfId="29526" xr:uid="{00000000-0005-0000-0000-0000503A0000}"/>
    <cellStyle name="20% - Accent5 2 4 2 18" xfId="34299" xr:uid="{00000000-0005-0000-0000-0000513A0000}"/>
    <cellStyle name="20% - Accent5 2 4 2 19" xfId="39776" xr:uid="{00000000-0005-0000-0000-0000523A0000}"/>
    <cellStyle name="20% - Accent5 2 4 2 2" xfId="324" xr:uid="{00000000-0005-0000-0000-0000533A0000}"/>
    <cellStyle name="20% - Accent5 2 4 2 2 10" xfId="39778" xr:uid="{00000000-0005-0000-0000-0000543A0000}"/>
    <cellStyle name="20% - Accent5 2 4 2 2 11" xfId="45255" xr:uid="{00000000-0005-0000-0000-0000553A0000}"/>
    <cellStyle name="20% - Accent5 2 4 2 2 12" xfId="50733" xr:uid="{00000000-0005-0000-0000-0000563A0000}"/>
    <cellStyle name="20% - Accent5 2 4 2 2 2" xfId="2122" xr:uid="{00000000-0005-0000-0000-0000573A0000}"/>
    <cellStyle name="20% - Accent5 2 4 2 2 2 2" xfId="7602" xr:uid="{00000000-0005-0000-0000-0000583A0000}"/>
    <cellStyle name="20% - Accent5 2 4 2 2 2 3" xfId="13078" xr:uid="{00000000-0005-0000-0000-0000593A0000}"/>
    <cellStyle name="20% - Accent5 2 4 2 2 2 4" xfId="18554" xr:uid="{00000000-0005-0000-0000-00005A3A0000}"/>
    <cellStyle name="20% - Accent5 2 4 2 2 2 5" xfId="24030" xr:uid="{00000000-0005-0000-0000-00005B3A0000}"/>
    <cellStyle name="20% - Accent5 2 4 2 2 2 6" xfId="35826" xr:uid="{00000000-0005-0000-0000-00005C3A0000}"/>
    <cellStyle name="20% - Accent5 2 4 2 2 2 7" xfId="41303" xr:uid="{00000000-0005-0000-0000-00005D3A0000}"/>
    <cellStyle name="20% - Accent5 2 4 2 2 2 8" xfId="46780" xr:uid="{00000000-0005-0000-0000-00005E3A0000}"/>
    <cellStyle name="20% - Accent5 2 4 2 2 2 9" xfId="52298" xr:uid="{00000000-0005-0000-0000-00005F3A0000}"/>
    <cellStyle name="20% - Accent5 2 4 2 2 3" xfId="3886" xr:uid="{00000000-0005-0000-0000-0000603A0000}"/>
    <cellStyle name="20% - Accent5 2 4 2 2 3 2" xfId="9366" xr:uid="{00000000-0005-0000-0000-0000613A0000}"/>
    <cellStyle name="20% - Accent5 2 4 2 2 3 3" xfId="14842" xr:uid="{00000000-0005-0000-0000-0000623A0000}"/>
    <cellStyle name="20% - Accent5 2 4 2 2 3 4" xfId="20318" xr:uid="{00000000-0005-0000-0000-0000633A0000}"/>
    <cellStyle name="20% - Accent5 2 4 2 2 3 5" xfId="25794" xr:uid="{00000000-0005-0000-0000-0000643A0000}"/>
    <cellStyle name="20% - Accent5 2 4 2 2 3 6" xfId="37590" xr:uid="{00000000-0005-0000-0000-0000653A0000}"/>
    <cellStyle name="20% - Accent5 2 4 2 2 3 7" xfId="43067" xr:uid="{00000000-0005-0000-0000-0000663A0000}"/>
    <cellStyle name="20% - Accent5 2 4 2 2 3 8" xfId="48544" xr:uid="{00000000-0005-0000-0000-0000673A0000}"/>
    <cellStyle name="20% - Accent5 2 4 2 2 3 9" xfId="54062" xr:uid="{00000000-0005-0000-0000-0000683A0000}"/>
    <cellStyle name="20% - Accent5 2 4 2 2 4" xfId="6074" xr:uid="{00000000-0005-0000-0000-0000693A0000}"/>
    <cellStyle name="20% - Accent5 2 4 2 2 5" xfId="11554" xr:uid="{00000000-0005-0000-0000-00006A3A0000}"/>
    <cellStyle name="20% - Accent5 2 4 2 2 6" xfId="17030" xr:uid="{00000000-0005-0000-0000-00006B3A0000}"/>
    <cellStyle name="20% - Accent5 2 4 2 2 7" xfId="22506" xr:uid="{00000000-0005-0000-0000-00006C3A0000}"/>
    <cellStyle name="20% - Accent5 2 4 2 2 8" xfId="29527" xr:uid="{00000000-0005-0000-0000-00006D3A0000}"/>
    <cellStyle name="20% - Accent5 2 4 2 2 9" xfId="34301" xr:uid="{00000000-0005-0000-0000-00006E3A0000}"/>
    <cellStyle name="20% - Accent5 2 4 2 20" xfId="45253" xr:uid="{00000000-0005-0000-0000-00006F3A0000}"/>
    <cellStyle name="20% - Accent5 2 4 2 21" xfId="50731" xr:uid="{00000000-0005-0000-0000-0000703A0000}"/>
    <cellStyle name="20% - Accent5 2 4 2 3" xfId="525" xr:uid="{00000000-0005-0000-0000-0000713A0000}"/>
    <cellStyle name="20% - Accent5 2 4 2 3 10" xfId="45256" xr:uid="{00000000-0005-0000-0000-0000723A0000}"/>
    <cellStyle name="20% - Accent5 2 4 2 3 11" xfId="50734" xr:uid="{00000000-0005-0000-0000-0000733A0000}"/>
    <cellStyle name="20% - Accent5 2 4 2 3 2" xfId="2286" xr:uid="{00000000-0005-0000-0000-0000743A0000}"/>
    <cellStyle name="20% - Accent5 2 4 2 3 2 2" xfId="7766" xr:uid="{00000000-0005-0000-0000-0000753A0000}"/>
    <cellStyle name="20% - Accent5 2 4 2 3 2 3" xfId="13242" xr:uid="{00000000-0005-0000-0000-0000763A0000}"/>
    <cellStyle name="20% - Accent5 2 4 2 3 2 4" xfId="18718" xr:uid="{00000000-0005-0000-0000-0000773A0000}"/>
    <cellStyle name="20% - Accent5 2 4 2 3 2 5" xfId="24194" xr:uid="{00000000-0005-0000-0000-0000783A0000}"/>
    <cellStyle name="20% - Accent5 2 4 2 3 2 6" xfId="35990" xr:uid="{00000000-0005-0000-0000-0000793A0000}"/>
    <cellStyle name="20% - Accent5 2 4 2 3 2 7" xfId="41467" xr:uid="{00000000-0005-0000-0000-00007A3A0000}"/>
    <cellStyle name="20% - Accent5 2 4 2 3 2 8" xfId="46944" xr:uid="{00000000-0005-0000-0000-00007B3A0000}"/>
    <cellStyle name="20% - Accent5 2 4 2 3 2 9" xfId="52462" xr:uid="{00000000-0005-0000-0000-00007C3A0000}"/>
    <cellStyle name="20% - Accent5 2 4 2 3 3" xfId="4058" xr:uid="{00000000-0005-0000-0000-00007D3A0000}"/>
    <cellStyle name="20% - Accent5 2 4 2 3 3 2" xfId="9538" xr:uid="{00000000-0005-0000-0000-00007E3A0000}"/>
    <cellStyle name="20% - Accent5 2 4 2 3 3 3" xfId="15014" xr:uid="{00000000-0005-0000-0000-00007F3A0000}"/>
    <cellStyle name="20% - Accent5 2 4 2 3 3 4" xfId="20490" xr:uid="{00000000-0005-0000-0000-0000803A0000}"/>
    <cellStyle name="20% - Accent5 2 4 2 3 3 5" xfId="25966" xr:uid="{00000000-0005-0000-0000-0000813A0000}"/>
    <cellStyle name="20% - Accent5 2 4 2 3 3 6" xfId="37762" xr:uid="{00000000-0005-0000-0000-0000823A0000}"/>
    <cellStyle name="20% - Accent5 2 4 2 3 3 7" xfId="43239" xr:uid="{00000000-0005-0000-0000-0000833A0000}"/>
    <cellStyle name="20% - Accent5 2 4 2 3 3 8" xfId="48716" xr:uid="{00000000-0005-0000-0000-0000843A0000}"/>
    <cellStyle name="20% - Accent5 2 4 2 3 3 9" xfId="54234" xr:uid="{00000000-0005-0000-0000-0000853A0000}"/>
    <cellStyle name="20% - Accent5 2 4 2 3 4" xfId="6075" xr:uid="{00000000-0005-0000-0000-0000863A0000}"/>
    <cellStyle name="20% - Accent5 2 4 2 3 5" xfId="11555" xr:uid="{00000000-0005-0000-0000-0000873A0000}"/>
    <cellStyle name="20% - Accent5 2 4 2 3 6" xfId="17031" xr:uid="{00000000-0005-0000-0000-0000883A0000}"/>
    <cellStyle name="20% - Accent5 2 4 2 3 7" xfId="22507" xr:uid="{00000000-0005-0000-0000-0000893A0000}"/>
    <cellStyle name="20% - Accent5 2 4 2 3 8" xfId="34302" xr:uid="{00000000-0005-0000-0000-00008A3A0000}"/>
    <cellStyle name="20% - Accent5 2 4 2 3 9" xfId="39779" xr:uid="{00000000-0005-0000-0000-00008B3A0000}"/>
    <cellStyle name="20% - Accent5 2 4 2 4" xfId="697" xr:uid="{00000000-0005-0000-0000-00008C3A0000}"/>
    <cellStyle name="20% - Accent5 2 4 2 4 10" xfId="45257" xr:uid="{00000000-0005-0000-0000-00008D3A0000}"/>
    <cellStyle name="20% - Accent5 2 4 2 4 11" xfId="50735" xr:uid="{00000000-0005-0000-0000-00008E3A0000}"/>
    <cellStyle name="20% - Accent5 2 4 2 4 2" xfId="2458" xr:uid="{00000000-0005-0000-0000-00008F3A0000}"/>
    <cellStyle name="20% - Accent5 2 4 2 4 2 2" xfId="7938" xr:uid="{00000000-0005-0000-0000-0000903A0000}"/>
    <cellStyle name="20% - Accent5 2 4 2 4 2 3" xfId="13414" xr:uid="{00000000-0005-0000-0000-0000913A0000}"/>
    <cellStyle name="20% - Accent5 2 4 2 4 2 4" xfId="18890" xr:uid="{00000000-0005-0000-0000-0000923A0000}"/>
    <cellStyle name="20% - Accent5 2 4 2 4 2 5" xfId="24366" xr:uid="{00000000-0005-0000-0000-0000933A0000}"/>
    <cellStyle name="20% - Accent5 2 4 2 4 2 6" xfId="36162" xr:uid="{00000000-0005-0000-0000-0000943A0000}"/>
    <cellStyle name="20% - Accent5 2 4 2 4 2 7" xfId="41639" xr:uid="{00000000-0005-0000-0000-0000953A0000}"/>
    <cellStyle name="20% - Accent5 2 4 2 4 2 8" xfId="47116" xr:uid="{00000000-0005-0000-0000-0000963A0000}"/>
    <cellStyle name="20% - Accent5 2 4 2 4 2 9" xfId="52634" xr:uid="{00000000-0005-0000-0000-0000973A0000}"/>
    <cellStyle name="20% - Accent5 2 4 2 4 3" xfId="4230" xr:uid="{00000000-0005-0000-0000-0000983A0000}"/>
    <cellStyle name="20% - Accent5 2 4 2 4 3 2" xfId="9710" xr:uid="{00000000-0005-0000-0000-0000993A0000}"/>
    <cellStyle name="20% - Accent5 2 4 2 4 3 3" xfId="15186" xr:uid="{00000000-0005-0000-0000-00009A3A0000}"/>
    <cellStyle name="20% - Accent5 2 4 2 4 3 4" xfId="20662" xr:uid="{00000000-0005-0000-0000-00009B3A0000}"/>
    <cellStyle name="20% - Accent5 2 4 2 4 3 5" xfId="26138" xr:uid="{00000000-0005-0000-0000-00009C3A0000}"/>
    <cellStyle name="20% - Accent5 2 4 2 4 3 6" xfId="37934" xr:uid="{00000000-0005-0000-0000-00009D3A0000}"/>
    <cellStyle name="20% - Accent5 2 4 2 4 3 7" xfId="43411" xr:uid="{00000000-0005-0000-0000-00009E3A0000}"/>
    <cellStyle name="20% - Accent5 2 4 2 4 3 8" xfId="48888" xr:uid="{00000000-0005-0000-0000-00009F3A0000}"/>
    <cellStyle name="20% - Accent5 2 4 2 4 3 9" xfId="54406" xr:uid="{00000000-0005-0000-0000-0000A03A0000}"/>
    <cellStyle name="20% - Accent5 2 4 2 4 4" xfId="6076" xr:uid="{00000000-0005-0000-0000-0000A13A0000}"/>
    <cellStyle name="20% - Accent5 2 4 2 4 5" xfId="11556" xr:uid="{00000000-0005-0000-0000-0000A23A0000}"/>
    <cellStyle name="20% - Accent5 2 4 2 4 6" xfId="17032" xr:uid="{00000000-0005-0000-0000-0000A33A0000}"/>
    <cellStyle name="20% - Accent5 2 4 2 4 7" xfId="22508" xr:uid="{00000000-0005-0000-0000-0000A43A0000}"/>
    <cellStyle name="20% - Accent5 2 4 2 4 8" xfId="34303" xr:uid="{00000000-0005-0000-0000-0000A53A0000}"/>
    <cellStyle name="20% - Accent5 2 4 2 4 9" xfId="39780" xr:uid="{00000000-0005-0000-0000-0000A63A0000}"/>
    <cellStyle name="20% - Accent5 2 4 2 5" xfId="869" xr:uid="{00000000-0005-0000-0000-0000A73A0000}"/>
    <cellStyle name="20% - Accent5 2 4 2 5 10" xfId="45258" xr:uid="{00000000-0005-0000-0000-0000A83A0000}"/>
    <cellStyle name="20% - Accent5 2 4 2 5 11" xfId="50736" xr:uid="{00000000-0005-0000-0000-0000A93A0000}"/>
    <cellStyle name="20% - Accent5 2 4 2 5 2" xfId="2630" xr:uid="{00000000-0005-0000-0000-0000AA3A0000}"/>
    <cellStyle name="20% - Accent5 2 4 2 5 2 2" xfId="8110" xr:uid="{00000000-0005-0000-0000-0000AB3A0000}"/>
    <cellStyle name="20% - Accent5 2 4 2 5 2 3" xfId="13586" xr:uid="{00000000-0005-0000-0000-0000AC3A0000}"/>
    <cellStyle name="20% - Accent5 2 4 2 5 2 4" xfId="19062" xr:uid="{00000000-0005-0000-0000-0000AD3A0000}"/>
    <cellStyle name="20% - Accent5 2 4 2 5 2 5" xfId="24538" xr:uid="{00000000-0005-0000-0000-0000AE3A0000}"/>
    <cellStyle name="20% - Accent5 2 4 2 5 2 6" xfId="36334" xr:uid="{00000000-0005-0000-0000-0000AF3A0000}"/>
    <cellStyle name="20% - Accent5 2 4 2 5 2 7" xfId="41811" xr:uid="{00000000-0005-0000-0000-0000B03A0000}"/>
    <cellStyle name="20% - Accent5 2 4 2 5 2 8" xfId="47288" xr:uid="{00000000-0005-0000-0000-0000B13A0000}"/>
    <cellStyle name="20% - Accent5 2 4 2 5 2 9" xfId="52806" xr:uid="{00000000-0005-0000-0000-0000B23A0000}"/>
    <cellStyle name="20% - Accent5 2 4 2 5 3" xfId="4402" xr:uid="{00000000-0005-0000-0000-0000B33A0000}"/>
    <cellStyle name="20% - Accent5 2 4 2 5 3 2" xfId="9882" xr:uid="{00000000-0005-0000-0000-0000B43A0000}"/>
    <cellStyle name="20% - Accent5 2 4 2 5 3 3" xfId="15358" xr:uid="{00000000-0005-0000-0000-0000B53A0000}"/>
    <cellStyle name="20% - Accent5 2 4 2 5 3 4" xfId="20834" xr:uid="{00000000-0005-0000-0000-0000B63A0000}"/>
    <cellStyle name="20% - Accent5 2 4 2 5 3 5" xfId="26310" xr:uid="{00000000-0005-0000-0000-0000B73A0000}"/>
    <cellStyle name="20% - Accent5 2 4 2 5 3 6" xfId="38106" xr:uid="{00000000-0005-0000-0000-0000B83A0000}"/>
    <cellStyle name="20% - Accent5 2 4 2 5 3 7" xfId="43583" xr:uid="{00000000-0005-0000-0000-0000B93A0000}"/>
    <cellStyle name="20% - Accent5 2 4 2 5 3 8" xfId="49060" xr:uid="{00000000-0005-0000-0000-0000BA3A0000}"/>
    <cellStyle name="20% - Accent5 2 4 2 5 3 9" xfId="54578" xr:uid="{00000000-0005-0000-0000-0000BB3A0000}"/>
    <cellStyle name="20% - Accent5 2 4 2 5 4" xfId="6077" xr:uid="{00000000-0005-0000-0000-0000BC3A0000}"/>
    <cellStyle name="20% - Accent5 2 4 2 5 5" xfId="11557" xr:uid="{00000000-0005-0000-0000-0000BD3A0000}"/>
    <cellStyle name="20% - Accent5 2 4 2 5 6" xfId="17033" xr:uid="{00000000-0005-0000-0000-0000BE3A0000}"/>
    <cellStyle name="20% - Accent5 2 4 2 5 7" xfId="22509" xr:uid="{00000000-0005-0000-0000-0000BF3A0000}"/>
    <cellStyle name="20% - Accent5 2 4 2 5 8" xfId="34304" xr:uid="{00000000-0005-0000-0000-0000C03A0000}"/>
    <cellStyle name="20% - Accent5 2 4 2 5 9" xfId="39781" xr:uid="{00000000-0005-0000-0000-0000C13A0000}"/>
    <cellStyle name="20% - Accent5 2 4 2 6" xfId="1075" xr:uid="{00000000-0005-0000-0000-0000C23A0000}"/>
    <cellStyle name="20% - Accent5 2 4 2 6 10" xfId="45259" xr:uid="{00000000-0005-0000-0000-0000C33A0000}"/>
    <cellStyle name="20% - Accent5 2 4 2 6 11" xfId="50737" xr:uid="{00000000-0005-0000-0000-0000C43A0000}"/>
    <cellStyle name="20% - Accent5 2 4 2 6 2" xfId="2836" xr:uid="{00000000-0005-0000-0000-0000C53A0000}"/>
    <cellStyle name="20% - Accent5 2 4 2 6 2 2" xfId="8316" xr:uid="{00000000-0005-0000-0000-0000C63A0000}"/>
    <cellStyle name="20% - Accent5 2 4 2 6 2 3" xfId="13792" xr:uid="{00000000-0005-0000-0000-0000C73A0000}"/>
    <cellStyle name="20% - Accent5 2 4 2 6 2 4" xfId="19268" xr:uid="{00000000-0005-0000-0000-0000C83A0000}"/>
    <cellStyle name="20% - Accent5 2 4 2 6 2 5" xfId="24744" xr:uid="{00000000-0005-0000-0000-0000C93A0000}"/>
    <cellStyle name="20% - Accent5 2 4 2 6 2 6" xfId="36540" xr:uid="{00000000-0005-0000-0000-0000CA3A0000}"/>
    <cellStyle name="20% - Accent5 2 4 2 6 2 7" xfId="42017" xr:uid="{00000000-0005-0000-0000-0000CB3A0000}"/>
    <cellStyle name="20% - Accent5 2 4 2 6 2 8" xfId="47494" xr:uid="{00000000-0005-0000-0000-0000CC3A0000}"/>
    <cellStyle name="20% - Accent5 2 4 2 6 2 9" xfId="53012" xr:uid="{00000000-0005-0000-0000-0000CD3A0000}"/>
    <cellStyle name="20% - Accent5 2 4 2 6 3" xfId="4608" xr:uid="{00000000-0005-0000-0000-0000CE3A0000}"/>
    <cellStyle name="20% - Accent5 2 4 2 6 3 2" xfId="10088" xr:uid="{00000000-0005-0000-0000-0000CF3A0000}"/>
    <cellStyle name="20% - Accent5 2 4 2 6 3 3" xfId="15564" xr:uid="{00000000-0005-0000-0000-0000D03A0000}"/>
    <cellStyle name="20% - Accent5 2 4 2 6 3 4" xfId="21040" xr:uid="{00000000-0005-0000-0000-0000D13A0000}"/>
    <cellStyle name="20% - Accent5 2 4 2 6 3 5" xfId="26516" xr:uid="{00000000-0005-0000-0000-0000D23A0000}"/>
    <cellStyle name="20% - Accent5 2 4 2 6 3 6" xfId="38312" xr:uid="{00000000-0005-0000-0000-0000D33A0000}"/>
    <cellStyle name="20% - Accent5 2 4 2 6 3 7" xfId="43789" xr:uid="{00000000-0005-0000-0000-0000D43A0000}"/>
    <cellStyle name="20% - Accent5 2 4 2 6 3 8" xfId="49266" xr:uid="{00000000-0005-0000-0000-0000D53A0000}"/>
    <cellStyle name="20% - Accent5 2 4 2 6 3 9" xfId="54784" xr:uid="{00000000-0005-0000-0000-0000D63A0000}"/>
    <cellStyle name="20% - Accent5 2 4 2 6 4" xfId="6078" xr:uid="{00000000-0005-0000-0000-0000D73A0000}"/>
    <cellStyle name="20% - Accent5 2 4 2 6 5" xfId="11558" xr:uid="{00000000-0005-0000-0000-0000D83A0000}"/>
    <cellStyle name="20% - Accent5 2 4 2 6 6" xfId="17034" xr:uid="{00000000-0005-0000-0000-0000D93A0000}"/>
    <cellStyle name="20% - Accent5 2 4 2 6 7" xfId="22510" xr:uid="{00000000-0005-0000-0000-0000DA3A0000}"/>
    <cellStyle name="20% - Accent5 2 4 2 6 8" xfId="34305" xr:uid="{00000000-0005-0000-0000-0000DB3A0000}"/>
    <cellStyle name="20% - Accent5 2 4 2 6 9" xfId="39782" xr:uid="{00000000-0005-0000-0000-0000DC3A0000}"/>
    <cellStyle name="20% - Accent5 2 4 2 7" xfId="1247" xr:uid="{00000000-0005-0000-0000-0000DD3A0000}"/>
    <cellStyle name="20% - Accent5 2 4 2 7 10" xfId="45260" xr:uid="{00000000-0005-0000-0000-0000DE3A0000}"/>
    <cellStyle name="20% - Accent5 2 4 2 7 11" xfId="50738" xr:uid="{00000000-0005-0000-0000-0000DF3A0000}"/>
    <cellStyle name="20% - Accent5 2 4 2 7 2" xfId="3008" xr:uid="{00000000-0005-0000-0000-0000E03A0000}"/>
    <cellStyle name="20% - Accent5 2 4 2 7 2 2" xfId="8488" xr:uid="{00000000-0005-0000-0000-0000E13A0000}"/>
    <cellStyle name="20% - Accent5 2 4 2 7 2 3" xfId="13964" xr:uid="{00000000-0005-0000-0000-0000E23A0000}"/>
    <cellStyle name="20% - Accent5 2 4 2 7 2 4" xfId="19440" xr:uid="{00000000-0005-0000-0000-0000E33A0000}"/>
    <cellStyle name="20% - Accent5 2 4 2 7 2 5" xfId="24916" xr:uid="{00000000-0005-0000-0000-0000E43A0000}"/>
    <cellStyle name="20% - Accent5 2 4 2 7 2 6" xfId="36712" xr:uid="{00000000-0005-0000-0000-0000E53A0000}"/>
    <cellStyle name="20% - Accent5 2 4 2 7 2 7" xfId="42189" xr:uid="{00000000-0005-0000-0000-0000E63A0000}"/>
    <cellStyle name="20% - Accent5 2 4 2 7 2 8" xfId="47666" xr:uid="{00000000-0005-0000-0000-0000E73A0000}"/>
    <cellStyle name="20% - Accent5 2 4 2 7 2 9" xfId="53184" xr:uid="{00000000-0005-0000-0000-0000E83A0000}"/>
    <cellStyle name="20% - Accent5 2 4 2 7 3" xfId="4780" xr:uid="{00000000-0005-0000-0000-0000E93A0000}"/>
    <cellStyle name="20% - Accent5 2 4 2 7 3 2" xfId="10260" xr:uid="{00000000-0005-0000-0000-0000EA3A0000}"/>
    <cellStyle name="20% - Accent5 2 4 2 7 3 3" xfId="15736" xr:uid="{00000000-0005-0000-0000-0000EB3A0000}"/>
    <cellStyle name="20% - Accent5 2 4 2 7 3 4" xfId="21212" xr:uid="{00000000-0005-0000-0000-0000EC3A0000}"/>
    <cellStyle name="20% - Accent5 2 4 2 7 3 5" xfId="26688" xr:uid="{00000000-0005-0000-0000-0000ED3A0000}"/>
    <cellStyle name="20% - Accent5 2 4 2 7 3 6" xfId="38484" xr:uid="{00000000-0005-0000-0000-0000EE3A0000}"/>
    <cellStyle name="20% - Accent5 2 4 2 7 3 7" xfId="43961" xr:uid="{00000000-0005-0000-0000-0000EF3A0000}"/>
    <cellStyle name="20% - Accent5 2 4 2 7 3 8" xfId="49438" xr:uid="{00000000-0005-0000-0000-0000F03A0000}"/>
    <cellStyle name="20% - Accent5 2 4 2 7 3 9" xfId="54956" xr:uid="{00000000-0005-0000-0000-0000F13A0000}"/>
    <cellStyle name="20% - Accent5 2 4 2 7 4" xfId="6079" xr:uid="{00000000-0005-0000-0000-0000F23A0000}"/>
    <cellStyle name="20% - Accent5 2 4 2 7 5" xfId="11559" xr:uid="{00000000-0005-0000-0000-0000F33A0000}"/>
    <cellStyle name="20% - Accent5 2 4 2 7 6" xfId="17035" xr:uid="{00000000-0005-0000-0000-0000F43A0000}"/>
    <cellStyle name="20% - Accent5 2 4 2 7 7" xfId="22511" xr:uid="{00000000-0005-0000-0000-0000F53A0000}"/>
    <cellStyle name="20% - Accent5 2 4 2 7 8" xfId="34306" xr:uid="{00000000-0005-0000-0000-0000F63A0000}"/>
    <cellStyle name="20% - Accent5 2 4 2 7 9" xfId="39783" xr:uid="{00000000-0005-0000-0000-0000F73A0000}"/>
    <cellStyle name="20% - Accent5 2 4 2 8" xfId="1419" xr:uid="{00000000-0005-0000-0000-0000F83A0000}"/>
    <cellStyle name="20% - Accent5 2 4 2 8 10" xfId="45261" xr:uid="{00000000-0005-0000-0000-0000F93A0000}"/>
    <cellStyle name="20% - Accent5 2 4 2 8 11" xfId="50739" xr:uid="{00000000-0005-0000-0000-0000FA3A0000}"/>
    <cellStyle name="20% - Accent5 2 4 2 8 2" xfId="3180" xr:uid="{00000000-0005-0000-0000-0000FB3A0000}"/>
    <cellStyle name="20% - Accent5 2 4 2 8 2 2" xfId="8660" xr:uid="{00000000-0005-0000-0000-0000FC3A0000}"/>
    <cellStyle name="20% - Accent5 2 4 2 8 2 3" xfId="14136" xr:uid="{00000000-0005-0000-0000-0000FD3A0000}"/>
    <cellStyle name="20% - Accent5 2 4 2 8 2 4" xfId="19612" xr:uid="{00000000-0005-0000-0000-0000FE3A0000}"/>
    <cellStyle name="20% - Accent5 2 4 2 8 2 5" xfId="25088" xr:uid="{00000000-0005-0000-0000-0000FF3A0000}"/>
    <cellStyle name="20% - Accent5 2 4 2 8 2 6" xfId="36884" xr:uid="{00000000-0005-0000-0000-0000003B0000}"/>
    <cellStyle name="20% - Accent5 2 4 2 8 2 7" xfId="42361" xr:uid="{00000000-0005-0000-0000-0000013B0000}"/>
    <cellStyle name="20% - Accent5 2 4 2 8 2 8" xfId="47838" xr:uid="{00000000-0005-0000-0000-0000023B0000}"/>
    <cellStyle name="20% - Accent5 2 4 2 8 2 9" xfId="53356" xr:uid="{00000000-0005-0000-0000-0000033B0000}"/>
    <cellStyle name="20% - Accent5 2 4 2 8 3" xfId="4952" xr:uid="{00000000-0005-0000-0000-0000043B0000}"/>
    <cellStyle name="20% - Accent5 2 4 2 8 3 2" xfId="10432" xr:uid="{00000000-0005-0000-0000-0000053B0000}"/>
    <cellStyle name="20% - Accent5 2 4 2 8 3 3" xfId="15908" xr:uid="{00000000-0005-0000-0000-0000063B0000}"/>
    <cellStyle name="20% - Accent5 2 4 2 8 3 4" xfId="21384" xr:uid="{00000000-0005-0000-0000-0000073B0000}"/>
    <cellStyle name="20% - Accent5 2 4 2 8 3 5" xfId="26860" xr:uid="{00000000-0005-0000-0000-0000083B0000}"/>
    <cellStyle name="20% - Accent5 2 4 2 8 3 6" xfId="38656" xr:uid="{00000000-0005-0000-0000-0000093B0000}"/>
    <cellStyle name="20% - Accent5 2 4 2 8 3 7" xfId="44133" xr:uid="{00000000-0005-0000-0000-00000A3B0000}"/>
    <cellStyle name="20% - Accent5 2 4 2 8 3 8" xfId="49610" xr:uid="{00000000-0005-0000-0000-00000B3B0000}"/>
    <cellStyle name="20% - Accent5 2 4 2 8 3 9" xfId="55128" xr:uid="{00000000-0005-0000-0000-00000C3B0000}"/>
    <cellStyle name="20% - Accent5 2 4 2 8 4" xfId="6080" xr:uid="{00000000-0005-0000-0000-00000D3B0000}"/>
    <cellStyle name="20% - Accent5 2 4 2 8 5" xfId="11560" xr:uid="{00000000-0005-0000-0000-00000E3B0000}"/>
    <cellStyle name="20% - Accent5 2 4 2 8 6" xfId="17036" xr:uid="{00000000-0005-0000-0000-00000F3B0000}"/>
    <cellStyle name="20% - Accent5 2 4 2 8 7" xfId="22512" xr:uid="{00000000-0005-0000-0000-0000103B0000}"/>
    <cellStyle name="20% - Accent5 2 4 2 8 8" xfId="34307" xr:uid="{00000000-0005-0000-0000-0000113B0000}"/>
    <cellStyle name="20% - Accent5 2 4 2 8 9" xfId="39784" xr:uid="{00000000-0005-0000-0000-0000123B0000}"/>
    <cellStyle name="20% - Accent5 2 4 2 9" xfId="1591" xr:uid="{00000000-0005-0000-0000-0000133B0000}"/>
    <cellStyle name="20% - Accent5 2 4 2 9 10" xfId="45262" xr:uid="{00000000-0005-0000-0000-0000143B0000}"/>
    <cellStyle name="20% - Accent5 2 4 2 9 11" xfId="50740" xr:uid="{00000000-0005-0000-0000-0000153B0000}"/>
    <cellStyle name="20% - Accent5 2 4 2 9 2" xfId="3352" xr:uid="{00000000-0005-0000-0000-0000163B0000}"/>
    <cellStyle name="20% - Accent5 2 4 2 9 2 2" xfId="8832" xr:uid="{00000000-0005-0000-0000-0000173B0000}"/>
    <cellStyle name="20% - Accent5 2 4 2 9 2 3" xfId="14308" xr:uid="{00000000-0005-0000-0000-0000183B0000}"/>
    <cellStyle name="20% - Accent5 2 4 2 9 2 4" xfId="19784" xr:uid="{00000000-0005-0000-0000-0000193B0000}"/>
    <cellStyle name="20% - Accent5 2 4 2 9 2 5" xfId="25260" xr:uid="{00000000-0005-0000-0000-00001A3B0000}"/>
    <cellStyle name="20% - Accent5 2 4 2 9 2 6" xfId="37056" xr:uid="{00000000-0005-0000-0000-00001B3B0000}"/>
    <cellStyle name="20% - Accent5 2 4 2 9 2 7" xfId="42533" xr:uid="{00000000-0005-0000-0000-00001C3B0000}"/>
    <cellStyle name="20% - Accent5 2 4 2 9 2 8" xfId="48010" xr:uid="{00000000-0005-0000-0000-00001D3B0000}"/>
    <cellStyle name="20% - Accent5 2 4 2 9 2 9" xfId="53528" xr:uid="{00000000-0005-0000-0000-00001E3B0000}"/>
    <cellStyle name="20% - Accent5 2 4 2 9 3" xfId="5124" xr:uid="{00000000-0005-0000-0000-00001F3B0000}"/>
    <cellStyle name="20% - Accent5 2 4 2 9 3 2" xfId="10604" xr:uid="{00000000-0005-0000-0000-0000203B0000}"/>
    <cellStyle name="20% - Accent5 2 4 2 9 3 3" xfId="16080" xr:uid="{00000000-0005-0000-0000-0000213B0000}"/>
    <cellStyle name="20% - Accent5 2 4 2 9 3 4" xfId="21556" xr:uid="{00000000-0005-0000-0000-0000223B0000}"/>
    <cellStyle name="20% - Accent5 2 4 2 9 3 5" xfId="27032" xr:uid="{00000000-0005-0000-0000-0000233B0000}"/>
    <cellStyle name="20% - Accent5 2 4 2 9 3 6" xfId="38828" xr:uid="{00000000-0005-0000-0000-0000243B0000}"/>
    <cellStyle name="20% - Accent5 2 4 2 9 3 7" xfId="44305" xr:uid="{00000000-0005-0000-0000-0000253B0000}"/>
    <cellStyle name="20% - Accent5 2 4 2 9 3 8" xfId="49782" xr:uid="{00000000-0005-0000-0000-0000263B0000}"/>
    <cellStyle name="20% - Accent5 2 4 2 9 3 9" xfId="55300" xr:uid="{00000000-0005-0000-0000-0000273B0000}"/>
    <cellStyle name="20% - Accent5 2 4 2 9 4" xfId="6081" xr:uid="{00000000-0005-0000-0000-0000283B0000}"/>
    <cellStyle name="20% - Accent5 2 4 2 9 5" xfId="11561" xr:uid="{00000000-0005-0000-0000-0000293B0000}"/>
    <cellStyle name="20% - Accent5 2 4 2 9 6" xfId="17037" xr:uid="{00000000-0005-0000-0000-00002A3B0000}"/>
    <cellStyle name="20% - Accent5 2 4 2 9 7" xfId="22513" xr:uid="{00000000-0005-0000-0000-00002B3B0000}"/>
    <cellStyle name="20% - Accent5 2 4 2 9 8" xfId="34308" xr:uid="{00000000-0005-0000-0000-00002C3B0000}"/>
    <cellStyle name="20% - Accent5 2 4 2 9 9" xfId="39785" xr:uid="{00000000-0005-0000-0000-00002D3B0000}"/>
    <cellStyle name="20% - Accent5 2 4 20" xfId="39773" xr:uid="{00000000-0005-0000-0000-00002E3B0000}"/>
    <cellStyle name="20% - Accent5 2 4 21" xfId="45250" xr:uid="{00000000-0005-0000-0000-00002F3B0000}"/>
    <cellStyle name="20% - Accent5 2 4 22" xfId="50728" xr:uid="{00000000-0005-0000-0000-0000303B0000}"/>
    <cellStyle name="20% - Accent5 2 4 3" xfId="323" xr:uid="{00000000-0005-0000-0000-0000313B0000}"/>
    <cellStyle name="20% - Accent5 2 4 3 10" xfId="39786" xr:uid="{00000000-0005-0000-0000-0000323B0000}"/>
    <cellStyle name="20% - Accent5 2 4 3 11" xfId="45263" xr:uid="{00000000-0005-0000-0000-0000333B0000}"/>
    <cellStyle name="20% - Accent5 2 4 3 12" xfId="50741" xr:uid="{00000000-0005-0000-0000-0000343B0000}"/>
    <cellStyle name="20% - Accent5 2 4 3 2" xfId="2121" xr:uid="{00000000-0005-0000-0000-0000353B0000}"/>
    <cellStyle name="20% - Accent5 2 4 3 2 2" xfId="7601" xr:uid="{00000000-0005-0000-0000-0000363B0000}"/>
    <cellStyle name="20% - Accent5 2 4 3 2 3" xfId="13077" xr:uid="{00000000-0005-0000-0000-0000373B0000}"/>
    <cellStyle name="20% - Accent5 2 4 3 2 4" xfId="18553" xr:uid="{00000000-0005-0000-0000-0000383B0000}"/>
    <cellStyle name="20% - Accent5 2 4 3 2 5" xfId="24029" xr:uid="{00000000-0005-0000-0000-0000393B0000}"/>
    <cellStyle name="20% - Accent5 2 4 3 2 6" xfId="35825" xr:uid="{00000000-0005-0000-0000-00003A3B0000}"/>
    <cellStyle name="20% - Accent5 2 4 3 2 7" xfId="41302" xr:uid="{00000000-0005-0000-0000-00003B3B0000}"/>
    <cellStyle name="20% - Accent5 2 4 3 2 8" xfId="46779" xr:uid="{00000000-0005-0000-0000-00003C3B0000}"/>
    <cellStyle name="20% - Accent5 2 4 3 2 9" xfId="52297" xr:uid="{00000000-0005-0000-0000-00003D3B0000}"/>
    <cellStyle name="20% - Accent5 2 4 3 3" xfId="3885" xr:uid="{00000000-0005-0000-0000-00003E3B0000}"/>
    <cellStyle name="20% - Accent5 2 4 3 3 2" xfId="9365" xr:uid="{00000000-0005-0000-0000-00003F3B0000}"/>
    <cellStyle name="20% - Accent5 2 4 3 3 3" xfId="14841" xr:uid="{00000000-0005-0000-0000-0000403B0000}"/>
    <cellStyle name="20% - Accent5 2 4 3 3 4" xfId="20317" xr:uid="{00000000-0005-0000-0000-0000413B0000}"/>
    <cellStyle name="20% - Accent5 2 4 3 3 5" xfId="25793" xr:uid="{00000000-0005-0000-0000-0000423B0000}"/>
    <cellStyle name="20% - Accent5 2 4 3 3 6" xfId="37589" xr:uid="{00000000-0005-0000-0000-0000433B0000}"/>
    <cellStyle name="20% - Accent5 2 4 3 3 7" xfId="43066" xr:uid="{00000000-0005-0000-0000-0000443B0000}"/>
    <cellStyle name="20% - Accent5 2 4 3 3 8" xfId="48543" xr:uid="{00000000-0005-0000-0000-0000453B0000}"/>
    <cellStyle name="20% - Accent5 2 4 3 3 9" xfId="54061" xr:uid="{00000000-0005-0000-0000-0000463B0000}"/>
    <cellStyle name="20% - Accent5 2 4 3 4" xfId="6082" xr:uid="{00000000-0005-0000-0000-0000473B0000}"/>
    <cellStyle name="20% - Accent5 2 4 3 5" xfId="11562" xr:uid="{00000000-0005-0000-0000-0000483B0000}"/>
    <cellStyle name="20% - Accent5 2 4 3 6" xfId="17038" xr:uid="{00000000-0005-0000-0000-0000493B0000}"/>
    <cellStyle name="20% - Accent5 2 4 3 7" xfId="22514" xr:uid="{00000000-0005-0000-0000-00004A3B0000}"/>
    <cellStyle name="20% - Accent5 2 4 3 8" xfId="29528" xr:uid="{00000000-0005-0000-0000-00004B3B0000}"/>
    <cellStyle name="20% - Accent5 2 4 3 9" xfId="34309" xr:uid="{00000000-0005-0000-0000-00004C3B0000}"/>
    <cellStyle name="20% - Accent5 2 4 4" xfId="524" xr:uid="{00000000-0005-0000-0000-00004D3B0000}"/>
    <cellStyle name="20% - Accent5 2 4 4 10" xfId="45264" xr:uid="{00000000-0005-0000-0000-00004E3B0000}"/>
    <cellStyle name="20% - Accent5 2 4 4 11" xfId="50742" xr:uid="{00000000-0005-0000-0000-00004F3B0000}"/>
    <cellStyle name="20% - Accent5 2 4 4 2" xfId="2285" xr:uid="{00000000-0005-0000-0000-0000503B0000}"/>
    <cellStyle name="20% - Accent5 2 4 4 2 2" xfId="7765" xr:uid="{00000000-0005-0000-0000-0000513B0000}"/>
    <cellStyle name="20% - Accent5 2 4 4 2 3" xfId="13241" xr:uid="{00000000-0005-0000-0000-0000523B0000}"/>
    <cellStyle name="20% - Accent5 2 4 4 2 4" xfId="18717" xr:uid="{00000000-0005-0000-0000-0000533B0000}"/>
    <cellStyle name="20% - Accent5 2 4 4 2 5" xfId="24193" xr:uid="{00000000-0005-0000-0000-0000543B0000}"/>
    <cellStyle name="20% - Accent5 2 4 4 2 6" xfId="35989" xr:uid="{00000000-0005-0000-0000-0000553B0000}"/>
    <cellStyle name="20% - Accent5 2 4 4 2 7" xfId="41466" xr:uid="{00000000-0005-0000-0000-0000563B0000}"/>
    <cellStyle name="20% - Accent5 2 4 4 2 8" xfId="46943" xr:uid="{00000000-0005-0000-0000-0000573B0000}"/>
    <cellStyle name="20% - Accent5 2 4 4 2 9" xfId="52461" xr:uid="{00000000-0005-0000-0000-0000583B0000}"/>
    <cellStyle name="20% - Accent5 2 4 4 3" xfId="4057" xr:uid="{00000000-0005-0000-0000-0000593B0000}"/>
    <cellStyle name="20% - Accent5 2 4 4 3 2" xfId="9537" xr:uid="{00000000-0005-0000-0000-00005A3B0000}"/>
    <cellStyle name="20% - Accent5 2 4 4 3 3" xfId="15013" xr:uid="{00000000-0005-0000-0000-00005B3B0000}"/>
    <cellStyle name="20% - Accent5 2 4 4 3 4" xfId="20489" xr:uid="{00000000-0005-0000-0000-00005C3B0000}"/>
    <cellStyle name="20% - Accent5 2 4 4 3 5" xfId="25965" xr:uid="{00000000-0005-0000-0000-00005D3B0000}"/>
    <cellStyle name="20% - Accent5 2 4 4 3 6" xfId="37761" xr:uid="{00000000-0005-0000-0000-00005E3B0000}"/>
    <cellStyle name="20% - Accent5 2 4 4 3 7" xfId="43238" xr:uid="{00000000-0005-0000-0000-00005F3B0000}"/>
    <cellStyle name="20% - Accent5 2 4 4 3 8" xfId="48715" xr:uid="{00000000-0005-0000-0000-0000603B0000}"/>
    <cellStyle name="20% - Accent5 2 4 4 3 9" xfId="54233" xr:uid="{00000000-0005-0000-0000-0000613B0000}"/>
    <cellStyle name="20% - Accent5 2 4 4 4" xfId="6083" xr:uid="{00000000-0005-0000-0000-0000623B0000}"/>
    <cellStyle name="20% - Accent5 2 4 4 5" xfId="11563" xr:uid="{00000000-0005-0000-0000-0000633B0000}"/>
    <cellStyle name="20% - Accent5 2 4 4 6" xfId="17039" xr:uid="{00000000-0005-0000-0000-0000643B0000}"/>
    <cellStyle name="20% - Accent5 2 4 4 7" xfId="22515" xr:uid="{00000000-0005-0000-0000-0000653B0000}"/>
    <cellStyle name="20% - Accent5 2 4 4 8" xfId="34310" xr:uid="{00000000-0005-0000-0000-0000663B0000}"/>
    <cellStyle name="20% - Accent5 2 4 4 9" xfId="39787" xr:uid="{00000000-0005-0000-0000-0000673B0000}"/>
    <cellStyle name="20% - Accent5 2 4 5" xfId="696" xr:uid="{00000000-0005-0000-0000-0000683B0000}"/>
    <cellStyle name="20% - Accent5 2 4 5 10" xfId="45265" xr:uid="{00000000-0005-0000-0000-0000693B0000}"/>
    <cellStyle name="20% - Accent5 2 4 5 11" xfId="50743" xr:uid="{00000000-0005-0000-0000-00006A3B0000}"/>
    <cellStyle name="20% - Accent5 2 4 5 2" xfId="2457" xr:uid="{00000000-0005-0000-0000-00006B3B0000}"/>
    <cellStyle name="20% - Accent5 2 4 5 2 2" xfId="7937" xr:uid="{00000000-0005-0000-0000-00006C3B0000}"/>
    <cellStyle name="20% - Accent5 2 4 5 2 3" xfId="13413" xr:uid="{00000000-0005-0000-0000-00006D3B0000}"/>
    <cellStyle name="20% - Accent5 2 4 5 2 4" xfId="18889" xr:uid="{00000000-0005-0000-0000-00006E3B0000}"/>
    <cellStyle name="20% - Accent5 2 4 5 2 5" xfId="24365" xr:uid="{00000000-0005-0000-0000-00006F3B0000}"/>
    <cellStyle name="20% - Accent5 2 4 5 2 6" xfId="36161" xr:uid="{00000000-0005-0000-0000-0000703B0000}"/>
    <cellStyle name="20% - Accent5 2 4 5 2 7" xfId="41638" xr:uid="{00000000-0005-0000-0000-0000713B0000}"/>
    <cellStyle name="20% - Accent5 2 4 5 2 8" xfId="47115" xr:uid="{00000000-0005-0000-0000-0000723B0000}"/>
    <cellStyle name="20% - Accent5 2 4 5 2 9" xfId="52633" xr:uid="{00000000-0005-0000-0000-0000733B0000}"/>
    <cellStyle name="20% - Accent5 2 4 5 3" xfId="4229" xr:uid="{00000000-0005-0000-0000-0000743B0000}"/>
    <cellStyle name="20% - Accent5 2 4 5 3 2" xfId="9709" xr:uid="{00000000-0005-0000-0000-0000753B0000}"/>
    <cellStyle name="20% - Accent5 2 4 5 3 3" xfId="15185" xr:uid="{00000000-0005-0000-0000-0000763B0000}"/>
    <cellStyle name="20% - Accent5 2 4 5 3 4" xfId="20661" xr:uid="{00000000-0005-0000-0000-0000773B0000}"/>
    <cellStyle name="20% - Accent5 2 4 5 3 5" xfId="26137" xr:uid="{00000000-0005-0000-0000-0000783B0000}"/>
    <cellStyle name="20% - Accent5 2 4 5 3 6" xfId="37933" xr:uid="{00000000-0005-0000-0000-0000793B0000}"/>
    <cellStyle name="20% - Accent5 2 4 5 3 7" xfId="43410" xr:uid="{00000000-0005-0000-0000-00007A3B0000}"/>
    <cellStyle name="20% - Accent5 2 4 5 3 8" xfId="48887" xr:uid="{00000000-0005-0000-0000-00007B3B0000}"/>
    <cellStyle name="20% - Accent5 2 4 5 3 9" xfId="54405" xr:uid="{00000000-0005-0000-0000-00007C3B0000}"/>
    <cellStyle name="20% - Accent5 2 4 5 4" xfId="6084" xr:uid="{00000000-0005-0000-0000-00007D3B0000}"/>
    <cellStyle name="20% - Accent5 2 4 5 5" xfId="11564" xr:uid="{00000000-0005-0000-0000-00007E3B0000}"/>
    <cellStyle name="20% - Accent5 2 4 5 6" xfId="17040" xr:uid="{00000000-0005-0000-0000-00007F3B0000}"/>
    <cellStyle name="20% - Accent5 2 4 5 7" xfId="22516" xr:uid="{00000000-0005-0000-0000-0000803B0000}"/>
    <cellStyle name="20% - Accent5 2 4 5 8" xfId="34311" xr:uid="{00000000-0005-0000-0000-0000813B0000}"/>
    <cellStyle name="20% - Accent5 2 4 5 9" xfId="39788" xr:uid="{00000000-0005-0000-0000-0000823B0000}"/>
    <cellStyle name="20% - Accent5 2 4 6" xfId="868" xr:uid="{00000000-0005-0000-0000-0000833B0000}"/>
    <cellStyle name="20% - Accent5 2 4 6 10" xfId="45266" xr:uid="{00000000-0005-0000-0000-0000843B0000}"/>
    <cellStyle name="20% - Accent5 2 4 6 11" xfId="50744" xr:uid="{00000000-0005-0000-0000-0000853B0000}"/>
    <cellStyle name="20% - Accent5 2 4 6 2" xfId="2629" xr:uid="{00000000-0005-0000-0000-0000863B0000}"/>
    <cellStyle name="20% - Accent5 2 4 6 2 2" xfId="8109" xr:uid="{00000000-0005-0000-0000-0000873B0000}"/>
    <cellStyle name="20% - Accent5 2 4 6 2 3" xfId="13585" xr:uid="{00000000-0005-0000-0000-0000883B0000}"/>
    <cellStyle name="20% - Accent5 2 4 6 2 4" xfId="19061" xr:uid="{00000000-0005-0000-0000-0000893B0000}"/>
    <cellStyle name="20% - Accent5 2 4 6 2 5" xfId="24537" xr:uid="{00000000-0005-0000-0000-00008A3B0000}"/>
    <cellStyle name="20% - Accent5 2 4 6 2 6" xfId="36333" xr:uid="{00000000-0005-0000-0000-00008B3B0000}"/>
    <cellStyle name="20% - Accent5 2 4 6 2 7" xfId="41810" xr:uid="{00000000-0005-0000-0000-00008C3B0000}"/>
    <cellStyle name="20% - Accent5 2 4 6 2 8" xfId="47287" xr:uid="{00000000-0005-0000-0000-00008D3B0000}"/>
    <cellStyle name="20% - Accent5 2 4 6 2 9" xfId="52805" xr:uid="{00000000-0005-0000-0000-00008E3B0000}"/>
    <cellStyle name="20% - Accent5 2 4 6 3" xfId="4401" xr:uid="{00000000-0005-0000-0000-00008F3B0000}"/>
    <cellStyle name="20% - Accent5 2 4 6 3 2" xfId="9881" xr:uid="{00000000-0005-0000-0000-0000903B0000}"/>
    <cellStyle name="20% - Accent5 2 4 6 3 3" xfId="15357" xr:uid="{00000000-0005-0000-0000-0000913B0000}"/>
    <cellStyle name="20% - Accent5 2 4 6 3 4" xfId="20833" xr:uid="{00000000-0005-0000-0000-0000923B0000}"/>
    <cellStyle name="20% - Accent5 2 4 6 3 5" xfId="26309" xr:uid="{00000000-0005-0000-0000-0000933B0000}"/>
    <cellStyle name="20% - Accent5 2 4 6 3 6" xfId="38105" xr:uid="{00000000-0005-0000-0000-0000943B0000}"/>
    <cellStyle name="20% - Accent5 2 4 6 3 7" xfId="43582" xr:uid="{00000000-0005-0000-0000-0000953B0000}"/>
    <cellStyle name="20% - Accent5 2 4 6 3 8" xfId="49059" xr:uid="{00000000-0005-0000-0000-0000963B0000}"/>
    <cellStyle name="20% - Accent5 2 4 6 3 9" xfId="54577" xr:uid="{00000000-0005-0000-0000-0000973B0000}"/>
    <cellStyle name="20% - Accent5 2 4 6 4" xfId="6085" xr:uid="{00000000-0005-0000-0000-0000983B0000}"/>
    <cellStyle name="20% - Accent5 2 4 6 5" xfId="11565" xr:uid="{00000000-0005-0000-0000-0000993B0000}"/>
    <cellStyle name="20% - Accent5 2 4 6 6" xfId="17041" xr:uid="{00000000-0005-0000-0000-00009A3B0000}"/>
    <cellStyle name="20% - Accent5 2 4 6 7" xfId="22517" xr:uid="{00000000-0005-0000-0000-00009B3B0000}"/>
    <cellStyle name="20% - Accent5 2 4 6 8" xfId="34312" xr:uid="{00000000-0005-0000-0000-00009C3B0000}"/>
    <cellStyle name="20% - Accent5 2 4 6 9" xfId="39789" xr:uid="{00000000-0005-0000-0000-00009D3B0000}"/>
    <cellStyle name="20% - Accent5 2 4 7" xfId="1074" xr:uid="{00000000-0005-0000-0000-00009E3B0000}"/>
    <cellStyle name="20% - Accent5 2 4 7 10" xfId="45267" xr:uid="{00000000-0005-0000-0000-00009F3B0000}"/>
    <cellStyle name="20% - Accent5 2 4 7 11" xfId="50745" xr:uid="{00000000-0005-0000-0000-0000A03B0000}"/>
    <cellStyle name="20% - Accent5 2 4 7 2" xfId="2835" xr:uid="{00000000-0005-0000-0000-0000A13B0000}"/>
    <cellStyle name="20% - Accent5 2 4 7 2 2" xfId="8315" xr:uid="{00000000-0005-0000-0000-0000A23B0000}"/>
    <cellStyle name="20% - Accent5 2 4 7 2 3" xfId="13791" xr:uid="{00000000-0005-0000-0000-0000A33B0000}"/>
    <cellStyle name="20% - Accent5 2 4 7 2 4" xfId="19267" xr:uid="{00000000-0005-0000-0000-0000A43B0000}"/>
    <cellStyle name="20% - Accent5 2 4 7 2 5" xfId="24743" xr:uid="{00000000-0005-0000-0000-0000A53B0000}"/>
    <cellStyle name="20% - Accent5 2 4 7 2 6" xfId="36539" xr:uid="{00000000-0005-0000-0000-0000A63B0000}"/>
    <cellStyle name="20% - Accent5 2 4 7 2 7" xfId="42016" xr:uid="{00000000-0005-0000-0000-0000A73B0000}"/>
    <cellStyle name="20% - Accent5 2 4 7 2 8" xfId="47493" xr:uid="{00000000-0005-0000-0000-0000A83B0000}"/>
    <cellStyle name="20% - Accent5 2 4 7 2 9" xfId="53011" xr:uid="{00000000-0005-0000-0000-0000A93B0000}"/>
    <cellStyle name="20% - Accent5 2 4 7 3" xfId="4607" xr:uid="{00000000-0005-0000-0000-0000AA3B0000}"/>
    <cellStyle name="20% - Accent5 2 4 7 3 2" xfId="10087" xr:uid="{00000000-0005-0000-0000-0000AB3B0000}"/>
    <cellStyle name="20% - Accent5 2 4 7 3 3" xfId="15563" xr:uid="{00000000-0005-0000-0000-0000AC3B0000}"/>
    <cellStyle name="20% - Accent5 2 4 7 3 4" xfId="21039" xr:uid="{00000000-0005-0000-0000-0000AD3B0000}"/>
    <cellStyle name="20% - Accent5 2 4 7 3 5" xfId="26515" xr:uid="{00000000-0005-0000-0000-0000AE3B0000}"/>
    <cellStyle name="20% - Accent5 2 4 7 3 6" xfId="38311" xr:uid="{00000000-0005-0000-0000-0000AF3B0000}"/>
    <cellStyle name="20% - Accent5 2 4 7 3 7" xfId="43788" xr:uid="{00000000-0005-0000-0000-0000B03B0000}"/>
    <cellStyle name="20% - Accent5 2 4 7 3 8" xfId="49265" xr:uid="{00000000-0005-0000-0000-0000B13B0000}"/>
    <cellStyle name="20% - Accent5 2 4 7 3 9" xfId="54783" xr:uid="{00000000-0005-0000-0000-0000B23B0000}"/>
    <cellStyle name="20% - Accent5 2 4 7 4" xfId="6086" xr:uid="{00000000-0005-0000-0000-0000B33B0000}"/>
    <cellStyle name="20% - Accent5 2 4 7 5" xfId="11566" xr:uid="{00000000-0005-0000-0000-0000B43B0000}"/>
    <cellStyle name="20% - Accent5 2 4 7 6" xfId="17042" xr:uid="{00000000-0005-0000-0000-0000B53B0000}"/>
    <cellStyle name="20% - Accent5 2 4 7 7" xfId="22518" xr:uid="{00000000-0005-0000-0000-0000B63B0000}"/>
    <cellStyle name="20% - Accent5 2 4 7 8" xfId="34313" xr:uid="{00000000-0005-0000-0000-0000B73B0000}"/>
    <cellStyle name="20% - Accent5 2 4 7 9" xfId="39790" xr:uid="{00000000-0005-0000-0000-0000B83B0000}"/>
    <cellStyle name="20% - Accent5 2 4 8" xfId="1246" xr:uid="{00000000-0005-0000-0000-0000B93B0000}"/>
    <cellStyle name="20% - Accent5 2 4 8 10" xfId="45268" xr:uid="{00000000-0005-0000-0000-0000BA3B0000}"/>
    <cellStyle name="20% - Accent5 2 4 8 11" xfId="50746" xr:uid="{00000000-0005-0000-0000-0000BB3B0000}"/>
    <cellStyle name="20% - Accent5 2 4 8 2" xfId="3007" xr:uid="{00000000-0005-0000-0000-0000BC3B0000}"/>
    <cellStyle name="20% - Accent5 2 4 8 2 2" xfId="8487" xr:uid="{00000000-0005-0000-0000-0000BD3B0000}"/>
    <cellStyle name="20% - Accent5 2 4 8 2 3" xfId="13963" xr:uid="{00000000-0005-0000-0000-0000BE3B0000}"/>
    <cellStyle name="20% - Accent5 2 4 8 2 4" xfId="19439" xr:uid="{00000000-0005-0000-0000-0000BF3B0000}"/>
    <cellStyle name="20% - Accent5 2 4 8 2 5" xfId="24915" xr:uid="{00000000-0005-0000-0000-0000C03B0000}"/>
    <cellStyle name="20% - Accent5 2 4 8 2 6" xfId="36711" xr:uid="{00000000-0005-0000-0000-0000C13B0000}"/>
    <cellStyle name="20% - Accent5 2 4 8 2 7" xfId="42188" xr:uid="{00000000-0005-0000-0000-0000C23B0000}"/>
    <cellStyle name="20% - Accent5 2 4 8 2 8" xfId="47665" xr:uid="{00000000-0005-0000-0000-0000C33B0000}"/>
    <cellStyle name="20% - Accent5 2 4 8 2 9" xfId="53183" xr:uid="{00000000-0005-0000-0000-0000C43B0000}"/>
    <cellStyle name="20% - Accent5 2 4 8 3" xfId="4779" xr:uid="{00000000-0005-0000-0000-0000C53B0000}"/>
    <cellStyle name="20% - Accent5 2 4 8 3 2" xfId="10259" xr:uid="{00000000-0005-0000-0000-0000C63B0000}"/>
    <cellStyle name="20% - Accent5 2 4 8 3 3" xfId="15735" xr:uid="{00000000-0005-0000-0000-0000C73B0000}"/>
    <cellStyle name="20% - Accent5 2 4 8 3 4" xfId="21211" xr:uid="{00000000-0005-0000-0000-0000C83B0000}"/>
    <cellStyle name="20% - Accent5 2 4 8 3 5" xfId="26687" xr:uid="{00000000-0005-0000-0000-0000C93B0000}"/>
    <cellStyle name="20% - Accent5 2 4 8 3 6" xfId="38483" xr:uid="{00000000-0005-0000-0000-0000CA3B0000}"/>
    <cellStyle name="20% - Accent5 2 4 8 3 7" xfId="43960" xr:uid="{00000000-0005-0000-0000-0000CB3B0000}"/>
    <cellStyle name="20% - Accent5 2 4 8 3 8" xfId="49437" xr:uid="{00000000-0005-0000-0000-0000CC3B0000}"/>
    <cellStyle name="20% - Accent5 2 4 8 3 9" xfId="54955" xr:uid="{00000000-0005-0000-0000-0000CD3B0000}"/>
    <cellStyle name="20% - Accent5 2 4 8 4" xfId="6087" xr:uid="{00000000-0005-0000-0000-0000CE3B0000}"/>
    <cellStyle name="20% - Accent5 2 4 8 5" xfId="11567" xr:uid="{00000000-0005-0000-0000-0000CF3B0000}"/>
    <cellStyle name="20% - Accent5 2 4 8 6" xfId="17043" xr:uid="{00000000-0005-0000-0000-0000D03B0000}"/>
    <cellStyle name="20% - Accent5 2 4 8 7" xfId="22519" xr:uid="{00000000-0005-0000-0000-0000D13B0000}"/>
    <cellStyle name="20% - Accent5 2 4 8 8" xfId="34314" xr:uid="{00000000-0005-0000-0000-0000D23B0000}"/>
    <cellStyle name="20% - Accent5 2 4 8 9" xfId="39791" xr:uid="{00000000-0005-0000-0000-0000D33B0000}"/>
    <cellStyle name="20% - Accent5 2 4 9" xfId="1418" xr:uid="{00000000-0005-0000-0000-0000D43B0000}"/>
    <cellStyle name="20% - Accent5 2 4 9 10" xfId="45269" xr:uid="{00000000-0005-0000-0000-0000D53B0000}"/>
    <cellStyle name="20% - Accent5 2 4 9 11" xfId="50747" xr:uid="{00000000-0005-0000-0000-0000D63B0000}"/>
    <cellStyle name="20% - Accent5 2 4 9 2" xfId="3179" xr:uid="{00000000-0005-0000-0000-0000D73B0000}"/>
    <cellStyle name="20% - Accent5 2 4 9 2 2" xfId="8659" xr:uid="{00000000-0005-0000-0000-0000D83B0000}"/>
    <cellStyle name="20% - Accent5 2 4 9 2 3" xfId="14135" xr:uid="{00000000-0005-0000-0000-0000D93B0000}"/>
    <cellStyle name="20% - Accent5 2 4 9 2 4" xfId="19611" xr:uid="{00000000-0005-0000-0000-0000DA3B0000}"/>
    <cellStyle name="20% - Accent5 2 4 9 2 5" xfId="25087" xr:uid="{00000000-0005-0000-0000-0000DB3B0000}"/>
    <cellStyle name="20% - Accent5 2 4 9 2 6" xfId="36883" xr:uid="{00000000-0005-0000-0000-0000DC3B0000}"/>
    <cellStyle name="20% - Accent5 2 4 9 2 7" xfId="42360" xr:uid="{00000000-0005-0000-0000-0000DD3B0000}"/>
    <cellStyle name="20% - Accent5 2 4 9 2 8" xfId="47837" xr:uid="{00000000-0005-0000-0000-0000DE3B0000}"/>
    <cellStyle name="20% - Accent5 2 4 9 2 9" xfId="53355" xr:uid="{00000000-0005-0000-0000-0000DF3B0000}"/>
    <cellStyle name="20% - Accent5 2 4 9 3" xfId="4951" xr:uid="{00000000-0005-0000-0000-0000E03B0000}"/>
    <cellStyle name="20% - Accent5 2 4 9 3 2" xfId="10431" xr:uid="{00000000-0005-0000-0000-0000E13B0000}"/>
    <cellStyle name="20% - Accent5 2 4 9 3 3" xfId="15907" xr:uid="{00000000-0005-0000-0000-0000E23B0000}"/>
    <cellStyle name="20% - Accent5 2 4 9 3 4" xfId="21383" xr:uid="{00000000-0005-0000-0000-0000E33B0000}"/>
    <cellStyle name="20% - Accent5 2 4 9 3 5" xfId="26859" xr:uid="{00000000-0005-0000-0000-0000E43B0000}"/>
    <cellStyle name="20% - Accent5 2 4 9 3 6" xfId="38655" xr:uid="{00000000-0005-0000-0000-0000E53B0000}"/>
    <cellStyle name="20% - Accent5 2 4 9 3 7" xfId="44132" xr:uid="{00000000-0005-0000-0000-0000E63B0000}"/>
    <cellStyle name="20% - Accent5 2 4 9 3 8" xfId="49609" xr:uid="{00000000-0005-0000-0000-0000E73B0000}"/>
    <cellStyle name="20% - Accent5 2 4 9 3 9" xfId="55127" xr:uid="{00000000-0005-0000-0000-0000E83B0000}"/>
    <cellStyle name="20% - Accent5 2 4 9 4" xfId="6088" xr:uid="{00000000-0005-0000-0000-0000E93B0000}"/>
    <cellStyle name="20% - Accent5 2 4 9 5" xfId="11568" xr:uid="{00000000-0005-0000-0000-0000EA3B0000}"/>
    <cellStyle name="20% - Accent5 2 4 9 6" xfId="17044" xr:uid="{00000000-0005-0000-0000-0000EB3B0000}"/>
    <cellStyle name="20% - Accent5 2 4 9 7" xfId="22520" xr:uid="{00000000-0005-0000-0000-0000EC3B0000}"/>
    <cellStyle name="20% - Accent5 2 4 9 8" xfId="34315" xr:uid="{00000000-0005-0000-0000-0000ED3B0000}"/>
    <cellStyle name="20% - Accent5 2 4 9 9" xfId="39792" xr:uid="{00000000-0005-0000-0000-0000EE3B0000}"/>
    <cellStyle name="20% - Accent5 2 5" xfId="209" xr:uid="{00000000-0005-0000-0000-0000EF3B0000}"/>
    <cellStyle name="20% - Accent5 2 5 10" xfId="1764" xr:uid="{00000000-0005-0000-0000-0000F03B0000}"/>
    <cellStyle name="20% - Accent5 2 5 10 10" xfId="45271" xr:uid="{00000000-0005-0000-0000-0000F13B0000}"/>
    <cellStyle name="20% - Accent5 2 5 10 11" xfId="50749" xr:uid="{00000000-0005-0000-0000-0000F23B0000}"/>
    <cellStyle name="20% - Accent5 2 5 10 2" xfId="3525" xr:uid="{00000000-0005-0000-0000-0000F33B0000}"/>
    <cellStyle name="20% - Accent5 2 5 10 2 2" xfId="9005" xr:uid="{00000000-0005-0000-0000-0000F43B0000}"/>
    <cellStyle name="20% - Accent5 2 5 10 2 3" xfId="14481" xr:uid="{00000000-0005-0000-0000-0000F53B0000}"/>
    <cellStyle name="20% - Accent5 2 5 10 2 4" xfId="19957" xr:uid="{00000000-0005-0000-0000-0000F63B0000}"/>
    <cellStyle name="20% - Accent5 2 5 10 2 5" xfId="25433" xr:uid="{00000000-0005-0000-0000-0000F73B0000}"/>
    <cellStyle name="20% - Accent5 2 5 10 2 6" xfId="37229" xr:uid="{00000000-0005-0000-0000-0000F83B0000}"/>
    <cellStyle name="20% - Accent5 2 5 10 2 7" xfId="42706" xr:uid="{00000000-0005-0000-0000-0000F93B0000}"/>
    <cellStyle name="20% - Accent5 2 5 10 2 8" xfId="48183" xr:uid="{00000000-0005-0000-0000-0000FA3B0000}"/>
    <cellStyle name="20% - Accent5 2 5 10 2 9" xfId="53701" xr:uid="{00000000-0005-0000-0000-0000FB3B0000}"/>
    <cellStyle name="20% - Accent5 2 5 10 3" xfId="5297" xr:uid="{00000000-0005-0000-0000-0000FC3B0000}"/>
    <cellStyle name="20% - Accent5 2 5 10 3 2" xfId="10777" xr:uid="{00000000-0005-0000-0000-0000FD3B0000}"/>
    <cellStyle name="20% - Accent5 2 5 10 3 3" xfId="16253" xr:uid="{00000000-0005-0000-0000-0000FE3B0000}"/>
    <cellStyle name="20% - Accent5 2 5 10 3 4" xfId="21729" xr:uid="{00000000-0005-0000-0000-0000FF3B0000}"/>
    <cellStyle name="20% - Accent5 2 5 10 3 5" xfId="27205" xr:uid="{00000000-0005-0000-0000-0000003C0000}"/>
    <cellStyle name="20% - Accent5 2 5 10 3 6" xfId="39001" xr:uid="{00000000-0005-0000-0000-0000013C0000}"/>
    <cellStyle name="20% - Accent5 2 5 10 3 7" xfId="44478" xr:uid="{00000000-0005-0000-0000-0000023C0000}"/>
    <cellStyle name="20% - Accent5 2 5 10 3 8" xfId="49955" xr:uid="{00000000-0005-0000-0000-0000033C0000}"/>
    <cellStyle name="20% - Accent5 2 5 10 3 9" xfId="55473" xr:uid="{00000000-0005-0000-0000-0000043C0000}"/>
    <cellStyle name="20% - Accent5 2 5 10 4" xfId="6090" xr:uid="{00000000-0005-0000-0000-0000053C0000}"/>
    <cellStyle name="20% - Accent5 2 5 10 5" xfId="11570" xr:uid="{00000000-0005-0000-0000-0000063C0000}"/>
    <cellStyle name="20% - Accent5 2 5 10 6" xfId="17046" xr:uid="{00000000-0005-0000-0000-0000073C0000}"/>
    <cellStyle name="20% - Accent5 2 5 10 7" xfId="22522" xr:uid="{00000000-0005-0000-0000-0000083C0000}"/>
    <cellStyle name="20% - Accent5 2 5 10 8" xfId="34317" xr:uid="{00000000-0005-0000-0000-0000093C0000}"/>
    <cellStyle name="20% - Accent5 2 5 10 9" xfId="39794" xr:uid="{00000000-0005-0000-0000-00000A3C0000}"/>
    <cellStyle name="20% - Accent5 2 5 11" xfId="1954" xr:uid="{00000000-0005-0000-0000-00000B3C0000}"/>
    <cellStyle name="20% - Accent5 2 5 11 10" xfId="52131" xr:uid="{00000000-0005-0000-0000-00000C3C0000}"/>
    <cellStyle name="20% - Accent5 2 5 11 2" xfId="5486" xr:uid="{00000000-0005-0000-0000-00000D3C0000}"/>
    <cellStyle name="20% - Accent5 2 5 11 2 2" xfId="10966" xr:uid="{00000000-0005-0000-0000-00000E3C0000}"/>
    <cellStyle name="20% - Accent5 2 5 11 2 3" xfId="16442" xr:uid="{00000000-0005-0000-0000-00000F3C0000}"/>
    <cellStyle name="20% - Accent5 2 5 11 2 4" xfId="21918" xr:uid="{00000000-0005-0000-0000-0000103C0000}"/>
    <cellStyle name="20% - Accent5 2 5 11 2 5" xfId="27394" xr:uid="{00000000-0005-0000-0000-0000113C0000}"/>
    <cellStyle name="20% - Accent5 2 5 11 2 6" xfId="39190" xr:uid="{00000000-0005-0000-0000-0000123C0000}"/>
    <cellStyle name="20% - Accent5 2 5 11 2 7" xfId="44667" xr:uid="{00000000-0005-0000-0000-0000133C0000}"/>
    <cellStyle name="20% - Accent5 2 5 11 2 8" xfId="50144" xr:uid="{00000000-0005-0000-0000-0000143C0000}"/>
    <cellStyle name="20% - Accent5 2 5 11 2 9" xfId="55662" xr:uid="{00000000-0005-0000-0000-0000153C0000}"/>
    <cellStyle name="20% - Accent5 2 5 11 3" xfId="7435" xr:uid="{00000000-0005-0000-0000-0000163C0000}"/>
    <cellStyle name="20% - Accent5 2 5 11 4" xfId="12911" xr:uid="{00000000-0005-0000-0000-0000173C0000}"/>
    <cellStyle name="20% - Accent5 2 5 11 5" xfId="18387" xr:uid="{00000000-0005-0000-0000-0000183C0000}"/>
    <cellStyle name="20% - Accent5 2 5 11 6" xfId="23863" xr:uid="{00000000-0005-0000-0000-0000193C0000}"/>
    <cellStyle name="20% - Accent5 2 5 11 7" xfId="35659" xr:uid="{00000000-0005-0000-0000-00001A3C0000}"/>
    <cellStyle name="20% - Accent5 2 5 11 8" xfId="41136" xr:uid="{00000000-0005-0000-0000-00001B3C0000}"/>
    <cellStyle name="20% - Accent5 2 5 11 9" xfId="46613" xr:uid="{00000000-0005-0000-0000-00001C3C0000}"/>
    <cellStyle name="20% - Accent5 2 5 12" xfId="3775" xr:uid="{00000000-0005-0000-0000-00001D3C0000}"/>
    <cellStyle name="20% - Accent5 2 5 12 2" xfId="9255" xr:uid="{00000000-0005-0000-0000-00001E3C0000}"/>
    <cellStyle name="20% - Accent5 2 5 12 3" xfId="14731" xr:uid="{00000000-0005-0000-0000-00001F3C0000}"/>
    <cellStyle name="20% - Accent5 2 5 12 4" xfId="20207" xr:uid="{00000000-0005-0000-0000-0000203C0000}"/>
    <cellStyle name="20% - Accent5 2 5 12 5" xfId="25683" xr:uid="{00000000-0005-0000-0000-0000213C0000}"/>
    <cellStyle name="20% - Accent5 2 5 12 6" xfId="37479" xr:uid="{00000000-0005-0000-0000-0000223C0000}"/>
    <cellStyle name="20% - Accent5 2 5 12 7" xfId="42956" xr:uid="{00000000-0005-0000-0000-0000233C0000}"/>
    <cellStyle name="20% - Accent5 2 5 12 8" xfId="48433" xr:uid="{00000000-0005-0000-0000-0000243C0000}"/>
    <cellStyle name="20% - Accent5 2 5 12 9" xfId="53951" xr:uid="{00000000-0005-0000-0000-0000253C0000}"/>
    <cellStyle name="20% - Accent5 2 5 13" xfId="6089" xr:uid="{00000000-0005-0000-0000-0000263C0000}"/>
    <cellStyle name="20% - Accent5 2 5 14" xfId="11569" xr:uid="{00000000-0005-0000-0000-0000273C0000}"/>
    <cellStyle name="20% - Accent5 2 5 15" xfId="17045" xr:uid="{00000000-0005-0000-0000-0000283C0000}"/>
    <cellStyle name="20% - Accent5 2 5 16" xfId="22521" xr:uid="{00000000-0005-0000-0000-0000293C0000}"/>
    <cellStyle name="20% - Accent5 2 5 17" xfId="29529" xr:uid="{00000000-0005-0000-0000-00002A3C0000}"/>
    <cellStyle name="20% - Accent5 2 5 18" xfId="34316" xr:uid="{00000000-0005-0000-0000-00002B3C0000}"/>
    <cellStyle name="20% - Accent5 2 5 19" xfId="39793" xr:uid="{00000000-0005-0000-0000-00002C3C0000}"/>
    <cellStyle name="20% - Accent5 2 5 2" xfId="325" xr:uid="{00000000-0005-0000-0000-00002D3C0000}"/>
    <cellStyle name="20% - Accent5 2 5 2 10" xfId="39795" xr:uid="{00000000-0005-0000-0000-00002E3C0000}"/>
    <cellStyle name="20% - Accent5 2 5 2 11" xfId="45272" xr:uid="{00000000-0005-0000-0000-00002F3C0000}"/>
    <cellStyle name="20% - Accent5 2 5 2 12" xfId="50750" xr:uid="{00000000-0005-0000-0000-0000303C0000}"/>
    <cellStyle name="20% - Accent5 2 5 2 2" xfId="2123" xr:uid="{00000000-0005-0000-0000-0000313C0000}"/>
    <cellStyle name="20% - Accent5 2 5 2 2 10" xfId="52299" xr:uid="{00000000-0005-0000-0000-0000323C0000}"/>
    <cellStyle name="20% - Accent5 2 5 2 2 2" xfId="7603" xr:uid="{00000000-0005-0000-0000-0000333C0000}"/>
    <cellStyle name="20% - Accent5 2 5 2 2 3" xfId="13079" xr:uid="{00000000-0005-0000-0000-0000343C0000}"/>
    <cellStyle name="20% - Accent5 2 5 2 2 4" xfId="18555" xr:uid="{00000000-0005-0000-0000-0000353C0000}"/>
    <cellStyle name="20% - Accent5 2 5 2 2 5" xfId="24031" xr:uid="{00000000-0005-0000-0000-0000363C0000}"/>
    <cellStyle name="20% - Accent5 2 5 2 2 6" xfId="29531" xr:uid="{00000000-0005-0000-0000-0000373C0000}"/>
    <cellStyle name="20% - Accent5 2 5 2 2 7" xfId="35827" xr:uid="{00000000-0005-0000-0000-0000383C0000}"/>
    <cellStyle name="20% - Accent5 2 5 2 2 8" xfId="41304" xr:uid="{00000000-0005-0000-0000-0000393C0000}"/>
    <cellStyle name="20% - Accent5 2 5 2 2 9" xfId="46781" xr:uid="{00000000-0005-0000-0000-00003A3C0000}"/>
    <cellStyle name="20% - Accent5 2 5 2 3" xfId="3887" xr:uid="{00000000-0005-0000-0000-00003B3C0000}"/>
    <cellStyle name="20% - Accent5 2 5 2 3 2" xfId="9367" xr:uid="{00000000-0005-0000-0000-00003C3C0000}"/>
    <cellStyle name="20% - Accent5 2 5 2 3 3" xfId="14843" xr:uid="{00000000-0005-0000-0000-00003D3C0000}"/>
    <cellStyle name="20% - Accent5 2 5 2 3 4" xfId="20319" xr:uid="{00000000-0005-0000-0000-00003E3C0000}"/>
    <cellStyle name="20% - Accent5 2 5 2 3 5" xfId="25795" xr:uid="{00000000-0005-0000-0000-00003F3C0000}"/>
    <cellStyle name="20% - Accent5 2 5 2 3 6" xfId="37591" xr:uid="{00000000-0005-0000-0000-0000403C0000}"/>
    <cellStyle name="20% - Accent5 2 5 2 3 7" xfId="43068" xr:uid="{00000000-0005-0000-0000-0000413C0000}"/>
    <cellStyle name="20% - Accent5 2 5 2 3 8" xfId="48545" xr:uid="{00000000-0005-0000-0000-0000423C0000}"/>
    <cellStyle name="20% - Accent5 2 5 2 3 9" xfId="54063" xr:uid="{00000000-0005-0000-0000-0000433C0000}"/>
    <cellStyle name="20% - Accent5 2 5 2 4" xfId="6091" xr:uid="{00000000-0005-0000-0000-0000443C0000}"/>
    <cellStyle name="20% - Accent5 2 5 2 5" xfId="11571" xr:uid="{00000000-0005-0000-0000-0000453C0000}"/>
    <cellStyle name="20% - Accent5 2 5 2 6" xfId="17047" xr:uid="{00000000-0005-0000-0000-0000463C0000}"/>
    <cellStyle name="20% - Accent5 2 5 2 7" xfId="22523" xr:uid="{00000000-0005-0000-0000-0000473C0000}"/>
    <cellStyle name="20% - Accent5 2 5 2 8" xfId="29530" xr:uid="{00000000-0005-0000-0000-0000483C0000}"/>
    <cellStyle name="20% - Accent5 2 5 2 9" xfId="34318" xr:uid="{00000000-0005-0000-0000-0000493C0000}"/>
    <cellStyle name="20% - Accent5 2 5 20" xfId="45270" xr:uid="{00000000-0005-0000-0000-00004A3C0000}"/>
    <cellStyle name="20% - Accent5 2 5 21" xfId="50748" xr:uid="{00000000-0005-0000-0000-00004B3C0000}"/>
    <cellStyle name="20% - Accent5 2 5 3" xfId="526" xr:uid="{00000000-0005-0000-0000-00004C3C0000}"/>
    <cellStyle name="20% - Accent5 2 5 3 10" xfId="39796" xr:uid="{00000000-0005-0000-0000-00004D3C0000}"/>
    <cellStyle name="20% - Accent5 2 5 3 11" xfId="45273" xr:uid="{00000000-0005-0000-0000-00004E3C0000}"/>
    <cellStyle name="20% - Accent5 2 5 3 12" xfId="50751" xr:uid="{00000000-0005-0000-0000-00004F3C0000}"/>
    <cellStyle name="20% - Accent5 2 5 3 2" xfId="2287" xr:uid="{00000000-0005-0000-0000-0000503C0000}"/>
    <cellStyle name="20% - Accent5 2 5 3 2 2" xfId="7767" xr:uid="{00000000-0005-0000-0000-0000513C0000}"/>
    <cellStyle name="20% - Accent5 2 5 3 2 3" xfId="13243" xr:uid="{00000000-0005-0000-0000-0000523C0000}"/>
    <cellStyle name="20% - Accent5 2 5 3 2 4" xfId="18719" xr:uid="{00000000-0005-0000-0000-0000533C0000}"/>
    <cellStyle name="20% - Accent5 2 5 3 2 5" xfId="24195" xr:uid="{00000000-0005-0000-0000-0000543C0000}"/>
    <cellStyle name="20% - Accent5 2 5 3 2 6" xfId="35991" xr:uid="{00000000-0005-0000-0000-0000553C0000}"/>
    <cellStyle name="20% - Accent5 2 5 3 2 7" xfId="41468" xr:uid="{00000000-0005-0000-0000-0000563C0000}"/>
    <cellStyle name="20% - Accent5 2 5 3 2 8" xfId="46945" xr:uid="{00000000-0005-0000-0000-0000573C0000}"/>
    <cellStyle name="20% - Accent5 2 5 3 2 9" xfId="52463" xr:uid="{00000000-0005-0000-0000-0000583C0000}"/>
    <cellStyle name="20% - Accent5 2 5 3 3" xfId="4059" xr:uid="{00000000-0005-0000-0000-0000593C0000}"/>
    <cellStyle name="20% - Accent5 2 5 3 3 2" xfId="9539" xr:uid="{00000000-0005-0000-0000-00005A3C0000}"/>
    <cellStyle name="20% - Accent5 2 5 3 3 3" xfId="15015" xr:uid="{00000000-0005-0000-0000-00005B3C0000}"/>
    <cellStyle name="20% - Accent5 2 5 3 3 4" xfId="20491" xr:uid="{00000000-0005-0000-0000-00005C3C0000}"/>
    <cellStyle name="20% - Accent5 2 5 3 3 5" xfId="25967" xr:uid="{00000000-0005-0000-0000-00005D3C0000}"/>
    <cellStyle name="20% - Accent5 2 5 3 3 6" xfId="37763" xr:uid="{00000000-0005-0000-0000-00005E3C0000}"/>
    <cellStyle name="20% - Accent5 2 5 3 3 7" xfId="43240" xr:uid="{00000000-0005-0000-0000-00005F3C0000}"/>
    <cellStyle name="20% - Accent5 2 5 3 3 8" xfId="48717" xr:uid="{00000000-0005-0000-0000-0000603C0000}"/>
    <cellStyle name="20% - Accent5 2 5 3 3 9" xfId="54235" xr:uid="{00000000-0005-0000-0000-0000613C0000}"/>
    <cellStyle name="20% - Accent5 2 5 3 4" xfId="6092" xr:uid="{00000000-0005-0000-0000-0000623C0000}"/>
    <cellStyle name="20% - Accent5 2 5 3 5" xfId="11572" xr:uid="{00000000-0005-0000-0000-0000633C0000}"/>
    <cellStyle name="20% - Accent5 2 5 3 6" xfId="17048" xr:uid="{00000000-0005-0000-0000-0000643C0000}"/>
    <cellStyle name="20% - Accent5 2 5 3 7" xfId="22524" xr:uid="{00000000-0005-0000-0000-0000653C0000}"/>
    <cellStyle name="20% - Accent5 2 5 3 8" xfId="29532" xr:uid="{00000000-0005-0000-0000-0000663C0000}"/>
    <cellStyle name="20% - Accent5 2 5 3 9" xfId="34319" xr:uid="{00000000-0005-0000-0000-0000673C0000}"/>
    <cellStyle name="20% - Accent5 2 5 4" xfId="698" xr:uid="{00000000-0005-0000-0000-0000683C0000}"/>
    <cellStyle name="20% - Accent5 2 5 4 10" xfId="45274" xr:uid="{00000000-0005-0000-0000-0000693C0000}"/>
    <cellStyle name="20% - Accent5 2 5 4 11" xfId="50752" xr:uid="{00000000-0005-0000-0000-00006A3C0000}"/>
    <cellStyle name="20% - Accent5 2 5 4 2" xfId="2459" xr:uid="{00000000-0005-0000-0000-00006B3C0000}"/>
    <cellStyle name="20% - Accent5 2 5 4 2 2" xfId="7939" xr:uid="{00000000-0005-0000-0000-00006C3C0000}"/>
    <cellStyle name="20% - Accent5 2 5 4 2 3" xfId="13415" xr:uid="{00000000-0005-0000-0000-00006D3C0000}"/>
    <cellStyle name="20% - Accent5 2 5 4 2 4" xfId="18891" xr:uid="{00000000-0005-0000-0000-00006E3C0000}"/>
    <cellStyle name="20% - Accent5 2 5 4 2 5" xfId="24367" xr:uid="{00000000-0005-0000-0000-00006F3C0000}"/>
    <cellStyle name="20% - Accent5 2 5 4 2 6" xfId="36163" xr:uid="{00000000-0005-0000-0000-0000703C0000}"/>
    <cellStyle name="20% - Accent5 2 5 4 2 7" xfId="41640" xr:uid="{00000000-0005-0000-0000-0000713C0000}"/>
    <cellStyle name="20% - Accent5 2 5 4 2 8" xfId="47117" xr:uid="{00000000-0005-0000-0000-0000723C0000}"/>
    <cellStyle name="20% - Accent5 2 5 4 2 9" xfId="52635" xr:uid="{00000000-0005-0000-0000-0000733C0000}"/>
    <cellStyle name="20% - Accent5 2 5 4 3" xfId="4231" xr:uid="{00000000-0005-0000-0000-0000743C0000}"/>
    <cellStyle name="20% - Accent5 2 5 4 3 2" xfId="9711" xr:uid="{00000000-0005-0000-0000-0000753C0000}"/>
    <cellStyle name="20% - Accent5 2 5 4 3 3" xfId="15187" xr:uid="{00000000-0005-0000-0000-0000763C0000}"/>
    <cellStyle name="20% - Accent5 2 5 4 3 4" xfId="20663" xr:uid="{00000000-0005-0000-0000-0000773C0000}"/>
    <cellStyle name="20% - Accent5 2 5 4 3 5" xfId="26139" xr:uid="{00000000-0005-0000-0000-0000783C0000}"/>
    <cellStyle name="20% - Accent5 2 5 4 3 6" xfId="37935" xr:uid="{00000000-0005-0000-0000-0000793C0000}"/>
    <cellStyle name="20% - Accent5 2 5 4 3 7" xfId="43412" xr:uid="{00000000-0005-0000-0000-00007A3C0000}"/>
    <cellStyle name="20% - Accent5 2 5 4 3 8" xfId="48889" xr:uid="{00000000-0005-0000-0000-00007B3C0000}"/>
    <cellStyle name="20% - Accent5 2 5 4 3 9" xfId="54407" xr:uid="{00000000-0005-0000-0000-00007C3C0000}"/>
    <cellStyle name="20% - Accent5 2 5 4 4" xfId="6093" xr:uid="{00000000-0005-0000-0000-00007D3C0000}"/>
    <cellStyle name="20% - Accent5 2 5 4 5" xfId="11573" xr:uid="{00000000-0005-0000-0000-00007E3C0000}"/>
    <cellStyle name="20% - Accent5 2 5 4 6" xfId="17049" xr:uid="{00000000-0005-0000-0000-00007F3C0000}"/>
    <cellStyle name="20% - Accent5 2 5 4 7" xfId="22525" xr:uid="{00000000-0005-0000-0000-0000803C0000}"/>
    <cellStyle name="20% - Accent5 2 5 4 8" xfId="34320" xr:uid="{00000000-0005-0000-0000-0000813C0000}"/>
    <cellStyle name="20% - Accent5 2 5 4 9" xfId="39797" xr:uid="{00000000-0005-0000-0000-0000823C0000}"/>
    <cellStyle name="20% - Accent5 2 5 5" xfId="870" xr:uid="{00000000-0005-0000-0000-0000833C0000}"/>
    <cellStyle name="20% - Accent5 2 5 5 10" xfId="45275" xr:uid="{00000000-0005-0000-0000-0000843C0000}"/>
    <cellStyle name="20% - Accent5 2 5 5 11" xfId="50753" xr:uid="{00000000-0005-0000-0000-0000853C0000}"/>
    <cellStyle name="20% - Accent5 2 5 5 2" xfId="2631" xr:uid="{00000000-0005-0000-0000-0000863C0000}"/>
    <cellStyle name="20% - Accent5 2 5 5 2 2" xfId="8111" xr:uid="{00000000-0005-0000-0000-0000873C0000}"/>
    <cellStyle name="20% - Accent5 2 5 5 2 3" xfId="13587" xr:uid="{00000000-0005-0000-0000-0000883C0000}"/>
    <cellStyle name="20% - Accent5 2 5 5 2 4" xfId="19063" xr:uid="{00000000-0005-0000-0000-0000893C0000}"/>
    <cellStyle name="20% - Accent5 2 5 5 2 5" xfId="24539" xr:uid="{00000000-0005-0000-0000-00008A3C0000}"/>
    <cellStyle name="20% - Accent5 2 5 5 2 6" xfId="36335" xr:uid="{00000000-0005-0000-0000-00008B3C0000}"/>
    <cellStyle name="20% - Accent5 2 5 5 2 7" xfId="41812" xr:uid="{00000000-0005-0000-0000-00008C3C0000}"/>
    <cellStyle name="20% - Accent5 2 5 5 2 8" xfId="47289" xr:uid="{00000000-0005-0000-0000-00008D3C0000}"/>
    <cellStyle name="20% - Accent5 2 5 5 2 9" xfId="52807" xr:uid="{00000000-0005-0000-0000-00008E3C0000}"/>
    <cellStyle name="20% - Accent5 2 5 5 3" xfId="4403" xr:uid="{00000000-0005-0000-0000-00008F3C0000}"/>
    <cellStyle name="20% - Accent5 2 5 5 3 2" xfId="9883" xr:uid="{00000000-0005-0000-0000-0000903C0000}"/>
    <cellStyle name="20% - Accent5 2 5 5 3 3" xfId="15359" xr:uid="{00000000-0005-0000-0000-0000913C0000}"/>
    <cellStyle name="20% - Accent5 2 5 5 3 4" xfId="20835" xr:uid="{00000000-0005-0000-0000-0000923C0000}"/>
    <cellStyle name="20% - Accent5 2 5 5 3 5" xfId="26311" xr:uid="{00000000-0005-0000-0000-0000933C0000}"/>
    <cellStyle name="20% - Accent5 2 5 5 3 6" xfId="38107" xr:uid="{00000000-0005-0000-0000-0000943C0000}"/>
    <cellStyle name="20% - Accent5 2 5 5 3 7" xfId="43584" xr:uid="{00000000-0005-0000-0000-0000953C0000}"/>
    <cellStyle name="20% - Accent5 2 5 5 3 8" xfId="49061" xr:uid="{00000000-0005-0000-0000-0000963C0000}"/>
    <cellStyle name="20% - Accent5 2 5 5 3 9" xfId="54579" xr:uid="{00000000-0005-0000-0000-0000973C0000}"/>
    <cellStyle name="20% - Accent5 2 5 5 4" xfId="6094" xr:uid="{00000000-0005-0000-0000-0000983C0000}"/>
    <cellStyle name="20% - Accent5 2 5 5 5" xfId="11574" xr:uid="{00000000-0005-0000-0000-0000993C0000}"/>
    <cellStyle name="20% - Accent5 2 5 5 6" xfId="17050" xr:uid="{00000000-0005-0000-0000-00009A3C0000}"/>
    <cellStyle name="20% - Accent5 2 5 5 7" xfId="22526" xr:uid="{00000000-0005-0000-0000-00009B3C0000}"/>
    <cellStyle name="20% - Accent5 2 5 5 8" xfId="34321" xr:uid="{00000000-0005-0000-0000-00009C3C0000}"/>
    <cellStyle name="20% - Accent5 2 5 5 9" xfId="39798" xr:uid="{00000000-0005-0000-0000-00009D3C0000}"/>
    <cellStyle name="20% - Accent5 2 5 6" xfId="1076" xr:uid="{00000000-0005-0000-0000-00009E3C0000}"/>
    <cellStyle name="20% - Accent5 2 5 6 10" xfId="45276" xr:uid="{00000000-0005-0000-0000-00009F3C0000}"/>
    <cellStyle name="20% - Accent5 2 5 6 11" xfId="50754" xr:uid="{00000000-0005-0000-0000-0000A03C0000}"/>
    <cellStyle name="20% - Accent5 2 5 6 2" xfId="2837" xr:uid="{00000000-0005-0000-0000-0000A13C0000}"/>
    <cellStyle name="20% - Accent5 2 5 6 2 2" xfId="8317" xr:uid="{00000000-0005-0000-0000-0000A23C0000}"/>
    <cellStyle name="20% - Accent5 2 5 6 2 3" xfId="13793" xr:uid="{00000000-0005-0000-0000-0000A33C0000}"/>
    <cellStyle name="20% - Accent5 2 5 6 2 4" xfId="19269" xr:uid="{00000000-0005-0000-0000-0000A43C0000}"/>
    <cellStyle name="20% - Accent5 2 5 6 2 5" xfId="24745" xr:uid="{00000000-0005-0000-0000-0000A53C0000}"/>
    <cellStyle name="20% - Accent5 2 5 6 2 6" xfId="36541" xr:uid="{00000000-0005-0000-0000-0000A63C0000}"/>
    <cellStyle name="20% - Accent5 2 5 6 2 7" xfId="42018" xr:uid="{00000000-0005-0000-0000-0000A73C0000}"/>
    <cellStyle name="20% - Accent5 2 5 6 2 8" xfId="47495" xr:uid="{00000000-0005-0000-0000-0000A83C0000}"/>
    <cellStyle name="20% - Accent5 2 5 6 2 9" xfId="53013" xr:uid="{00000000-0005-0000-0000-0000A93C0000}"/>
    <cellStyle name="20% - Accent5 2 5 6 3" xfId="4609" xr:uid="{00000000-0005-0000-0000-0000AA3C0000}"/>
    <cellStyle name="20% - Accent5 2 5 6 3 2" xfId="10089" xr:uid="{00000000-0005-0000-0000-0000AB3C0000}"/>
    <cellStyle name="20% - Accent5 2 5 6 3 3" xfId="15565" xr:uid="{00000000-0005-0000-0000-0000AC3C0000}"/>
    <cellStyle name="20% - Accent5 2 5 6 3 4" xfId="21041" xr:uid="{00000000-0005-0000-0000-0000AD3C0000}"/>
    <cellStyle name="20% - Accent5 2 5 6 3 5" xfId="26517" xr:uid="{00000000-0005-0000-0000-0000AE3C0000}"/>
    <cellStyle name="20% - Accent5 2 5 6 3 6" xfId="38313" xr:uid="{00000000-0005-0000-0000-0000AF3C0000}"/>
    <cellStyle name="20% - Accent5 2 5 6 3 7" xfId="43790" xr:uid="{00000000-0005-0000-0000-0000B03C0000}"/>
    <cellStyle name="20% - Accent5 2 5 6 3 8" xfId="49267" xr:uid="{00000000-0005-0000-0000-0000B13C0000}"/>
    <cellStyle name="20% - Accent5 2 5 6 3 9" xfId="54785" xr:uid="{00000000-0005-0000-0000-0000B23C0000}"/>
    <cellStyle name="20% - Accent5 2 5 6 4" xfId="6095" xr:uid="{00000000-0005-0000-0000-0000B33C0000}"/>
    <cellStyle name="20% - Accent5 2 5 6 5" xfId="11575" xr:uid="{00000000-0005-0000-0000-0000B43C0000}"/>
    <cellStyle name="20% - Accent5 2 5 6 6" xfId="17051" xr:uid="{00000000-0005-0000-0000-0000B53C0000}"/>
    <cellStyle name="20% - Accent5 2 5 6 7" xfId="22527" xr:uid="{00000000-0005-0000-0000-0000B63C0000}"/>
    <cellStyle name="20% - Accent5 2 5 6 8" xfId="34322" xr:uid="{00000000-0005-0000-0000-0000B73C0000}"/>
    <cellStyle name="20% - Accent5 2 5 6 9" xfId="39799" xr:uid="{00000000-0005-0000-0000-0000B83C0000}"/>
    <cellStyle name="20% - Accent5 2 5 7" xfId="1248" xr:uid="{00000000-0005-0000-0000-0000B93C0000}"/>
    <cellStyle name="20% - Accent5 2 5 7 10" xfId="45277" xr:uid="{00000000-0005-0000-0000-0000BA3C0000}"/>
    <cellStyle name="20% - Accent5 2 5 7 11" xfId="50755" xr:uid="{00000000-0005-0000-0000-0000BB3C0000}"/>
    <cellStyle name="20% - Accent5 2 5 7 2" xfId="3009" xr:uid="{00000000-0005-0000-0000-0000BC3C0000}"/>
    <cellStyle name="20% - Accent5 2 5 7 2 2" xfId="8489" xr:uid="{00000000-0005-0000-0000-0000BD3C0000}"/>
    <cellStyle name="20% - Accent5 2 5 7 2 3" xfId="13965" xr:uid="{00000000-0005-0000-0000-0000BE3C0000}"/>
    <cellStyle name="20% - Accent5 2 5 7 2 4" xfId="19441" xr:uid="{00000000-0005-0000-0000-0000BF3C0000}"/>
    <cellStyle name="20% - Accent5 2 5 7 2 5" xfId="24917" xr:uid="{00000000-0005-0000-0000-0000C03C0000}"/>
    <cellStyle name="20% - Accent5 2 5 7 2 6" xfId="36713" xr:uid="{00000000-0005-0000-0000-0000C13C0000}"/>
    <cellStyle name="20% - Accent5 2 5 7 2 7" xfId="42190" xr:uid="{00000000-0005-0000-0000-0000C23C0000}"/>
    <cellStyle name="20% - Accent5 2 5 7 2 8" xfId="47667" xr:uid="{00000000-0005-0000-0000-0000C33C0000}"/>
    <cellStyle name="20% - Accent5 2 5 7 2 9" xfId="53185" xr:uid="{00000000-0005-0000-0000-0000C43C0000}"/>
    <cellStyle name="20% - Accent5 2 5 7 3" xfId="4781" xr:uid="{00000000-0005-0000-0000-0000C53C0000}"/>
    <cellStyle name="20% - Accent5 2 5 7 3 2" xfId="10261" xr:uid="{00000000-0005-0000-0000-0000C63C0000}"/>
    <cellStyle name="20% - Accent5 2 5 7 3 3" xfId="15737" xr:uid="{00000000-0005-0000-0000-0000C73C0000}"/>
    <cellStyle name="20% - Accent5 2 5 7 3 4" xfId="21213" xr:uid="{00000000-0005-0000-0000-0000C83C0000}"/>
    <cellStyle name="20% - Accent5 2 5 7 3 5" xfId="26689" xr:uid="{00000000-0005-0000-0000-0000C93C0000}"/>
    <cellStyle name="20% - Accent5 2 5 7 3 6" xfId="38485" xr:uid="{00000000-0005-0000-0000-0000CA3C0000}"/>
    <cellStyle name="20% - Accent5 2 5 7 3 7" xfId="43962" xr:uid="{00000000-0005-0000-0000-0000CB3C0000}"/>
    <cellStyle name="20% - Accent5 2 5 7 3 8" xfId="49439" xr:uid="{00000000-0005-0000-0000-0000CC3C0000}"/>
    <cellStyle name="20% - Accent5 2 5 7 3 9" xfId="54957" xr:uid="{00000000-0005-0000-0000-0000CD3C0000}"/>
    <cellStyle name="20% - Accent5 2 5 7 4" xfId="6096" xr:uid="{00000000-0005-0000-0000-0000CE3C0000}"/>
    <cellStyle name="20% - Accent5 2 5 7 5" xfId="11576" xr:uid="{00000000-0005-0000-0000-0000CF3C0000}"/>
    <cellStyle name="20% - Accent5 2 5 7 6" xfId="17052" xr:uid="{00000000-0005-0000-0000-0000D03C0000}"/>
    <cellStyle name="20% - Accent5 2 5 7 7" xfId="22528" xr:uid="{00000000-0005-0000-0000-0000D13C0000}"/>
    <cellStyle name="20% - Accent5 2 5 7 8" xfId="34323" xr:uid="{00000000-0005-0000-0000-0000D23C0000}"/>
    <cellStyle name="20% - Accent5 2 5 7 9" xfId="39800" xr:uid="{00000000-0005-0000-0000-0000D33C0000}"/>
    <cellStyle name="20% - Accent5 2 5 8" xfId="1420" xr:uid="{00000000-0005-0000-0000-0000D43C0000}"/>
    <cellStyle name="20% - Accent5 2 5 8 10" xfId="45278" xr:uid="{00000000-0005-0000-0000-0000D53C0000}"/>
    <cellStyle name="20% - Accent5 2 5 8 11" xfId="50756" xr:uid="{00000000-0005-0000-0000-0000D63C0000}"/>
    <cellStyle name="20% - Accent5 2 5 8 2" xfId="3181" xr:uid="{00000000-0005-0000-0000-0000D73C0000}"/>
    <cellStyle name="20% - Accent5 2 5 8 2 2" xfId="8661" xr:uid="{00000000-0005-0000-0000-0000D83C0000}"/>
    <cellStyle name="20% - Accent5 2 5 8 2 3" xfId="14137" xr:uid="{00000000-0005-0000-0000-0000D93C0000}"/>
    <cellStyle name="20% - Accent5 2 5 8 2 4" xfId="19613" xr:uid="{00000000-0005-0000-0000-0000DA3C0000}"/>
    <cellStyle name="20% - Accent5 2 5 8 2 5" xfId="25089" xr:uid="{00000000-0005-0000-0000-0000DB3C0000}"/>
    <cellStyle name="20% - Accent5 2 5 8 2 6" xfId="36885" xr:uid="{00000000-0005-0000-0000-0000DC3C0000}"/>
    <cellStyle name="20% - Accent5 2 5 8 2 7" xfId="42362" xr:uid="{00000000-0005-0000-0000-0000DD3C0000}"/>
    <cellStyle name="20% - Accent5 2 5 8 2 8" xfId="47839" xr:uid="{00000000-0005-0000-0000-0000DE3C0000}"/>
    <cellStyle name="20% - Accent5 2 5 8 2 9" xfId="53357" xr:uid="{00000000-0005-0000-0000-0000DF3C0000}"/>
    <cellStyle name="20% - Accent5 2 5 8 3" xfId="4953" xr:uid="{00000000-0005-0000-0000-0000E03C0000}"/>
    <cellStyle name="20% - Accent5 2 5 8 3 2" xfId="10433" xr:uid="{00000000-0005-0000-0000-0000E13C0000}"/>
    <cellStyle name="20% - Accent5 2 5 8 3 3" xfId="15909" xr:uid="{00000000-0005-0000-0000-0000E23C0000}"/>
    <cellStyle name="20% - Accent5 2 5 8 3 4" xfId="21385" xr:uid="{00000000-0005-0000-0000-0000E33C0000}"/>
    <cellStyle name="20% - Accent5 2 5 8 3 5" xfId="26861" xr:uid="{00000000-0005-0000-0000-0000E43C0000}"/>
    <cellStyle name="20% - Accent5 2 5 8 3 6" xfId="38657" xr:uid="{00000000-0005-0000-0000-0000E53C0000}"/>
    <cellStyle name="20% - Accent5 2 5 8 3 7" xfId="44134" xr:uid="{00000000-0005-0000-0000-0000E63C0000}"/>
    <cellStyle name="20% - Accent5 2 5 8 3 8" xfId="49611" xr:uid="{00000000-0005-0000-0000-0000E73C0000}"/>
    <cellStyle name="20% - Accent5 2 5 8 3 9" xfId="55129" xr:uid="{00000000-0005-0000-0000-0000E83C0000}"/>
    <cellStyle name="20% - Accent5 2 5 8 4" xfId="6097" xr:uid="{00000000-0005-0000-0000-0000E93C0000}"/>
    <cellStyle name="20% - Accent5 2 5 8 5" xfId="11577" xr:uid="{00000000-0005-0000-0000-0000EA3C0000}"/>
    <cellStyle name="20% - Accent5 2 5 8 6" xfId="17053" xr:uid="{00000000-0005-0000-0000-0000EB3C0000}"/>
    <cellStyle name="20% - Accent5 2 5 8 7" xfId="22529" xr:uid="{00000000-0005-0000-0000-0000EC3C0000}"/>
    <cellStyle name="20% - Accent5 2 5 8 8" xfId="34324" xr:uid="{00000000-0005-0000-0000-0000ED3C0000}"/>
    <cellStyle name="20% - Accent5 2 5 8 9" xfId="39801" xr:uid="{00000000-0005-0000-0000-0000EE3C0000}"/>
    <cellStyle name="20% - Accent5 2 5 9" xfId="1592" xr:uid="{00000000-0005-0000-0000-0000EF3C0000}"/>
    <cellStyle name="20% - Accent5 2 5 9 10" xfId="45279" xr:uid="{00000000-0005-0000-0000-0000F03C0000}"/>
    <cellStyle name="20% - Accent5 2 5 9 11" xfId="50757" xr:uid="{00000000-0005-0000-0000-0000F13C0000}"/>
    <cellStyle name="20% - Accent5 2 5 9 2" xfId="3353" xr:uid="{00000000-0005-0000-0000-0000F23C0000}"/>
    <cellStyle name="20% - Accent5 2 5 9 2 2" xfId="8833" xr:uid="{00000000-0005-0000-0000-0000F33C0000}"/>
    <cellStyle name="20% - Accent5 2 5 9 2 3" xfId="14309" xr:uid="{00000000-0005-0000-0000-0000F43C0000}"/>
    <cellStyle name="20% - Accent5 2 5 9 2 4" xfId="19785" xr:uid="{00000000-0005-0000-0000-0000F53C0000}"/>
    <cellStyle name="20% - Accent5 2 5 9 2 5" xfId="25261" xr:uid="{00000000-0005-0000-0000-0000F63C0000}"/>
    <cellStyle name="20% - Accent5 2 5 9 2 6" xfId="37057" xr:uid="{00000000-0005-0000-0000-0000F73C0000}"/>
    <cellStyle name="20% - Accent5 2 5 9 2 7" xfId="42534" xr:uid="{00000000-0005-0000-0000-0000F83C0000}"/>
    <cellStyle name="20% - Accent5 2 5 9 2 8" xfId="48011" xr:uid="{00000000-0005-0000-0000-0000F93C0000}"/>
    <cellStyle name="20% - Accent5 2 5 9 2 9" xfId="53529" xr:uid="{00000000-0005-0000-0000-0000FA3C0000}"/>
    <cellStyle name="20% - Accent5 2 5 9 3" xfId="5125" xr:uid="{00000000-0005-0000-0000-0000FB3C0000}"/>
    <cellStyle name="20% - Accent5 2 5 9 3 2" xfId="10605" xr:uid="{00000000-0005-0000-0000-0000FC3C0000}"/>
    <cellStyle name="20% - Accent5 2 5 9 3 3" xfId="16081" xr:uid="{00000000-0005-0000-0000-0000FD3C0000}"/>
    <cellStyle name="20% - Accent5 2 5 9 3 4" xfId="21557" xr:uid="{00000000-0005-0000-0000-0000FE3C0000}"/>
    <cellStyle name="20% - Accent5 2 5 9 3 5" xfId="27033" xr:uid="{00000000-0005-0000-0000-0000FF3C0000}"/>
    <cellStyle name="20% - Accent5 2 5 9 3 6" xfId="38829" xr:uid="{00000000-0005-0000-0000-0000003D0000}"/>
    <cellStyle name="20% - Accent5 2 5 9 3 7" xfId="44306" xr:uid="{00000000-0005-0000-0000-0000013D0000}"/>
    <cellStyle name="20% - Accent5 2 5 9 3 8" xfId="49783" xr:uid="{00000000-0005-0000-0000-0000023D0000}"/>
    <cellStyle name="20% - Accent5 2 5 9 3 9" xfId="55301" xr:uid="{00000000-0005-0000-0000-0000033D0000}"/>
    <cellStyle name="20% - Accent5 2 5 9 4" xfId="6098" xr:uid="{00000000-0005-0000-0000-0000043D0000}"/>
    <cellStyle name="20% - Accent5 2 5 9 5" xfId="11578" xr:uid="{00000000-0005-0000-0000-0000053D0000}"/>
    <cellStyle name="20% - Accent5 2 5 9 6" xfId="17054" xr:uid="{00000000-0005-0000-0000-0000063D0000}"/>
    <cellStyle name="20% - Accent5 2 5 9 7" xfId="22530" xr:uid="{00000000-0005-0000-0000-0000073D0000}"/>
    <cellStyle name="20% - Accent5 2 5 9 8" xfId="34325" xr:uid="{00000000-0005-0000-0000-0000083D0000}"/>
    <cellStyle name="20% - Accent5 2 5 9 9" xfId="39802" xr:uid="{00000000-0005-0000-0000-0000093D0000}"/>
    <cellStyle name="20% - Accent5 2 6" xfId="318" xr:uid="{00000000-0005-0000-0000-00000A3D0000}"/>
    <cellStyle name="20% - Accent5 2 6 10" xfId="39803" xr:uid="{00000000-0005-0000-0000-00000B3D0000}"/>
    <cellStyle name="20% - Accent5 2 6 11" xfId="45280" xr:uid="{00000000-0005-0000-0000-00000C3D0000}"/>
    <cellStyle name="20% - Accent5 2 6 12" xfId="50758" xr:uid="{00000000-0005-0000-0000-00000D3D0000}"/>
    <cellStyle name="20% - Accent5 2 6 2" xfId="2116" xr:uid="{00000000-0005-0000-0000-00000E3D0000}"/>
    <cellStyle name="20% - Accent5 2 6 2 10" xfId="52292" xr:uid="{00000000-0005-0000-0000-00000F3D0000}"/>
    <cellStyle name="20% - Accent5 2 6 2 2" xfId="7596" xr:uid="{00000000-0005-0000-0000-0000103D0000}"/>
    <cellStyle name="20% - Accent5 2 6 2 2 2" xfId="29535" xr:uid="{00000000-0005-0000-0000-0000113D0000}"/>
    <cellStyle name="20% - Accent5 2 6 2 3" xfId="13072" xr:uid="{00000000-0005-0000-0000-0000123D0000}"/>
    <cellStyle name="20% - Accent5 2 6 2 4" xfId="18548" xr:uid="{00000000-0005-0000-0000-0000133D0000}"/>
    <cellStyle name="20% - Accent5 2 6 2 5" xfId="24024" xr:uid="{00000000-0005-0000-0000-0000143D0000}"/>
    <cellStyle name="20% - Accent5 2 6 2 6" xfId="29534" xr:uid="{00000000-0005-0000-0000-0000153D0000}"/>
    <cellStyle name="20% - Accent5 2 6 2 7" xfId="35820" xr:uid="{00000000-0005-0000-0000-0000163D0000}"/>
    <cellStyle name="20% - Accent5 2 6 2 8" xfId="41297" xr:uid="{00000000-0005-0000-0000-0000173D0000}"/>
    <cellStyle name="20% - Accent5 2 6 2 9" xfId="46774" xr:uid="{00000000-0005-0000-0000-0000183D0000}"/>
    <cellStyle name="20% - Accent5 2 6 3" xfId="3880" xr:uid="{00000000-0005-0000-0000-0000193D0000}"/>
    <cellStyle name="20% - Accent5 2 6 3 10" xfId="54056" xr:uid="{00000000-0005-0000-0000-00001A3D0000}"/>
    <cellStyle name="20% - Accent5 2 6 3 2" xfId="9360" xr:uid="{00000000-0005-0000-0000-00001B3D0000}"/>
    <cellStyle name="20% - Accent5 2 6 3 3" xfId="14836" xr:uid="{00000000-0005-0000-0000-00001C3D0000}"/>
    <cellStyle name="20% - Accent5 2 6 3 4" xfId="20312" xr:uid="{00000000-0005-0000-0000-00001D3D0000}"/>
    <cellStyle name="20% - Accent5 2 6 3 5" xfId="25788" xr:uid="{00000000-0005-0000-0000-00001E3D0000}"/>
    <cellStyle name="20% - Accent5 2 6 3 6" xfId="29536" xr:uid="{00000000-0005-0000-0000-00001F3D0000}"/>
    <cellStyle name="20% - Accent5 2 6 3 7" xfId="37584" xr:uid="{00000000-0005-0000-0000-0000203D0000}"/>
    <cellStyle name="20% - Accent5 2 6 3 8" xfId="43061" xr:uid="{00000000-0005-0000-0000-0000213D0000}"/>
    <cellStyle name="20% - Accent5 2 6 3 9" xfId="48538" xr:uid="{00000000-0005-0000-0000-0000223D0000}"/>
    <cellStyle name="20% - Accent5 2 6 4" xfId="6099" xr:uid="{00000000-0005-0000-0000-0000233D0000}"/>
    <cellStyle name="20% - Accent5 2 6 5" xfId="11579" xr:uid="{00000000-0005-0000-0000-0000243D0000}"/>
    <cellStyle name="20% - Accent5 2 6 6" xfId="17055" xr:uid="{00000000-0005-0000-0000-0000253D0000}"/>
    <cellStyle name="20% - Accent5 2 6 7" xfId="22531" xr:uid="{00000000-0005-0000-0000-0000263D0000}"/>
    <cellStyle name="20% - Accent5 2 6 8" xfId="29533" xr:uid="{00000000-0005-0000-0000-0000273D0000}"/>
    <cellStyle name="20% - Accent5 2 6 9" xfId="34326" xr:uid="{00000000-0005-0000-0000-0000283D0000}"/>
    <cellStyle name="20% - Accent5 2 7" xfId="519" xr:uid="{00000000-0005-0000-0000-0000293D0000}"/>
    <cellStyle name="20% - Accent5 2 7 10" xfId="39804" xr:uid="{00000000-0005-0000-0000-00002A3D0000}"/>
    <cellStyle name="20% - Accent5 2 7 11" xfId="45281" xr:uid="{00000000-0005-0000-0000-00002B3D0000}"/>
    <cellStyle name="20% - Accent5 2 7 12" xfId="50759" xr:uid="{00000000-0005-0000-0000-00002C3D0000}"/>
    <cellStyle name="20% - Accent5 2 7 2" xfId="2280" xr:uid="{00000000-0005-0000-0000-00002D3D0000}"/>
    <cellStyle name="20% - Accent5 2 7 2 10" xfId="52456" xr:uid="{00000000-0005-0000-0000-00002E3D0000}"/>
    <cellStyle name="20% - Accent5 2 7 2 2" xfId="7760" xr:uid="{00000000-0005-0000-0000-00002F3D0000}"/>
    <cellStyle name="20% - Accent5 2 7 2 2 2" xfId="29539" xr:uid="{00000000-0005-0000-0000-0000303D0000}"/>
    <cellStyle name="20% - Accent5 2 7 2 3" xfId="13236" xr:uid="{00000000-0005-0000-0000-0000313D0000}"/>
    <cellStyle name="20% - Accent5 2 7 2 4" xfId="18712" xr:uid="{00000000-0005-0000-0000-0000323D0000}"/>
    <cellStyle name="20% - Accent5 2 7 2 5" xfId="24188" xr:uid="{00000000-0005-0000-0000-0000333D0000}"/>
    <cellStyle name="20% - Accent5 2 7 2 6" xfId="29538" xr:uid="{00000000-0005-0000-0000-0000343D0000}"/>
    <cellStyle name="20% - Accent5 2 7 2 7" xfId="35984" xr:uid="{00000000-0005-0000-0000-0000353D0000}"/>
    <cellStyle name="20% - Accent5 2 7 2 8" xfId="41461" xr:uid="{00000000-0005-0000-0000-0000363D0000}"/>
    <cellStyle name="20% - Accent5 2 7 2 9" xfId="46938" xr:uid="{00000000-0005-0000-0000-0000373D0000}"/>
    <cellStyle name="20% - Accent5 2 7 3" xfId="4052" xr:uid="{00000000-0005-0000-0000-0000383D0000}"/>
    <cellStyle name="20% - Accent5 2 7 3 10" xfId="54228" xr:uid="{00000000-0005-0000-0000-0000393D0000}"/>
    <cellStyle name="20% - Accent5 2 7 3 2" xfId="9532" xr:uid="{00000000-0005-0000-0000-00003A3D0000}"/>
    <cellStyle name="20% - Accent5 2 7 3 3" xfId="15008" xr:uid="{00000000-0005-0000-0000-00003B3D0000}"/>
    <cellStyle name="20% - Accent5 2 7 3 4" xfId="20484" xr:uid="{00000000-0005-0000-0000-00003C3D0000}"/>
    <cellStyle name="20% - Accent5 2 7 3 5" xfId="25960" xr:uid="{00000000-0005-0000-0000-00003D3D0000}"/>
    <cellStyle name="20% - Accent5 2 7 3 6" xfId="29540" xr:uid="{00000000-0005-0000-0000-00003E3D0000}"/>
    <cellStyle name="20% - Accent5 2 7 3 7" xfId="37756" xr:uid="{00000000-0005-0000-0000-00003F3D0000}"/>
    <cellStyle name="20% - Accent5 2 7 3 8" xfId="43233" xr:uid="{00000000-0005-0000-0000-0000403D0000}"/>
    <cellStyle name="20% - Accent5 2 7 3 9" xfId="48710" xr:uid="{00000000-0005-0000-0000-0000413D0000}"/>
    <cellStyle name="20% - Accent5 2 7 4" xfId="6100" xr:uid="{00000000-0005-0000-0000-0000423D0000}"/>
    <cellStyle name="20% - Accent5 2 7 5" xfId="11580" xr:uid="{00000000-0005-0000-0000-0000433D0000}"/>
    <cellStyle name="20% - Accent5 2 7 6" xfId="17056" xr:uid="{00000000-0005-0000-0000-0000443D0000}"/>
    <cellStyle name="20% - Accent5 2 7 7" xfId="22532" xr:uid="{00000000-0005-0000-0000-0000453D0000}"/>
    <cellStyle name="20% - Accent5 2 7 8" xfId="29537" xr:uid="{00000000-0005-0000-0000-0000463D0000}"/>
    <cellStyle name="20% - Accent5 2 7 9" xfId="34327" xr:uid="{00000000-0005-0000-0000-0000473D0000}"/>
    <cellStyle name="20% - Accent5 2 8" xfId="691" xr:uid="{00000000-0005-0000-0000-0000483D0000}"/>
    <cellStyle name="20% - Accent5 2 8 10" xfId="39805" xr:uid="{00000000-0005-0000-0000-0000493D0000}"/>
    <cellStyle name="20% - Accent5 2 8 11" xfId="45282" xr:uid="{00000000-0005-0000-0000-00004A3D0000}"/>
    <cellStyle name="20% - Accent5 2 8 12" xfId="50760" xr:uid="{00000000-0005-0000-0000-00004B3D0000}"/>
    <cellStyle name="20% - Accent5 2 8 2" xfId="2452" xr:uid="{00000000-0005-0000-0000-00004C3D0000}"/>
    <cellStyle name="20% - Accent5 2 8 2 10" xfId="52628" xr:uid="{00000000-0005-0000-0000-00004D3D0000}"/>
    <cellStyle name="20% - Accent5 2 8 2 2" xfId="7932" xr:uid="{00000000-0005-0000-0000-00004E3D0000}"/>
    <cellStyle name="20% - Accent5 2 8 2 3" xfId="13408" xr:uid="{00000000-0005-0000-0000-00004F3D0000}"/>
    <cellStyle name="20% - Accent5 2 8 2 4" xfId="18884" xr:uid="{00000000-0005-0000-0000-0000503D0000}"/>
    <cellStyle name="20% - Accent5 2 8 2 5" xfId="24360" xr:uid="{00000000-0005-0000-0000-0000513D0000}"/>
    <cellStyle name="20% - Accent5 2 8 2 6" xfId="29542" xr:uid="{00000000-0005-0000-0000-0000523D0000}"/>
    <cellStyle name="20% - Accent5 2 8 2 7" xfId="36156" xr:uid="{00000000-0005-0000-0000-0000533D0000}"/>
    <cellStyle name="20% - Accent5 2 8 2 8" xfId="41633" xr:uid="{00000000-0005-0000-0000-0000543D0000}"/>
    <cellStyle name="20% - Accent5 2 8 2 9" xfId="47110" xr:uid="{00000000-0005-0000-0000-0000553D0000}"/>
    <cellStyle name="20% - Accent5 2 8 3" xfId="4224" xr:uid="{00000000-0005-0000-0000-0000563D0000}"/>
    <cellStyle name="20% - Accent5 2 8 3 2" xfId="9704" xr:uid="{00000000-0005-0000-0000-0000573D0000}"/>
    <cellStyle name="20% - Accent5 2 8 3 3" xfId="15180" xr:uid="{00000000-0005-0000-0000-0000583D0000}"/>
    <cellStyle name="20% - Accent5 2 8 3 4" xfId="20656" xr:uid="{00000000-0005-0000-0000-0000593D0000}"/>
    <cellStyle name="20% - Accent5 2 8 3 5" xfId="26132" xr:uid="{00000000-0005-0000-0000-00005A3D0000}"/>
    <cellStyle name="20% - Accent5 2 8 3 6" xfId="37928" xr:uid="{00000000-0005-0000-0000-00005B3D0000}"/>
    <cellStyle name="20% - Accent5 2 8 3 7" xfId="43405" xr:uid="{00000000-0005-0000-0000-00005C3D0000}"/>
    <cellStyle name="20% - Accent5 2 8 3 8" xfId="48882" xr:uid="{00000000-0005-0000-0000-00005D3D0000}"/>
    <cellStyle name="20% - Accent5 2 8 3 9" xfId="54400" xr:uid="{00000000-0005-0000-0000-00005E3D0000}"/>
    <cellStyle name="20% - Accent5 2 8 4" xfId="6101" xr:uid="{00000000-0005-0000-0000-00005F3D0000}"/>
    <cellStyle name="20% - Accent5 2 8 5" xfId="11581" xr:uid="{00000000-0005-0000-0000-0000603D0000}"/>
    <cellStyle name="20% - Accent5 2 8 6" xfId="17057" xr:uid="{00000000-0005-0000-0000-0000613D0000}"/>
    <cellStyle name="20% - Accent5 2 8 7" xfId="22533" xr:uid="{00000000-0005-0000-0000-0000623D0000}"/>
    <cellStyle name="20% - Accent5 2 8 8" xfId="29541" xr:uid="{00000000-0005-0000-0000-0000633D0000}"/>
    <cellStyle name="20% - Accent5 2 8 9" xfId="34328" xr:uid="{00000000-0005-0000-0000-0000643D0000}"/>
    <cellStyle name="20% - Accent5 2 9" xfId="863" xr:uid="{00000000-0005-0000-0000-0000653D0000}"/>
    <cellStyle name="20% - Accent5 2 9 10" xfId="39806" xr:uid="{00000000-0005-0000-0000-0000663D0000}"/>
    <cellStyle name="20% - Accent5 2 9 11" xfId="45283" xr:uid="{00000000-0005-0000-0000-0000673D0000}"/>
    <cellStyle name="20% - Accent5 2 9 12" xfId="50761" xr:uid="{00000000-0005-0000-0000-0000683D0000}"/>
    <cellStyle name="20% - Accent5 2 9 2" xfId="2624" xr:uid="{00000000-0005-0000-0000-0000693D0000}"/>
    <cellStyle name="20% - Accent5 2 9 2 2" xfId="8104" xr:uid="{00000000-0005-0000-0000-00006A3D0000}"/>
    <cellStyle name="20% - Accent5 2 9 2 3" xfId="13580" xr:uid="{00000000-0005-0000-0000-00006B3D0000}"/>
    <cellStyle name="20% - Accent5 2 9 2 4" xfId="19056" xr:uid="{00000000-0005-0000-0000-00006C3D0000}"/>
    <cellStyle name="20% - Accent5 2 9 2 5" xfId="24532" xr:uid="{00000000-0005-0000-0000-00006D3D0000}"/>
    <cellStyle name="20% - Accent5 2 9 2 6" xfId="36328" xr:uid="{00000000-0005-0000-0000-00006E3D0000}"/>
    <cellStyle name="20% - Accent5 2 9 2 7" xfId="41805" xr:uid="{00000000-0005-0000-0000-00006F3D0000}"/>
    <cellStyle name="20% - Accent5 2 9 2 8" xfId="47282" xr:uid="{00000000-0005-0000-0000-0000703D0000}"/>
    <cellStyle name="20% - Accent5 2 9 2 9" xfId="52800" xr:uid="{00000000-0005-0000-0000-0000713D0000}"/>
    <cellStyle name="20% - Accent5 2 9 3" xfId="4396" xr:uid="{00000000-0005-0000-0000-0000723D0000}"/>
    <cellStyle name="20% - Accent5 2 9 3 2" xfId="9876" xr:uid="{00000000-0005-0000-0000-0000733D0000}"/>
    <cellStyle name="20% - Accent5 2 9 3 3" xfId="15352" xr:uid="{00000000-0005-0000-0000-0000743D0000}"/>
    <cellStyle name="20% - Accent5 2 9 3 4" xfId="20828" xr:uid="{00000000-0005-0000-0000-0000753D0000}"/>
    <cellStyle name="20% - Accent5 2 9 3 5" xfId="26304" xr:uid="{00000000-0005-0000-0000-0000763D0000}"/>
    <cellStyle name="20% - Accent5 2 9 3 6" xfId="38100" xr:uid="{00000000-0005-0000-0000-0000773D0000}"/>
    <cellStyle name="20% - Accent5 2 9 3 7" xfId="43577" xr:uid="{00000000-0005-0000-0000-0000783D0000}"/>
    <cellStyle name="20% - Accent5 2 9 3 8" xfId="49054" xr:uid="{00000000-0005-0000-0000-0000793D0000}"/>
    <cellStyle name="20% - Accent5 2 9 3 9" xfId="54572" xr:uid="{00000000-0005-0000-0000-00007A3D0000}"/>
    <cellStyle name="20% - Accent5 2 9 4" xfId="6102" xr:uid="{00000000-0005-0000-0000-00007B3D0000}"/>
    <cellStyle name="20% - Accent5 2 9 5" xfId="11582" xr:uid="{00000000-0005-0000-0000-00007C3D0000}"/>
    <cellStyle name="20% - Accent5 2 9 6" xfId="17058" xr:uid="{00000000-0005-0000-0000-00007D3D0000}"/>
    <cellStyle name="20% - Accent5 2 9 7" xfId="22534" xr:uid="{00000000-0005-0000-0000-00007E3D0000}"/>
    <cellStyle name="20% - Accent5 2 9 8" xfId="29543" xr:uid="{00000000-0005-0000-0000-00007F3D0000}"/>
    <cellStyle name="20% - Accent5 2 9 9" xfId="34329" xr:uid="{00000000-0005-0000-0000-0000803D0000}"/>
    <cellStyle name="20% - Accent5 20" xfId="29544" xr:uid="{00000000-0005-0000-0000-0000813D0000}"/>
    <cellStyle name="20% - Accent5 20 2" xfId="29545" xr:uid="{00000000-0005-0000-0000-0000823D0000}"/>
    <cellStyle name="20% - Accent5 20 2 2" xfId="29546" xr:uid="{00000000-0005-0000-0000-0000833D0000}"/>
    <cellStyle name="20% - Accent5 20 3" xfId="29547" xr:uid="{00000000-0005-0000-0000-0000843D0000}"/>
    <cellStyle name="20% - Accent5 21" xfId="29548" xr:uid="{00000000-0005-0000-0000-0000853D0000}"/>
    <cellStyle name="20% - Accent5 21 2" xfId="29549" xr:uid="{00000000-0005-0000-0000-0000863D0000}"/>
    <cellStyle name="20% - Accent5 22" xfId="29550" xr:uid="{00000000-0005-0000-0000-0000873D0000}"/>
    <cellStyle name="20% - Accent5 23" xfId="29551" xr:uid="{00000000-0005-0000-0000-0000883D0000}"/>
    <cellStyle name="20% - Accent5 23 2" xfId="29552" xr:uid="{00000000-0005-0000-0000-0000893D0000}"/>
    <cellStyle name="20% - Accent5 24" xfId="29553" xr:uid="{00000000-0005-0000-0000-00008A3D0000}"/>
    <cellStyle name="20% - Accent5 24 2" xfId="29554" xr:uid="{00000000-0005-0000-0000-00008B3D0000}"/>
    <cellStyle name="20% - Accent5 25" xfId="29555" xr:uid="{00000000-0005-0000-0000-00008C3D0000}"/>
    <cellStyle name="20% - Accent5 26" xfId="27563" xr:uid="{00000000-0005-0000-0000-00008D3D0000}"/>
    <cellStyle name="20% - Accent5 27" xfId="35608" xr:uid="{00000000-0005-0000-0000-00008E3D0000}"/>
    <cellStyle name="20% - Accent5 28" xfId="41085" xr:uid="{00000000-0005-0000-0000-00008F3D0000}"/>
    <cellStyle name="20% - Accent5 29" xfId="46562" xr:uid="{00000000-0005-0000-0000-0000903D0000}"/>
    <cellStyle name="20% - Accent5 3" xfId="192" xr:uid="{00000000-0005-0000-0000-0000913D0000}"/>
    <cellStyle name="20% - Accent5 3 10" xfId="1763" xr:uid="{00000000-0005-0000-0000-0000923D0000}"/>
    <cellStyle name="20% - Accent5 3 10 10" xfId="45285" xr:uid="{00000000-0005-0000-0000-0000933D0000}"/>
    <cellStyle name="20% - Accent5 3 10 11" xfId="50763" xr:uid="{00000000-0005-0000-0000-0000943D0000}"/>
    <cellStyle name="20% - Accent5 3 10 2" xfId="3524" xr:uid="{00000000-0005-0000-0000-0000953D0000}"/>
    <cellStyle name="20% - Accent5 3 10 2 2" xfId="9004" xr:uid="{00000000-0005-0000-0000-0000963D0000}"/>
    <cellStyle name="20% - Accent5 3 10 2 3" xfId="14480" xr:uid="{00000000-0005-0000-0000-0000973D0000}"/>
    <cellStyle name="20% - Accent5 3 10 2 4" xfId="19956" xr:uid="{00000000-0005-0000-0000-0000983D0000}"/>
    <cellStyle name="20% - Accent5 3 10 2 5" xfId="25432" xr:uid="{00000000-0005-0000-0000-0000993D0000}"/>
    <cellStyle name="20% - Accent5 3 10 2 6" xfId="37228" xr:uid="{00000000-0005-0000-0000-00009A3D0000}"/>
    <cellStyle name="20% - Accent5 3 10 2 7" xfId="42705" xr:uid="{00000000-0005-0000-0000-00009B3D0000}"/>
    <cellStyle name="20% - Accent5 3 10 2 8" xfId="48182" xr:uid="{00000000-0005-0000-0000-00009C3D0000}"/>
    <cellStyle name="20% - Accent5 3 10 2 9" xfId="53700" xr:uid="{00000000-0005-0000-0000-00009D3D0000}"/>
    <cellStyle name="20% - Accent5 3 10 3" xfId="5296" xr:uid="{00000000-0005-0000-0000-00009E3D0000}"/>
    <cellStyle name="20% - Accent5 3 10 3 2" xfId="10776" xr:uid="{00000000-0005-0000-0000-00009F3D0000}"/>
    <cellStyle name="20% - Accent5 3 10 3 3" xfId="16252" xr:uid="{00000000-0005-0000-0000-0000A03D0000}"/>
    <cellStyle name="20% - Accent5 3 10 3 4" xfId="21728" xr:uid="{00000000-0005-0000-0000-0000A13D0000}"/>
    <cellStyle name="20% - Accent5 3 10 3 5" xfId="27204" xr:uid="{00000000-0005-0000-0000-0000A23D0000}"/>
    <cellStyle name="20% - Accent5 3 10 3 6" xfId="39000" xr:uid="{00000000-0005-0000-0000-0000A33D0000}"/>
    <cellStyle name="20% - Accent5 3 10 3 7" xfId="44477" xr:uid="{00000000-0005-0000-0000-0000A43D0000}"/>
    <cellStyle name="20% - Accent5 3 10 3 8" xfId="49954" xr:uid="{00000000-0005-0000-0000-0000A53D0000}"/>
    <cellStyle name="20% - Accent5 3 10 3 9" xfId="55472" xr:uid="{00000000-0005-0000-0000-0000A63D0000}"/>
    <cellStyle name="20% - Accent5 3 10 4" xfId="6104" xr:uid="{00000000-0005-0000-0000-0000A73D0000}"/>
    <cellStyle name="20% - Accent5 3 10 5" xfId="11584" xr:uid="{00000000-0005-0000-0000-0000A83D0000}"/>
    <cellStyle name="20% - Accent5 3 10 6" xfId="17060" xr:uid="{00000000-0005-0000-0000-0000A93D0000}"/>
    <cellStyle name="20% - Accent5 3 10 7" xfId="22536" xr:uid="{00000000-0005-0000-0000-0000AA3D0000}"/>
    <cellStyle name="20% - Accent5 3 10 8" xfId="34331" xr:uid="{00000000-0005-0000-0000-0000AB3D0000}"/>
    <cellStyle name="20% - Accent5 3 10 9" xfId="39808" xr:uid="{00000000-0005-0000-0000-0000AC3D0000}"/>
    <cellStyle name="20% - Accent5 3 11" xfId="1955" xr:uid="{00000000-0005-0000-0000-0000AD3D0000}"/>
    <cellStyle name="20% - Accent5 3 11 10" xfId="52132" xr:uid="{00000000-0005-0000-0000-0000AE3D0000}"/>
    <cellStyle name="20% - Accent5 3 11 2" xfId="5487" xr:uid="{00000000-0005-0000-0000-0000AF3D0000}"/>
    <cellStyle name="20% - Accent5 3 11 2 2" xfId="10967" xr:uid="{00000000-0005-0000-0000-0000B03D0000}"/>
    <cellStyle name="20% - Accent5 3 11 2 3" xfId="16443" xr:uid="{00000000-0005-0000-0000-0000B13D0000}"/>
    <cellStyle name="20% - Accent5 3 11 2 4" xfId="21919" xr:uid="{00000000-0005-0000-0000-0000B23D0000}"/>
    <cellStyle name="20% - Accent5 3 11 2 5" xfId="27395" xr:uid="{00000000-0005-0000-0000-0000B33D0000}"/>
    <cellStyle name="20% - Accent5 3 11 2 6" xfId="39191" xr:uid="{00000000-0005-0000-0000-0000B43D0000}"/>
    <cellStyle name="20% - Accent5 3 11 2 7" xfId="44668" xr:uid="{00000000-0005-0000-0000-0000B53D0000}"/>
    <cellStyle name="20% - Accent5 3 11 2 8" xfId="50145" xr:uid="{00000000-0005-0000-0000-0000B63D0000}"/>
    <cellStyle name="20% - Accent5 3 11 2 9" xfId="55663" xr:uid="{00000000-0005-0000-0000-0000B73D0000}"/>
    <cellStyle name="20% - Accent5 3 11 3" xfId="7436" xr:uid="{00000000-0005-0000-0000-0000B83D0000}"/>
    <cellStyle name="20% - Accent5 3 11 4" xfId="12912" xr:uid="{00000000-0005-0000-0000-0000B93D0000}"/>
    <cellStyle name="20% - Accent5 3 11 5" xfId="18388" xr:uid="{00000000-0005-0000-0000-0000BA3D0000}"/>
    <cellStyle name="20% - Accent5 3 11 6" xfId="23864" xr:uid="{00000000-0005-0000-0000-0000BB3D0000}"/>
    <cellStyle name="20% - Accent5 3 11 7" xfId="35660" xr:uid="{00000000-0005-0000-0000-0000BC3D0000}"/>
    <cellStyle name="20% - Accent5 3 11 8" xfId="41137" xr:uid="{00000000-0005-0000-0000-0000BD3D0000}"/>
    <cellStyle name="20% - Accent5 3 11 9" xfId="46614" xr:uid="{00000000-0005-0000-0000-0000BE3D0000}"/>
    <cellStyle name="20% - Accent5 3 12" xfId="3762" xr:uid="{00000000-0005-0000-0000-0000BF3D0000}"/>
    <cellStyle name="20% - Accent5 3 12 2" xfId="9242" xr:uid="{00000000-0005-0000-0000-0000C03D0000}"/>
    <cellStyle name="20% - Accent5 3 12 3" xfId="14718" xr:uid="{00000000-0005-0000-0000-0000C13D0000}"/>
    <cellStyle name="20% - Accent5 3 12 4" xfId="20194" xr:uid="{00000000-0005-0000-0000-0000C23D0000}"/>
    <cellStyle name="20% - Accent5 3 12 5" xfId="25670" xr:uid="{00000000-0005-0000-0000-0000C33D0000}"/>
    <cellStyle name="20% - Accent5 3 12 6" xfId="37466" xr:uid="{00000000-0005-0000-0000-0000C43D0000}"/>
    <cellStyle name="20% - Accent5 3 12 7" xfId="42943" xr:uid="{00000000-0005-0000-0000-0000C53D0000}"/>
    <cellStyle name="20% - Accent5 3 12 8" xfId="48420" xr:uid="{00000000-0005-0000-0000-0000C63D0000}"/>
    <cellStyle name="20% - Accent5 3 12 9" xfId="53938" xr:uid="{00000000-0005-0000-0000-0000C73D0000}"/>
    <cellStyle name="20% - Accent5 3 13" xfId="6103" xr:uid="{00000000-0005-0000-0000-0000C83D0000}"/>
    <cellStyle name="20% - Accent5 3 14" xfId="11583" xr:uid="{00000000-0005-0000-0000-0000C93D0000}"/>
    <cellStyle name="20% - Accent5 3 15" xfId="17059" xr:uid="{00000000-0005-0000-0000-0000CA3D0000}"/>
    <cellStyle name="20% - Accent5 3 16" xfId="22535" xr:uid="{00000000-0005-0000-0000-0000CB3D0000}"/>
    <cellStyle name="20% - Accent5 3 17" xfId="29556" xr:uid="{00000000-0005-0000-0000-0000CC3D0000}"/>
    <cellStyle name="20% - Accent5 3 18" xfId="34330" xr:uid="{00000000-0005-0000-0000-0000CD3D0000}"/>
    <cellStyle name="20% - Accent5 3 19" xfId="39807" xr:uid="{00000000-0005-0000-0000-0000CE3D0000}"/>
    <cellStyle name="20% - Accent5 3 2" xfId="326" xr:uid="{00000000-0005-0000-0000-0000CF3D0000}"/>
    <cellStyle name="20% - Accent5 3 2 10" xfId="39809" xr:uid="{00000000-0005-0000-0000-0000D03D0000}"/>
    <cellStyle name="20% - Accent5 3 2 11" xfId="45286" xr:uid="{00000000-0005-0000-0000-0000D13D0000}"/>
    <cellStyle name="20% - Accent5 3 2 12" xfId="50764" xr:uid="{00000000-0005-0000-0000-0000D23D0000}"/>
    <cellStyle name="20% - Accent5 3 2 2" xfId="2124" xr:uid="{00000000-0005-0000-0000-0000D33D0000}"/>
    <cellStyle name="20% - Accent5 3 2 2 10" xfId="52300" xr:uid="{00000000-0005-0000-0000-0000D43D0000}"/>
    <cellStyle name="20% - Accent5 3 2 2 2" xfId="7604" xr:uid="{00000000-0005-0000-0000-0000D53D0000}"/>
    <cellStyle name="20% - Accent5 3 2 2 2 2" xfId="29559" xr:uid="{00000000-0005-0000-0000-0000D63D0000}"/>
    <cellStyle name="20% - Accent5 3 2 2 3" xfId="13080" xr:uid="{00000000-0005-0000-0000-0000D73D0000}"/>
    <cellStyle name="20% - Accent5 3 2 2 4" xfId="18556" xr:uid="{00000000-0005-0000-0000-0000D83D0000}"/>
    <cellStyle name="20% - Accent5 3 2 2 5" xfId="24032" xr:uid="{00000000-0005-0000-0000-0000D93D0000}"/>
    <cellStyle name="20% - Accent5 3 2 2 6" xfId="29558" xr:uid="{00000000-0005-0000-0000-0000DA3D0000}"/>
    <cellStyle name="20% - Accent5 3 2 2 7" xfId="35828" xr:uid="{00000000-0005-0000-0000-0000DB3D0000}"/>
    <cellStyle name="20% - Accent5 3 2 2 8" xfId="41305" xr:uid="{00000000-0005-0000-0000-0000DC3D0000}"/>
    <cellStyle name="20% - Accent5 3 2 2 9" xfId="46782" xr:uid="{00000000-0005-0000-0000-0000DD3D0000}"/>
    <cellStyle name="20% - Accent5 3 2 3" xfId="3888" xr:uid="{00000000-0005-0000-0000-0000DE3D0000}"/>
    <cellStyle name="20% - Accent5 3 2 3 10" xfId="54064" xr:uid="{00000000-0005-0000-0000-0000DF3D0000}"/>
    <cellStyle name="20% - Accent5 3 2 3 2" xfId="9368" xr:uid="{00000000-0005-0000-0000-0000E03D0000}"/>
    <cellStyle name="20% - Accent5 3 2 3 3" xfId="14844" xr:uid="{00000000-0005-0000-0000-0000E13D0000}"/>
    <cellStyle name="20% - Accent5 3 2 3 4" xfId="20320" xr:uid="{00000000-0005-0000-0000-0000E23D0000}"/>
    <cellStyle name="20% - Accent5 3 2 3 5" xfId="25796" xr:uid="{00000000-0005-0000-0000-0000E33D0000}"/>
    <cellStyle name="20% - Accent5 3 2 3 6" xfId="29560" xr:uid="{00000000-0005-0000-0000-0000E43D0000}"/>
    <cellStyle name="20% - Accent5 3 2 3 7" xfId="37592" xr:uid="{00000000-0005-0000-0000-0000E53D0000}"/>
    <cellStyle name="20% - Accent5 3 2 3 8" xfId="43069" xr:uid="{00000000-0005-0000-0000-0000E63D0000}"/>
    <cellStyle name="20% - Accent5 3 2 3 9" xfId="48546" xr:uid="{00000000-0005-0000-0000-0000E73D0000}"/>
    <cellStyle name="20% - Accent5 3 2 4" xfId="6105" xr:uid="{00000000-0005-0000-0000-0000E83D0000}"/>
    <cellStyle name="20% - Accent5 3 2 5" xfId="11585" xr:uid="{00000000-0005-0000-0000-0000E93D0000}"/>
    <cellStyle name="20% - Accent5 3 2 6" xfId="17061" xr:uid="{00000000-0005-0000-0000-0000EA3D0000}"/>
    <cellStyle name="20% - Accent5 3 2 7" xfId="22537" xr:uid="{00000000-0005-0000-0000-0000EB3D0000}"/>
    <cellStyle name="20% - Accent5 3 2 8" xfId="29557" xr:uid="{00000000-0005-0000-0000-0000EC3D0000}"/>
    <cellStyle name="20% - Accent5 3 2 9" xfId="34332" xr:uid="{00000000-0005-0000-0000-0000ED3D0000}"/>
    <cellStyle name="20% - Accent5 3 20" xfId="45284" xr:uid="{00000000-0005-0000-0000-0000EE3D0000}"/>
    <cellStyle name="20% - Accent5 3 21" xfId="50762" xr:uid="{00000000-0005-0000-0000-0000EF3D0000}"/>
    <cellStyle name="20% - Accent5 3 3" xfId="527" xr:uid="{00000000-0005-0000-0000-0000F03D0000}"/>
    <cellStyle name="20% - Accent5 3 3 10" xfId="39810" xr:uid="{00000000-0005-0000-0000-0000F13D0000}"/>
    <cellStyle name="20% - Accent5 3 3 11" xfId="45287" xr:uid="{00000000-0005-0000-0000-0000F23D0000}"/>
    <cellStyle name="20% - Accent5 3 3 12" xfId="50765" xr:uid="{00000000-0005-0000-0000-0000F33D0000}"/>
    <cellStyle name="20% - Accent5 3 3 2" xfId="2288" xr:uid="{00000000-0005-0000-0000-0000F43D0000}"/>
    <cellStyle name="20% - Accent5 3 3 2 10" xfId="52464" xr:uid="{00000000-0005-0000-0000-0000F53D0000}"/>
    <cellStyle name="20% - Accent5 3 3 2 2" xfId="7768" xr:uid="{00000000-0005-0000-0000-0000F63D0000}"/>
    <cellStyle name="20% - Accent5 3 3 2 2 2" xfId="29563" xr:uid="{00000000-0005-0000-0000-0000F73D0000}"/>
    <cellStyle name="20% - Accent5 3 3 2 3" xfId="13244" xr:uid="{00000000-0005-0000-0000-0000F83D0000}"/>
    <cellStyle name="20% - Accent5 3 3 2 4" xfId="18720" xr:uid="{00000000-0005-0000-0000-0000F93D0000}"/>
    <cellStyle name="20% - Accent5 3 3 2 5" xfId="24196" xr:uid="{00000000-0005-0000-0000-0000FA3D0000}"/>
    <cellStyle name="20% - Accent5 3 3 2 6" xfId="29562" xr:uid="{00000000-0005-0000-0000-0000FB3D0000}"/>
    <cellStyle name="20% - Accent5 3 3 2 7" xfId="35992" xr:uid="{00000000-0005-0000-0000-0000FC3D0000}"/>
    <cellStyle name="20% - Accent5 3 3 2 8" xfId="41469" xr:uid="{00000000-0005-0000-0000-0000FD3D0000}"/>
    <cellStyle name="20% - Accent5 3 3 2 9" xfId="46946" xr:uid="{00000000-0005-0000-0000-0000FE3D0000}"/>
    <cellStyle name="20% - Accent5 3 3 3" xfId="4060" xr:uid="{00000000-0005-0000-0000-0000FF3D0000}"/>
    <cellStyle name="20% - Accent5 3 3 3 10" xfId="54236" xr:uid="{00000000-0005-0000-0000-0000003E0000}"/>
    <cellStyle name="20% - Accent5 3 3 3 2" xfId="9540" xr:uid="{00000000-0005-0000-0000-0000013E0000}"/>
    <cellStyle name="20% - Accent5 3 3 3 3" xfId="15016" xr:uid="{00000000-0005-0000-0000-0000023E0000}"/>
    <cellStyle name="20% - Accent5 3 3 3 4" xfId="20492" xr:uid="{00000000-0005-0000-0000-0000033E0000}"/>
    <cellStyle name="20% - Accent5 3 3 3 5" xfId="25968" xr:uid="{00000000-0005-0000-0000-0000043E0000}"/>
    <cellStyle name="20% - Accent5 3 3 3 6" xfId="29564" xr:uid="{00000000-0005-0000-0000-0000053E0000}"/>
    <cellStyle name="20% - Accent5 3 3 3 7" xfId="37764" xr:uid="{00000000-0005-0000-0000-0000063E0000}"/>
    <cellStyle name="20% - Accent5 3 3 3 8" xfId="43241" xr:uid="{00000000-0005-0000-0000-0000073E0000}"/>
    <cellStyle name="20% - Accent5 3 3 3 9" xfId="48718" xr:uid="{00000000-0005-0000-0000-0000083E0000}"/>
    <cellStyle name="20% - Accent5 3 3 4" xfId="6106" xr:uid="{00000000-0005-0000-0000-0000093E0000}"/>
    <cellStyle name="20% - Accent5 3 3 5" xfId="11586" xr:uid="{00000000-0005-0000-0000-00000A3E0000}"/>
    <cellStyle name="20% - Accent5 3 3 6" xfId="17062" xr:uid="{00000000-0005-0000-0000-00000B3E0000}"/>
    <cellStyle name="20% - Accent5 3 3 7" xfId="22538" xr:uid="{00000000-0005-0000-0000-00000C3E0000}"/>
    <cellStyle name="20% - Accent5 3 3 8" xfId="29561" xr:uid="{00000000-0005-0000-0000-00000D3E0000}"/>
    <cellStyle name="20% - Accent5 3 3 9" xfId="34333" xr:uid="{00000000-0005-0000-0000-00000E3E0000}"/>
    <cellStyle name="20% - Accent5 3 4" xfId="699" xr:uid="{00000000-0005-0000-0000-00000F3E0000}"/>
    <cellStyle name="20% - Accent5 3 4 10" xfId="39811" xr:uid="{00000000-0005-0000-0000-0000103E0000}"/>
    <cellStyle name="20% - Accent5 3 4 11" xfId="45288" xr:uid="{00000000-0005-0000-0000-0000113E0000}"/>
    <cellStyle name="20% - Accent5 3 4 12" xfId="50766" xr:uid="{00000000-0005-0000-0000-0000123E0000}"/>
    <cellStyle name="20% - Accent5 3 4 2" xfId="2460" xr:uid="{00000000-0005-0000-0000-0000133E0000}"/>
    <cellStyle name="20% - Accent5 3 4 2 10" xfId="52636" xr:uid="{00000000-0005-0000-0000-0000143E0000}"/>
    <cellStyle name="20% - Accent5 3 4 2 2" xfId="7940" xr:uid="{00000000-0005-0000-0000-0000153E0000}"/>
    <cellStyle name="20% - Accent5 3 4 2 2 2" xfId="29567" xr:uid="{00000000-0005-0000-0000-0000163E0000}"/>
    <cellStyle name="20% - Accent5 3 4 2 3" xfId="13416" xr:uid="{00000000-0005-0000-0000-0000173E0000}"/>
    <cellStyle name="20% - Accent5 3 4 2 4" xfId="18892" xr:uid="{00000000-0005-0000-0000-0000183E0000}"/>
    <cellStyle name="20% - Accent5 3 4 2 5" xfId="24368" xr:uid="{00000000-0005-0000-0000-0000193E0000}"/>
    <cellStyle name="20% - Accent5 3 4 2 6" xfId="29566" xr:uid="{00000000-0005-0000-0000-00001A3E0000}"/>
    <cellStyle name="20% - Accent5 3 4 2 7" xfId="36164" xr:uid="{00000000-0005-0000-0000-00001B3E0000}"/>
    <cellStyle name="20% - Accent5 3 4 2 8" xfId="41641" xr:uid="{00000000-0005-0000-0000-00001C3E0000}"/>
    <cellStyle name="20% - Accent5 3 4 2 9" xfId="47118" xr:uid="{00000000-0005-0000-0000-00001D3E0000}"/>
    <cellStyle name="20% - Accent5 3 4 3" xfId="4232" xr:uid="{00000000-0005-0000-0000-00001E3E0000}"/>
    <cellStyle name="20% - Accent5 3 4 3 10" xfId="54408" xr:uid="{00000000-0005-0000-0000-00001F3E0000}"/>
    <cellStyle name="20% - Accent5 3 4 3 2" xfId="9712" xr:uid="{00000000-0005-0000-0000-0000203E0000}"/>
    <cellStyle name="20% - Accent5 3 4 3 3" xfId="15188" xr:uid="{00000000-0005-0000-0000-0000213E0000}"/>
    <cellStyle name="20% - Accent5 3 4 3 4" xfId="20664" xr:uid="{00000000-0005-0000-0000-0000223E0000}"/>
    <cellStyle name="20% - Accent5 3 4 3 5" xfId="26140" xr:uid="{00000000-0005-0000-0000-0000233E0000}"/>
    <cellStyle name="20% - Accent5 3 4 3 6" xfId="29568" xr:uid="{00000000-0005-0000-0000-0000243E0000}"/>
    <cellStyle name="20% - Accent5 3 4 3 7" xfId="37936" xr:uid="{00000000-0005-0000-0000-0000253E0000}"/>
    <cellStyle name="20% - Accent5 3 4 3 8" xfId="43413" xr:uid="{00000000-0005-0000-0000-0000263E0000}"/>
    <cellStyle name="20% - Accent5 3 4 3 9" xfId="48890" xr:uid="{00000000-0005-0000-0000-0000273E0000}"/>
    <cellStyle name="20% - Accent5 3 4 4" xfId="6107" xr:uid="{00000000-0005-0000-0000-0000283E0000}"/>
    <cellStyle name="20% - Accent5 3 4 5" xfId="11587" xr:uid="{00000000-0005-0000-0000-0000293E0000}"/>
    <cellStyle name="20% - Accent5 3 4 6" xfId="17063" xr:uid="{00000000-0005-0000-0000-00002A3E0000}"/>
    <cellStyle name="20% - Accent5 3 4 7" xfId="22539" xr:uid="{00000000-0005-0000-0000-00002B3E0000}"/>
    <cellStyle name="20% - Accent5 3 4 8" xfId="29565" xr:uid="{00000000-0005-0000-0000-00002C3E0000}"/>
    <cellStyle name="20% - Accent5 3 4 9" xfId="34334" xr:uid="{00000000-0005-0000-0000-00002D3E0000}"/>
    <cellStyle name="20% - Accent5 3 5" xfId="871" xr:uid="{00000000-0005-0000-0000-00002E3E0000}"/>
    <cellStyle name="20% - Accent5 3 5 10" xfId="39812" xr:uid="{00000000-0005-0000-0000-00002F3E0000}"/>
    <cellStyle name="20% - Accent5 3 5 11" xfId="45289" xr:uid="{00000000-0005-0000-0000-0000303E0000}"/>
    <cellStyle name="20% - Accent5 3 5 12" xfId="50767" xr:uid="{00000000-0005-0000-0000-0000313E0000}"/>
    <cellStyle name="20% - Accent5 3 5 2" xfId="2632" xr:uid="{00000000-0005-0000-0000-0000323E0000}"/>
    <cellStyle name="20% - Accent5 3 5 2 10" xfId="52808" xr:uid="{00000000-0005-0000-0000-0000333E0000}"/>
    <cellStyle name="20% - Accent5 3 5 2 2" xfId="8112" xr:uid="{00000000-0005-0000-0000-0000343E0000}"/>
    <cellStyle name="20% - Accent5 3 5 2 2 2" xfId="29571" xr:uid="{00000000-0005-0000-0000-0000353E0000}"/>
    <cellStyle name="20% - Accent5 3 5 2 3" xfId="13588" xr:uid="{00000000-0005-0000-0000-0000363E0000}"/>
    <cellStyle name="20% - Accent5 3 5 2 4" xfId="19064" xr:uid="{00000000-0005-0000-0000-0000373E0000}"/>
    <cellStyle name="20% - Accent5 3 5 2 5" xfId="24540" xr:uid="{00000000-0005-0000-0000-0000383E0000}"/>
    <cellStyle name="20% - Accent5 3 5 2 6" xfId="29570" xr:uid="{00000000-0005-0000-0000-0000393E0000}"/>
    <cellStyle name="20% - Accent5 3 5 2 7" xfId="36336" xr:uid="{00000000-0005-0000-0000-00003A3E0000}"/>
    <cellStyle name="20% - Accent5 3 5 2 8" xfId="41813" xr:uid="{00000000-0005-0000-0000-00003B3E0000}"/>
    <cellStyle name="20% - Accent5 3 5 2 9" xfId="47290" xr:uid="{00000000-0005-0000-0000-00003C3E0000}"/>
    <cellStyle name="20% - Accent5 3 5 3" xfId="4404" xr:uid="{00000000-0005-0000-0000-00003D3E0000}"/>
    <cellStyle name="20% - Accent5 3 5 3 10" xfId="54580" xr:uid="{00000000-0005-0000-0000-00003E3E0000}"/>
    <cellStyle name="20% - Accent5 3 5 3 2" xfId="9884" xr:uid="{00000000-0005-0000-0000-00003F3E0000}"/>
    <cellStyle name="20% - Accent5 3 5 3 3" xfId="15360" xr:uid="{00000000-0005-0000-0000-0000403E0000}"/>
    <cellStyle name="20% - Accent5 3 5 3 4" xfId="20836" xr:uid="{00000000-0005-0000-0000-0000413E0000}"/>
    <cellStyle name="20% - Accent5 3 5 3 5" xfId="26312" xr:uid="{00000000-0005-0000-0000-0000423E0000}"/>
    <cellStyle name="20% - Accent5 3 5 3 6" xfId="29572" xr:uid="{00000000-0005-0000-0000-0000433E0000}"/>
    <cellStyle name="20% - Accent5 3 5 3 7" xfId="38108" xr:uid="{00000000-0005-0000-0000-0000443E0000}"/>
    <cellStyle name="20% - Accent5 3 5 3 8" xfId="43585" xr:uid="{00000000-0005-0000-0000-0000453E0000}"/>
    <cellStyle name="20% - Accent5 3 5 3 9" xfId="49062" xr:uid="{00000000-0005-0000-0000-0000463E0000}"/>
    <cellStyle name="20% - Accent5 3 5 4" xfId="6108" xr:uid="{00000000-0005-0000-0000-0000473E0000}"/>
    <cellStyle name="20% - Accent5 3 5 5" xfId="11588" xr:uid="{00000000-0005-0000-0000-0000483E0000}"/>
    <cellStyle name="20% - Accent5 3 5 6" xfId="17064" xr:uid="{00000000-0005-0000-0000-0000493E0000}"/>
    <cellStyle name="20% - Accent5 3 5 7" xfId="22540" xr:uid="{00000000-0005-0000-0000-00004A3E0000}"/>
    <cellStyle name="20% - Accent5 3 5 8" xfId="29569" xr:uid="{00000000-0005-0000-0000-00004B3E0000}"/>
    <cellStyle name="20% - Accent5 3 5 9" xfId="34335" xr:uid="{00000000-0005-0000-0000-00004C3E0000}"/>
    <cellStyle name="20% - Accent5 3 6" xfId="1077" xr:uid="{00000000-0005-0000-0000-00004D3E0000}"/>
    <cellStyle name="20% - Accent5 3 6 10" xfId="39813" xr:uid="{00000000-0005-0000-0000-00004E3E0000}"/>
    <cellStyle name="20% - Accent5 3 6 11" xfId="45290" xr:uid="{00000000-0005-0000-0000-00004F3E0000}"/>
    <cellStyle name="20% - Accent5 3 6 12" xfId="50768" xr:uid="{00000000-0005-0000-0000-0000503E0000}"/>
    <cellStyle name="20% - Accent5 3 6 2" xfId="2838" xr:uid="{00000000-0005-0000-0000-0000513E0000}"/>
    <cellStyle name="20% - Accent5 3 6 2 10" xfId="53014" xr:uid="{00000000-0005-0000-0000-0000523E0000}"/>
    <cellStyle name="20% - Accent5 3 6 2 2" xfId="8318" xr:uid="{00000000-0005-0000-0000-0000533E0000}"/>
    <cellStyle name="20% - Accent5 3 6 2 2 2" xfId="29575" xr:uid="{00000000-0005-0000-0000-0000543E0000}"/>
    <cellStyle name="20% - Accent5 3 6 2 3" xfId="13794" xr:uid="{00000000-0005-0000-0000-0000553E0000}"/>
    <cellStyle name="20% - Accent5 3 6 2 4" xfId="19270" xr:uid="{00000000-0005-0000-0000-0000563E0000}"/>
    <cellStyle name="20% - Accent5 3 6 2 5" xfId="24746" xr:uid="{00000000-0005-0000-0000-0000573E0000}"/>
    <cellStyle name="20% - Accent5 3 6 2 6" xfId="29574" xr:uid="{00000000-0005-0000-0000-0000583E0000}"/>
    <cellStyle name="20% - Accent5 3 6 2 7" xfId="36542" xr:uid="{00000000-0005-0000-0000-0000593E0000}"/>
    <cellStyle name="20% - Accent5 3 6 2 8" xfId="42019" xr:uid="{00000000-0005-0000-0000-00005A3E0000}"/>
    <cellStyle name="20% - Accent5 3 6 2 9" xfId="47496" xr:uid="{00000000-0005-0000-0000-00005B3E0000}"/>
    <cellStyle name="20% - Accent5 3 6 3" xfId="4610" xr:uid="{00000000-0005-0000-0000-00005C3E0000}"/>
    <cellStyle name="20% - Accent5 3 6 3 10" xfId="54786" xr:uid="{00000000-0005-0000-0000-00005D3E0000}"/>
    <cellStyle name="20% - Accent5 3 6 3 2" xfId="10090" xr:uid="{00000000-0005-0000-0000-00005E3E0000}"/>
    <cellStyle name="20% - Accent5 3 6 3 3" xfId="15566" xr:uid="{00000000-0005-0000-0000-00005F3E0000}"/>
    <cellStyle name="20% - Accent5 3 6 3 4" xfId="21042" xr:uid="{00000000-0005-0000-0000-0000603E0000}"/>
    <cellStyle name="20% - Accent5 3 6 3 5" xfId="26518" xr:uid="{00000000-0005-0000-0000-0000613E0000}"/>
    <cellStyle name="20% - Accent5 3 6 3 6" xfId="29576" xr:uid="{00000000-0005-0000-0000-0000623E0000}"/>
    <cellStyle name="20% - Accent5 3 6 3 7" xfId="38314" xr:uid="{00000000-0005-0000-0000-0000633E0000}"/>
    <cellStyle name="20% - Accent5 3 6 3 8" xfId="43791" xr:uid="{00000000-0005-0000-0000-0000643E0000}"/>
    <cellStyle name="20% - Accent5 3 6 3 9" xfId="49268" xr:uid="{00000000-0005-0000-0000-0000653E0000}"/>
    <cellStyle name="20% - Accent5 3 6 4" xfId="6109" xr:uid="{00000000-0005-0000-0000-0000663E0000}"/>
    <cellStyle name="20% - Accent5 3 6 5" xfId="11589" xr:uid="{00000000-0005-0000-0000-0000673E0000}"/>
    <cellStyle name="20% - Accent5 3 6 6" xfId="17065" xr:uid="{00000000-0005-0000-0000-0000683E0000}"/>
    <cellStyle name="20% - Accent5 3 6 7" xfId="22541" xr:uid="{00000000-0005-0000-0000-0000693E0000}"/>
    <cellStyle name="20% - Accent5 3 6 8" xfId="29573" xr:uid="{00000000-0005-0000-0000-00006A3E0000}"/>
    <cellStyle name="20% - Accent5 3 6 9" xfId="34336" xr:uid="{00000000-0005-0000-0000-00006B3E0000}"/>
    <cellStyle name="20% - Accent5 3 7" xfId="1249" xr:uid="{00000000-0005-0000-0000-00006C3E0000}"/>
    <cellStyle name="20% - Accent5 3 7 10" xfId="39814" xr:uid="{00000000-0005-0000-0000-00006D3E0000}"/>
    <cellStyle name="20% - Accent5 3 7 11" xfId="45291" xr:uid="{00000000-0005-0000-0000-00006E3E0000}"/>
    <cellStyle name="20% - Accent5 3 7 12" xfId="50769" xr:uid="{00000000-0005-0000-0000-00006F3E0000}"/>
    <cellStyle name="20% - Accent5 3 7 2" xfId="3010" xr:uid="{00000000-0005-0000-0000-0000703E0000}"/>
    <cellStyle name="20% - Accent5 3 7 2 10" xfId="53186" xr:uid="{00000000-0005-0000-0000-0000713E0000}"/>
    <cellStyle name="20% - Accent5 3 7 2 2" xfId="8490" xr:uid="{00000000-0005-0000-0000-0000723E0000}"/>
    <cellStyle name="20% - Accent5 3 7 2 2 2" xfId="29579" xr:uid="{00000000-0005-0000-0000-0000733E0000}"/>
    <cellStyle name="20% - Accent5 3 7 2 3" xfId="13966" xr:uid="{00000000-0005-0000-0000-0000743E0000}"/>
    <cellStyle name="20% - Accent5 3 7 2 4" xfId="19442" xr:uid="{00000000-0005-0000-0000-0000753E0000}"/>
    <cellStyle name="20% - Accent5 3 7 2 5" xfId="24918" xr:uid="{00000000-0005-0000-0000-0000763E0000}"/>
    <cellStyle name="20% - Accent5 3 7 2 6" xfId="29578" xr:uid="{00000000-0005-0000-0000-0000773E0000}"/>
    <cellStyle name="20% - Accent5 3 7 2 7" xfId="36714" xr:uid="{00000000-0005-0000-0000-0000783E0000}"/>
    <cellStyle name="20% - Accent5 3 7 2 8" xfId="42191" xr:uid="{00000000-0005-0000-0000-0000793E0000}"/>
    <cellStyle name="20% - Accent5 3 7 2 9" xfId="47668" xr:uid="{00000000-0005-0000-0000-00007A3E0000}"/>
    <cellStyle name="20% - Accent5 3 7 3" xfId="4782" xr:uid="{00000000-0005-0000-0000-00007B3E0000}"/>
    <cellStyle name="20% - Accent5 3 7 3 10" xfId="54958" xr:uid="{00000000-0005-0000-0000-00007C3E0000}"/>
    <cellStyle name="20% - Accent5 3 7 3 2" xfId="10262" xr:uid="{00000000-0005-0000-0000-00007D3E0000}"/>
    <cellStyle name="20% - Accent5 3 7 3 3" xfId="15738" xr:uid="{00000000-0005-0000-0000-00007E3E0000}"/>
    <cellStyle name="20% - Accent5 3 7 3 4" xfId="21214" xr:uid="{00000000-0005-0000-0000-00007F3E0000}"/>
    <cellStyle name="20% - Accent5 3 7 3 5" xfId="26690" xr:uid="{00000000-0005-0000-0000-0000803E0000}"/>
    <cellStyle name="20% - Accent5 3 7 3 6" xfId="29580" xr:uid="{00000000-0005-0000-0000-0000813E0000}"/>
    <cellStyle name="20% - Accent5 3 7 3 7" xfId="38486" xr:uid="{00000000-0005-0000-0000-0000823E0000}"/>
    <cellStyle name="20% - Accent5 3 7 3 8" xfId="43963" xr:uid="{00000000-0005-0000-0000-0000833E0000}"/>
    <cellStyle name="20% - Accent5 3 7 3 9" xfId="49440" xr:uid="{00000000-0005-0000-0000-0000843E0000}"/>
    <cellStyle name="20% - Accent5 3 7 4" xfId="6110" xr:uid="{00000000-0005-0000-0000-0000853E0000}"/>
    <cellStyle name="20% - Accent5 3 7 5" xfId="11590" xr:uid="{00000000-0005-0000-0000-0000863E0000}"/>
    <cellStyle name="20% - Accent5 3 7 6" xfId="17066" xr:uid="{00000000-0005-0000-0000-0000873E0000}"/>
    <cellStyle name="20% - Accent5 3 7 7" xfId="22542" xr:uid="{00000000-0005-0000-0000-0000883E0000}"/>
    <cellStyle name="20% - Accent5 3 7 8" xfId="29577" xr:uid="{00000000-0005-0000-0000-0000893E0000}"/>
    <cellStyle name="20% - Accent5 3 7 9" xfId="34337" xr:uid="{00000000-0005-0000-0000-00008A3E0000}"/>
    <cellStyle name="20% - Accent5 3 8" xfId="1421" xr:uid="{00000000-0005-0000-0000-00008B3E0000}"/>
    <cellStyle name="20% - Accent5 3 8 10" xfId="39815" xr:uid="{00000000-0005-0000-0000-00008C3E0000}"/>
    <cellStyle name="20% - Accent5 3 8 11" xfId="45292" xr:uid="{00000000-0005-0000-0000-00008D3E0000}"/>
    <cellStyle name="20% - Accent5 3 8 12" xfId="50770" xr:uid="{00000000-0005-0000-0000-00008E3E0000}"/>
    <cellStyle name="20% - Accent5 3 8 2" xfId="3182" xr:uid="{00000000-0005-0000-0000-00008F3E0000}"/>
    <cellStyle name="20% - Accent5 3 8 2 10" xfId="53358" xr:uid="{00000000-0005-0000-0000-0000903E0000}"/>
    <cellStyle name="20% - Accent5 3 8 2 2" xfId="8662" xr:uid="{00000000-0005-0000-0000-0000913E0000}"/>
    <cellStyle name="20% - Accent5 3 8 2 3" xfId="14138" xr:uid="{00000000-0005-0000-0000-0000923E0000}"/>
    <cellStyle name="20% - Accent5 3 8 2 4" xfId="19614" xr:uid="{00000000-0005-0000-0000-0000933E0000}"/>
    <cellStyle name="20% - Accent5 3 8 2 5" xfId="25090" xr:uid="{00000000-0005-0000-0000-0000943E0000}"/>
    <cellStyle name="20% - Accent5 3 8 2 6" xfId="29582" xr:uid="{00000000-0005-0000-0000-0000953E0000}"/>
    <cellStyle name="20% - Accent5 3 8 2 7" xfId="36886" xr:uid="{00000000-0005-0000-0000-0000963E0000}"/>
    <cellStyle name="20% - Accent5 3 8 2 8" xfId="42363" xr:uid="{00000000-0005-0000-0000-0000973E0000}"/>
    <cellStyle name="20% - Accent5 3 8 2 9" xfId="47840" xr:uid="{00000000-0005-0000-0000-0000983E0000}"/>
    <cellStyle name="20% - Accent5 3 8 3" xfId="4954" xr:uid="{00000000-0005-0000-0000-0000993E0000}"/>
    <cellStyle name="20% - Accent5 3 8 3 2" xfId="10434" xr:uid="{00000000-0005-0000-0000-00009A3E0000}"/>
    <cellStyle name="20% - Accent5 3 8 3 3" xfId="15910" xr:uid="{00000000-0005-0000-0000-00009B3E0000}"/>
    <cellStyle name="20% - Accent5 3 8 3 4" xfId="21386" xr:uid="{00000000-0005-0000-0000-00009C3E0000}"/>
    <cellStyle name="20% - Accent5 3 8 3 5" xfId="26862" xr:uid="{00000000-0005-0000-0000-00009D3E0000}"/>
    <cellStyle name="20% - Accent5 3 8 3 6" xfId="38658" xr:uid="{00000000-0005-0000-0000-00009E3E0000}"/>
    <cellStyle name="20% - Accent5 3 8 3 7" xfId="44135" xr:uid="{00000000-0005-0000-0000-00009F3E0000}"/>
    <cellStyle name="20% - Accent5 3 8 3 8" xfId="49612" xr:uid="{00000000-0005-0000-0000-0000A03E0000}"/>
    <cellStyle name="20% - Accent5 3 8 3 9" xfId="55130" xr:uid="{00000000-0005-0000-0000-0000A13E0000}"/>
    <cellStyle name="20% - Accent5 3 8 4" xfId="6111" xr:uid="{00000000-0005-0000-0000-0000A23E0000}"/>
    <cellStyle name="20% - Accent5 3 8 5" xfId="11591" xr:uid="{00000000-0005-0000-0000-0000A33E0000}"/>
    <cellStyle name="20% - Accent5 3 8 6" xfId="17067" xr:uid="{00000000-0005-0000-0000-0000A43E0000}"/>
    <cellStyle name="20% - Accent5 3 8 7" xfId="22543" xr:uid="{00000000-0005-0000-0000-0000A53E0000}"/>
    <cellStyle name="20% - Accent5 3 8 8" xfId="29581" xr:uid="{00000000-0005-0000-0000-0000A63E0000}"/>
    <cellStyle name="20% - Accent5 3 8 9" xfId="34338" xr:uid="{00000000-0005-0000-0000-0000A73E0000}"/>
    <cellStyle name="20% - Accent5 3 9" xfId="1593" xr:uid="{00000000-0005-0000-0000-0000A83E0000}"/>
    <cellStyle name="20% - Accent5 3 9 10" xfId="39816" xr:uid="{00000000-0005-0000-0000-0000A93E0000}"/>
    <cellStyle name="20% - Accent5 3 9 11" xfId="45293" xr:uid="{00000000-0005-0000-0000-0000AA3E0000}"/>
    <cellStyle name="20% - Accent5 3 9 12" xfId="50771" xr:uid="{00000000-0005-0000-0000-0000AB3E0000}"/>
    <cellStyle name="20% - Accent5 3 9 2" xfId="3354" xr:uid="{00000000-0005-0000-0000-0000AC3E0000}"/>
    <cellStyle name="20% - Accent5 3 9 2 2" xfId="8834" xr:uid="{00000000-0005-0000-0000-0000AD3E0000}"/>
    <cellStyle name="20% - Accent5 3 9 2 3" xfId="14310" xr:uid="{00000000-0005-0000-0000-0000AE3E0000}"/>
    <cellStyle name="20% - Accent5 3 9 2 4" xfId="19786" xr:uid="{00000000-0005-0000-0000-0000AF3E0000}"/>
    <cellStyle name="20% - Accent5 3 9 2 5" xfId="25262" xr:uid="{00000000-0005-0000-0000-0000B03E0000}"/>
    <cellStyle name="20% - Accent5 3 9 2 6" xfId="37058" xr:uid="{00000000-0005-0000-0000-0000B13E0000}"/>
    <cellStyle name="20% - Accent5 3 9 2 7" xfId="42535" xr:uid="{00000000-0005-0000-0000-0000B23E0000}"/>
    <cellStyle name="20% - Accent5 3 9 2 8" xfId="48012" xr:uid="{00000000-0005-0000-0000-0000B33E0000}"/>
    <cellStyle name="20% - Accent5 3 9 2 9" xfId="53530" xr:uid="{00000000-0005-0000-0000-0000B43E0000}"/>
    <cellStyle name="20% - Accent5 3 9 3" xfId="5126" xr:uid="{00000000-0005-0000-0000-0000B53E0000}"/>
    <cellStyle name="20% - Accent5 3 9 3 2" xfId="10606" xr:uid="{00000000-0005-0000-0000-0000B63E0000}"/>
    <cellStyle name="20% - Accent5 3 9 3 3" xfId="16082" xr:uid="{00000000-0005-0000-0000-0000B73E0000}"/>
    <cellStyle name="20% - Accent5 3 9 3 4" xfId="21558" xr:uid="{00000000-0005-0000-0000-0000B83E0000}"/>
    <cellStyle name="20% - Accent5 3 9 3 5" xfId="27034" xr:uid="{00000000-0005-0000-0000-0000B93E0000}"/>
    <cellStyle name="20% - Accent5 3 9 3 6" xfId="38830" xr:uid="{00000000-0005-0000-0000-0000BA3E0000}"/>
    <cellStyle name="20% - Accent5 3 9 3 7" xfId="44307" xr:uid="{00000000-0005-0000-0000-0000BB3E0000}"/>
    <cellStyle name="20% - Accent5 3 9 3 8" xfId="49784" xr:uid="{00000000-0005-0000-0000-0000BC3E0000}"/>
    <cellStyle name="20% - Accent5 3 9 3 9" xfId="55302" xr:uid="{00000000-0005-0000-0000-0000BD3E0000}"/>
    <cellStyle name="20% - Accent5 3 9 4" xfId="6112" xr:uid="{00000000-0005-0000-0000-0000BE3E0000}"/>
    <cellStyle name="20% - Accent5 3 9 5" xfId="11592" xr:uid="{00000000-0005-0000-0000-0000BF3E0000}"/>
    <cellStyle name="20% - Accent5 3 9 6" xfId="17068" xr:uid="{00000000-0005-0000-0000-0000C03E0000}"/>
    <cellStyle name="20% - Accent5 3 9 7" xfId="22544" xr:uid="{00000000-0005-0000-0000-0000C13E0000}"/>
    <cellStyle name="20% - Accent5 3 9 8" xfId="29583" xr:uid="{00000000-0005-0000-0000-0000C23E0000}"/>
    <cellStyle name="20% - Accent5 3 9 9" xfId="34339" xr:uid="{00000000-0005-0000-0000-0000C33E0000}"/>
    <cellStyle name="20% - Accent5 4" xfId="327" xr:uid="{00000000-0005-0000-0000-0000C43E0000}"/>
    <cellStyle name="20% - Accent5 4 10" xfId="1956" xr:uid="{00000000-0005-0000-0000-0000C53E0000}"/>
    <cellStyle name="20% - Accent5 4 10 10" xfId="52133" xr:uid="{00000000-0005-0000-0000-0000C63E0000}"/>
    <cellStyle name="20% - Accent5 4 10 2" xfId="5488" xr:uid="{00000000-0005-0000-0000-0000C73E0000}"/>
    <cellStyle name="20% - Accent5 4 10 2 2" xfId="10968" xr:uid="{00000000-0005-0000-0000-0000C83E0000}"/>
    <cellStyle name="20% - Accent5 4 10 2 3" xfId="16444" xr:uid="{00000000-0005-0000-0000-0000C93E0000}"/>
    <cellStyle name="20% - Accent5 4 10 2 4" xfId="21920" xr:uid="{00000000-0005-0000-0000-0000CA3E0000}"/>
    <cellStyle name="20% - Accent5 4 10 2 5" xfId="27396" xr:uid="{00000000-0005-0000-0000-0000CB3E0000}"/>
    <cellStyle name="20% - Accent5 4 10 2 6" xfId="39192" xr:uid="{00000000-0005-0000-0000-0000CC3E0000}"/>
    <cellStyle name="20% - Accent5 4 10 2 7" xfId="44669" xr:uid="{00000000-0005-0000-0000-0000CD3E0000}"/>
    <cellStyle name="20% - Accent5 4 10 2 8" xfId="50146" xr:uid="{00000000-0005-0000-0000-0000CE3E0000}"/>
    <cellStyle name="20% - Accent5 4 10 2 9" xfId="55664" xr:uid="{00000000-0005-0000-0000-0000CF3E0000}"/>
    <cellStyle name="20% - Accent5 4 10 3" xfId="7437" xr:uid="{00000000-0005-0000-0000-0000D03E0000}"/>
    <cellStyle name="20% - Accent5 4 10 4" xfId="12913" xr:uid="{00000000-0005-0000-0000-0000D13E0000}"/>
    <cellStyle name="20% - Accent5 4 10 5" xfId="18389" xr:uid="{00000000-0005-0000-0000-0000D23E0000}"/>
    <cellStyle name="20% - Accent5 4 10 6" xfId="23865" xr:uid="{00000000-0005-0000-0000-0000D33E0000}"/>
    <cellStyle name="20% - Accent5 4 10 7" xfId="35661" xr:uid="{00000000-0005-0000-0000-0000D43E0000}"/>
    <cellStyle name="20% - Accent5 4 10 8" xfId="41138" xr:uid="{00000000-0005-0000-0000-0000D53E0000}"/>
    <cellStyle name="20% - Accent5 4 10 9" xfId="46615" xr:uid="{00000000-0005-0000-0000-0000D63E0000}"/>
    <cellStyle name="20% - Accent5 4 11" xfId="3889" xr:uid="{00000000-0005-0000-0000-0000D73E0000}"/>
    <cellStyle name="20% - Accent5 4 11 2" xfId="9369" xr:uid="{00000000-0005-0000-0000-0000D83E0000}"/>
    <cellStyle name="20% - Accent5 4 11 3" xfId="14845" xr:uid="{00000000-0005-0000-0000-0000D93E0000}"/>
    <cellStyle name="20% - Accent5 4 11 4" xfId="20321" xr:uid="{00000000-0005-0000-0000-0000DA3E0000}"/>
    <cellStyle name="20% - Accent5 4 11 5" xfId="25797" xr:uid="{00000000-0005-0000-0000-0000DB3E0000}"/>
    <cellStyle name="20% - Accent5 4 11 6" xfId="37593" xr:uid="{00000000-0005-0000-0000-0000DC3E0000}"/>
    <cellStyle name="20% - Accent5 4 11 7" xfId="43070" xr:uid="{00000000-0005-0000-0000-0000DD3E0000}"/>
    <cellStyle name="20% - Accent5 4 11 8" xfId="48547" xr:uid="{00000000-0005-0000-0000-0000DE3E0000}"/>
    <cellStyle name="20% - Accent5 4 11 9" xfId="54065" xr:uid="{00000000-0005-0000-0000-0000DF3E0000}"/>
    <cellStyle name="20% - Accent5 4 12" xfId="6113" xr:uid="{00000000-0005-0000-0000-0000E03E0000}"/>
    <cellStyle name="20% - Accent5 4 13" xfId="11593" xr:uid="{00000000-0005-0000-0000-0000E13E0000}"/>
    <cellStyle name="20% - Accent5 4 14" xfId="17069" xr:uid="{00000000-0005-0000-0000-0000E23E0000}"/>
    <cellStyle name="20% - Accent5 4 15" xfId="22545" xr:uid="{00000000-0005-0000-0000-0000E33E0000}"/>
    <cellStyle name="20% - Accent5 4 16" xfId="29584" xr:uid="{00000000-0005-0000-0000-0000E43E0000}"/>
    <cellStyle name="20% - Accent5 4 17" xfId="34340" xr:uid="{00000000-0005-0000-0000-0000E53E0000}"/>
    <cellStyle name="20% - Accent5 4 18" xfId="39817" xr:uid="{00000000-0005-0000-0000-0000E63E0000}"/>
    <cellStyle name="20% - Accent5 4 19" xfId="45294" xr:uid="{00000000-0005-0000-0000-0000E73E0000}"/>
    <cellStyle name="20% - Accent5 4 2" xfId="528" xr:uid="{00000000-0005-0000-0000-0000E83E0000}"/>
    <cellStyle name="20% - Accent5 4 2 10" xfId="39818" xr:uid="{00000000-0005-0000-0000-0000E93E0000}"/>
    <cellStyle name="20% - Accent5 4 2 11" xfId="45295" xr:uid="{00000000-0005-0000-0000-0000EA3E0000}"/>
    <cellStyle name="20% - Accent5 4 2 12" xfId="50773" xr:uid="{00000000-0005-0000-0000-0000EB3E0000}"/>
    <cellStyle name="20% - Accent5 4 2 2" xfId="2289" xr:uid="{00000000-0005-0000-0000-0000EC3E0000}"/>
    <cellStyle name="20% - Accent5 4 2 2 10" xfId="52465" xr:uid="{00000000-0005-0000-0000-0000ED3E0000}"/>
    <cellStyle name="20% - Accent5 4 2 2 2" xfId="7769" xr:uid="{00000000-0005-0000-0000-0000EE3E0000}"/>
    <cellStyle name="20% - Accent5 4 2 2 2 2" xfId="29587" xr:uid="{00000000-0005-0000-0000-0000EF3E0000}"/>
    <cellStyle name="20% - Accent5 4 2 2 3" xfId="13245" xr:uid="{00000000-0005-0000-0000-0000F03E0000}"/>
    <cellStyle name="20% - Accent5 4 2 2 4" xfId="18721" xr:uid="{00000000-0005-0000-0000-0000F13E0000}"/>
    <cellStyle name="20% - Accent5 4 2 2 5" xfId="24197" xr:uid="{00000000-0005-0000-0000-0000F23E0000}"/>
    <cellStyle name="20% - Accent5 4 2 2 6" xfId="29586" xr:uid="{00000000-0005-0000-0000-0000F33E0000}"/>
    <cellStyle name="20% - Accent5 4 2 2 7" xfId="35993" xr:uid="{00000000-0005-0000-0000-0000F43E0000}"/>
    <cellStyle name="20% - Accent5 4 2 2 8" xfId="41470" xr:uid="{00000000-0005-0000-0000-0000F53E0000}"/>
    <cellStyle name="20% - Accent5 4 2 2 9" xfId="46947" xr:uid="{00000000-0005-0000-0000-0000F63E0000}"/>
    <cellStyle name="20% - Accent5 4 2 3" xfId="4061" xr:uid="{00000000-0005-0000-0000-0000F73E0000}"/>
    <cellStyle name="20% - Accent5 4 2 3 10" xfId="54237" xr:uid="{00000000-0005-0000-0000-0000F83E0000}"/>
    <cellStyle name="20% - Accent5 4 2 3 2" xfId="9541" xr:uid="{00000000-0005-0000-0000-0000F93E0000}"/>
    <cellStyle name="20% - Accent5 4 2 3 3" xfId="15017" xr:uid="{00000000-0005-0000-0000-0000FA3E0000}"/>
    <cellStyle name="20% - Accent5 4 2 3 4" xfId="20493" xr:uid="{00000000-0005-0000-0000-0000FB3E0000}"/>
    <cellStyle name="20% - Accent5 4 2 3 5" xfId="25969" xr:uid="{00000000-0005-0000-0000-0000FC3E0000}"/>
    <cellStyle name="20% - Accent5 4 2 3 6" xfId="29588" xr:uid="{00000000-0005-0000-0000-0000FD3E0000}"/>
    <cellStyle name="20% - Accent5 4 2 3 7" xfId="37765" xr:uid="{00000000-0005-0000-0000-0000FE3E0000}"/>
    <cellStyle name="20% - Accent5 4 2 3 8" xfId="43242" xr:uid="{00000000-0005-0000-0000-0000FF3E0000}"/>
    <cellStyle name="20% - Accent5 4 2 3 9" xfId="48719" xr:uid="{00000000-0005-0000-0000-0000003F0000}"/>
    <cellStyle name="20% - Accent5 4 2 4" xfId="6114" xr:uid="{00000000-0005-0000-0000-0000013F0000}"/>
    <cellStyle name="20% - Accent5 4 2 5" xfId="11594" xr:uid="{00000000-0005-0000-0000-0000023F0000}"/>
    <cellStyle name="20% - Accent5 4 2 6" xfId="17070" xr:uid="{00000000-0005-0000-0000-0000033F0000}"/>
    <cellStyle name="20% - Accent5 4 2 7" xfId="22546" xr:uid="{00000000-0005-0000-0000-0000043F0000}"/>
    <cellStyle name="20% - Accent5 4 2 8" xfId="29585" xr:uid="{00000000-0005-0000-0000-0000053F0000}"/>
    <cellStyle name="20% - Accent5 4 2 9" xfId="34341" xr:uid="{00000000-0005-0000-0000-0000063F0000}"/>
    <cellStyle name="20% - Accent5 4 20" xfId="50772" xr:uid="{00000000-0005-0000-0000-0000073F0000}"/>
    <cellStyle name="20% - Accent5 4 3" xfId="700" xr:uid="{00000000-0005-0000-0000-0000083F0000}"/>
    <cellStyle name="20% - Accent5 4 3 10" xfId="39819" xr:uid="{00000000-0005-0000-0000-0000093F0000}"/>
    <cellStyle name="20% - Accent5 4 3 11" xfId="45296" xr:uid="{00000000-0005-0000-0000-00000A3F0000}"/>
    <cellStyle name="20% - Accent5 4 3 12" xfId="50774" xr:uid="{00000000-0005-0000-0000-00000B3F0000}"/>
    <cellStyle name="20% - Accent5 4 3 2" xfId="2461" xr:uid="{00000000-0005-0000-0000-00000C3F0000}"/>
    <cellStyle name="20% - Accent5 4 3 2 10" xfId="52637" xr:uid="{00000000-0005-0000-0000-00000D3F0000}"/>
    <cellStyle name="20% - Accent5 4 3 2 2" xfId="7941" xr:uid="{00000000-0005-0000-0000-00000E3F0000}"/>
    <cellStyle name="20% - Accent5 4 3 2 2 2" xfId="29591" xr:uid="{00000000-0005-0000-0000-00000F3F0000}"/>
    <cellStyle name="20% - Accent5 4 3 2 3" xfId="13417" xr:uid="{00000000-0005-0000-0000-0000103F0000}"/>
    <cellStyle name="20% - Accent5 4 3 2 4" xfId="18893" xr:uid="{00000000-0005-0000-0000-0000113F0000}"/>
    <cellStyle name="20% - Accent5 4 3 2 5" xfId="24369" xr:uid="{00000000-0005-0000-0000-0000123F0000}"/>
    <cellStyle name="20% - Accent5 4 3 2 6" xfId="29590" xr:uid="{00000000-0005-0000-0000-0000133F0000}"/>
    <cellStyle name="20% - Accent5 4 3 2 7" xfId="36165" xr:uid="{00000000-0005-0000-0000-0000143F0000}"/>
    <cellStyle name="20% - Accent5 4 3 2 8" xfId="41642" xr:uid="{00000000-0005-0000-0000-0000153F0000}"/>
    <cellStyle name="20% - Accent5 4 3 2 9" xfId="47119" xr:uid="{00000000-0005-0000-0000-0000163F0000}"/>
    <cellStyle name="20% - Accent5 4 3 3" xfId="4233" xr:uid="{00000000-0005-0000-0000-0000173F0000}"/>
    <cellStyle name="20% - Accent5 4 3 3 10" xfId="54409" xr:uid="{00000000-0005-0000-0000-0000183F0000}"/>
    <cellStyle name="20% - Accent5 4 3 3 2" xfId="9713" xr:uid="{00000000-0005-0000-0000-0000193F0000}"/>
    <cellStyle name="20% - Accent5 4 3 3 3" xfId="15189" xr:uid="{00000000-0005-0000-0000-00001A3F0000}"/>
    <cellStyle name="20% - Accent5 4 3 3 4" xfId="20665" xr:uid="{00000000-0005-0000-0000-00001B3F0000}"/>
    <cellStyle name="20% - Accent5 4 3 3 5" xfId="26141" xr:uid="{00000000-0005-0000-0000-00001C3F0000}"/>
    <cellStyle name="20% - Accent5 4 3 3 6" xfId="29592" xr:uid="{00000000-0005-0000-0000-00001D3F0000}"/>
    <cellStyle name="20% - Accent5 4 3 3 7" xfId="37937" xr:uid="{00000000-0005-0000-0000-00001E3F0000}"/>
    <cellStyle name="20% - Accent5 4 3 3 8" xfId="43414" xr:uid="{00000000-0005-0000-0000-00001F3F0000}"/>
    <cellStyle name="20% - Accent5 4 3 3 9" xfId="48891" xr:uid="{00000000-0005-0000-0000-0000203F0000}"/>
    <cellStyle name="20% - Accent5 4 3 4" xfId="6115" xr:uid="{00000000-0005-0000-0000-0000213F0000}"/>
    <cellStyle name="20% - Accent5 4 3 5" xfId="11595" xr:uid="{00000000-0005-0000-0000-0000223F0000}"/>
    <cellStyle name="20% - Accent5 4 3 6" xfId="17071" xr:uid="{00000000-0005-0000-0000-0000233F0000}"/>
    <cellStyle name="20% - Accent5 4 3 7" xfId="22547" xr:uid="{00000000-0005-0000-0000-0000243F0000}"/>
    <cellStyle name="20% - Accent5 4 3 8" xfId="29589" xr:uid="{00000000-0005-0000-0000-0000253F0000}"/>
    <cellStyle name="20% - Accent5 4 3 9" xfId="34342" xr:uid="{00000000-0005-0000-0000-0000263F0000}"/>
    <cellStyle name="20% - Accent5 4 4" xfId="872" xr:uid="{00000000-0005-0000-0000-0000273F0000}"/>
    <cellStyle name="20% - Accent5 4 4 10" xfId="39820" xr:uid="{00000000-0005-0000-0000-0000283F0000}"/>
    <cellStyle name="20% - Accent5 4 4 11" xfId="45297" xr:uid="{00000000-0005-0000-0000-0000293F0000}"/>
    <cellStyle name="20% - Accent5 4 4 12" xfId="50775" xr:uid="{00000000-0005-0000-0000-00002A3F0000}"/>
    <cellStyle name="20% - Accent5 4 4 2" xfId="2633" xr:uid="{00000000-0005-0000-0000-00002B3F0000}"/>
    <cellStyle name="20% - Accent5 4 4 2 10" xfId="52809" xr:uid="{00000000-0005-0000-0000-00002C3F0000}"/>
    <cellStyle name="20% - Accent5 4 4 2 2" xfId="8113" xr:uid="{00000000-0005-0000-0000-00002D3F0000}"/>
    <cellStyle name="20% - Accent5 4 4 2 2 2" xfId="29595" xr:uid="{00000000-0005-0000-0000-00002E3F0000}"/>
    <cellStyle name="20% - Accent5 4 4 2 3" xfId="13589" xr:uid="{00000000-0005-0000-0000-00002F3F0000}"/>
    <cellStyle name="20% - Accent5 4 4 2 4" xfId="19065" xr:uid="{00000000-0005-0000-0000-0000303F0000}"/>
    <cellStyle name="20% - Accent5 4 4 2 5" xfId="24541" xr:uid="{00000000-0005-0000-0000-0000313F0000}"/>
    <cellStyle name="20% - Accent5 4 4 2 6" xfId="29594" xr:uid="{00000000-0005-0000-0000-0000323F0000}"/>
    <cellStyle name="20% - Accent5 4 4 2 7" xfId="36337" xr:uid="{00000000-0005-0000-0000-0000333F0000}"/>
    <cellStyle name="20% - Accent5 4 4 2 8" xfId="41814" xr:uid="{00000000-0005-0000-0000-0000343F0000}"/>
    <cellStyle name="20% - Accent5 4 4 2 9" xfId="47291" xr:uid="{00000000-0005-0000-0000-0000353F0000}"/>
    <cellStyle name="20% - Accent5 4 4 3" xfId="4405" xr:uid="{00000000-0005-0000-0000-0000363F0000}"/>
    <cellStyle name="20% - Accent5 4 4 3 10" xfId="54581" xr:uid="{00000000-0005-0000-0000-0000373F0000}"/>
    <cellStyle name="20% - Accent5 4 4 3 2" xfId="9885" xr:uid="{00000000-0005-0000-0000-0000383F0000}"/>
    <cellStyle name="20% - Accent5 4 4 3 3" xfId="15361" xr:uid="{00000000-0005-0000-0000-0000393F0000}"/>
    <cellStyle name="20% - Accent5 4 4 3 4" xfId="20837" xr:uid="{00000000-0005-0000-0000-00003A3F0000}"/>
    <cellStyle name="20% - Accent5 4 4 3 5" xfId="26313" xr:uid="{00000000-0005-0000-0000-00003B3F0000}"/>
    <cellStyle name="20% - Accent5 4 4 3 6" xfId="29596" xr:uid="{00000000-0005-0000-0000-00003C3F0000}"/>
    <cellStyle name="20% - Accent5 4 4 3 7" xfId="38109" xr:uid="{00000000-0005-0000-0000-00003D3F0000}"/>
    <cellStyle name="20% - Accent5 4 4 3 8" xfId="43586" xr:uid="{00000000-0005-0000-0000-00003E3F0000}"/>
    <cellStyle name="20% - Accent5 4 4 3 9" xfId="49063" xr:uid="{00000000-0005-0000-0000-00003F3F0000}"/>
    <cellStyle name="20% - Accent5 4 4 4" xfId="6116" xr:uid="{00000000-0005-0000-0000-0000403F0000}"/>
    <cellStyle name="20% - Accent5 4 4 5" xfId="11596" xr:uid="{00000000-0005-0000-0000-0000413F0000}"/>
    <cellStyle name="20% - Accent5 4 4 6" xfId="17072" xr:uid="{00000000-0005-0000-0000-0000423F0000}"/>
    <cellStyle name="20% - Accent5 4 4 7" xfId="22548" xr:uid="{00000000-0005-0000-0000-0000433F0000}"/>
    <cellStyle name="20% - Accent5 4 4 8" xfId="29593" xr:uid="{00000000-0005-0000-0000-0000443F0000}"/>
    <cellStyle name="20% - Accent5 4 4 9" xfId="34343" xr:uid="{00000000-0005-0000-0000-0000453F0000}"/>
    <cellStyle name="20% - Accent5 4 5" xfId="1078" xr:uid="{00000000-0005-0000-0000-0000463F0000}"/>
    <cellStyle name="20% - Accent5 4 5 10" xfId="39821" xr:uid="{00000000-0005-0000-0000-0000473F0000}"/>
    <cellStyle name="20% - Accent5 4 5 11" xfId="45298" xr:uid="{00000000-0005-0000-0000-0000483F0000}"/>
    <cellStyle name="20% - Accent5 4 5 12" xfId="50776" xr:uid="{00000000-0005-0000-0000-0000493F0000}"/>
    <cellStyle name="20% - Accent5 4 5 2" xfId="2839" xr:uid="{00000000-0005-0000-0000-00004A3F0000}"/>
    <cellStyle name="20% - Accent5 4 5 2 10" xfId="53015" xr:uid="{00000000-0005-0000-0000-00004B3F0000}"/>
    <cellStyle name="20% - Accent5 4 5 2 2" xfId="8319" xr:uid="{00000000-0005-0000-0000-00004C3F0000}"/>
    <cellStyle name="20% - Accent5 4 5 2 2 2" xfId="29599" xr:uid="{00000000-0005-0000-0000-00004D3F0000}"/>
    <cellStyle name="20% - Accent5 4 5 2 3" xfId="13795" xr:uid="{00000000-0005-0000-0000-00004E3F0000}"/>
    <cellStyle name="20% - Accent5 4 5 2 4" xfId="19271" xr:uid="{00000000-0005-0000-0000-00004F3F0000}"/>
    <cellStyle name="20% - Accent5 4 5 2 5" xfId="24747" xr:uid="{00000000-0005-0000-0000-0000503F0000}"/>
    <cellStyle name="20% - Accent5 4 5 2 6" xfId="29598" xr:uid="{00000000-0005-0000-0000-0000513F0000}"/>
    <cellStyle name="20% - Accent5 4 5 2 7" xfId="36543" xr:uid="{00000000-0005-0000-0000-0000523F0000}"/>
    <cellStyle name="20% - Accent5 4 5 2 8" xfId="42020" xr:uid="{00000000-0005-0000-0000-0000533F0000}"/>
    <cellStyle name="20% - Accent5 4 5 2 9" xfId="47497" xr:uid="{00000000-0005-0000-0000-0000543F0000}"/>
    <cellStyle name="20% - Accent5 4 5 3" xfId="4611" xr:uid="{00000000-0005-0000-0000-0000553F0000}"/>
    <cellStyle name="20% - Accent5 4 5 3 10" xfId="54787" xr:uid="{00000000-0005-0000-0000-0000563F0000}"/>
    <cellStyle name="20% - Accent5 4 5 3 2" xfId="10091" xr:uid="{00000000-0005-0000-0000-0000573F0000}"/>
    <cellStyle name="20% - Accent5 4 5 3 3" xfId="15567" xr:uid="{00000000-0005-0000-0000-0000583F0000}"/>
    <cellStyle name="20% - Accent5 4 5 3 4" xfId="21043" xr:uid="{00000000-0005-0000-0000-0000593F0000}"/>
    <cellStyle name="20% - Accent5 4 5 3 5" xfId="26519" xr:uid="{00000000-0005-0000-0000-00005A3F0000}"/>
    <cellStyle name="20% - Accent5 4 5 3 6" xfId="29600" xr:uid="{00000000-0005-0000-0000-00005B3F0000}"/>
    <cellStyle name="20% - Accent5 4 5 3 7" xfId="38315" xr:uid="{00000000-0005-0000-0000-00005C3F0000}"/>
    <cellStyle name="20% - Accent5 4 5 3 8" xfId="43792" xr:uid="{00000000-0005-0000-0000-00005D3F0000}"/>
    <cellStyle name="20% - Accent5 4 5 3 9" xfId="49269" xr:uid="{00000000-0005-0000-0000-00005E3F0000}"/>
    <cellStyle name="20% - Accent5 4 5 4" xfId="6117" xr:uid="{00000000-0005-0000-0000-00005F3F0000}"/>
    <cellStyle name="20% - Accent5 4 5 5" xfId="11597" xr:uid="{00000000-0005-0000-0000-0000603F0000}"/>
    <cellStyle name="20% - Accent5 4 5 6" xfId="17073" xr:uid="{00000000-0005-0000-0000-0000613F0000}"/>
    <cellStyle name="20% - Accent5 4 5 7" xfId="22549" xr:uid="{00000000-0005-0000-0000-0000623F0000}"/>
    <cellStyle name="20% - Accent5 4 5 8" xfId="29597" xr:uid="{00000000-0005-0000-0000-0000633F0000}"/>
    <cellStyle name="20% - Accent5 4 5 9" xfId="34344" xr:uid="{00000000-0005-0000-0000-0000643F0000}"/>
    <cellStyle name="20% - Accent5 4 6" xfId="1250" xr:uid="{00000000-0005-0000-0000-0000653F0000}"/>
    <cellStyle name="20% - Accent5 4 6 10" xfId="39822" xr:uid="{00000000-0005-0000-0000-0000663F0000}"/>
    <cellStyle name="20% - Accent5 4 6 11" xfId="45299" xr:uid="{00000000-0005-0000-0000-0000673F0000}"/>
    <cellStyle name="20% - Accent5 4 6 12" xfId="50777" xr:uid="{00000000-0005-0000-0000-0000683F0000}"/>
    <cellStyle name="20% - Accent5 4 6 2" xfId="3011" xr:uid="{00000000-0005-0000-0000-0000693F0000}"/>
    <cellStyle name="20% - Accent5 4 6 2 10" xfId="53187" xr:uid="{00000000-0005-0000-0000-00006A3F0000}"/>
    <cellStyle name="20% - Accent5 4 6 2 2" xfId="8491" xr:uid="{00000000-0005-0000-0000-00006B3F0000}"/>
    <cellStyle name="20% - Accent5 4 6 2 2 2" xfId="29603" xr:uid="{00000000-0005-0000-0000-00006C3F0000}"/>
    <cellStyle name="20% - Accent5 4 6 2 3" xfId="13967" xr:uid="{00000000-0005-0000-0000-00006D3F0000}"/>
    <cellStyle name="20% - Accent5 4 6 2 4" xfId="19443" xr:uid="{00000000-0005-0000-0000-00006E3F0000}"/>
    <cellStyle name="20% - Accent5 4 6 2 5" xfId="24919" xr:uid="{00000000-0005-0000-0000-00006F3F0000}"/>
    <cellStyle name="20% - Accent5 4 6 2 6" xfId="29602" xr:uid="{00000000-0005-0000-0000-0000703F0000}"/>
    <cellStyle name="20% - Accent5 4 6 2 7" xfId="36715" xr:uid="{00000000-0005-0000-0000-0000713F0000}"/>
    <cellStyle name="20% - Accent5 4 6 2 8" xfId="42192" xr:uid="{00000000-0005-0000-0000-0000723F0000}"/>
    <cellStyle name="20% - Accent5 4 6 2 9" xfId="47669" xr:uid="{00000000-0005-0000-0000-0000733F0000}"/>
    <cellStyle name="20% - Accent5 4 6 3" xfId="4783" xr:uid="{00000000-0005-0000-0000-0000743F0000}"/>
    <cellStyle name="20% - Accent5 4 6 3 10" xfId="54959" xr:uid="{00000000-0005-0000-0000-0000753F0000}"/>
    <cellStyle name="20% - Accent5 4 6 3 2" xfId="10263" xr:uid="{00000000-0005-0000-0000-0000763F0000}"/>
    <cellStyle name="20% - Accent5 4 6 3 3" xfId="15739" xr:uid="{00000000-0005-0000-0000-0000773F0000}"/>
    <cellStyle name="20% - Accent5 4 6 3 4" xfId="21215" xr:uid="{00000000-0005-0000-0000-0000783F0000}"/>
    <cellStyle name="20% - Accent5 4 6 3 5" xfId="26691" xr:uid="{00000000-0005-0000-0000-0000793F0000}"/>
    <cellStyle name="20% - Accent5 4 6 3 6" xfId="29604" xr:uid="{00000000-0005-0000-0000-00007A3F0000}"/>
    <cellStyle name="20% - Accent5 4 6 3 7" xfId="38487" xr:uid="{00000000-0005-0000-0000-00007B3F0000}"/>
    <cellStyle name="20% - Accent5 4 6 3 8" xfId="43964" xr:uid="{00000000-0005-0000-0000-00007C3F0000}"/>
    <cellStyle name="20% - Accent5 4 6 3 9" xfId="49441" xr:uid="{00000000-0005-0000-0000-00007D3F0000}"/>
    <cellStyle name="20% - Accent5 4 6 4" xfId="6118" xr:uid="{00000000-0005-0000-0000-00007E3F0000}"/>
    <cellStyle name="20% - Accent5 4 6 5" xfId="11598" xr:uid="{00000000-0005-0000-0000-00007F3F0000}"/>
    <cellStyle name="20% - Accent5 4 6 6" xfId="17074" xr:uid="{00000000-0005-0000-0000-0000803F0000}"/>
    <cellStyle name="20% - Accent5 4 6 7" xfId="22550" xr:uid="{00000000-0005-0000-0000-0000813F0000}"/>
    <cellStyle name="20% - Accent5 4 6 8" xfId="29601" xr:uid="{00000000-0005-0000-0000-0000823F0000}"/>
    <cellStyle name="20% - Accent5 4 6 9" xfId="34345" xr:uid="{00000000-0005-0000-0000-0000833F0000}"/>
    <cellStyle name="20% - Accent5 4 7" xfId="1422" xr:uid="{00000000-0005-0000-0000-0000843F0000}"/>
    <cellStyle name="20% - Accent5 4 7 10" xfId="39823" xr:uid="{00000000-0005-0000-0000-0000853F0000}"/>
    <cellStyle name="20% - Accent5 4 7 11" xfId="45300" xr:uid="{00000000-0005-0000-0000-0000863F0000}"/>
    <cellStyle name="20% - Accent5 4 7 12" xfId="50778" xr:uid="{00000000-0005-0000-0000-0000873F0000}"/>
    <cellStyle name="20% - Accent5 4 7 2" xfId="3183" xr:uid="{00000000-0005-0000-0000-0000883F0000}"/>
    <cellStyle name="20% - Accent5 4 7 2 10" xfId="53359" xr:uid="{00000000-0005-0000-0000-0000893F0000}"/>
    <cellStyle name="20% - Accent5 4 7 2 2" xfId="8663" xr:uid="{00000000-0005-0000-0000-00008A3F0000}"/>
    <cellStyle name="20% - Accent5 4 7 2 2 2" xfId="29607" xr:uid="{00000000-0005-0000-0000-00008B3F0000}"/>
    <cellStyle name="20% - Accent5 4 7 2 3" xfId="14139" xr:uid="{00000000-0005-0000-0000-00008C3F0000}"/>
    <cellStyle name="20% - Accent5 4 7 2 4" xfId="19615" xr:uid="{00000000-0005-0000-0000-00008D3F0000}"/>
    <cellStyle name="20% - Accent5 4 7 2 5" xfId="25091" xr:uid="{00000000-0005-0000-0000-00008E3F0000}"/>
    <cellStyle name="20% - Accent5 4 7 2 6" xfId="29606" xr:uid="{00000000-0005-0000-0000-00008F3F0000}"/>
    <cellStyle name="20% - Accent5 4 7 2 7" xfId="36887" xr:uid="{00000000-0005-0000-0000-0000903F0000}"/>
    <cellStyle name="20% - Accent5 4 7 2 8" xfId="42364" xr:uid="{00000000-0005-0000-0000-0000913F0000}"/>
    <cellStyle name="20% - Accent5 4 7 2 9" xfId="47841" xr:uid="{00000000-0005-0000-0000-0000923F0000}"/>
    <cellStyle name="20% - Accent5 4 7 3" xfId="4955" xr:uid="{00000000-0005-0000-0000-0000933F0000}"/>
    <cellStyle name="20% - Accent5 4 7 3 10" xfId="55131" xr:uid="{00000000-0005-0000-0000-0000943F0000}"/>
    <cellStyle name="20% - Accent5 4 7 3 2" xfId="10435" xr:uid="{00000000-0005-0000-0000-0000953F0000}"/>
    <cellStyle name="20% - Accent5 4 7 3 3" xfId="15911" xr:uid="{00000000-0005-0000-0000-0000963F0000}"/>
    <cellStyle name="20% - Accent5 4 7 3 4" xfId="21387" xr:uid="{00000000-0005-0000-0000-0000973F0000}"/>
    <cellStyle name="20% - Accent5 4 7 3 5" xfId="26863" xr:uid="{00000000-0005-0000-0000-0000983F0000}"/>
    <cellStyle name="20% - Accent5 4 7 3 6" xfId="29608" xr:uid="{00000000-0005-0000-0000-0000993F0000}"/>
    <cellStyle name="20% - Accent5 4 7 3 7" xfId="38659" xr:uid="{00000000-0005-0000-0000-00009A3F0000}"/>
    <cellStyle name="20% - Accent5 4 7 3 8" xfId="44136" xr:uid="{00000000-0005-0000-0000-00009B3F0000}"/>
    <cellStyle name="20% - Accent5 4 7 3 9" xfId="49613" xr:uid="{00000000-0005-0000-0000-00009C3F0000}"/>
    <cellStyle name="20% - Accent5 4 7 4" xfId="6119" xr:uid="{00000000-0005-0000-0000-00009D3F0000}"/>
    <cellStyle name="20% - Accent5 4 7 5" xfId="11599" xr:uid="{00000000-0005-0000-0000-00009E3F0000}"/>
    <cellStyle name="20% - Accent5 4 7 6" xfId="17075" xr:uid="{00000000-0005-0000-0000-00009F3F0000}"/>
    <cellStyle name="20% - Accent5 4 7 7" xfId="22551" xr:uid="{00000000-0005-0000-0000-0000A03F0000}"/>
    <cellStyle name="20% - Accent5 4 7 8" xfId="29605" xr:uid="{00000000-0005-0000-0000-0000A13F0000}"/>
    <cellStyle name="20% - Accent5 4 7 9" xfId="34346" xr:uid="{00000000-0005-0000-0000-0000A23F0000}"/>
    <cellStyle name="20% - Accent5 4 8" xfId="1594" xr:uid="{00000000-0005-0000-0000-0000A33F0000}"/>
    <cellStyle name="20% - Accent5 4 8 10" xfId="39824" xr:uid="{00000000-0005-0000-0000-0000A43F0000}"/>
    <cellStyle name="20% - Accent5 4 8 11" xfId="45301" xr:uid="{00000000-0005-0000-0000-0000A53F0000}"/>
    <cellStyle name="20% - Accent5 4 8 12" xfId="50779" xr:uid="{00000000-0005-0000-0000-0000A63F0000}"/>
    <cellStyle name="20% - Accent5 4 8 2" xfId="3355" xr:uid="{00000000-0005-0000-0000-0000A73F0000}"/>
    <cellStyle name="20% - Accent5 4 8 2 10" xfId="53531" xr:uid="{00000000-0005-0000-0000-0000A83F0000}"/>
    <cellStyle name="20% - Accent5 4 8 2 2" xfId="8835" xr:uid="{00000000-0005-0000-0000-0000A93F0000}"/>
    <cellStyle name="20% - Accent5 4 8 2 3" xfId="14311" xr:uid="{00000000-0005-0000-0000-0000AA3F0000}"/>
    <cellStyle name="20% - Accent5 4 8 2 4" xfId="19787" xr:uid="{00000000-0005-0000-0000-0000AB3F0000}"/>
    <cellStyle name="20% - Accent5 4 8 2 5" xfId="25263" xr:uid="{00000000-0005-0000-0000-0000AC3F0000}"/>
    <cellStyle name="20% - Accent5 4 8 2 6" xfId="29610" xr:uid="{00000000-0005-0000-0000-0000AD3F0000}"/>
    <cellStyle name="20% - Accent5 4 8 2 7" xfId="37059" xr:uid="{00000000-0005-0000-0000-0000AE3F0000}"/>
    <cellStyle name="20% - Accent5 4 8 2 8" xfId="42536" xr:uid="{00000000-0005-0000-0000-0000AF3F0000}"/>
    <cellStyle name="20% - Accent5 4 8 2 9" xfId="48013" xr:uid="{00000000-0005-0000-0000-0000B03F0000}"/>
    <cellStyle name="20% - Accent5 4 8 3" xfId="5127" xr:uid="{00000000-0005-0000-0000-0000B13F0000}"/>
    <cellStyle name="20% - Accent5 4 8 3 2" xfId="10607" xr:uid="{00000000-0005-0000-0000-0000B23F0000}"/>
    <cellStyle name="20% - Accent5 4 8 3 3" xfId="16083" xr:uid="{00000000-0005-0000-0000-0000B33F0000}"/>
    <cellStyle name="20% - Accent5 4 8 3 4" xfId="21559" xr:uid="{00000000-0005-0000-0000-0000B43F0000}"/>
    <cellStyle name="20% - Accent5 4 8 3 5" xfId="27035" xr:uid="{00000000-0005-0000-0000-0000B53F0000}"/>
    <cellStyle name="20% - Accent5 4 8 3 6" xfId="38831" xr:uid="{00000000-0005-0000-0000-0000B63F0000}"/>
    <cellStyle name="20% - Accent5 4 8 3 7" xfId="44308" xr:uid="{00000000-0005-0000-0000-0000B73F0000}"/>
    <cellStyle name="20% - Accent5 4 8 3 8" xfId="49785" xr:uid="{00000000-0005-0000-0000-0000B83F0000}"/>
    <cellStyle name="20% - Accent5 4 8 3 9" xfId="55303" xr:uid="{00000000-0005-0000-0000-0000B93F0000}"/>
    <cellStyle name="20% - Accent5 4 8 4" xfId="6120" xr:uid="{00000000-0005-0000-0000-0000BA3F0000}"/>
    <cellStyle name="20% - Accent5 4 8 5" xfId="11600" xr:uid="{00000000-0005-0000-0000-0000BB3F0000}"/>
    <cellStyle name="20% - Accent5 4 8 6" xfId="17076" xr:uid="{00000000-0005-0000-0000-0000BC3F0000}"/>
    <cellStyle name="20% - Accent5 4 8 7" xfId="22552" xr:uid="{00000000-0005-0000-0000-0000BD3F0000}"/>
    <cellStyle name="20% - Accent5 4 8 8" xfId="29609" xr:uid="{00000000-0005-0000-0000-0000BE3F0000}"/>
    <cellStyle name="20% - Accent5 4 8 9" xfId="34347" xr:uid="{00000000-0005-0000-0000-0000BF3F0000}"/>
    <cellStyle name="20% - Accent5 4 9" xfId="1762" xr:uid="{00000000-0005-0000-0000-0000C03F0000}"/>
    <cellStyle name="20% - Accent5 4 9 10" xfId="39825" xr:uid="{00000000-0005-0000-0000-0000C13F0000}"/>
    <cellStyle name="20% - Accent5 4 9 11" xfId="45302" xr:uid="{00000000-0005-0000-0000-0000C23F0000}"/>
    <cellStyle name="20% - Accent5 4 9 12" xfId="50780" xr:uid="{00000000-0005-0000-0000-0000C33F0000}"/>
    <cellStyle name="20% - Accent5 4 9 2" xfId="3523" xr:uid="{00000000-0005-0000-0000-0000C43F0000}"/>
    <cellStyle name="20% - Accent5 4 9 2 2" xfId="9003" xr:uid="{00000000-0005-0000-0000-0000C53F0000}"/>
    <cellStyle name="20% - Accent5 4 9 2 3" xfId="14479" xr:uid="{00000000-0005-0000-0000-0000C63F0000}"/>
    <cellStyle name="20% - Accent5 4 9 2 4" xfId="19955" xr:uid="{00000000-0005-0000-0000-0000C73F0000}"/>
    <cellStyle name="20% - Accent5 4 9 2 5" xfId="25431" xr:uid="{00000000-0005-0000-0000-0000C83F0000}"/>
    <cellStyle name="20% - Accent5 4 9 2 6" xfId="37227" xr:uid="{00000000-0005-0000-0000-0000C93F0000}"/>
    <cellStyle name="20% - Accent5 4 9 2 7" xfId="42704" xr:uid="{00000000-0005-0000-0000-0000CA3F0000}"/>
    <cellStyle name="20% - Accent5 4 9 2 8" xfId="48181" xr:uid="{00000000-0005-0000-0000-0000CB3F0000}"/>
    <cellStyle name="20% - Accent5 4 9 2 9" xfId="53699" xr:uid="{00000000-0005-0000-0000-0000CC3F0000}"/>
    <cellStyle name="20% - Accent5 4 9 3" xfId="5295" xr:uid="{00000000-0005-0000-0000-0000CD3F0000}"/>
    <cellStyle name="20% - Accent5 4 9 3 2" xfId="10775" xr:uid="{00000000-0005-0000-0000-0000CE3F0000}"/>
    <cellStyle name="20% - Accent5 4 9 3 3" xfId="16251" xr:uid="{00000000-0005-0000-0000-0000CF3F0000}"/>
    <cellStyle name="20% - Accent5 4 9 3 4" xfId="21727" xr:uid="{00000000-0005-0000-0000-0000D03F0000}"/>
    <cellStyle name="20% - Accent5 4 9 3 5" xfId="27203" xr:uid="{00000000-0005-0000-0000-0000D13F0000}"/>
    <cellStyle name="20% - Accent5 4 9 3 6" xfId="38999" xr:uid="{00000000-0005-0000-0000-0000D23F0000}"/>
    <cellStyle name="20% - Accent5 4 9 3 7" xfId="44476" xr:uid="{00000000-0005-0000-0000-0000D33F0000}"/>
    <cellStyle name="20% - Accent5 4 9 3 8" xfId="49953" xr:uid="{00000000-0005-0000-0000-0000D43F0000}"/>
    <cellStyle name="20% - Accent5 4 9 3 9" xfId="55471" xr:uid="{00000000-0005-0000-0000-0000D53F0000}"/>
    <cellStyle name="20% - Accent5 4 9 4" xfId="6121" xr:uid="{00000000-0005-0000-0000-0000D63F0000}"/>
    <cellStyle name="20% - Accent5 4 9 5" xfId="11601" xr:uid="{00000000-0005-0000-0000-0000D73F0000}"/>
    <cellStyle name="20% - Accent5 4 9 6" xfId="17077" xr:uid="{00000000-0005-0000-0000-0000D83F0000}"/>
    <cellStyle name="20% - Accent5 4 9 7" xfId="22553" xr:uid="{00000000-0005-0000-0000-0000D93F0000}"/>
    <cellStyle name="20% - Accent5 4 9 8" xfId="29611" xr:uid="{00000000-0005-0000-0000-0000DA3F0000}"/>
    <cellStyle name="20% - Accent5 4 9 9" xfId="34348" xr:uid="{00000000-0005-0000-0000-0000DB3F0000}"/>
    <cellStyle name="20% - Accent5 5" xfId="3678" xr:uid="{00000000-0005-0000-0000-0000DC3F0000}"/>
    <cellStyle name="20% - Accent5 5 10" xfId="29612" xr:uid="{00000000-0005-0000-0000-0000DD3F0000}"/>
    <cellStyle name="20% - Accent5 5 11" xfId="37382" xr:uid="{00000000-0005-0000-0000-0000DE3F0000}"/>
    <cellStyle name="20% - Accent5 5 12" xfId="42859" xr:uid="{00000000-0005-0000-0000-0000DF3F0000}"/>
    <cellStyle name="20% - Accent5 5 13" xfId="48336" xr:uid="{00000000-0005-0000-0000-0000E03F0000}"/>
    <cellStyle name="20% - Accent5 5 14" xfId="52036" xr:uid="{00000000-0005-0000-0000-0000E13F0000}"/>
    <cellStyle name="20% - Accent5 5 2" xfId="9158" xr:uid="{00000000-0005-0000-0000-0000E23F0000}"/>
    <cellStyle name="20% - Accent5 5 2 2" xfId="29614" xr:uid="{00000000-0005-0000-0000-0000E33F0000}"/>
    <cellStyle name="20% - Accent5 5 2 2 2" xfId="29615" xr:uid="{00000000-0005-0000-0000-0000E43F0000}"/>
    <cellStyle name="20% - Accent5 5 2 3" xfId="29616" xr:uid="{00000000-0005-0000-0000-0000E53F0000}"/>
    <cellStyle name="20% - Accent5 5 2 4" xfId="29613" xr:uid="{00000000-0005-0000-0000-0000E63F0000}"/>
    <cellStyle name="20% - Accent5 5 2 5" xfId="53854" xr:uid="{00000000-0005-0000-0000-0000E73F0000}"/>
    <cellStyle name="20% - Accent5 5 3" xfId="14634" xr:uid="{00000000-0005-0000-0000-0000E83F0000}"/>
    <cellStyle name="20% - Accent5 5 3 2" xfId="29618" xr:uid="{00000000-0005-0000-0000-0000E93F0000}"/>
    <cellStyle name="20% - Accent5 5 3 2 2" xfId="29619" xr:uid="{00000000-0005-0000-0000-0000EA3F0000}"/>
    <cellStyle name="20% - Accent5 5 3 3" xfId="29620" xr:uid="{00000000-0005-0000-0000-0000EB3F0000}"/>
    <cellStyle name="20% - Accent5 5 3 4" xfId="29617" xr:uid="{00000000-0005-0000-0000-0000EC3F0000}"/>
    <cellStyle name="20% - Accent5 5 4" xfId="20110" xr:uid="{00000000-0005-0000-0000-0000ED3F0000}"/>
    <cellStyle name="20% - Accent5 5 4 2" xfId="29622" xr:uid="{00000000-0005-0000-0000-0000EE3F0000}"/>
    <cellStyle name="20% - Accent5 5 4 2 2" xfId="29623" xr:uid="{00000000-0005-0000-0000-0000EF3F0000}"/>
    <cellStyle name="20% - Accent5 5 4 3" xfId="29624" xr:uid="{00000000-0005-0000-0000-0000F03F0000}"/>
    <cellStyle name="20% - Accent5 5 4 4" xfId="29621" xr:uid="{00000000-0005-0000-0000-0000F13F0000}"/>
    <cellStyle name="20% - Accent5 5 5" xfId="25586" xr:uid="{00000000-0005-0000-0000-0000F23F0000}"/>
    <cellStyle name="20% - Accent5 5 5 2" xfId="29626" xr:uid="{00000000-0005-0000-0000-0000F33F0000}"/>
    <cellStyle name="20% - Accent5 5 5 2 2" xfId="29627" xr:uid="{00000000-0005-0000-0000-0000F43F0000}"/>
    <cellStyle name="20% - Accent5 5 5 3" xfId="29628" xr:uid="{00000000-0005-0000-0000-0000F53F0000}"/>
    <cellStyle name="20% - Accent5 5 5 4" xfId="29625" xr:uid="{00000000-0005-0000-0000-0000F63F0000}"/>
    <cellStyle name="20% - Accent5 5 6" xfId="29629" xr:uid="{00000000-0005-0000-0000-0000F73F0000}"/>
    <cellStyle name="20% - Accent5 5 6 2" xfId="29630" xr:uid="{00000000-0005-0000-0000-0000F83F0000}"/>
    <cellStyle name="20% - Accent5 5 6 2 2" xfId="29631" xr:uid="{00000000-0005-0000-0000-0000F93F0000}"/>
    <cellStyle name="20% - Accent5 5 6 3" xfId="29632" xr:uid="{00000000-0005-0000-0000-0000FA3F0000}"/>
    <cellStyle name="20% - Accent5 5 7" xfId="29633" xr:uid="{00000000-0005-0000-0000-0000FB3F0000}"/>
    <cellStyle name="20% - Accent5 5 7 2" xfId="29634" xr:uid="{00000000-0005-0000-0000-0000FC3F0000}"/>
    <cellStyle name="20% - Accent5 5 7 2 2" xfId="29635" xr:uid="{00000000-0005-0000-0000-0000FD3F0000}"/>
    <cellStyle name="20% - Accent5 5 7 3" xfId="29636" xr:uid="{00000000-0005-0000-0000-0000FE3F0000}"/>
    <cellStyle name="20% - Accent5 5 8" xfId="29637" xr:uid="{00000000-0005-0000-0000-0000FF3F0000}"/>
    <cellStyle name="20% - Accent5 5 8 2" xfId="29638" xr:uid="{00000000-0005-0000-0000-000000400000}"/>
    <cellStyle name="20% - Accent5 5 9" xfId="29639" xr:uid="{00000000-0005-0000-0000-000001400000}"/>
    <cellStyle name="20% - Accent5 6" xfId="7383" xr:uid="{00000000-0005-0000-0000-000002400000}"/>
    <cellStyle name="20% - Accent5 6 10" xfId="29640" xr:uid="{00000000-0005-0000-0000-000003400000}"/>
    <cellStyle name="20% - Accent5 6 2" xfId="29641" xr:uid="{00000000-0005-0000-0000-000004400000}"/>
    <cellStyle name="20% - Accent5 6 2 2" xfId="29642" xr:uid="{00000000-0005-0000-0000-000005400000}"/>
    <cellStyle name="20% - Accent5 6 2 2 2" xfId="29643" xr:uid="{00000000-0005-0000-0000-000006400000}"/>
    <cellStyle name="20% - Accent5 6 2 3" xfId="29644" xr:uid="{00000000-0005-0000-0000-000007400000}"/>
    <cellStyle name="20% - Accent5 6 3" xfId="29645" xr:uid="{00000000-0005-0000-0000-000008400000}"/>
    <cellStyle name="20% - Accent5 6 3 2" xfId="29646" xr:uid="{00000000-0005-0000-0000-000009400000}"/>
    <cellStyle name="20% - Accent5 6 3 2 2" xfId="29647" xr:uid="{00000000-0005-0000-0000-00000A400000}"/>
    <cellStyle name="20% - Accent5 6 3 3" xfId="29648" xr:uid="{00000000-0005-0000-0000-00000B400000}"/>
    <cellStyle name="20% - Accent5 6 4" xfId="29649" xr:uid="{00000000-0005-0000-0000-00000C400000}"/>
    <cellStyle name="20% - Accent5 6 4 2" xfId="29650" xr:uid="{00000000-0005-0000-0000-00000D400000}"/>
    <cellStyle name="20% - Accent5 6 4 2 2" xfId="29651" xr:uid="{00000000-0005-0000-0000-00000E400000}"/>
    <cellStyle name="20% - Accent5 6 4 3" xfId="29652" xr:uid="{00000000-0005-0000-0000-00000F400000}"/>
    <cellStyle name="20% - Accent5 6 5" xfId="29653" xr:uid="{00000000-0005-0000-0000-000010400000}"/>
    <cellStyle name="20% - Accent5 6 5 2" xfId="29654" xr:uid="{00000000-0005-0000-0000-000011400000}"/>
    <cellStyle name="20% - Accent5 6 5 2 2" xfId="29655" xr:uid="{00000000-0005-0000-0000-000012400000}"/>
    <cellStyle name="20% - Accent5 6 5 3" xfId="29656" xr:uid="{00000000-0005-0000-0000-000013400000}"/>
    <cellStyle name="20% - Accent5 6 6" xfId="29657" xr:uid="{00000000-0005-0000-0000-000014400000}"/>
    <cellStyle name="20% - Accent5 6 6 2" xfId="29658" xr:uid="{00000000-0005-0000-0000-000015400000}"/>
    <cellStyle name="20% - Accent5 6 6 2 2" xfId="29659" xr:uid="{00000000-0005-0000-0000-000016400000}"/>
    <cellStyle name="20% - Accent5 6 6 3" xfId="29660" xr:uid="{00000000-0005-0000-0000-000017400000}"/>
    <cellStyle name="20% - Accent5 6 7" xfId="29661" xr:uid="{00000000-0005-0000-0000-000018400000}"/>
    <cellStyle name="20% - Accent5 6 7 2" xfId="29662" xr:uid="{00000000-0005-0000-0000-000019400000}"/>
    <cellStyle name="20% - Accent5 6 7 2 2" xfId="29663" xr:uid="{00000000-0005-0000-0000-00001A400000}"/>
    <cellStyle name="20% - Accent5 6 7 3" xfId="29664" xr:uid="{00000000-0005-0000-0000-00001B400000}"/>
    <cellStyle name="20% - Accent5 6 8" xfId="29665" xr:uid="{00000000-0005-0000-0000-00001C400000}"/>
    <cellStyle name="20% - Accent5 6 8 2" xfId="29666" xr:uid="{00000000-0005-0000-0000-00001D400000}"/>
    <cellStyle name="20% - Accent5 6 9" xfId="29667" xr:uid="{00000000-0005-0000-0000-00001E400000}"/>
    <cellStyle name="20% - Accent5 7" xfId="12860" xr:uid="{00000000-0005-0000-0000-00001F400000}"/>
    <cellStyle name="20% - Accent5 7 10" xfId="29668" xr:uid="{00000000-0005-0000-0000-000020400000}"/>
    <cellStyle name="20% - Accent5 7 2" xfId="29669" xr:uid="{00000000-0005-0000-0000-000021400000}"/>
    <cellStyle name="20% - Accent5 7 2 2" xfId="29670" xr:uid="{00000000-0005-0000-0000-000022400000}"/>
    <cellStyle name="20% - Accent5 7 2 2 2" xfId="29671" xr:uid="{00000000-0005-0000-0000-000023400000}"/>
    <cellStyle name="20% - Accent5 7 2 3" xfId="29672" xr:uid="{00000000-0005-0000-0000-000024400000}"/>
    <cellStyle name="20% - Accent5 7 3" xfId="29673" xr:uid="{00000000-0005-0000-0000-000025400000}"/>
    <cellStyle name="20% - Accent5 7 3 2" xfId="29674" xr:uid="{00000000-0005-0000-0000-000026400000}"/>
    <cellStyle name="20% - Accent5 7 3 2 2" xfId="29675" xr:uid="{00000000-0005-0000-0000-000027400000}"/>
    <cellStyle name="20% - Accent5 7 3 3" xfId="29676" xr:uid="{00000000-0005-0000-0000-000028400000}"/>
    <cellStyle name="20% - Accent5 7 4" xfId="29677" xr:uid="{00000000-0005-0000-0000-000029400000}"/>
    <cellStyle name="20% - Accent5 7 4 2" xfId="29678" xr:uid="{00000000-0005-0000-0000-00002A400000}"/>
    <cellStyle name="20% - Accent5 7 4 2 2" xfId="29679" xr:uid="{00000000-0005-0000-0000-00002B400000}"/>
    <cellStyle name="20% - Accent5 7 4 3" xfId="29680" xr:uid="{00000000-0005-0000-0000-00002C400000}"/>
    <cellStyle name="20% - Accent5 7 5" xfId="29681" xr:uid="{00000000-0005-0000-0000-00002D400000}"/>
    <cellStyle name="20% - Accent5 7 5 2" xfId="29682" xr:uid="{00000000-0005-0000-0000-00002E400000}"/>
    <cellStyle name="20% - Accent5 7 5 2 2" xfId="29683" xr:uid="{00000000-0005-0000-0000-00002F400000}"/>
    <cellStyle name="20% - Accent5 7 5 3" xfId="29684" xr:uid="{00000000-0005-0000-0000-000030400000}"/>
    <cellStyle name="20% - Accent5 7 6" xfId="29685" xr:uid="{00000000-0005-0000-0000-000031400000}"/>
    <cellStyle name="20% - Accent5 7 6 2" xfId="29686" xr:uid="{00000000-0005-0000-0000-000032400000}"/>
    <cellStyle name="20% - Accent5 7 6 2 2" xfId="29687" xr:uid="{00000000-0005-0000-0000-000033400000}"/>
    <cellStyle name="20% - Accent5 7 6 3" xfId="29688" xr:uid="{00000000-0005-0000-0000-000034400000}"/>
    <cellStyle name="20% - Accent5 7 7" xfId="29689" xr:uid="{00000000-0005-0000-0000-000035400000}"/>
    <cellStyle name="20% - Accent5 7 7 2" xfId="29690" xr:uid="{00000000-0005-0000-0000-000036400000}"/>
    <cellStyle name="20% - Accent5 7 7 2 2" xfId="29691" xr:uid="{00000000-0005-0000-0000-000037400000}"/>
    <cellStyle name="20% - Accent5 7 7 3" xfId="29692" xr:uid="{00000000-0005-0000-0000-000038400000}"/>
    <cellStyle name="20% - Accent5 7 8" xfId="29693" xr:uid="{00000000-0005-0000-0000-000039400000}"/>
    <cellStyle name="20% - Accent5 7 8 2" xfId="29694" xr:uid="{00000000-0005-0000-0000-00003A400000}"/>
    <cellStyle name="20% - Accent5 7 9" xfId="29695" xr:uid="{00000000-0005-0000-0000-00003B400000}"/>
    <cellStyle name="20% - Accent5 8" xfId="18336" xr:uid="{00000000-0005-0000-0000-00003C400000}"/>
    <cellStyle name="20% - Accent5 8 2" xfId="29697" xr:uid="{00000000-0005-0000-0000-00003D400000}"/>
    <cellStyle name="20% - Accent5 8 2 2" xfId="29698" xr:uid="{00000000-0005-0000-0000-00003E400000}"/>
    <cellStyle name="20% - Accent5 8 3" xfId="29699" xr:uid="{00000000-0005-0000-0000-00003F400000}"/>
    <cellStyle name="20% - Accent5 8 4" xfId="29696" xr:uid="{00000000-0005-0000-0000-000040400000}"/>
    <cellStyle name="20% - Accent5 9" xfId="23812" xr:uid="{00000000-0005-0000-0000-000041400000}"/>
    <cellStyle name="20% - Accent5 9 10" xfId="29700" xr:uid="{00000000-0005-0000-0000-000042400000}"/>
    <cellStyle name="20% - Accent5 9 2" xfId="29701" xr:uid="{00000000-0005-0000-0000-000043400000}"/>
    <cellStyle name="20% - Accent5 9 2 2" xfId="29702" xr:uid="{00000000-0005-0000-0000-000044400000}"/>
    <cellStyle name="20% - Accent5 9 2 2 2" xfId="29703" xr:uid="{00000000-0005-0000-0000-000045400000}"/>
    <cellStyle name="20% - Accent5 9 2 3" xfId="29704" xr:uid="{00000000-0005-0000-0000-000046400000}"/>
    <cellStyle name="20% - Accent5 9 3" xfId="29705" xr:uid="{00000000-0005-0000-0000-000047400000}"/>
    <cellStyle name="20% - Accent5 9 3 2" xfId="29706" xr:uid="{00000000-0005-0000-0000-000048400000}"/>
    <cellStyle name="20% - Accent5 9 3 2 2" xfId="29707" xr:uid="{00000000-0005-0000-0000-000049400000}"/>
    <cellStyle name="20% - Accent5 9 3 3" xfId="29708" xr:uid="{00000000-0005-0000-0000-00004A400000}"/>
    <cellStyle name="20% - Accent5 9 4" xfId="29709" xr:uid="{00000000-0005-0000-0000-00004B400000}"/>
    <cellStyle name="20% - Accent5 9 4 2" xfId="29710" xr:uid="{00000000-0005-0000-0000-00004C400000}"/>
    <cellStyle name="20% - Accent5 9 4 2 2" xfId="29711" xr:uid="{00000000-0005-0000-0000-00004D400000}"/>
    <cellStyle name="20% - Accent5 9 4 3" xfId="29712" xr:uid="{00000000-0005-0000-0000-00004E400000}"/>
    <cellStyle name="20% - Accent5 9 5" xfId="29713" xr:uid="{00000000-0005-0000-0000-00004F400000}"/>
    <cellStyle name="20% - Accent5 9 5 2" xfId="29714" xr:uid="{00000000-0005-0000-0000-000050400000}"/>
    <cellStyle name="20% - Accent5 9 5 2 2" xfId="29715" xr:uid="{00000000-0005-0000-0000-000051400000}"/>
    <cellStyle name="20% - Accent5 9 5 3" xfId="29716" xr:uid="{00000000-0005-0000-0000-000052400000}"/>
    <cellStyle name="20% - Accent5 9 6" xfId="29717" xr:uid="{00000000-0005-0000-0000-000053400000}"/>
    <cellStyle name="20% - Accent5 9 6 2" xfId="29718" xr:uid="{00000000-0005-0000-0000-000054400000}"/>
    <cellStyle name="20% - Accent5 9 6 2 2" xfId="29719" xr:uid="{00000000-0005-0000-0000-000055400000}"/>
    <cellStyle name="20% - Accent5 9 6 3" xfId="29720" xr:uid="{00000000-0005-0000-0000-000056400000}"/>
    <cellStyle name="20% - Accent5 9 7" xfId="29721" xr:uid="{00000000-0005-0000-0000-000057400000}"/>
    <cellStyle name="20% - Accent5 9 7 2" xfId="29722" xr:uid="{00000000-0005-0000-0000-000058400000}"/>
    <cellStyle name="20% - Accent5 9 7 2 2" xfId="29723" xr:uid="{00000000-0005-0000-0000-000059400000}"/>
    <cellStyle name="20% - Accent5 9 7 3" xfId="29724" xr:uid="{00000000-0005-0000-0000-00005A400000}"/>
    <cellStyle name="20% - Accent5 9 8" xfId="29725" xr:uid="{00000000-0005-0000-0000-00005B400000}"/>
    <cellStyle name="20% - Accent5 9 8 2" xfId="29726" xr:uid="{00000000-0005-0000-0000-00005C400000}"/>
    <cellStyle name="20% - Accent5 9 9" xfId="29727" xr:uid="{00000000-0005-0000-0000-00005D400000}"/>
    <cellStyle name="20% - Accent6" xfId="77" builtinId="50" customBuiltin="1"/>
    <cellStyle name="20% - Accent6 10" xfId="29728" xr:uid="{00000000-0005-0000-0000-00005F400000}"/>
    <cellStyle name="20% - Accent6 10 2" xfId="29729" xr:uid="{00000000-0005-0000-0000-000060400000}"/>
    <cellStyle name="20% - Accent6 10 2 2" xfId="29730" xr:uid="{00000000-0005-0000-0000-000061400000}"/>
    <cellStyle name="20% - Accent6 10 2 2 2" xfId="29731" xr:uid="{00000000-0005-0000-0000-000062400000}"/>
    <cellStyle name="20% - Accent6 10 2 3" xfId="29732" xr:uid="{00000000-0005-0000-0000-000063400000}"/>
    <cellStyle name="20% - Accent6 10 3" xfId="29733" xr:uid="{00000000-0005-0000-0000-000064400000}"/>
    <cellStyle name="20% - Accent6 10 3 2" xfId="29734" xr:uid="{00000000-0005-0000-0000-000065400000}"/>
    <cellStyle name="20% - Accent6 10 3 2 2" xfId="29735" xr:uid="{00000000-0005-0000-0000-000066400000}"/>
    <cellStyle name="20% - Accent6 10 3 3" xfId="29736" xr:uid="{00000000-0005-0000-0000-000067400000}"/>
    <cellStyle name="20% - Accent6 10 4" xfId="29737" xr:uid="{00000000-0005-0000-0000-000068400000}"/>
    <cellStyle name="20% - Accent6 10 4 2" xfId="29738" xr:uid="{00000000-0005-0000-0000-000069400000}"/>
    <cellStyle name="20% - Accent6 10 5" xfId="29739" xr:uid="{00000000-0005-0000-0000-00006A400000}"/>
    <cellStyle name="20% - Accent6 11" xfId="29740" xr:uid="{00000000-0005-0000-0000-00006B400000}"/>
    <cellStyle name="20% - Accent6 11 2" xfId="29741" xr:uid="{00000000-0005-0000-0000-00006C400000}"/>
    <cellStyle name="20% - Accent6 11 2 2" xfId="29742" xr:uid="{00000000-0005-0000-0000-00006D400000}"/>
    <cellStyle name="20% - Accent6 11 3" xfId="29743" xr:uid="{00000000-0005-0000-0000-00006E400000}"/>
    <cellStyle name="20% - Accent6 12" xfId="29744" xr:uid="{00000000-0005-0000-0000-00006F400000}"/>
    <cellStyle name="20% - Accent6 12 2" xfId="29745" xr:uid="{00000000-0005-0000-0000-000070400000}"/>
    <cellStyle name="20% - Accent6 12 2 2" xfId="29746" xr:uid="{00000000-0005-0000-0000-000071400000}"/>
    <cellStyle name="20% - Accent6 12 3" xfId="29747" xr:uid="{00000000-0005-0000-0000-000072400000}"/>
    <cellStyle name="20% - Accent6 13" xfId="29748" xr:uid="{00000000-0005-0000-0000-000073400000}"/>
    <cellStyle name="20% - Accent6 13 2" xfId="29749" xr:uid="{00000000-0005-0000-0000-000074400000}"/>
    <cellStyle name="20% - Accent6 13 2 2" xfId="29750" xr:uid="{00000000-0005-0000-0000-000075400000}"/>
    <cellStyle name="20% - Accent6 13 3" xfId="29751" xr:uid="{00000000-0005-0000-0000-000076400000}"/>
    <cellStyle name="20% - Accent6 14" xfId="29752" xr:uid="{00000000-0005-0000-0000-000077400000}"/>
    <cellStyle name="20% - Accent6 14 2" xfId="29753" xr:uid="{00000000-0005-0000-0000-000078400000}"/>
    <cellStyle name="20% - Accent6 14 2 2" xfId="29754" xr:uid="{00000000-0005-0000-0000-000079400000}"/>
    <cellStyle name="20% - Accent6 14 3" xfId="29755" xr:uid="{00000000-0005-0000-0000-00007A400000}"/>
    <cellStyle name="20% - Accent6 15" xfId="29756" xr:uid="{00000000-0005-0000-0000-00007B400000}"/>
    <cellStyle name="20% - Accent6 15 2" xfId="29757" xr:uid="{00000000-0005-0000-0000-00007C400000}"/>
    <cellStyle name="20% - Accent6 15 2 2" xfId="29758" xr:uid="{00000000-0005-0000-0000-00007D400000}"/>
    <cellStyle name="20% - Accent6 15 3" xfId="29759" xr:uid="{00000000-0005-0000-0000-00007E400000}"/>
    <cellStyle name="20% - Accent6 16" xfId="29760" xr:uid="{00000000-0005-0000-0000-00007F400000}"/>
    <cellStyle name="20% - Accent6 16 2" xfId="29761" xr:uid="{00000000-0005-0000-0000-000080400000}"/>
    <cellStyle name="20% - Accent6 16 2 2" xfId="29762" xr:uid="{00000000-0005-0000-0000-000081400000}"/>
    <cellStyle name="20% - Accent6 16 2 2 2" xfId="29763" xr:uid="{00000000-0005-0000-0000-000082400000}"/>
    <cellStyle name="20% - Accent6 16 2 2 2 2" xfId="29764" xr:uid="{00000000-0005-0000-0000-000083400000}"/>
    <cellStyle name="20% - Accent6 16 2 2 2 2 2" xfId="29765" xr:uid="{00000000-0005-0000-0000-000084400000}"/>
    <cellStyle name="20% - Accent6 16 2 2 2 3" xfId="29766" xr:uid="{00000000-0005-0000-0000-000085400000}"/>
    <cellStyle name="20% - Accent6 16 2 2 3" xfId="29767" xr:uid="{00000000-0005-0000-0000-000086400000}"/>
    <cellStyle name="20% - Accent6 16 2 2 3 2" xfId="29768" xr:uid="{00000000-0005-0000-0000-000087400000}"/>
    <cellStyle name="20% - Accent6 16 2 2 3 2 2" xfId="29769" xr:uid="{00000000-0005-0000-0000-000088400000}"/>
    <cellStyle name="20% - Accent6 16 2 2 3 3" xfId="29770" xr:uid="{00000000-0005-0000-0000-000089400000}"/>
    <cellStyle name="20% - Accent6 16 2 2 4" xfId="29771" xr:uid="{00000000-0005-0000-0000-00008A400000}"/>
    <cellStyle name="20% - Accent6 16 2 2 4 2" xfId="29772" xr:uid="{00000000-0005-0000-0000-00008B400000}"/>
    <cellStyle name="20% - Accent6 16 2 2 5" xfId="29773" xr:uid="{00000000-0005-0000-0000-00008C400000}"/>
    <cellStyle name="20% - Accent6 16 2 3" xfId="29774" xr:uid="{00000000-0005-0000-0000-00008D400000}"/>
    <cellStyle name="20% - Accent6 16 2 3 2" xfId="29775" xr:uid="{00000000-0005-0000-0000-00008E400000}"/>
    <cellStyle name="20% - Accent6 16 2 3 2 2" xfId="29776" xr:uid="{00000000-0005-0000-0000-00008F400000}"/>
    <cellStyle name="20% - Accent6 16 2 3 2 2 2" xfId="29777" xr:uid="{00000000-0005-0000-0000-000090400000}"/>
    <cellStyle name="20% - Accent6 16 2 3 2 3" xfId="29778" xr:uid="{00000000-0005-0000-0000-000091400000}"/>
    <cellStyle name="20% - Accent6 16 2 3 3" xfId="29779" xr:uid="{00000000-0005-0000-0000-000092400000}"/>
    <cellStyle name="20% - Accent6 16 2 3 3 2" xfId="29780" xr:uid="{00000000-0005-0000-0000-000093400000}"/>
    <cellStyle name="20% - Accent6 16 2 3 3 2 2" xfId="29781" xr:uid="{00000000-0005-0000-0000-000094400000}"/>
    <cellStyle name="20% - Accent6 16 2 3 3 3" xfId="29782" xr:uid="{00000000-0005-0000-0000-000095400000}"/>
    <cellStyle name="20% - Accent6 16 2 3 4" xfId="29783" xr:uid="{00000000-0005-0000-0000-000096400000}"/>
    <cellStyle name="20% - Accent6 16 2 3 4 2" xfId="29784" xr:uid="{00000000-0005-0000-0000-000097400000}"/>
    <cellStyle name="20% - Accent6 16 2 3 5" xfId="29785" xr:uid="{00000000-0005-0000-0000-000098400000}"/>
    <cellStyle name="20% - Accent6 16 2 4" xfId="29786" xr:uid="{00000000-0005-0000-0000-000099400000}"/>
    <cellStyle name="20% - Accent6 16 2 4 2" xfId="29787" xr:uid="{00000000-0005-0000-0000-00009A400000}"/>
    <cellStyle name="20% - Accent6 16 2 4 2 2" xfId="29788" xr:uid="{00000000-0005-0000-0000-00009B400000}"/>
    <cellStyle name="20% - Accent6 16 2 4 2 2 2" xfId="29789" xr:uid="{00000000-0005-0000-0000-00009C400000}"/>
    <cellStyle name="20% - Accent6 16 2 4 2 3" xfId="29790" xr:uid="{00000000-0005-0000-0000-00009D400000}"/>
    <cellStyle name="20% - Accent6 16 2 4 3" xfId="29791" xr:uid="{00000000-0005-0000-0000-00009E400000}"/>
    <cellStyle name="20% - Accent6 16 2 4 3 2" xfId="29792" xr:uid="{00000000-0005-0000-0000-00009F400000}"/>
    <cellStyle name="20% - Accent6 16 2 4 3 2 2" xfId="29793" xr:uid="{00000000-0005-0000-0000-0000A0400000}"/>
    <cellStyle name="20% - Accent6 16 2 4 3 3" xfId="29794" xr:uid="{00000000-0005-0000-0000-0000A1400000}"/>
    <cellStyle name="20% - Accent6 16 2 4 4" xfId="29795" xr:uid="{00000000-0005-0000-0000-0000A2400000}"/>
    <cellStyle name="20% - Accent6 16 2 4 4 2" xfId="29796" xr:uid="{00000000-0005-0000-0000-0000A3400000}"/>
    <cellStyle name="20% - Accent6 16 2 4 5" xfId="29797" xr:uid="{00000000-0005-0000-0000-0000A4400000}"/>
    <cellStyle name="20% - Accent6 16 2 5" xfId="29798" xr:uid="{00000000-0005-0000-0000-0000A5400000}"/>
    <cellStyle name="20% - Accent6 16 2 5 2" xfId="29799" xr:uid="{00000000-0005-0000-0000-0000A6400000}"/>
    <cellStyle name="20% - Accent6 16 2 5 2 2" xfId="29800" xr:uid="{00000000-0005-0000-0000-0000A7400000}"/>
    <cellStyle name="20% - Accent6 16 2 5 2 2 2" xfId="29801" xr:uid="{00000000-0005-0000-0000-0000A8400000}"/>
    <cellStyle name="20% - Accent6 16 2 5 2 3" xfId="29802" xr:uid="{00000000-0005-0000-0000-0000A9400000}"/>
    <cellStyle name="20% - Accent6 16 2 5 3" xfId="29803" xr:uid="{00000000-0005-0000-0000-0000AA400000}"/>
    <cellStyle name="20% - Accent6 16 2 5 3 2" xfId="29804" xr:uid="{00000000-0005-0000-0000-0000AB400000}"/>
    <cellStyle name="20% - Accent6 16 2 5 4" xfId="29805" xr:uid="{00000000-0005-0000-0000-0000AC400000}"/>
    <cellStyle name="20% - Accent6 16 2 6" xfId="29806" xr:uid="{00000000-0005-0000-0000-0000AD400000}"/>
    <cellStyle name="20% - Accent6 16 2 6 2" xfId="29807" xr:uid="{00000000-0005-0000-0000-0000AE400000}"/>
    <cellStyle name="20% - Accent6 16 2 6 2 2" xfId="29808" xr:uid="{00000000-0005-0000-0000-0000AF400000}"/>
    <cellStyle name="20% - Accent6 16 2 6 3" xfId="29809" xr:uid="{00000000-0005-0000-0000-0000B0400000}"/>
    <cellStyle name="20% - Accent6 16 2 7" xfId="29810" xr:uid="{00000000-0005-0000-0000-0000B1400000}"/>
    <cellStyle name="20% - Accent6 16 2 7 2" xfId="29811" xr:uid="{00000000-0005-0000-0000-0000B2400000}"/>
    <cellStyle name="20% - Accent6 16 2 8" xfId="29812" xr:uid="{00000000-0005-0000-0000-0000B3400000}"/>
    <cellStyle name="20% - Accent6 16 3" xfId="29813" xr:uid="{00000000-0005-0000-0000-0000B4400000}"/>
    <cellStyle name="20% - Accent6 16 3 2" xfId="29814" xr:uid="{00000000-0005-0000-0000-0000B5400000}"/>
    <cellStyle name="20% - Accent6 16 3 2 2" xfId="29815" xr:uid="{00000000-0005-0000-0000-0000B6400000}"/>
    <cellStyle name="20% - Accent6 16 3 2 2 2" xfId="29816" xr:uid="{00000000-0005-0000-0000-0000B7400000}"/>
    <cellStyle name="20% - Accent6 16 3 2 3" xfId="29817" xr:uid="{00000000-0005-0000-0000-0000B8400000}"/>
    <cellStyle name="20% - Accent6 16 3 3" xfId="29818" xr:uid="{00000000-0005-0000-0000-0000B9400000}"/>
    <cellStyle name="20% - Accent6 16 3 3 2" xfId="29819" xr:uid="{00000000-0005-0000-0000-0000BA400000}"/>
    <cellStyle name="20% - Accent6 16 3 3 2 2" xfId="29820" xr:uid="{00000000-0005-0000-0000-0000BB400000}"/>
    <cellStyle name="20% - Accent6 16 3 3 3" xfId="29821" xr:uid="{00000000-0005-0000-0000-0000BC400000}"/>
    <cellStyle name="20% - Accent6 16 3 4" xfId="29822" xr:uid="{00000000-0005-0000-0000-0000BD400000}"/>
    <cellStyle name="20% - Accent6 16 3 4 2" xfId="29823" xr:uid="{00000000-0005-0000-0000-0000BE400000}"/>
    <cellStyle name="20% - Accent6 16 3 4 2 2" xfId="29824" xr:uid="{00000000-0005-0000-0000-0000BF400000}"/>
    <cellStyle name="20% - Accent6 16 3 4 3" xfId="29825" xr:uid="{00000000-0005-0000-0000-0000C0400000}"/>
    <cellStyle name="20% - Accent6 16 3 5" xfId="29826" xr:uid="{00000000-0005-0000-0000-0000C1400000}"/>
    <cellStyle name="20% - Accent6 16 3 5 2" xfId="29827" xr:uid="{00000000-0005-0000-0000-0000C2400000}"/>
    <cellStyle name="20% - Accent6 16 3 6" xfId="29828" xr:uid="{00000000-0005-0000-0000-0000C3400000}"/>
    <cellStyle name="20% - Accent6 16 4" xfId="29829" xr:uid="{00000000-0005-0000-0000-0000C4400000}"/>
    <cellStyle name="20% - Accent6 16 4 2" xfId="29830" xr:uid="{00000000-0005-0000-0000-0000C5400000}"/>
    <cellStyle name="20% - Accent6 16 4 2 2" xfId="29831" xr:uid="{00000000-0005-0000-0000-0000C6400000}"/>
    <cellStyle name="20% - Accent6 16 4 2 2 2" xfId="29832" xr:uid="{00000000-0005-0000-0000-0000C7400000}"/>
    <cellStyle name="20% - Accent6 16 4 2 3" xfId="29833" xr:uid="{00000000-0005-0000-0000-0000C8400000}"/>
    <cellStyle name="20% - Accent6 16 4 3" xfId="29834" xr:uid="{00000000-0005-0000-0000-0000C9400000}"/>
    <cellStyle name="20% - Accent6 16 4 3 2" xfId="29835" xr:uid="{00000000-0005-0000-0000-0000CA400000}"/>
    <cellStyle name="20% - Accent6 16 4 3 2 2" xfId="29836" xr:uid="{00000000-0005-0000-0000-0000CB400000}"/>
    <cellStyle name="20% - Accent6 16 4 3 3" xfId="29837" xr:uid="{00000000-0005-0000-0000-0000CC400000}"/>
    <cellStyle name="20% - Accent6 16 4 4" xfId="29838" xr:uid="{00000000-0005-0000-0000-0000CD400000}"/>
    <cellStyle name="20% - Accent6 16 4 4 2" xfId="29839" xr:uid="{00000000-0005-0000-0000-0000CE400000}"/>
    <cellStyle name="20% - Accent6 16 4 5" xfId="29840" xr:uid="{00000000-0005-0000-0000-0000CF400000}"/>
    <cellStyle name="20% - Accent6 16 5" xfId="29841" xr:uid="{00000000-0005-0000-0000-0000D0400000}"/>
    <cellStyle name="20% - Accent6 16 5 2" xfId="29842" xr:uid="{00000000-0005-0000-0000-0000D1400000}"/>
    <cellStyle name="20% - Accent6 16 5 2 2" xfId="29843" xr:uid="{00000000-0005-0000-0000-0000D2400000}"/>
    <cellStyle name="20% - Accent6 16 5 2 2 2" xfId="29844" xr:uid="{00000000-0005-0000-0000-0000D3400000}"/>
    <cellStyle name="20% - Accent6 16 5 2 3" xfId="29845" xr:uid="{00000000-0005-0000-0000-0000D4400000}"/>
    <cellStyle name="20% - Accent6 16 5 3" xfId="29846" xr:uid="{00000000-0005-0000-0000-0000D5400000}"/>
    <cellStyle name="20% - Accent6 16 5 3 2" xfId="29847" xr:uid="{00000000-0005-0000-0000-0000D6400000}"/>
    <cellStyle name="20% - Accent6 16 5 3 2 2" xfId="29848" xr:uid="{00000000-0005-0000-0000-0000D7400000}"/>
    <cellStyle name="20% - Accent6 16 5 3 3" xfId="29849" xr:uid="{00000000-0005-0000-0000-0000D8400000}"/>
    <cellStyle name="20% - Accent6 16 5 4" xfId="29850" xr:uid="{00000000-0005-0000-0000-0000D9400000}"/>
    <cellStyle name="20% - Accent6 16 5 4 2" xfId="29851" xr:uid="{00000000-0005-0000-0000-0000DA400000}"/>
    <cellStyle name="20% - Accent6 16 5 5" xfId="29852" xr:uid="{00000000-0005-0000-0000-0000DB400000}"/>
    <cellStyle name="20% - Accent6 16 6" xfId="29853" xr:uid="{00000000-0005-0000-0000-0000DC400000}"/>
    <cellStyle name="20% - Accent6 16 6 2" xfId="29854" xr:uid="{00000000-0005-0000-0000-0000DD400000}"/>
    <cellStyle name="20% - Accent6 16 6 2 2" xfId="29855" xr:uid="{00000000-0005-0000-0000-0000DE400000}"/>
    <cellStyle name="20% - Accent6 16 6 2 2 2" xfId="29856" xr:uid="{00000000-0005-0000-0000-0000DF400000}"/>
    <cellStyle name="20% - Accent6 16 6 2 3" xfId="29857" xr:uid="{00000000-0005-0000-0000-0000E0400000}"/>
    <cellStyle name="20% - Accent6 16 6 3" xfId="29858" xr:uid="{00000000-0005-0000-0000-0000E1400000}"/>
    <cellStyle name="20% - Accent6 16 6 3 2" xfId="29859" xr:uid="{00000000-0005-0000-0000-0000E2400000}"/>
    <cellStyle name="20% - Accent6 16 6 4" xfId="29860" xr:uid="{00000000-0005-0000-0000-0000E3400000}"/>
    <cellStyle name="20% - Accent6 16 7" xfId="29861" xr:uid="{00000000-0005-0000-0000-0000E4400000}"/>
    <cellStyle name="20% - Accent6 16 7 2" xfId="29862" xr:uid="{00000000-0005-0000-0000-0000E5400000}"/>
    <cellStyle name="20% - Accent6 16 7 2 2" xfId="29863" xr:uid="{00000000-0005-0000-0000-0000E6400000}"/>
    <cellStyle name="20% - Accent6 16 7 3" xfId="29864" xr:uid="{00000000-0005-0000-0000-0000E7400000}"/>
    <cellStyle name="20% - Accent6 16 8" xfId="29865" xr:uid="{00000000-0005-0000-0000-0000E8400000}"/>
    <cellStyle name="20% - Accent6 16 8 2" xfId="29866" xr:uid="{00000000-0005-0000-0000-0000E9400000}"/>
    <cellStyle name="20% - Accent6 16 9" xfId="29867" xr:uid="{00000000-0005-0000-0000-0000EA400000}"/>
    <cellStyle name="20% - Accent6 17" xfId="29868" xr:uid="{00000000-0005-0000-0000-0000EB400000}"/>
    <cellStyle name="20% - Accent6 17 2" xfId="29869" xr:uid="{00000000-0005-0000-0000-0000EC400000}"/>
    <cellStyle name="20% - Accent6 17 2 2" xfId="29870" xr:uid="{00000000-0005-0000-0000-0000ED400000}"/>
    <cellStyle name="20% - Accent6 17 2 2 2" xfId="29871" xr:uid="{00000000-0005-0000-0000-0000EE400000}"/>
    <cellStyle name="20% - Accent6 17 2 2 2 2" xfId="29872" xr:uid="{00000000-0005-0000-0000-0000EF400000}"/>
    <cellStyle name="20% - Accent6 17 2 2 3" xfId="29873" xr:uid="{00000000-0005-0000-0000-0000F0400000}"/>
    <cellStyle name="20% - Accent6 17 2 3" xfId="29874" xr:uid="{00000000-0005-0000-0000-0000F1400000}"/>
    <cellStyle name="20% - Accent6 17 2 3 2" xfId="29875" xr:uid="{00000000-0005-0000-0000-0000F2400000}"/>
    <cellStyle name="20% - Accent6 17 2 3 2 2" xfId="29876" xr:uid="{00000000-0005-0000-0000-0000F3400000}"/>
    <cellStyle name="20% - Accent6 17 2 3 3" xfId="29877" xr:uid="{00000000-0005-0000-0000-0000F4400000}"/>
    <cellStyle name="20% - Accent6 17 2 4" xfId="29878" xr:uid="{00000000-0005-0000-0000-0000F5400000}"/>
    <cellStyle name="20% - Accent6 17 2 4 2" xfId="29879" xr:uid="{00000000-0005-0000-0000-0000F6400000}"/>
    <cellStyle name="20% - Accent6 17 2 5" xfId="29880" xr:uid="{00000000-0005-0000-0000-0000F7400000}"/>
    <cellStyle name="20% - Accent6 17 3" xfId="29881" xr:uid="{00000000-0005-0000-0000-0000F8400000}"/>
    <cellStyle name="20% - Accent6 17 3 2" xfId="29882" xr:uid="{00000000-0005-0000-0000-0000F9400000}"/>
    <cellStyle name="20% - Accent6 17 3 2 2" xfId="29883" xr:uid="{00000000-0005-0000-0000-0000FA400000}"/>
    <cellStyle name="20% - Accent6 17 3 2 2 2" xfId="29884" xr:uid="{00000000-0005-0000-0000-0000FB400000}"/>
    <cellStyle name="20% - Accent6 17 3 2 3" xfId="29885" xr:uid="{00000000-0005-0000-0000-0000FC400000}"/>
    <cellStyle name="20% - Accent6 17 3 3" xfId="29886" xr:uid="{00000000-0005-0000-0000-0000FD400000}"/>
    <cellStyle name="20% - Accent6 17 3 3 2" xfId="29887" xr:uid="{00000000-0005-0000-0000-0000FE400000}"/>
    <cellStyle name="20% - Accent6 17 3 3 2 2" xfId="29888" xr:uid="{00000000-0005-0000-0000-0000FF400000}"/>
    <cellStyle name="20% - Accent6 17 3 3 3" xfId="29889" xr:uid="{00000000-0005-0000-0000-000000410000}"/>
    <cellStyle name="20% - Accent6 17 3 4" xfId="29890" xr:uid="{00000000-0005-0000-0000-000001410000}"/>
    <cellStyle name="20% - Accent6 17 3 4 2" xfId="29891" xr:uid="{00000000-0005-0000-0000-000002410000}"/>
    <cellStyle name="20% - Accent6 17 3 5" xfId="29892" xr:uid="{00000000-0005-0000-0000-000003410000}"/>
    <cellStyle name="20% - Accent6 17 4" xfId="29893" xr:uid="{00000000-0005-0000-0000-000004410000}"/>
    <cellStyle name="20% - Accent6 17 4 2" xfId="29894" xr:uid="{00000000-0005-0000-0000-000005410000}"/>
    <cellStyle name="20% - Accent6 17 4 2 2" xfId="29895" xr:uid="{00000000-0005-0000-0000-000006410000}"/>
    <cellStyle name="20% - Accent6 17 4 2 2 2" xfId="29896" xr:uid="{00000000-0005-0000-0000-000007410000}"/>
    <cellStyle name="20% - Accent6 17 4 2 3" xfId="29897" xr:uid="{00000000-0005-0000-0000-000008410000}"/>
    <cellStyle name="20% - Accent6 17 4 3" xfId="29898" xr:uid="{00000000-0005-0000-0000-000009410000}"/>
    <cellStyle name="20% - Accent6 17 4 3 2" xfId="29899" xr:uid="{00000000-0005-0000-0000-00000A410000}"/>
    <cellStyle name="20% - Accent6 17 4 3 2 2" xfId="29900" xr:uid="{00000000-0005-0000-0000-00000B410000}"/>
    <cellStyle name="20% - Accent6 17 4 3 3" xfId="29901" xr:uid="{00000000-0005-0000-0000-00000C410000}"/>
    <cellStyle name="20% - Accent6 17 4 4" xfId="29902" xr:uid="{00000000-0005-0000-0000-00000D410000}"/>
    <cellStyle name="20% - Accent6 17 4 4 2" xfId="29903" xr:uid="{00000000-0005-0000-0000-00000E410000}"/>
    <cellStyle name="20% - Accent6 17 4 5" xfId="29904" xr:uid="{00000000-0005-0000-0000-00000F410000}"/>
    <cellStyle name="20% - Accent6 17 5" xfId="29905" xr:uid="{00000000-0005-0000-0000-000010410000}"/>
    <cellStyle name="20% - Accent6 17 5 2" xfId="29906" xr:uid="{00000000-0005-0000-0000-000011410000}"/>
    <cellStyle name="20% - Accent6 17 5 2 2" xfId="29907" xr:uid="{00000000-0005-0000-0000-000012410000}"/>
    <cellStyle name="20% - Accent6 17 5 2 2 2" xfId="29908" xr:uid="{00000000-0005-0000-0000-000013410000}"/>
    <cellStyle name="20% - Accent6 17 5 2 3" xfId="29909" xr:uid="{00000000-0005-0000-0000-000014410000}"/>
    <cellStyle name="20% - Accent6 17 5 3" xfId="29910" xr:uid="{00000000-0005-0000-0000-000015410000}"/>
    <cellStyle name="20% - Accent6 17 5 3 2" xfId="29911" xr:uid="{00000000-0005-0000-0000-000016410000}"/>
    <cellStyle name="20% - Accent6 17 5 4" xfId="29912" xr:uid="{00000000-0005-0000-0000-000017410000}"/>
    <cellStyle name="20% - Accent6 17 6" xfId="29913" xr:uid="{00000000-0005-0000-0000-000018410000}"/>
    <cellStyle name="20% - Accent6 17 6 2" xfId="29914" xr:uid="{00000000-0005-0000-0000-000019410000}"/>
    <cellStyle name="20% - Accent6 17 6 2 2" xfId="29915" xr:uid="{00000000-0005-0000-0000-00001A410000}"/>
    <cellStyle name="20% - Accent6 17 6 3" xfId="29916" xr:uid="{00000000-0005-0000-0000-00001B410000}"/>
    <cellStyle name="20% - Accent6 17 7" xfId="29917" xr:uid="{00000000-0005-0000-0000-00001C410000}"/>
    <cellStyle name="20% - Accent6 17 7 2" xfId="29918" xr:uid="{00000000-0005-0000-0000-00001D410000}"/>
    <cellStyle name="20% - Accent6 17 8" xfId="29919" xr:uid="{00000000-0005-0000-0000-00001E410000}"/>
    <cellStyle name="20% - Accent6 18" xfId="29920" xr:uid="{00000000-0005-0000-0000-00001F410000}"/>
    <cellStyle name="20% - Accent6 18 2" xfId="29921" xr:uid="{00000000-0005-0000-0000-000020410000}"/>
    <cellStyle name="20% - Accent6 18 2 2" xfId="29922" xr:uid="{00000000-0005-0000-0000-000021410000}"/>
    <cellStyle name="20% - Accent6 18 2 2 2" xfId="29923" xr:uid="{00000000-0005-0000-0000-000022410000}"/>
    <cellStyle name="20% - Accent6 18 2 2 2 2" xfId="29924" xr:uid="{00000000-0005-0000-0000-000023410000}"/>
    <cellStyle name="20% - Accent6 18 2 2 3" xfId="29925" xr:uid="{00000000-0005-0000-0000-000024410000}"/>
    <cellStyle name="20% - Accent6 18 2 3" xfId="29926" xr:uid="{00000000-0005-0000-0000-000025410000}"/>
    <cellStyle name="20% - Accent6 18 2 3 2" xfId="29927" xr:uid="{00000000-0005-0000-0000-000026410000}"/>
    <cellStyle name="20% - Accent6 18 2 4" xfId="29928" xr:uid="{00000000-0005-0000-0000-000027410000}"/>
    <cellStyle name="20% - Accent6 18 3" xfId="29929" xr:uid="{00000000-0005-0000-0000-000028410000}"/>
    <cellStyle name="20% - Accent6 18 3 2" xfId="29930" xr:uid="{00000000-0005-0000-0000-000029410000}"/>
    <cellStyle name="20% - Accent6 18 3 2 2" xfId="29931" xr:uid="{00000000-0005-0000-0000-00002A410000}"/>
    <cellStyle name="20% - Accent6 18 3 2 2 2" xfId="29932" xr:uid="{00000000-0005-0000-0000-00002B410000}"/>
    <cellStyle name="20% - Accent6 18 3 2 3" xfId="29933" xr:uid="{00000000-0005-0000-0000-00002C410000}"/>
    <cellStyle name="20% - Accent6 18 3 3" xfId="29934" xr:uid="{00000000-0005-0000-0000-00002D410000}"/>
    <cellStyle name="20% - Accent6 18 3 3 2" xfId="29935" xr:uid="{00000000-0005-0000-0000-00002E410000}"/>
    <cellStyle name="20% - Accent6 18 3 4" xfId="29936" xr:uid="{00000000-0005-0000-0000-00002F410000}"/>
    <cellStyle name="20% - Accent6 18 4" xfId="29937" xr:uid="{00000000-0005-0000-0000-000030410000}"/>
    <cellStyle name="20% - Accent6 18 4 2" xfId="29938" xr:uid="{00000000-0005-0000-0000-000031410000}"/>
    <cellStyle name="20% - Accent6 18 4 2 2" xfId="29939" xr:uid="{00000000-0005-0000-0000-000032410000}"/>
    <cellStyle name="20% - Accent6 18 4 3" xfId="29940" xr:uid="{00000000-0005-0000-0000-000033410000}"/>
    <cellStyle name="20% - Accent6 18 5" xfId="29941" xr:uid="{00000000-0005-0000-0000-000034410000}"/>
    <cellStyle name="20% - Accent6 18 5 2" xfId="29942" xr:uid="{00000000-0005-0000-0000-000035410000}"/>
    <cellStyle name="20% - Accent6 18 6" xfId="29943" xr:uid="{00000000-0005-0000-0000-000036410000}"/>
    <cellStyle name="20% - Accent6 19" xfId="29944" xr:uid="{00000000-0005-0000-0000-000037410000}"/>
    <cellStyle name="20% - Accent6 19 2" xfId="29945" xr:uid="{00000000-0005-0000-0000-000038410000}"/>
    <cellStyle name="20% - Accent6 19 2 2" xfId="29946" xr:uid="{00000000-0005-0000-0000-000039410000}"/>
    <cellStyle name="20% - Accent6 19 3" xfId="29947" xr:uid="{00000000-0005-0000-0000-00003A410000}"/>
    <cellStyle name="20% - Accent6 2" xfId="88" xr:uid="{00000000-0005-0000-0000-00003B410000}"/>
    <cellStyle name="20% - Accent6 2 10" xfId="1000" xr:uid="{00000000-0005-0000-0000-00003C410000}"/>
    <cellStyle name="20% - Accent6 2 10 10" xfId="45304" xr:uid="{00000000-0005-0000-0000-00003D410000}"/>
    <cellStyle name="20% - Accent6 2 10 11" xfId="50782" xr:uid="{00000000-0005-0000-0000-00003E410000}"/>
    <cellStyle name="20% - Accent6 2 10 2" xfId="2761" xr:uid="{00000000-0005-0000-0000-00003F410000}"/>
    <cellStyle name="20% - Accent6 2 10 2 2" xfId="8241" xr:uid="{00000000-0005-0000-0000-000040410000}"/>
    <cellStyle name="20% - Accent6 2 10 2 3" xfId="13717" xr:uid="{00000000-0005-0000-0000-000041410000}"/>
    <cellStyle name="20% - Accent6 2 10 2 4" xfId="19193" xr:uid="{00000000-0005-0000-0000-000042410000}"/>
    <cellStyle name="20% - Accent6 2 10 2 5" xfId="24669" xr:uid="{00000000-0005-0000-0000-000043410000}"/>
    <cellStyle name="20% - Accent6 2 10 2 6" xfId="36465" xr:uid="{00000000-0005-0000-0000-000044410000}"/>
    <cellStyle name="20% - Accent6 2 10 2 7" xfId="41942" xr:uid="{00000000-0005-0000-0000-000045410000}"/>
    <cellStyle name="20% - Accent6 2 10 2 8" xfId="47419" xr:uid="{00000000-0005-0000-0000-000046410000}"/>
    <cellStyle name="20% - Accent6 2 10 2 9" xfId="52937" xr:uid="{00000000-0005-0000-0000-000047410000}"/>
    <cellStyle name="20% - Accent6 2 10 3" xfId="4533" xr:uid="{00000000-0005-0000-0000-000048410000}"/>
    <cellStyle name="20% - Accent6 2 10 3 2" xfId="10013" xr:uid="{00000000-0005-0000-0000-000049410000}"/>
    <cellStyle name="20% - Accent6 2 10 3 3" xfId="15489" xr:uid="{00000000-0005-0000-0000-00004A410000}"/>
    <cellStyle name="20% - Accent6 2 10 3 4" xfId="20965" xr:uid="{00000000-0005-0000-0000-00004B410000}"/>
    <cellStyle name="20% - Accent6 2 10 3 5" xfId="26441" xr:uid="{00000000-0005-0000-0000-00004C410000}"/>
    <cellStyle name="20% - Accent6 2 10 3 6" xfId="38237" xr:uid="{00000000-0005-0000-0000-00004D410000}"/>
    <cellStyle name="20% - Accent6 2 10 3 7" xfId="43714" xr:uid="{00000000-0005-0000-0000-00004E410000}"/>
    <cellStyle name="20% - Accent6 2 10 3 8" xfId="49191" xr:uid="{00000000-0005-0000-0000-00004F410000}"/>
    <cellStyle name="20% - Accent6 2 10 3 9" xfId="54709" xr:uid="{00000000-0005-0000-0000-000050410000}"/>
    <cellStyle name="20% - Accent6 2 10 4" xfId="6123" xr:uid="{00000000-0005-0000-0000-000051410000}"/>
    <cellStyle name="20% - Accent6 2 10 5" xfId="11603" xr:uid="{00000000-0005-0000-0000-000052410000}"/>
    <cellStyle name="20% - Accent6 2 10 6" xfId="17079" xr:uid="{00000000-0005-0000-0000-000053410000}"/>
    <cellStyle name="20% - Accent6 2 10 7" xfId="22555" xr:uid="{00000000-0005-0000-0000-000054410000}"/>
    <cellStyle name="20% - Accent6 2 10 8" xfId="34350" xr:uid="{00000000-0005-0000-0000-000055410000}"/>
    <cellStyle name="20% - Accent6 2 10 9" xfId="39827" xr:uid="{00000000-0005-0000-0000-000056410000}"/>
    <cellStyle name="20% - Accent6 2 11" xfId="1017" xr:uid="{00000000-0005-0000-0000-000057410000}"/>
    <cellStyle name="20% - Accent6 2 11 10" xfId="45305" xr:uid="{00000000-0005-0000-0000-000058410000}"/>
    <cellStyle name="20% - Accent6 2 11 11" xfId="50783" xr:uid="{00000000-0005-0000-0000-000059410000}"/>
    <cellStyle name="20% - Accent6 2 11 2" xfId="2778" xr:uid="{00000000-0005-0000-0000-00005A410000}"/>
    <cellStyle name="20% - Accent6 2 11 2 2" xfId="8258" xr:uid="{00000000-0005-0000-0000-00005B410000}"/>
    <cellStyle name="20% - Accent6 2 11 2 3" xfId="13734" xr:uid="{00000000-0005-0000-0000-00005C410000}"/>
    <cellStyle name="20% - Accent6 2 11 2 4" xfId="19210" xr:uid="{00000000-0005-0000-0000-00005D410000}"/>
    <cellStyle name="20% - Accent6 2 11 2 5" xfId="24686" xr:uid="{00000000-0005-0000-0000-00005E410000}"/>
    <cellStyle name="20% - Accent6 2 11 2 6" xfId="36482" xr:uid="{00000000-0005-0000-0000-00005F410000}"/>
    <cellStyle name="20% - Accent6 2 11 2 7" xfId="41959" xr:uid="{00000000-0005-0000-0000-000060410000}"/>
    <cellStyle name="20% - Accent6 2 11 2 8" xfId="47436" xr:uid="{00000000-0005-0000-0000-000061410000}"/>
    <cellStyle name="20% - Accent6 2 11 2 9" xfId="52954" xr:uid="{00000000-0005-0000-0000-000062410000}"/>
    <cellStyle name="20% - Accent6 2 11 3" xfId="4550" xr:uid="{00000000-0005-0000-0000-000063410000}"/>
    <cellStyle name="20% - Accent6 2 11 3 2" xfId="10030" xr:uid="{00000000-0005-0000-0000-000064410000}"/>
    <cellStyle name="20% - Accent6 2 11 3 3" xfId="15506" xr:uid="{00000000-0005-0000-0000-000065410000}"/>
    <cellStyle name="20% - Accent6 2 11 3 4" xfId="20982" xr:uid="{00000000-0005-0000-0000-000066410000}"/>
    <cellStyle name="20% - Accent6 2 11 3 5" xfId="26458" xr:uid="{00000000-0005-0000-0000-000067410000}"/>
    <cellStyle name="20% - Accent6 2 11 3 6" xfId="38254" xr:uid="{00000000-0005-0000-0000-000068410000}"/>
    <cellStyle name="20% - Accent6 2 11 3 7" xfId="43731" xr:uid="{00000000-0005-0000-0000-000069410000}"/>
    <cellStyle name="20% - Accent6 2 11 3 8" xfId="49208" xr:uid="{00000000-0005-0000-0000-00006A410000}"/>
    <cellStyle name="20% - Accent6 2 11 3 9" xfId="54726" xr:uid="{00000000-0005-0000-0000-00006B410000}"/>
    <cellStyle name="20% - Accent6 2 11 4" xfId="6124" xr:uid="{00000000-0005-0000-0000-00006C410000}"/>
    <cellStyle name="20% - Accent6 2 11 5" xfId="11604" xr:uid="{00000000-0005-0000-0000-00006D410000}"/>
    <cellStyle name="20% - Accent6 2 11 6" xfId="17080" xr:uid="{00000000-0005-0000-0000-00006E410000}"/>
    <cellStyle name="20% - Accent6 2 11 7" xfId="22556" xr:uid="{00000000-0005-0000-0000-00006F410000}"/>
    <cellStyle name="20% - Accent6 2 11 8" xfId="34351" xr:uid="{00000000-0005-0000-0000-000070410000}"/>
    <cellStyle name="20% - Accent6 2 11 9" xfId="39828" xr:uid="{00000000-0005-0000-0000-000071410000}"/>
    <cellStyle name="20% - Accent6 2 12" xfId="1079" xr:uid="{00000000-0005-0000-0000-000072410000}"/>
    <cellStyle name="20% - Accent6 2 12 10" xfId="45306" xr:uid="{00000000-0005-0000-0000-000073410000}"/>
    <cellStyle name="20% - Accent6 2 12 11" xfId="50784" xr:uid="{00000000-0005-0000-0000-000074410000}"/>
    <cellStyle name="20% - Accent6 2 12 2" xfId="2840" xr:uid="{00000000-0005-0000-0000-000075410000}"/>
    <cellStyle name="20% - Accent6 2 12 2 2" xfId="8320" xr:uid="{00000000-0005-0000-0000-000076410000}"/>
    <cellStyle name="20% - Accent6 2 12 2 3" xfId="13796" xr:uid="{00000000-0005-0000-0000-000077410000}"/>
    <cellStyle name="20% - Accent6 2 12 2 4" xfId="19272" xr:uid="{00000000-0005-0000-0000-000078410000}"/>
    <cellStyle name="20% - Accent6 2 12 2 5" xfId="24748" xr:uid="{00000000-0005-0000-0000-000079410000}"/>
    <cellStyle name="20% - Accent6 2 12 2 6" xfId="36544" xr:uid="{00000000-0005-0000-0000-00007A410000}"/>
    <cellStyle name="20% - Accent6 2 12 2 7" xfId="42021" xr:uid="{00000000-0005-0000-0000-00007B410000}"/>
    <cellStyle name="20% - Accent6 2 12 2 8" xfId="47498" xr:uid="{00000000-0005-0000-0000-00007C410000}"/>
    <cellStyle name="20% - Accent6 2 12 2 9" xfId="53016" xr:uid="{00000000-0005-0000-0000-00007D410000}"/>
    <cellStyle name="20% - Accent6 2 12 3" xfId="4612" xr:uid="{00000000-0005-0000-0000-00007E410000}"/>
    <cellStyle name="20% - Accent6 2 12 3 2" xfId="10092" xr:uid="{00000000-0005-0000-0000-00007F410000}"/>
    <cellStyle name="20% - Accent6 2 12 3 3" xfId="15568" xr:uid="{00000000-0005-0000-0000-000080410000}"/>
    <cellStyle name="20% - Accent6 2 12 3 4" xfId="21044" xr:uid="{00000000-0005-0000-0000-000081410000}"/>
    <cellStyle name="20% - Accent6 2 12 3 5" xfId="26520" xr:uid="{00000000-0005-0000-0000-000082410000}"/>
    <cellStyle name="20% - Accent6 2 12 3 6" xfId="38316" xr:uid="{00000000-0005-0000-0000-000083410000}"/>
    <cellStyle name="20% - Accent6 2 12 3 7" xfId="43793" xr:uid="{00000000-0005-0000-0000-000084410000}"/>
    <cellStyle name="20% - Accent6 2 12 3 8" xfId="49270" xr:uid="{00000000-0005-0000-0000-000085410000}"/>
    <cellStyle name="20% - Accent6 2 12 3 9" xfId="54788" xr:uid="{00000000-0005-0000-0000-000086410000}"/>
    <cellStyle name="20% - Accent6 2 12 4" xfId="6125" xr:uid="{00000000-0005-0000-0000-000087410000}"/>
    <cellStyle name="20% - Accent6 2 12 5" xfId="11605" xr:uid="{00000000-0005-0000-0000-000088410000}"/>
    <cellStyle name="20% - Accent6 2 12 6" xfId="17081" xr:uid="{00000000-0005-0000-0000-000089410000}"/>
    <cellStyle name="20% - Accent6 2 12 7" xfId="22557" xr:uid="{00000000-0005-0000-0000-00008A410000}"/>
    <cellStyle name="20% - Accent6 2 12 8" xfId="34352" xr:uid="{00000000-0005-0000-0000-00008B410000}"/>
    <cellStyle name="20% - Accent6 2 12 9" xfId="39829" xr:uid="{00000000-0005-0000-0000-00008C410000}"/>
    <cellStyle name="20% - Accent6 2 13" xfId="1251" xr:uid="{00000000-0005-0000-0000-00008D410000}"/>
    <cellStyle name="20% - Accent6 2 13 10" xfId="45307" xr:uid="{00000000-0005-0000-0000-00008E410000}"/>
    <cellStyle name="20% - Accent6 2 13 11" xfId="50785" xr:uid="{00000000-0005-0000-0000-00008F410000}"/>
    <cellStyle name="20% - Accent6 2 13 2" xfId="3012" xr:uid="{00000000-0005-0000-0000-000090410000}"/>
    <cellStyle name="20% - Accent6 2 13 2 2" xfId="8492" xr:uid="{00000000-0005-0000-0000-000091410000}"/>
    <cellStyle name="20% - Accent6 2 13 2 3" xfId="13968" xr:uid="{00000000-0005-0000-0000-000092410000}"/>
    <cellStyle name="20% - Accent6 2 13 2 4" xfId="19444" xr:uid="{00000000-0005-0000-0000-000093410000}"/>
    <cellStyle name="20% - Accent6 2 13 2 5" xfId="24920" xr:uid="{00000000-0005-0000-0000-000094410000}"/>
    <cellStyle name="20% - Accent6 2 13 2 6" xfId="36716" xr:uid="{00000000-0005-0000-0000-000095410000}"/>
    <cellStyle name="20% - Accent6 2 13 2 7" xfId="42193" xr:uid="{00000000-0005-0000-0000-000096410000}"/>
    <cellStyle name="20% - Accent6 2 13 2 8" xfId="47670" xr:uid="{00000000-0005-0000-0000-000097410000}"/>
    <cellStyle name="20% - Accent6 2 13 2 9" xfId="53188" xr:uid="{00000000-0005-0000-0000-000098410000}"/>
    <cellStyle name="20% - Accent6 2 13 3" xfId="4784" xr:uid="{00000000-0005-0000-0000-000099410000}"/>
    <cellStyle name="20% - Accent6 2 13 3 2" xfId="10264" xr:uid="{00000000-0005-0000-0000-00009A410000}"/>
    <cellStyle name="20% - Accent6 2 13 3 3" xfId="15740" xr:uid="{00000000-0005-0000-0000-00009B410000}"/>
    <cellStyle name="20% - Accent6 2 13 3 4" xfId="21216" xr:uid="{00000000-0005-0000-0000-00009C410000}"/>
    <cellStyle name="20% - Accent6 2 13 3 5" xfId="26692" xr:uid="{00000000-0005-0000-0000-00009D410000}"/>
    <cellStyle name="20% - Accent6 2 13 3 6" xfId="38488" xr:uid="{00000000-0005-0000-0000-00009E410000}"/>
    <cellStyle name="20% - Accent6 2 13 3 7" xfId="43965" xr:uid="{00000000-0005-0000-0000-00009F410000}"/>
    <cellStyle name="20% - Accent6 2 13 3 8" xfId="49442" xr:uid="{00000000-0005-0000-0000-0000A0410000}"/>
    <cellStyle name="20% - Accent6 2 13 3 9" xfId="54960" xr:uid="{00000000-0005-0000-0000-0000A1410000}"/>
    <cellStyle name="20% - Accent6 2 13 4" xfId="6126" xr:uid="{00000000-0005-0000-0000-0000A2410000}"/>
    <cellStyle name="20% - Accent6 2 13 5" xfId="11606" xr:uid="{00000000-0005-0000-0000-0000A3410000}"/>
    <cellStyle name="20% - Accent6 2 13 6" xfId="17082" xr:uid="{00000000-0005-0000-0000-0000A4410000}"/>
    <cellStyle name="20% - Accent6 2 13 7" xfId="22558" xr:uid="{00000000-0005-0000-0000-0000A5410000}"/>
    <cellStyle name="20% - Accent6 2 13 8" xfId="34353" xr:uid="{00000000-0005-0000-0000-0000A6410000}"/>
    <cellStyle name="20% - Accent6 2 13 9" xfId="39830" xr:uid="{00000000-0005-0000-0000-0000A7410000}"/>
    <cellStyle name="20% - Accent6 2 14" xfId="1423" xr:uid="{00000000-0005-0000-0000-0000A8410000}"/>
    <cellStyle name="20% - Accent6 2 14 10" xfId="45308" xr:uid="{00000000-0005-0000-0000-0000A9410000}"/>
    <cellStyle name="20% - Accent6 2 14 11" xfId="50786" xr:uid="{00000000-0005-0000-0000-0000AA410000}"/>
    <cellStyle name="20% - Accent6 2 14 2" xfId="3184" xr:uid="{00000000-0005-0000-0000-0000AB410000}"/>
    <cellStyle name="20% - Accent6 2 14 2 2" xfId="8664" xr:uid="{00000000-0005-0000-0000-0000AC410000}"/>
    <cellStyle name="20% - Accent6 2 14 2 3" xfId="14140" xr:uid="{00000000-0005-0000-0000-0000AD410000}"/>
    <cellStyle name="20% - Accent6 2 14 2 4" xfId="19616" xr:uid="{00000000-0005-0000-0000-0000AE410000}"/>
    <cellStyle name="20% - Accent6 2 14 2 5" xfId="25092" xr:uid="{00000000-0005-0000-0000-0000AF410000}"/>
    <cellStyle name="20% - Accent6 2 14 2 6" xfId="36888" xr:uid="{00000000-0005-0000-0000-0000B0410000}"/>
    <cellStyle name="20% - Accent6 2 14 2 7" xfId="42365" xr:uid="{00000000-0005-0000-0000-0000B1410000}"/>
    <cellStyle name="20% - Accent6 2 14 2 8" xfId="47842" xr:uid="{00000000-0005-0000-0000-0000B2410000}"/>
    <cellStyle name="20% - Accent6 2 14 2 9" xfId="53360" xr:uid="{00000000-0005-0000-0000-0000B3410000}"/>
    <cellStyle name="20% - Accent6 2 14 3" xfId="4956" xr:uid="{00000000-0005-0000-0000-0000B4410000}"/>
    <cellStyle name="20% - Accent6 2 14 3 2" xfId="10436" xr:uid="{00000000-0005-0000-0000-0000B5410000}"/>
    <cellStyle name="20% - Accent6 2 14 3 3" xfId="15912" xr:uid="{00000000-0005-0000-0000-0000B6410000}"/>
    <cellStyle name="20% - Accent6 2 14 3 4" xfId="21388" xr:uid="{00000000-0005-0000-0000-0000B7410000}"/>
    <cellStyle name="20% - Accent6 2 14 3 5" xfId="26864" xr:uid="{00000000-0005-0000-0000-0000B8410000}"/>
    <cellStyle name="20% - Accent6 2 14 3 6" xfId="38660" xr:uid="{00000000-0005-0000-0000-0000B9410000}"/>
    <cellStyle name="20% - Accent6 2 14 3 7" xfId="44137" xr:uid="{00000000-0005-0000-0000-0000BA410000}"/>
    <cellStyle name="20% - Accent6 2 14 3 8" xfId="49614" xr:uid="{00000000-0005-0000-0000-0000BB410000}"/>
    <cellStyle name="20% - Accent6 2 14 3 9" xfId="55132" xr:uid="{00000000-0005-0000-0000-0000BC410000}"/>
    <cellStyle name="20% - Accent6 2 14 4" xfId="6127" xr:uid="{00000000-0005-0000-0000-0000BD410000}"/>
    <cellStyle name="20% - Accent6 2 14 5" xfId="11607" xr:uid="{00000000-0005-0000-0000-0000BE410000}"/>
    <cellStyle name="20% - Accent6 2 14 6" xfId="17083" xr:uid="{00000000-0005-0000-0000-0000BF410000}"/>
    <cellStyle name="20% - Accent6 2 14 7" xfId="22559" xr:uid="{00000000-0005-0000-0000-0000C0410000}"/>
    <cellStyle name="20% - Accent6 2 14 8" xfId="34354" xr:uid="{00000000-0005-0000-0000-0000C1410000}"/>
    <cellStyle name="20% - Accent6 2 14 9" xfId="39831" xr:uid="{00000000-0005-0000-0000-0000C2410000}"/>
    <cellStyle name="20% - Accent6 2 15" xfId="1595" xr:uid="{00000000-0005-0000-0000-0000C3410000}"/>
    <cellStyle name="20% - Accent6 2 15 10" xfId="45309" xr:uid="{00000000-0005-0000-0000-0000C4410000}"/>
    <cellStyle name="20% - Accent6 2 15 11" xfId="50787" xr:uid="{00000000-0005-0000-0000-0000C5410000}"/>
    <cellStyle name="20% - Accent6 2 15 2" xfId="3356" xr:uid="{00000000-0005-0000-0000-0000C6410000}"/>
    <cellStyle name="20% - Accent6 2 15 2 2" xfId="8836" xr:uid="{00000000-0005-0000-0000-0000C7410000}"/>
    <cellStyle name="20% - Accent6 2 15 2 3" xfId="14312" xr:uid="{00000000-0005-0000-0000-0000C8410000}"/>
    <cellStyle name="20% - Accent6 2 15 2 4" xfId="19788" xr:uid="{00000000-0005-0000-0000-0000C9410000}"/>
    <cellStyle name="20% - Accent6 2 15 2 5" xfId="25264" xr:uid="{00000000-0005-0000-0000-0000CA410000}"/>
    <cellStyle name="20% - Accent6 2 15 2 6" xfId="37060" xr:uid="{00000000-0005-0000-0000-0000CB410000}"/>
    <cellStyle name="20% - Accent6 2 15 2 7" xfId="42537" xr:uid="{00000000-0005-0000-0000-0000CC410000}"/>
    <cellStyle name="20% - Accent6 2 15 2 8" xfId="48014" xr:uid="{00000000-0005-0000-0000-0000CD410000}"/>
    <cellStyle name="20% - Accent6 2 15 2 9" xfId="53532" xr:uid="{00000000-0005-0000-0000-0000CE410000}"/>
    <cellStyle name="20% - Accent6 2 15 3" xfId="5128" xr:uid="{00000000-0005-0000-0000-0000CF410000}"/>
    <cellStyle name="20% - Accent6 2 15 3 2" xfId="10608" xr:uid="{00000000-0005-0000-0000-0000D0410000}"/>
    <cellStyle name="20% - Accent6 2 15 3 3" xfId="16084" xr:uid="{00000000-0005-0000-0000-0000D1410000}"/>
    <cellStyle name="20% - Accent6 2 15 3 4" xfId="21560" xr:uid="{00000000-0005-0000-0000-0000D2410000}"/>
    <cellStyle name="20% - Accent6 2 15 3 5" xfId="27036" xr:uid="{00000000-0005-0000-0000-0000D3410000}"/>
    <cellStyle name="20% - Accent6 2 15 3 6" xfId="38832" xr:uid="{00000000-0005-0000-0000-0000D4410000}"/>
    <cellStyle name="20% - Accent6 2 15 3 7" xfId="44309" xr:uid="{00000000-0005-0000-0000-0000D5410000}"/>
    <cellStyle name="20% - Accent6 2 15 3 8" xfId="49786" xr:uid="{00000000-0005-0000-0000-0000D6410000}"/>
    <cellStyle name="20% - Accent6 2 15 3 9" xfId="55304" xr:uid="{00000000-0005-0000-0000-0000D7410000}"/>
    <cellStyle name="20% - Accent6 2 15 4" xfId="6128" xr:uid="{00000000-0005-0000-0000-0000D8410000}"/>
    <cellStyle name="20% - Accent6 2 15 5" xfId="11608" xr:uid="{00000000-0005-0000-0000-0000D9410000}"/>
    <cellStyle name="20% - Accent6 2 15 6" xfId="17084" xr:uid="{00000000-0005-0000-0000-0000DA410000}"/>
    <cellStyle name="20% - Accent6 2 15 7" xfId="22560" xr:uid="{00000000-0005-0000-0000-0000DB410000}"/>
    <cellStyle name="20% - Accent6 2 15 8" xfId="34355" xr:uid="{00000000-0005-0000-0000-0000DC410000}"/>
    <cellStyle name="20% - Accent6 2 15 9" xfId="39832" xr:uid="{00000000-0005-0000-0000-0000DD410000}"/>
    <cellStyle name="20% - Accent6 2 16" xfId="1722" xr:uid="{00000000-0005-0000-0000-0000DE410000}"/>
    <cellStyle name="20% - Accent6 2 16 10" xfId="45310" xr:uid="{00000000-0005-0000-0000-0000DF410000}"/>
    <cellStyle name="20% - Accent6 2 16 11" xfId="50788" xr:uid="{00000000-0005-0000-0000-0000E0410000}"/>
    <cellStyle name="20% - Accent6 2 16 2" xfId="3483" xr:uid="{00000000-0005-0000-0000-0000E1410000}"/>
    <cellStyle name="20% - Accent6 2 16 2 2" xfId="8963" xr:uid="{00000000-0005-0000-0000-0000E2410000}"/>
    <cellStyle name="20% - Accent6 2 16 2 3" xfId="14439" xr:uid="{00000000-0005-0000-0000-0000E3410000}"/>
    <cellStyle name="20% - Accent6 2 16 2 4" xfId="19915" xr:uid="{00000000-0005-0000-0000-0000E4410000}"/>
    <cellStyle name="20% - Accent6 2 16 2 5" xfId="25391" xr:uid="{00000000-0005-0000-0000-0000E5410000}"/>
    <cellStyle name="20% - Accent6 2 16 2 6" xfId="37187" xr:uid="{00000000-0005-0000-0000-0000E6410000}"/>
    <cellStyle name="20% - Accent6 2 16 2 7" xfId="42664" xr:uid="{00000000-0005-0000-0000-0000E7410000}"/>
    <cellStyle name="20% - Accent6 2 16 2 8" xfId="48141" xr:uid="{00000000-0005-0000-0000-0000E8410000}"/>
    <cellStyle name="20% - Accent6 2 16 2 9" xfId="53659" xr:uid="{00000000-0005-0000-0000-0000E9410000}"/>
    <cellStyle name="20% - Accent6 2 16 3" xfId="5255" xr:uid="{00000000-0005-0000-0000-0000EA410000}"/>
    <cellStyle name="20% - Accent6 2 16 3 2" xfId="10735" xr:uid="{00000000-0005-0000-0000-0000EB410000}"/>
    <cellStyle name="20% - Accent6 2 16 3 3" xfId="16211" xr:uid="{00000000-0005-0000-0000-0000EC410000}"/>
    <cellStyle name="20% - Accent6 2 16 3 4" xfId="21687" xr:uid="{00000000-0005-0000-0000-0000ED410000}"/>
    <cellStyle name="20% - Accent6 2 16 3 5" xfId="27163" xr:uid="{00000000-0005-0000-0000-0000EE410000}"/>
    <cellStyle name="20% - Accent6 2 16 3 6" xfId="38959" xr:uid="{00000000-0005-0000-0000-0000EF410000}"/>
    <cellStyle name="20% - Accent6 2 16 3 7" xfId="44436" xr:uid="{00000000-0005-0000-0000-0000F0410000}"/>
    <cellStyle name="20% - Accent6 2 16 3 8" xfId="49913" xr:uid="{00000000-0005-0000-0000-0000F1410000}"/>
    <cellStyle name="20% - Accent6 2 16 3 9" xfId="55431" xr:uid="{00000000-0005-0000-0000-0000F2410000}"/>
    <cellStyle name="20% - Accent6 2 16 4" xfId="6129" xr:uid="{00000000-0005-0000-0000-0000F3410000}"/>
    <cellStyle name="20% - Accent6 2 16 5" xfId="11609" xr:uid="{00000000-0005-0000-0000-0000F4410000}"/>
    <cellStyle name="20% - Accent6 2 16 6" xfId="17085" xr:uid="{00000000-0005-0000-0000-0000F5410000}"/>
    <cellStyle name="20% - Accent6 2 16 7" xfId="22561" xr:uid="{00000000-0005-0000-0000-0000F6410000}"/>
    <cellStyle name="20% - Accent6 2 16 8" xfId="34356" xr:uid="{00000000-0005-0000-0000-0000F7410000}"/>
    <cellStyle name="20% - Accent6 2 16 9" xfId="39833" xr:uid="{00000000-0005-0000-0000-0000F8410000}"/>
    <cellStyle name="20% - Accent6 2 17" xfId="1740" xr:uid="{00000000-0005-0000-0000-0000F9410000}"/>
    <cellStyle name="20% - Accent6 2 17 10" xfId="45311" xr:uid="{00000000-0005-0000-0000-0000FA410000}"/>
    <cellStyle name="20% - Accent6 2 17 11" xfId="50789" xr:uid="{00000000-0005-0000-0000-0000FB410000}"/>
    <cellStyle name="20% - Accent6 2 17 2" xfId="3501" xr:uid="{00000000-0005-0000-0000-0000FC410000}"/>
    <cellStyle name="20% - Accent6 2 17 2 2" xfId="8981" xr:uid="{00000000-0005-0000-0000-0000FD410000}"/>
    <cellStyle name="20% - Accent6 2 17 2 3" xfId="14457" xr:uid="{00000000-0005-0000-0000-0000FE410000}"/>
    <cellStyle name="20% - Accent6 2 17 2 4" xfId="19933" xr:uid="{00000000-0005-0000-0000-0000FF410000}"/>
    <cellStyle name="20% - Accent6 2 17 2 5" xfId="25409" xr:uid="{00000000-0005-0000-0000-000000420000}"/>
    <cellStyle name="20% - Accent6 2 17 2 6" xfId="37205" xr:uid="{00000000-0005-0000-0000-000001420000}"/>
    <cellStyle name="20% - Accent6 2 17 2 7" xfId="42682" xr:uid="{00000000-0005-0000-0000-000002420000}"/>
    <cellStyle name="20% - Accent6 2 17 2 8" xfId="48159" xr:uid="{00000000-0005-0000-0000-000003420000}"/>
    <cellStyle name="20% - Accent6 2 17 2 9" xfId="53677" xr:uid="{00000000-0005-0000-0000-000004420000}"/>
    <cellStyle name="20% - Accent6 2 17 3" xfId="5273" xr:uid="{00000000-0005-0000-0000-000005420000}"/>
    <cellStyle name="20% - Accent6 2 17 3 2" xfId="10753" xr:uid="{00000000-0005-0000-0000-000006420000}"/>
    <cellStyle name="20% - Accent6 2 17 3 3" xfId="16229" xr:uid="{00000000-0005-0000-0000-000007420000}"/>
    <cellStyle name="20% - Accent6 2 17 3 4" xfId="21705" xr:uid="{00000000-0005-0000-0000-000008420000}"/>
    <cellStyle name="20% - Accent6 2 17 3 5" xfId="27181" xr:uid="{00000000-0005-0000-0000-000009420000}"/>
    <cellStyle name="20% - Accent6 2 17 3 6" xfId="38977" xr:uid="{00000000-0005-0000-0000-00000A420000}"/>
    <cellStyle name="20% - Accent6 2 17 3 7" xfId="44454" xr:uid="{00000000-0005-0000-0000-00000B420000}"/>
    <cellStyle name="20% - Accent6 2 17 3 8" xfId="49931" xr:uid="{00000000-0005-0000-0000-00000C420000}"/>
    <cellStyle name="20% - Accent6 2 17 3 9" xfId="55449" xr:uid="{00000000-0005-0000-0000-00000D420000}"/>
    <cellStyle name="20% - Accent6 2 17 4" xfId="6130" xr:uid="{00000000-0005-0000-0000-00000E420000}"/>
    <cellStyle name="20% - Accent6 2 17 5" xfId="11610" xr:uid="{00000000-0005-0000-0000-00000F420000}"/>
    <cellStyle name="20% - Accent6 2 17 6" xfId="17086" xr:uid="{00000000-0005-0000-0000-000010420000}"/>
    <cellStyle name="20% - Accent6 2 17 7" xfId="22562" xr:uid="{00000000-0005-0000-0000-000011420000}"/>
    <cellStyle name="20% - Accent6 2 17 8" xfId="34357" xr:uid="{00000000-0005-0000-0000-000012420000}"/>
    <cellStyle name="20% - Accent6 2 17 9" xfId="39834" xr:uid="{00000000-0005-0000-0000-000013420000}"/>
    <cellStyle name="20% - Accent6 2 18" xfId="1957" xr:uid="{00000000-0005-0000-0000-000014420000}"/>
    <cellStyle name="20% - Accent6 2 18 10" xfId="52134" xr:uid="{00000000-0005-0000-0000-000015420000}"/>
    <cellStyle name="20% - Accent6 2 18 2" xfId="5489" xr:uid="{00000000-0005-0000-0000-000016420000}"/>
    <cellStyle name="20% - Accent6 2 18 2 2" xfId="10969" xr:uid="{00000000-0005-0000-0000-000017420000}"/>
    <cellStyle name="20% - Accent6 2 18 2 3" xfId="16445" xr:uid="{00000000-0005-0000-0000-000018420000}"/>
    <cellStyle name="20% - Accent6 2 18 2 4" xfId="21921" xr:uid="{00000000-0005-0000-0000-000019420000}"/>
    <cellStyle name="20% - Accent6 2 18 2 5" xfId="27397" xr:uid="{00000000-0005-0000-0000-00001A420000}"/>
    <cellStyle name="20% - Accent6 2 18 2 6" xfId="39193" xr:uid="{00000000-0005-0000-0000-00001B420000}"/>
    <cellStyle name="20% - Accent6 2 18 2 7" xfId="44670" xr:uid="{00000000-0005-0000-0000-00001C420000}"/>
    <cellStyle name="20% - Accent6 2 18 2 8" xfId="50147" xr:uid="{00000000-0005-0000-0000-00001D420000}"/>
    <cellStyle name="20% - Accent6 2 18 2 9" xfId="55665" xr:uid="{00000000-0005-0000-0000-00001E420000}"/>
    <cellStyle name="20% - Accent6 2 18 3" xfId="7438" xr:uid="{00000000-0005-0000-0000-00001F420000}"/>
    <cellStyle name="20% - Accent6 2 18 4" xfId="12914" xr:uid="{00000000-0005-0000-0000-000020420000}"/>
    <cellStyle name="20% - Accent6 2 18 5" xfId="18390" xr:uid="{00000000-0005-0000-0000-000021420000}"/>
    <cellStyle name="20% - Accent6 2 18 6" xfId="23866" xr:uid="{00000000-0005-0000-0000-000022420000}"/>
    <cellStyle name="20% - Accent6 2 18 7" xfId="35662" xr:uid="{00000000-0005-0000-0000-000023420000}"/>
    <cellStyle name="20% - Accent6 2 18 8" xfId="41139" xr:uid="{00000000-0005-0000-0000-000024420000}"/>
    <cellStyle name="20% - Accent6 2 18 9" xfId="46616" xr:uid="{00000000-0005-0000-0000-000025420000}"/>
    <cellStyle name="20% - Accent6 2 19" xfId="3690" xr:uid="{00000000-0005-0000-0000-000026420000}"/>
    <cellStyle name="20% - Accent6 2 19 2" xfId="9170" xr:uid="{00000000-0005-0000-0000-000027420000}"/>
    <cellStyle name="20% - Accent6 2 19 3" xfId="14646" xr:uid="{00000000-0005-0000-0000-000028420000}"/>
    <cellStyle name="20% - Accent6 2 19 4" xfId="20122" xr:uid="{00000000-0005-0000-0000-000029420000}"/>
    <cellStyle name="20% - Accent6 2 19 5" xfId="25598" xr:uid="{00000000-0005-0000-0000-00002A420000}"/>
    <cellStyle name="20% - Accent6 2 19 6" xfId="37394" xr:uid="{00000000-0005-0000-0000-00002B420000}"/>
    <cellStyle name="20% - Accent6 2 19 7" xfId="42871" xr:uid="{00000000-0005-0000-0000-00002C420000}"/>
    <cellStyle name="20% - Accent6 2 19 8" xfId="48348" xr:uid="{00000000-0005-0000-0000-00002D420000}"/>
    <cellStyle name="20% - Accent6 2 19 9" xfId="53866" xr:uid="{00000000-0005-0000-0000-00002E420000}"/>
    <cellStyle name="20% - Accent6 2 2" xfId="135" xr:uid="{00000000-0005-0000-0000-00002F420000}"/>
    <cellStyle name="20% - Accent6 2 2 10" xfId="1596" xr:uid="{00000000-0005-0000-0000-000030420000}"/>
    <cellStyle name="20% - Accent6 2 2 10 10" xfId="45313" xr:uid="{00000000-0005-0000-0000-000031420000}"/>
    <cellStyle name="20% - Accent6 2 2 10 11" xfId="50791" xr:uid="{00000000-0005-0000-0000-000032420000}"/>
    <cellStyle name="20% - Accent6 2 2 10 2" xfId="3357" xr:uid="{00000000-0005-0000-0000-000033420000}"/>
    <cellStyle name="20% - Accent6 2 2 10 2 2" xfId="8837" xr:uid="{00000000-0005-0000-0000-000034420000}"/>
    <cellStyle name="20% - Accent6 2 2 10 2 3" xfId="14313" xr:uid="{00000000-0005-0000-0000-000035420000}"/>
    <cellStyle name="20% - Accent6 2 2 10 2 4" xfId="19789" xr:uid="{00000000-0005-0000-0000-000036420000}"/>
    <cellStyle name="20% - Accent6 2 2 10 2 5" xfId="25265" xr:uid="{00000000-0005-0000-0000-000037420000}"/>
    <cellStyle name="20% - Accent6 2 2 10 2 6" xfId="37061" xr:uid="{00000000-0005-0000-0000-000038420000}"/>
    <cellStyle name="20% - Accent6 2 2 10 2 7" xfId="42538" xr:uid="{00000000-0005-0000-0000-000039420000}"/>
    <cellStyle name="20% - Accent6 2 2 10 2 8" xfId="48015" xr:uid="{00000000-0005-0000-0000-00003A420000}"/>
    <cellStyle name="20% - Accent6 2 2 10 2 9" xfId="53533" xr:uid="{00000000-0005-0000-0000-00003B420000}"/>
    <cellStyle name="20% - Accent6 2 2 10 3" xfId="5129" xr:uid="{00000000-0005-0000-0000-00003C420000}"/>
    <cellStyle name="20% - Accent6 2 2 10 3 2" xfId="10609" xr:uid="{00000000-0005-0000-0000-00003D420000}"/>
    <cellStyle name="20% - Accent6 2 2 10 3 3" xfId="16085" xr:uid="{00000000-0005-0000-0000-00003E420000}"/>
    <cellStyle name="20% - Accent6 2 2 10 3 4" xfId="21561" xr:uid="{00000000-0005-0000-0000-00003F420000}"/>
    <cellStyle name="20% - Accent6 2 2 10 3 5" xfId="27037" xr:uid="{00000000-0005-0000-0000-000040420000}"/>
    <cellStyle name="20% - Accent6 2 2 10 3 6" xfId="38833" xr:uid="{00000000-0005-0000-0000-000041420000}"/>
    <cellStyle name="20% - Accent6 2 2 10 3 7" xfId="44310" xr:uid="{00000000-0005-0000-0000-000042420000}"/>
    <cellStyle name="20% - Accent6 2 2 10 3 8" xfId="49787" xr:uid="{00000000-0005-0000-0000-000043420000}"/>
    <cellStyle name="20% - Accent6 2 2 10 3 9" xfId="55305" xr:uid="{00000000-0005-0000-0000-000044420000}"/>
    <cellStyle name="20% - Accent6 2 2 10 4" xfId="6132" xr:uid="{00000000-0005-0000-0000-000045420000}"/>
    <cellStyle name="20% - Accent6 2 2 10 5" xfId="11612" xr:uid="{00000000-0005-0000-0000-000046420000}"/>
    <cellStyle name="20% - Accent6 2 2 10 6" xfId="17088" xr:uid="{00000000-0005-0000-0000-000047420000}"/>
    <cellStyle name="20% - Accent6 2 2 10 7" xfId="22564" xr:uid="{00000000-0005-0000-0000-000048420000}"/>
    <cellStyle name="20% - Accent6 2 2 10 8" xfId="34359" xr:uid="{00000000-0005-0000-0000-000049420000}"/>
    <cellStyle name="20% - Accent6 2 2 10 9" xfId="39836" xr:uid="{00000000-0005-0000-0000-00004A420000}"/>
    <cellStyle name="20% - Accent6 2 2 11" xfId="1761" xr:uid="{00000000-0005-0000-0000-00004B420000}"/>
    <cellStyle name="20% - Accent6 2 2 11 10" xfId="45314" xr:uid="{00000000-0005-0000-0000-00004C420000}"/>
    <cellStyle name="20% - Accent6 2 2 11 11" xfId="50792" xr:uid="{00000000-0005-0000-0000-00004D420000}"/>
    <cellStyle name="20% - Accent6 2 2 11 2" xfId="3522" xr:uid="{00000000-0005-0000-0000-00004E420000}"/>
    <cellStyle name="20% - Accent6 2 2 11 2 2" xfId="9002" xr:uid="{00000000-0005-0000-0000-00004F420000}"/>
    <cellStyle name="20% - Accent6 2 2 11 2 3" xfId="14478" xr:uid="{00000000-0005-0000-0000-000050420000}"/>
    <cellStyle name="20% - Accent6 2 2 11 2 4" xfId="19954" xr:uid="{00000000-0005-0000-0000-000051420000}"/>
    <cellStyle name="20% - Accent6 2 2 11 2 5" xfId="25430" xr:uid="{00000000-0005-0000-0000-000052420000}"/>
    <cellStyle name="20% - Accent6 2 2 11 2 6" xfId="37226" xr:uid="{00000000-0005-0000-0000-000053420000}"/>
    <cellStyle name="20% - Accent6 2 2 11 2 7" xfId="42703" xr:uid="{00000000-0005-0000-0000-000054420000}"/>
    <cellStyle name="20% - Accent6 2 2 11 2 8" xfId="48180" xr:uid="{00000000-0005-0000-0000-000055420000}"/>
    <cellStyle name="20% - Accent6 2 2 11 2 9" xfId="53698" xr:uid="{00000000-0005-0000-0000-000056420000}"/>
    <cellStyle name="20% - Accent6 2 2 11 3" xfId="5294" xr:uid="{00000000-0005-0000-0000-000057420000}"/>
    <cellStyle name="20% - Accent6 2 2 11 3 2" xfId="10774" xr:uid="{00000000-0005-0000-0000-000058420000}"/>
    <cellStyle name="20% - Accent6 2 2 11 3 3" xfId="16250" xr:uid="{00000000-0005-0000-0000-000059420000}"/>
    <cellStyle name="20% - Accent6 2 2 11 3 4" xfId="21726" xr:uid="{00000000-0005-0000-0000-00005A420000}"/>
    <cellStyle name="20% - Accent6 2 2 11 3 5" xfId="27202" xr:uid="{00000000-0005-0000-0000-00005B420000}"/>
    <cellStyle name="20% - Accent6 2 2 11 3 6" xfId="38998" xr:uid="{00000000-0005-0000-0000-00005C420000}"/>
    <cellStyle name="20% - Accent6 2 2 11 3 7" xfId="44475" xr:uid="{00000000-0005-0000-0000-00005D420000}"/>
    <cellStyle name="20% - Accent6 2 2 11 3 8" xfId="49952" xr:uid="{00000000-0005-0000-0000-00005E420000}"/>
    <cellStyle name="20% - Accent6 2 2 11 3 9" xfId="55470" xr:uid="{00000000-0005-0000-0000-00005F420000}"/>
    <cellStyle name="20% - Accent6 2 2 11 4" xfId="6133" xr:uid="{00000000-0005-0000-0000-000060420000}"/>
    <cellStyle name="20% - Accent6 2 2 11 5" xfId="11613" xr:uid="{00000000-0005-0000-0000-000061420000}"/>
    <cellStyle name="20% - Accent6 2 2 11 6" xfId="17089" xr:uid="{00000000-0005-0000-0000-000062420000}"/>
    <cellStyle name="20% - Accent6 2 2 11 7" xfId="22565" xr:uid="{00000000-0005-0000-0000-000063420000}"/>
    <cellStyle name="20% - Accent6 2 2 11 8" xfId="34360" xr:uid="{00000000-0005-0000-0000-000064420000}"/>
    <cellStyle name="20% - Accent6 2 2 11 9" xfId="39837" xr:uid="{00000000-0005-0000-0000-000065420000}"/>
    <cellStyle name="20% - Accent6 2 2 12" xfId="1958" xr:uid="{00000000-0005-0000-0000-000066420000}"/>
    <cellStyle name="20% - Accent6 2 2 12 10" xfId="52135" xr:uid="{00000000-0005-0000-0000-000067420000}"/>
    <cellStyle name="20% - Accent6 2 2 12 2" xfId="5490" xr:uid="{00000000-0005-0000-0000-000068420000}"/>
    <cellStyle name="20% - Accent6 2 2 12 2 2" xfId="10970" xr:uid="{00000000-0005-0000-0000-000069420000}"/>
    <cellStyle name="20% - Accent6 2 2 12 2 3" xfId="16446" xr:uid="{00000000-0005-0000-0000-00006A420000}"/>
    <cellStyle name="20% - Accent6 2 2 12 2 4" xfId="21922" xr:uid="{00000000-0005-0000-0000-00006B420000}"/>
    <cellStyle name="20% - Accent6 2 2 12 2 5" xfId="27398" xr:uid="{00000000-0005-0000-0000-00006C420000}"/>
    <cellStyle name="20% - Accent6 2 2 12 2 6" xfId="39194" xr:uid="{00000000-0005-0000-0000-00006D420000}"/>
    <cellStyle name="20% - Accent6 2 2 12 2 7" xfId="44671" xr:uid="{00000000-0005-0000-0000-00006E420000}"/>
    <cellStyle name="20% - Accent6 2 2 12 2 8" xfId="50148" xr:uid="{00000000-0005-0000-0000-00006F420000}"/>
    <cellStyle name="20% - Accent6 2 2 12 2 9" xfId="55666" xr:uid="{00000000-0005-0000-0000-000070420000}"/>
    <cellStyle name="20% - Accent6 2 2 12 3" xfId="7439" xr:uid="{00000000-0005-0000-0000-000071420000}"/>
    <cellStyle name="20% - Accent6 2 2 12 4" xfId="12915" xr:uid="{00000000-0005-0000-0000-000072420000}"/>
    <cellStyle name="20% - Accent6 2 2 12 5" xfId="18391" xr:uid="{00000000-0005-0000-0000-000073420000}"/>
    <cellStyle name="20% - Accent6 2 2 12 6" xfId="23867" xr:uid="{00000000-0005-0000-0000-000074420000}"/>
    <cellStyle name="20% - Accent6 2 2 12 7" xfId="35663" xr:uid="{00000000-0005-0000-0000-000075420000}"/>
    <cellStyle name="20% - Accent6 2 2 12 8" xfId="41140" xr:uid="{00000000-0005-0000-0000-000076420000}"/>
    <cellStyle name="20% - Accent6 2 2 12 9" xfId="46617" xr:uid="{00000000-0005-0000-0000-000077420000}"/>
    <cellStyle name="20% - Accent6 2 2 13" xfId="3707" xr:uid="{00000000-0005-0000-0000-000078420000}"/>
    <cellStyle name="20% - Accent6 2 2 13 2" xfId="9187" xr:uid="{00000000-0005-0000-0000-000079420000}"/>
    <cellStyle name="20% - Accent6 2 2 13 3" xfId="14663" xr:uid="{00000000-0005-0000-0000-00007A420000}"/>
    <cellStyle name="20% - Accent6 2 2 13 4" xfId="20139" xr:uid="{00000000-0005-0000-0000-00007B420000}"/>
    <cellStyle name="20% - Accent6 2 2 13 5" xfId="25615" xr:uid="{00000000-0005-0000-0000-00007C420000}"/>
    <cellStyle name="20% - Accent6 2 2 13 6" xfId="37411" xr:uid="{00000000-0005-0000-0000-00007D420000}"/>
    <cellStyle name="20% - Accent6 2 2 13 7" xfId="42888" xr:uid="{00000000-0005-0000-0000-00007E420000}"/>
    <cellStyle name="20% - Accent6 2 2 13 8" xfId="48365" xr:uid="{00000000-0005-0000-0000-00007F420000}"/>
    <cellStyle name="20% - Accent6 2 2 13 9" xfId="53883" xr:uid="{00000000-0005-0000-0000-000080420000}"/>
    <cellStyle name="20% - Accent6 2 2 14" xfId="6131" xr:uid="{00000000-0005-0000-0000-000081420000}"/>
    <cellStyle name="20% - Accent6 2 2 15" xfId="11611" xr:uid="{00000000-0005-0000-0000-000082420000}"/>
    <cellStyle name="20% - Accent6 2 2 16" xfId="17087" xr:uid="{00000000-0005-0000-0000-000083420000}"/>
    <cellStyle name="20% - Accent6 2 2 17" xfId="22563" xr:uid="{00000000-0005-0000-0000-000084420000}"/>
    <cellStyle name="20% - Accent6 2 2 18" xfId="29949" xr:uid="{00000000-0005-0000-0000-000085420000}"/>
    <cellStyle name="20% - Accent6 2 2 19" xfId="34358" xr:uid="{00000000-0005-0000-0000-000086420000}"/>
    <cellStyle name="20% - Accent6 2 2 2" xfId="227" xr:uid="{00000000-0005-0000-0000-000087420000}"/>
    <cellStyle name="20% - Accent6 2 2 2 10" xfId="1760" xr:uid="{00000000-0005-0000-0000-000088420000}"/>
    <cellStyle name="20% - Accent6 2 2 2 10 10" xfId="45316" xr:uid="{00000000-0005-0000-0000-000089420000}"/>
    <cellStyle name="20% - Accent6 2 2 2 10 11" xfId="50794" xr:uid="{00000000-0005-0000-0000-00008A420000}"/>
    <cellStyle name="20% - Accent6 2 2 2 10 2" xfId="3521" xr:uid="{00000000-0005-0000-0000-00008B420000}"/>
    <cellStyle name="20% - Accent6 2 2 2 10 2 2" xfId="9001" xr:uid="{00000000-0005-0000-0000-00008C420000}"/>
    <cellStyle name="20% - Accent6 2 2 2 10 2 3" xfId="14477" xr:uid="{00000000-0005-0000-0000-00008D420000}"/>
    <cellStyle name="20% - Accent6 2 2 2 10 2 4" xfId="19953" xr:uid="{00000000-0005-0000-0000-00008E420000}"/>
    <cellStyle name="20% - Accent6 2 2 2 10 2 5" xfId="25429" xr:uid="{00000000-0005-0000-0000-00008F420000}"/>
    <cellStyle name="20% - Accent6 2 2 2 10 2 6" xfId="37225" xr:uid="{00000000-0005-0000-0000-000090420000}"/>
    <cellStyle name="20% - Accent6 2 2 2 10 2 7" xfId="42702" xr:uid="{00000000-0005-0000-0000-000091420000}"/>
    <cellStyle name="20% - Accent6 2 2 2 10 2 8" xfId="48179" xr:uid="{00000000-0005-0000-0000-000092420000}"/>
    <cellStyle name="20% - Accent6 2 2 2 10 2 9" xfId="53697" xr:uid="{00000000-0005-0000-0000-000093420000}"/>
    <cellStyle name="20% - Accent6 2 2 2 10 3" xfId="5293" xr:uid="{00000000-0005-0000-0000-000094420000}"/>
    <cellStyle name="20% - Accent6 2 2 2 10 3 2" xfId="10773" xr:uid="{00000000-0005-0000-0000-000095420000}"/>
    <cellStyle name="20% - Accent6 2 2 2 10 3 3" xfId="16249" xr:uid="{00000000-0005-0000-0000-000096420000}"/>
    <cellStyle name="20% - Accent6 2 2 2 10 3 4" xfId="21725" xr:uid="{00000000-0005-0000-0000-000097420000}"/>
    <cellStyle name="20% - Accent6 2 2 2 10 3 5" xfId="27201" xr:uid="{00000000-0005-0000-0000-000098420000}"/>
    <cellStyle name="20% - Accent6 2 2 2 10 3 6" xfId="38997" xr:uid="{00000000-0005-0000-0000-000099420000}"/>
    <cellStyle name="20% - Accent6 2 2 2 10 3 7" xfId="44474" xr:uid="{00000000-0005-0000-0000-00009A420000}"/>
    <cellStyle name="20% - Accent6 2 2 2 10 3 8" xfId="49951" xr:uid="{00000000-0005-0000-0000-00009B420000}"/>
    <cellStyle name="20% - Accent6 2 2 2 10 3 9" xfId="55469" xr:uid="{00000000-0005-0000-0000-00009C420000}"/>
    <cellStyle name="20% - Accent6 2 2 2 10 4" xfId="6135" xr:uid="{00000000-0005-0000-0000-00009D420000}"/>
    <cellStyle name="20% - Accent6 2 2 2 10 5" xfId="11615" xr:uid="{00000000-0005-0000-0000-00009E420000}"/>
    <cellStyle name="20% - Accent6 2 2 2 10 6" xfId="17091" xr:uid="{00000000-0005-0000-0000-00009F420000}"/>
    <cellStyle name="20% - Accent6 2 2 2 10 7" xfId="22567" xr:uid="{00000000-0005-0000-0000-0000A0420000}"/>
    <cellStyle name="20% - Accent6 2 2 2 10 8" xfId="34362" xr:uid="{00000000-0005-0000-0000-0000A1420000}"/>
    <cellStyle name="20% - Accent6 2 2 2 10 9" xfId="39839" xr:uid="{00000000-0005-0000-0000-0000A2420000}"/>
    <cellStyle name="20% - Accent6 2 2 2 11" xfId="1959" xr:uid="{00000000-0005-0000-0000-0000A3420000}"/>
    <cellStyle name="20% - Accent6 2 2 2 11 10" xfId="52136" xr:uid="{00000000-0005-0000-0000-0000A4420000}"/>
    <cellStyle name="20% - Accent6 2 2 2 11 2" xfId="5491" xr:uid="{00000000-0005-0000-0000-0000A5420000}"/>
    <cellStyle name="20% - Accent6 2 2 2 11 2 2" xfId="10971" xr:uid="{00000000-0005-0000-0000-0000A6420000}"/>
    <cellStyle name="20% - Accent6 2 2 2 11 2 3" xfId="16447" xr:uid="{00000000-0005-0000-0000-0000A7420000}"/>
    <cellStyle name="20% - Accent6 2 2 2 11 2 4" xfId="21923" xr:uid="{00000000-0005-0000-0000-0000A8420000}"/>
    <cellStyle name="20% - Accent6 2 2 2 11 2 5" xfId="27399" xr:uid="{00000000-0005-0000-0000-0000A9420000}"/>
    <cellStyle name="20% - Accent6 2 2 2 11 2 6" xfId="39195" xr:uid="{00000000-0005-0000-0000-0000AA420000}"/>
    <cellStyle name="20% - Accent6 2 2 2 11 2 7" xfId="44672" xr:uid="{00000000-0005-0000-0000-0000AB420000}"/>
    <cellStyle name="20% - Accent6 2 2 2 11 2 8" xfId="50149" xr:uid="{00000000-0005-0000-0000-0000AC420000}"/>
    <cellStyle name="20% - Accent6 2 2 2 11 2 9" xfId="55667" xr:uid="{00000000-0005-0000-0000-0000AD420000}"/>
    <cellStyle name="20% - Accent6 2 2 2 11 3" xfId="7440" xr:uid="{00000000-0005-0000-0000-0000AE420000}"/>
    <cellStyle name="20% - Accent6 2 2 2 11 4" xfId="12916" xr:uid="{00000000-0005-0000-0000-0000AF420000}"/>
    <cellStyle name="20% - Accent6 2 2 2 11 5" xfId="18392" xr:uid="{00000000-0005-0000-0000-0000B0420000}"/>
    <cellStyle name="20% - Accent6 2 2 2 11 6" xfId="23868" xr:uid="{00000000-0005-0000-0000-0000B1420000}"/>
    <cellStyle name="20% - Accent6 2 2 2 11 7" xfId="35664" xr:uid="{00000000-0005-0000-0000-0000B2420000}"/>
    <cellStyle name="20% - Accent6 2 2 2 11 8" xfId="41141" xr:uid="{00000000-0005-0000-0000-0000B3420000}"/>
    <cellStyle name="20% - Accent6 2 2 2 11 9" xfId="46618" xr:uid="{00000000-0005-0000-0000-0000B4420000}"/>
    <cellStyle name="20% - Accent6 2 2 2 12" xfId="3793" xr:uid="{00000000-0005-0000-0000-0000B5420000}"/>
    <cellStyle name="20% - Accent6 2 2 2 12 2" xfId="9273" xr:uid="{00000000-0005-0000-0000-0000B6420000}"/>
    <cellStyle name="20% - Accent6 2 2 2 12 3" xfId="14749" xr:uid="{00000000-0005-0000-0000-0000B7420000}"/>
    <cellStyle name="20% - Accent6 2 2 2 12 4" xfId="20225" xr:uid="{00000000-0005-0000-0000-0000B8420000}"/>
    <cellStyle name="20% - Accent6 2 2 2 12 5" xfId="25701" xr:uid="{00000000-0005-0000-0000-0000B9420000}"/>
    <cellStyle name="20% - Accent6 2 2 2 12 6" xfId="37497" xr:uid="{00000000-0005-0000-0000-0000BA420000}"/>
    <cellStyle name="20% - Accent6 2 2 2 12 7" xfId="42974" xr:uid="{00000000-0005-0000-0000-0000BB420000}"/>
    <cellStyle name="20% - Accent6 2 2 2 12 8" xfId="48451" xr:uid="{00000000-0005-0000-0000-0000BC420000}"/>
    <cellStyle name="20% - Accent6 2 2 2 12 9" xfId="53969" xr:uid="{00000000-0005-0000-0000-0000BD420000}"/>
    <cellStyle name="20% - Accent6 2 2 2 13" xfId="6134" xr:uid="{00000000-0005-0000-0000-0000BE420000}"/>
    <cellStyle name="20% - Accent6 2 2 2 14" xfId="11614" xr:uid="{00000000-0005-0000-0000-0000BF420000}"/>
    <cellStyle name="20% - Accent6 2 2 2 15" xfId="17090" xr:uid="{00000000-0005-0000-0000-0000C0420000}"/>
    <cellStyle name="20% - Accent6 2 2 2 16" xfId="22566" xr:uid="{00000000-0005-0000-0000-0000C1420000}"/>
    <cellStyle name="20% - Accent6 2 2 2 17" xfId="29950" xr:uid="{00000000-0005-0000-0000-0000C2420000}"/>
    <cellStyle name="20% - Accent6 2 2 2 18" xfId="34361" xr:uid="{00000000-0005-0000-0000-0000C3420000}"/>
    <cellStyle name="20% - Accent6 2 2 2 19" xfId="39838" xr:uid="{00000000-0005-0000-0000-0000C4420000}"/>
    <cellStyle name="20% - Accent6 2 2 2 2" xfId="330" xr:uid="{00000000-0005-0000-0000-0000C5420000}"/>
    <cellStyle name="20% - Accent6 2 2 2 2 10" xfId="39840" xr:uid="{00000000-0005-0000-0000-0000C6420000}"/>
    <cellStyle name="20% - Accent6 2 2 2 2 11" xfId="45317" xr:uid="{00000000-0005-0000-0000-0000C7420000}"/>
    <cellStyle name="20% - Accent6 2 2 2 2 12" xfId="50795" xr:uid="{00000000-0005-0000-0000-0000C8420000}"/>
    <cellStyle name="20% - Accent6 2 2 2 2 2" xfId="2127" xr:uid="{00000000-0005-0000-0000-0000C9420000}"/>
    <cellStyle name="20% - Accent6 2 2 2 2 2 2" xfId="7607" xr:uid="{00000000-0005-0000-0000-0000CA420000}"/>
    <cellStyle name="20% - Accent6 2 2 2 2 2 3" xfId="13083" xr:uid="{00000000-0005-0000-0000-0000CB420000}"/>
    <cellStyle name="20% - Accent6 2 2 2 2 2 4" xfId="18559" xr:uid="{00000000-0005-0000-0000-0000CC420000}"/>
    <cellStyle name="20% - Accent6 2 2 2 2 2 5" xfId="24035" xr:uid="{00000000-0005-0000-0000-0000CD420000}"/>
    <cellStyle name="20% - Accent6 2 2 2 2 2 6" xfId="35831" xr:uid="{00000000-0005-0000-0000-0000CE420000}"/>
    <cellStyle name="20% - Accent6 2 2 2 2 2 7" xfId="41308" xr:uid="{00000000-0005-0000-0000-0000CF420000}"/>
    <cellStyle name="20% - Accent6 2 2 2 2 2 8" xfId="46785" xr:uid="{00000000-0005-0000-0000-0000D0420000}"/>
    <cellStyle name="20% - Accent6 2 2 2 2 2 9" xfId="52303" xr:uid="{00000000-0005-0000-0000-0000D1420000}"/>
    <cellStyle name="20% - Accent6 2 2 2 2 3" xfId="3892" xr:uid="{00000000-0005-0000-0000-0000D2420000}"/>
    <cellStyle name="20% - Accent6 2 2 2 2 3 2" xfId="9372" xr:uid="{00000000-0005-0000-0000-0000D3420000}"/>
    <cellStyle name="20% - Accent6 2 2 2 2 3 3" xfId="14848" xr:uid="{00000000-0005-0000-0000-0000D4420000}"/>
    <cellStyle name="20% - Accent6 2 2 2 2 3 4" xfId="20324" xr:uid="{00000000-0005-0000-0000-0000D5420000}"/>
    <cellStyle name="20% - Accent6 2 2 2 2 3 5" xfId="25800" xr:uid="{00000000-0005-0000-0000-0000D6420000}"/>
    <cellStyle name="20% - Accent6 2 2 2 2 3 6" xfId="37596" xr:uid="{00000000-0005-0000-0000-0000D7420000}"/>
    <cellStyle name="20% - Accent6 2 2 2 2 3 7" xfId="43073" xr:uid="{00000000-0005-0000-0000-0000D8420000}"/>
    <cellStyle name="20% - Accent6 2 2 2 2 3 8" xfId="48550" xr:uid="{00000000-0005-0000-0000-0000D9420000}"/>
    <cellStyle name="20% - Accent6 2 2 2 2 3 9" xfId="54068" xr:uid="{00000000-0005-0000-0000-0000DA420000}"/>
    <cellStyle name="20% - Accent6 2 2 2 2 4" xfId="6136" xr:uid="{00000000-0005-0000-0000-0000DB420000}"/>
    <cellStyle name="20% - Accent6 2 2 2 2 5" xfId="11616" xr:uid="{00000000-0005-0000-0000-0000DC420000}"/>
    <cellStyle name="20% - Accent6 2 2 2 2 6" xfId="17092" xr:uid="{00000000-0005-0000-0000-0000DD420000}"/>
    <cellStyle name="20% - Accent6 2 2 2 2 7" xfId="22568" xr:uid="{00000000-0005-0000-0000-0000DE420000}"/>
    <cellStyle name="20% - Accent6 2 2 2 2 8" xfId="29951" xr:uid="{00000000-0005-0000-0000-0000DF420000}"/>
    <cellStyle name="20% - Accent6 2 2 2 2 9" xfId="34363" xr:uid="{00000000-0005-0000-0000-0000E0420000}"/>
    <cellStyle name="20% - Accent6 2 2 2 20" xfId="45315" xr:uid="{00000000-0005-0000-0000-0000E1420000}"/>
    <cellStyle name="20% - Accent6 2 2 2 21" xfId="50793" xr:uid="{00000000-0005-0000-0000-0000E2420000}"/>
    <cellStyle name="20% - Accent6 2 2 2 3" xfId="531" xr:uid="{00000000-0005-0000-0000-0000E3420000}"/>
    <cellStyle name="20% - Accent6 2 2 2 3 10" xfId="45318" xr:uid="{00000000-0005-0000-0000-0000E4420000}"/>
    <cellStyle name="20% - Accent6 2 2 2 3 11" xfId="50796" xr:uid="{00000000-0005-0000-0000-0000E5420000}"/>
    <cellStyle name="20% - Accent6 2 2 2 3 2" xfId="2292" xr:uid="{00000000-0005-0000-0000-0000E6420000}"/>
    <cellStyle name="20% - Accent6 2 2 2 3 2 2" xfId="7772" xr:uid="{00000000-0005-0000-0000-0000E7420000}"/>
    <cellStyle name="20% - Accent6 2 2 2 3 2 3" xfId="13248" xr:uid="{00000000-0005-0000-0000-0000E8420000}"/>
    <cellStyle name="20% - Accent6 2 2 2 3 2 4" xfId="18724" xr:uid="{00000000-0005-0000-0000-0000E9420000}"/>
    <cellStyle name="20% - Accent6 2 2 2 3 2 5" xfId="24200" xr:uid="{00000000-0005-0000-0000-0000EA420000}"/>
    <cellStyle name="20% - Accent6 2 2 2 3 2 6" xfId="35996" xr:uid="{00000000-0005-0000-0000-0000EB420000}"/>
    <cellStyle name="20% - Accent6 2 2 2 3 2 7" xfId="41473" xr:uid="{00000000-0005-0000-0000-0000EC420000}"/>
    <cellStyle name="20% - Accent6 2 2 2 3 2 8" xfId="46950" xr:uid="{00000000-0005-0000-0000-0000ED420000}"/>
    <cellStyle name="20% - Accent6 2 2 2 3 2 9" xfId="52468" xr:uid="{00000000-0005-0000-0000-0000EE420000}"/>
    <cellStyle name="20% - Accent6 2 2 2 3 3" xfId="4064" xr:uid="{00000000-0005-0000-0000-0000EF420000}"/>
    <cellStyle name="20% - Accent6 2 2 2 3 3 2" xfId="9544" xr:uid="{00000000-0005-0000-0000-0000F0420000}"/>
    <cellStyle name="20% - Accent6 2 2 2 3 3 3" xfId="15020" xr:uid="{00000000-0005-0000-0000-0000F1420000}"/>
    <cellStyle name="20% - Accent6 2 2 2 3 3 4" xfId="20496" xr:uid="{00000000-0005-0000-0000-0000F2420000}"/>
    <cellStyle name="20% - Accent6 2 2 2 3 3 5" xfId="25972" xr:uid="{00000000-0005-0000-0000-0000F3420000}"/>
    <cellStyle name="20% - Accent6 2 2 2 3 3 6" xfId="37768" xr:uid="{00000000-0005-0000-0000-0000F4420000}"/>
    <cellStyle name="20% - Accent6 2 2 2 3 3 7" xfId="43245" xr:uid="{00000000-0005-0000-0000-0000F5420000}"/>
    <cellStyle name="20% - Accent6 2 2 2 3 3 8" xfId="48722" xr:uid="{00000000-0005-0000-0000-0000F6420000}"/>
    <cellStyle name="20% - Accent6 2 2 2 3 3 9" xfId="54240" xr:uid="{00000000-0005-0000-0000-0000F7420000}"/>
    <cellStyle name="20% - Accent6 2 2 2 3 4" xfId="6137" xr:uid="{00000000-0005-0000-0000-0000F8420000}"/>
    <cellStyle name="20% - Accent6 2 2 2 3 5" xfId="11617" xr:uid="{00000000-0005-0000-0000-0000F9420000}"/>
    <cellStyle name="20% - Accent6 2 2 2 3 6" xfId="17093" xr:uid="{00000000-0005-0000-0000-0000FA420000}"/>
    <cellStyle name="20% - Accent6 2 2 2 3 7" xfId="22569" xr:uid="{00000000-0005-0000-0000-0000FB420000}"/>
    <cellStyle name="20% - Accent6 2 2 2 3 8" xfId="34364" xr:uid="{00000000-0005-0000-0000-0000FC420000}"/>
    <cellStyle name="20% - Accent6 2 2 2 3 9" xfId="39841" xr:uid="{00000000-0005-0000-0000-0000FD420000}"/>
    <cellStyle name="20% - Accent6 2 2 2 4" xfId="703" xr:uid="{00000000-0005-0000-0000-0000FE420000}"/>
    <cellStyle name="20% - Accent6 2 2 2 4 10" xfId="45319" xr:uid="{00000000-0005-0000-0000-0000FF420000}"/>
    <cellStyle name="20% - Accent6 2 2 2 4 11" xfId="50797" xr:uid="{00000000-0005-0000-0000-000000430000}"/>
    <cellStyle name="20% - Accent6 2 2 2 4 2" xfId="2464" xr:uid="{00000000-0005-0000-0000-000001430000}"/>
    <cellStyle name="20% - Accent6 2 2 2 4 2 2" xfId="7944" xr:uid="{00000000-0005-0000-0000-000002430000}"/>
    <cellStyle name="20% - Accent6 2 2 2 4 2 3" xfId="13420" xr:uid="{00000000-0005-0000-0000-000003430000}"/>
    <cellStyle name="20% - Accent6 2 2 2 4 2 4" xfId="18896" xr:uid="{00000000-0005-0000-0000-000004430000}"/>
    <cellStyle name="20% - Accent6 2 2 2 4 2 5" xfId="24372" xr:uid="{00000000-0005-0000-0000-000005430000}"/>
    <cellStyle name="20% - Accent6 2 2 2 4 2 6" xfId="36168" xr:uid="{00000000-0005-0000-0000-000006430000}"/>
    <cellStyle name="20% - Accent6 2 2 2 4 2 7" xfId="41645" xr:uid="{00000000-0005-0000-0000-000007430000}"/>
    <cellStyle name="20% - Accent6 2 2 2 4 2 8" xfId="47122" xr:uid="{00000000-0005-0000-0000-000008430000}"/>
    <cellStyle name="20% - Accent6 2 2 2 4 2 9" xfId="52640" xr:uid="{00000000-0005-0000-0000-000009430000}"/>
    <cellStyle name="20% - Accent6 2 2 2 4 3" xfId="4236" xr:uid="{00000000-0005-0000-0000-00000A430000}"/>
    <cellStyle name="20% - Accent6 2 2 2 4 3 2" xfId="9716" xr:uid="{00000000-0005-0000-0000-00000B430000}"/>
    <cellStyle name="20% - Accent6 2 2 2 4 3 3" xfId="15192" xr:uid="{00000000-0005-0000-0000-00000C430000}"/>
    <cellStyle name="20% - Accent6 2 2 2 4 3 4" xfId="20668" xr:uid="{00000000-0005-0000-0000-00000D430000}"/>
    <cellStyle name="20% - Accent6 2 2 2 4 3 5" xfId="26144" xr:uid="{00000000-0005-0000-0000-00000E430000}"/>
    <cellStyle name="20% - Accent6 2 2 2 4 3 6" xfId="37940" xr:uid="{00000000-0005-0000-0000-00000F430000}"/>
    <cellStyle name="20% - Accent6 2 2 2 4 3 7" xfId="43417" xr:uid="{00000000-0005-0000-0000-000010430000}"/>
    <cellStyle name="20% - Accent6 2 2 2 4 3 8" xfId="48894" xr:uid="{00000000-0005-0000-0000-000011430000}"/>
    <cellStyle name="20% - Accent6 2 2 2 4 3 9" xfId="54412" xr:uid="{00000000-0005-0000-0000-000012430000}"/>
    <cellStyle name="20% - Accent6 2 2 2 4 4" xfId="6138" xr:uid="{00000000-0005-0000-0000-000013430000}"/>
    <cellStyle name="20% - Accent6 2 2 2 4 5" xfId="11618" xr:uid="{00000000-0005-0000-0000-000014430000}"/>
    <cellStyle name="20% - Accent6 2 2 2 4 6" xfId="17094" xr:uid="{00000000-0005-0000-0000-000015430000}"/>
    <cellStyle name="20% - Accent6 2 2 2 4 7" xfId="22570" xr:uid="{00000000-0005-0000-0000-000016430000}"/>
    <cellStyle name="20% - Accent6 2 2 2 4 8" xfId="34365" xr:uid="{00000000-0005-0000-0000-000017430000}"/>
    <cellStyle name="20% - Accent6 2 2 2 4 9" xfId="39842" xr:uid="{00000000-0005-0000-0000-000018430000}"/>
    <cellStyle name="20% - Accent6 2 2 2 5" xfId="875" xr:uid="{00000000-0005-0000-0000-000019430000}"/>
    <cellStyle name="20% - Accent6 2 2 2 5 10" xfId="45320" xr:uid="{00000000-0005-0000-0000-00001A430000}"/>
    <cellStyle name="20% - Accent6 2 2 2 5 11" xfId="50798" xr:uid="{00000000-0005-0000-0000-00001B430000}"/>
    <cellStyle name="20% - Accent6 2 2 2 5 2" xfId="2636" xr:uid="{00000000-0005-0000-0000-00001C430000}"/>
    <cellStyle name="20% - Accent6 2 2 2 5 2 2" xfId="8116" xr:uid="{00000000-0005-0000-0000-00001D430000}"/>
    <cellStyle name="20% - Accent6 2 2 2 5 2 3" xfId="13592" xr:uid="{00000000-0005-0000-0000-00001E430000}"/>
    <cellStyle name="20% - Accent6 2 2 2 5 2 4" xfId="19068" xr:uid="{00000000-0005-0000-0000-00001F430000}"/>
    <cellStyle name="20% - Accent6 2 2 2 5 2 5" xfId="24544" xr:uid="{00000000-0005-0000-0000-000020430000}"/>
    <cellStyle name="20% - Accent6 2 2 2 5 2 6" xfId="36340" xr:uid="{00000000-0005-0000-0000-000021430000}"/>
    <cellStyle name="20% - Accent6 2 2 2 5 2 7" xfId="41817" xr:uid="{00000000-0005-0000-0000-000022430000}"/>
    <cellStyle name="20% - Accent6 2 2 2 5 2 8" xfId="47294" xr:uid="{00000000-0005-0000-0000-000023430000}"/>
    <cellStyle name="20% - Accent6 2 2 2 5 2 9" xfId="52812" xr:uid="{00000000-0005-0000-0000-000024430000}"/>
    <cellStyle name="20% - Accent6 2 2 2 5 3" xfId="4408" xr:uid="{00000000-0005-0000-0000-000025430000}"/>
    <cellStyle name="20% - Accent6 2 2 2 5 3 2" xfId="9888" xr:uid="{00000000-0005-0000-0000-000026430000}"/>
    <cellStyle name="20% - Accent6 2 2 2 5 3 3" xfId="15364" xr:uid="{00000000-0005-0000-0000-000027430000}"/>
    <cellStyle name="20% - Accent6 2 2 2 5 3 4" xfId="20840" xr:uid="{00000000-0005-0000-0000-000028430000}"/>
    <cellStyle name="20% - Accent6 2 2 2 5 3 5" xfId="26316" xr:uid="{00000000-0005-0000-0000-000029430000}"/>
    <cellStyle name="20% - Accent6 2 2 2 5 3 6" xfId="38112" xr:uid="{00000000-0005-0000-0000-00002A430000}"/>
    <cellStyle name="20% - Accent6 2 2 2 5 3 7" xfId="43589" xr:uid="{00000000-0005-0000-0000-00002B430000}"/>
    <cellStyle name="20% - Accent6 2 2 2 5 3 8" xfId="49066" xr:uid="{00000000-0005-0000-0000-00002C430000}"/>
    <cellStyle name="20% - Accent6 2 2 2 5 3 9" xfId="54584" xr:uid="{00000000-0005-0000-0000-00002D430000}"/>
    <cellStyle name="20% - Accent6 2 2 2 5 4" xfId="6139" xr:uid="{00000000-0005-0000-0000-00002E430000}"/>
    <cellStyle name="20% - Accent6 2 2 2 5 5" xfId="11619" xr:uid="{00000000-0005-0000-0000-00002F430000}"/>
    <cellStyle name="20% - Accent6 2 2 2 5 6" xfId="17095" xr:uid="{00000000-0005-0000-0000-000030430000}"/>
    <cellStyle name="20% - Accent6 2 2 2 5 7" xfId="22571" xr:uid="{00000000-0005-0000-0000-000031430000}"/>
    <cellStyle name="20% - Accent6 2 2 2 5 8" xfId="34366" xr:uid="{00000000-0005-0000-0000-000032430000}"/>
    <cellStyle name="20% - Accent6 2 2 2 5 9" xfId="39843" xr:uid="{00000000-0005-0000-0000-000033430000}"/>
    <cellStyle name="20% - Accent6 2 2 2 6" xfId="1081" xr:uid="{00000000-0005-0000-0000-000034430000}"/>
    <cellStyle name="20% - Accent6 2 2 2 6 10" xfId="45321" xr:uid="{00000000-0005-0000-0000-000035430000}"/>
    <cellStyle name="20% - Accent6 2 2 2 6 11" xfId="50799" xr:uid="{00000000-0005-0000-0000-000036430000}"/>
    <cellStyle name="20% - Accent6 2 2 2 6 2" xfId="2842" xr:uid="{00000000-0005-0000-0000-000037430000}"/>
    <cellStyle name="20% - Accent6 2 2 2 6 2 2" xfId="8322" xr:uid="{00000000-0005-0000-0000-000038430000}"/>
    <cellStyle name="20% - Accent6 2 2 2 6 2 3" xfId="13798" xr:uid="{00000000-0005-0000-0000-000039430000}"/>
    <cellStyle name="20% - Accent6 2 2 2 6 2 4" xfId="19274" xr:uid="{00000000-0005-0000-0000-00003A430000}"/>
    <cellStyle name="20% - Accent6 2 2 2 6 2 5" xfId="24750" xr:uid="{00000000-0005-0000-0000-00003B430000}"/>
    <cellStyle name="20% - Accent6 2 2 2 6 2 6" xfId="36546" xr:uid="{00000000-0005-0000-0000-00003C430000}"/>
    <cellStyle name="20% - Accent6 2 2 2 6 2 7" xfId="42023" xr:uid="{00000000-0005-0000-0000-00003D430000}"/>
    <cellStyle name="20% - Accent6 2 2 2 6 2 8" xfId="47500" xr:uid="{00000000-0005-0000-0000-00003E430000}"/>
    <cellStyle name="20% - Accent6 2 2 2 6 2 9" xfId="53018" xr:uid="{00000000-0005-0000-0000-00003F430000}"/>
    <cellStyle name="20% - Accent6 2 2 2 6 3" xfId="4614" xr:uid="{00000000-0005-0000-0000-000040430000}"/>
    <cellStyle name="20% - Accent6 2 2 2 6 3 2" xfId="10094" xr:uid="{00000000-0005-0000-0000-000041430000}"/>
    <cellStyle name="20% - Accent6 2 2 2 6 3 3" xfId="15570" xr:uid="{00000000-0005-0000-0000-000042430000}"/>
    <cellStyle name="20% - Accent6 2 2 2 6 3 4" xfId="21046" xr:uid="{00000000-0005-0000-0000-000043430000}"/>
    <cellStyle name="20% - Accent6 2 2 2 6 3 5" xfId="26522" xr:uid="{00000000-0005-0000-0000-000044430000}"/>
    <cellStyle name="20% - Accent6 2 2 2 6 3 6" xfId="38318" xr:uid="{00000000-0005-0000-0000-000045430000}"/>
    <cellStyle name="20% - Accent6 2 2 2 6 3 7" xfId="43795" xr:uid="{00000000-0005-0000-0000-000046430000}"/>
    <cellStyle name="20% - Accent6 2 2 2 6 3 8" xfId="49272" xr:uid="{00000000-0005-0000-0000-000047430000}"/>
    <cellStyle name="20% - Accent6 2 2 2 6 3 9" xfId="54790" xr:uid="{00000000-0005-0000-0000-000048430000}"/>
    <cellStyle name="20% - Accent6 2 2 2 6 4" xfId="6140" xr:uid="{00000000-0005-0000-0000-000049430000}"/>
    <cellStyle name="20% - Accent6 2 2 2 6 5" xfId="11620" xr:uid="{00000000-0005-0000-0000-00004A430000}"/>
    <cellStyle name="20% - Accent6 2 2 2 6 6" xfId="17096" xr:uid="{00000000-0005-0000-0000-00004B430000}"/>
    <cellStyle name="20% - Accent6 2 2 2 6 7" xfId="22572" xr:uid="{00000000-0005-0000-0000-00004C430000}"/>
    <cellStyle name="20% - Accent6 2 2 2 6 8" xfId="34367" xr:uid="{00000000-0005-0000-0000-00004D430000}"/>
    <cellStyle name="20% - Accent6 2 2 2 6 9" xfId="39844" xr:uid="{00000000-0005-0000-0000-00004E430000}"/>
    <cellStyle name="20% - Accent6 2 2 2 7" xfId="1253" xr:uid="{00000000-0005-0000-0000-00004F430000}"/>
    <cellStyle name="20% - Accent6 2 2 2 7 10" xfId="45322" xr:uid="{00000000-0005-0000-0000-000050430000}"/>
    <cellStyle name="20% - Accent6 2 2 2 7 11" xfId="50800" xr:uid="{00000000-0005-0000-0000-000051430000}"/>
    <cellStyle name="20% - Accent6 2 2 2 7 2" xfId="3014" xr:uid="{00000000-0005-0000-0000-000052430000}"/>
    <cellStyle name="20% - Accent6 2 2 2 7 2 2" xfId="8494" xr:uid="{00000000-0005-0000-0000-000053430000}"/>
    <cellStyle name="20% - Accent6 2 2 2 7 2 3" xfId="13970" xr:uid="{00000000-0005-0000-0000-000054430000}"/>
    <cellStyle name="20% - Accent6 2 2 2 7 2 4" xfId="19446" xr:uid="{00000000-0005-0000-0000-000055430000}"/>
    <cellStyle name="20% - Accent6 2 2 2 7 2 5" xfId="24922" xr:uid="{00000000-0005-0000-0000-000056430000}"/>
    <cellStyle name="20% - Accent6 2 2 2 7 2 6" xfId="36718" xr:uid="{00000000-0005-0000-0000-000057430000}"/>
    <cellStyle name="20% - Accent6 2 2 2 7 2 7" xfId="42195" xr:uid="{00000000-0005-0000-0000-000058430000}"/>
    <cellStyle name="20% - Accent6 2 2 2 7 2 8" xfId="47672" xr:uid="{00000000-0005-0000-0000-000059430000}"/>
    <cellStyle name="20% - Accent6 2 2 2 7 2 9" xfId="53190" xr:uid="{00000000-0005-0000-0000-00005A430000}"/>
    <cellStyle name="20% - Accent6 2 2 2 7 3" xfId="4786" xr:uid="{00000000-0005-0000-0000-00005B430000}"/>
    <cellStyle name="20% - Accent6 2 2 2 7 3 2" xfId="10266" xr:uid="{00000000-0005-0000-0000-00005C430000}"/>
    <cellStyle name="20% - Accent6 2 2 2 7 3 3" xfId="15742" xr:uid="{00000000-0005-0000-0000-00005D430000}"/>
    <cellStyle name="20% - Accent6 2 2 2 7 3 4" xfId="21218" xr:uid="{00000000-0005-0000-0000-00005E430000}"/>
    <cellStyle name="20% - Accent6 2 2 2 7 3 5" xfId="26694" xr:uid="{00000000-0005-0000-0000-00005F430000}"/>
    <cellStyle name="20% - Accent6 2 2 2 7 3 6" xfId="38490" xr:uid="{00000000-0005-0000-0000-000060430000}"/>
    <cellStyle name="20% - Accent6 2 2 2 7 3 7" xfId="43967" xr:uid="{00000000-0005-0000-0000-000061430000}"/>
    <cellStyle name="20% - Accent6 2 2 2 7 3 8" xfId="49444" xr:uid="{00000000-0005-0000-0000-000062430000}"/>
    <cellStyle name="20% - Accent6 2 2 2 7 3 9" xfId="54962" xr:uid="{00000000-0005-0000-0000-000063430000}"/>
    <cellStyle name="20% - Accent6 2 2 2 7 4" xfId="6141" xr:uid="{00000000-0005-0000-0000-000064430000}"/>
    <cellStyle name="20% - Accent6 2 2 2 7 5" xfId="11621" xr:uid="{00000000-0005-0000-0000-000065430000}"/>
    <cellStyle name="20% - Accent6 2 2 2 7 6" xfId="17097" xr:uid="{00000000-0005-0000-0000-000066430000}"/>
    <cellStyle name="20% - Accent6 2 2 2 7 7" xfId="22573" xr:uid="{00000000-0005-0000-0000-000067430000}"/>
    <cellStyle name="20% - Accent6 2 2 2 7 8" xfId="34368" xr:uid="{00000000-0005-0000-0000-000068430000}"/>
    <cellStyle name="20% - Accent6 2 2 2 7 9" xfId="39845" xr:uid="{00000000-0005-0000-0000-000069430000}"/>
    <cellStyle name="20% - Accent6 2 2 2 8" xfId="1425" xr:uid="{00000000-0005-0000-0000-00006A430000}"/>
    <cellStyle name="20% - Accent6 2 2 2 8 10" xfId="45323" xr:uid="{00000000-0005-0000-0000-00006B430000}"/>
    <cellStyle name="20% - Accent6 2 2 2 8 11" xfId="50801" xr:uid="{00000000-0005-0000-0000-00006C430000}"/>
    <cellStyle name="20% - Accent6 2 2 2 8 2" xfId="3186" xr:uid="{00000000-0005-0000-0000-00006D430000}"/>
    <cellStyle name="20% - Accent6 2 2 2 8 2 2" xfId="8666" xr:uid="{00000000-0005-0000-0000-00006E430000}"/>
    <cellStyle name="20% - Accent6 2 2 2 8 2 3" xfId="14142" xr:uid="{00000000-0005-0000-0000-00006F430000}"/>
    <cellStyle name="20% - Accent6 2 2 2 8 2 4" xfId="19618" xr:uid="{00000000-0005-0000-0000-000070430000}"/>
    <cellStyle name="20% - Accent6 2 2 2 8 2 5" xfId="25094" xr:uid="{00000000-0005-0000-0000-000071430000}"/>
    <cellStyle name="20% - Accent6 2 2 2 8 2 6" xfId="36890" xr:uid="{00000000-0005-0000-0000-000072430000}"/>
    <cellStyle name="20% - Accent6 2 2 2 8 2 7" xfId="42367" xr:uid="{00000000-0005-0000-0000-000073430000}"/>
    <cellStyle name="20% - Accent6 2 2 2 8 2 8" xfId="47844" xr:uid="{00000000-0005-0000-0000-000074430000}"/>
    <cellStyle name="20% - Accent6 2 2 2 8 2 9" xfId="53362" xr:uid="{00000000-0005-0000-0000-000075430000}"/>
    <cellStyle name="20% - Accent6 2 2 2 8 3" xfId="4958" xr:uid="{00000000-0005-0000-0000-000076430000}"/>
    <cellStyle name="20% - Accent6 2 2 2 8 3 2" xfId="10438" xr:uid="{00000000-0005-0000-0000-000077430000}"/>
    <cellStyle name="20% - Accent6 2 2 2 8 3 3" xfId="15914" xr:uid="{00000000-0005-0000-0000-000078430000}"/>
    <cellStyle name="20% - Accent6 2 2 2 8 3 4" xfId="21390" xr:uid="{00000000-0005-0000-0000-000079430000}"/>
    <cellStyle name="20% - Accent6 2 2 2 8 3 5" xfId="26866" xr:uid="{00000000-0005-0000-0000-00007A430000}"/>
    <cellStyle name="20% - Accent6 2 2 2 8 3 6" xfId="38662" xr:uid="{00000000-0005-0000-0000-00007B430000}"/>
    <cellStyle name="20% - Accent6 2 2 2 8 3 7" xfId="44139" xr:uid="{00000000-0005-0000-0000-00007C430000}"/>
    <cellStyle name="20% - Accent6 2 2 2 8 3 8" xfId="49616" xr:uid="{00000000-0005-0000-0000-00007D430000}"/>
    <cellStyle name="20% - Accent6 2 2 2 8 3 9" xfId="55134" xr:uid="{00000000-0005-0000-0000-00007E430000}"/>
    <cellStyle name="20% - Accent6 2 2 2 8 4" xfId="6142" xr:uid="{00000000-0005-0000-0000-00007F430000}"/>
    <cellStyle name="20% - Accent6 2 2 2 8 5" xfId="11622" xr:uid="{00000000-0005-0000-0000-000080430000}"/>
    <cellStyle name="20% - Accent6 2 2 2 8 6" xfId="17098" xr:uid="{00000000-0005-0000-0000-000081430000}"/>
    <cellStyle name="20% - Accent6 2 2 2 8 7" xfId="22574" xr:uid="{00000000-0005-0000-0000-000082430000}"/>
    <cellStyle name="20% - Accent6 2 2 2 8 8" xfId="34369" xr:uid="{00000000-0005-0000-0000-000083430000}"/>
    <cellStyle name="20% - Accent6 2 2 2 8 9" xfId="39846" xr:uid="{00000000-0005-0000-0000-000084430000}"/>
    <cellStyle name="20% - Accent6 2 2 2 9" xfId="1597" xr:uid="{00000000-0005-0000-0000-000085430000}"/>
    <cellStyle name="20% - Accent6 2 2 2 9 10" xfId="45324" xr:uid="{00000000-0005-0000-0000-000086430000}"/>
    <cellStyle name="20% - Accent6 2 2 2 9 11" xfId="50802" xr:uid="{00000000-0005-0000-0000-000087430000}"/>
    <cellStyle name="20% - Accent6 2 2 2 9 2" xfId="3358" xr:uid="{00000000-0005-0000-0000-000088430000}"/>
    <cellStyle name="20% - Accent6 2 2 2 9 2 2" xfId="8838" xr:uid="{00000000-0005-0000-0000-000089430000}"/>
    <cellStyle name="20% - Accent6 2 2 2 9 2 3" xfId="14314" xr:uid="{00000000-0005-0000-0000-00008A430000}"/>
    <cellStyle name="20% - Accent6 2 2 2 9 2 4" xfId="19790" xr:uid="{00000000-0005-0000-0000-00008B430000}"/>
    <cellStyle name="20% - Accent6 2 2 2 9 2 5" xfId="25266" xr:uid="{00000000-0005-0000-0000-00008C430000}"/>
    <cellStyle name="20% - Accent6 2 2 2 9 2 6" xfId="37062" xr:uid="{00000000-0005-0000-0000-00008D430000}"/>
    <cellStyle name="20% - Accent6 2 2 2 9 2 7" xfId="42539" xr:uid="{00000000-0005-0000-0000-00008E430000}"/>
    <cellStyle name="20% - Accent6 2 2 2 9 2 8" xfId="48016" xr:uid="{00000000-0005-0000-0000-00008F430000}"/>
    <cellStyle name="20% - Accent6 2 2 2 9 2 9" xfId="53534" xr:uid="{00000000-0005-0000-0000-000090430000}"/>
    <cellStyle name="20% - Accent6 2 2 2 9 3" xfId="5130" xr:uid="{00000000-0005-0000-0000-000091430000}"/>
    <cellStyle name="20% - Accent6 2 2 2 9 3 2" xfId="10610" xr:uid="{00000000-0005-0000-0000-000092430000}"/>
    <cellStyle name="20% - Accent6 2 2 2 9 3 3" xfId="16086" xr:uid="{00000000-0005-0000-0000-000093430000}"/>
    <cellStyle name="20% - Accent6 2 2 2 9 3 4" xfId="21562" xr:uid="{00000000-0005-0000-0000-000094430000}"/>
    <cellStyle name="20% - Accent6 2 2 2 9 3 5" xfId="27038" xr:uid="{00000000-0005-0000-0000-000095430000}"/>
    <cellStyle name="20% - Accent6 2 2 2 9 3 6" xfId="38834" xr:uid="{00000000-0005-0000-0000-000096430000}"/>
    <cellStyle name="20% - Accent6 2 2 2 9 3 7" xfId="44311" xr:uid="{00000000-0005-0000-0000-000097430000}"/>
    <cellStyle name="20% - Accent6 2 2 2 9 3 8" xfId="49788" xr:uid="{00000000-0005-0000-0000-000098430000}"/>
    <cellStyle name="20% - Accent6 2 2 2 9 3 9" xfId="55306" xr:uid="{00000000-0005-0000-0000-000099430000}"/>
    <cellStyle name="20% - Accent6 2 2 2 9 4" xfId="6143" xr:uid="{00000000-0005-0000-0000-00009A430000}"/>
    <cellStyle name="20% - Accent6 2 2 2 9 5" xfId="11623" xr:uid="{00000000-0005-0000-0000-00009B430000}"/>
    <cellStyle name="20% - Accent6 2 2 2 9 6" xfId="17099" xr:uid="{00000000-0005-0000-0000-00009C430000}"/>
    <cellStyle name="20% - Accent6 2 2 2 9 7" xfId="22575" xr:uid="{00000000-0005-0000-0000-00009D430000}"/>
    <cellStyle name="20% - Accent6 2 2 2 9 8" xfId="34370" xr:uid="{00000000-0005-0000-0000-00009E430000}"/>
    <cellStyle name="20% - Accent6 2 2 2 9 9" xfId="39847" xr:uid="{00000000-0005-0000-0000-00009F430000}"/>
    <cellStyle name="20% - Accent6 2 2 20" xfId="39835" xr:uid="{00000000-0005-0000-0000-0000A0430000}"/>
    <cellStyle name="20% - Accent6 2 2 21" xfId="45312" xr:uid="{00000000-0005-0000-0000-0000A1430000}"/>
    <cellStyle name="20% - Accent6 2 2 22" xfId="50790" xr:uid="{00000000-0005-0000-0000-0000A2430000}"/>
    <cellStyle name="20% - Accent6 2 2 3" xfId="329" xr:uid="{00000000-0005-0000-0000-0000A3430000}"/>
    <cellStyle name="20% - Accent6 2 2 3 10" xfId="39848" xr:uid="{00000000-0005-0000-0000-0000A4430000}"/>
    <cellStyle name="20% - Accent6 2 2 3 11" xfId="45325" xr:uid="{00000000-0005-0000-0000-0000A5430000}"/>
    <cellStyle name="20% - Accent6 2 2 3 12" xfId="50803" xr:uid="{00000000-0005-0000-0000-0000A6430000}"/>
    <cellStyle name="20% - Accent6 2 2 3 2" xfId="2126" xr:uid="{00000000-0005-0000-0000-0000A7430000}"/>
    <cellStyle name="20% - Accent6 2 2 3 2 2" xfId="7606" xr:uid="{00000000-0005-0000-0000-0000A8430000}"/>
    <cellStyle name="20% - Accent6 2 2 3 2 3" xfId="13082" xr:uid="{00000000-0005-0000-0000-0000A9430000}"/>
    <cellStyle name="20% - Accent6 2 2 3 2 4" xfId="18558" xr:uid="{00000000-0005-0000-0000-0000AA430000}"/>
    <cellStyle name="20% - Accent6 2 2 3 2 5" xfId="24034" xr:uid="{00000000-0005-0000-0000-0000AB430000}"/>
    <cellStyle name="20% - Accent6 2 2 3 2 6" xfId="35830" xr:uid="{00000000-0005-0000-0000-0000AC430000}"/>
    <cellStyle name="20% - Accent6 2 2 3 2 7" xfId="41307" xr:uid="{00000000-0005-0000-0000-0000AD430000}"/>
    <cellStyle name="20% - Accent6 2 2 3 2 8" xfId="46784" xr:uid="{00000000-0005-0000-0000-0000AE430000}"/>
    <cellStyle name="20% - Accent6 2 2 3 2 9" xfId="52302" xr:uid="{00000000-0005-0000-0000-0000AF430000}"/>
    <cellStyle name="20% - Accent6 2 2 3 3" xfId="3891" xr:uid="{00000000-0005-0000-0000-0000B0430000}"/>
    <cellStyle name="20% - Accent6 2 2 3 3 2" xfId="9371" xr:uid="{00000000-0005-0000-0000-0000B1430000}"/>
    <cellStyle name="20% - Accent6 2 2 3 3 3" xfId="14847" xr:uid="{00000000-0005-0000-0000-0000B2430000}"/>
    <cellStyle name="20% - Accent6 2 2 3 3 4" xfId="20323" xr:uid="{00000000-0005-0000-0000-0000B3430000}"/>
    <cellStyle name="20% - Accent6 2 2 3 3 5" xfId="25799" xr:uid="{00000000-0005-0000-0000-0000B4430000}"/>
    <cellStyle name="20% - Accent6 2 2 3 3 6" xfId="37595" xr:uid="{00000000-0005-0000-0000-0000B5430000}"/>
    <cellStyle name="20% - Accent6 2 2 3 3 7" xfId="43072" xr:uid="{00000000-0005-0000-0000-0000B6430000}"/>
    <cellStyle name="20% - Accent6 2 2 3 3 8" xfId="48549" xr:uid="{00000000-0005-0000-0000-0000B7430000}"/>
    <cellStyle name="20% - Accent6 2 2 3 3 9" xfId="54067" xr:uid="{00000000-0005-0000-0000-0000B8430000}"/>
    <cellStyle name="20% - Accent6 2 2 3 4" xfId="6144" xr:uid="{00000000-0005-0000-0000-0000B9430000}"/>
    <cellStyle name="20% - Accent6 2 2 3 5" xfId="11624" xr:uid="{00000000-0005-0000-0000-0000BA430000}"/>
    <cellStyle name="20% - Accent6 2 2 3 6" xfId="17100" xr:uid="{00000000-0005-0000-0000-0000BB430000}"/>
    <cellStyle name="20% - Accent6 2 2 3 7" xfId="22576" xr:uid="{00000000-0005-0000-0000-0000BC430000}"/>
    <cellStyle name="20% - Accent6 2 2 3 8" xfId="29952" xr:uid="{00000000-0005-0000-0000-0000BD430000}"/>
    <cellStyle name="20% - Accent6 2 2 3 9" xfId="34371" xr:uid="{00000000-0005-0000-0000-0000BE430000}"/>
    <cellStyle name="20% - Accent6 2 2 4" xfId="530" xr:uid="{00000000-0005-0000-0000-0000BF430000}"/>
    <cellStyle name="20% - Accent6 2 2 4 10" xfId="45326" xr:uid="{00000000-0005-0000-0000-0000C0430000}"/>
    <cellStyle name="20% - Accent6 2 2 4 11" xfId="50804" xr:uid="{00000000-0005-0000-0000-0000C1430000}"/>
    <cellStyle name="20% - Accent6 2 2 4 2" xfId="2291" xr:uid="{00000000-0005-0000-0000-0000C2430000}"/>
    <cellStyle name="20% - Accent6 2 2 4 2 2" xfId="7771" xr:uid="{00000000-0005-0000-0000-0000C3430000}"/>
    <cellStyle name="20% - Accent6 2 2 4 2 3" xfId="13247" xr:uid="{00000000-0005-0000-0000-0000C4430000}"/>
    <cellStyle name="20% - Accent6 2 2 4 2 4" xfId="18723" xr:uid="{00000000-0005-0000-0000-0000C5430000}"/>
    <cellStyle name="20% - Accent6 2 2 4 2 5" xfId="24199" xr:uid="{00000000-0005-0000-0000-0000C6430000}"/>
    <cellStyle name="20% - Accent6 2 2 4 2 6" xfId="35995" xr:uid="{00000000-0005-0000-0000-0000C7430000}"/>
    <cellStyle name="20% - Accent6 2 2 4 2 7" xfId="41472" xr:uid="{00000000-0005-0000-0000-0000C8430000}"/>
    <cellStyle name="20% - Accent6 2 2 4 2 8" xfId="46949" xr:uid="{00000000-0005-0000-0000-0000C9430000}"/>
    <cellStyle name="20% - Accent6 2 2 4 2 9" xfId="52467" xr:uid="{00000000-0005-0000-0000-0000CA430000}"/>
    <cellStyle name="20% - Accent6 2 2 4 3" xfId="4063" xr:uid="{00000000-0005-0000-0000-0000CB430000}"/>
    <cellStyle name="20% - Accent6 2 2 4 3 2" xfId="9543" xr:uid="{00000000-0005-0000-0000-0000CC430000}"/>
    <cellStyle name="20% - Accent6 2 2 4 3 3" xfId="15019" xr:uid="{00000000-0005-0000-0000-0000CD430000}"/>
    <cellStyle name="20% - Accent6 2 2 4 3 4" xfId="20495" xr:uid="{00000000-0005-0000-0000-0000CE430000}"/>
    <cellStyle name="20% - Accent6 2 2 4 3 5" xfId="25971" xr:uid="{00000000-0005-0000-0000-0000CF430000}"/>
    <cellStyle name="20% - Accent6 2 2 4 3 6" xfId="37767" xr:uid="{00000000-0005-0000-0000-0000D0430000}"/>
    <cellStyle name="20% - Accent6 2 2 4 3 7" xfId="43244" xr:uid="{00000000-0005-0000-0000-0000D1430000}"/>
    <cellStyle name="20% - Accent6 2 2 4 3 8" xfId="48721" xr:uid="{00000000-0005-0000-0000-0000D2430000}"/>
    <cellStyle name="20% - Accent6 2 2 4 3 9" xfId="54239" xr:uid="{00000000-0005-0000-0000-0000D3430000}"/>
    <cellStyle name="20% - Accent6 2 2 4 4" xfId="6145" xr:uid="{00000000-0005-0000-0000-0000D4430000}"/>
    <cellStyle name="20% - Accent6 2 2 4 5" xfId="11625" xr:uid="{00000000-0005-0000-0000-0000D5430000}"/>
    <cellStyle name="20% - Accent6 2 2 4 6" xfId="17101" xr:uid="{00000000-0005-0000-0000-0000D6430000}"/>
    <cellStyle name="20% - Accent6 2 2 4 7" xfId="22577" xr:uid="{00000000-0005-0000-0000-0000D7430000}"/>
    <cellStyle name="20% - Accent6 2 2 4 8" xfId="34372" xr:uid="{00000000-0005-0000-0000-0000D8430000}"/>
    <cellStyle name="20% - Accent6 2 2 4 9" xfId="39849" xr:uid="{00000000-0005-0000-0000-0000D9430000}"/>
    <cellStyle name="20% - Accent6 2 2 5" xfId="702" xr:uid="{00000000-0005-0000-0000-0000DA430000}"/>
    <cellStyle name="20% - Accent6 2 2 5 10" xfId="45327" xr:uid="{00000000-0005-0000-0000-0000DB430000}"/>
    <cellStyle name="20% - Accent6 2 2 5 11" xfId="50805" xr:uid="{00000000-0005-0000-0000-0000DC430000}"/>
    <cellStyle name="20% - Accent6 2 2 5 2" xfId="2463" xr:uid="{00000000-0005-0000-0000-0000DD430000}"/>
    <cellStyle name="20% - Accent6 2 2 5 2 2" xfId="7943" xr:uid="{00000000-0005-0000-0000-0000DE430000}"/>
    <cellStyle name="20% - Accent6 2 2 5 2 3" xfId="13419" xr:uid="{00000000-0005-0000-0000-0000DF430000}"/>
    <cellStyle name="20% - Accent6 2 2 5 2 4" xfId="18895" xr:uid="{00000000-0005-0000-0000-0000E0430000}"/>
    <cellStyle name="20% - Accent6 2 2 5 2 5" xfId="24371" xr:uid="{00000000-0005-0000-0000-0000E1430000}"/>
    <cellStyle name="20% - Accent6 2 2 5 2 6" xfId="36167" xr:uid="{00000000-0005-0000-0000-0000E2430000}"/>
    <cellStyle name="20% - Accent6 2 2 5 2 7" xfId="41644" xr:uid="{00000000-0005-0000-0000-0000E3430000}"/>
    <cellStyle name="20% - Accent6 2 2 5 2 8" xfId="47121" xr:uid="{00000000-0005-0000-0000-0000E4430000}"/>
    <cellStyle name="20% - Accent6 2 2 5 2 9" xfId="52639" xr:uid="{00000000-0005-0000-0000-0000E5430000}"/>
    <cellStyle name="20% - Accent6 2 2 5 3" xfId="4235" xr:uid="{00000000-0005-0000-0000-0000E6430000}"/>
    <cellStyle name="20% - Accent6 2 2 5 3 2" xfId="9715" xr:uid="{00000000-0005-0000-0000-0000E7430000}"/>
    <cellStyle name="20% - Accent6 2 2 5 3 3" xfId="15191" xr:uid="{00000000-0005-0000-0000-0000E8430000}"/>
    <cellStyle name="20% - Accent6 2 2 5 3 4" xfId="20667" xr:uid="{00000000-0005-0000-0000-0000E9430000}"/>
    <cellStyle name="20% - Accent6 2 2 5 3 5" xfId="26143" xr:uid="{00000000-0005-0000-0000-0000EA430000}"/>
    <cellStyle name="20% - Accent6 2 2 5 3 6" xfId="37939" xr:uid="{00000000-0005-0000-0000-0000EB430000}"/>
    <cellStyle name="20% - Accent6 2 2 5 3 7" xfId="43416" xr:uid="{00000000-0005-0000-0000-0000EC430000}"/>
    <cellStyle name="20% - Accent6 2 2 5 3 8" xfId="48893" xr:uid="{00000000-0005-0000-0000-0000ED430000}"/>
    <cellStyle name="20% - Accent6 2 2 5 3 9" xfId="54411" xr:uid="{00000000-0005-0000-0000-0000EE430000}"/>
    <cellStyle name="20% - Accent6 2 2 5 4" xfId="6146" xr:uid="{00000000-0005-0000-0000-0000EF430000}"/>
    <cellStyle name="20% - Accent6 2 2 5 5" xfId="11626" xr:uid="{00000000-0005-0000-0000-0000F0430000}"/>
    <cellStyle name="20% - Accent6 2 2 5 6" xfId="17102" xr:uid="{00000000-0005-0000-0000-0000F1430000}"/>
    <cellStyle name="20% - Accent6 2 2 5 7" xfId="22578" xr:uid="{00000000-0005-0000-0000-0000F2430000}"/>
    <cellStyle name="20% - Accent6 2 2 5 8" xfId="34373" xr:uid="{00000000-0005-0000-0000-0000F3430000}"/>
    <cellStyle name="20% - Accent6 2 2 5 9" xfId="39850" xr:uid="{00000000-0005-0000-0000-0000F4430000}"/>
    <cellStyle name="20% - Accent6 2 2 6" xfId="874" xr:uid="{00000000-0005-0000-0000-0000F5430000}"/>
    <cellStyle name="20% - Accent6 2 2 6 10" xfId="45328" xr:uid="{00000000-0005-0000-0000-0000F6430000}"/>
    <cellStyle name="20% - Accent6 2 2 6 11" xfId="50806" xr:uid="{00000000-0005-0000-0000-0000F7430000}"/>
    <cellStyle name="20% - Accent6 2 2 6 2" xfId="2635" xr:uid="{00000000-0005-0000-0000-0000F8430000}"/>
    <cellStyle name="20% - Accent6 2 2 6 2 2" xfId="8115" xr:uid="{00000000-0005-0000-0000-0000F9430000}"/>
    <cellStyle name="20% - Accent6 2 2 6 2 3" xfId="13591" xr:uid="{00000000-0005-0000-0000-0000FA430000}"/>
    <cellStyle name="20% - Accent6 2 2 6 2 4" xfId="19067" xr:uid="{00000000-0005-0000-0000-0000FB430000}"/>
    <cellStyle name="20% - Accent6 2 2 6 2 5" xfId="24543" xr:uid="{00000000-0005-0000-0000-0000FC430000}"/>
    <cellStyle name="20% - Accent6 2 2 6 2 6" xfId="36339" xr:uid="{00000000-0005-0000-0000-0000FD430000}"/>
    <cellStyle name="20% - Accent6 2 2 6 2 7" xfId="41816" xr:uid="{00000000-0005-0000-0000-0000FE430000}"/>
    <cellStyle name="20% - Accent6 2 2 6 2 8" xfId="47293" xr:uid="{00000000-0005-0000-0000-0000FF430000}"/>
    <cellStyle name="20% - Accent6 2 2 6 2 9" xfId="52811" xr:uid="{00000000-0005-0000-0000-000000440000}"/>
    <cellStyle name="20% - Accent6 2 2 6 3" xfId="4407" xr:uid="{00000000-0005-0000-0000-000001440000}"/>
    <cellStyle name="20% - Accent6 2 2 6 3 2" xfId="9887" xr:uid="{00000000-0005-0000-0000-000002440000}"/>
    <cellStyle name="20% - Accent6 2 2 6 3 3" xfId="15363" xr:uid="{00000000-0005-0000-0000-000003440000}"/>
    <cellStyle name="20% - Accent6 2 2 6 3 4" xfId="20839" xr:uid="{00000000-0005-0000-0000-000004440000}"/>
    <cellStyle name="20% - Accent6 2 2 6 3 5" xfId="26315" xr:uid="{00000000-0005-0000-0000-000005440000}"/>
    <cellStyle name="20% - Accent6 2 2 6 3 6" xfId="38111" xr:uid="{00000000-0005-0000-0000-000006440000}"/>
    <cellStyle name="20% - Accent6 2 2 6 3 7" xfId="43588" xr:uid="{00000000-0005-0000-0000-000007440000}"/>
    <cellStyle name="20% - Accent6 2 2 6 3 8" xfId="49065" xr:uid="{00000000-0005-0000-0000-000008440000}"/>
    <cellStyle name="20% - Accent6 2 2 6 3 9" xfId="54583" xr:uid="{00000000-0005-0000-0000-000009440000}"/>
    <cellStyle name="20% - Accent6 2 2 6 4" xfId="6147" xr:uid="{00000000-0005-0000-0000-00000A440000}"/>
    <cellStyle name="20% - Accent6 2 2 6 5" xfId="11627" xr:uid="{00000000-0005-0000-0000-00000B440000}"/>
    <cellStyle name="20% - Accent6 2 2 6 6" xfId="17103" xr:uid="{00000000-0005-0000-0000-00000C440000}"/>
    <cellStyle name="20% - Accent6 2 2 6 7" xfId="22579" xr:uid="{00000000-0005-0000-0000-00000D440000}"/>
    <cellStyle name="20% - Accent6 2 2 6 8" xfId="34374" xr:uid="{00000000-0005-0000-0000-00000E440000}"/>
    <cellStyle name="20% - Accent6 2 2 6 9" xfId="39851" xr:uid="{00000000-0005-0000-0000-00000F440000}"/>
    <cellStyle name="20% - Accent6 2 2 7" xfId="1080" xr:uid="{00000000-0005-0000-0000-000010440000}"/>
    <cellStyle name="20% - Accent6 2 2 7 10" xfId="45329" xr:uid="{00000000-0005-0000-0000-000011440000}"/>
    <cellStyle name="20% - Accent6 2 2 7 11" xfId="50807" xr:uid="{00000000-0005-0000-0000-000012440000}"/>
    <cellStyle name="20% - Accent6 2 2 7 2" xfId="2841" xr:uid="{00000000-0005-0000-0000-000013440000}"/>
    <cellStyle name="20% - Accent6 2 2 7 2 2" xfId="8321" xr:uid="{00000000-0005-0000-0000-000014440000}"/>
    <cellStyle name="20% - Accent6 2 2 7 2 3" xfId="13797" xr:uid="{00000000-0005-0000-0000-000015440000}"/>
    <cellStyle name="20% - Accent6 2 2 7 2 4" xfId="19273" xr:uid="{00000000-0005-0000-0000-000016440000}"/>
    <cellStyle name="20% - Accent6 2 2 7 2 5" xfId="24749" xr:uid="{00000000-0005-0000-0000-000017440000}"/>
    <cellStyle name="20% - Accent6 2 2 7 2 6" xfId="36545" xr:uid="{00000000-0005-0000-0000-000018440000}"/>
    <cellStyle name="20% - Accent6 2 2 7 2 7" xfId="42022" xr:uid="{00000000-0005-0000-0000-000019440000}"/>
    <cellStyle name="20% - Accent6 2 2 7 2 8" xfId="47499" xr:uid="{00000000-0005-0000-0000-00001A440000}"/>
    <cellStyle name="20% - Accent6 2 2 7 2 9" xfId="53017" xr:uid="{00000000-0005-0000-0000-00001B440000}"/>
    <cellStyle name="20% - Accent6 2 2 7 3" xfId="4613" xr:uid="{00000000-0005-0000-0000-00001C440000}"/>
    <cellStyle name="20% - Accent6 2 2 7 3 2" xfId="10093" xr:uid="{00000000-0005-0000-0000-00001D440000}"/>
    <cellStyle name="20% - Accent6 2 2 7 3 3" xfId="15569" xr:uid="{00000000-0005-0000-0000-00001E440000}"/>
    <cellStyle name="20% - Accent6 2 2 7 3 4" xfId="21045" xr:uid="{00000000-0005-0000-0000-00001F440000}"/>
    <cellStyle name="20% - Accent6 2 2 7 3 5" xfId="26521" xr:uid="{00000000-0005-0000-0000-000020440000}"/>
    <cellStyle name="20% - Accent6 2 2 7 3 6" xfId="38317" xr:uid="{00000000-0005-0000-0000-000021440000}"/>
    <cellStyle name="20% - Accent6 2 2 7 3 7" xfId="43794" xr:uid="{00000000-0005-0000-0000-000022440000}"/>
    <cellStyle name="20% - Accent6 2 2 7 3 8" xfId="49271" xr:uid="{00000000-0005-0000-0000-000023440000}"/>
    <cellStyle name="20% - Accent6 2 2 7 3 9" xfId="54789" xr:uid="{00000000-0005-0000-0000-000024440000}"/>
    <cellStyle name="20% - Accent6 2 2 7 4" xfId="6148" xr:uid="{00000000-0005-0000-0000-000025440000}"/>
    <cellStyle name="20% - Accent6 2 2 7 5" xfId="11628" xr:uid="{00000000-0005-0000-0000-000026440000}"/>
    <cellStyle name="20% - Accent6 2 2 7 6" xfId="17104" xr:uid="{00000000-0005-0000-0000-000027440000}"/>
    <cellStyle name="20% - Accent6 2 2 7 7" xfId="22580" xr:uid="{00000000-0005-0000-0000-000028440000}"/>
    <cellStyle name="20% - Accent6 2 2 7 8" xfId="34375" xr:uid="{00000000-0005-0000-0000-000029440000}"/>
    <cellStyle name="20% - Accent6 2 2 7 9" xfId="39852" xr:uid="{00000000-0005-0000-0000-00002A440000}"/>
    <cellStyle name="20% - Accent6 2 2 8" xfId="1252" xr:uid="{00000000-0005-0000-0000-00002B440000}"/>
    <cellStyle name="20% - Accent6 2 2 8 10" xfId="45330" xr:uid="{00000000-0005-0000-0000-00002C440000}"/>
    <cellStyle name="20% - Accent6 2 2 8 11" xfId="50808" xr:uid="{00000000-0005-0000-0000-00002D440000}"/>
    <cellStyle name="20% - Accent6 2 2 8 2" xfId="3013" xr:uid="{00000000-0005-0000-0000-00002E440000}"/>
    <cellStyle name="20% - Accent6 2 2 8 2 2" xfId="8493" xr:uid="{00000000-0005-0000-0000-00002F440000}"/>
    <cellStyle name="20% - Accent6 2 2 8 2 3" xfId="13969" xr:uid="{00000000-0005-0000-0000-000030440000}"/>
    <cellStyle name="20% - Accent6 2 2 8 2 4" xfId="19445" xr:uid="{00000000-0005-0000-0000-000031440000}"/>
    <cellStyle name="20% - Accent6 2 2 8 2 5" xfId="24921" xr:uid="{00000000-0005-0000-0000-000032440000}"/>
    <cellStyle name="20% - Accent6 2 2 8 2 6" xfId="36717" xr:uid="{00000000-0005-0000-0000-000033440000}"/>
    <cellStyle name="20% - Accent6 2 2 8 2 7" xfId="42194" xr:uid="{00000000-0005-0000-0000-000034440000}"/>
    <cellStyle name="20% - Accent6 2 2 8 2 8" xfId="47671" xr:uid="{00000000-0005-0000-0000-000035440000}"/>
    <cellStyle name="20% - Accent6 2 2 8 2 9" xfId="53189" xr:uid="{00000000-0005-0000-0000-000036440000}"/>
    <cellStyle name="20% - Accent6 2 2 8 3" xfId="4785" xr:uid="{00000000-0005-0000-0000-000037440000}"/>
    <cellStyle name="20% - Accent6 2 2 8 3 2" xfId="10265" xr:uid="{00000000-0005-0000-0000-000038440000}"/>
    <cellStyle name="20% - Accent6 2 2 8 3 3" xfId="15741" xr:uid="{00000000-0005-0000-0000-000039440000}"/>
    <cellStyle name="20% - Accent6 2 2 8 3 4" xfId="21217" xr:uid="{00000000-0005-0000-0000-00003A440000}"/>
    <cellStyle name="20% - Accent6 2 2 8 3 5" xfId="26693" xr:uid="{00000000-0005-0000-0000-00003B440000}"/>
    <cellStyle name="20% - Accent6 2 2 8 3 6" xfId="38489" xr:uid="{00000000-0005-0000-0000-00003C440000}"/>
    <cellStyle name="20% - Accent6 2 2 8 3 7" xfId="43966" xr:uid="{00000000-0005-0000-0000-00003D440000}"/>
    <cellStyle name="20% - Accent6 2 2 8 3 8" xfId="49443" xr:uid="{00000000-0005-0000-0000-00003E440000}"/>
    <cellStyle name="20% - Accent6 2 2 8 3 9" xfId="54961" xr:uid="{00000000-0005-0000-0000-00003F440000}"/>
    <cellStyle name="20% - Accent6 2 2 8 4" xfId="6149" xr:uid="{00000000-0005-0000-0000-000040440000}"/>
    <cellStyle name="20% - Accent6 2 2 8 5" xfId="11629" xr:uid="{00000000-0005-0000-0000-000041440000}"/>
    <cellStyle name="20% - Accent6 2 2 8 6" xfId="17105" xr:uid="{00000000-0005-0000-0000-000042440000}"/>
    <cellStyle name="20% - Accent6 2 2 8 7" xfId="22581" xr:uid="{00000000-0005-0000-0000-000043440000}"/>
    <cellStyle name="20% - Accent6 2 2 8 8" xfId="34376" xr:uid="{00000000-0005-0000-0000-000044440000}"/>
    <cellStyle name="20% - Accent6 2 2 8 9" xfId="39853" xr:uid="{00000000-0005-0000-0000-000045440000}"/>
    <cellStyle name="20% - Accent6 2 2 9" xfId="1424" xr:uid="{00000000-0005-0000-0000-000046440000}"/>
    <cellStyle name="20% - Accent6 2 2 9 10" xfId="45331" xr:uid="{00000000-0005-0000-0000-000047440000}"/>
    <cellStyle name="20% - Accent6 2 2 9 11" xfId="50809" xr:uid="{00000000-0005-0000-0000-000048440000}"/>
    <cellStyle name="20% - Accent6 2 2 9 2" xfId="3185" xr:uid="{00000000-0005-0000-0000-000049440000}"/>
    <cellStyle name="20% - Accent6 2 2 9 2 2" xfId="8665" xr:uid="{00000000-0005-0000-0000-00004A440000}"/>
    <cellStyle name="20% - Accent6 2 2 9 2 3" xfId="14141" xr:uid="{00000000-0005-0000-0000-00004B440000}"/>
    <cellStyle name="20% - Accent6 2 2 9 2 4" xfId="19617" xr:uid="{00000000-0005-0000-0000-00004C440000}"/>
    <cellStyle name="20% - Accent6 2 2 9 2 5" xfId="25093" xr:uid="{00000000-0005-0000-0000-00004D440000}"/>
    <cellStyle name="20% - Accent6 2 2 9 2 6" xfId="36889" xr:uid="{00000000-0005-0000-0000-00004E440000}"/>
    <cellStyle name="20% - Accent6 2 2 9 2 7" xfId="42366" xr:uid="{00000000-0005-0000-0000-00004F440000}"/>
    <cellStyle name="20% - Accent6 2 2 9 2 8" xfId="47843" xr:uid="{00000000-0005-0000-0000-000050440000}"/>
    <cellStyle name="20% - Accent6 2 2 9 2 9" xfId="53361" xr:uid="{00000000-0005-0000-0000-000051440000}"/>
    <cellStyle name="20% - Accent6 2 2 9 3" xfId="4957" xr:uid="{00000000-0005-0000-0000-000052440000}"/>
    <cellStyle name="20% - Accent6 2 2 9 3 2" xfId="10437" xr:uid="{00000000-0005-0000-0000-000053440000}"/>
    <cellStyle name="20% - Accent6 2 2 9 3 3" xfId="15913" xr:uid="{00000000-0005-0000-0000-000054440000}"/>
    <cellStyle name="20% - Accent6 2 2 9 3 4" xfId="21389" xr:uid="{00000000-0005-0000-0000-000055440000}"/>
    <cellStyle name="20% - Accent6 2 2 9 3 5" xfId="26865" xr:uid="{00000000-0005-0000-0000-000056440000}"/>
    <cellStyle name="20% - Accent6 2 2 9 3 6" xfId="38661" xr:uid="{00000000-0005-0000-0000-000057440000}"/>
    <cellStyle name="20% - Accent6 2 2 9 3 7" xfId="44138" xr:uid="{00000000-0005-0000-0000-000058440000}"/>
    <cellStyle name="20% - Accent6 2 2 9 3 8" xfId="49615" xr:uid="{00000000-0005-0000-0000-000059440000}"/>
    <cellStyle name="20% - Accent6 2 2 9 3 9" xfId="55133" xr:uid="{00000000-0005-0000-0000-00005A440000}"/>
    <cellStyle name="20% - Accent6 2 2 9 4" xfId="6150" xr:uid="{00000000-0005-0000-0000-00005B440000}"/>
    <cellStyle name="20% - Accent6 2 2 9 5" xfId="11630" xr:uid="{00000000-0005-0000-0000-00005C440000}"/>
    <cellStyle name="20% - Accent6 2 2 9 6" xfId="17106" xr:uid="{00000000-0005-0000-0000-00005D440000}"/>
    <cellStyle name="20% - Accent6 2 2 9 7" xfId="22582" xr:uid="{00000000-0005-0000-0000-00005E440000}"/>
    <cellStyle name="20% - Accent6 2 2 9 8" xfId="34377" xr:uid="{00000000-0005-0000-0000-00005F440000}"/>
    <cellStyle name="20% - Accent6 2 2 9 9" xfId="39854" xr:uid="{00000000-0005-0000-0000-000060440000}"/>
    <cellStyle name="20% - Accent6 2 20" xfId="6122" xr:uid="{00000000-0005-0000-0000-000061440000}"/>
    <cellStyle name="20% - Accent6 2 21" xfId="11602" xr:uid="{00000000-0005-0000-0000-000062440000}"/>
    <cellStyle name="20% - Accent6 2 22" xfId="17078" xr:uid="{00000000-0005-0000-0000-000063440000}"/>
    <cellStyle name="20% - Accent6 2 23" xfId="22554" xr:uid="{00000000-0005-0000-0000-000064440000}"/>
    <cellStyle name="20% - Accent6 2 24" xfId="29948" xr:uid="{00000000-0005-0000-0000-000065440000}"/>
    <cellStyle name="20% - Accent6 2 25" xfId="34349" xr:uid="{00000000-0005-0000-0000-000066440000}"/>
    <cellStyle name="20% - Accent6 2 26" xfId="39826" xr:uid="{00000000-0005-0000-0000-000067440000}"/>
    <cellStyle name="20% - Accent6 2 27" xfId="45303" xr:uid="{00000000-0005-0000-0000-000068440000}"/>
    <cellStyle name="20% - Accent6 2 28" xfId="50781" xr:uid="{00000000-0005-0000-0000-000069440000}"/>
    <cellStyle name="20% - Accent6 2 3" xfId="152" xr:uid="{00000000-0005-0000-0000-00006A440000}"/>
    <cellStyle name="20% - Accent6 2 3 10" xfId="1598" xr:uid="{00000000-0005-0000-0000-00006B440000}"/>
    <cellStyle name="20% - Accent6 2 3 10 10" xfId="45333" xr:uid="{00000000-0005-0000-0000-00006C440000}"/>
    <cellStyle name="20% - Accent6 2 3 10 11" xfId="50811" xr:uid="{00000000-0005-0000-0000-00006D440000}"/>
    <cellStyle name="20% - Accent6 2 3 10 2" xfId="3359" xr:uid="{00000000-0005-0000-0000-00006E440000}"/>
    <cellStyle name="20% - Accent6 2 3 10 2 2" xfId="8839" xr:uid="{00000000-0005-0000-0000-00006F440000}"/>
    <cellStyle name="20% - Accent6 2 3 10 2 3" xfId="14315" xr:uid="{00000000-0005-0000-0000-000070440000}"/>
    <cellStyle name="20% - Accent6 2 3 10 2 4" xfId="19791" xr:uid="{00000000-0005-0000-0000-000071440000}"/>
    <cellStyle name="20% - Accent6 2 3 10 2 5" xfId="25267" xr:uid="{00000000-0005-0000-0000-000072440000}"/>
    <cellStyle name="20% - Accent6 2 3 10 2 6" xfId="37063" xr:uid="{00000000-0005-0000-0000-000073440000}"/>
    <cellStyle name="20% - Accent6 2 3 10 2 7" xfId="42540" xr:uid="{00000000-0005-0000-0000-000074440000}"/>
    <cellStyle name="20% - Accent6 2 3 10 2 8" xfId="48017" xr:uid="{00000000-0005-0000-0000-000075440000}"/>
    <cellStyle name="20% - Accent6 2 3 10 2 9" xfId="53535" xr:uid="{00000000-0005-0000-0000-000076440000}"/>
    <cellStyle name="20% - Accent6 2 3 10 3" xfId="5131" xr:uid="{00000000-0005-0000-0000-000077440000}"/>
    <cellStyle name="20% - Accent6 2 3 10 3 2" xfId="10611" xr:uid="{00000000-0005-0000-0000-000078440000}"/>
    <cellStyle name="20% - Accent6 2 3 10 3 3" xfId="16087" xr:uid="{00000000-0005-0000-0000-000079440000}"/>
    <cellStyle name="20% - Accent6 2 3 10 3 4" xfId="21563" xr:uid="{00000000-0005-0000-0000-00007A440000}"/>
    <cellStyle name="20% - Accent6 2 3 10 3 5" xfId="27039" xr:uid="{00000000-0005-0000-0000-00007B440000}"/>
    <cellStyle name="20% - Accent6 2 3 10 3 6" xfId="38835" xr:uid="{00000000-0005-0000-0000-00007C440000}"/>
    <cellStyle name="20% - Accent6 2 3 10 3 7" xfId="44312" xr:uid="{00000000-0005-0000-0000-00007D440000}"/>
    <cellStyle name="20% - Accent6 2 3 10 3 8" xfId="49789" xr:uid="{00000000-0005-0000-0000-00007E440000}"/>
    <cellStyle name="20% - Accent6 2 3 10 3 9" xfId="55307" xr:uid="{00000000-0005-0000-0000-00007F440000}"/>
    <cellStyle name="20% - Accent6 2 3 10 4" xfId="6152" xr:uid="{00000000-0005-0000-0000-000080440000}"/>
    <cellStyle name="20% - Accent6 2 3 10 5" xfId="11632" xr:uid="{00000000-0005-0000-0000-000081440000}"/>
    <cellStyle name="20% - Accent6 2 3 10 6" xfId="17108" xr:uid="{00000000-0005-0000-0000-000082440000}"/>
    <cellStyle name="20% - Accent6 2 3 10 7" xfId="22584" xr:uid="{00000000-0005-0000-0000-000083440000}"/>
    <cellStyle name="20% - Accent6 2 3 10 8" xfId="34379" xr:uid="{00000000-0005-0000-0000-000084440000}"/>
    <cellStyle name="20% - Accent6 2 3 10 9" xfId="39856" xr:uid="{00000000-0005-0000-0000-000085440000}"/>
    <cellStyle name="20% - Accent6 2 3 11" xfId="1759" xr:uid="{00000000-0005-0000-0000-000086440000}"/>
    <cellStyle name="20% - Accent6 2 3 11 10" xfId="45334" xr:uid="{00000000-0005-0000-0000-000087440000}"/>
    <cellStyle name="20% - Accent6 2 3 11 11" xfId="50812" xr:uid="{00000000-0005-0000-0000-000088440000}"/>
    <cellStyle name="20% - Accent6 2 3 11 2" xfId="3520" xr:uid="{00000000-0005-0000-0000-000089440000}"/>
    <cellStyle name="20% - Accent6 2 3 11 2 2" xfId="9000" xr:uid="{00000000-0005-0000-0000-00008A440000}"/>
    <cellStyle name="20% - Accent6 2 3 11 2 3" xfId="14476" xr:uid="{00000000-0005-0000-0000-00008B440000}"/>
    <cellStyle name="20% - Accent6 2 3 11 2 4" xfId="19952" xr:uid="{00000000-0005-0000-0000-00008C440000}"/>
    <cellStyle name="20% - Accent6 2 3 11 2 5" xfId="25428" xr:uid="{00000000-0005-0000-0000-00008D440000}"/>
    <cellStyle name="20% - Accent6 2 3 11 2 6" xfId="37224" xr:uid="{00000000-0005-0000-0000-00008E440000}"/>
    <cellStyle name="20% - Accent6 2 3 11 2 7" xfId="42701" xr:uid="{00000000-0005-0000-0000-00008F440000}"/>
    <cellStyle name="20% - Accent6 2 3 11 2 8" xfId="48178" xr:uid="{00000000-0005-0000-0000-000090440000}"/>
    <cellStyle name="20% - Accent6 2 3 11 2 9" xfId="53696" xr:uid="{00000000-0005-0000-0000-000091440000}"/>
    <cellStyle name="20% - Accent6 2 3 11 3" xfId="5292" xr:uid="{00000000-0005-0000-0000-000092440000}"/>
    <cellStyle name="20% - Accent6 2 3 11 3 2" xfId="10772" xr:uid="{00000000-0005-0000-0000-000093440000}"/>
    <cellStyle name="20% - Accent6 2 3 11 3 3" xfId="16248" xr:uid="{00000000-0005-0000-0000-000094440000}"/>
    <cellStyle name="20% - Accent6 2 3 11 3 4" xfId="21724" xr:uid="{00000000-0005-0000-0000-000095440000}"/>
    <cellStyle name="20% - Accent6 2 3 11 3 5" xfId="27200" xr:uid="{00000000-0005-0000-0000-000096440000}"/>
    <cellStyle name="20% - Accent6 2 3 11 3 6" xfId="38996" xr:uid="{00000000-0005-0000-0000-000097440000}"/>
    <cellStyle name="20% - Accent6 2 3 11 3 7" xfId="44473" xr:uid="{00000000-0005-0000-0000-000098440000}"/>
    <cellStyle name="20% - Accent6 2 3 11 3 8" xfId="49950" xr:uid="{00000000-0005-0000-0000-000099440000}"/>
    <cellStyle name="20% - Accent6 2 3 11 3 9" xfId="55468" xr:uid="{00000000-0005-0000-0000-00009A440000}"/>
    <cellStyle name="20% - Accent6 2 3 11 4" xfId="6153" xr:uid="{00000000-0005-0000-0000-00009B440000}"/>
    <cellStyle name="20% - Accent6 2 3 11 5" xfId="11633" xr:uid="{00000000-0005-0000-0000-00009C440000}"/>
    <cellStyle name="20% - Accent6 2 3 11 6" xfId="17109" xr:uid="{00000000-0005-0000-0000-00009D440000}"/>
    <cellStyle name="20% - Accent6 2 3 11 7" xfId="22585" xr:uid="{00000000-0005-0000-0000-00009E440000}"/>
    <cellStyle name="20% - Accent6 2 3 11 8" xfId="34380" xr:uid="{00000000-0005-0000-0000-00009F440000}"/>
    <cellStyle name="20% - Accent6 2 3 11 9" xfId="39857" xr:uid="{00000000-0005-0000-0000-0000A0440000}"/>
    <cellStyle name="20% - Accent6 2 3 12" xfId="1960" xr:uid="{00000000-0005-0000-0000-0000A1440000}"/>
    <cellStyle name="20% - Accent6 2 3 12 10" xfId="52137" xr:uid="{00000000-0005-0000-0000-0000A2440000}"/>
    <cellStyle name="20% - Accent6 2 3 12 2" xfId="5492" xr:uid="{00000000-0005-0000-0000-0000A3440000}"/>
    <cellStyle name="20% - Accent6 2 3 12 2 2" xfId="10972" xr:uid="{00000000-0005-0000-0000-0000A4440000}"/>
    <cellStyle name="20% - Accent6 2 3 12 2 3" xfId="16448" xr:uid="{00000000-0005-0000-0000-0000A5440000}"/>
    <cellStyle name="20% - Accent6 2 3 12 2 4" xfId="21924" xr:uid="{00000000-0005-0000-0000-0000A6440000}"/>
    <cellStyle name="20% - Accent6 2 3 12 2 5" xfId="27400" xr:uid="{00000000-0005-0000-0000-0000A7440000}"/>
    <cellStyle name="20% - Accent6 2 3 12 2 6" xfId="39196" xr:uid="{00000000-0005-0000-0000-0000A8440000}"/>
    <cellStyle name="20% - Accent6 2 3 12 2 7" xfId="44673" xr:uid="{00000000-0005-0000-0000-0000A9440000}"/>
    <cellStyle name="20% - Accent6 2 3 12 2 8" xfId="50150" xr:uid="{00000000-0005-0000-0000-0000AA440000}"/>
    <cellStyle name="20% - Accent6 2 3 12 2 9" xfId="55668" xr:uid="{00000000-0005-0000-0000-0000AB440000}"/>
    <cellStyle name="20% - Accent6 2 3 12 3" xfId="7441" xr:uid="{00000000-0005-0000-0000-0000AC440000}"/>
    <cellStyle name="20% - Accent6 2 3 12 4" xfId="12917" xr:uid="{00000000-0005-0000-0000-0000AD440000}"/>
    <cellStyle name="20% - Accent6 2 3 12 5" xfId="18393" xr:uid="{00000000-0005-0000-0000-0000AE440000}"/>
    <cellStyle name="20% - Accent6 2 3 12 6" xfId="23869" xr:uid="{00000000-0005-0000-0000-0000AF440000}"/>
    <cellStyle name="20% - Accent6 2 3 12 7" xfId="35665" xr:uid="{00000000-0005-0000-0000-0000B0440000}"/>
    <cellStyle name="20% - Accent6 2 3 12 8" xfId="41142" xr:uid="{00000000-0005-0000-0000-0000B1440000}"/>
    <cellStyle name="20% - Accent6 2 3 12 9" xfId="46619" xr:uid="{00000000-0005-0000-0000-0000B2440000}"/>
    <cellStyle name="20% - Accent6 2 3 13" xfId="3724" xr:uid="{00000000-0005-0000-0000-0000B3440000}"/>
    <cellStyle name="20% - Accent6 2 3 13 2" xfId="9204" xr:uid="{00000000-0005-0000-0000-0000B4440000}"/>
    <cellStyle name="20% - Accent6 2 3 13 3" xfId="14680" xr:uid="{00000000-0005-0000-0000-0000B5440000}"/>
    <cellStyle name="20% - Accent6 2 3 13 4" xfId="20156" xr:uid="{00000000-0005-0000-0000-0000B6440000}"/>
    <cellStyle name="20% - Accent6 2 3 13 5" xfId="25632" xr:uid="{00000000-0005-0000-0000-0000B7440000}"/>
    <cellStyle name="20% - Accent6 2 3 13 6" xfId="37428" xr:uid="{00000000-0005-0000-0000-0000B8440000}"/>
    <cellStyle name="20% - Accent6 2 3 13 7" xfId="42905" xr:uid="{00000000-0005-0000-0000-0000B9440000}"/>
    <cellStyle name="20% - Accent6 2 3 13 8" xfId="48382" xr:uid="{00000000-0005-0000-0000-0000BA440000}"/>
    <cellStyle name="20% - Accent6 2 3 13 9" xfId="53900" xr:uid="{00000000-0005-0000-0000-0000BB440000}"/>
    <cellStyle name="20% - Accent6 2 3 14" xfId="6151" xr:uid="{00000000-0005-0000-0000-0000BC440000}"/>
    <cellStyle name="20% - Accent6 2 3 15" xfId="11631" xr:uid="{00000000-0005-0000-0000-0000BD440000}"/>
    <cellStyle name="20% - Accent6 2 3 16" xfId="17107" xr:uid="{00000000-0005-0000-0000-0000BE440000}"/>
    <cellStyle name="20% - Accent6 2 3 17" xfId="22583" xr:uid="{00000000-0005-0000-0000-0000BF440000}"/>
    <cellStyle name="20% - Accent6 2 3 18" xfId="29953" xr:uid="{00000000-0005-0000-0000-0000C0440000}"/>
    <cellStyle name="20% - Accent6 2 3 19" xfId="34378" xr:uid="{00000000-0005-0000-0000-0000C1440000}"/>
    <cellStyle name="20% - Accent6 2 3 2" xfId="244" xr:uid="{00000000-0005-0000-0000-0000C2440000}"/>
    <cellStyle name="20% - Accent6 2 3 2 10" xfId="1758" xr:uid="{00000000-0005-0000-0000-0000C3440000}"/>
    <cellStyle name="20% - Accent6 2 3 2 10 10" xfId="45336" xr:uid="{00000000-0005-0000-0000-0000C4440000}"/>
    <cellStyle name="20% - Accent6 2 3 2 10 11" xfId="50814" xr:uid="{00000000-0005-0000-0000-0000C5440000}"/>
    <cellStyle name="20% - Accent6 2 3 2 10 2" xfId="3519" xr:uid="{00000000-0005-0000-0000-0000C6440000}"/>
    <cellStyle name="20% - Accent6 2 3 2 10 2 2" xfId="8999" xr:uid="{00000000-0005-0000-0000-0000C7440000}"/>
    <cellStyle name="20% - Accent6 2 3 2 10 2 3" xfId="14475" xr:uid="{00000000-0005-0000-0000-0000C8440000}"/>
    <cellStyle name="20% - Accent6 2 3 2 10 2 4" xfId="19951" xr:uid="{00000000-0005-0000-0000-0000C9440000}"/>
    <cellStyle name="20% - Accent6 2 3 2 10 2 5" xfId="25427" xr:uid="{00000000-0005-0000-0000-0000CA440000}"/>
    <cellStyle name="20% - Accent6 2 3 2 10 2 6" xfId="37223" xr:uid="{00000000-0005-0000-0000-0000CB440000}"/>
    <cellStyle name="20% - Accent6 2 3 2 10 2 7" xfId="42700" xr:uid="{00000000-0005-0000-0000-0000CC440000}"/>
    <cellStyle name="20% - Accent6 2 3 2 10 2 8" xfId="48177" xr:uid="{00000000-0005-0000-0000-0000CD440000}"/>
    <cellStyle name="20% - Accent6 2 3 2 10 2 9" xfId="53695" xr:uid="{00000000-0005-0000-0000-0000CE440000}"/>
    <cellStyle name="20% - Accent6 2 3 2 10 3" xfId="5291" xr:uid="{00000000-0005-0000-0000-0000CF440000}"/>
    <cellStyle name="20% - Accent6 2 3 2 10 3 2" xfId="10771" xr:uid="{00000000-0005-0000-0000-0000D0440000}"/>
    <cellStyle name="20% - Accent6 2 3 2 10 3 3" xfId="16247" xr:uid="{00000000-0005-0000-0000-0000D1440000}"/>
    <cellStyle name="20% - Accent6 2 3 2 10 3 4" xfId="21723" xr:uid="{00000000-0005-0000-0000-0000D2440000}"/>
    <cellStyle name="20% - Accent6 2 3 2 10 3 5" xfId="27199" xr:uid="{00000000-0005-0000-0000-0000D3440000}"/>
    <cellStyle name="20% - Accent6 2 3 2 10 3 6" xfId="38995" xr:uid="{00000000-0005-0000-0000-0000D4440000}"/>
    <cellStyle name="20% - Accent6 2 3 2 10 3 7" xfId="44472" xr:uid="{00000000-0005-0000-0000-0000D5440000}"/>
    <cellStyle name="20% - Accent6 2 3 2 10 3 8" xfId="49949" xr:uid="{00000000-0005-0000-0000-0000D6440000}"/>
    <cellStyle name="20% - Accent6 2 3 2 10 3 9" xfId="55467" xr:uid="{00000000-0005-0000-0000-0000D7440000}"/>
    <cellStyle name="20% - Accent6 2 3 2 10 4" xfId="6155" xr:uid="{00000000-0005-0000-0000-0000D8440000}"/>
    <cellStyle name="20% - Accent6 2 3 2 10 5" xfId="11635" xr:uid="{00000000-0005-0000-0000-0000D9440000}"/>
    <cellStyle name="20% - Accent6 2 3 2 10 6" xfId="17111" xr:uid="{00000000-0005-0000-0000-0000DA440000}"/>
    <cellStyle name="20% - Accent6 2 3 2 10 7" xfId="22587" xr:uid="{00000000-0005-0000-0000-0000DB440000}"/>
    <cellStyle name="20% - Accent6 2 3 2 10 8" xfId="34382" xr:uid="{00000000-0005-0000-0000-0000DC440000}"/>
    <cellStyle name="20% - Accent6 2 3 2 10 9" xfId="39859" xr:uid="{00000000-0005-0000-0000-0000DD440000}"/>
    <cellStyle name="20% - Accent6 2 3 2 11" xfId="1961" xr:uid="{00000000-0005-0000-0000-0000DE440000}"/>
    <cellStyle name="20% - Accent6 2 3 2 11 10" xfId="52138" xr:uid="{00000000-0005-0000-0000-0000DF440000}"/>
    <cellStyle name="20% - Accent6 2 3 2 11 2" xfId="5493" xr:uid="{00000000-0005-0000-0000-0000E0440000}"/>
    <cellStyle name="20% - Accent6 2 3 2 11 2 2" xfId="10973" xr:uid="{00000000-0005-0000-0000-0000E1440000}"/>
    <cellStyle name="20% - Accent6 2 3 2 11 2 3" xfId="16449" xr:uid="{00000000-0005-0000-0000-0000E2440000}"/>
    <cellStyle name="20% - Accent6 2 3 2 11 2 4" xfId="21925" xr:uid="{00000000-0005-0000-0000-0000E3440000}"/>
    <cellStyle name="20% - Accent6 2 3 2 11 2 5" xfId="27401" xr:uid="{00000000-0005-0000-0000-0000E4440000}"/>
    <cellStyle name="20% - Accent6 2 3 2 11 2 6" xfId="39197" xr:uid="{00000000-0005-0000-0000-0000E5440000}"/>
    <cellStyle name="20% - Accent6 2 3 2 11 2 7" xfId="44674" xr:uid="{00000000-0005-0000-0000-0000E6440000}"/>
    <cellStyle name="20% - Accent6 2 3 2 11 2 8" xfId="50151" xr:uid="{00000000-0005-0000-0000-0000E7440000}"/>
    <cellStyle name="20% - Accent6 2 3 2 11 2 9" xfId="55669" xr:uid="{00000000-0005-0000-0000-0000E8440000}"/>
    <cellStyle name="20% - Accent6 2 3 2 11 3" xfId="7442" xr:uid="{00000000-0005-0000-0000-0000E9440000}"/>
    <cellStyle name="20% - Accent6 2 3 2 11 4" xfId="12918" xr:uid="{00000000-0005-0000-0000-0000EA440000}"/>
    <cellStyle name="20% - Accent6 2 3 2 11 5" xfId="18394" xr:uid="{00000000-0005-0000-0000-0000EB440000}"/>
    <cellStyle name="20% - Accent6 2 3 2 11 6" xfId="23870" xr:uid="{00000000-0005-0000-0000-0000EC440000}"/>
    <cellStyle name="20% - Accent6 2 3 2 11 7" xfId="35666" xr:uid="{00000000-0005-0000-0000-0000ED440000}"/>
    <cellStyle name="20% - Accent6 2 3 2 11 8" xfId="41143" xr:uid="{00000000-0005-0000-0000-0000EE440000}"/>
    <cellStyle name="20% - Accent6 2 3 2 11 9" xfId="46620" xr:uid="{00000000-0005-0000-0000-0000EF440000}"/>
    <cellStyle name="20% - Accent6 2 3 2 12" xfId="3810" xr:uid="{00000000-0005-0000-0000-0000F0440000}"/>
    <cellStyle name="20% - Accent6 2 3 2 12 2" xfId="9290" xr:uid="{00000000-0005-0000-0000-0000F1440000}"/>
    <cellStyle name="20% - Accent6 2 3 2 12 3" xfId="14766" xr:uid="{00000000-0005-0000-0000-0000F2440000}"/>
    <cellStyle name="20% - Accent6 2 3 2 12 4" xfId="20242" xr:uid="{00000000-0005-0000-0000-0000F3440000}"/>
    <cellStyle name="20% - Accent6 2 3 2 12 5" xfId="25718" xr:uid="{00000000-0005-0000-0000-0000F4440000}"/>
    <cellStyle name="20% - Accent6 2 3 2 12 6" xfId="37514" xr:uid="{00000000-0005-0000-0000-0000F5440000}"/>
    <cellStyle name="20% - Accent6 2 3 2 12 7" xfId="42991" xr:uid="{00000000-0005-0000-0000-0000F6440000}"/>
    <cellStyle name="20% - Accent6 2 3 2 12 8" xfId="48468" xr:uid="{00000000-0005-0000-0000-0000F7440000}"/>
    <cellStyle name="20% - Accent6 2 3 2 12 9" xfId="53986" xr:uid="{00000000-0005-0000-0000-0000F8440000}"/>
    <cellStyle name="20% - Accent6 2 3 2 13" xfId="6154" xr:uid="{00000000-0005-0000-0000-0000F9440000}"/>
    <cellStyle name="20% - Accent6 2 3 2 14" xfId="11634" xr:uid="{00000000-0005-0000-0000-0000FA440000}"/>
    <cellStyle name="20% - Accent6 2 3 2 15" xfId="17110" xr:uid="{00000000-0005-0000-0000-0000FB440000}"/>
    <cellStyle name="20% - Accent6 2 3 2 16" xfId="22586" xr:uid="{00000000-0005-0000-0000-0000FC440000}"/>
    <cellStyle name="20% - Accent6 2 3 2 17" xfId="29954" xr:uid="{00000000-0005-0000-0000-0000FD440000}"/>
    <cellStyle name="20% - Accent6 2 3 2 18" xfId="34381" xr:uid="{00000000-0005-0000-0000-0000FE440000}"/>
    <cellStyle name="20% - Accent6 2 3 2 19" xfId="39858" xr:uid="{00000000-0005-0000-0000-0000FF440000}"/>
    <cellStyle name="20% - Accent6 2 3 2 2" xfId="332" xr:uid="{00000000-0005-0000-0000-000000450000}"/>
    <cellStyle name="20% - Accent6 2 3 2 2 10" xfId="39860" xr:uid="{00000000-0005-0000-0000-000001450000}"/>
    <cellStyle name="20% - Accent6 2 3 2 2 11" xfId="45337" xr:uid="{00000000-0005-0000-0000-000002450000}"/>
    <cellStyle name="20% - Accent6 2 3 2 2 12" xfId="50815" xr:uid="{00000000-0005-0000-0000-000003450000}"/>
    <cellStyle name="20% - Accent6 2 3 2 2 2" xfId="2129" xr:uid="{00000000-0005-0000-0000-000004450000}"/>
    <cellStyle name="20% - Accent6 2 3 2 2 2 2" xfId="7609" xr:uid="{00000000-0005-0000-0000-000005450000}"/>
    <cellStyle name="20% - Accent6 2 3 2 2 2 3" xfId="13085" xr:uid="{00000000-0005-0000-0000-000006450000}"/>
    <cellStyle name="20% - Accent6 2 3 2 2 2 4" xfId="18561" xr:uid="{00000000-0005-0000-0000-000007450000}"/>
    <cellStyle name="20% - Accent6 2 3 2 2 2 5" xfId="24037" xr:uid="{00000000-0005-0000-0000-000008450000}"/>
    <cellStyle name="20% - Accent6 2 3 2 2 2 6" xfId="35833" xr:uid="{00000000-0005-0000-0000-000009450000}"/>
    <cellStyle name="20% - Accent6 2 3 2 2 2 7" xfId="41310" xr:uid="{00000000-0005-0000-0000-00000A450000}"/>
    <cellStyle name="20% - Accent6 2 3 2 2 2 8" xfId="46787" xr:uid="{00000000-0005-0000-0000-00000B450000}"/>
    <cellStyle name="20% - Accent6 2 3 2 2 2 9" xfId="52305" xr:uid="{00000000-0005-0000-0000-00000C450000}"/>
    <cellStyle name="20% - Accent6 2 3 2 2 3" xfId="3894" xr:uid="{00000000-0005-0000-0000-00000D450000}"/>
    <cellStyle name="20% - Accent6 2 3 2 2 3 2" xfId="9374" xr:uid="{00000000-0005-0000-0000-00000E450000}"/>
    <cellStyle name="20% - Accent6 2 3 2 2 3 3" xfId="14850" xr:uid="{00000000-0005-0000-0000-00000F450000}"/>
    <cellStyle name="20% - Accent6 2 3 2 2 3 4" xfId="20326" xr:uid="{00000000-0005-0000-0000-000010450000}"/>
    <cellStyle name="20% - Accent6 2 3 2 2 3 5" xfId="25802" xr:uid="{00000000-0005-0000-0000-000011450000}"/>
    <cellStyle name="20% - Accent6 2 3 2 2 3 6" xfId="37598" xr:uid="{00000000-0005-0000-0000-000012450000}"/>
    <cellStyle name="20% - Accent6 2 3 2 2 3 7" xfId="43075" xr:uid="{00000000-0005-0000-0000-000013450000}"/>
    <cellStyle name="20% - Accent6 2 3 2 2 3 8" xfId="48552" xr:uid="{00000000-0005-0000-0000-000014450000}"/>
    <cellStyle name="20% - Accent6 2 3 2 2 3 9" xfId="54070" xr:uid="{00000000-0005-0000-0000-000015450000}"/>
    <cellStyle name="20% - Accent6 2 3 2 2 4" xfId="6156" xr:uid="{00000000-0005-0000-0000-000016450000}"/>
    <cellStyle name="20% - Accent6 2 3 2 2 5" xfId="11636" xr:uid="{00000000-0005-0000-0000-000017450000}"/>
    <cellStyle name="20% - Accent6 2 3 2 2 6" xfId="17112" xr:uid="{00000000-0005-0000-0000-000018450000}"/>
    <cellStyle name="20% - Accent6 2 3 2 2 7" xfId="22588" xr:uid="{00000000-0005-0000-0000-000019450000}"/>
    <cellStyle name="20% - Accent6 2 3 2 2 8" xfId="29955" xr:uid="{00000000-0005-0000-0000-00001A450000}"/>
    <cellStyle name="20% - Accent6 2 3 2 2 9" xfId="34383" xr:uid="{00000000-0005-0000-0000-00001B450000}"/>
    <cellStyle name="20% - Accent6 2 3 2 20" xfId="45335" xr:uid="{00000000-0005-0000-0000-00001C450000}"/>
    <cellStyle name="20% - Accent6 2 3 2 21" xfId="50813" xr:uid="{00000000-0005-0000-0000-00001D450000}"/>
    <cellStyle name="20% - Accent6 2 3 2 3" xfId="533" xr:uid="{00000000-0005-0000-0000-00001E450000}"/>
    <cellStyle name="20% - Accent6 2 3 2 3 10" xfId="45338" xr:uid="{00000000-0005-0000-0000-00001F450000}"/>
    <cellStyle name="20% - Accent6 2 3 2 3 11" xfId="50816" xr:uid="{00000000-0005-0000-0000-000020450000}"/>
    <cellStyle name="20% - Accent6 2 3 2 3 2" xfId="2294" xr:uid="{00000000-0005-0000-0000-000021450000}"/>
    <cellStyle name="20% - Accent6 2 3 2 3 2 2" xfId="7774" xr:uid="{00000000-0005-0000-0000-000022450000}"/>
    <cellStyle name="20% - Accent6 2 3 2 3 2 3" xfId="13250" xr:uid="{00000000-0005-0000-0000-000023450000}"/>
    <cellStyle name="20% - Accent6 2 3 2 3 2 4" xfId="18726" xr:uid="{00000000-0005-0000-0000-000024450000}"/>
    <cellStyle name="20% - Accent6 2 3 2 3 2 5" xfId="24202" xr:uid="{00000000-0005-0000-0000-000025450000}"/>
    <cellStyle name="20% - Accent6 2 3 2 3 2 6" xfId="35998" xr:uid="{00000000-0005-0000-0000-000026450000}"/>
    <cellStyle name="20% - Accent6 2 3 2 3 2 7" xfId="41475" xr:uid="{00000000-0005-0000-0000-000027450000}"/>
    <cellStyle name="20% - Accent6 2 3 2 3 2 8" xfId="46952" xr:uid="{00000000-0005-0000-0000-000028450000}"/>
    <cellStyle name="20% - Accent6 2 3 2 3 2 9" xfId="52470" xr:uid="{00000000-0005-0000-0000-000029450000}"/>
    <cellStyle name="20% - Accent6 2 3 2 3 3" xfId="4066" xr:uid="{00000000-0005-0000-0000-00002A450000}"/>
    <cellStyle name="20% - Accent6 2 3 2 3 3 2" xfId="9546" xr:uid="{00000000-0005-0000-0000-00002B450000}"/>
    <cellStyle name="20% - Accent6 2 3 2 3 3 3" xfId="15022" xr:uid="{00000000-0005-0000-0000-00002C450000}"/>
    <cellStyle name="20% - Accent6 2 3 2 3 3 4" xfId="20498" xr:uid="{00000000-0005-0000-0000-00002D450000}"/>
    <cellStyle name="20% - Accent6 2 3 2 3 3 5" xfId="25974" xr:uid="{00000000-0005-0000-0000-00002E450000}"/>
    <cellStyle name="20% - Accent6 2 3 2 3 3 6" xfId="37770" xr:uid="{00000000-0005-0000-0000-00002F450000}"/>
    <cellStyle name="20% - Accent6 2 3 2 3 3 7" xfId="43247" xr:uid="{00000000-0005-0000-0000-000030450000}"/>
    <cellStyle name="20% - Accent6 2 3 2 3 3 8" xfId="48724" xr:uid="{00000000-0005-0000-0000-000031450000}"/>
    <cellStyle name="20% - Accent6 2 3 2 3 3 9" xfId="54242" xr:uid="{00000000-0005-0000-0000-000032450000}"/>
    <cellStyle name="20% - Accent6 2 3 2 3 4" xfId="6157" xr:uid="{00000000-0005-0000-0000-000033450000}"/>
    <cellStyle name="20% - Accent6 2 3 2 3 5" xfId="11637" xr:uid="{00000000-0005-0000-0000-000034450000}"/>
    <cellStyle name="20% - Accent6 2 3 2 3 6" xfId="17113" xr:uid="{00000000-0005-0000-0000-000035450000}"/>
    <cellStyle name="20% - Accent6 2 3 2 3 7" xfId="22589" xr:uid="{00000000-0005-0000-0000-000036450000}"/>
    <cellStyle name="20% - Accent6 2 3 2 3 8" xfId="34384" xr:uid="{00000000-0005-0000-0000-000037450000}"/>
    <cellStyle name="20% - Accent6 2 3 2 3 9" xfId="39861" xr:uid="{00000000-0005-0000-0000-000038450000}"/>
    <cellStyle name="20% - Accent6 2 3 2 4" xfId="705" xr:uid="{00000000-0005-0000-0000-000039450000}"/>
    <cellStyle name="20% - Accent6 2 3 2 4 10" xfId="45339" xr:uid="{00000000-0005-0000-0000-00003A450000}"/>
    <cellStyle name="20% - Accent6 2 3 2 4 11" xfId="50817" xr:uid="{00000000-0005-0000-0000-00003B450000}"/>
    <cellStyle name="20% - Accent6 2 3 2 4 2" xfId="2466" xr:uid="{00000000-0005-0000-0000-00003C450000}"/>
    <cellStyle name="20% - Accent6 2 3 2 4 2 2" xfId="7946" xr:uid="{00000000-0005-0000-0000-00003D450000}"/>
    <cellStyle name="20% - Accent6 2 3 2 4 2 3" xfId="13422" xr:uid="{00000000-0005-0000-0000-00003E450000}"/>
    <cellStyle name="20% - Accent6 2 3 2 4 2 4" xfId="18898" xr:uid="{00000000-0005-0000-0000-00003F450000}"/>
    <cellStyle name="20% - Accent6 2 3 2 4 2 5" xfId="24374" xr:uid="{00000000-0005-0000-0000-000040450000}"/>
    <cellStyle name="20% - Accent6 2 3 2 4 2 6" xfId="36170" xr:uid="{00000000-0005-0000-0000-000041450000}"/>
    <cellStyle name="20% - Accent6 2 3 2 4 2 7" xfId="41647" xr:uid="{00000000-0005-0000-0000-000042450000}"/>
    <cellStyle name="20% - Accent6 2 3 2 4 2 8" xfId="47124" xr:uid="{00000000-0005-0000-0000-000043450000}"/>
    <cellStyle name="20% - Accent6 2 3 2 4 2 9" xfId="52642" xr:uid="{00000000-0005-0000-0000-000044450000}"/>
    <cellStyle name="20% - Accent6 2 3 2 4 3" xfId="4238" xr:uid="{00000000-0005-0000-0000-000045450000}"/>
    <cellStyle name="20% - Accent6 2 3 2 4 3 2" xfId="9718" xr:uid="{00000000-0005-0000-0000-000046450000}"/>
    <cellStyle name="20% - Accent6 2 3 2 4 3 3" xfId="15194" xr:uid="{00000000-0005-0000-0000-000047450000}"/>
    <cellStyle name="20% - Accent6 2 3 2 4 3 4" xfId="20670" xr:uid="{00000000-0005-0000-0000-000048450000}"/>
    <cellStyle name="20% - Accent6 2 3 2 4 3 5" xfId="26146" xr:uid="{00000000-0005-0000-0000-000049450000}"/>
    <cellStyle name="20% - Accent6 2 3 2 4 3 6" xfId="37942" xr:uid="{00000000-0005-0000-0000-00004A450000}"/>
    <cellStyle name="20% - Accent6 2 3 2 4 3 7" xfId="43419" xr:uid="{00000000-0005-0000-0000-00004B450000}"/>
    <cellStyle name="20% - Accent6 2 3 2 4 3 8" xfId="48896" xr:uid="{00000000-0005-0000-0000-00004C450000}"/>
    <cellStyle name="20% - Accent6 2 3 2 4 3 9" xfId="54414" xr:uid="{00000000-0005-0000-0000-00004D450000}"/>
    <cellStyle name="20% - Accent6 2 3 2 4 4" xfId="6158" xr:uid="{00000000-0005-0000-0000-00004E450000}"/>
    <cellStyle name="20% - Accent6 2 3 2 4 5" xfId="11638" xr:uid="{00000000-0005-0000-0000-00004F450000}"/>
    <cellStyle name="20% - Accent6 2 3 2 4 6" xfId="17114" xr:uid="{00000000-0005-0000-0000-000050450000}"/>
    <cellStyle name="20% - Accent6 2 3 2 4 7" xfId="22590" xr:uid="{00000000-0005-0000-0000-000051450000}"/>
    <cellStyle name="20% - Accent6 2 3 2 4 8" xfId="34385" xr:uid="{00000000-0005-0000-0000-000052450000}"/>
    <cellStyle name="20% - Accent6 2 3 2 4 9" xfId="39862" xr:uid="{00000000-0005-0000-0000-000053450000}"/>
    <cellStyle name="20% - Accent6 2 3 2 5" xfId="877" xr:uid="{00000000-0005-0000-0000-000054450000}"/>
    <cellStyle name="20% - Accent6 2 3 2 5 10" xfId="45340" xr:uid="{00000000-0005-0000-0000-000055450000}"/>
    <cellStyle name="20% - Accent6 2 3 2 5 11" xfId="50818" xr:uid="{00000000-0005-0000-0000-000056450000}"/>
    <cellStyle name="20% - Accent6 2 3 2 5 2" xfId="2638" xr:uid="{00000000-0005-0000-0000-000057450000}"/>
    <cellStyle name="20% - Accent6 2 3 2 5 2 2" xfId="8118" xr:uid="{00000000-0005-0000-0000-000058450000}"/>
    <cellStyle name="20% - Accent6 2 3 2 5 2 3" xfId="13594" xr:uid="{00000000-0005-0000-0000-000059450000}"/>
    <cellStyle name="20% - Accent6 2 3 2 5 2 4" xfId="19070" xr:uid="{00000000-0005-0000-0000-00005A450000}"/>
    <cellStyle name="20% - Accent6 2 3 2 5 2 5" xfId="24546" xr:uid="{00000000-0005-0000-0000-00005B450000}"/>
    <cellStyle name="20% - Accent6 2 3 2 5 2 6" xfId="36342" xr:uid="{00000000-0005-0000-0000-00005C450000}"/>
    <cellStyle name="20% - Accent6 2 3 2 5 2 7" xfId="41819" xr:uid="{00000000-0005-0000-0000-00005D450000}"/>
    <cellStyle name="20% - Accent6 2 3 2 5 2 8" xfId="47296" xr:uid="{00000000-0005-0000-0000-00005E450000}"/>
    <cellStyle name="20% - Accent6 2 3 2 5 2 9" xfId="52814" xr:uid="{00000000-0005-0000-0000-00005F450000}"/>
    <cellStyle name="20% - Accent6 2 3 2 5 3" xfId="4410" xr:uid="{00000000-0005-0000-0000-000060450000}"/>
    <cellStyle name="20% - Accent6 2 3 2 5 3 2" xfId="9890" xr:uid="{00000000-0005-0000-0000-000061450000}"/>
    <cellStyle name="20% - Accent6 2 3 2 5 3 3" xfId="15366" xr:uid="{00000000-0005-0000-0000-000062450000}"/>
    <cellStyle name="20% - Accent6 2 3 2 5 3 4" xfId="20842" xr:uid="{00000000-0005-0000-0000-000063450000}"/>
    <cellStyle name="20% - Accent6 2 3 2 5 3 5" xfId="26318" xr:uid="{00000000-0005-0000-0000-000064450000}"/>
    <cellStyle name="20% - Accent6 2 3 2 5 3 6" xfId="38114" xr:uid="{00000000-0005-0000-0000-000065450000}"/>
    <cellStyle name="20% - Accent6 2 3 2 5 3 7" xfId="43591" xr:uid="{00000000-0005-0000-0000-000066450000}"/>
    <cellStyle name="20% - Accent6 2 3 2 5 3 8" xfId="49068" xr:uid="{00000000-0005-0000-0000-000067450000}"/>
    <cellStyle name="20% - Accent6 2 3 2 5 3 9" xfId="54586" xr:uid="{00000000-0005-0000-0000-000068450000}"/>
    <cellStyle name="20% - Accent6 2 3 2 5 4" xfId="6159" xr:uid="{00000000-0005-0000-0000-000069450000}"/>
    <cellStyle name="20% - Accent6 2 3 2 5 5" xfId="11639" xr:uid="{00000000-0005-0000-0000-00006A450000}"/>
    <cellStyle name="20% - Accent6 2 3 2 5 6" xfId="17115" xr:uid="{00000000-0005-0000-0000-00006B450000}"/>
    <cellStyle name="20% - Accent6 2 3 2 5 7" xfId="22591" xr:uid="{00000000-0005-0000-0000-00006C450000}"/>
    <cellStyle name="20% - Accent6 2 3 2 5 8" xfId="34386" xr:uid="{00000000-0005-0000-0000-00006D450000}"/>
    <cellStyle name="20% - Accent6 2 3 2 5 9" xfId="39863" xr:uid="{00000000-0005-0000-0000-00006E450000}"/>
    <cellStyle name="20% - Accent6 2 3 2 6" xfId="1083" xr:uid="{00000000-0005-0000-0000-00006F450000}"/>
    <cellStyle name="20% - Accent6 2 3 2 6 10" xfId="45341" xr:uid="{00000000-0005-0000-0000-000070450000}"/>
    <cellStyle name="20% - Accent6 2 3 2 6 11" xfId="50819" xr:uid="{00000000-0005-0000-0000-000071450000}"/>
    <cellStyle name="20% - Accent6 2 3 2 6 2" xfId="2844" xr:uid="{00000000-0005-0000-0000-000072450000}"/>
    <cellStyle name="20% - Accent6 2 3 2 6 2 2" xfId="8324" xr:uid="{00000000-0005-0000-0000-000073450000}"/>
    <cellStyle name="20% - Accent6 2 3 2 6 2 3" xfId="13800" xr:uid="{00000000-0005-0000-0000-000074450000}"/>
    <cellStyle name="20% - Accent6 2 3 2 6 2 4" xfId="19276" xr:uid="{00000000-0005-0000-0000-000075450000}"/>
    <cellStyle name="20% - Accent6 2 3 2 6 2 5" xfId="24752" xr:uid="{00000000-0005-0000-0000-000076450000}"/>
    <cellStyle name="20% - Accent6 2 3 2 6 2 6" xfId="36548" xr:uid="{00000000-0005-0000-0000-000077450000}"/>
    <cellStyle name="20% - Accent6 2 3 2 6 2 7" xfId="42025" xr:uid="{00000000-0005-0000-0000-000078450000}"/>
    <cellStyle name="20% - Accent6 2 3 2 6 2 8" xfId="47502" xr:uid="{00000000-0005-0000-0000-000079450000}"/>
    <cellStyle name="20% - Accent6 2 3 2 6 2 9" xfId="53020" xr:uid="{00000000-0005-0000-0000-00007A450000}"/>
    <cellStyle name="20% - Accent6 2 3 2 6 3" xfId="4616" xr:uid="{00000000-0005-0000-0000-00007B450000}"/>
    <cellStyle name="20% - Accent6 2 3 2 6 3 2" xfId="10096" xr:uid="{00000000-0005-0000-0000-00007C450000}"/>
    <cellStyle name="20% - Accent6 2 3 2 6 3 3" xfId="15572" xr:uid="{00000000-0005-0000-0000-00007D450000}"/>
    <cellStyle name="20% - Accent6 2 3 2 6 3 4" xfId="21048" xr:uid="{00000000-0005-0000-0000-00007E450000}"/>
    <cellStyle name="20% - Accent6 2 3 2 6 3 5" xfId="26524" xr:uid="{00000000-0005-0000-0000-00007F450000}"/>
    <cellStyle name="20% - Accent6 2 3 2 6 3 6" xfId="38320" xr:uid="{00000000-0005-0000-0000-000080450000}"/>
    <cellStyle name="20% - Accent6 2 3 2 6 3 7" xfId="43797" xr:uid="{00000000-0005-0000-0000-000081450000}"/>
    <cellStyle name="20% - Accent6 2 3 2 6 3 8" xfId="49274" xr:uid="{00000000-0005-0000-0000-000082450000}"/>
    <cellStyle name="20% - Accent6 2 3 2 6 3 9" xfId="54792" xr:uid="{00000000-0005-0000-0000-000083450000}"/>
    <cellStyle name="20% - Accent6 2 3 2 6 4" xfId="6160" xr:uid="{00000000-0005-0000-0000-000084450000}"/>
    <cellStyle name="20% - Accent6 2 3 2 6 5" xfId="11640" xr:uid="{00000000-0005-0000-0000-000085450000}"/>
    <cellStyle name="20% - Accent6 2 3 2 6 6" xfId="17116" xr:uid="{00000000-0005-0000-0000-000086450000}"/>
    <cellStyle name="20% - Accent6 2 3 2 6 7" xfId="22592" xr:uid="{00000000-0005-0000-0000-000087450000}"/>
    <cellStyle name="20% - Accent6 2 3 2 6 8" xfId="34387" xr:uid="{00000000-0005-0000-0000-000088450000}"/>
    <cellStyle name="20% - Accent6 2 3 2 6 9" xfId="39864" xr:uid="{00000000-0005-0000-0000-000089450000}"/>
    <cellStyle name="20% - Accent6 2 3 2 7" xfId="1255" xr:uid="{00000000-0005-0000-0000-00008A450000}"/>
    <cellStyle name="20% - Accent6 2 3 2 7 10" xfId="45342" xr:uid="{00000000-0005-0000-0000-00008B450000}"/>
    <cellStyle name="20% - Accent6 2 3 2 7 11" xfId="50820" xr:uid="{00000000-0005-0000-0000-00008C450000}"/>
    <cellStyle name="20% - Accent6 2 3 2 7 2" xfId="3016" xr:uid="{00000000-0005-0000-0000-00008D450000}"/>
    <cellStyle name="20% - Accent6 2 3 2 7 2 2" xfId="8496" xr:uid="{00000000-0005-0000-0000-00008E450000}"/>
    <cellStyle name="20% - Accent6 2 3 2 7 2 3" xfId="13972" xr:uid="{00000000-0005-0000-0000-00008F450000}"/>
    <cellStyle name="20% - Accent6 2 3 2 7 2 4" xfId="19448" xr:uid="{00000000-0005-0000-0000-000090450000}"/>
    <cellStyle name="20% - Accent6 2 3 2 7 2 5" xfId="24924" xr:uid="{00000000-0005-0000-0000-000091450000}"/>
    <cellStyle name="20% - Accent6 2 3 2 7 2 6" xfId="36720" xr:uid="{00000000-0005-0000-0000-000092450000}"/>
    <cellStyle name="20% - Accent6 2 3 2 7 2 7" xfId="42197" xr:uid="{00000000-0005-0000-0000-000093450000}"/>
    <cellStyle name="20% - Accent6 2 3 2 7 2 8" xfId="47674" xr:uid="{00000000-0005-0000-0000-000094450000}"/>
    <cellStyle name="20% - Accent6 2 3 2 7 2 9" xfId="53192" xr:uid="{00000000-0005-0000-0000-000095450000}"/>
    <cellStyle name="20% - Accent6 2 3 2 7 3" xfId="4788" xr:uid="{00000000-0005-0000-0000-000096450000}"/>
    <cellStyle name="20% - Accent6 2 3 2 7 3 2" xfId="10268" xr:uid="{00000000-0005-0000-0000-000097450000}"/>
    <cellStyle name="20% - Accent6 2 3 2 7 3 3" xfId="15744" xr:uid="{00000000-0005-0000-0000-000098450000}"/>
    <cellStyle name="20% - Accent6 2 3 2 7 3 4" xfId="21220" xr:uid="{00000000-0005-0000-0000-000099450000}"/>
    <cellStyle name="20% - Accent6 2 3 2 7 3 5" xfId="26696" xr:uid="{00000000-0005-0000-0000-00009A450000}"/>
    <cellStyle name="20% - Accent6 2 3 2 7 3 6" xfId="38492" xr:uid="{00000000-0005-0000-0000-00009B450000}"/>
    <cellStyle name="20% - Accent6 2 3 2 7 3 7" xfId="43969" xr:uid="{00000000-0005-0000-0000-00009C450000}"/>
    <cellStyle name="20% - Accent6 2 3 2 7 3 8" xfId="49446" xr:uid="{00000000-0005-0000-0000-00009D450000}"/>
    <cellStyle name="20% - Accent6 2 3 2 7 3 9" xfId="54964" xr:uid="{00000000-0005-0000-0000-00009E450000}"/>
    <cellStyle name="20% - Accent6 2 3 2 7 4" xfId="6161" xr:uid="{00000000-0005-0000-0000-00009F450000}"/>
    <cellStyle name="20% - Accent6 2 3 2 7 5" xfId="11641" xr:uid="{00000000-0005-0000-0000-0000A0450000}"/>
    <cellStyle name="20% - Accent6 2 3 2 7 6" xfId="17117" xr:uid="{00000000-0005-0000-0000-0000A1450000}"/>
    <cellStyle name="20% - Accent6 2 3 2 7 7" xfId="22593" xr:uid="{00000000-0005-0000-0000-0000A2450000}"/>
    <cellStyle name="20% - Accent6 2 3 2 7 8" xfId="34388" xr:uid="{00000000-0005-0000-0000-0000A3450000}"/>
    <cellStyle name="20% - Accent6 2 3 2 7 9" xfId="39865" xr:uid="{00000000-0005-0000-0000-0000A4450000}"/>
    <cellStyle name="20% - Accent6 2 3 2 8" xfId="1427" xr:uid="{00000000-0005-0000-0000-0000A5450000}"/>
    <cellStyle name="20% - Accent6 2 3 2 8 10" xfId="45343" xr:uid="{00000000-0005-0000-0000-0000A6450000}"/>
    <cellStyle name="20% - Accent6 2 3 2 8 11" xfId="50821" xr:uid="{00000000-0005-0000-0000-0000A7450000}"/>
    <cellStyle name="20% - Accent6 2 3 2 8 2" xfId="3188" xr:uid="{00000000-0005-0000-0000-0000A8450000}"/>
    <cellStyle name="20% - Accent6 2 3 2 8 2 2" xfId="8668" xr:uid="{00000000-0005-0000-0000-0000A9450000}"/>
    <cellStyle name="20% - Accent6 2 3 2 8 2 3" xfId="14144" xr:uid="{00000000-0005-0000-0000-0000AA450000}"/>
    <cellStyle name="20% - Accent6 2 3 2 8 2 4" xfId="19620" xr:uid="{00000000-0005-0000-0000-0000AB450000}"/>
    <cellStyle name="20% - Accent6 2 3 2 8 2 5" xfId="25096" xr:uid="{00000000-0005-0000-0000-0000AC450000}"/>
    <cellStyle name="20% - Accent6 2 3 2 8 2 6" xfId="36892" xr:uid="{00000000-0005-0000-0000-0000AD450000}"/>
    <cellStyle name="20% - Accent6 2 3 2 8 2 7" xfId="42369" xr:uid="{00000000-0005-0000-0000-0000AE450000}"/>
    <cellStyle name="20% - Accent6 2 3 2 8 2 8" xfId="47846" xr:uid="{00000000-0005-0000-0000-0000AF450000}"/>
    <cellStyle name="20% - Accent6 2 3 2 8 2 9" xfId="53364" xr:uid="{00000000-0005-0000-0000-0000B0450000}"/>
    <cellStyle name="20% - Accent6 2 3 2 8 3" xfId="4960" xr:uid="{00000000-0005-0000-0000-0000B1450000}"/>
    <cellStyle name="20% - Accent6 2 3 2 8 3 2" xfId="10440" xr:uid="{00000000-0005-0000-0000-0000B2450000}"/>
    <cellStyle name="20% - Accent6 2 3 2 8 3 3" xfId="15916" xr:uid="{00000000-0005-0000-0000-0000B3450000}"/>
    <cellStyle name="20% - Accent6 2 3 2 8 3 4" xfId="21392" xr:uid="{00000000-0005-0000-0000-0000B4450000}"/>
    <cellStyle name="20% - Accent6 2 3 2 8 3 5" xfId="26868" xr:uid="{00000000-0005-0000-0000-0000B5450000}"/>
    <cellStyle name="20% - Accent6 2 3 2 8 3 6" xfId="38664" xr:uid="{00000000-0005-0000-0000-0000B6450000}"/>
    <cellStyle name="20% - Accent6 2 3 2 8 3 7" xfId="44141" xr:uid="{00000000-0005-0000-0000-0000B7450000}"/>
    <cellStyle name="20% - Accent6 2 3 2 8 3 8" xfId="49618" xr:uid="{00000000-0005-0000-0000-0000B8450000}"/>
    <cellStyle name="20% - Accent6 2 3 2 8 3 9" xfId="55136" xr:uid="{00000000-0005-0000-0000-0000B9450000}"/>
    <cellStyle name="20% - Accent6 2 3 2 8 4" xfId="6162" xr:uid="{00000000-0005-0000-0000-0000BA450000}"/>
    <cellStyle name="20% - Accent6 2 3 2 8 5" xfId="11642" xr:uid="{00000000-0005-0000-0000-0000BB450000}"/>
    <cellStyle name="20% - Accent6 2 3 2 8 6" xfId="17118" xr:uid="{00000000-0005-0000-0000-0000BC450000}"/>
    <cellStyle name="20% - Accent6 2 3 2 8 7" xfId="22594" xr:uid="{00000000-0005-0000-0000-0000BD450000}"/>
    <cellStyle name="20% - Accent6 2 3 2 8 8" xfId="34389" xr:uid="{00000000-0005-0000-0000-0000BE450000}"/>
    <cellStyle name="20% - Accent6 2 3 2 8 9" xfId="39866" xr:uid="{00000000-0005-0000-0000-0000BF450000}"/>
    <cellStyle name="20% - Accent6 2 3 2 9" xfId="1599" xr:uid="{00000000-0005-0000-0000-0000C0450000}"/>
    <cellStyle name="20% - Accent6 2 3 2 9 10" xfId="45344" xr:uid="{00000000-0005-0000-0000-0000C1450000}"/>
    <cellStyle name="20% - Accent6 2 3 2 9 11" xfId="50822" xr:uid="{00000000-0005-0000-0000-0000C2450000}"/>
    <cellStyle name="20% - Accent6 2 3 2 9 2" xfId="3360" xr:uid="{00000000-0005-0000-0000-0000C3450000}"/>
    <cellStyle name="20% - Accent6 2 3 2 9 2 2" xfId="8840" xr:uid="{00000000-0005-0000-0000-0000C4450000}"/>
    <cellStyle name="20% - Accent6 2 3 2 9 2 3" xfId="14316" xr:uid="{00000000-0005-0000-0000-0000C5450000}"/>
    <cellStyle name="20% - Accent6 2 3 2 9 2 4" xfId="19792" xr:uid="{00000000-0005-0000-0000-0000C6450000}"/>
    <cellStyle name="20% - Accent6 2 3 2 9 2 5" xfId="25268" xr:uid="{00000000-0005-0000-0000-0000C7450000}"/>
    <cellStyle name="20% - Accent6 2 3 2 9 2 6" xfId="37064" xr:uid="{00000000-0005-0000-0000-0000C8450000}"/>
    <cellStyle name="20% - Accent6 2 3 2 9 2 7" xfId="42541" xr:uid="{00000000-0005-0000-0000-0000C9450000}"/>
    <cellStyle name="20% - Accent6 2 3 2 9 2 8" xfId="48018" xr:uid="{00000000-0005-0000-0000-0000CA450000}"/>
    <cellStyle name="20% - Accent6 2 3 2 9 2 9" xfId="53536" xr:uid="{00000000-0005-0000-0000-0000CB450000}"/>
    <cellStyle name="20% - Accent6 2 3 2 9 3" xfId="5132" xr:uid="{00000000-0005-0000-0000-0000CC450000}"/>
    <cellStyle name="20% - Accent6 2 3 2 9 3 2" xfId="10612" xr:uid="{00000000-0005-0000-0000-0000CD450000}"/>
    <cellStyle name="20% - Accent6 2 3 2 9 3 3" xfId="16088" xr:uid="{00000000-0005-0000-0000-0000CE450000}"/>
    <cellStyle name="20% - Accent6 2 3 2 9 3 4" xfId="21564" xr:uid="{00000000-0005-0000-0000-0000CF450000}"/>
    <cellStyle name="20% - Accent6 2 3 2 9 3 5" xfId="27040" xr:uid="{00000000-0005-0000-0000-0000D0450000}"/>
    <cellStyle name="20% - Accent6 2 3 2 9 3 6" xfId="38836" xr:uid="{00000000-0005-0000-0000-0000D1450000}"/>
    <cellStyle name="20% - Accent6 2 3 2 9 3 7" xfId="44313" xr:uid="{00000000-0005-0000-0000-0000D2450000}"/>
    <cellStyle name="20% - Accent6 2 3 2 9 3 8" xfId="49790" xr:uid="{00000000-0005-0000-0000-0000D3450000}"/>
    <cellStyle name="20% - Accent6 2 3 2 9 3 9" xfId="55308" xr:uid="{00000000-0005-0000-0000-0000D4450000}"/>
    <cellStyle name="20% - Accent6 2 3 2 9 4" xfId="6163" xr:uid="{00000000-0005-0000-0000-0000D5450000}"/>
    <cellStyle name="20% - Accent6 2 3 2 9 5" xfId="11643" xr:uid="{00000000-0005-0000-0000-0000D6450000}"/>
    <cellStyle name="20% - Accent6 2 3 2 9 6" xfId="17119" xr:uid="{00000000-0005-0000-0000-0000D7450000}"/>
    <cellStyle name="20% - Accent6 2 3 2 9 7" xfId="22595" xr:uid="{00000000-0005-0000-0000-0000D8450000}"/>
    <cellStyle name="20% - Accent6 2 3 2 9 8" xfId="34390" xr:uid="{00000000-0005-0000-0000-0000D9450000}"/>
    <cellStyle name="20% - Accent6 2 3 2 9 9" xfId="39867" xr:uid="{00000000-0005-0000-0000-0000DA450000}"/>
    <cellStyle name="20% - Accent6 2 3 20" xfId="39855" xr:uid="{00000000-0005-0000-0000-0000DB450000}"/>
    <cellStyle name="20% - Accent6 2 3 21" xfId="45332" xr:uid="{00000000-0005-0000-0000-0000DC450000}"/>
    <cellStyle name="20% - Accent6 2 3 22" xfId="50810" xr:uid="{00000000-0005-0000-0000-0000DD450000}"/>
    <cellStyle name="20% - Accent6 2 3 3" xfId="331" xr:uid="{00000000-0005-0000-0000-0000DE450000}"/>
    <cellStyle name="20% - Accent6 2 3 3 10" xfId="39868" xr:uid="{00000000-0005-0000-0000-0000DF450000}"/>
    <cellStyle name="20% - Accent6 2 3 3 11" xfId="45345" xr:uid="{00000000-0005-0000-0000-0000E0450000}"/>
    <cellStyle name="20% - Accent6 2 3 3 12" xfId="50823" xr:uid="{00000000-0005-0000-0000-0000E1450000}"/>
    <cellStyle name="20% - Accent6 2 3 3 2" xfId="2128" xr:uid="{00000000-0005-0000-0000-0000E2450000}"/>
    <cellStyle name="20% - Accent6 2 3 3 2 2" xfId="7608" xr:uid="{00000000-0005-0000-0000-0000E3450000}"/>
    <cellStyle name="20% - Accent6 2 3 3 2 3" xfId="13084" xr:uid="{00000000-0005-0000-0000-0000E4450000}"/>
    <cellStyle name="20% - Accent6 2 3 3 2 4" xfId="18560" xr:uid="{00000000-0005-0000-0000-0000E5450000}"/>
    <cellStyle name="20% - Accent6 2 3 3 2 5" xfId="24036" xr:uid="{00000000-0005-0000-0000-0000E6450000}"/>
    <cellStyle name="20% - Accent6 2 3 3 2 6" xfId="35832" xr:uid="{00000000-0005-0000-0000-0000E7450000}"/>
    <cellStyle name="20% - Accent6 2 3 3 2 7" xfId="41309" xr:uid="{00000000-0005-0000-0000-0000E8450000}"/>
    <cellStyle name="20% - Accent6 2 3 3 2 8" xfId="46786" xr:uid="{00000000-0005-0000-0000-0000E9450000}"/>
    <cellStyle name="20% - Accent6 2 3 3 2 9" xfId="52304" xr:uid="{00000000-0005-0000-0000-0000EA450000}"/>
    <cellStyle name="20% - Accent6 2 3 3 3" xfId="3893" xr:uid="{00000000-0005-0000-0000-0000EB450000}"/>
    <cellStyle name="20% - Accent6 2 3 3 3 2" xfId="9373" xr:uid="{00000000-0005-0000-0000-0000EC450000}"/>
    <cellStyle name="20% - Accent6 2 3 3 3 3" xfId="14849" xr:uid="{00000000-0005-0000-0000-0000ED450000}"/>
    <cellStyle name="20% - Accent6 2 3 3 3 4" xfId="20325" xr:uid="{00000000-0005-0000-0000-0000EE450000}"/>
    <cellStyle name="20% - Accent6 2 3 3 3 5" xfId="25801" xr:uid="{00000000-0005-0000-0000-0000EF450000}"/>
    <cellStyle name="20% - Accent6 2 3 3 3 6" xfId="37597" xr:uid="{00000000-0005-0000-0000-0000F0450000}"/>
    <cellStyle name="20% - Accent6 2 3 3 3 7" xfId="43074" xr:uid="{00000000-0005-0000-0000-0000F1450000}"/>
    <cellStyle name="20% - Accent6 2 3 3 3 8" xfId="48551" xr:uid="{00000000-0005-0000-0000-0000F2450000}"/>
    <cellStyle name="20% - Accent6 2 3 3 3 9" xfId="54069" xr:uid="{00000000-0005-0000-0000-0000F3450000}"/>
    <cellStyle name="20% - Accent6 2 3 3 4" xfId="6164" xr:uid="{00000000-0005-0000-0000-0000F4450000}"/>
    <cellStyle name="20% - Accent6 2 3 3 5" xfId="11644" xr:uid="{00000000-0005-0000-0000-0000F5450000}"/>
    <cellStyle name="20% - Accent6 2 3 3 6" xfId="17120" xr:uid="{00000000-0005-0000-0000-0000F6450000}"/>
    <cellStyle name="20% - Accent6 2 3 3 7" xfId="22596" xr:uid="{00000000-0005-0000-0000-0000F7450000}"/>
    <cellStyle name="20% - Accent6 2 3 3 8" xfId="29956" xr:uid="{00000000-0005-0000-0000-0000F8450000}"/>
    <cellStyle name="20% - Accent6 2 3 3 9" xfId="34391" xr:uid="{00000000-0005-0000-0000-0000F9450000}"/>
    <cellStyle name="20% - Accent6 2 3 4" xfId="532" xr:uid="{00000000-0005-0000-0000-0000FA450000}"/>
    <cellStyle name="20% - Accent6 2 3 4 10" xfId="45346" xr:uid="{00000000-0005-0000-0000-0000FB450000}"/>
    <cellStyle name="20% - Accent6 2 3 4 11" xfId="50824" xr:uid="{00000000-0005-0000-0000-0000FC450000}"/>
    <cellStyle name="20% - Accent6 2 3 4 2" xfId="2293" xr:uid="{00000000-0005-0000-0000-0000FD450000}"/>
    <cellStyle name="20% - Accent6 2 3 4 2 2" xfId="7773" xr:uid="{00000000-0005-0000-0000-0000FE450000}"/>
    <cellStyle name="20% - Accent6 2 3 4 2 3" xfId="13249" xr:uid="{00000000-0005-0000-0000-0000FF450000}"/>
    <cellStyle name="20% - Accent6 2 3 4 2 4" xfId="18725" xr:uid="{00000000-0005-0000-0000-000000460000}"/>
    <cellStyle name="20% - Accent6 2 3 4 2 5" xfId="24201" xr:uid="{00000000-0005-0000-0000-000001460000}"/>
    <cellStyle name="20% - Accent6 2 3 4 2 6" xfId="35997" xr:uid="{00000000-0005-0000-0000-000002460000}"/>
    <cellStyle name="20% - Accent6 2 3 4 2 7" xfId="41474" xr:uid="{00000000-0005-0000-0000-000003460000}"/>
    <cellStyle name="20% - Accent6 2 3 4 2 8" xfId="46951" xr:uid="{00000000-0005-0000-0000-000004460000}"/>
    <cellStyle name="20% - Accent6 2 3 4 2 9" xfId="52469" xr:uid="{00000000-0005-0000-0000-000005460000}"/>
    <cellStyle name="20% - Accent6 2 3 4 3" xfId="4065" xr:uid="{00000000-0005-0000-0000-000006460000}"/>
    <cellStyle name="20% - Accent6 2 3 4 3 2" xfId="9545" xr:uid="{00000000-0005-0000-0000-000007460000}"/>
    <cellStyle name="20% - Accent6 2 3 4 3 3" xfId="15021" xr:uid="{00000000-0005-0000-0000-000008460000}"/>
    <cellStyle name="20% - Accent6 2 3 4 3 4" xfId="20497" xr:uid="{00000000-0005-0000-0000-000009460000}"/>
    <cellStyle name="20% - Accent6 2 3 4 3 5" xfId="25973" xr:uid="{00000000-0005-0000-0000-00000A460000}"/>
    <cellStyle name="20% - Accent6 2 3 4 3 6" xfId="37769" xr:uid="{00000000-0005-0000-0000-00000B460000}"/>
    <cellStyle name="20% - Accent6 2 3 4 3 7" xfId="43246" xr:uid="{00000000-0005-0000-0000-00000C460000}"/>
    <cellStyle name="20% - Accent6 2 3 4 3 8" xfId="48723" xr:uid="{00000000-0005-0000-0000-00000D460000}"/>
    <cellStyle name="20% - Accent6 2 3 4 3 9" xfId="54241" xr:uid="{00000000-0005-0000-0000-00000E460000}"/>
    <cellStyle name="20% - Accent6 2 3 4 4" xfId="6165" xr:uid="{00000000-0005-0000-0000-00000F460000}"/>
    <cellStyle name="20% - Accent6 2 3 4 5" xfId="11645" xr:uid="{00000000-0005-0000-0000-000010460000}"/>
    <cellStyle name="20% - Accent6 2 3 4 6" xfId="17121" xr:uid="{00000000-0005-0000-0000-000011460000}"/>
    <cellStyle name="20% - Accent6 2 3 4 7" xfId="22597" xr:uid="{00000000-0005-0000-0000-000012460000}"/>
    <cellStyle name="20% - Accent6 2 3 4 8" xfId="34392" xr:uid="{00000000-0005-0000-0000-000013460000}"/>
    <cellStyle name="20% - Accent6 2 3 4 9" xfId="39869" xr:uid="{00000000-0005-0000-0000-000014460000}"/>
    <cellStyle name="20% - Accent6 2 3 5" xfId="704" xr:uid="{00000000-0005-0000-0000-000015460000}"/>
    <cellStyle name="20% - Accent6 2 3 5 10" xfId="45347" xr:uid="{00000000-0005-0000-0000-000016460000}"/>
    <cellStyle name="20% - Accent6 2 3 5 11" xfId="50825" xr:uid="{00000000-0005-0000-0000-000017460000}"/>
    <cellStyle name="20% - Accent6 2 3 5 2" xfId="2465" xr:uid="{00000000-0005-0000-0000-000018460000}"/>
    <cellStyle name="20% - Accent6 2 3 5 2 2" xfId="7945" xr:uid="{00000000-0005-0000-0000-000019460000}"/>
    <cellStyle name="20% - Accent6 2 3 5 2 3" xfId="13421" xr:uid="{00000000-0005-0000-0000-00001A460000}"/>
    <cellStyle name="20% - Accent6 2 3 5 2 4" xfId="18897" xr:uid="{00000000-0005-0000-0000-00001B460000}"/>
    <cellStyle name="20% - Accent6 2 3 5 2 5" xfId="24373" xr:uid="{00000000-0005-0000-0000-00001C460000}"/>
    <cellStyle name="20% - Accent6 2 3 5 2 6" xfId="36169" xr:uid="{00000000-0005-0000-0000-00001D460000}"/>
    <cellStyle name="20% - Accent6 2 3 5 2 7" xfId="41646" xr:uid="{00000000-0005-0000-0000-00001E460000}"/>
    <cellStyle name="20% - Accent6 2 3 5 2 8" xfId="47123" xr:uid="{00000000-0005-0000-0000-00001F460000}"/>
    <cellStyle name="20% - Accent6 2 3 5 2 9" xfId="52641" xr:uid="{00000000-0005-0000-0000-000020460000}"/>
    <cellStyle name="20% - Accent6 2 3 5 3" xfId="4237" xr:uid="{00000000-0005-0000-0000-000021460000}"/>
    <cellStyle name="20% - Accent6 2 3 5 3 2" xfId="9717" xr:uid="{00000000-0005-0000-0000-000022460000}"/>
    <cellStyle name="20% - Accent6 2 3 5 3 3" xfId="15193" xr:uid="{00000000-0005-0000-0000-000023460000}"/>
    <cellStyle name="20% - Accent6 2 3 5 3 4" xfId="20669" xr:uid="{00000000-0005-0000-0000-000024460000}"/>
    <cellStyle name="20% - Accent6 2 3 5 3 5" xfId="26145" xr:uid="{00000000-0005-0000-0000-000025460000}"/>
    <cellStyle name="20% - Accent6 2 3 5 3 6" xfId="37941" xr:uid="{00000000-0005-0000-0000-000026460000}"/>
    <cellStyle name="20% - Accent6 2 3 5 3 7" xfId="43418" xr:uid="{00000000-0005-0000-0000-000027460000}"/>
    <cellStyle name="20% - Accent6 2 3 5 3 8" xfId="48895" xr:uid="{00000000-0005-0000-0000-000028460000}"/>
    <cellStyle name="20% - Accent6 2 3 5 3 9" xfId="54413" xr:uid="{00000000-0005-0000-0000-000029460000}"/>
    <cellStyle name="20% - Accent6 2 3 5 4" xfId="6166" xr:uid="{00000000-0005-0000-0000-00002A460000}"/>
    <cellStyle name="20% - Accent6 2 3 5 5" xfId="11646" xr:uid="{00000000-0005-0000-0000-00002B460000}"/>
    <cellStyle name="20% - Accent6 2 3 5 6" xfId="17122" xr:uid="{00000000-0005-0000-0000-00002C460000}"/>
    <cellStyle name="20% - Accent6 2 3 5 7" xfId="22598" xr:uid="{00000000-0005-0000-0000-00002D460000}"/>
    <cellStyle name="20% - Accent6 2 3 5 8" xfId="34393" xr:uid="{00000000-0005-0000-0000-00002E460000}"/>
    <cellStyle name="20% - Accent6 2 3 5 9" xfId="39870" xr:uid="{00000000-0005-0000-0000-00002F460000}"/>
    <cellStyle name="20% - Accent6 2 3 6" xfId="876" xr:uid="{00000000-0005-0000-0000-000030460000}"/>
    <cellStyle name="20% - Accent6 2 3 6 10" xfId="45348" xr:uid="{00000000-0005-0000-0000-000031460000}"/>
    <cellStyle name="20% - Accent6 2 3 6 11" xfId="50826" xr:uid="{00000000-0005-0000-0000-000032460000}"/>
    <cellStyle name="20% - Accent6 2 3 6 2" xfId="2637" xr:uid="{00000000-0005-0000-0000-000033460000}"/>
    <cellStyle name="20% - Accent6 2 3 6 2 2" xfId="8117" xr:uid="{00000000-0005-0000-0000-000034460000}"/>
    <cellStyle name="20% - Accent6 2 3 6 2 3" xfId="13593" xr:uid="{00000000-0005-0000-0000-000035460000}"/>
    <cellStyle name="20% - Accent6 2 3 6 2 4" xfId="19069" xr:uid="{00000000-0005-0000-0000-000036460000}"/>
    <cellStyle name="20% - Accent6 2 3 6 2 5" xfId="24545" xr:uid="{00000000-0005-0000-0000-000037460000}"/>
    <cellStyle name="20% - Accent6 2 3 6 2 6" xfId="36341" xr:uid="{00000000-0005-0000-0000-000038460000}"/>
    <cellStyle name="20% - Accent6 2 3 6 2 7" xfId="41818" xr:uid="{00000000-0005-0000-0000-000039460000}"/>
    <cellStyle name="20% - Accent6 2 3 6 2 8" xfId="47295" xr:uid="{00000000-0005-0000-0000-00003A460000}"/>
    <cellStyle name="20% - Accent6 2 3 6 2 9" xfId="52813" xr:uid="{00000000-0005-0000-0000-00003B460000}"/>
    <cellStyle name="20% - Accent6 2 3 6 3" xfId="4409" xr:uid="{00000000-0005-0000-0000-00003C460000}"/>
    <cellStyle name="20% - Accent6 2 3 6 3 2" xfId="9889" xr:uid="{00000000-0005-0000-0000-00003D460000}"/>
    <cellStyle name="20% - Accent6 2 3 6 3 3" xfId="15365" xr:uid="{00000000-0005-0000-0000-00003E460000}"/>
    <cellStyle name="20% - Accent6 2 3 6 3 4" xfId="20841" xr:uid="{00000000-0005-0000-0000-00003F460000}"/>
    <cellStyle name="20% - Accent6 2 3 6 3 5" xfId="26317" xr:uid="{00000000-0005-0000-0000-000040460000}"/>
    <cellStyle name="20% - Accent6 2 3 6 3 6" xfId="38113" xr:uid="{00000000-0005-0000-0000-000041460000}"/>
    <cellStyle name="20% - Accent6 2 3 6 3 7" xfId="43590" xr:uid="{00000000-0005-0000-0000-000042460000}"/>
    <cellStyle name="20% - Accent6 2 3 6 3 8" xfId="49067" xr:uid="{00000000-0005-0000-0000-000043460000}"/>
    <cellStyle name="20% - Accent6 2 3 6 3 9" xfId="54585" xr:uid="{00000000-0005-0000-0000-000044460000}"/>
    <cellStyle name="20% - Accent6 2 3 6 4" xfId="6167" xr:uid="{00000000-0005-0000-0000-000045460000}"/>
    <cellStyle name="20% - Accent6 2 3 6 5" xfId="11647" xr:uid="{00000000-0005-0000-0000-000046460000}"/>
    <cellStyle name="20% - Accent6 2 3 6 6" xfId="17123" xr:uid="{00000000-0005-0000-0000-000047460000}"/>
    <cellStyle name="20% - Accent6 2 3 6 7" xfId="22599" xr:uid="{00000000-0005-0000-0000-000048460000}"/>
    <cellStyle name="20% - Accent6 2 3 6 8" xfId="34394" xr:uid="{00000000-0005-0000-0000-000049460000}"/>
    <cellStyle name="20% - Accent6 2 3 6 9" xfId="39871" xr:uid="{00000000-0005-0000-0000-00004A460000}"/>
    <cellStyle name="20% - Accent6 2 3 7" xfId="1082" xr:uid="{00000000-0005-0000-0000-00004B460000}"/>
    <cellStyle name="20% - Accent6 2 3 7 10" xfId="45349" xr:uid="{00000000-0005-0000-0000-00004C460000}"/>
    <cellStyle name="20% - Accent6 2 3 7 11" xfId="50827" xr:uid="{00000000-0005-0000-0000-00004D460000}"/>
    <cellStyle name="20% - Accent6 2 3 7 2" xfId="2843" xr:uid="{00000000-0005-0000-0000-00004E460000}"/>
    <cellStyle name="20% - Accent6 2 3 7 2 2" xfId="8323" xr:uid="{00000000-0005-0000-0000-00004F460000}"/>
    <cellStyle name="20% - Accent6 2 3 7 2 3" xfId="13799" xr:uid="{00000000-0005-0000-0000-000050460000}"/>
    <cellStyle name="20% - Accent6 2 3 7 2 4" xfId="19275" xr:uid="{00000000-0005-0000-0000-000051460000}"/>
    <cellStyle name="20% - Accent6 2 3 7 2 5" xfId="24751" xr:uid="{00000000-0005-0000-0000-000052460000}"/>
    <cellStyle name="20% - Accent6 2 3 7 2 6" xfId="36547" xr:uid="{00000000-0005-0000-0000-000053460000}"/>
    <cellStyle name="20% - Accent6 2 3 7 2 7" xfId="42024" xr:uid="{00000000-0005-0000-0000-000054460000}"/>
    <cellStyle name="20% - Accent6 2 3 7 2 8" xfId="47501" xr:uid="{00000000-0005-0000-0000-000055460000}"/>
    <cellStyle name="20% - Accent6 2 3 7 2 9" xfId="53019" xr:uid="{00000000-0005-0000-0000-000056460000}"/>
    <cellStyle name="20% - Accent6 2 3 7 3" xfId="4615" xr:uid="{00000000-0005-0000-0000-000057460000}"/>
    <cellStyle name="20% - Accent6 2 3 7 3 2" xfId="10095" xr:uid="{00000000-0005-0000-0000-000058460000}"/>
    <cellStyle name="20% - Accent6 2 3 7 3 3" xfId="15571" xr:uid="{00000000-0005-0000-0000-000059460000}"/>
    <cellStyle name="20% - Accent6 2 3 7 3 4" xfId="21047" xr:uid="{00000000-0005-0000-0000-00005A460000}"/>
    <cellStyle name="20% - Accent6 2 3 7 3 5" xfId="26523" xr:uid="{00000000-0005-0000-0000-00005B460000}"/>
    <cellStyle name="20% - Accent6 2 3 7 3 6" xfId="38319" xr:uid="{00000000-0005-0000-0000-00005C460000}"/>
    <cellStyle name="20% - Accent6 2 3 7 3 7" xfId="43796" xr:uid="{00000000-0005-0000-0000-00005D460000}"/>
    <cellStyle name="20% - Accent6 2 3 7 3 8" xfId="49273" xr:uid="{00000000-0005-0000-0000-00005E460000}"/>
    <cellStyle name="20% - Accent6 2 3 7 3 9" xfId="54791" xr:uid="{00000000-0005-0000-0000-00005F460000}"/>
    <cellStyle name="20% - Accent6 2 3 7 4" xfId="6168" xr:uid="{00000000-0005-0000-0000-000060460000}"/>
    <cellStyle name="20% - Accent6 2 3 7 5" xfId="11648" xr:uid="{00000000-0005-0000-0000-000061460000}"/>
    <cellStyle name="20% - Accent6 2 3 7 6" xfId="17124" xr:uid="{00000000-0005-0000-0000-000062460000}"/>
    <cellStyle name="20% - Accent6 2 3 7 7" xfId="22600" xr:uid="{00000000-0005-0000-0000-000063460000}"/>
    <cellStyle name="20% - Accent6 2 3 7 8" xfId="34395" xr:uid="{00000000-0005-0000-0000-000064460000}"/>
    <cellStyle name="20% - Accent6 2 3 7 9" xfId="39872" xr:uid="{00000000-0005-0000-0000-000065460000}"/>
    <cellStyle name="20% - Accent6 2 3 8" xfId="1254" xr:uid="{00000000-0005-0000-0000-000066460000}"/>
    <cellStyle name="20% - Accent6 2 3 8 10" xfId="45350" xr:uid="{00000000-0005-0000-0000-000067460000}"/>
    <cellStyle name="20% - Accent6 2 3 8 11" xfId="50828" xr:uid="{00000000-0005-0000-0000-000068460000}"/>
    <cellStyle name="20% - Accent6 2 3 8 2" xfId="3015" xr:uid="{00000000-0005-0000-0000-000069460000}"/>
    <cellStyle name="20% - Accent6 2 3 8 2 2" xfId="8495" xr:uid="{00000000-0005-0000-0000-00006A460000}"/>
    <cellStyle name="20% - Accent6 2 3 8 2 3" xfId="13971" xr:uid="{00000000-0005-0000-0000-00006B460000}"/>
    <cellStyle name="20% - Accent6 2 3 8 2 4" xfId="19447" xr:uid="{00000000-0005-0000-0000-00006C460000}"/>
    <cellStyle name="20% - Accent6 2 3 8 2 5" xfId="24923" xr:uid="{00000000-0005-0000-0000-00006D460000}"/>
    <cellStyle name="20% - Accent6 2 3 8 2 6" xfId="36719" xr:uid="{00000000-0005-0000-0000-00006E460000}"/>
    <cellStyle name="20% - Accent6 2 3 8 2 7" xfId="42196" xr:uid="{00000000-0005-0000-0000-00006F460000}"/>
    <cellStyle name="20% - Accent6 2 3 8 2 8" xfId="47673" xr:uid="{00000000-0005-0000-0000-000070460000}"/>
    <cellStyle name="20% - Accent6 2 3 8 2 9" xfId="53191" xr:uid="{00000000-0005-0000-0000-000071460000}"/>
    <cellStyle name="20% - Accent6 2 3 8 3" xfId="4787" xr:uid="{00000000-0005-0000-0000-000072460000}"/>
    <cellStyle name="20% - Accent6 2 3 8 3 2" xfId="10267" xr:uid="{00000000-0005-0000-0000-000073460000}"/>
    <cellStyle name="20% - Accent6 2 3 8 3 3" xfId="15743" xr:uid="{00000000-0005-0000-0000-000074460000}"/>
    <cellStyle name="20% - Accent6 2 3 8 3 4" xfId="21219" xr:uid="{00000000-0005-0000-0000-000075460000}"/>
    <cellStyle name="20% - Accent6 2 3 8 3 5" xfId="26695" xr:uid="{00000000-0005-0000-0000-000076460000}"/>
    <cellStyle name="20% - Accent6 2 3 8 3 6" xfId="38491" xr:uid="{00000000-0005-0000-0000-000077460000}"/>
    <cellStyle name="20% - Accent6 2 3 8 3 7" xfId="43968" xr:uid="{00000000-0005-0000-0000-000078460000}"/>
    <cellStyle name="20% - Accent6 2 3 8 3 8" xfId="49445" xr:uid="{00000000-0005-0000-0000-000079460000}"/>
    <cellStyle name="20% - Accent6 2 3 8 3 9" xfId="54963" xr:uid="{00000000-0005-0000-0000-00007A460000}"/>
    <cellStyle name="20% - Accent6 2 3 8 4" xfId="6169" xr:uid="{00000000-0005-0000-0000-00007B460000}"/>
    <cellStyle name="20% - Accent6 2 3 8 5" xfId="11649" xr:uid="{00000000-0005-0000-0000-00007C460000}"/>
    <cellStyle name="20% - Accent6 2 3 8 6" xfId="17125" xr:uid="{00000000-0005-0000-0000-00007D460000}"/>
    <cellStyle name="20% - Accent6 2 3 8 7" xfId="22601" xr:uid="{00000000-0005-0000-0000-00007E460000}"/>
    <cellStyle name="20% - Accent6 2 3 8 8" xfId="34396" xr:uid="{00000000-0005-0000-0000-00007F460000}"/>
    <cellStyle name="20% - Accent6 2 3 8 9" xfId="39873" xr:uid="{00000000-0005-0000-0000-000080460000}"/>
    <cellStyle name="20% - Accent6 2 3 9" xfId="1426" xr:uid="{00000000-0005-0000-0000-000081460000}"/>
    <cellStyle name="20% - Accent6 2 3 9 10" xfId="45351" xr:uid="{00000000-0005-0000-0000-000082460000}"/>
    <cellStyle name="20% - Accent6 2 3 9 11" xfId="50829" xr:uid="{00000000-0005-0000-0000-000083460000}"/>
    <cellStyle name="20% - Accent6 2 3 9 2" xfId="3187" xr:uid="{00000000-0005-0000-0000-000084460000}"/>
    <cellStyle name="20% - Accent6 2 3 9 2 2" xfId="8667" xr:uid="{00000000-0005-0000-0000-000085460000}"/>
    <cellStyle name="20% - Accent6 2 3 9 2 3" xfId="14143" xr:uid="{00000000-0005-0000-0000-000086460000}"/>
    <cellStyle name="20% - Accent6 2 3 9 2 4" xfId="19619" xr:uid="{00000000-0005-0000-0000-000087460000}"/>
    <cellStyle name="20% - Accent6 2 3 9 2 5" xfId="25095" xr:uid="{00000000-0005-0000-0000-000088460000}"/>
    <cellStyle name="20% - Accent6 2 3 9 2 6" xfId="36891" xr:uid="{00000000-0005-0000-0000-000089460000}"/>
    <cellStyle name="20% - Accent6 2 3 9 2 7" xfId="42368" xr:uid="{00000000-0005-0000-0000-00008A460000}"/>
    <cellStyle name="20% - Accent6 2 3 9 2 8" xfId="47845" xr:uid="{00000000-0005-0000-0000-00008B460000}"/>
    <cellStyle name="20% - Accent6 2 3 9 2 9" xfId="53363" xr:uid="{00000000-0005-0000-0000-00008C460000}"/>
    <cellStyle name="20% - Accent6 2 3 9 3" xfId="4959" xr:uid="{00000000-0005-0000-0000-00008D460000}"/>
    <cellStyle name="20% - Accent6 2 3 9 3 2" xfId="10439" xr:uid="{00000000-0005-0000-0000-00008E460000}"/>
    <cellStyle name="20% - Accent6 2 3 9 3 3" xfId="15915" xr:uid="{00000000-0005-0000-0000-00008F460000}"/>
    <cellStyle name="20% - Accent6 2 3 9 3 4" xfId="21391" xr:uid="{00000000-0005-0000-0000-000090460000}"/>
    <cellStyle name="20% - Accent6 2 3 9 3 5" xfId="26867" xr:uid="{00000000-0005-0000-0000-000091460000}"/>
    <cellStyle name="20% - Accent6 2 3 9 3 6" xfId="38663" xr:uid="{00000000-0005-0000-0000-000092460000}"/>
    <cellStyle name="20% - Accent6 2 3 9 3 7" xfId="44140" xr:uid="{00000000-0005-0000-0000-000093460000}"/>
    <cellStyle name="20% - Accent6 2 3 9 3 8" xfId="49617" xr:uid="{00000000-0005-0000-0000-000094460000}"/>
    <cellStyle name="20% - Accent6 2 3 9 3 9" xfId="55135" xr:uid="{00000000-0005-0000-0000-000095460000}"/>
    <cellStyle name="20% - Accent6 2 3 9 4" xfId="6170" xr:uid="{00000000-0005-0000-0000-000096460000}"/>
    <cellStyle name="20% - Accent6 2 3 9 5" xfId="11650" xr:uid="{00000000-0005-0000-0000-000097460000}"/>
    <cellStyle name="20% - Accent6 2 3 9 6" xfId="17126" xr:uid="{00000000-0005-0000-0000-000098460000}"/>
    <cellStyle name="20% - Accent6 2 3 9 7" xfId="22602" xr:uid="{00000000-0005-0000-0000-000099460000}"/>
    <cellStyle name="20% - Accent6 2 3 9 8" xfId="34397" xr:uid="{00000000-0005-0000-0000-00009A460000}"/>
    <cellStyle name="20% - Accent6 2 3 9 9" xfId="39874" xr:uid="{00000000-0005-0000-0000-00009B460000}"/>
    <cellStyle name="20% - Accent6 2 4" xfId="169" xr:uid="{00000000-0005-0000-0000-00009C460000}"/>
    <cellStyle name="20% - Accent6 2 4 10" xfId="1600" xr:uid="{00000000-0005-0000-0000-00009D460000}"/>
    <cellStyle name="20% - Accent6 2 4 10 10" xfId="45353" xr:uid="{00000000-0005-0000-0000-00009E460000}"/>
    <cellStyle name="20% - Accent6 2 4 10 11" xfId="50831" xr:uid="{00000000-0005-0000-0000-00009F460000}"/>
    <cellStyle name="20% - Accent6 2 4 10 2" xfId="3361" xr:uid="{00000000-0005-0000-0000-0000A0460000}"/>
    <cellStyle name="20% - Accent6 2 4 10 2 2" xfId="8841" xr:uid="{00000000-0005-0000-0000-0000A1460000}"/>
    <cellStyle name="20% - Accent6 2 4 10 2 3" xfId="14317" xr:uid="{00000000-0005-0000-0000-0000A2460000}"/>
    <cellStyle name="20% - Accent6 2 4 10 2 4" xfId="19793" xr:uid="{00000000-0005-0000-0000-0000A3460000}"/>
    <cellStyle name="20% - Accent6 2 4 10 2 5" xfId="25269" xr:uid="{00000000-0005-0000-0000-0000A4460000}"/>
    <cellStyle name="20% - Accent6 2 4 10 2 6" xfId="37065" xr:uid="{00000000-0005-0000-0000-0000A5460000}"/>
    <cellStyle name="20% - Accent6 2 4 10 2 7" xfId="42542" xr:uid="{00000000-0005-0000-0000-0000A6460000}"/>
    <cellStyle name="20% - Accent6 2 4 10 2 8" xfId="48019" xr:uid="{00000000-0005-0000-0000-0000A7460000}"/>
    <cellStyle name="20% - Accent6 2 4 10 2 9" xfId="53537" xr:uid="{00000000-0005-0000-0000-0000A8460000}"/>
    <cellStyle name="20% - Accent6 2 4 10 3" xfId="5133" xr:uid="{00000000-0005-0000-0000-0000A9460000}"/>
    <cellStyle name="20% - Accent6 2 4 10 3 2" xfId="10613" xr:uid="{00000000-0005-0000-0000-0000AA460000}"/>
    <cellStyle name="20% - Accent6 2 4 10 3 3" xfId="16089" xr:uid="{00000000-0005-0000-0000-0000AB460000}"/>
    <cellStyle name="20% - Accent6 2 4 10 3 4" xfId="21565" xr:uid="{00000000-0005-0000-0000-0000AC460000}"/>
    <cellStyle name="20% - Accent6 2 4 10 3 5" xfId="27041" xr:uid="{00000000-0005-0000-0000-0000AD460000}"/>
    <cellStyle name="20% - Accent6 2 4 10 3 6" xfId="38837" xr:uid="{00000000-0005-0000-0000-0000AE460000}"/>
    <cellStyle name="20% - Accent6 2 4 10 3 7" xfId="44314" xr:uid="{00000000-0005-0000-0000-0000AF460000}"/>
    <cellStyle name="20% - Accent6 2 4 10 3 8" xfId="49791" xr:uid="{00000000-0005-0000-0000-0000B0460000}"/>
    <cellStyle name="20% - Accent6 2 4 10 3 9" xfId="55309" xr:uid="{00000000-0005-0000-0000-0000B1460000}"/>
    <cellStyle name="20% - Accent6 2 4 10 4" xfId="6172" xr:uid="{00000000-0005-0000-0000-0000B2460000}"/>
    <cellStyle name="20% - Accent6 2 4 10 5" xfId="11652" xr:uid="{00000000-0005-0000-0000-0000B3460000}"/>
    <cellStyle name="20% - Accent6 2 4 10 6" xfId="17128" xr:uid="{00000000-0005-0000-0000-0000B4460000}"/>
    <cellStyle name="20% - Accent6 2 4 10 7" xfId="22604" xr:uid="{00000000-0005-0000-0000-0000B5460000}"/>
    <cellStyle name="20% - Accent6 2 4 10 8" xfId="34399" xr:uid="{00000000-0005-0000-0000-0000B6460000}"/>
    <cellStyle name="20% - Accent6 2 4 10 9" xfId="39876" xr:uid="{00000000-0005-0000-0000-0000B7460000}"/>
    <cellStyle name="20% - Accent6 2 4 11" xfId="1757" xr:uid="{00000000-0005-0000-0000-0000B8460000}"/>
    <cellStyle name="20% - Accent6 2 4 11 10" xfId="45354" xr:uid="{00000000-0005-0000-0000-0000B9460000}"/>
    <cellStyle name="20% - Accent6 2 4 11 11" xfId="50832" xr:uid="{00000000-0005-0000-0000-0000BA460000}"/>
    <cellStyle name="20% - Accent6 2 4 11 2" xfId="3518" xr:uid="{00000000-0005-0000-0000-0000BB460000}"/>
    <cellStyle name="20% - Accent6 2 4 11 2 2" xfId="8998" xr:uid="{00000000-0005-0000-0000-0000BC460000}"/>
    <cellStyle name="20% - Accent6 2 4 11 2 3" xfId="14474" xr:uid="{00000000-0005-0000-0000-0000BD460000}"/>
    <cellStyle name="20% - Accent6 2 4 11 2 4" xfId="19950" xr:uid="{00000000-0005-0000-0000-0000BE460000}"/>
    <cellStyle name="20% - Accent6 2 4 11 2 5" xfId="25426" xr:uid="{00000000-0005-0000-0000-0000BF460000}"/>
    <cellStyle name="20% - Accent6 2 4 11 2 6" xfId="37222" xr:uid="{00000000-0005-0000-0000-0000C0460000}"/>
    <cellStyle name="20% - Accent6 2 4 11 2 7" xfId="42699" xr:uid="{00000000-0005-0000-0000-0000C1460000}"/>
    <cellStyle name="20% - Accent6 2 4 11 2 8" xfId="48176" xr:uid="{00000000-0005-0000-0000-0000C2460000}"/>
    <cellStyle name="20% - Accent6 2 4 11 2 9" xfId="53694" xr:uid="{00000000-0005-0000-0000-0000C3460000}"/>
    <cellStyle name="20% - Accent6 2 4 11 3" xfId="5290" xr:uid="{00000000-0005-0000-0000-0000C4460000}"/>
    <cellStyle name="20% - Accent6 2 4 11 3 2" xfId="10770" xr:uid="{00000000-0005-0000-0000-0000C5460000}"/>
    <cellStyle name="20% - Accent6 2 4 11 3 3" xfId="16246" xr:uid="{00000000-0005-0000-0000-0000C6460000}"/>
    <cellStyle name="20% - Accent6 2 4 11 3 4" xfId="21722" xr:uid="{00000000-0005-0000-0000-0000C7460000}"/>
    <cellStyle name="20% - Accent6 2 4 11 3 5" xfId="27198" xr:uid="{00000000-0005-0000-0000-0000C8460000}"/>
    <cellStyle name="20% - Accent6 2 4 11 3 6" xfId="38994" xr:uid="{00000000-0005-0000-0000-0000C9460000}"/>
    <cellStyle name="20% - Accent6 2 4 11 3 7" xfId="44471" xr:uid="{00000000-0005-0000-0000-0000CA460000}"/>
    <cellStyle name="20% - Accent6 2 4 11 3 8" xfId="49948" xr:uid="{00000000-0005-0000-0000-0000CB460000}"/>
    <cellStyle name="20% - Accent6 2 4 11 3 9" xfId="55466" xr:uid="{00000000-0005-0000-0000-0000CC460000}"/>
    <cellStyle name="20% - Accent6 2 4 11 4" xfId="6173" xr:uid="{00000000-0005-0000-0000-0000CD460000}"/>
    <cellStyle name="20% - Accent6 2 4 11 5" xfId="11653" xr:uid="{00000000-0005-0000-0000-0000CE460000}"/>
    <cellStyle name="20% - Accent6 2 4 11 6" xfId="17129" xr:uid="{00000000-0005-0000-0000-0000CF460000}"/>
    <cellStyle name="20% - Accent6 2 4 11 7" xfId="22605" xr:uid="{00000000-0005-0000-0000-0000D0460000}"/>
    <cellStyle name="20% - Accent6 2 4 11 8" xfId="34400" xr:uid="{00000000-0005-0000-0000-0000D1460000}"/>
    <cellStyle name="20% - Accent6 2 4 11 9" xfId="39877" xr:uid="{00000000-0005-0000-0000-0000D2460000}"/>
    <cellStyle name="20% - Accent6 2 4 12" xfId="1962" xr:uid="{00000000-0005-0000-0000-0000D3460000}"/>
    <cellStyle name="20% - Accent6 2 4 12 10" xfId="52139" xr:uid="{00000000-0005-0000-0000-0000D4460000}"/>
    <cellStyle name="20% - Accent6 2 4 12 2" xfId="5494" xr:uid="{00000000-0005-0000-0000-0000D5460000}"/>
    <cellStyle name="20% - Accent6 2 4 12 2 2" xfId="10974" xr:uid="{00000000-0005-0000-0000-0000D6460000}"/>
    <cellStyle name="20% - Accent6 2 4 12 2 3" xfId="16450" xr:uid="{00000000-0005-0000-0000-0000D7460000}"/>
    <cellStyle name="20% - Accent6 2 4 12 2 4" xfId="21926" xr:uid="{00000000-0005-0000-0000-0000D8460000}"/>
    <cellStyle name="20% - Accent6 2 4 12 2 5" xfId="27402" xr:uid="{00000000-0005-0000-0000-0000D9460000}"/>
    <cellStyle name="20% - Accent6 2 4 12 2 6" xfId="39198" xr:uid="{00000000-0005-0000-0000-0000DA460000}"/>
    <cellStyle name="20% - Accent6 2 4 12 2 7" xfId="44675" xr:uid="{00000000-0005-0000-0000-0000DB460000}"/>
    <cellStyle name="20% - Accent6 2 4 12 2 8" xfId="50152" xr:uid="{00000000-0005-0000-0000-0000DC460000}"/>
    <cellStyle name="20% - Accent6 2 4 12 2 9" xfId="55670" xr:uid="{00000000-0005-0000-0000-0000DD460000}"/>
    <cellStyle name="20% - Accent6 2 4 12 3" xfId="7443" xr:uid="{00000000-0005-0000-0000-0000DE460000}"/>
    <cellStyle name="20% - Accent6 2 4 12 4" xfId="12919" xr:uid="{00000000-0005-0000-0000-0000DF460000}"/>
    <cellStyle name="20% - Accent6 2 4 12 5" xfId="18395" xr:uid="{00000000-0005-0000-0000-0000E0460000}"/>
    <cellStyle name="20% - Accent6 2 4 12 6" xfId="23871" xr:uid="{00000000-0005-0000-0000-0000E1460000}"/>
    <cellStyle name="20% - Accent6 2 4 12 7" xfId="35667" xr:uid="{00000000-0005-0000-0000-0000E2460000}"/>
    <cellStyle name="20% - Accent6 2 4 12 8" xfId="41144" xr:uid="{00000000-0005-0000-0000-0000E3460000}"/>
    <cellStyle name="20% - Accent6 2 4 12 9" xfId="46621" xr:uid="{00000000-0005-0000-0000-0000E4460000}"/>
    <cellStyle name="20% - Accent6 2 4 13" xfId="3741" xr:uid="{00000000-0005-0000-0000-0000E5460000}"/>
    <cellStyle name="20% - Accent6 2 4 13 2" xfId="9221" xr:uid="{00000000-0005-0000-0000-0000E6460000}"/>
    <cellStyle name="20% - Accent6 2 4 13 3" xfId="14697" xr:uid="{00000000-0005-0000-0000-0000E7460000}"/>
    <cellStyle name="20% - Accent6 2 4 13 4" xfId="20173" xr:uid="{00000000-0005-0000-0000-0000E8460000}"/>
    <cellStyle name="20% - Accent6 2 4 13 5" xfId="25649" xr:uid="{00000000-0005-0000-0000-0000E9460000}"/>
    <cellStyle name="20% - Accent6 2 4 13 6" xfId="37445" xr:uid="{00000000-0005-0000-0000-0000EA460000}"/>
    <cellStyle name="20% - Accent6 2 4 13 7" xfId="42922" xr:uid="{00000000-0005-0000-0000-0000EB460000}"/>
    <cellStyle name="20% - Accent6 2 4 13 8" xfId="48399" xr:uid="{00000000-0005-0000-0000-0000EC460000}"/>
    <cellStyle name="20% - Accent6 2 4 13 9" xfId="53917" xr:uid="{00000000-0005-0000-0000-0000ED460000}"/>
    <cellStyle name="20% - Accent6 2 4 14" xfId="6171" xr:uid="{00000000-0005-0000-0000-0000EE460000}"/>
    <cellStyle name="20% - Accent6 2 4 15" xfId="11651" xr:uid="{00000000-0005-0000-0000-0000EF460000}"/>
    <cellStyle name="20% - Accent6 2 4 16" xfId="17127" xr:uid="{00000000-0005-0000-0000-0000F0460000}"/>
    <cellStyle name="20% - Accent6 2 4 17" xfId="22603" xr:uid="{00000000-0005-0000-0000-0000F1460000}"/>
    <cellStyle name="20% - Accent6 2 4 18" xfId="29957" xr:uid="{00000000-0005-0000-0000-0000F2460000}"/>
    <cellStyle name="20% - Accent6 2 4 19" xfId="34398" xr:uid="{00000000-0005-0000-0000-0000F3460000}"/>
    <cellStyle name="20% - Accent6 2 4 2" xfId="261" xr:uid="{00000000-0005-0000-0000-0000F4460000}"/>
    <cellStyle name="20% - Accent6 2 4 2 10" xfId="1756" xr:uid="{00000000-0005-0000-0000-0000F5460000}"/>
    <cellStyle name="20% - Accent6 2 4 2 10 10" xfId="45356" xr:uid="{00000000-0005-0000-0000-0000F6460000}"/>
    <cellStyle name="20% - Accent6 2 4 2 10 11" xfId="50834" xr:uid="{00000000-0005-0000-0000-0000F7460000}"/>
    <cellStyle name="20% - Accent6 2 4 2 10 2" xfId="3517" xr:uid="{00000000-0005-0000-0000-0000F8460000}"/>
    <cellStyle name="20% - Accent6 2 4 2 10 2 2" xfId="8997" xr:uid="{00000000-0005-0000-0000-0000F9460000}"/>
    <cellStyle name="20% - Accent6 2 4 2 10 2 3" xfId="14473" xr:uid="{00000000-0005-0000-0000-0000FA460000}"/>
    <cellStyle name="20% - Accent6 2 4 2 10 2 4" xfId="19949" xr:uid="{00000000-0005-0000-0000-0000FB460000}"/>
    <cellStyle name="20% - Accent6 2 4 2 10 2 5" xfId="25425" xr:uid="{00000000-0005-0000-0000-0000FC460000}"/>
    <cellStyle name="20% - Accent6 2 4 2 10 2 6" xfId="37221" xr:uid="{00000000-0005-0000-0000-0000FD460000}"/>
    <cellStyle name="20% - Accent6 2 4 2 10 2 7" xfId="42698" xr:uid="{00000000-0005-0000-0000-0000FE460000}"/>
    <cellStyle name="20% - Accent6 2 4 2 10 2 8" xfId="48175" xr:uid="{00000000-0005-0000-0000-0000FF460000}"/>
    <cellStyle name="20% - Accent6 2 4 2 10 2 9" xfId="53693" xr:uid="{00000000-0005-0000-0000-000000470000}"/>
    <cellStyle name="20% - Accent6 2 4 2 10 3" xfId="5289" xr:uid="{00000000-0005-0000-0000-000001470000}"/>
    <cellStyle name="20% - Accent6 2 4 2 10 3 2" xfId="10769" xr:uid="{00000000-0005-0000-0000-000002470000}"/>
    <cellStyle name="20% - Accent6 2 4 2 10 3 3" xfId="16245" xr:uid="{00000000-0005-0000-0000-000003470000}"/>
    <cellStyle name="20% - Accent6 2 4 2 10 3 4" xfId="21721" xr:uid="{00000000-0005-0000-0000-000004470000}"/>
    <cellStyle name="20% - Accent6 2 4 2 10 3 5" xfId="27197" xr:uid="{00000000-0005-0000-0000-000005470000}"/>
    <cellStyle name="20% - Accent6 2 4 2 10 3 6" xfId="38993" xr:uid="{00000000-0005-0000-0000-000006470000}"/>
    <cellStyle name="20% - Accent6 2 4 2 10 3 7" xfId="44470" xr:uid="{00000000-0005-0000-0000-000007470000}"/>
    <cellStyle name="20% - Accent6 2 4 2 10 3 8" xfId="49947" xr:uid="{00000000-0005-0000-0000-000008470000}"/>
    <cellStyle name="20% - Accent6 2 4 2 10 3 9" xfId="55465" xr:uid="{00000000-0005-0000-0000-000009470000}"/>
    <cellStyle name="20% - Accent6 2 4 2 10 4" xfId="6175" xr:uid="{00000000-0005-0000-0000-00000A470000}"/>
    <cellStyle name="20% - Accent6 2 4 2 10 5" xfId="11655" xr:uid="{00000000-0005-0000-0000-00000B470000}"/>
    <cellStyle name="20% - Accent6 2 4 2 10 6" xfId="17131" xr:uid="{00000000-0005-0000-0000-00000C470000}"/>
    <cellStyle name="20% - Accent6 2 4 2 10 7" xfId="22607" xr:uid="{00000000-0005-0000-0000-00000D470000}"/>
    <cellStyle name="20% - Accent6 2 4 2 10 8" xfId="34402" xr:uid="{00000000-0005-0000-0000-00000E470000}"/>
    <cellStyle name="20% - Accent6 2 4 2 10 9" xfId="39879" xr:uid="{00000000-0005-0000-0000-00000F470000}"/>
    <cellStyle name="20% - Accent6 2 4 2 11" xfId="1963" xr:uid="{00000000-0005-0000-0000-000010470000}"/>
    <cellStyle name="20% - Accent6 2 4 2 11 10" xfId="52140" xr:uid="{00000000-0005-0000-0000-000011470000}"/>
    <cellStyle name="20% - Accent6 2 4 2 11 2" xfId="5495" xr:uid="{00000000-0005-0000-0000-000012470000}"/>
    <cellStyle name="20% - Accent6 2 4 2 11 2 2" xfId="10975" xr:uid="{00000000-0005-0000-0000-000013470000}"/>
    <cellStyle name="20% - Accent6 2 4 2 11 2 3" xfId="16451" xr:uid="{00000000-0005-0000-0000-000014470000}"/>
    <cellStyle name="20% - Accent6 2 4 2 11 2 4" xfId="21927" xr:uid="{00000000-0005-0000-0000-000015470000}"/>
    <cellStyle name="20% - Accent6 2 4 2 11 2 5" xfId="27403" xr:uid="{00000000-0005-0000-0000-000016470000}"/>
    <cellStyle name="20% - Accent6 2 4 2 11 2 6" xfId="39199" xr:uid="{00000000-0005-0000-0000-000017470000}"/>
    <cellStyle name="20% - Accent6 2 4 2 11 2 7" xfId="44676" xr:uid="{00000000-0005-0000-0000-000018470000}"/>
    <cellStyle name="20% - Accent6 2 4 2 11 2 8" xfId="50153" xr:uid="{00000000-0005-0000-0000-000019470000}"/>
    <cellStyle name="20% - Accent6 2 4 2 11 2 9" xfId="55671" xr:uid="{00000000-0005-0000-0000-00001A470000}"/>
    <cellStyle name="20% - Accent6 2 4 2 11 3" xfId="7444" xr:uid="{00000000-0005-0000-0000-00001B470000}"/>
    <cellStyle name="20% - Accent6 2 4 2 11 4" xfId="12920" xr:uid="{00000000-0005-0000-0000-00001C470000}"/>
    <cellStyle name="20% - Accent6 2 4 2 11 5" xfId="18396" xr:uid="{00000000-0005-0000-0000-00001D470000}"/>
    <cellStyle name="20% - Accent6 2 4 2 11 6" xfId="23872" xr:uid="{00000000-0005-0000-0000-00001E470000}"/>
    <cellStyle name="20% - Accent6 2 4 2 11 7" xfId="35668" xr:uid="{00000000-0005-0000-0000-00001F470000}"/>
    <cellStyle name="20% - Accent6 2 4 2 11 8" xfId="41145" xr:uid="{00000000-0005-0000-0000-000020470000}"/>
    <cellStyle name="20% - Accent6 2 4 2 11 9" xfId="46622" xr:uid="{00000000-0005-0000-0000-000021470000}"/>
    <cellStyle name="20% - Accent6 2 4 2 12" xfId="3827" xr:uid="{00000000-0005-0000-0000-000022470000}"/>
    <cellStyle name="20% - Accent6 2 4 2 12 2" xfId="9307" xr:uid="{00000000-0005-0000-0000-000023470000}"/>
    <cellStyle name="20% - Accent6 2 4 2 12 3" xfId="14783" xr:uid="{00000000-0005-0000-0000-000024470000}"/>
    <cellStyle name="20% - Accent6 2 4 2 12 4" xfId="20259" xr:uid="{00000000-0005-0000-0000-000025470000}"/>
    <cellStyle name="20% - Accent6 2 4 2 12 5" xfId="25735" xr:uid="{00000000-0005-0000-0000-000026470000}"/>
    <cellStyle name="20% - Accent6 2 4 2 12 6" xfId="37531" xr:uid="{00000000-0005-0000-0000-000027470000}"/>
    <cellStyle name="20% - Accent6 2 4 2 12 7" xfId="43008" xr:uid="{00000000-0005-0000-0000-000028470000}"/>
    <cellStyle name="20% - Accent6 2 4 2 12 8" xfId="48485" xr:uid="{00000000-0005-0000-0000-000029470000}"/>
    <cellStyle name="20% - Accent6 2 4 2 12 9" xfId="54003" xr:uid="{00000000-0005-0000-0000-00002A470000}"/>
    <cellStyle name="20% - Accent6 2 4 2 13" xfId="6174" xr:uid="{00000000-0005-0000-0000-00002B470000}"/>
    <cellStyle name="20% - Accent6 2 4 2 14" xfId="11654" xr:uid="{00000000-0005-0000-0000-00002C470000}"/>
    <cellStyle name="20% - Accent6 2 4 2 15" xfId="17130" xr:uid="{00000000-0005-0000-0000-00002D470000}"/>
    <cellStyle name="20% - Accent6 2 4 2 16" xfId="22606" xr:uid="{00000000-0005-0000-0000-00002E470000}"/>
    <cellStyle name="20% - Accent6 2 4 2 17" xfId="29958" xr:uid="{00000000-0005-0000-0000-00002F470000}"/>
    <cellStyle name="20% - Accent6 2 4 2 18" xfId="34401" xr:uid="{00000000-0005-0000-0000-000030470000}"/>
    <cellStyle name="20% - Accent6 2 4 2 19" xfId="39878" xr:uid="{00000000-0005-0000-0000-000031470000}"/>
    <cellStyle name="20% - Accent6 2 4 2 2" xfId="334" xr:uid="{00000000-0005-0000-0000-000032470000}"/>
    <cellStyle name="20% - Accent6 2 4 2 2 10" xfId="39880" xr:uid="{00000000-0005-0000-0000-000033470000}"/>
    <cellStyle name="20% - Accent6 2 4 2 2 11" xfId="45357" xr:uid="{00000000-0005-0000-0000-000034470000}"/>
    <cellStyle name="20% - Accent6 2 4 2 2 12" xfId="50835" xr:uid="{00000000-0005-0000-0000-000035470000}"/>
    <cellStyle name="20% - Accent6 2 4 2 2 2" xfId="2131" xr:uid="{00000000-0005-0000-0000-000036470000}"/>
    <cellStyle name="20% - Accent6 2 4 2 2 2 2" xfId="7611" xr:uid="{00000000-0005-0000-0000-000037470000}"/>
    <cellStyle name="20% - Accent6 2 4 2 2 2 3" xfId="13087" xr:uid="{00000000-0005-0000-0000-000038470000}"/>
    <cellStyle name="20% - Accent6 2 4 2 2 2 4" xfId="18563" xr:uid="{00000000-0005-0000-0000-000039470000}"/>
    <cellStyle name="20% - Accent6 2 4 2 2 2 5" xfId="24039" xr:uid="{00000000-0005-0000-0000-00003A470000}"/>
    <cellStyle name="20% - Accent6 2 4 2 2 2 6" xfId="35835" xr:uid="{00000000-0005-0000-0000-00003B470000}"/>
    <cellStyle name="20% - Accent6 2 4 2 2 2 7" xfId="41312" xr:uid="{00000000-0005-0000-0000-00003C470000}"/>
    <cellStyle name="20% - Accent6 2 4 2 2 2 8" xfId="46789" xr:uid="{00000000-0005-0000-0000-00003D470000}"/>
    <cellStyle name="20% - Accent6 2 4 2 2 2 9" xfId="52307" xr:uid="{00000000-0005-0000-0000-00003E470000}"/>
    <cellStyle name="20% - Accent6 2 4 2 2 3" xfId="3896" xr:uid="{00000000-0005-0000-0000-00003F470000}"/>
    <cellStyle name="20% - Accent6 2 4 2 2 3 2" xfId="9376" xr:uid="{00000000-0005-0000-0000-000040470000}"/>
    <cellStyle name="20% - Accent6 2 4 2 2 3 3" xfId="14852" xr:uid="{00000000-0005-0000-0000-000041470000}"/>
    <cellStyle name="20% - Accent6 2 4 2 2 3 4" xfId="20328" xr:uid="{00000000-0005-0000-0000-000042470000}"/>
    <cellStyle name="20% - Accent6 2 4 2 2 3 5" xfId="25804" xr:uid="{00000000-0005-0000-0000-000043470000}"/>
    <cellStyle name="20% - Accent6 2 4 2 2 3 6" xfId="37600" xr:uid="{00000000-0005-0000-0000-000044470000}"/>
    <cellStyle name="20% - Accent6 2 4 2 2 3 7" xfId="43077" xr:uid="{00000000-0005-0000-0000-000045470000}"/>
    <cellStyle name="20% - Accent6 2 4 2 2 3 8" xfId="48554" xr:uid="{00000000-0005-0000-0000-000046470000}"/>
    <cellStyle name="20% - Accent6 2 4 2 2 3 9" xfId="54072" xr:uid="{00000000-0005-0000-0000-000047470000}"/>
    <cellStyle name="20% - Accent6 2 4 2 2 4" xfId="6176" xr:uid="{00000000-0005-0000-0000-000048470000}"/>
    <cellStyle name="20% - Accent6 2 4 2 2 5" xfId="11656" xr:uid="{00000000-0005-0000-0000-000049470000}"/>
    <cellStyle name="20% - Accent6 2 4 2 2 6" xfId="17132" xr:uid="{00000000-0005-0000-0000-00004A470000}"/>
    <cellStyle name="20% - Accent6 2 4 2 2 7" xfId="22608" xr:uid="{00000000-0005-0000-0000-00004B470000}"/>
    <cellStyle name="20% - Accent6 2 4 2 2 8" xfId="29959" xr:uid="{00000000-0005-0000-0000-00004C470000}"/>
    <cellStyle name="20% - Accent6 2 4 2 2 9" xfId="34403" xr:uid="{00000000-0005-0000-0000-00004D470000}"/>
    <cellStyle name="20% - Accent6 2 4 2 20" xfId="45355" xr:uid="{00000000-0005-0000-0000-00004E470000}"/>
    <cellStyle name="20% - Accent6 2 4 2 21" xfId="50833" xr:uid="{00000000-0005-0000-0000-00004F470000}"/>
    <cellStyle name="20% - Accent6 2 4 2 3" xfId="535" xr:uid="{00000000-0005-0000-0000-000050470000}"/>
    <cellStyle name="20% - Accent6 2 4 2 3 10" xfId="45358" xr:uid="{00000000-0005-0000-0000-000051470000}"/>
    <cellStyle name="20% - Accent6 2 4 2 3 11" xfId="50836" xr:uid="{00000000-0005-0000-0000-000052470000}"/>
    <cellStyle name="20% - Accent6 2 4 2 3 2" xfId="2296" xr:uid="{00000000-0005-0000-0000-000053470000}"/>
    <cellStyle name="20% - Accent6 2 4 2 3 2 2" xfId="7776" xr:uid="{00000000-0005-0000-0000-000054470000}"/>
    <cellStyle name="20% - Accent6 2 4 2 3 2 3" xfId="13252" xr:uid="{00000000-0005-0000-0000-000055470000}"/>
    <cellStyle name="20% - Accent6 2 4 2 3 2 4" xfId="18728" xr:uid="{00000000-0005-0000-0000-000056470000}"/>
    <cellStyle name="20% - Accent6 2 4 2 3 2 5" xfId="24204" xr:uid="{00000000-0005-0000-0000-000057470000}"/>
    <cellStyle name="20% - Accent6 2 4 2 3 2 6" xfId="36000" xr:uid="{00000000-0005-0000-0000-000058470000}"/>
    <cellStyle name="20% - Accent6 2 4 2 3 2 7" xfId="41477" xr:uid="{00000000-0005-0000-0000-000059470000}"/>
    <cellStyle name="20% - Accent6 2 4 2 3 2 8" xfId="46954" xr:uid="{00000000-0005-0000-0000-00005A470000}"/>
    <cellStyle name="20% - Accent6 2 4 2 3 2 9" xfId="52472" xr:uid="{00000000-0005-0000-0000-00005B470000}"/>
    <cellStyle name="20% - Accent6 2 4 2 3 3" xfId="4068" xr:uid="{00000000-0005-0000-0000-00005C470000}"/>
    <cellStyle name="20% - Accent6 2 4 2 3 3 2" xfId="9548" xr:uid="{00000000-0005-0000-0000-00005D470000}"/>
    <cellStyle name="20% - Accent6 2 4 2 3 3 3" xfId="15024" xr:uid="{00000000-0005-0000-0000-00005E470000}"/>
    <cellStyle name="20% - Accent6 2 4 2 3 3 4" xfId="20500" xr:uid="{00000000-0005-0000-0000-00005F470000}"/>
    <cellStyle name="20% - Accent6 2 4 2 3 3 5" xfId="25976" xr:uid="{00000000-0005-0000-0000-000060470000}"/>
    <cellStyle name="20% - Accent6 2 4 2 3 3 6" xfId="37772" xr:uid="{00000000-0005-0000-0000-000061470000}"/>
    <cellStyle name="20% - Accent6 2 4 2 3 3 7" xfId="43249" xr:uid="{00000000-0005-0000-0000-000062470000}"/>
    <cellStyle name="20% - Accent6 2 4 2 3 3 8" xfId="48726" xr:uid="{00000000-0005-0000-0000-000063470000}"/>
    <cellStyle name="20% - Accent6 2 4 2 3 3 9" xfId="54244" xr:uid="{00000000-0005-0000-0000-000064470000}"/>
    <cellStyle name="20% - Accent6 2 4 2 3 4" xfId="6177" xr:uid="{00000000-0005-0000-0000-000065470000}"/>
    <cellStyle name="20% - Accent6 2 4 2 3 5" xfId="11657" xr:uid="{00000000-0005-0000-0000-000066470000}"/>
    <cellStyle name="20% - Accent6 2 4 2 3 6" xfId="17133" xr:uid="{00000000-0005-0000-0000-000067470000}"/>
    <cellStyle name="20% - Accent6 2 4 2 3 7" xfId="22609" xr:uid="{00000000-0005-0000-0000-000068470000}"/>
    <cellStyle name="20% - Accent6 2 4 2 3 8" xfId="34404" xr:uid="{00000000-0005-0000-0000-000069470000}"/>
    <cellStyle name="20% - Accent6 2 4 2 3 9" xfId="39881" xr:uid="{00000000-0005-0000-0000-00006A470000}"/>
    <cellStyle name="20% - Accent6 2 4 2 4" xfId="707" xr:uid="{00000000-0005-0000-0000-00006B470000}"/>
    <cellStyle name="20% - Accent6 2 4 2 4 10" xfId="45359" xr:uid="{00000000-0005-0000-0000-00006C470000}"/>
    <cellStyle name="20% - Accent6 2 4 2 4 11" xfId="50837" xr:uid="{00000000-0005-0000-0000-00006D470000}"/>
    <cellStyle name="20% - Accent6 2 4 2 4 2" xfId="2468" xr:uid="{00000000-0005-0000-0000-00006E470000}"/>
    <cellStyle name="20% - Accent6 2 4 2 4 2 2" xfId="7948" xr:uid="{00000000-0005-0000-0000-00006F470000}"/>
    <cellStyle name="20% - Accent6 2 4 2 4 2 3" xfId="13424" xr:uid="{00000000-0005-0000-0000-000070470000}"/>
    <cellStyle name="20% - Accent6 2 4 2 4 2 4" xfId="18900" xr:uid="{00000000-0005-0000-0000-000071470000}"/>
    <cellStyle name="20% - Accent6 2 4 2 4 2 5" xfId="24376" xr:uid="{00000000-0005-0000-0000-000072470000}"/>
    <cellStyle name="20% - Accent6 2 4 2 4 2 6" xfId="36172" xr:uid="{00000000-0005-0000-0000-000073470000}"/>
    <cellStyle name="20% - Accent6 2 4 2 4 2 7" xfId="41649" xr:uid="{00000000-0005-0000-0000-000074470000}"/>
    <cellStyle name="20% - Accent6 2 4 2 4 2 8" xfId="47126" xr:uid="{00000000-0005-0000-0000-000075470000}"/>
    <cellStyle name="20% - Accent6 2 4 2 4 2 9" xfId="52644" xr:uid="{00000000-0005-0000-0000-000076470000}"/>
    <cellStyle name="20% - Accent6 2 4 2 4 3" xfId="4240" xr:uid="{00000000-0005-0000-0000-000077470000}"/>
    <cellStyle name="20% - Accent6 2 4 2 4 3 2" xfId="9720" xr:uid="{00000000-0005-0000-0000-000078470000}"/>
    <cellStyle name="20% - Accent6 2 4 2 4 3 3" xfId="15196" xr:uid="{00000000-0005-0000-0000-000079470000}"/>
    <cellStyle name="20% - Accent6 2 4 2 4 3 4" xfId="20672" xr:uid="{00000000-0005-0000-0000-00007A470000}"/>
    <cellStyle name="20% - Accent6 2 4 2 4 3 5" xfId="26148" xr:uid="{00000000-0005-0000-0000-00007B470000}"/>
    <cellStyle name="20% - Accent6 2 4 2 4 3 6" xfId="37944" xr:uid="{00000000-0005-0000-0000-00007C470000}"/>
    <cellStyle name="20% - Accent6 2 4 2 4 3 7" xfId="43421" xr:uid="{00000000-0005-0000-0000-00007D470000}"/>
    <cellStyle name="20% - Accent6 2 4 2 4 3 8" xfId="48898" xr:uid="{00000000-0005-0000-0000-00007E470000}"/>
    <cellStyle name="20% - Accent6 2 4 2 4 3 9" xfId="54416" xr:uid="{00000000-0005-0000-0000-00007F470000}"/>
    <cellStyle name="20% - Accent6 2 4 2 4 4" xfId="6178" xr:uid="{00000000-0005-0000-0000-000080470000}"/>
    <cellStyle name="20% - Accent6 2 4 2 4 5" xfId="11658" xr:uid="{00000000-0005-0000-0000-000081470000}"/>
    <cellStyle name="20% - Accent6 2 4 2 4 6" xfId="17134" xr:uid="{00000000-0005-0000-0000-000082470000}"/>
    <cellStyle name="20% - Accent6 2 4 2 4 7" xfId="22610" xr:uid="{00000000-0005-0000-0000-000083470000}"/>
    <cellStyle name="20% - Accent6 2 4 2 4 8" xfId="34405" xr:uid="{00000000-0005-0000-0000-000084470000}"/>
    <cellStyle name="20% - Accent6 2 4 2 4 9" xfId="39882" xr:uid="{00000000-0005-0000-0000-000085470000}"/>
    <cellStyle name="20% - Accent6 2 4 2 5" xfId="879" xr:uid="{00000000-0005-0000-0000-000086470000}"/>
    <cellStyle name="20% - Accent6 2 4 2 5 10" xfId="45360" xr:uid="{00000000-0005-0000-0000-000087470000}"/>
    <cellStyle name="20% - Accent6 2 4 2 5 11" xfId="50838" xr:uid="{00000000-0005-0000-0000-000088470000}"/>
    <cellStyle name="20% - Accent6 2 4 2 5 2" xfId="2640" xr:uid="{00000000-0005-0000-0000-000089470000}"/>
    <cellStyle name="20% - Accent6 2 4 2 5 2 2" xfId="8120" xr:uid="{00000000-0005-0000-0000-00008A470000}"/>
    <cellStyle name="20% - Accent6 2 4 2 5 2 3" xfId="13596" xr:uid="{00000000-0005-0000-0000-00008B470000}"/>
    <cellStyle name="20% - Accent6 2 4 2 5 2 4" xfId="19072" xr:uid="{00000000-0005-0000-0000-00008C470000}"/>
    <cellStyle name="20% - Accent6 2 4 2 5 2 5" xfId="24548" xr:uid="{00000000-0005-0000-0000-00008D470000}"/>
    <cellStyle name="20% - Accent6 2 4 2 5 2 6" xfId="36344" xr:uid="{00000000-0005-0000-0000-00008E470000}"/>
    <cellStyle name="20% - Accent6 2 4 2 5 2 7" xfId="41821" xr:uid="{00000000-0005-0000-0000-00008F470000}"/>
    <cellStyle name="20% - Accent6 2 4 2 5 2 8" xfId="47298" xr:uid="{00000000-0005-0000-0000-000090470000}"/>
    <cellStyle name="20% - Accent6 2 4 2 5 2 9" xfId="52816" xr:uid="{00000000-0005-0000-0000-000091470000}"/>
    <cellStyle name="20% - Accent6 2 4 2 5 3" xfId="4412" xr:uid="{00000000-0005-0000-0000-000092470000}"/>
    <cellStyle name="20% - Accent6 2 4 2 5 3 2" xfId="9892" xr:uid="{00000000-0005-0000-0000-000093470000}"/>
    <cellStyle name="20% - Accent6 2 4 2 5 3 3" xfId="15368" xr:uid="{00000000-0005-0000-0000-000094470000}"/>
    <cellStyle name="20% - Accent6 2 4 2 5 3 4" xfId="20844" xr:uid="{00000000-0005-0000-0000-000095470000}"/>
    <cellStyle name="20% - Accent6 2 4 2 5 3 5" xfId="26320" xr:uid="{00000000-0005-0000-0000-000096470000}"/>
    <cellStyle name="20% - Accent6 2 4 2 5 3 6" xfId="38116" xr:uid="{00000000-0005-0000-0000-000097470000}"/>
    <cellStyle name="20% - Accent6 2 4 2 5 3 7" xfId="43593" xr:uid="{00000000-0005-0000-0000-000098470000}"/>
    <cellStyle name="20% - Accent6 2 4 2 5 3 8" xfId="49070" xr:uid="{00000000-0005-0000-0000-000099470000}"/>
    <cellStyle name="20% - Accent6 2 4 2 5 3 9" xfId="54588" xr:uid="{00000000-0005-0000-0000-00009A470000}"/>
    <cellStyle name="20% - Accent6 2 4 2 5 4" xfId="6179" xr:uid="{00000000-0005-0000-0000-00009B470000}"/>
    <cellStyle name="20% - Accent6 2 4 2 5 5" xfId="11659" xr:uid="{00000000-0005-0000-0000-00009C470000}"/>
    <cellStyle name="20% - Accent6 2 4 2 5 6" xfId="17135" xr:uid="{00000000-0005-0000-0000-00009D470000}"/>
    <cellStyle name="20% - Accent6 2 4 2 5 7" xfId="22611" xr:uid="{00000000-0005-0000-0000-00009E470000}"/>
    <cellStyle name="20% - Accent6 2 4 2 5 8" xfId="34406" xr:uid="{00000000-0005-0000-0000-00009F470000}"/>
    <cellStyle name="20% - Accent6 2 4 2 5 9" xfId="39883" xr:uid="{00000000-0005-0000-0000-0000A0470000}"/>
    <cellStyle name="20% - Accent6 2 4 2 6" xfId="1085" xr:uid="{00000000-0005-0000-0000-0000A1470000}"/>
    <cellStyle name="20% - Accent6 2 4 2 6 10" xfId="45361" xr:uid="{00000000-0005-0000-0000-0000A2470000}"/>
    <cellStyle name="20% - Accent6 2 4 2 6 11" xfId="50839" xr:uid="{00000000-0005-0000-0000-0000A3470000}"/>
    <cellStyle name="20% - Accent6 2 4 2 6 2" xfId="2846" xr:uid="{00000000-0005-0000-0000-0000A4470000}"/>
    <cellStyle name="20% - Accent6 2 4 2 6 2 2" xfId="8326" xr:uid="{00000000-0005-0000-0000-0000A5470000}"/>
    <cellStyle name="20% - Accent6 2 4 2 6 2 3" xfId="13802" xr:uid="{00000000-0005-0000-0000-0000A6470000}"/>
    <cellStyle name="20% - Accent6 2 4 2 6 2 4" xfId="19278" xr:uid="{00000000-0005-0000-0000-0000A7470000}"/>
    <cellStyle name="20% - Accent6 2 4 2 6 2 5" xfId="24754" xr:uid="{00000000-0005-0000-0000-0000A8470000}"/>
    <cellStyle name="20% - Accent6 2 4 2 6 2 6" xfId="36550" xr:uid="{00000000-0005-0000-0000-0000A9470000}"/>
    <cellStyle name="20% - Accent6 2 4 2 6 2 7" xfId="42027" xr:uid="{00000000-0005-0000-0000-0000AA470000}"/>
    <cellStyle name="20% - Accent6 2 4 2 6 2 8" xfId="47504" xr:uid="{00000000-0005-0000-0000-0000AB470000}"/>
    <cellStyle name="20% - Accent6 2 4 2 6 2 9" xfId="53022" xr:uid="{00000000-0005-0000-0000-0000AC470000}"/>
    <cellStyle name="20% - Accent6 2 4 2 6 3" xfId="4618" xr:uid="{00000000-0005-0000-0000-0000AD470000}"/>
    <cellStyle name="20% - Accent6 2 4 2 6 3 2" xfId="10098" xr:uid="{00000000-0005-0000-0000-0000AE470000}"/>
    <cellStyle name="20% - Accent6 2 4 2 6 3 3" xfId="15574" xr:uid="{00000000-0005-0000-0000-0000AF470000}"/>
    <cellStyle name="20% - Accent6 2 4 2 6 3 4" xfId="21050" xr:uid="{00000000-0005-0000-0000-0000B0470000}"/>
    <cellStyle name="20% - Accent6 2 4 2 6 3 5" xfId="26526" xr:uid="{00000000-0005-0000-0000-0000B1470000}"/>
    <cellStyle name="20% - Accent6 2 4 2 6 3 6" xfId="38322" xr:uid="{00000000-0005-0000-0000-0000B2470000}"/>
    <cellStyle name="20% - Accent6 2 4 2 6 3 7" xfId="43799" xr:uid="{00000000-0005-0000-0000-0000B3470000}"/>
    <cellStyle name="20% - Accent6 2 4 2 6 3 8" xfId="49276" xr:uid="{00000000-0005-0000-0000-0000B4470000}"/>
    <cellStyle name="20% - Accent6 2 4 2 6 3 9" xfId="54794" xr:uid="{00000000-0005-0000-0000-0000B5470000}"/>
    <cellStyle name="20% - Accent6 2 4 2 6 4" xfId="6180" xr:uid="{00000000-0005-0000-0000-0000B6470000}"/>
    <cellStyle name="20% - Accent6 2 4 2 6 5" xfId="11660" xr:uid="{00000000-0005-0000-0000-0000B7470000}"/>
    <cellStyle name="20% - Accent6 2 4 2 6 6" xfId="17136" xr:uid="{00000000-0005-0000-0000-0000B8470000}"/>
    <cellStyle name="20% - Accent6 2 4 2 6 7" xfId="22612" xr:uid="{00000000-0005-0000-0000-0000B9470000}"/>
    <cellStyle name="20% - Accent6 2 4 2 6 8" xfId="34407" xr:uid="{00000000-0005-0000-0000-0000BA470000}"/>
    <cellStyle name="20% - Accent6 2 4 2 6 9" xfId="39884" xr:uid="{00000000-0005-0000-0000-0000BB470000}"/>
    <cellStyle name="20% - Accent6 2 4 2 7" xfId="1257" xr:uid="{00000000-0005-0000-0000-0000BC470000}"/>
    <cellStyle name="20% - Accent6 2 4 2 7 10" xfId="45362" xr:uid="{00000000-0005-0000-0000-0000BD470000}"/>
    <cellStyle name="20% - Accent6 2 4 2 7 11" xfId="50840" xr:uid="{00000000-0005-0000-0000-0000BE470000}"/>
    <cellStyle name="20% - Accent6 2 4 2 7 2" xfId="3018" xr:uid="{00000000-0005-0000-0000-0000BF470000}"/>
    <cellStyle name="20% - Accent6 2 4 2 7 2 2" xfId="8498" xr:uid="{00000000-0005-0000-0000-0000C0470000}"/>
    <cellStyle name="20% - Accent6 2 4 2 7 2 3" xfId="13974" xr:uid="{00000000-0005-0000-0000-0000C1470000}"/>
    <cellStyle name="20% - Accent6 2 4 2 7 2 4" xfId="19450" xr:uid="{00000000-0005-0000-0000-0000C2470000}"/>
    <cellStyle name="20% - Accent6 2 4 2 7 2 5" xfId="24926" xr:uid="{00000000-0005-0000-0000-0000C3470000}"/>
    <cellStyle name="20% - Accent6 2 4 2 7 2 6" xfId="36722" xr:uid="{00000000-0005-0000-0000-0000C4470000}"/>
    <cellStyle name="20% - Accent6 2 4 2 7 2 7" xfId="42199" xr:uid="{00000000-0005-0000-0000-0000C5470000}"/>
    <cellStyle name="20% - Accent6 2 4 2 7 2 8" xfId="47676" xr:uid="{00000000-0005-0000-0000-0000C6470000}"/>
    <cellStyle name="20% - Accent6 2 4 2 7 2 9" xfId="53194" xr:uid="{00000000-0005-0000-0000-0000C7470000}"/>
    <cellStyle name="20% - Accent6 2 4 2 7 3" xfId="4790" xr:uid="{00000000-0005-0000-0000-0000C8470000}"/>
    <cellStyle name="20% - Accent6 2 4 2 7 3 2" xfId="10270" xr:uid="{00000000-0005-0000-0000-0000C9470000}"/>
    <cellStyle name="20% - Accent6 2 4 2 7 3 3" xfId="15746" xr:uid="{00000000-0005-0000-0000-0000CA470000}"/>
    <cellStyle name="20% - Accent6 2 4 2 7 3 4" xfId="21222" xr:uid="{00000000-0005-0000-0000-0000CB470000}"/>
    <cellStyle name="20% - Accent6 2 4 2 7 3 5" xfId="26698" xr:uid="{00000000-0005-0000-0000-0000CC470000}"/>
    <cellStyle name="20% - Accent6 2 4 2 7 3 6" xfId="38494" xr:uid="{00000000-0005-0000-0000-0000CD470000}"/>
    <cellStyle name="20% - Accent6 2 4 2 7 3 7" xfId="43971" xr:uid="{00000000-0005-0000-0000-0000CE470000}"/>
    <cellStyle name="20% - Accent6 2 4 2 7 3 8" xfId="49448" xr:uid="{00000000-0005-0000-0000-0000CF470000}"/>
    <cellStyle name="20% - Accent6 2 4 2 7 3 9" xfId="54966" xr:uid="{00000000-0005-0000-0000-0000D0470000}"/>
    <cellStyle name="20% - Accent6 2 4 2 7 4" xfId="6181" xr:uid="{00000000-0005-0000-0000-0000D1470000}"/>
    <cellStyle name="20% - Accent6 2 4 2 7 5" xfId="11661" xr:uid="{00000000-0005-0000-0000-0000D2470000}"/>
    <cellStyle name="20% - Accent6 2 4 2 7 6" xfId="17137" xr:uid="{00000000-0005-0000-0000-0000D3470000}"/>
    <cellStyle name="20% - Accent6 2 4 2 7 7" xfId="22613" xr:uid="{00000000-0005-0000-0000-0000D4470000}"/>
    <cellStyle name="20% - Accent6 2 4 2 7 8" xfId="34408" xr:uid="{00000000-0005-0000-0000-0000D5470000}"/>
    <cellStyle name="20% - Accent6 2 4 2 7 9" xfId="39885" xr:uid="{00000000-0005-0000-0000-0000D6470000}"/>
    <cellStyle name="20% - Accent6 2 4 2 8" xfId="1429" xr:uid="{00000000-0005-0000-0000-0000D7470000}"/>
    <cellStyle name="20% - Accent6 2 4 2 8 10" xfId="45363" xr:uid="{00000000-0005-0000-0000-0000D8470000}"/>
    <cellStyle name="20% - Accent6 2 4 2 8 11" xfId="50841" xr:uid="{00000000-0005-0000-0000-0000D9470000}"/>
    <cellStyle name="20% - Accent6 2 4 2 8 2" xfId="3190" xr:uid="{00000000-0005-0000-0000-0000DA470000}"/>
    <cellStyle name="20% - Accent6 2 4 2 8 2 2" xfId="8670" xr:uid="{00000000-0005-0000-0000-0000DB470000}"/>
    <cellStyle name="20% - Accent6 2 4 2 8 2 3" xfId="14146" xr:uid="{00000000-0005-0000-0000-0000DC470000}"/>
    <cellStyle name="20% - Accent6 2 4 2 8 2 4" xfId="19622" xr:uid="{00000000-0005-0000-0000-0000DD470000}"/>
    <cellStyle name="20% - Accent6 2 4 2 8 2 5" xfId="25098" xr:uid="{00000000-0005-0000-0000-0000DE470000}"/>
    <cellStyle name="20% - Accent6 2 4 2 8 2 6" xfId="36894" xr:uid="{00000000-0005-0000-0000-0000DF470000}"/>
    <cellStyle name="20% - Accent6 2 4 2 8 2 7" xfId="42371" xr:uid="{00000000-0005-0000-0000-0000E0470000}"/>
    <cellStyle name="20% - Accent6 2 4 2 8 2 8" xfId="47848" xr:uid="{00000000-0005-0000-0000-0000E1470000}"/>
    <cellStyle name="20% - Accent6 2 4 2 8 2 9" xfId="53366" xr:uid="{00000000-0005-0000-0000-0000E2470000}"/>
    <cellStyle name="20% - Accent6 2 4 2 8 3" xfId="4962" xr:uid="{00000000-0005-0000-0000-0000E3470000}"/>
    <cellStyle name="20% - Accent6 2 4 2 8 3 2" xfId="10442" xr:uid="{00000000-0005-0000-0000-0000E4470000}"/>
    <cellStyle name="20% - Accent6 2 4 2 8 3 3" xfId="15918" xr:uid="{00000000-0005-0000-0000-0000E5470000}"/>
    <cellStyle name="20% - Accent6 2 4 2 8 3 4" xfId="21394" xr:uid="{00000000-0005-0000-0000-0000E6470000}"/>
    <cellStyle name="20% - Accent6 2 4 2 8 3 5" xfId="26870" xr:uid="{00000000-0005-0000-0000-0000E7470000}"/>
    <cellStyle name="20% - Accent6 2 4 2 8 3 6" xfId="38666" xr:uid="{00000000-0005-0000-0000-0000E8470000}"/>
    <cellStyle name="20% - Accent6 2 4 2 8 3 7" xfId="44143" xr:uid="{00000000-0005-0000-0000-0000E9470000}"/>
    <cellStyle name="20% - Accent6 2 4 2 8 3 8" xfId="49620" xr:uid="{00000000-0005-0000-0000-0000EA470000}"/>
    <cellStyle name="20% - Accent6 2 4 2 8 3 9" xfId="55138" xr:uid="{00000000-0005-0000-0000-0000EB470000}"/>
    <cellStyle name="20% - Accent6 2 4 2 8 4" xfId="6182" xr:uid="{00000000-0005-0000-0000-0000EC470000}"/>
    <cellStyle name="20% - Accent6 2 4 2 8 5" xfId="11662" xr:uid="{00000000-0005-0000-0000-0000ED470000}"/>
    <cellStyle name="20% - Accent6 2 4 2 8 6" xfId="17138" xr:uid="{00000000-0005-0000-0000-0000EE470000}"/>
    <cellStyle name="20% - Accent6 2 4 2 8 7" xfId="22614" xr:uid="{00000000-0005-0000-0000-0000EF470000}"/>
    <cellStyle name="20% - Accent6 2 4 2 8 8" xfId="34409" xr:uid="{00000000-0005-0000-0000-0000F0470000}"/>
    <cellStyle name="20% - Accent6 2 4 2 8 9" xfId="39886" xr:uid="{00000000-0005-0000-0000-0000F1470000}"/>
    <cellStyle name="20% - Accent6 2 4 2 9" xfId="1601" xr:uid="{00000000-0005-0000-0000-0000F2470000}"/>
    <cellStyle name="20% - Accent6 2 4 2 9 10" xfId="45364" xr:uid="{00000000-0005-0000-0000-0000F3470000}"/>
    <cellStyle name="20% - Accent6 2 4 2 9 11" xfId="50842" xr:uid="{00000000-0005-0000-0000-0000F4470000}"/>
    <cellStyle name="20% - Accent6 2 4 2 9 2" xfId="3362" xr:uid="{00000000-0005-0000-0000-0000F5470000}"/>
    <cellStyle name="20% - Accent6 2 4 2 9 2 2" xfId="8842" xr:uid="{00000000-0005-0000-0000-0000F6470000}"/>
    <cellStyle name="20% - Accent6 2 4 2 9 2 3" xfId="14318" xr:uid="{00000000-0005-0000-0000-0000F7470000}"/>
    <cellStyle name="20% - Accent6 2 4 2 9 2 4" xfId="19794" xr:uid="{00000000-0005-0000-0000-0000F8470000}"/>
    <cellStyle name="20% - Accent6 2 4 2 9 2 5" xfId="25270" xr:uid="{00000000-0005-0000-0000-0000F9470000}"/>
    <cellStyle name="20% - Accent6 2 4 2 9 2 6" xfId="37066" xr:uid="{00000000-0005-0000-0000-0000FA470000}"/>
    <cellStyle name="20% - Accent6 2 4 2 9 2 7" xfId="42543" xr:uid="{00000000-0005-0000-0000-0000FB470000}"/>
    <cellStyle name="20% - Accent6 2 4 2 9 2 8" xfId="48020" xr:uid="{00000000-0005-0000-0000-0000FC470000}"/>
    <cellStyle name="20% - Accent6 2 4 2 9 2 9" xfId="53538" xr:uid="{00000000-0005-0000-0000-0000FD470000}"/>
    <cellStyle name="20% - Accent6 2 4 2 9 3" xfId="5134" xr:uid="{00000000-0005-0000-0000-0000FE470000}"/>
    <cellStyle name="20% - Accent6 2 4 2 9 3 2" xfId="10614" xr:uid="{00000000-0005-0000-0000-0000FF470000}"/>
    <cellStyle name="20% - Accent6 2 4 2 9 3 3" xfId="16090" xr:uid="{00000000-0005-0000-0000-000000480000}"/>
    <cellStyle name="20% - Accent6 2 4 2 9 3 4" xfId="21566" xr:uid="{00000000-0005-0000-0000-000001480000}"/>
    <cellStyle name="20% - Accent6 2 4 2 9 3 5" xfId="27042" xr:uid="{00000000-0005-0000-0000-000002480000}"/>
    <cellStyle name="20% - Accent6 2 4 2 9 3 6" xfId="38838" xr:uid="{00000000-0005-0000-0000-000003480000}"/>
    <cellStyle name="20% - Accent6 2 4 2 9 3 7" xfId="44315" xr:uid="{00000000-0005-0000-0000-000004480000}"/>
    <cellStyle name="20% - Accent6 2 4 2 9 3 8" xfId="49792" xr:uid="{00000000-0005-0000-0000-000005480000}"/>
    <cellStyle name="20% - Accent6 2 4 2 9 3 9" xfId="55310" xr:uid="{00000000-0005-0000-0000-000006480000}"/>
    <cellStyle name="20% - Accent6 2 4 2 9 4" xfId="6183" xr:uid="{00000000-0005-0000-0000-000007480000}"/>
    <cellStyle name="20% - Accent6 2 4 2 9 5" xfId="11663" xr:uid="{00000000-0005-0000-0000-000008480000}"/>
    <cellStyle name="20% - Accent6 2 4 2 9 6" xfId="17139" xr:uid="{00000000-0005-0000-0000-000009480000}"/>
    <cellStyle name="20% - Accent6 2 4 2 9 7" xfId="22615" xr:uid="{00000000-0005-0000-0000-00000A480000}"/>
    <cellStyle name="20% - Accent6 2 4 2 9 8" xfId="34410" xr:uid="{00000000-0005-0000-0000-00000B480000}"/>
    <cellStyle name="20% - Accent6 2 4 2 9 9" xfId="39887" xr:uid="{00000000-0005-0000-0000-00000C480000}"/>
    <cellStyle name="20% - Accent6 2 4 20" xfId="39875" xr:uid="{00000000-0005-0000-0000-00000D480000}"/>
    <cellStyle name="20% - Accent6 2 4 21" xfId="45352" xr:uid="{00000000-0005-0000-0000-00000E480000}"/>
    <cellStyle name="20% - Accent6 2 4 22" xfId="50830" xr:uid="{00000000-0005-0000-0000-00000F480000}"/>
    <cellStyle name="20% - Accent6 2 4 3" xfId="333" xr:uid="{00000000-0005-0000-0000-000010480000}"/>
    <cellStyle name="20% - Accent6 2 4 3 10" xfId="39888" xr:uid="{00000000-0005-0000-0000-000011480000}"/>
    <cellStyle name="20% - Accent6 2 4 3 11" xfId="45365" xr:uid="{00000000-0005-0000-0000-000012480000}"/>
    <cellStyle name="20% - Accent6 2 4 3 12" xfId="50843" xr:uid="{00000000-0005-0000-0000-000013480000}"/>
    <cellStyle name="20% - Accent6 2 4 3 2" xfId="2130" xr:uid="{00000000-0005-0000-0000-000014480000}"/>
    <cellStyle name="20% - Accent6 2 4 3 2 2" xfId="7610" xr:uid="{00000000-0005-0000-0000-000015480000}"/>
    <cellStyle name="20% - Accent6 2 4 3 2 3" xfId="13086" xr:uid="{00000000-0005-0000-0000-000016480000}"/>
    <cellStyle name="20% - Accent6 2 4 3 2 4" xfId="18562" xr:uid="{00000000-0005-0000-0000-000017480000}"/>
    <cellStyle name="20% - Accent6 2 4 3 2 5" xfId="24038" xr:uid="{00000000-0005-0000-0000-000018480000}"/>
    <cellStyle name="20% - Accent6 2 4 3 2 6" xfId="35834" xr:uid="{00000000-0005-0000-0000-000019480000}"/>
    <cellStyle name="20% - Accent6 2 4 3 2 7" xfId="41311" xr:uid="{00000000-0005-0000-0000-00001A480000}"/>
    <cellStyle name="20% - Accent6 2 4 3 2 8" xfId="46788" xr:uid="{00000000-0005-0000-0000-00001B480000}"/>
    <cellStyle name="20% - Accent6 2 4 3 2 9" xfId="52306" xr:uid="{00000000-0005-0000-0000-00001C480000}"/>
    <cellStyle name="20% - Accent6 2 4 3 3" xfId="3895" xr:uid="{00000000-0005-0000-0000-00001D480000}"/>
    <cellStyle name="20% - Accent6 2 4 3 3 2" xfId="9375" xr:uid="{00000000-0005-0000-0000-00001E480000}"/>
    <cellStyle name="20% - Accent6 2 4 3 3 3" xfId="14851" xr:uid="{00000000-0005-0000-0000-00001F480000}"/>
    <cellStyle name="20% - Accent6 2 4 3 3 4" xfId="20327" xr:uid="{00000000-0005-0000-0000-000020480000}"/>
    <cellStyle name="20% - Accent6 2 4 3 3 5" xfId="25803" xr:uid="{00000000-0005-0000-0000-000021480000}"/>
    <cellStyle name="20% - Accent6 2 4 3 3 6" xfId="37599" xr:uid="{00000000-0005-0000-0000-000022480000}"/>
    <cellStyle name="20% - Accent6 2 4 3 3 7" xfId="43076" xr:uid="{00000000-0005-0000-0000-000023480000}"/>
    <cellStyle name="20% - Accent6 2 4 3 3 8" xfId="48553" xr:uid="{00000000-0005-0000-0000-000024480000}"/>
    <cellStyle name="20% - Accent6 2 4 3 3 9" xfId="54071" xr:uid="{00000000-0005-0000-0000-000025480000}"/>
    <cellStyle name="20% - Accent6 2 4 3 4" xfId="6184" xr:uid="{00000000-0005-0000-0000-000026480000}"/>
    <cellStyle name="20% - Accent6 2 4 3 5" xfId="11664" xr:uid="{00000000-0005-0000-0000-000027480000}"/>
    <cellStyle name="20% - Accent6 2 4 3 6" xfId="17140" xr:uid="{00000000-0005-0000-0000-000028480000}"/>
    <cellStyle name="20% - Accent6 2 4 3 7" xfId="22616" xr:uid="{00000000-0005-0000-0000-000029480000}"/>
    <cellStyle name="20% - Accent6 2 4 3 8" xfId="29960" xr:uid="{00000000-0005-0000-0000-00002A480000}"/>
    <cellStyle name="20% - Accent6 2 4 3 9" xfId="34411" xr:uid="{00000000-0005-0000-0000-00002B480000}"/>
    <cellStyle name="20% - Accent6 2 4 4" xfId="534" xr:uid="{00000000-0005-0000-0000-00002C480000}"/>
    <cellStyle name="20% - Accent6 2 4 4 10" xfId="45366" xr:uid="{00000000-0005-0000-0000-00002D480000}"/>
    <cellStyle name="20% - Accent6 2 4 4 11" xfId="50844" xr:uid="{00000000-0005-0000-0000-00002E480000}"/>
    <cellStyle name="20% - Accent6 2 4 4 2" xfId="2295" xr:uid="{00000000-0005-0000-0000-00002F480000}"/>
    <cellStyle name="20% - Accent6 2 4 4 2 2" xfId="7775" xr:uid="{00000000-0005-0000-0000-000030480000}"/>
    <cellStyle name="20% - Accent6 2 4 4 2 3" xfId="13251" xr:uid="{00000000-0005-0000-0000-000031480000}"/>
    <cellStyle name="20% - Accent6 2 4 4 2 4" xfId="18727" xr:uid="{00000000-0005-0000-0000-000032480000}"/>
    <cellStyle name="20% - Accent6 2 4 4 2 5" xfId="24203" xr:uid="{00000000-0005-0000-0000-000033480000}"/>
    <cellStyle name="20% - Accent6 2 4 4 2 6" xfId="35999" xr:uid="{00000000-0005-0000-0000-000034480000}"/>
    <cellStyle name="20% - Accent6 2 4 4 2 7" xfId="41476" xr:uid="{00000000-0005-0000-0000-000035480000}"/>
    <cellStyle name="20% - Accent6 2 4 4 2 8" xfId="46953" xr:uid="{00000000-0005-0000-0000-000036480000}"/>
    <cellStyle name="20% - Accent6 2 4 4 2 9" xfId="52471" xr:uid="{00000000-0005-0000-0000-000037480000}"/>
    <cellStyle name="20% - Accent6 2 4 4 3" xfId="4067" xr:uid="{00000000-0005-0000-0000-000038480000}"/>
    <cellStyle name="20% - Accent6 2 4 4 3 2" xfId="9547" xr:uid="{00000000-0005-0000-0000-000039480000}"/>
    <cellStyle name="20% - Accent6 2 4 4 3 3" xfId="15023" xr:uid="{00000000-0005-0000-0000-00003A480000}"/>
    <cellStyle name="20% - Accent6 2 4 4 3 4" xfId="20499" xr:uid="{00000000-0005-0000-0000-00003B480000}"/>
    <cellStyle name="20% - Accent6 2 4 4 3 5" xfId="25975" xr:uid="{00000000-0005-0000-0000-00003C480000}"/>
    <cellStyle name="20% - Accent6 2 4 4 3 6" xfId="37771" xr:uid="{00000000-0005-0000-0000-00003D480000}"/>
    <cellStyle name="20% - Accent6 2 4 4 3 7" xfId="43248" xr:uid="{00000000-0005-0000-0000-00003E480000}"/>
    <cellStyle name="20% - Accent6 2 4 4 3 8" xfId="48725" xr:uid="{00000000-0005-0000-0000-00003F480000}"/>
    <cellStyle name="20% - Accent6 2 4 4 3 9" xfId="54243" xr:uid="{00000000-0005-0000-0000-000040480000}"/>
    <cellStyle name="20% - Accent6 2 4 4 4" xfId="6185" xr:uid="{00000000-0005-0000-0000-000041480000}"/>
    <cellStyle name="20% - Accent6 2 4 4 5" xfId="11665" xr:uid="{00000000-0005-0000-0000-000042480000}"/>
    <cellStyle name="20% - Accent6 2 4 4 6" xfId="17141" xr:uid="{00000000-0005-0000-0000-000043480000}"/>
    <cellStyle name="20% - Accent6 2 4 4 7" xfId="22617" xr:uid="{00000000-0005-0000-0000-000044480000}"/>
    <cellStyle name="20% - Accent6 2 4 4 8" xfId="34412" xr:uid="{00000000-0005-0000-0000-000045480000}"/>
    <cellStyle name="20% - Accent6 2 4 4 9" xfId="39889" xr:uid="{00000000-0005-0000-0000-000046480000}"/>
    <cellStyle name="20% - Accent6 2 4 5" xfId="706" xr:uid="{00000000-0005-0000-0000-000047480000}"/>
    <cellStyle name="20% - Accent6 2 4 5 10" xfId="45367" xr:uid="{00000000-0005-0000-0000-000048480000}"/>
    <cellStyle name="20% - Accent6 2 4 5 11" xfId="50845" xr:uid="{00000000-0005-0000-0000-000049480000}"/>
    <cellStyle name="20% - Accent6 2 4 5 2" xfId="2467" xr:uid="{00000000-0005-0000-0000-00004A480000}"/>
    <cellStyle name="20% - Accent6 2 4 5 2 2" xfId="7947" xr:uid="{00000000-0005-0000-0000-00004B480000}"/>
    <cellStyle name="20% - Accent6 2 4 5 2 3" xfId="13423" xr:uid="{00000000-0005-0000-0000-00004C480000}"/>
    <cellStyle name="20% - Accent6 2 4 5 2 4" xfId="18899" xr:uid="{00000000-0005-0000-0000-00004D480000}"/>
    <cellStyle name="20% - Accent6 2 4 5 2 5" xfId="24375" xr:uid="{00000000-0005-0000-0000-00004E480000}"/>
    <cellStyle name="20% - Accent6 2 4 5 2 6" xfId="36171" xr:uid="{00000000-0005-0000-0000-00004F480000}"/>
    <cellStyle name="20% - Accent6 2 4 5 2 7" xfId="41648" xr:uid="{00000000-0005-0000-0000-000050480000}"/>
    <cellStyle name="20% - Accent6 2 4 5 2 8" xfId="47125" xr:uid="{00000000-0005-0000-0000-000051480000}"/>
    <cellStyle name="20% - Accent6 2 4 5 2 9" xfId="52643" xr:uid="{00000000-0005-0000-0000-000052480000}"/>
    <cellStyle name="20% - Accent6 2 4 5 3" xfId="4239" xr:uid="{00000000-0005-0000-0000-000053480000}"/>
    <cellStyle name="20% - Accent6 2 4 5 3 2" xfId="9719" xr:uid="{00000000-0005-0000-0000-000054480000}"/>
    <cellStyle name="20% - Accent6 2 4 5 3 3" xfId="15195" xr:uid="{00000000-0005-0000-0000-000055480000}"/>
    <cellStyle name="20% - Accent6 2 4 5 3 4" xfId="20671" xr:uid="{00000000-0005-0000-0000-000056480000}"/>
    <cellStyle name="20% - Accent6 2 4 5 3 5" xfId="26147" xr:uid="{00000000-0005-0000-0000-000057480000}"/>
    <cellStyle name="20% - Accent6 2 4 5 3 6" xfId="37943" xr:uid="{00000000-0005-0000-0000-000058480000}"/>
    <cellStyle name="20% - Accent6 2 4 5 3 7" xfId="43420" xr:uid="{00000000-0005-0000-0000-000059480000}"/>
    <cellStyle name="20% - Accent6 2 4 5 3 8" xfId="48897" xr:uid="{00000000-0005-0000-0000-00005A480000}"/>
    <cellStyle name="20% - Accent6 2 4 5 3 9" xfId="54415" xr:uid="{00000000-0005-0000-0000-00005B480000}"/>
    <cellStyle name="20% - Accent6 2 4 5 4" xfId="6186" xr:uid="{00000000-0005-0000-0000-00005C480000}"/>
    <cellStyle name="20% - Accent6 2 4 5 5" xfId="11666" xr:uid="{00000000-0005-0000-0000-00005D480000}"/>
    <cellStyle name="20% - Accent6 2 4 5 6" xfId="17142" xr:uid="{00000000-0005-0000-0000-00005E480000}"/>
    <cellStyle name="20% - Accent6 2 4 5 7" xfId="22618" xr:uid="{00000000-0005-0000-0000-00005F480000}"/>
    <cellStyle name="20% - Accent6 2 4 5 8" xfId="34413" xr:uid="{00000000-0005-0000-0000-000060480000}"/>
    <cellStyle name="20% - Accent6 2 4 5 9" xfId="39890" xr:uid="{00000000-0005-0000-0000-000061480000}"/>
    <cellStyle name="20% - Accent6 2 4 6" xfId="878" xr:uid="{00000000-0005-0000-0000-000062480000}"/>
    <cellStyle name="20% - Accent6 2 4 6 10" xfId="45368" xr:uid="{00000000-0005-0000-0000-000063480000}"/>
    <cellStyle name="20% - Accent6 2 4 6 11" xfId="50846" xr:uid="{00000000-0005-0000-0000-000064480000}"/>
    <cellStyle name="20% - Accent6 2 4 6 2" xfId="2639" xr:uid="{00000000-0005-0000-0000-000065480000}"/>
    <cellStyle name="20% - Accent6 2 4 6 2 2" xfId="8119" xr:uid="{00000000-0005-0000-0000-000066480000}"/>
    <cellStyle name="20% - Accent6 2 4 6 2 3" xfId="13595" xr:uid="{00000000-0005-0000-0000-000067480000}"/>
    <cellStyle name="20% - Accent6 2 4 6 2 4" xfId="19071" xr:uid="{00000000-0005-0000-0000-000068480000}"/>
    <cellStyle name="20% - Accent6 2 4 6 2 5" xfId="24547" xr:uid="{00000000-0005-0000-0000-000069480000}"/>
    <cellStyle name="20% - Accent6 2 4 6 2 6" xfId="36343" xr:uid="{00000000-0005-0000-0000-00006A480000}"/>
    <cellStyle name="20% - Accent6 2 4 6 2 7" xfId="41820" xr:uid="{00000000-0005-0000-0000-00006B480000}"/>
    <cellStyle name="20% - Accent6 2 4 6 2 8" xfId="47297" xr:uid="{00000000-0005-0000-0000-00006C480000}"/>
    <cellStyle name="20% - Accent6 2 4 6 2 9" xfId="52815" xr:uid="{00000000-0005-0000-0000-00006D480000}"/>
    <cellStyle name="20% - Accent6 2 4 6 3" xfId="4411" xr:uid="{00000000-0005-0000-0000-00006E480000}"/>
    <cellStyle name="20% - Accent6 2 4 6 3 2" xfId="9891" xr:uid="{00000000-0005-0000-0000-00006F480000}"/>
    <cellStyle name="20% - Accent6 2 4 6 3 3" xfId="15367" xr:uid="{00000000-0005-0000-0000-000070480000}"/>
    <cellStyle name="20% - Accent6 2 4 6 3 4" xfId="20843" xr:uid="{00000000-0005-0000-0000-000071480000}"/>
    <cellStyle name="20% - Accent6 2 4 6 3 5" xfId="26319" xr:uid="{00000000-0005-0000-0000-000072480000}"/>
    <cellStyle name="20% - Accent6 2 4 6 3 6" xfId="38115" xr:uid="{00000000-0005-0000-0000-000073480000}"/>
    <cellStyle name="20% - Accent6 2 4 6 3 7" xfId="43592" xr:uid="{00000000-0005-0000-0000-000074480000}"/>
    <cellStyle name="20% - Accent6 2 4 6 3 8" xfId="49069" xr:uid="{00000000-0005-0000-0000-000075480000}"/>
    <cellStyle name="20% - Accent6 2 4 6 3 9" xfId="54587" xr:uid="{00000000-0005-0000-0000-000076480000}"/>
    <cellStyle name="20% - Accent6 2 4 6 4" xfId="6187" xr:uid="{00000000-0005-0000-0000-000077480000}"/>
    <cellStyle name="20% - Accent6 2 4 6 5" xfId="11667" xr:uid="{00000000-0005-0000-0000-000078480000}"/>
    <cellStyle name="20% - Accent6 2 4 6 6" xfId="17143" xr:uid="{00000000-0005-0000-0000-000079480000}"/>
    <cellStyle name="20% - Accent6 2 4 6 7" xfId="22619" xr:uid="{00000000-0005-0000-0000-00007A480000}"/>
    <cellStyle name="20% - Accent6 2 4 6 8" xfId="34414" xr:uid="{00000000-0005-0000-0000-00007B480000}"/>
    <cellStyle name="20% - Accent6 2 4 6 9" xfId="39891" xr:uid="{00000000-0005-0000-0000-00007C480000}"/>
    <cellStyle name="20% - Accent6 2 4 7" xfId="1084" xr:uid="{00000000-0005-0000-0000-00007D480000}"/>
    <cellStyle name="20% - Accent6 2 4 7 10" xfId="45369" xr:uid="{00000000-0005-0000-0000-00007E480000}"/>
    <cellStyle name="20% - Accent6 2 4 7 11" xfId="50847" xr:uid="{00000000-0005-0000-0000-00007F480000}"/>
    <cellStyle name="20% - Accent6 2 4 7 2" xfId="2845" xr:uid="{00000000-0005-0000-0000-000080480000}"/>
    <cellStyle name="20% - Accent6 2 4 7 2 2" xfId="8325" xr:uid="{00000000-0005-0000-0000-000081480000}"/>
    <cellStyle name="20% - Accent6 2 4 7 2 3" xfId="13801" xr:uid="{00000000-0005-0000-0000-000082480000}"/>
    <cellStyle name="20% - Accent6 2 4 7 2 4" xfId="19277" xr:uid="{00000000-0005-0000-0000-000083480000}"/>
    <cellStyle name="20% - Accent6 2 4 7 2 5" xfId="24753" xr:uid="{00000000-0005-0000-0000-000084480000}"/>
    <cellStyle name="20% - Accent6 2 4 7 2 6" xfId="36549" xr:uid="{00000000-0005-0000-0000-000085480000}"/>
    <cellStyle name="20% - Accent6 2 4 7 2 7" xfId="42026" xr:uid="{00000000-0005-0000-0000-000086480000}"/>
    <cellStyle name="20% - Accent6 2 4 7 2 8" xfId="47503" xr:uid="{00000000-0005-0000-0000-000087480000}"/>
    <cellStyle name="20% - Accent6 2 4 7 2 9" xfId="53021" xr:uid="{00000000-0005-0000-0000-000088480000}"/>
    <cellStyle name="20% - Accent6 2 4 7 3" xfId="4617" xr:uid="{00000000-0005-0000-0000-000089480000}"/>
    <cellStyle name="20% - Accent6 2 4 7 3 2" xfId="10097" xr:uid="{00000000-0005-0000-0000-00008A480000}"/>
    <cellStyle name="20% - Accent6 2 4 7 3 3" xfId="15573" xr:uid="{00000000-0005-0000-0000-00008B480000}"/>
    <cellStyle name="20% - Accent6 2 4 7 3 4" xfId="21049" xr:uid="{00000000-0005-0000-0000-00008C480000}"/>
    <cellStyle name="20% - Accent6 2 4 7 3 5" xfId="26525" xr:uid="{00000000-0005-0000-0000-00008D480000}"/>
    <cellStyle name="20% - Accent6 2 4 7 3 6" xfId="38321" xr:uid="{00000000-0005-0000-0000-00008E480000}"/>
    <cellStyle name="20% - Accent6 2 4 7 3 7" xfId="43798" xr:uid="{00000000-0005-0000-0000-00008F480000}"/>
    <cellStyle name="20% - Accent6 2 4 7 3 8" xfId="49275" xr:uid="{00000000-0005-0000-0000-000090480000}"/>
    <cellStyle name="20% - Accent6 2 4 7 3 9" xfId="54793" xr:uid="{00000000-0005-0000-0000-000091480000}"/>
    <cellStyle name="20% - Accent6 2 4 7 4" xfId="6188" xr:uid="{00000000-0005-0000-0000-000092480000}"/>
    <cellStyle name="20% - Accent6 2 4 7 5" xfId="11668" xr:uid="{00000000-0005-0000-0000-000093480000}"/>
    <cellStyle name="20% - Accent6 2 4 7 6" xfId="17144" xr:uid="{00000000-0005-0000-0000-000094480000}"/>
    <cellStyle name="20% - Accent6 2 4 7 7" xfId="22620" xr:uid="{00000000-0005-0000-0000-000095480000}"/>
    <cellStyle name="20% - Accent6 2 4 7 8" xfId="34415" xr:uid="{00000000-0005-0000-0000-000096480000}"/>
    <cellStyle name="20% - Accent6 2 4 7 9" xfId="39892" xr:uid="{00000000-0005-0000-0000-000097480000}"/>
    <cellStyle name="20% - Accent6 2 4 8" xfId="1256" xr:uid="{00000000-0005-0000-0000-000098480000}"/>
    <cellStyle name="20% - Accent6 2 4 8 10" xfId="45370" xr:uid="{00000000-0005-0000-0000-000099480000}"/>
    <cellStyle name="20% - Accent6 2 4 8 11" xfId="50848" xr:uid="{00000000-0005-0000-0000-00009A480000}"/>
    <cellStyle name="20% - Accent6 2 4 8 2" xfId="3017" xr:uid="{00000000-0005-0000-0000-00009B480000}"/>
    <cellStyle name="20% - Accent6 2 4 8 2 2" xfId="8497" xr:uid="{00000000-0005-0000-0000-00009C480000}"/>
    <cellStyle name="20% - Accent6 2 4 8 2 3" xfId="13973" xr:uid="{00000000-0005-0000-0000-00009D480000}"/>
    <cellStyle name="20% - Accent6 2 4 8 2 4" xfId="19449" xr:uid="{00000000-0005-0000-0000-00009E480000}"/>
    <cellStyle name="20% - Accent6 2 4 8 2 5" xfId="24925" xr:uid="{00000000-0005-0000-0000-00009F480000}"/>
    <cellStyle name="20% - Accent6 2 4 8 2 6" xfId="36721" xr:uid="{00000000-0005-0000-0000-0000A0480000}"/>
    <cellStyle name="20% - Accent6 2 4 8 2 7" xfId="42198" xr:uid="{00000000-0005-0000-0000-0000A1480000}"/>
    <cellStyle name="20% - Accent6 2 4 8 2 8" xfId="47675" xr:uid="{00000000-0005-0000-0000-0000A2480000}"/>
    <cellStyle name="20% - Accent6 2 4 8 2 9" xfId="53193" xr:uid="{00000000-0005-0000-0000-0000A3480000}"/>
    <cellStyle name="20% - Accent6 2 4 8 3" xfId="4789" xr:uid="{00000000-0005-0000-0000-0000A4480000}"/>
    <cellStyle name="20% - Accent6 2 4 8 3 2" xfId="10269" xr:uid="{00000000-0005-0000-0000-0000A5480000}"/>
    <cellStyle name="20% - Accent6 2 4 8 3 3" xfId="15745" xr:uid="{00000000-0005-0000-0000-0000A6480000}"/>
    <cellStyle name="20% - Accent6 2 4 8 3 4" xfId="21221" xr:uid="{00000000-0005-0000-0000-0000A7480000}"/>
    <cellStyle name="20% - Accent6 2 4 8 3 5" xfId="26697" xr:uid="{00000000-0005-0000-0000-0000A8480000}"/>
    <cellStyle name="20% - Accent6 2 4 8 3 6" xfId="38493" xr:uid="{00000000-0005-0000-0000-0000A9480000}"/>
    <cellStyle name="20% - Accent6 2 4 8 3 7" xfId="43970" xr:uid="{00000000-0005-0000-0000-0000AA480000}"/>
    <cellStyle name="20% - Accent6 2 4 8 3 8" xfId="49447" xr:uid="{00000000-0005-0000-0000-0000AB480000}"/>
    <cellStyle name="20% - Accent6 2 4 8 3 9" xfId="54965" xr:uid="{00000000-0005-0000-0000-0000AC480000}"/>
    <cellStyle name="20% - Accent6 2 4 8 4" xfId="6189" xr:uid="{00000000-0005-0000-0000-0000AD480000}"/>
    <cellStyle name="20% - Accent6 2 4 8 5" xfId="11669" xr:uid="{00000000-0005-0000-0000-0000AE480000}"/>
    <cellStyle name="20% - Accent6 2 4 8 6" xfId="17145" xr:uid="{00000000-0005-0000-0000-0000AF480000}"/>
    <cellStyle name="20% - Accent6 2 4 8 7" xfId="22621" xr:uid="{00000000-0005-0000-0000-0000B0480000}"/>
    <cellStyle name="20% - Accent6 2 4 8 8" xfId="34416" xr:uid="{00000000-0005-0000-0000-0000B1480000}"/>
    <cellStyle name="20% - Accent6 2 4 8 9" xfId="39893" xr:uid="{00000000-0005-0000-0000-0000B2480000}"/>
    <cellStyle name="20% - Accent6 2 4 9" xfId="1428" xr:uid="{00000000-0005-0000-0000-0000B3480000}"/>
    <cellStyle name="20% - Accent6 2 4 9 10" xfId="45371" xr:uid="{00000000-0005-0000-0000-0000B4480000}"/>
    <cellStyle name="20% - Accent6 2 4 9 11" xfId="50849" xr:uid="{00000000-0005-0000-0000-0000B5480000}"/>
    <cellStyle name="20% - Accent6 2 4 9 2" xfId="3189" xr:uid="{00000000-0005-0000-0000-0000B6480000}"/>
    <cellStyle name="20% - Accent6 2 4 9 2 2" xfId="8669" xr:uid="{00000000-0005-0000-0000-0000B7480000}"/>
    <cellStyle name="20% - Accent6 2 4 9 2 3" xfId="14145" xr:uid="{00000000-0005-0000-0000-0000B8480000}"/>
    <cellStyle name="20% - Accent6 2 4 9 2 4" xfId="19621" xr:uid="{00000000-0005-0000-0000-0000B9480000}"/>
    <cellStyle name="20% - Accent6 2 4 9 2 5" xfId="25097" xr:uid="{00000000-0005-0000-0000-0000BA480000}"/>
    <cellStyle name="20% - Accent6 2 4 9 2 6" xfId="36893" xr:uid="{00000000-0005-0000-0000-0000BB480000}"/>
    <cellStyle name="20% - Accent6 2 4 9 2 7" xfId="42370" xr:uid="{00000000-0005-0000-0000-0000BC480000}"/>
    <cellStyle name="20% - Accent6 2 4 9 2 8" xfId="47847" xr:uid="{00000000-0005-0000-0000-0000BD480000}"/>
    <cellStyle name="20% - Accent6 2 4 9 2 9" xfId="53365" xr:uid="{00000000-0005-0000-0000-0000BE480000}"/>
    <cellStyle name="20% - Accent6 2 4 9 3" xfId="4961" xr:uid="{00000000-0005-0000-0000-0000BF480000}"/>
    <cellStyle name="20% - Accent6 2 4 9 3 2" xfId="10441" xr:uid="{00000000-0005-0000-0000-0000C0480000}"/>
    <cellStyle name="20% - Accent6 2 4 9 3 3" xfId="15917" xr:uid="{00000000-0005-0000-0000-0000C1480000}"/>
    <cellStyle name="20% - Accent6 2 4 9 3 4" xfId="21393" xr:uid="{00000000-0005-0000-0000-0000C2480000}"/>
    <cellStyle name="20% - Accent6 2 4 9 3 5" xfId="26869" xr:uid="{00000000-0005-0000-0000-0000C3480000}"/>
    <cellStyle name="20% - Accent6 2 4 9 3 6" xfId="38665" xr:uid="{00000000-0005-0000-0000-0000C4480000}"/>
    <cellStyle name="20% - Accent6 2 4 9 3 7" xfId="44142" xr:uid="{00000000-0005-0000-0000-0000C5480000}"/>
    <cellStyle name="20% - Accent6 2 4 9 3 8" xfId="49619" xr:uid="{00000000-0005-0000-0000-0000C6480000}"/>
    <cellStyle name="20% - Accent6 2 4 9 3 9" xfId="55137" xr:uid="{00000000-0005-0000-0000-0000C7480000}"/>
    <cellStyle name="20% - Accent6 2 4 9 4" xfId="6190" xr:uid="{00000000-0005-0000-0000-0000C8480000}"/>
    <cellStyle name="20% - Accent6 2 4 9 5" xfId="11670" xr:uid="{00000000-0005-0000-0000-0000C9480000}"/>
    <cellStyle name="20% - Accent6 2 4 9 6" xfId="17146" xr:uid="{00000000-0005-0000-0000-0000CA480000}"/>
    <cellStyle name="20% - Accent6 2 4 9 7" xfId="22622" xr:uid="{00000000-0005-0000-0000-0000CB480000}"/>
    <cellStyle name="20% - Accent6 2 4 9 8" xfId="34417" xr:uid="{00000000-0005-0000-0000-0000CC480000}"/>
    <cellStyle name="20% - Accent6 2 4 9 9" xfId="39894" xr:uid="{00000000-0005-0000-0000-0000CD480000}"/>
    <cellStyle name="20% - Accent6 2 5" xfId="210" xr:uid="{00000000-0005-0000-0000-0000CE480000}"/>
    <cellStyle name="20% - Accent6 2 5 10" xfId="1755" xr:uid="{00000000-0005-0000-0000-0000CF480000}"/>
    <cellStyle name="20% - Accent6 2 5 10 10" xfId="45373" xr:uid="{00000000-0005-0000-0000-0000D0480000}"/>
    <cellStyle name="20% - Accent6 2 5 10 11" xfId="50851" xr:uid="{00000000-0005-0000-0000-0000D1480000}"/>
    <cellStyle name="20% - Accent6 2 5 10 2" xfId="3516" xr:uid="{00000000-0005-0000-0000-0000D2480000}"/>
    <cellStyle name="20% - Accent6 2 5 10 2 2" xfId="8996" xr:uid="{00000000-0005-0000-0000-0000D3480000}"/>
    <cellStyle name="20% - Accent6 2 5 10 2 3" xfId="14472" xr:uid="{00000000-0005-0000-0000-0000D4480000}"/>
    <cellStyle name="20% - Accent6 2 5 10 2 4" xfId="19948" xr:uid="{00000000-0005-0000-0000-0000D5480000}"/>
    <cellStyle name="20% - Accent6 2 5 10 2 5" xfId="25424" xr:uid="{00000000-0005-0000-0000-0000D6480000}"/>
    <cellStyle name="20% - Accent6 2 5 10 2 6" xfId="37220" xr:uid="{00000000-0005-0000-0000-0000D7480000}"/>
    <cellStyle name="20% - Accent6 2 5 10 2 7" xfId="42697" xr:uid="{00000000-0005-0000-0000-0000D8480000}"/>
    <cellStyle name="20% - Accent6 2 5 10 2 8" xfId="48174" xr:uid="{00000000-0005-0000-0000-0000D9480000}"/>
    <cellStyle name="20% - Accent6 2 5 10 2 9" xfId="53692" xr:uid="{00000000-0005-0000-0000-0000DA480000}"/>
    <cellStyle name="20% - Accent6 2 5 10 3" xfId="5288" xr:uid="{00000000-0005-0000-0000-0000DB480000}"/>
    <cellStyle name="20% - Accent6 2 5 10 3 2" xfId="10768" xr:uid="{00000000-0005-0000-0000-0000DC480000}"/>
    <cellStyle name="20% - Accent6 2 5 10 3 3" xfId="16244" xr:uid="{00000000-0005-0000-0000-0000DD480000}"/>
    <cellStyle name="20% - Accent6 2 5 10 3 4" xfId="21720" xr:uid="{00000000-0005-0000-0000-0000DE480000}"/>
    <cellStyle name="20% - Accent6 2 5 10 3 5" xfId="27196" xr:uid="{00000000-0005-0000-0000-0000DF480000}"/>
    <cellStyle name="20% - Accent6 2 5 10 3 6" xfId="38992" xr:uid="{00000000-0005-0000-0000-0000E0480000}"/>
    <cellStyle name="20% - Accent6 2 5 10 3 7" xfId="44469" xr:uid="{00000000-0005-0000-0000-0000E1480000}"/>
    <cellStyle name="20% - Accent6 2 5 10 3 8" xfId="49946" xr:uid="{00000000-0005-0000-0000-0000E2480000}"/>
    <cellStyle name="20% - Accent6 2 5 10 3 9" xfId="55464" xr:uid="{00000000-0005-0000-0000-0000E3480000}"/>
    <cellStyle name="20% - Accent6 2 5 10 4" xfId="6192" xr:uid="{00000000-0005-0000-0000-0000E4480000}"/>
    <cellStyle name="20% - Accent6 2 5 10 5" xfId="11672" xr:uid="{00000000-0005-0000-0000-0000E5480000}"/>
    <cellStyle name="20% - Accent6 2 5 10 6" xfId="17148" xr:uid="{00000000-0005-0000-0000-0000E6480000}"/>
    <cellStyle name="20% - Accent6 2 5 10 7" xfId="22624" xr:uid="{00000000-0005-0000-0000-0000E7480000}"/>
    <cellStyle name="20% - Accent6 2 5 10 8" xfId="34419" xr:uid="{00000000-0005-0000-0000-0000E8480000}"/>
    <cellStyle name="20% - Accent6 2 5 10 9" xfId="39896" xr:uid="{00000000-0005-0000-0000-0000E9480000}"/>
    <cellStyle name="20% - Accent6 2 5 11" xfId="1964" xr:uid="{00000000-0005-0000-0000-0000EA480000}"/>
    <cellStyle name="20% - Accent6 2 5 11 10" xfId="52141" xr:uid="{00000000-0005-0000-0000-0000EB480000}"/>
    <cellStyle name="20% - Accent6 2 5 11 2" xfId="5496" xr:uid="{00000000-0005-0000-0000-0000EC480000}"/>
    <cellStyle name="20% - Accent6 2 5 11 2 2" xfId="10976" xr:uid="{00000000-0005-0000-0000-0000ED480000}"/>
    <cellStyle name="20% - Accent6 2 5 11 2 3" xfId="16452" xr:uid="{00000000-0005-0000-0000-0000EE480000}"/>
    <cellStyle name="20% - Accent6 2 5 11 2 4" xfId="21928" xr:uid="{00000000-0005-0000-0000-0000EF480000}"/>
    <cellStyle name="20% - Accent6 2 5 11 2 5" xfId="27404" xr:uid="{00000000-0005-0000-0000-0000F0480000}"/>
    <cellStyle name="20% - Accent6 2 5 11 2 6" xfId="39200" xr:uid="{00000000-0005-0000-0000-0000F1480000}"/>
    <cellStyle name="20% - Accent6 2 5 11 2 7" xfId="44677" xr:uid="{00000000-0005-0000-0000-0000F2480000}"/>
    <cellStyle name="20% - Accent6 2 5 11 2 8" xfId="50154" xr:uid="{00000000-0005-0000-0000-0000F3480000}"/>
    <cellStyle name="20% - Accent6 2 5 11 2 9" xfId="55672" xr:uid="{00000000-0005-0000-0000-0000F4480000}"/>
    <cellStyle name="20% - Accent6 2 5 11 3" xfId="7445" xr:uid="{00000000-0005-0000-0000-0000F5480000}"/>
    <cellStyle name="20% - Accent6 2 5 11 4" xfId="12921" xr:uid="{00000000-0005-0000-0000-0000F6480000}"/>
    <cellStyle name="20% - Accent6 2 5 11 5" xfId="18397" xr:uid="{00000000-0005-0000-0000-0000F7480000}"/>
    <cellStyle name="20% - Accent6 2 5 11 6" xfId="23873" xr:uid="{00000000-0005-0000-0000-0000F8480000}"/>
    <cellStyle name="20% - Accent6 2 5 11 7" xfId="35669" xr:uid="{00000000-0005-0000-0000-0000F9480000}"/>
    <cellStyle name="20% - Accent6 2 5 11 8" xfId="41146" xr:uid="{00000000-0005-0000-0000-0000FA480000}"/>
    <cellStyle name="20% - Accent6 2 5 11 9" xfId="46623" xr:uid="{00000000-0005-0000-0000-0000FB480000}"/>
    <cellStyle name="20% - Accent6 2 5 12" xfId="3776" xr:uid="{00000000-0005-0000-0000-0000FC480000}"/>
    <cellStyle name="20% - Accent6 2 5 12 2" xfId="9256" xr:uid="{00000000-0005-0000-0000-0000FD480000}"/>
    <cellStyle name="20% - Accent6 2 5 12 3" xfId="14732" xr:uid="{00000000-0005-0000-0000-0000FE480000}"/>
    <cellStyle name="20% - Accent6 2 5 12 4" xfId="20208" xr:uid="{00000000-0005-0000-0000-0000FF480000}"/>
    <cellStyle name="20% - Accent6 2 5 12 5" xfId="25684" xr:uid="{00000000-0005-0000-0000-000000490000}"/>
    <cellStyle name="20% - Accent6 2 5 12 6" xfId="37480" xr:uid="{00000000-0005-0000-0000-000001490000}"/>
    <cellStyle name="20% - Accent6 2 5 12 7" xfId="42957" xr:uid="{00000000-0005-0000-0000-000002490000}"/>
    <cellStyle name="20% - Accent6 2 5 12 8" xfId="48434" xr:uid="{00000000-0005-0000-0000-000003490000}"/>
    <cellStyle name="20% - Accent6 2 5 12 9" xfId="53952" xr:uid="{00000000-0005-0000-0000-000004490000}"/>
    <cellStyle name="20% - Accent6 2 5 13" xfId="6191" xr:uid="{00000000-0005-0000-0000-000005490000}"/>
    <cellStyle name="20% - Accent6 2 5 14" xfId="11671" xr:uid="{00000000-0005-0000-0000-000006490000}"/>
    <cellStyle name="20% - Accent6 2 5 15" xfId="17147" xr:uid="{00000000-0005-0000-0000-000007490000}"/>
    <cellStyle name="20% - Accent6 2 5 16" xfId="22623" xr:uid="{00000000-0005-0000-0000-000008490000}"/>
    <cellStyle name="20% - Accent6 2 5 17" xfId="29961" xr:uid="{00000000-0005-0000-0000-000009490000}"/>
    <cellStyle name="20% - Accent6 2 5 18" xfId="34418" xr:uid="{00000000-0005-0000-0000-00000A490000}"/>
    <cellStyle name="20% - Accent6 2 5 19" xfId="39895" xr:uid="{00000000-0005-0000-0000-00000B490000}"/>
    <cellStyle name="20% - Accent6 2 5 2" xfId="335" xr:uid="{00000000-0005-0000-0000-00000C490000}"/>
    <cellStyle name="20% - Accent6 2 5 2 10" xfId="39897" xr:uid="{00000000-0005-0000-0000-00000D490000}"/>
    <cellStyle name="20% - Accent6 2 5 2 11" xfId="45374" xr:uid="{00000000-0005-0000-0000-00000E490000}"/>
    <cellStyle name="20% - Accent6 2 5 2 12" xfId="50852" xr:uid="{00000000-0005-0000-0000-00000F490000}"/>
    <cellStyle name="20% - Accent6 2 5 2 2" xfId="2132" xr:uid="{00000000-0005-0000-0000-000010490000}"/>
    <cellStyle name="20% - Accent6 2 5 2 2 10" xfId="52308" xr:uid="{00000000-0005-0000-0000-000011490000}"/>
    <cellStyle name="20% - Accent6 2 5 2 2 2" xfId="7612" xr:uid="{00000000-0005-0000-0000-000012490000}"/>
    <cellStyle name="20% - Accent6 2 5 2 2 3" xfId="13088" xr:uid="{00000000-0005-0000-0000-000013490000}"/>
    <cellStyle name="20% - Accent6 2 5 2 2 4" xfId="18564" xr:uid="{00000000-0005-0000-0000-000014490000}"/>
    <cellStyle name="20% - Accent6 2 5 2 2 5" xfId="24040" xr:uid="{00000000-0005-0000-0000-000015490000}"/>
    <cellStyle name="20% - Accent6 2 5 2 2 6" xfId="29963" xr:uid="{00000000-0005-0000-0000-000016490000}"/>
    <cellStyle name="20% - Accent6 2 5 2 2 7" xfId="35836" xr:uid="{00000000-0005-0000-0000-000017490000}"/>
    <cellStyle name="20% - Accent6 2 5 2 2 8" xfId="41313" xr:uid="{00000000-0005-0000-0000-000018490000}"/>
    <cellStyle name="20% - Accent6 2 5 2 2 9" xfId="46790" xr:uid="{00000000-0005-0000-0000-000019490000}"/>
    <cellStyle name="20% - Accent6 2 5 2 3" xfId="3897" xr:uid="{00000000-0005-0000-0000-00001A490000}"/>
    <cellStyle name="20% - Accent6 2 5 2 3 2" xfId="9377" xr:uid="{00000000-0005-0000-0000-00001B490000}"/>
    <cellStyle name="20% - Accent6 2 5 2 3 3" xfId="14853" xr:uid="{00000000-0005-0000-0000-00001C490000}"/>
    <cellStyle name="20% - Accent6 2 5 2 3 4" xfId="20329" xr:uid="{00000000-0005-0000-0000-00001D490000}"/>
    <cellStyle name="20% - Accent6 2 5 2 3 5" xfId="25805" xr:uid="{00000000-0005-0000-0000-00001E490000}"/>
    <cellStyle name="20% - Accent6 2 5 2 3 6" xfId="37601" xr:uid="{00000000-0005-0000-0000-00001F490000}"/>
    <cellStyle name="20% - Accent6 2 5 2 3 7" xfId="43078" xr:uid="{00000000-0005-0000-0000-000020490000}"/>
    <cellStyle name="20% - Accent6 2 5 2 3 8" xfId="48555" xr:uid="{00000000-0005-0000-0000-000021490000}"/>
    <cellStyle name="20% - Accent6 2 5 2 3 9" xfId="54073" xr:uid="{00000000-0005-0000-0000-000022490000}"/>
    <cellStyle name="20% - Accent6 2 5 2 4" xfId="6193" xr:uid="{00000000-0005-0000-0000-000023490000}"/>
    <cellStyle name="20% - Accent6 2 5 2 5" xfId="11673" xr:uid="{00000000-0005-0000-0000-000024490000}"/>
    <cellStyle name="20% - Accent6 2 5 2 6" xfId="17149" xr:uid="{00000000-0005-0000-0000-000025490000}"/>
    <cellStyle name="20% - Accent6 2 5 2 7" xfId="22625" xr:uid="{00000000-0005-0000-0000-000026490000}"/>
    <cellStyle name="20% - Accent6 2 5 2 8" xfId="29962" xr:uid="{00000000-0005-0000-0000-000027490000}"/>
    <cellStyle name="20% - Accent6 2 5 2 9" xfId="34420" xr:uid="{00000000-0005-0000-0000-000028490000}"/>
    <cellStyle name="20% - Accent6 2 5 20" xfId="45372" xr:uid="{00000000-0005-0000-0000-000029490000}"/>
    <cellStyle name="20% - Accent6 2 5 21" xfId="50850" xr:uid="{00000000-0005-0000-0000-00002A490000}"/>
    <cellStyle name="20% - Accent6 2 5 3" xfId="536" xr:uid="{00000000-0005-0000-0000-00002B490000}"/>
    <cellStyle name="20% - Accent6 2 5 3 10" xfId="39898" xr:uid="{00000000-0005-0000-0000-00002C490000}"/>
    <cellStyle name="20% - Accent6 2 5 3 11" xfId="45375" xr:uid="{00000000-0005-0000-0000-00002D490000}"/>
    <cellStyle name="20% - Accent6 2 5 3 12" xfId="50853" xr:uid="{00000000-0005-0000-0000-00002E490000}"/>
    <cellStyle name="20% - Accent6 2 5 3 2" xfId="2297" xr:uid="{00000000-0005-0000-0000-00002F490000}"/>
    <cellStyle name="20% - Accent6 2 5 3 2 2" xfId="7777" xr:uid="{00000000-0005-0000-0000-000030490000}"/>
    <cellStyle name="20% - Accent6 2 5 3 2 3" xfId="13253" xr:uid="{00000000-0005-0000-0000-000031490000}"/>
    <cellStyle name="20% - Accent6 2 5 3 2 4" xfId="18729" xr:uid="{00000000-0005-0000-0000-000032490000}"/>
    <cellStyle name="20% - Accent6 2 5 3 2 5" xfId="24205" xr:uid="{00000000-0005-0000-0000-000033490000}"/>
    <cellStyle name="20% - Accent6 2 5 3 2 6" xfId="36001" xr:uid="{00000000-0005-0000-0000-000034490000}"/>
    <cellStyle name="20% - Accent6 2 5 3 2 7" xfId="41478" xr:uid="{00000000-0005-0000-0000-000035490000}"/>
    <cellStyle name="20% - Accent6 2 5 3 2 8" xfId="46955" xr:uid="{00000000-0005-0000-0000-000036490000}"/>
    <cellStyle name="20% - Accent6 2 5 3 2 9" xfId="52473" xr:uid="{00000000-0005-0000-0000-000037490000}"/>
    <cellStyle name="20% - Accent6 2 5 3 3" xfId="4069" xr:uid="{00000000-0005-0000-0000-000038490000}"/>
    <cellStyle name="20% - Accent6 2 5 3 3 2" xfId="9549" xr:uid="{00000000-0005-0000-0000-000039490000}"/>
    <cellStyle name="20% - Accent6 2 5 3 3 3" xfId="15025" xr:uid="{00000000-0005-0000-0000-00003A490000}"/>
    <cellStyle name="20% - Accent6 2 5 3 3 4" xfId="20501" xr:uid="{00000000-0005-0000-0000-00003B490000}"/>
    <cellStyle name="20% - Accent6 2 5 3 3 5" xfId="25977" xr:uid="{00000000-0005-0000-0000-00003C490000}"/>
    <cellStyle name="20% - Accent6 2 5 3 3 6" xfId="37773" xr:uid="{00000000-0005-0000-0000-00003D490000}"/>
    <cellStyle name="20% - Accent6 2 5 3 3 7" xfId="43250" xr:uid="{00000000-0005-0000-0000-00003E490000}"/>
    <cellStyle name="20% - Accent6 2 5 3 3 8" xfId="48727" xr:uid="{00000000-0005-0000-0000-00003F490000}"/>
    <cellStyle name="20% - Accent6 2 5 3 3 9" xfId="54245" xr:uid="{00000000-0005-0000-0000-000040490000}"/>
    <cellStyle name="20% - Accent6 2 5 3 4" xfId="6194" xr:uid="{00000000-0005-0000-0000-000041490000}"/>
    <cellStyle name="20% - Accent6 2 5 3 5" xfId="11674" xr:uid="{00000000-0005-0000-0000-000042490000}"/>
    <cellStyle name="20% - Accent6 2 5 3 6" xfId="17150" xr:uid="{00000000-0005-0000-0000-000043490000}"/>
    <cellStyle name="20% - Accent6 2 5 3 7" xfId="22626" xr:uid="{00000000-0005-0000-0000-000044490000}"/>
    <cellStyle name="20% - Accent6 2 5 3 8" xfId="29964" xr:uid="{00000000-0005-0000-0000-000045490000}"/>
    <cellStyle name="20% - Accent6 2 5 3 9" xfId="34421" xr:uid="{00000000-0005-0000-0000-000046490000}"/>
    <cellStyle name="20% - Accent6 2 5 4" xfId="708" xr:uid="{00000000-0005-0000-0000-000047490000}"/>
    <cellStyle name="20% - Accent6 2 5 4 10" xfId="45376" xr:uid="{00000000-0005-0000-0000-000048490000}"/>
    <cellStyle name="20% - Accent6 2 5 4 11" xfId="50854" xr:uid="{00000000-0005-0000-0000-000049490000}"/>
    <cellStyle name="20% - Accent6 2 5 4 2" xfId="2469" xr:uid="{00000000-0005-0000-0000-00004A490000}"/>
    <cellStyle name="20% - Accent6 2 5 4 2 2" xfId="7949" xr:uid="{00000000-0005-0000-0000-00004B490000}"/>
    <cellStyle name="20% - Accent6 2 5 4 2 3" xfId="13425" xr:uid="{00000000-0005-0000-0000-00004C490000}"/>
    <cellStyle name="20% - Accent6 2 5 4 2 4" xfId="18901" xr:uid="{00000000-0005-0000-0000-00004D490000}"/>
    <cellStyle name="20% - Accent6 2 5 4 2 5" xfId="24377" xr:uid="{00000000-0005-0000-0000-00004E490000}"/>
    <cellStyle name="20% - Accent6 2 5 4 2 6" xfId="36173" xr:uid="{00000000-0005-0000-0000-00004F490000}"/>
    <cellStyle name="20% - Accent6 2 5 4 2 7" xfId="41650" xr:uid="{00000000-0005-0000-0000-000050490000}"/>
    <cellStyle name="20% - Accent6 2 5 4 2 8" xfId="47127" xr:uid="{00000000-0005-0000-0000-000051490000}"/>
    <cellStyle name="20% - Accent6 2 5 4 2 9" xfId="52645" xr:uid="{00000000-0005-0000-0000-000052490000}"/>
    <cellStyle name="20% - Accent6 2 5 4 3" xfId="4241" xr:uid="{00000000-0005-0000-0000-000053490000}"/>
    <cellStyle name="20% - Accent6 2 5 4 3 2" xfId="9721" xr:uid="{00000000-0005-0000-0000-000054490000}"/>
    <cellStyle name="20% - Accent6 2 5 4 3 3" xfId="15197" xr:uid="{00000000-0005-0000-0000-000055490000}"/>
    <cellStyle name="20% - Accent6 2 5 4 3 4" xfId="20673" xr:uid="{00000000-0005-0000-0000-000056490000}"/>
    <cellStyle name="20% - Accent6 2 5 4 3 5" xfId="26149" xr:uid="{00000000-0005-0000-0000-000057490000}"/>
    <cellStyle name="20% - Accent6 2 5 4 3 6" xfId="37945" xr:uid="{00000000-0005-0000-0000-000058490000}"/>
    <cellStyle name="20% - Accent6 2 5 4 3 7" xfId="43422" xr:uid="{00000000-0005-0000-0000-000059490000}"/>
    <cellStyle name="20% - Accent6 2 5 4 3 8" xfId="48899" xr:uid="{00000000-0005-0000-0000-00005A490000}"/>
    <cellStyle name="20% - Accent6 2 5 4 3 9" xfId="54417" xr:uid="{00000000-0005-0000-0000-00005B490000}"/>
    <cellStyle name="20% - Accent6 2 5 4 4" xfId="6195" xr:uid="{00000000-0005-0000-0000-00005C490000}"/>
    <cellStyle name="20% - Accent6 2 5 4 5" xfId="11675" xr:uid="{00000000-0005-0000-0000-00005D490000}"/>
    <cellStyle name="20% - Accent6 2 5 4 6" xfId="17151" xr:uid="{00000000-0005-0000-0000-00005E490000}"/>
    <cellStyle name="20% - Accent6 2 5 4 7" xfId="22627" xr:uid="{00000000-0005-0000-0000-00005F490000}"/>
    <cellStyle name="20% - Accent6 2 5 4 8" xfId="34422" xr:uid="{00000000-0005-0000-0000-000060490000}"/>
    <cellStyle name="20% - Accent6 2 5 4 9" xfId="39899" xr:uid="{00000000-0005-0000-0000-000061490000}"/>
    <cellStyle name="20% - Accent6 2 5 5" xfId="880" xr:uid="{00000000-0005-0000-0000-000062490000}"/>
    <cellStyle name="20% - Accent6 2 5 5 10" xfId="45377" xr:uid="{00000000-0005-0000-0000-000063490000}"/>
    <cellStyle name="20% - Accent6 2 5 5 11" xfId="50855" xr:uid="{00000000-0005-0000-0000-000064490000}"/>
    <cellStyle name="20% - Accent6 2 5 5 2" xfId="2641" xr:uid="{00000000-0005-0000-0000-000065490000}"/>
    <cellStyle name="20% - Accent6 2 5 5 2 2" xfId="8121" xr:uid="{00000000-0005-0000-0000-000066490000}"/>
    <cellStyle name="20% - Accent6 2 5 5 2 3" xfId="13597" xr:uid="{00000000-0005-0000-0000-000067490000}"/>
    <cellStyle name="20% - Accent6 2 5 5 2 4" xfId="19073" xr:uid="{00000000-0005-0000-0000-000068490000}"/>
    <cellStyle name="20% - Accent6 2 5 5 2 5" xfId="24549" xr:uid="{00000000-0005-0000-0000-000069490000}"/>
    <cellStyle name="20% - Accent6 2 5 5 2 6" xfId="36345" xr:uid="{00000000-0005-0000-0000-00006A490000}"/>
    <cellStyle name="20% - Accent6 2 5 5 2 7" xfId="41822" xr:uid="{00000000-0005-0000-0000-00006B490000}"/>
    <cellStyle name="20% - Accent6 2 5 5 2 8" xfId="47299" xr:uid="{00000000-0005-0000-0000-00006C490000}"/>
    <cellStyle name="20% - Accent6 2 5 5 2 9" xfId="52817" xr:uid="{00000000-0005-0000-0000-00006D490000}"/>
    <cellStyle name="20% - Accent6 2 5 5 3" xfId="4413" xr:uid="{00000000-0005-0000-0000-00006E490000}"/>
    <cellStyle name="20% - Accent6 2 5 5 3 2" xfId="9893" xr:uid="{00000000-0005-0000-0000-00006F490000}"/>
    <cellStyle name="20% - Accent6 2 5 5 3 3" xfId="15369" xr:uid="{00000000-0005-0000-0000-000070490000}"/>
    <cellStyle name="20% - Accent6 2 5 5 3 4" xfId="20845" xr:uid="{00000000-0005-0000-0000-000071490000}"/>
    <cellStyle name="20% - Accent6 2 5 5 3 5" xfId="26321" xr:uid="{00000000-0005-0000-0000-000072490000}"/>
    <cellStyle name="20% - Accent6 2 5 5 3 6" xfId="38117" xr:uid="{00000000-0005-0000-0000-000073490000}"/>
    <cellStyle name="20% - Accent6 2 5 5 3 7" xfId="43594" xr:uid="{00000000-0005-0000-0000-000074490000}"/>
    <cellStyle name="20% - Accent6 2 5 5 3 8" xfId="49071" xr:uid="{00000000-0005-0000-0000-000075490000}"/>
    <cellStyle name="20% - Accent6 2 5 5 3 9" xfId="54589" xr:uid="{00000000-0005-0000-0000-000076490000}"/>
    <cellStyle name="20% - Accent6 2 5 5 4" xfId="6196" xr:uid="{00000000-0005-0000-0000-000077490000}"/>
    <cellStyle name="20% - Accent6 2 5 5 5" xfId="11676" xr:uid="{00000000-0005-0000-0000-000078490000}"/>
    <cellStyle name="20% - Accent6 2 5 5 6" xfId="17152" xr:uid="{00000000-0005-0000-0000-000079490000}"/>
    <cellStyle name="20% - Accent6 2 5 5 7" xfId="22628" xr:uid="{00000000-0005-0000-0000-00007A490000}"/>
    <cellStyle name="20% - Accent6 2 5 5 8" xfId="34423" xr:uid="{00000000-0005-0000-0000-00007B490000}"/>
    <cellStyle name="20% - Accent6 2 5 5 9" xfId="39900" xr:uid="{00000000-0005-0000-0000-00007C490000}"/>
    <cellStyle name="20% - Accent6 2 5 6" xfId="1086" xr:uid="{00000000-0005-0000-0000-00007D490000}"/>
    <cellStyle name="20% - Accent6 2 5 6 10" xfId="45378" xr:uid="{00000000-0005-0000-0000-00007E490000}"/>
    <cellStyle name="20% - Accent6 2 5 6 11" xfId="50856" xr:uid="{00000000-0005-0000-0000-00007F490000}"/>
    <cellStyle name="20% - Accent6 2 5 6 2" xfId="2847" xr:uid="{00000000-0005-0000-0000-000080490000}"/>
    <cellStyle name="20% - Accent6 2 5 6 2 2" xfId="8327" xr:uid="{00000000-0005-0000-0000-000081490000}"/>
    <cellStyle name="20% - Accent6 2 5 6 2 3" xfId="13803" xr:uid="{00000000-0005-0000-0000-000082490000}"/>
    <cellStyle name="20% - Accent6 2 5 6 2 4" xfId="19279" xr:uid="{00000000-0005-0000-0000-000083490000}"/>
    <cellStyle name="20% - Accent6 2 5 6 2 5" xfId="24755" xr:uid="{00000000-0005-0000-0000-000084490000}"/>
    <cellStyle name="20% - Accent6 2 5 6 2 6" xfId="36551" xr:uid="{00000000-0005-0000-0000-000085490000}"/>
    <cellStyle name="20% - Accent6 2 5 6 2 7" xfId="42028" xr:uid="{00000000-0005-0000-0000-000086490000}"/>
    <cellStyle name="20% - Accent6 2 5 6 2 8" xfId="47505" xr:uid="{00000000-0005-0000-0000-000087490000}"/>
    <cellStyle name="20% - Accent6 2 5 6 2 9" xfId="53023" xr:uid="{00000000-0005-0000-0000-000088490000}"/>
    <cellStyle name="20% - Accent6 2 5 6 3" xfId="4619" xr:uid="{00000000-0005-0000-0000-000089490000}"/>
    <cellStyle name="20% - Accent6 2 5 6 3 2" xfId="10099" xr:uid="{00000000-0005-0000-0000-00008A490000}"/>
    <cellStyle name="20% - Accent6 2 5 6 3 3" xfId="15575" xr:uid="{00000000-0005-0000-0000-00008B490000}"/>
    <cellStyle name="20% - Accent6 2 5 6 3 4" xfId="21051" xr:uid="{00000000-0005-0000-0000-00008C490000}"/>
    <cellStyle name="20% - Accent6 2 5 6 3 5" xfId="26527" xr:uid="{00000000-0005-0000-0000-00008D490000}"/>
    <cellStyle name="20% - Accent6 2 5 6 3 6" xfId="38323" xr:uid="{00000000-0005-0000-0000-00008E490000}"/>
    <cellStyle name="20% - Accent6 2 5 6 3 7" xfId="43800" xr:uid="{00000000-0005-0000-0000-00008F490000}"/>
    <cellStyle name="20% - Accent6 2 5 6 3 8" xfId="49277" xr:uid="{00000000-0005-0000-0000-000090490000}"/>
    <cellStyle name="20% - Accent6 2 5 6 3 9" xfId="54795" xr:uid="{00000000-0005-0000-0000-000091490000}"/>
    <cellStyle name="20% - Accent6 2 5 6 4" xfId="6197" xr:uid="{00000000-0005-0000-0000-000092490000}"/>
    <cellStyle name="20% - Accent6 2 5 6 5" xfId="11677" xr:uid="{00000000-0005-0000-0000-000093490000}"/>
    <cellStyle name="20% - Accent6 2 5 6 6" xfId="17153" xr:uid="{00000000-0005-0000-0000-000094490000}"/>
    <cellStyle name="20% - Accent6 2 5 6 7" xfId="22629" xr:uid="{00000000-0005-0000-0000-000095490000}"/>
    <cellStyle name="20% - Accent6 2 5 6 8" xfId="34424" xr:uid="{00000000-0005-0000-0000-000096490000}"/>
    <cellStyle name="20% - Accent6 2 5 6 9" xfId="39901" xr:uid="{00000000-0005-0000-0000-000097490000}"/>
    <cellStyle name="20% - Accent6 2 5 7" xfId="1258" xr:uid="{00000000-0005-0000-0000-000098490000}"/>
    <cellStyle name="20% - Accent6 2 5 7 10" xfId="45379" xr:uid="{00000000-0005-0000-0000-000099490000}"/>
    <cellStyle name="20% - Accent6 2 5 7 11" xfId="50857" xr:uid="{00000000-0005-0000-0000-00009A490000}"/>
    <cellStyle name="20% - Accent6 2 5 7 2" xfId="3019" xr:uid="{00000000-0005-0000-0000-00009B490000}"/>
    <cellStyle name="20% - Accent6 2 5 7 2 2" xfId="8499" xr:uid="{00000000-0005-0000-0000-00009C490000}"/>
    <cellStyle name="20% - Accent6 2 5 7 2 3" xfId="13975" xr:uid="{00000000-0005-0000-0000-00009D490000}"/>
    <cellStyle name="20% - Accent6 2 5 7 2 4" xfId="19451" xr:uid="{00000000-0005-0000-0000-00009E490000}"/>
    <cellStyle name="20% - Accent6 2 5 7 2 5" xfId="24927" xr:uid="{00000000-0005-0000-0000-00009F490000}"/>
    <cellStyle name="20% - Accent6 2 5 7 2 6" xfId="36723" xr:uid="{00000000-0005-0000-0000-0000A0490000}"/>
    <cellStyle name="20% - Accent6 2 5 7 2 7" xfId="42200" xr:uid="{00000000-0005-0000-0000-0000A1490000}"/>
    <cellStyle name="20% - Accent6 2 5 7 2 8" xfId="47677" xr:uid="{00000000-0005-0000-0000-0000A2490000}"/>
    <cellStyle name="20% - Accent6 2 5 7 2 9" xfId="53195" xr:uid="{00000000-0005-0000-0000-0000A3490000}"/>
    <cellStyle name="20% - Accent6 2 5 7 3" xfId="4791" xr:uid="{00000000-0005-0000-0000-0000A4490000}"/>
    <cellStyle name="20% - Accent6 2 5 7 3 2" xfId="10271" xr:uid="{00000000-0005-0000-0000-0000A5490000}"/>
    <cellStyle name="20% - Accent6 2 5 7 3 3" xfId="15747" xr:uid="{00000000-0005-0000-0000-0000A6490000}"/>
    <cellStyle name="20% - Accent6 2 5 7 3 4" xfId="21223" xr:uid="{00000000-0005-0000-0000-0000A7490000}"/>
    <cellStyle name="20% - Accent6 2 5 7 3 5" xfId="26699" xr:uid="{00000000-0005-0000-0000-0000A8490000}"/>
    <cellStyle name="20% - Accent6 2 5 7 3 6" xfId="38495" xr:uid="{00000000-0005-0000-0000-0000A9490000}"/>
    <cellStyle name="20% - Accent6 2 5 7 3 7" xfId="43972" xr:uid="{00000000-0005-0000-0000-0000AA490000}"/>
    <cellStyle name="20% - Accent6 2 5 7 3 8" xfId="49449" xr:uid="{00000000-0005-0000-0000-0000AB490000}"/>
    <cellStyle name="20% - Accent6 2 5 7 3 9" xfId="54967" xr:uid="{00000000-0005-0000-0000-0000AC490000}"/>
    <cellStyle name="20% - Accent6 2 5 7 4" xfId="6198" xr:uid="{00000000-0005-0000-0000-0000AD490000}"/>
    <cellStyle name="20% - Accent6 2 5 7 5" xfId="11678" xr:uid="{00000000-0005-0000-0000-0000AE490000}"/>
    <cellStyle name="20% - Accent6 2 5 7 6" xfId="17154" xr:uid="{00000000-0005-0000-0000-0000AF490000}"/>
    <cellStyle name="20% - Accent6 2 5 7 7" xfId="22630" xr:uid="{00000000-0005-0000-0000-0000B0490000}"/>
    <cellStyle name="20% - Accent6 2 5 7 8" xfId="34425" xr:uid="{00000000-0005-0000-0000-0000B1490000}"/>
    <cellStyle name="20% - Accent6 2 5 7 9" xfId="39902" xr:uid="{00000000-0005-0000-0000-0000B2490000}"/>
    <cellStyle name="20% - Accent6 2 5 8" xfId="1430" xr:uid="{00000000-0005-0000-0000-0000B3490000}"/>
    <cellStyle name="20% - Accent6 2 5 8 10" xfId="45380" xr:uid="{00000000-0005-0000-0000-0000B4490000}"/>
    <cellStyle name="20% - Accent6 2 5 8 11" xfId="50858" xr:uid="{00000000-0005-0000-0000-0000B5490000}"/>
    <cellStyle name="20% - Accent6 2 5 8 2" xfId="3191" xr:uid="{00000000-0005-0000-0000-0000B6490000}"/>
    <cellStyle name="20% - Accent6 2 5 8 2 2" xfId="8671" xr:uid="{00000000-0005-0000-0000-0000B7490000}"/>
    <cellStyle name="20% - Accent6 2 5 8 2 3" xfId="14147" xr:uid="{00000000-0005-0000-0000-0000B8490000}"/>
    <cellStyle name="20% - Accent6 2 5 8 2 4" xfId="19623" xr:uid="{00000000-0005-0000-0000-0000B9490000}"/>
    <cellStyle name="20% - Accent6 2 5 8 2 5" xfId="25099" xr:uid="{00000000-0005-0000-0000-0000BA490000}"/>
    <cellStyle name="20% - Accent6 2 5 8 2 6" xfId="36895" xr:uid="{00000000-0005-0000-0000-0000BB490000}"/>
    <cellStyle name="20% - Accent6 2 5 8 2 7" xfId="42372" xr:uid="{00000000-0005-0000-0000-0000BC490000}"/>
    <cellStyle name="20% - Accent6 2 5 8 2 8" xfId="47849" xr:uid="{00000000-0005-0000-0000-0000BD490000}"/>
    <cellStyle name="20% - Accent6 2 5 8 2 9" xfId="53367" xr:uid="{00000000-0005-0000-0000-0000BE490000}"/>
    <cellStyle name="20% - Accent6 2 5 8 3" xfId="4963" xr:uid="{00000000-0005-0000-0000-0000BF490000}"/>
    <cellStyle name="20% - Accent6 2 5 8 3 2" xfId="10443" xr:uid="{00000000-0005-0000-0000-0000C0490000}"/>
    <cellStyle name="20% - Accent6 2 5 8 3 3" xfId="15919" xr:uid="{00000000-0005-0000-0000-0000C1490000}"/>
    <cellStyle name="20% - Accent6 2 5 8 3 4" xfId="21395" xr:uid="{00000000-0005-0000-0000-0000C2490000}"/>
    <cellStyle name="20% - Accent6 2 5 8 3 5" xfId="26871" xr:uid="{00000000-0005-0000-0000-0000C3490000}"/>
    <cellStyle name="20% - Accent6 2 5 8 3 6" xfId="38667" xr:uid="{00000000-0005-0000-0000-0000C4490000}"/>
    <cellStyle name="20% - Accent6 2 5 8 3 7" xfId="44144" xr:uid="{00000000-0005-0000-0000-0000C5490000}"/>
    <cellStyle name="20% - Accent6 2 5 8 3 8" xfId="49621" xr:uid="{00000000-0005-0000-0000-0000C6490000}"/>
    <cellStyle name="20% - Accent6 2 5 8 3 9" xfId="55139" xr:uid="{00000000-0005-0000-0000-0000C7490000}"/>
    <cellStyle name="20% - Accent6 2 5 8 4" xfId="6199" xr:uid="{00000000-0005-0000-0000-0000C8490000}"/>
    <cellStyle name="20% - Accent6 2 5 8 5" xfId="11679" xr:uid="{00000000-0005-0000-0000-0000C9490000}"/>
    <cellStyle name="20% - Accent6 2 5 8 6" xfId="17155" xr:uid="{00000000-0005-0000-0000-0000CA490000}"/>
    <cellStyle name="20% - Accent6 2 5 8 7" xfId="22631" xr:uid="{00000000-0005-0000-0000-0000CB490000}"/>
    <cellStyle name="20% - Accent6 2 5 8 8" xfId="34426" xr:uid="{00000000-0005-0000-0000-0000CC490000}"/>
    <cellStyle name="20% - Accent6 2 5 8 9" xfId="39903" xr:uid="{00000000-0005-0000-0000-0000CD490000}"/>
    <cellStyle name="20% - Accent6 2 5 9" xfId="1602" xr:uid="{00000000-0005-0000-0000-0000CE490000}"/>
    <cellStyle name="20% - Accent6 2 5 9 10" xfId="45381" xr:uid="{00000000-0005-0000-0000-0000CF490000}"/>
    <cellStyle name="20% - Accent6 2 5 9 11" xfId="50859" xr:uid="{00000000-0005-0000-0000-0000D0490000}"/>
    <cellStyle name="20% - Accent6 2 5 9 2" xfId="3363" xr:uid="{00000000-0005-0000-0000-0000D1490000}"/>
    <cellStyle name="20% - Accent6 2 5 9 2 2" xfId="8843" xr:uid="{00000000-0005-0000-0000-0000D2490000}"/>
    <cellStyle name="20% - Accent6 2 5 9 2 3" xfId="14319" xr:uid="{00000000-0005-0000-0000-0000D3490000}"/>
    <cellStyle name="20% - Accent6 2 5 9 2 4" xfId="19795" xr:uid="{00000000-0005-0000-0000-0000D4490000}"/>
    <cellStyle name="20% - Accent6 2 5 9 2 5" xfId="25271" xr:uid="{00000000-0005-0000-0000-0000D5490000}"/>
    <cellStyle name="20% - Accent6 2 5 9 2 6" xfId="37067" xr:uid="{00000000-0005-0000-0000-0000D6490000}"/>
    <cellStyle name="20% - Accent6 2 5 9 2 7" xfId="42544" xr:uid="{00000000-0005-0000-0000-0000D7490000}"/>
    <cellStyle name="20% - Accent6 2 5 9 2 8" xfId="48021" xr:uid="{00000000-0005-0000-0000-0000D8490000}"/>
    <cellStyle name="20% - Accent6 2 5 9 2 9" xfId="53539" xr:uid="{00000000-0005-0000-0000-0000D9490000}"/>
    <cellStyle name="20% - Accent6 2 5 9 3" xfId="5135" xr:uid="{00000000-0005-0000-0000-0000DA490000}"/>
    <cellStyle name="20% - Accent6 2 5 9 3 2" xfId="10615" xr:uid="{00000000-0005-0000-0000-0000DB490000}"/>
    <cellStyle name="20% - Accent6 2 5 9 3 3" xfId="16091" xr:uid="{00000000-0005-0000-0000-0000DC490000}"/>
    <cellStyle name="20% - Accent6 2 5 9 3 4" xfId="21567" xr:uid="{00000000-0005-0000-0000-0000DD490000}"/>
    <cellStyle name="20% - Accent6 2 5 9 3 5" xfId="27043" xr:uid="{00000000-0005-0000-0000-0000DE490000}"/>
    <cellStyle name="20% - Accent6 2 5 9 3 6" xfId="38839" xr:uid="{00000000-0005-0000-0000-0000DF490000}"/>
    <cellStyle name="20% - Accent6 2 5 9 3 7" xfId="44316" xr:uid="{00000000-0005-0000-0000-0000E0490000}"/>
    <cellStyle name="20% - Accent6 2 5 9 3 8" xfId="49793" xr:uid="{00000000-0005-0000-0000-0000E1490000}"/>
    <cellStyle name="20% - Accent6 2 5 9 3 9" xfId="55311" xr:uid="{00000000-0005-0000-0000-0000E2490000}"/>
    <cellStyle name="20% - Accent6 2 5 9 4" xfId="6200" xr:uid="{00000000-0005-0000-0000-0000E3490000}"/>
    <cellStyle name="20% - Accent6 2 5 9 5" xfId="11680" xr:uid="{00000000-0005-0000-0000-0000E4490000}"/>
    <cellStyle name="20% - Accent6 2 5 9 6" xfId="17156" xr:uid="{00000000-0005-0000-0000-0000E5490000}"/>
    <cellStyle name="20% - Accent6 2 5 9 7" xfId="22632" xr:uid="{00000000-0005-0000-0000-0000E6490000}"/>
    <cellStyle name="20% - Accent6 2 5 9 8" xfId="34427" xr:uid="{00000000-0005-0000-0000-0000E7490000}"/>
    <cellStyle name="20% - Accent6 2 5 9 9" xfId="39904" xr:uid="{00000000-0005-0000-0000-0000E8490000}"/>
    <cellStyle name="20% - Accent6 2 6" xfId="328" xr:uid="{00000000-0005-0000-0000-0000E9490000}"/>
    <cellStyle name="20% - Accent6 2 6 10" xfId="39905" xr:uid="{00000000-0005-0000-0000-0000EA490000}"/>
    <cellStyle name="20% - Accent6 2 6 11" xfId="45382" xr:uid="{00000000-0005-0000-0000-0000EB490000}"/>
    <cellStyle name="20% - Accent6 2 6 12" xfId="50860" xr:uid="{00000000-0005-0000-0000-0000EC490000}"/>
    <cellStyle name="20% - Accent6 2 6 2" xfId="2125" xr:uid="{00000000-0005-0000-0000-0000ED490000}"/>
    <cellStyle name="20% - Accent6 2 6 2 10" xfId="52301" xr:uid="{00000000-0005-0000-0000-0000EE490000}"/>
    <cellStyle name="20% - Accent6 2 6 2 2" xfId="7605" xr:uid="{00000000-0005-0000-0000-0000EF490000}"/>
    <cellStyle name="20% - Accent6 2 6 2 2 2" xfId="29967" xr:uid="{00000000-0005-0000-0000-0000F0490000}"/>
    <cellStyle name="20% - Accent6 2 6 2 3" xfId="13081" xr:uid="{00000000-0005-0000-0000-0000F1490000}"/>
    <cellStyle name="20% - Accent6 2 6 2 4" xfId="18557" xr:uid="{00000000-0005-0000-0000-0000F2490000}"/>
    <cellStyle name="20% - Accent6 2 6 2 5" xfId="24033" xr:uid="{00000000-0005-0000-0000-0000F3490000}"/>
    <cellStyle name="20% - Accent6 2 6 2 6" xfId="29966" xr:uid="{00000000-0005-0000-0000-0000F4490000}"/>
    <cellStyle name="20% - Accent6 2 6 2 7" xfId="35829" xr:uid="{00000000-0005-0000-0000-0000F5490000}"/>
    <cellStyle name="20% - Accent6 2 6 2 8" xfId="41306" xr:uid="{00000000-0005-0000-0000-0000F6490000}"/>
    <cellStyle name="20% - Accent6 2 6 2 9" xfId="46783" xr:uid="{00000000-0005-0000-0000-0000F7490000}"/>
    <cellStyle name="20% - Accent6 2 6 3" xfId="3890" xr:uid="{00000000-0005-0000-0000-0000F8490000}"/>
    <cellStyle name="20% - Accent6 2 6 3 10" xfId="54066" xr:uid="{00000000-0005-0000-0000-0000F9490000}"/>
    <cellStyle name="20% - Accent6 2 6 3 2" xfId="9370" xr:uid="{00000000-0005-0000-0000-0000FA490000}"/>
    <cellStyle name="20% - Accent6 2 6 3 3" xfId="14846" xr:uid="{00000000-0005-0000-0000-0000FB490000}"/>
    <cellStyle name="20% - Accent6 2 6 3 4" xfId="20322" xr:uid="{00000000-0005-0000-0000-0000FC490000}"/>
    <cellStyle name="20% - Accent6 2 6 3 5" xfId="25798" xr:uid="{00000000-0005-0000-0000-0000FD490000}"/>
    <cellStyle name="20% - Accent6 2 6 3 6" xfId="29968" xr:uid="{00000000-0005-0000-0000-0000FE490000}"/>
    <cellStyle name="20% - Accent6 2 6 3 7" xfId="37594" xr:uid="{00000000-0005-0000-0000-0000FF490000}"/>
    <cellStyle name="20% - Accent6 2 6 3 8" xfId="43071" xr:uid="{00000000-0005-0000-0000-0000004A0000}"/>
    <cellStyle name="20% - Accent6 2 6 3 9" xfId="48548" xr:uid="{00000000-0005-0000-0000-0000014A0000}"/>
    <cellStyle name="20% - Accent6 2 6 4" xfId="6201" xr:uid="{00000000-0005-0000-0000-0000024A0000}"/>
    <cellStyle name="20% - Accent6 2 6 5" xfId="11681" xr:uid="{00000000-0005-0000-0000-0000034A0000}"/>
    <cellStyle name="20% - Accent6 2 6 6" xfId="17157" xr:uid="{00000000-0005-0000-0000-0000044A0000}"/>
    <cellStyle name="20% - Accent6 2 6 7" xfId="22633" xr:uid="{00000000-0005-0000-0000-0000054A0000}"/>
    <cellStyle name="20% - Accent6 2 6 8" xfId="29965" xr:uid="{00000000-0005-0000-0000-0000064A0000}"/>
    <cellStyle name="20% - Accent6 2 6 9" xfId="34428" xr:uid="{00000000-0005-0000-0000-0000074A0000}"/>
    <cellStyle name="20% - Accent6 2 7" xfId="529" xr:uid="{00000000-0005-0000-0000-0000084A0000}"/>
    <cellStyle name="20% - Accent6 2 7 10" xfId="39906" xr:uid="{00000000-0005-0000-0000-0000094A0000}"/>
    <cellStyle name="20% - Accent6 2 7 11" xfId="45383" xr:uid="{00000000-0005-0000-0000-00000A4A0000}"/>
    <cellStyle name="20% - Accent6 2 7 12" xfId="50861" xr:uid="{00000000-0005-0000-0000-00000B4A0000}"/>
    <cellStyle name="20% - Accent6 2 7 2" xfId="2290" xr:uid="{00000000-0005-0000-0000-00000C4A0000}"/>
    <cellStyle name="20% - Accent6 2 7 2 10" xfId="52466" xr:uid="{00000000-0005-0000-0000-00000D4A0000}"/>
    <cellStyle name="20% - Accent6 2 7 2 2" xfId="7770" xr:uid="{00000000-0005-0000-0000-00000E4A0000}"/>
    <cellStyle name="20% - Accent6 2 7 2 2 2" xfId="29971" xr:uid="{00000000-0005-0000-0000-00000F4A0000}"/>
    <cellStyle name="20% - Accent6 2 7 2 3" xfId="13246" xr:uid="{00000000-0005-0000-0000-0000104A0000}"/>
    <cellStyle name="20% - Accent6 2 7 2 4" xfId="18722" xr:uid="{00000000-0005-0000-0000-0000114A0000}"/>
    <cellStyle name="20% - Accent6 2 7 2 5" xfId="24198" xr:uid="{00000000-0005-0000-0000-0000124A0000}"/>
    <cellStyle name="20% - Accent6 2 7 2 6" xfId="29970" xr:uid="{00000000-0005-0000-0000-0000134A0000}"/>
    <cellStyle name="20% - Accent6 2 7 2 7" xfId="35994" xr:uid="{00000000-0005-0000-0000-0000144A0000}"/>
    <cellStyle name="20% - Accent6 2 7 2 8" xfId="41471" xr:uid="{00000000-0005-0000-0000-0000154A0000}"/>
    <cellStyle name="20% - Accent6 2 7 2 9" xfId="46948" xr:uid="{00000000-0005-0000-0000-0000164A0000}"/>
    <cellStyle name="20% - Accent6 2 7 3" xfId="4062" xr:uid="{00000000-0005-0000-0000-0000174A0000}"/>
    <cellStyle name="20% - Accent6 2 7 3 10" xfId="54238" xr:uid="{00000000-0005-0000-0000-0000184A0000}"/>
    <cellStyle name="20% - Accent6 2 7 3 2" xfId="9542" xr:uid="{00000000-0005-0000-0000-0000194A0000}"/>
    <cellStyle name="20% - Accent6 2 7 3 3" xfId="15018" xr:uid="{00000000-0005-0000-0000-00001A4A0000}"/>
    <cellStyle name="20% - Accent6 2 7 3 4" xfId="20494" xr:uid="{00000000-0005-0000-0000-00001B4A0000}"/>
    <cellStyle name="20% - Accent6 2 7 3 5" xfId="25970" xr:uid="{00000000-0005-0000-0000-00001C4A0000}"/>
    <cellStyle name="20% - Accent6 2 7 3 6" xfId="29972" xr:uid="{00000000-0005-0000-0000-00001D4A0000}"/>
    <cellStyle name="20% - Accent6 2 7 3 7" xfId="37766" xr:uid="{00000000-0005-0000-0000-00001E4A0000}"/>
    <cellStyle name="20% - Accent6 2 7 3 8" xfId="43243" xr:uid="{00000000-0005-0000-0000-00001F4A0000}"/>
    <cellStyle name="20% - Accent6 2 7 3 9" xfId="48720" xr:uid="{00000000-0005-0000-0000-0000204A0000}"/>
    <cellStyle name="20% - Accent6 2 7 4" xfId="6202" xr:uid="{00000000-0005-0000-0000-0000214A0000}"/>
    <cellStyle name="20% - Accent6 2 7 5" xfId="11682" xr:uid="{00000000-0005-0000-0000-0000224A0000}"/>
    <cellStyle name="20% - Accent6 2 7 6" xfId="17158" xr:uid="{00000000-0005-0000-0000-0000234A0000}"/>
    <cellStyle name="20% - Accent6 2 7 7" xfId="22634" xr:uid="{00000000-0005-0000-0000-0000244A0000}"/>
    <cellStyle name="20% - Accent6 2 7 8" xfId="29969" xr:uid="{00000000-0005-0000-0000-0000254A0000}"/>
    <cellStyle name="20% - Accent6 2 7 9" xfId="34429" xr:uid="{00000000-0005-0000-0000-0000264A0000}"/>
    <cellStyle name="20% - Accent6 2 8" xfId="701" xr:uid="{00000000-0005-0000-0000-0000274A0000}"/>
    <cellStyle name="20% - Accent6 2 8 10" xfId="39907" xr:uid="{00000000-0005-0000-0000-0000284A0000}"/>
    <cellStyle name="20% - Accent6 2 8 11" xfId="45384" xr:uid="{00000000-0005-0000-0000-0000294A0000}"/>
    <cellStyle name="20% - Accent6 2 8 12" xfId="50862" xr:uid="{00000000-0005-0000-0000-00002A4A0000}"/>
    <cellStyle name="20% - Accent6 2 8 2" xfId="2462" xr:uid="{00000000-0005-0000-0000-00002B4A0000}"/>
    <cellStyle name="20% - Accent6 2 8 2 10" xfId="52638" xr:uid="{00000000-0005-0000-0000-00002C4A0000}"/>
    <cellStyle name="20% - Accent6 2 8 2 2" xfId="7942" xr:uid="{00000000-0005-0000-0000-00002D4A0000}"/>
    <cellStyle name="20% - Accent6 2 8 2 3" xfId="13418" xr:uid="{00000000-0005-0000-0000-00002E4A0000}"/>
    <cellStyle name="20% - Accent6 2 8 2 4" xfId="18894" xr:uid="{00000000-0005-0000-0000-00002F4A0000}"/>
    <cellStyle name="20% - Accent6 2 8 2 5" xfId="24370" xr:uid="{00000000-0005-0000-0000-0000304A0000}"/>
    <cellStyle name="20% - Accent6 2 8 2 6" xfId="29974" xr:uid="{00000000-0005-0000-0000-0000314A0000}"/>
    <cellStyle name="20% - Accent6 2 8 2 7" xfId="36166" xr:uid="{00000000-0005-0000-0000-0000324A0000}"/>
    <cellStyle name="20% - Accent6 2 8 2 8" xfId="41643" xr:uid="{00000000-0005-0000-0000-0000334A0000}"/>
    <cellStyle name="20% - Accent6 2 8 2 9" xfId="47120" xr:uid="{00000000-0005-0000-0000-0000344A0000}"/>
    <cellStyle name="20% - Accent6 2 8 3" xfId="4234" xr:uid="{00000000-0005-0000-0000-0000354A0000}"/>
    <cellStyle name="20% - Accent6 2 8 3 2" xfId="9714" xr:uid="{00000000-0005-0000-0000-0000364A0000}"/>
    <cellStyle name="20% - Accent6 2 8 3 3" xfId="15190" xr:uid="{00000000-0005-0000-0000-0000374A0000}"/>
    <cellStyle name="20% - Accent6 2 8 3 4" xfId="20666" xr:uid="{00000000-0005-0000-0000-0000384A0000}"/>
    <cellStyle name="20% - Accent6 2 8 3 5" xfId="26142" xr:uid="{00000000-0005-0000-0000-0000394A0000}"/>
    <cellStyle name="20% - Accent6 2 8 3 6" xfId="37938" xr:uid="{00000000-0005-0000-0000-00003A4A0000}"/>
    <cellStyle name="20% - Accent6 2 8 3 7" xfId="43415" xr:uid="{00000000-0005-0000-0000-00003B4A0000}"/>
    <cellStyle name="20% - Accent6 2 8 3 8" xfId="48892" xr:uid="{00000000-0005-0000-0000-00003C4A0000}"/>
    <cellStyle name="20% - Accent6 2 8 3 9" xfId="54410" xr:uid="{00000000-0005-0000-0000-00003D4A0000}"/>
    <cellStyle name="20% - Accent6 2 8 4" xfId="6203" xr:uid="{00000000-0005-0000-0000-00003E4A0000}"/>
    <cellStyle name="20% - Accent6 2 8 5" xfId="11683" xr:uid="{00000000-0005-0000-0000-00003F4A0000}"/>
    <cellStyle name="20% - Accent6 2 8 6" xfId="17159" xr:uid="{00000000-0005-0000-0000-0000404A0000}"/>
    <cellStyle name="20% - Accent6 2 8 7" xfId="22635" xr:uid="{00000000-0005-0000-0000-0000414A0000}"/>
    <cellStyle name="20% - Accent6 2 8 8" xfId="29973" xr:uid="{00000000-0005-0000-0000-0000424A0000}"/>
    <cellStyle name="20% - Accent6 2 8 9" xfId="34430" xr:uid="{00000000-0005-0000-0000-0000434A0000}"/>
    <cellStyle name="20% - Accent6 2 9" xfId="873" xr:uid="{00000000-0005-0000-0000-0000444A0000}"/>
    <cellStyle name="20% - Accent6 2 9 10" xfId="39908" xr:uid="{00000000-0005-0000-0000-0000454A0000}"/>
    <cellStyle name="20% - Accent6 2 9 11" xfId="45385" xr:uid="{00000000-0005-0000-0000-0000464A0000}"/>
    <cellStyle name="20% - Accent6 2 9 12" xfId="50863" xr:uid="{00000000-0005-0000-0000-0000474A0000}"/>
    <cellStyle name="20% - Accent6 2 9 2" xfId="2634" xr:uid="{00000000-0005-0000-0000-0000484A0000}"/>
    <cellStyle name="20% - Accent6 2 9 2 2" xfId="8114" xr:uid="{00000000-0005-0000-0000-0000494A0000}"/>
    <cellStyle name="20% - Accent6 2 9 2 3" xfId="13590" xr:uid="{00000000-0005-0000-0000-00004A4A0000}"/>
    <cellStyle name="20% - Accent6 2 9 2 4" xfId="19066" xr:uid="{00000000-0005-0000-0000-00004B4A0000}"/>
    <cellStyle name="20% - Accent6 2 9 2 5" xfId="24542" xr:uid="{00000000-0005-0000-0000-00004C4A0000}"/>
    <cellStyle name="20% - Accent6 2 9 2 6" xfId="36338" xr:uid="{00000000-0005-0000-0000-00004D4A0000}"/>
    <cellStyle name="20% - Accent6 2 9 2 7" xfId="41815" xr:uid="{00000000-0005-0000-0000-00004E4A0000}"/>
    <cellStyle name="20% - Accent6 2 9 2 8" xfId="47292" xr:uid="{00000000-0005-0000-0000-00004F4A0000}"/>
    <cellStyle name="20% - Accent6 2 9 2 9" xfId="52810" xr:uid="{00000000-0005-0000-0000-0000504A0000}"/>
    <cellStyle name="20% - Accent6 2 9 3" xfId="4406" xr:uid="{00000000-0005-0000-0000-0000514A0000}"/>
    <cellStyle name="20% - Accent6 2 9 3 2" xfId="9886" xr:uid="{00000000-0005-0000-0000-0000524A0000}"/>
    <cellStyle name="20% - Accent6 2 9 3 3" xfId="15362" xr:uid="{00000000-0005-0000-0000-0000534A0000}"/>
    <cellStyle name="20% - Accent6 2 9 3 4" xfId="20838" xr:uid="{00000000-0005-0000-0000-0000544A0000}"/>
    <cellStyle name="20% - Accent6 2 9 3 5" xfId="26314" xr:uid="{00000000-0005-0000-0000-0000554A0000}"/>
    <cellStyle name="20% - Accent6 2 9 3 6" xfId="38110" xr:uid="{00000000-0005-0000-0000-0000564A0000}"/>
    <cellStyle name="20% - Accent6 2 9 3 7" xfId="43587" xr:uid="{00000000-0005-0000-0000-0000574A0000}"/>
    <cellStyle name="20% - Accent6 2 9 3 8" xfId="49064" xr:uid="{00000000-0005-0000-0000-0000584A0000}"/>
    <cellStyle name="20% - Accent6 2 9 3 9" xfId="54582" xr:uid="{00000000-0005-0000-0000-0000594A0000}"/>
    <cellStyle name="20% - Accent6 2 9 4" xfId="6204" xr:uid="{00000000-0005-0000-0000-00005A4A0000}"/>
    <cellStyle name="20% - Accent6 2 9 5" xfId="11684" xr:uid="{00000000-0005-0000-0000-00005B4A0000}"/>
    <cellStyle name="20% - Accent6 2 9 6" xfId="17160" xr:uid="{00000000-0005-0000-0000-00005C4A0000}"/>
    <cellStyle name="20% - Accent6 2 9 7" xfId="22636" xr:uid="{00000000-0005-0000-0000-00005D4A0000}"/>
    <cellStyle name="20% - Accent6 2 9 8" xfId="29975" xr:uid="{00000000-0005-0000-0000-00005E4A0000}"/>
    <cellStyle name="20% - Accent6 2 9 9" xfId="34431" xr:uid="{00000000-0005-0000-0000-00005F4A0000}"/>
    <cellStyle name="20% - Accent6 20" xfId="29976" xr:uid="{00000000-0005-0000-0000-0000604A0000}"/>
    <cellStyle name="20% - Accent6 20 2" xfId="29977" xr:uid="{00000000-0005-0000-0000-0000614A0000}"/>
    <cellStyle name="20% - Accent6 20 2 2" xfId="29978" xr:uid="{00000000-0005-0000-0000-0000624A0000}"/>
    <cellStyle name="20% - Accent6 20 3" xfId="29979" xr:uid="{00000000-0005-0000-0000-0000634A0000}"/>
    <cellStyle name="20% - Accent6 21" xfId="29980" xr:uid="{00000000-0005-0000-0000-0000644A0000}"/>
    <cellStyle name="20% - Accent6 21 2" xfId="29981" xr:uid="{00000000-0005-0000-0000-0000654A0000}"/>
    <cellStyle name="20% - Accent6 22" xfId="29982" xr:uid="{00000000-0005-0000-0000-0000664A0000}"/>
    <cellStyle name="20% - Accent6 23" xfId="29983" xr:uid="{00000000-0005-0000-0000-0000674A0000}"/>
    <cellStyle name="20% - Accent6 23 2" xfId="29984" xr:uid="{00000000-0005-0000-0000-0000684A0000}"/>
    <cellStyle name="20% - Accent6 24" xfId="29985" xr:uid="{00000000-0005-0000-0000-0000694A0000}"/>
    <cellStyle name="20% - Accent6 24 2" xfId="29986" xr:uid="{00000000-0005-0000-0000-00006A4A0000}"/>
    <cellStyle name="20% - Accent6 25" xfId="29987" xr:uid="{00000000-0005-0000-0000-00006B4A0000}"/>
    <cellStyle name="20% - Accent6 26" xfId="27565" xr:uid="{00000000-0005-0000-0000-00006C4A0000}"/>
    <cellStyle name="20% - Accent6 27" xfId="35610" xr:uid="{00000000-0005-0000-0000-00006D4A0000}"/>
    <cellStyle name="20% - Accent6 28" xfId="41087" xr:uid="{00000000-0005-0000-0000-00006E4A0000}"/>
    <cellStyle name="20% - Accent6 29" xfId="46564" xr:uid="{00000000-0005-0000-0000-00006F4A0000}"/>
    <cellStyle name="20% - Accent6 3" xfId="194" xr:uid="{00000000-0005-0000-0000-0000704A0000}"/>
    <cellStyle name="20% - Accent6 3 10" xfId="1754" xr:uid="{00000000-0005-0000-0000-0000714A0000}"/>
    <cellStyle name="20% - Accent6 3 10 10" xfId="45387" xr:uid="{00000000-0005-0000-0000-0000724A0000}"/>
    <cellStyle name="20% - Accent6 3 10 11" xfId="50865" xr:uid="{00000000-0005-0000-0000-0000734A0000}"/>
    <cellStyle name="20% - Accent6 3 10 2" xfId="3515" xr:uid="{00000000-0005-0000-0000-0000744A0000}"/>
    <cellStyle name="20% - Accent6 3 10 2 2" xfId="8995" xr:uid="{00000000-0005-0000-0000-0000754A0000}"/>
    <cellStyle name="20% - Accent6 3 10 2 3" xfId="14471" xr:uid="{00000000-0005-0000-0000-0000764A0000}"/>
    <cellStyle name="20% - Accent6 3 10 2 4" xfId="19947" xr:uid="{00000000-0005-0000-0000-0000774A0000}"/>
    <cellStyle name="20% - Accent6 3 10 2 5" xfId="25423" xr:uid="{00000000-0005-0000-0000-0000784A0000}"/>
    <cellStyle name="20% - Accent6 3 10 2 6" xfId="37219" xr:uid="{00000000-0005-0000-0000-0000794A0000}"/>
    <cellStyle name="20% - Accent6 3 10 2 7" xfId="42696" xr:uid="{00000000-0005-0000-0000-00007A4A0000}"/>
    <cellStyle name="20% - Accent6 3 10 2 8" xfId="48173" xr:uid="{00000000-0005-0000-0000-00007B4A0000}"/>
    <cellStyle name="20% - Accent6 3 10 2 9" xfId="53691" xr:uid="{00000000-0005-0000-0000-00007C4A0000}"/>
    <cellStyle name="20% - Accent6 3 10 3" xfId="5287" xr:uid="{00000000-0005-0000-0000-00007D4A0000}"/>
    <cellStyle name="20% - Accent6 3 10 3 2" xfId="10767" xr:uid="{00000000-0005-0000-0000-00007E4A0000}"/>
    <cellStyle name="20% - Accent6 3 10 3 3" xfId="16243" xr:uid="{00000000-0005-0000-0000-00007F4A0000}"/>
    <cellStyle name="20% - Accent6 3 10 3 4" xfId="21719" xr:uid="{00000000-0005-0000-0000-0000804A0000}"/>
    <cellStyle name="20% - Accent6 3 10 3 5" xfId="27195" xr:uid="{00000000-0005-0000-0000-0000814A0000}"/>
    <cellStyle name="20% - Accent6 3 10 3 6" xfId="38991" xr:uid="{00000000-0005-0000-0000-0000824A0000}"/>
    <cellStyle name="20% - Accent6 3 10 3 7" xfId="44468" xr:uid="{00000000-0005-0000-0000-0000834A0000}"/>
    <cellStyle name="20% - Accent6 3 10 3 8" xfId="49945" xr:uid="{00000000-0005-0000-0000-0000844A0000}"/>
    <cellStyle name="20% - Accent6 3 10 3 9" xfId="55463" xr:uid="{00000000-0005-0000-0000-0000854A0000}"/>
    <cellStyle name="20% - Accent6 3 10 4" xfId="6206" xr:uid="{00000000-0005-0000-0000-0000864A0000}"/>
    <cellStyle name="20% - Accent6 3 10 5" xfId="11686" xr:uid="{00000000-0005-0000-0000-0000874A0000}"/>
    <cellStyle name="20% - Accent6 3 10 6" xfId="17162" xr:uid="{00000000-0005-0000-0000-0000884A0000}"/>
    <cellStyle name="20% - Accent6 3 10 7" xfId="22638" xr:uid="{00000000-0005-0000-0000-0000894A0000}"/>
    <cellStyle name="20% - Accent6 3 10 8" xfId="34433" xr:uid="{00000000-0005-0000-0000-00008A4A0000}"/>
    <cellStyle name="20% - Accent6 3 10 9" xfId="39910" xr:uid="{00000000-0005-0000-0000-00008B4A0000}"/>
    <cellStyle name="20% - Accent6 3 11" xfId="1965" xr:uid="{00000000-0005-0000-0000-00008C4A0000}"/>
    <cellStyle name="20% - Accent6 3 11 10" xfId="52142" xr:uid="{00000000-0005-0000-0000-00008D4A0000}"/>
    <cellStyle name="20% - Accent6 3 11 2" xfId="5497" xr:uid="{00000000-0005-0000-0000-00008E4A0000}"/>
    <cellStyle name="20% - Accent6 3 11 2 2" xfId="10977" xr:uid="{00000000-0005-0000-0000-00008F4A0000}"/>
    <cellStyle name="20% - Accent6 3 11 2 3" xfId="16453" xr:uid="{00000000-0005-0000-0000-0000904A0000}"/>
    <cellStyle name="20% - Accent6 3 11 2 4" xfId="21929" xr:uid="{00000000-0005-0000-0000-0000914A0000}"/>
    <cellStyle name="20% - Accent6 3 11 2 5" xfId="27405" xr:uid="{00000000-0005-0000-0000-0000924A0000}"/>
    <cellStyle name="20% - Accent6 3 11 2 6" xfId="39201" xr:uid="{00000000-0005-0000-0000-0000934A0000}"/>
    <cellStyle name="20% - Accent6 3 11 2 7" xfId="44678" xr:uid="{00000000-0005-0000-0000-0000944A0000}"/>
    <cellStyle name="20% - Accent6 3 11 2 8" xfId="50155" xr:uid="{00000000-0005-0000-0000-0000954A0000}"/>
    <cellStyle name="20% - Accent6 3 11 2 9" xfId="55673" xr:uid="{00000000-0005-0000-0000-0000964A0000}"/>
    <cellStyle name="20% - Accent6 3 11 3" xfId="7446" xr:uid="{00000000-0005-0000-0000-0000974A0000}"/>
    <cellStyle name="20% - Accent6 3 11 4" xfId="12922" xr:uid="{00000000-0005-0000-0000-0000984A0000}"/>
    <cellStyle name="20% - Accent6 3 11 5" xfId="18398" xr:uid="{00000000-0005-0000-0000-0000994A0000}"/>
    <cellStyle name="20% - Accent6 3 11 6" xfId="23874" xr:uid="{00000000-0005-0000-0000-00009A4A0000}"/>
    <cellStyle name="20% - Accent6 3 11 7" xfId="35670" xr:uid="{00000000-0005-0000-0000-00009B4A0000}"/>
    <cellStyle name="20% - Accent6 3 11 8" xfId="41147" xr:uid="{00000000-0005-0000-0000-00009C4A0000}"/>
    <cellStyle name="20% - Accent6 3 11 9" xfId="46624" xr:uid="{00000000-0005-0000-0000-00009D4A0000}"/>
    <cellStyle name="20% - Accent6 3 12" xfId="3764" xr:uid="{00000000-0005-0000-0000-00009E4A0000}"/>
    <cellStyle name="20% - Accent6 3 12 2" xfId="9244" xr:uid="{00000000-0005-0000-0000-00009F4A0000}"/>
    <cellStyle name="20% - Accent6 3 12 3" xfId="14720" xr:uid="{00000000-0005-0000-0000-0000A04A0000}"/>
    <cellStyle name="20% - Accent6 3 12 4" xfId="20196" xr:uid="{00000000-0005-0000-0000-0000A14A0000}"/>
    <cellStyle name="20% - Accent6 3 12 5" xfId="25672" xr:uid="{00000000-0005-0000-0000-0000A24A0000}"/>
    <cellStyle name="20% - Accent6 3 12 6" xfId="37468" xr:uid="{00000000-0005-0000-0000-0000A34A0000}"/>
    <cellStyle name="20% - Accent6 3 12 7" xfId="42945" xr:uid="{00000000-0005-0000-0000-0000A44A0000}"/>
    <cellStyle name="20% - Accent6 3 12 8" xfId="48422" xr:uid="{00000000-0005-0000-0000-0000A54A0000}"/>
    <cellStyle name="20% - Accent6 3 12 9" xfId="53940" xr:uid="{00000000-0005-0000-0000-0000A64A0000}"/>
    <cellStyle name="20% - Accent6 3 13" xfId="6205" xr:uid="{00000000-0005-0000-0000-0000A74A0000}"/>
    <cellStyle name="20% - Accent6 3 14" xfId="11685" xr:uid="{00000000-0005-0000-0000-0000A84A0000}"/>
    <cellStyle name="20% - Accent6 3 15" xfId="17161" xr:uid="{00000000-0005-0000-0000-0000A94A0000}"/>
    <cellStyle name="20% - Accent6 3 16" xfId="22637" xr:uid="{00000000-0005-0000-0000-0000AA4A0000}"/>
    <cellStyle name="20% - Accent6 3 17" xfId="29988" xr:uid="{00000000-0005-0000-0000-0000AB4A0000}"/>
    <cellStyle name="20% - Accent6 3 18" xfId="34432" xr:uid="{00000000-0005-0000-0000-0000AC4A0000}"/>
    <cellStyle name="20% - Accent6 3 19" xfId="39909" xr:uid="{00000000-0005-0000-0000-0000AD4A0000}"/>
    <cellStyle name="20% - Accent6 3 2" xfId="336" xr:uid="{00000000-0005-0000-0000-0000AE4A0000}"/>
    <cellStyle name="20% - Accent6 3 2 10" xfId="39911" xr:uid="{00000000-0005-0000-0000-0000AF4A0000}"/>
    <cellStyle name="20% - Accent6 3 2 11" xfId="45388" xr:uid="{00000000-0005-0000-0000-0000B04A0000}"/>
    <cellStyle name="20% - Accent6 3 2 12" xfId="50866" xr:uid="{00000000-0005-0000-0000-0000B14A0000}"/>
    <cellStyle name="20% - Accent6 3 2 2" xfId="2133" xr:uid="{00000000-0005-0000-0000-0000B24A0000}"/>
    <cellStyle name="20% - Accent6 3 2 2 10" xfId="52309" xr:uid="{00000000-0005-0000-0000-0000B34A0000}"/>
    <cellStyle name="20% - Accent6 3 2 2 2" xfId="7613" xr:uid="{00000000-0005-0000-0000-0000B44A0000}"/>
    <cellStyle name="20% - Accent6 3 2 2 2 2" xfId="29991" xr:uid="{00000000-0005-0000-0000-0000B54A0000}"/>
    <cellStyle name="20% - Accent6 3 2 2 3" xfId="13089" xr:uid="{00000000-0005-0000-0000-0000B64A0000}"/>
    <cellStyle name="20% - Accent6 3 2 2 4" xfId="18565" xr:uid="{00000000-0005-0000-0000-0000B74A0000}"/>
    <cellStyle name="20% - Accent6 3 2 2 5" xfId="24041" xr:uid="{00000000-0005-0000-0000-0000B84A0000}"/>
    <cellStyle name="20% - Accent6 3 2 2 6" xfId="29990" xr:uid="{00000000-0005-0000-0000-0000B94A0000}"/>
    <cellStyle name="20% - Accent6 3 2 2 7" xfId="35837" xr:uid="{00000000-0005-0000-0000-0000BA4A0000}"/>
    <cellStyle name="20% - Accent6 3 2 2 8" xfId="41314" xr:uid="{00000000-0005-0000-0000-0000BB4A0000}"/>
    <cellStyle name="20% - Accent6 3 2 2 9" xfId="46791" xr:uid="{00000000-0005-0000-0000-0000BC4A0000}"/>
    <cellStyle name="20% - Accent6 3 2 3" xfId="3898" xr:uid="{00000000-0005-0000-0000-0000BD4A0000}"/>
    <cellStyle name="20% - Accent6 3 2 3 10" xfId="54074" xr:uid="{00000000-0005-0000-0000-0000BE4A0000}"/>
    <cellStyle name="20% - Accent6 3 2 3 2" xfId="9378" xr:uid="{00000000-0005-0000-0000-0000BF4A0000}"/>
    <cellStyle name="20% - Accent6 3 2 3 3" xfId="14854" xr:uid="{00000000-0005-0000-0000-0000C04A0000}"/>
    <cellStyle name="20% - Accent6 3 2 3 4" xfId="20330" xr:uid="{00000000-0005-0000-0000-0000C14A0000}"/>
    <cellStyle name="20% - Accent6 3 2 3 5" xfId="25806" xr:uid="{00000000-0005-0000-0000-0000C24A0000}"/>
    <cellStyle name="20% - Accent6 3 2 3 6" xfId="29992" xr:uid="{00000000-0005-0000-0000-0000C34A0000}"/>
    <cellStyle name="20% - Accent6 3 2 3 7" xfId="37602" xr:uid="{00000000-0005-0000-0000-0000C44A0000}"/>
    <cellStyle name="20% - Accent6 3 2 3 8" xfId="43079" xr:uid="{00000000-0005-0000-0000-0000C54A0000}"/>
    <cellStyle name="20% - Accent6 3 2 3 9" xfId="48556" xr:uid="{00000000-0005-0000-0000-0000C64A0000}"/>
    <cellStyle name="20% - Accent6 3 2 4" xfId="6207" xr:uid="{00000000-0005-0000-0000-0000C74A0000}"/>
    <cellStyle name="20% - Accent6 3 2 5" xfId="11687" xr:uid="{00000000-0005-0000-0000-0000C84A0000}"/>
    <cellStyle name="20% - Accent6 3 2 6" xfId="17163" xr:uid="{00000000-0005-0000-0000-0000C94A0000}"/>
    <cellStyle name="20% - Accent6 3 2 7" xfId="22639" xr:uid="{00000000-0005-0000-0000-0000CA4A0000}"/>
    <cellStyle name="20% - Accent6 3 2 8" xfId="29989" xr:uid="{00000000-0005-0000-0000-0000CB4A0000}"/>
    <cellStyle name="20% - Accent6 3 2 9" xfId="34434" xr:uid="{00000000-0005-0000-0000-0000CC4A0000}"/>
    <cellStyle name="20% - Accent6 3 20" xfId="45386" xr:uid="{00000000-0005-0000-0000-0000CD4A0000}"/>
    <cellStyle name="20% - Accent6 3 21" xfId="50864" xr:uid="{00000000-0005-0000-0000-0000CE4A0000}"/>
    <cellStyle name="20% - Accent6 3 3" xfId="537" xr:uid="{00000000-0005-0000-0000-0000CF4A0000}"/>
    <cellStyle name="20% - Accent6 3 3 10" xfId="39912" xr:uid="{00000000-0005-0000-0000-0000D04A0000}"/>
    <cellStyle name="20% - Accent6 3 3 11" xfId="45389" xr:uid="{00000000-0005-0000-0000-0000D14A0000}"/>
    <cellStyle name="20% - Accent6 3 3 12" xfId="50867" xr:uid="{00000000-0005-0000-0000-0000D24A0000}"/>
    <cellStyle name="20% - Accent6 3 3 2" xfId="2298" xr:uid="{00000000-0005-0000-0000-0000D34A0000}"/>
    <cellStyle name="20% - Accent6 3 3 2 10" xfId="52474" xr:uid="{00000000-0005-0000-0000-0000D44A0000}"/>
    <cellStyle name="20% - Accent6 3 3 2 2" xfId="7778" xr:uid="{00000000-0005-0000-0000-0000D54A0000}"/>
    <cellStyle name="20% - Accent6 3 3 2 2 2" xfId="29995" xr:uid="{00000000-0005-0000-0000-0000D64A0000}"/>
    <cellStyle name="20% - Accent6 3 3 2 3" xfId="13254" xr:uid="{00000000-0005-0000-0000-0000D74A0000}"/>
    <cellStyle name="20% - Accent6 3 3 2 4" xfId="18730" xr:uid="{00000000-0005-0000-0000-0000D84A0000}"/>
    <cellStyle name="20% - Accent6 3 3 2 5" xfId="24206" xr:uid="{00000000-0005-0000-0000-0000D94A0000}"/>
    <cellStyle name="20% - Accent6 3 3 2 6" xfId="29994" xr:uid="{00000000-0005-0000-0000-0000DA4A0000}"/>
    <cellStyle name="20% - Accent6 3 3 2 7" xfId="36002" xr:uid="{00000000-0005-0000-0000-0000DB4A0000}"/>
    <cellStyle name="20% - Accent6 3 3 2 8" xfId="41479" xr:uid="{00000000-0005-0000-0000-0000DC4A0000}"/>
    <cellStyle name="20% - Accent6 3 3 2 9" xfId="46956" xr:uid="{00000000-0005-0000-0000-0000DD4A0000}"/>
    <cellStyle name="20% - Accent6 3 3 3" xfId="4070" xr:uid="{00000000-0005-0000-0000-0000DE4A0000}"/>
    <cellStyle name="20% - Accent6 3 3 3 10" xfId="54246" xr:uid="{00000000-0005-0000-0000-0000DF4A0000}"/>
    <cellStyle name="20% - Accent6 3 3 3 2" xfId="9550" xr:uid="{00000000-0005-0000-0000-0000E04A0000}"/>
    <cellStyle name="20% - Accent6 3 3 3 3" xfId="15026" xr:uid="{00000000-0005-0000-0000-0000E14A0000}"/>
    <cellStyle name="20% - Accent6 3 3 3 4" xfId="20502" xr:uid="{00000000-0005-0000-0000-0000E24A0000}"/>
    <cellStyle name="20% - Accent6 3 3 3 5" xfId="25978" xr:uid="{00000000-0005-0000-0000-0000E34A0000}"/>
    <cellStyle name="20% - Accent6 3 3 3 6" xfId="29996" xr:uid="{00000000-0005-0000-0000-0000E44A0000}"/>
    <cellStyle name="20% - Accent6 3 3 3 7" xfId="37774" xr:uid="{00000000-0005-0000-0000-0000E54A0000}"/>
    <cellStyle name="20% - Accent6 3 3 3 8" xfId="43251" xr:uid="{00000000-0005-0000-0000-0000E64A0000}"/>
    <cellStyle name="20% - Accent6 3 3 3 9" xfId="48728" xr:uid="{00000000-0005-0000-0000-0000E74A0000}"/>
    <cellStyle name="20% - Accent6 3 3 4" xfId="6208" xr:uid="{00000000-0005-0000-0000-0000E84A0000}"/>
    <cellStyle name="20% - Accent6 3 3 5" xfId="11688" xr:uid="{00000000-0005-0000-0000-0000E94A0000}"/>
    <cellStyle name="20% - Accent6 3 3 6" xfId="17164" xr:uid="{00000000-0005-0000-0000-0000EA4A0000}"/>
    <cellStyle name="20% - Accent6 3 3 7" xfId="22640" xr:uid="{00000000-0005-0000-0000-0000EB4A0000}"/>
    <cellStyle name="20% - Accent6 3 3 8" xfId="29993" xr:uid="{00000000-0005-0000-0000-0000EC4A0000}"/>
    <cellStyle name="20% - Accent6 3 3 9" xfId="34435" xr:uid="{00000000-0005-0000-0000-0000ED4A0000}"/>
    <cellStyle name="20% - Accent6 3 4" xfId="709" xr:uid="{00000000-0005-0000-0000-0000EE4A0000}"/>
    <cellStyle name="20% - Accent6 3 4 10" xfId="39913" xr:uid="{00000000-0005-0000-0000-0000EF4A0000}"/>
    <cellStyle name="20% - Accent6 3 4 11" xfId="45390" xr:uid="{00000000-0005-0000-0000-0000F04A0000}"/>
    <cellStyle name="20% - Accent6 3 4 12" xfId="50868" xr:uid="{00000000-0005-0000-0000-0000F14A0000}"/>
    <cellStyle name="20% - Accent6 3 4 2" xfId="2470" xr:uid="{00000000-0005-0000-0000-0000F24A0000}"/>
    <cellStyle name="20% - Accent6 3 4 2 10" xfId="52646" xr:uid="{00000000-0005-0000-0000-0000F34A0000}"/>
    <cellStyle name="20% - Accent6 3 4 2 2" xfId="7950" xr:uid="{00000000-0005-0000-0000-0000F44A0000}"/>
    <cellStyle name="20% - Accent6 3 4 2 2 2" xfId="29999" xr:uid="{00000000-0005-0000-0000-0000F54A0000}"/>
    <cellStyle name="20% - Accent6 3 4 2 3" xfId="13426" xr:uid="{00000000-0005-0000-0000-0000F64A0000}"/>
    <cellStyle name="20% - Accent6 3 4 2 4" xfId="18902" xr:uid="{00000000-0005-0000-0000-0000F74A0000}"/>
    <cellStyle name="20% - Accent6 3 4 2 5" xfId="24378" xr:uid="{00000000-0005-0000-0000-0000F84A0000}"/>
    <cellStyle name="20% - Accent6 3 4 2 6" xfId="29998" xr:uid="{00000000-0005-0000-0000-0000F94A0000}"/>
    <cellStyle name="20% - Accent6 3 4 2 7" xfId="36174" xr:uid="{00000000-0005-0000-0000-0000FA4A0000}"/>
    <cellStyle name="20% - Accent6 3 4 2 8" xfId="41651" xr:uid="{00000000-0005-0000-0000-0000FB4A0000}"/>
    <cellStyle name="20% - Accent6 3 4 2 9" xfId="47128" xr:uid="{00000000-0005-0000-0000-0000FC4A0000}"/>
    <cellStyle name="20% - Accent6 3 4 3" xfId="4242" xr:uid="{00000000-0005-0000-0000-0000FD4A0000}"/>
    <cellStyle name="20% - Accent6 3 4 3 10" xfId="54418" xr:uid="{00000000-0005-0000-0000-0000FE4A0000}"/>
    <cellStyle name="20% - Accent6 3 4 3 2" xfId="9722" xr:uid="{00000000-0005-0000-0000-0000FF4A0000}"/>
    <cellStyle name="20% - Accent6 3 4 3 3" xfId="15198" xr:uid="{00000000-0005-0000-0000-0000004B0000}"/>
    <cellStyle name="20% - Accent6 3 4 3 4" xfId="20674" xr:uid="{00000000-0005-0000-0000-0000014B0000}"/>
    <cellStyle name="20% - Accent6 3 4 3 5" xfId="26150" xr:uid="{00000000-0005-0000-0000-0000024B0000}"/>
    <cellStyle name="20% - Accent6 3 4 3 6" xfId="30000" xr:uid="{00000000-0005-0000-0000-0000034B0000}"/>
    <cellStyle name="20% - Accent6 3 4 3 7" xfId="37946" xr:uid="{00000000-0005-0000-0000-0000044B0000}"/>
    <cellStyle name="20% - Accent6 3 4 3 8" xfId="43423" xr:uid="{00000000-0005-0000-0000-0000054B0000}"/>
    <cellStyle name="20% - Accent6 3 4 3 9" xfId="48900" xr:uid="{00000000-0005-0000-0000-0000064B0000}"/>
    <cellStyle name="20% - Accent6 3 4 4" xfId="6209" xr:uid="{00000000-0005-0000-0000-0000074B0000}"/>
    <cellStyle name="20% - Accent6 3 4 5" xfId="11689" xr:uid="{00000000-0005-0000-0000-0000084B0000}"/>
    <cellStyle name="20% - Accent6 3 4 6" xfId="17165" xr:uid="{00000000-0005-0000-0000-0000094B0000}"/>
    <cellStyle name="20% - Accent6 3 4 7" xfId="22641" xr:uid="{00000000-0005-0000-0000-00000A4B0000}"/>
    <cellStyle name="20% - Accent6 3 4 8" xfId="29997" xr:uid="{00000000-0005-0000-0000-00000B4B0000}"/>
    <cellStyle name="20% - Accent6 3 4 9" xfId="34436" xr:uid="{00000000-0005-0000-0000-00000C4B0000}"/>
    <cellStyle name="20% - Accent6 3 5" xfId="881" xr:uid="{00000000-0005-0000-0000-00000D4B0000}"/>
    <cellStyle name="20% - Accent6 3 5 10" xfId="39914" xr:uid="{00000000-0005-0000-0000-00000E4B0000}"/>
    <cellStyle name="20% - Accent6 3 5 11" xfId="45391" xr:uid="{00000000-0005-0000-0000-00000F4B0000}"/>
    <cellStyle name="20% - Accent6 3 5 12" xfId="50869" xr:uid="{00000000-0005-0000-0000-0000104B0000}"/>
    <cellStyle name="20% - Accent6 3 5 2" xfId="2642" xr:uid="{00000000-0005-0000-0000-0000114B0000}"/>
    <cellStyle name="20% - Accent6 3 5 2 10" xfId="52818" xr:uid="{00000000-0005-0000-0000-0000124B0000}"/>
    <cellStyle name="20% - Accent6 3 5 2 2" xfId="8122" xr:uid="{00000000-0005-0000-0000-0000134B0000}"/>
    <cellStyle name="20% - Accent6 3 5 2 2 2" xfId="30003" xr:uid="{00000000-0005-0000-0000-0000144B0000}"/>
    <cellStyle name="20% - Accent6 3 5 2 3" xfId="13598" xr:uid="{00000000-0005-0000-0000-0000154B0000}"/>
    <cellStyle name="20% - Accent6 3 5 2 4" xfId="19074" xr:uid="{00000000-0005-0000-0000-0000164B0000}"/>
    <cellStyle name="20% - Accent6 3 5 2 5" xfId="24550" xr:uid="{00000000-0005-0000-0000-0000174B0000}"/>
    <cellStyle name="20% - Accent6 3 5 2 6" xfId="30002" xr:uid="{00000000-0005-0000-0000-0000184B0000}"/>
    <cellStyle name="20% - Accent6 3 5 2 7" xfId="36346" xr:uid="{00000000-0005-0000-0000-0000194B0000}"/>
    <cellStyle name="20% - Accent6 3 5 2 8" xfId="41823" xr:uid="{00000000-0005-0000-0000-00001A4B0000}"/>
    <cellStyle name="20% - Accent6 3 5 2 9" xfId="47300" xr:uid="{00000000-0005-0000-0000-00001B4B0000}"/>
    <cellStyle name="20% - Accent6 3 5 3" xfId="4414" xr:uid="{00000000-0005-0000-0000-00001C4B0000}"/>
    <cellStyle name="20% - Accent6 3 5 3 10" xfId="54590" xr:uid="{00000000-0005-0000-0000-00001D4B0000}"/>
    <cellStyle name="20% - Accent6 3 5 3 2" xfId="9894" xr:uid="{00000000-0005-0000-0000-00001E4B0000}"/>
    <cellStyle name="20% - Accent6 3 5 3 3" xfId="15370" xr:uid="{00000000-0005-0000-0000-00001F4B0000}"/>
    <cellStyle name="20% - Accent6 3 5 3 4" xfId="20846" xr:uid="{00000000-0005-0000-0000-0000204B0000}"/>
    <cellStyle name="20% - Accent6 3 5 3 5" xfId="26322" xr:uid="{00000000-0005-0000-0000-0000214B0000}"/>
    <cellStyle name="20% - Accent6 3 5 3 6" xfId="30004" xr:uid="{00000000-0005-0000-0000-0000224B0000}"/>
    <cellStyle name="20% - Accent6 3 5 3 7" xfId="38118" xr:uid="{00000000-0005-0000-0000-0000234B0000}"/>
    <cellStyle name="20% - Accent6 3 5 3 8" xfId="43595" xr:uid="{00000000-0005-0000-0000-0000244B0000}"/>
    <cellStyle name="20% - Accent6 3 5 3 9" xfId="49072" xr:uid="{00000000-0005-0000-0000-0000254B0000}"/>
    <cellStyle name="20% - Accent6 3 5 4" xfId="6210" xr:uid="{00000000-0005-0000-0000-0000264B0000}"/>
    <cellStyle name="20% - Accent6 3 5 5" xfId="11690" xr:uid="{00000000-0005-0000-0000-0000274B0000}"/>
    <cellStyle name="20% - Accent6 3 5 6" xfId="17166" xr:uid="{00000000-0005-0000-0000-0000284B0000}"/>
    <cellStyle name="20% - Accent6 3 5 7" xfId="22642" xr:uid="{00000000-0005-0000-0000-0000294B0000}"/>
    <cellStyle name="20% - Accent6 3 5 8" xfId="30001" xr:uid="{00000000-0005-0000-0000-00002A4B0000}"/>
    <cellStyle name="20% - Accent6 3 5 9" xfId="34437" xr:uid="{00000000-0005-0000-0000-00002B4B0000}"/>
    <cellStyle name="20% - Accent6 3 6" xfId="1087" xr:uid="{00000000-0005-0000-0000-00002C4B0000}"/>
    <cellStyle name="20% - Accent6 3 6 10" xfId="39915" xr:uid="{00000000-0005-0000-0000-00002D4B0000}"/>
    <cellStyle name="20% - Accent6 3 6 11" xfId="45392" xr:uid="{00000000-0005-0000-0000-00002E4B0000}"/>
    <cellStyle name="20% - Accent6 3 6 12" xfId="50870" xr:uid="{00000000-0005-0000-0000-00002F4B0000}"/>
    <cellStyle name="20% - Accent6 3 6 2" xfId="2848" xr:uid="{00000000-0005-0000-0000-0000304B0000}"/>
    <cellStyle name="20% - Accent6 3 6 2 10" xfId="53024" xr:uid="{00000000-0005-0000-0000-0000314B0000}"/>
    <cellStyle name="20% - Accent6 3 6 2 2" xfId="8328" xr:uid="{00000000-0005-0000-0000-0000324B0000}"/>
    <cellStyle name="20% - Accent6 3 6 2 2 2" xfId="30007" xr:uid="{00000000-0005-0000-0000-0000334B0000}"/>
    <cellStyle name="20% - Accent6 3 6 2 3" xfId="13804" xr:uid="{00000000-0005-0000-0000-0000344B0000}"/>
    <cellStyle name="20% - Accent6 3 6 2 4" xfId="19280" xr:uid="{00000000-0005-0000-0000-0000354B0000}"/>
    <cellStyle name="20% - Accent6 3 6 2 5" xfId="24756" xr:uid="{00000000-0005-0000-0000-0000364B0000}"/>
    <cellStyle name="20% - Accent6 3 6 2 6" xfId="30006" xr:uid="{00000000-0005-0000-0000-0000374B0000}"/>
    <cellStyle name="20% - Accent6 3 6 2 7" xfId="36552" xr:uid="{00000000-0005-0000-0000-0000384B0000}"/>
    <cellStyle name="20% - Accent6 3 6 2 8" xfId="42029" xr:uid="{00000000-0005-0000-0000-0000394B0000}"/>
    <cellStyle name="20% - Accent6 3 6 2 9" xfId="47506" xr:uid="{00000000-0005-0000-0000-00003A4B0000}"/>
    <cellStyle name="20% - Accent6 3 6 3" xfId="4620" xr:uid="{00000000-0005-0000-0000-00003B4B0000}"/>
    <cellStyle name="20% - Accent6 3 6 3 10" xfId="54796" xr:uid="{00000000-0005-0000-0000-00003C4B0000}"/>
    <cellStyle name="20% - Accent6 3 6 3 2" xfId="10100" xr:uid="{00000000-0005-0000-0000-00003D4B0000}"/>
    <cellStyle name="20% - Accent6 3 6 3 3" xfId="15576" xr:uid="{00000000-0005-0000-0000-00003E4B0000}"/>
    <cellStyle name="20% - Accent6 3 6 3 4" xfId="21052" xr:uid="{00000000-0005-0000-0000-00003F4B0000}"/>
    <cellStyle name="20% - Accent6 3 6 3 5" xfId="26528" xr:uid="{00000000-0005-0000-0000-0000404B0000}"/>
    <cellStyle name="20% - Accent6 3 6 3 6" xfId="30008" xr:uid="{00000000-0005-0000-0000-0000414B0000}"/>
    <cellStyle name="20% - Accent6 3 6 3 7" xfId="38324" xr:uid="{00000000-0005-0000-0000-0000424B0000}"/>
    <cellStyle name="20% - Accent6 3 6 3 8" xfId="43801" xr:uid="{00000000-0005-0000-0000-0000434B0000}"/>
    <cellStyle name="20% - Accent6 3 6 3 9" xfId="49278" xr:uid="{00000000-0005-0000-0000-0000444B0000}"/>
    <cellStyle name="20% - Accent6 3 6 4" xfId="6211" xr:uid="{00000000-0005-0000-0000-0000454B0000}"/>
    <cellStyle name="20% - Accent6 3 6 5" xfId="11691" xr:uid="{00000000-0005-0000-0000-0000464B0000}"/>
    <cellStyle name="20% - Accent6 3 6 6" xfId="17167" xr:uid="{00000000-0005-0000-0000-0000474B0000}"/>
    <cellStyle name="20% - Accent6 3 6 7" xfId="22643" xr:uid="{00000000-0005-0000-0000-0000484B0000}"/>
    <cellStyle name="20% - Accent6 3 6 8" xfId="30005" xr:uid="{00000000-0005-0000-0000-0000494B0000}"/>
    <cellStyle name="20% - Accent6 3 6 9" xfId="34438" xr:uid="{00000000-0005-0000-0000-00004A4B0000}"/>
    <cellStyle name="20% - Accent6 3 7" xfId="1259" xr:uid="{00000000-0005-0000-0000-00004B4B0000}"/>
    <cellStyle name="20% - Accent6 3 7 10" xfId="39916" xr:uid="{00000000-0005-0000-0000-00004C4B0000}"/>
    <cellStyle name="20% - Accent6 3 7 11" xfId="45393" xr:uid="{00000000-0005-0000-0000-00004D4B0000}"/>
    <cellStyle name="20% - Accent6 3 7 12" xfId="50871" xr:uid="{00000000-0005-0000-0000-00004E4B0000}"/>
    <cellStyle name="20% - Accent6 3 7 2" xfId="3020" xr:uid="{00000000-0005-0000-0000-00004F4B0000}"/>
    <cellStyle name="20% - Accent6 3 7 2 10" xfId="53196" xr:uid="{00000000-0005-0000-0000-0000504B0000}"/>
    <cellStyle name="20% - Accent6 3 7 2 2" xfId="8500" xr:uid="{00000000-0005-0000-0000-0000514B0000}"/>
    <cellStyle name="20% - Accent6 3 7 2 2 2" xfId="30011" xr:uid="{00000000-0005-0000-0000-0000524B0000}"/>
    <cellStyle name="20% - Accent6 3 7 2 3" xfId="13976" xr:uid="{00000000-0005-0000-0000-0000534B0000}"/>
    <cellStyle name="20% - Accent6 3 7 2 4" xfId="19452" xr:uid="{00000000-0005-0000-0000-0000544B0000}"/>
    <cellStyle name="20% - Accent6 3 7 2 5" xfId="24928" xr:uid="{00000000-0005-0000-0000-0000554B0000}"/>
    <cellStyle name="20% - Accent6 3 7 2 6" xfId="30010" xr:uid="{00000000-0005-0000-0000-0000564B0000}"/>
    <cellStyle name="20% - Accent6 3 7 2 7" xfId="36724" xr:uid="{00000000-0005-0000-0000-0000574B0000}"/>
    <cellStyle name="20% - Accent6 3 7 2 8" xfId="42201" xr:uid="{00000000-0005-0000-0000-0000584B0000}"/>
    <cellStyle name="20% - Accent6 3 7 2 9" xfId="47678" xr:uid="{00000000-0005-0000-0000-0000594B0000}"/>
    <cellStyle name="20% - Accent6 3 7 3" xfId="4792" xr:uid="{00000000-0005-0000-0000-00005A4B0000}"/>
    <cellStyle name="20% - Accent6 3 7 3 10" xfId="54968" xr:uid="{00000000-0005-0000-0000-00005B4B0000}"/>
    <cellStyle name="20% - Accent6 3 7 3 2" xfId="10272" xr:uid="{00000000-0005-0000-0000-00005C4B0000}"/>
    <cellStyle name="20% - Accent6 3 7 3 3" xfId="15748" xr:uid="{00000000-0005-0000-0000-00005D4B0000}"/>
    <cellStyle name="20% - Accent6 3 7 3 4" xfId="21224" xr:uid="{00000000-0005-0000-0000-00005E4B0000}"/>
    <cellStyle name="20% - Accent6 3 7 3 5" xfId="26700" xr:uid="{00000000-0005-0000-0000-00005F4B0000}"/>
    <cellStyle name="20% - Accent6 3 7 3 6" xfId="30012" xr:uid="{00000000-0005-0000-0000-0000604B0000}"/>
    <cellStyle name="20% - Accent6 3 7 3 7" xfId="38496" xr:uid="{00000000-0005-0000-0000-0000614B0000}"/>
    <cellStyle name="20% - Accent6 3 7 3 8" xfId="43973" xr:uid="{00000000-0005-0000-0000-0000624B0000}"/>
    <cellStyle name="20% - Accent6 3 7 3 9" xfId="49450" xr:uid="{00000000-0005-0000-0000-0000634B0000}"/>
    <cellStyle name="20% - Accent6 3 7 4" xfId="6212" xr:uid="{00000000-0005-0000-0000-0000644B0000}"/>
    <cellStyle name="20% - Accent6 3 7 5" xfId="11692" xr:uid="{00000000-0005-0000-0000-0000654B0000}"/>
    <cellStyle name="20% - Accent6 3 7 6" xfId="17168" xr:uid="{00000000-0005-0000-0000-0000664B0000}"/>
    <cellStyle name="20% - Accent6 3 7 7" xfId="22644" xr:uid="{00000000-0005-0000-0000-0000674B0000}"/>
    <cellStyle name="20% - Accent6 3 7 8" xfId="30009" xr:uid="{00000000-0005-0000-0000-0000684B0000}"/>
    <cellStyle name="20% - Accent6 3 7 9" xfId="34439" xr:uid="{00000000-0005-0000-0000-0000694B0000}"/>
    <cellStyle name="20% - Accent6 3 8" xfId="1431" xr:uid="{00000000-0005-0000-0000-00006A4B0000}"/>
    <cellStyle name="20% - Accent6 3 8 10" xfId="39917" xr:uid="{00000000-0005-0000-0000-00006B4B0000}"/>
    <cellStyle name="20% - Accent6 3 8 11" xfId="45394" xr:uid="{00000000-0005-0000-0000-00006C4B0000}"/>
    <cellStyle name="20% - Accent6 3 8 12" xfId="50872" xr:uid="{00000000-0005-0000-0000-00006D4B0000}"/>
    <cellStyle name="20% - Accent6 3 8 2" xfId="3192" xr:uid="{00000000-0005-0000-0000-00006E4B0000}"/>
    <cellStyle name="20% - Accent6 3 8 2 10" xfId="53368" xr:uid="{00000000-0005-0000-0000-00006F4B0000}"/>
    <cellStyle name="20% - Accent6 3 8 2 2" xfId="8672" xr:uid="{00000000-0005-0000-0000-0000704B0000}"/>
    <cellStyle name="20% - Accent6 3 8 2 3" xfId="14148" xr:uid="{00000000-0005-0000-0000-0000714B0000}"/>
    <cellStyle name="20% - Accent6 3 8 2 4" xfId="19624" xr:uid="{00000000-0005-0000-0000-0000724B0000}"/>
    <cellStyle name="20% - Accent6 3 8 2 5" xfId="25100" xr:uid="{00000000-0005-0000-0000-0000734B0000}"/>
    <cellStyle name="20% - Accent6 3 8 2 6" xfId="30014" xr:uid="{00000000-0005-0000-0000-0000744B0000}"/>
    <cellStyle name="20% - Accent6 3 8 2 7" xfId="36896" xr:uid="{00000000-0005-0000-0000-0000754B0000}"/>
    <cellStyle name="20% - Accent6 3 8 2 8" xfId="42373" xr:uid="{00000000-0005-0000-0000-0000764B0000}"/>
    <cellStyle name="20% - Accent6 3 8 2 9" xfId="47850" xr:uid="{00000000-0005-0000-0000-0000774B0000}"/>
    <cellStyle name="20% - Accent6 3 8 3" xfId="4964" xr:uid="{00000000-0005-0000-0000-0000784B0000}"/>
    <cellStyle name="20% - Accent6 3 8 3 2" xfId="10444" xr:uid="{00000000-0005-0000-0000-0000794B0000}"/>
    <cellStyle name="20% - Accent6 3 8 3 3" xfId="15920" xr:uid="{00000000-0005-0000-0000-00007A4B0000}"/>
    <cellStyle name="20% - Accent6 3 8 3 4" xfId="21396" xr:uid="{00000000-0005-0000-0000-00007B4B0000}"/>
    <cellStyle name="20% - Accent6 3 8 3 5" xfId="26872" xr:uid="{00000000-0005-0000-0000-00007C4B0000}"/>
    <cellStyle name="20% - Accent6 3 8 3 6" xfId="38668" xr:uid="{00000000-0005-0000-0000-00007D4B0000}"/>
    <cellStyle name="20% - Accent6 3 8 3 7" xfId="44145" xr:uid="{00000000-0005-0000-0000-00007E4B0000}"/>
    <cellStyle name="20% - Accent6 3 8 3 8" xfId="49622" xr:uid="{00000000-0005-0000-0000-00007F4B0000}"/>
    <cellStyle name="20% - Accent6 3 8 3 9" xfId="55140" xr:uid="{00000000-0005-0000-0000-0000804B0000}"/>
    <cellStyle name="20% - Accent6 3 8 4" xfId="6213" xr:uid="{00000000-0005-0000-0000-0000814B0000}"/>
    <cellStyle name="20% - Accent6 3 8 5" xfId="11693" xr:uid="{00000000-0005-0000-0000-0000824B0000}"/>
    <cellStyle name="20% - Accent6 3 8 6" xfId="17169" xr:uid="{00000000-0005-0000-0000-0000834B0000}"/>
    <cellStyle name="20% - Accent6 3 8 7" xfId="22645" xr:uid="{00000000-0005-0000-0000-0000844B0000}"/>
    <cellStyle name="20% - Accent6 3 8 8" xfId="30013" xr:uid="{00000000-0005-0000-0000-0000854B0000}"/>
    <cellStyle name="20% - Accent6 3 8 9" xfId="34440" xr:uid="{00000000-0005-0000-0000-0000864B0000}"/>
    <cellStyle name="20% - Accent6 3 9" xfId="1603" xr:uid="{00000000-0005-0000-0000-0000874B0000}"/>
    <cellStyle name="20% - Accent6 3 9 10" xfId="39918" xr:uid="{00000000-0005-0000-0000-0000884B0000}"/>
    <cellStyle name="20% - Accent6 3 9 11" xfId="45395" xr:uid="{00000000-0005-0000-0000-0000894B0000}"/>
    <cellStyle name="20% - Accent6 3 9 12" xfId="50873" xr:uid="{00000000-0005-0000-0000-00008A4B0000}"/>
    <cellStyle name="20% - Accent6 3 9 2" xfId="3364" xr:uid="{00000000-0005-0000-0000-00008B4B0000}"/>
    <cellStyle name="20% - Accent6 3 9 2 2" xfId="8844" xr:uid="{00000000-0005-0000-0000-00008C4B0000}"/>
    <cellStyle name="20% - Accent6 3 9 2 3" xfId="14320" xr:uid="{00000000-0005-0000-0000-00008D4B0000}"/>
    <cellStyle name="20% - Accent6 3 9 2 4" xfId="19796" xr:uid="{00000000-0005-0000-0000-00008E4B0000}"/>
    <cellStyle name="20% - Accent6 3 9 2 5" xfId="25272" xr:uid="{00000000-0005-0000-0000-00008F4B0000}"/>
    <cellStyle name="20% - Accent6 3 9 2 6" xfId="37068" xr:uid="{00000000-0005-0000-0000-0000904B0000}"/>
    <cellStyle name="20% - Accent6 3 9 2 7" xfId="42545" xr:uid="{00000000-0005-0000-0000-0000914B0000}"/>
    <cellStyle name="20% - Accent6 3 9 2 8" xfId="48022" xr:uid="{00000000-0005-0000-0000-0000924B0000}"/>
    <cellStyle name="20% - Accent6 3 9 2 9" xfId="53540" xr:uid="{00000000-0005-0000-0000-0000934B0000}"/>
    <cellStyle name="20% - Accent6 3 9 3" xfId="5136" xr:uid="{00000000-0005-0000-0000-0000944B0000}"/>
    <cellStyle name="20% - Accent6 3 9 3 2" xfId="10616" xr:uid="{00000000-0005-0000-0000-0000954B0000}"/>
    <cellStyle name="20% - Accent6 3 9 3 3" xfId="16092" xr:uid="{00000000-0005-0000-0000-0000964B0000}"/>
    <cellStyle name="20% - Accent6 3 9 3 4" xfId="21568" xr:uid="{00000000-0005-0000-0000-0000974B0000}"/>
    <cellStyle name="20% - Accent6 3 9 3 5" xfId="27044" xr:uid="{00000000-0005-0000-0000-0000984B0000}"/>
    <cellStyle name="20% - Accent6 3 9 3 6" xfId="38840" xr:uid="{00000000-0005-0000-0000-0000994B0000}"/>
    <cellStyle name="20% - Accent6 3 9 3 7" xfId="44317" xr:uid="{00000000-0005-0000-0000-00009A4B0000}"/>
    <cellStyle name="20% - Accent6 3 9 3 8" xfId="49794" xr:uid="{00000000-0005-0000-0000-00009B4B0000}"/>
    <cellStyle name="20% - Accent6 3 9 3 9" xfId="55312" xr:uid="{00000000-0005-0000-0000-00009C4B0000}"/>
    <cellStyle name="20% - Accent6 3 9 4" xfId="6214" xr:uid="{00000000-0005-0000-0000-00009D4B0000}"/>
    <cellStyle name="20% - Accent6 3 9 5" xfId="11694" xr:uid="{00000000-0005-0000-0000-00009E4B0000}"/>
    <cellStyle name="20% - Accent6 3 9 6" xfId="17170" xr:uid="{00000000-0005-0000-0000-00009F4B0000}"/>
    <cellStyle name="20% - Accent6 3 9 7" xfId="22646" xr:uid="{00000000-0005-0000-0000-0000A04B0000}"/>
    <cellStyle name="20% - Accent6 3 9 8" xfId="30015" xr:uid="{00000000-0005-0000-0000-0000A14B0000}"/>
    <cellStyle name="20% - Accent6 3 9 9" xfId="34441" xr:uid="{00000000-0005-0000-0000-0000A24B0000}"/>
    <cellStyle name="20% - Accent6 4" xfId="337" xr:uid="{00000000-0005-0000-0000-0000A34B0000}"/>
    <cellStyle name="20% - Accent6 4 10" xfId="1966" xr:uid="{00000000-0005-0000-0000-0000A44B0000}"/>
    <cellStyle name="20% - Accent6 4 10 10" xfId="52143" xr:uid="{00000000-0005-0000-0000-0000A54B0000}"/>
    <cellStyle name="20% - Accent6 4 10 2" xfId="5498" xr:uid="{00000000-0005-0000-0000-0000A64B0000}"/>
    <cellStyle name="20% - Accent6 4 10 2 2" xfId="10978" xr:uid="{00000000-0005-0000-0000-0000A74B0000}"/>
    <cellStyle name="20% - Accent6 4 10 2 3" xfId="16454" xr:uid="{00000000-0005-0000-0000-0000A84B0000}"/>
    <cellStyle name="20% - Accent6 4 10 2 4" xfId="21930" xr:uid="{00000000-0005-0000-0000-0000A94B0000}"/>
    <cellStyle name="20% - Accent6 4 10 2 5" xfId="27406" xr:uid="{00000000-0005-0000-0000-0000AA4B0000}"/>
    <cellStyle name="20% - Accent6 4 10 2 6" xfId="39202" xr:uid="{00000000-0005-0000-0000-0000AB4B0000}"/>
    <cellStyle name="20% - Accent6 4 10 2 7" xfId="44679" xr:uid="{00000000-0005-0000-0000-0000AC4B0000}"/>
    <cellStyle name="20% - Accent6 4 10 2 8" xfId="50156" xr:uid="{00000000-0005-0000-0000-0000AD4B0000}"/>
    <cellStyle name="20% - Accent6 4 10 2 9" xfId="55674" xr:uid="{00000000-0005-0000-0000-0000AE4B0000}"/>
    <cellStyle name="20% - Accent6 4 10 3" xfId="7447" xr:uid="{00000000-0005-0000-0000-0000AF4B0000}"/>
    <cellStyle name="20% - Accent6 4 10 4" xfId="12923" xr:uid="{00000000-0005-0000-0000-0000B04B0000}"/>
    <cellStyle name="20% - Accent6 4 10 5" xfId="18399" xr:uid="{00000000-0005-0000-0000-0000B14B0000}"/>
    <cellStyle name="20% - Accent6 4 10 6" xfId="23875" xr:uid="{00000000-0005-0000-0000-0000B24B0000}"/>
    <cellStyle name="20% - Accent6 4 10 7" xfId="35671" xr:uid="{00000000-0005-0000-0000-0000B34B0000}"/>
    <cellStyle name="20% - Accent6 4 10 8" xfId="41148" xr:uid="{00000000-0005-0000-0000-0000B44B0000}"/>
    <cellStyle name="20% - Accent6 4 10 9" xfId="46625" xr:uid="{00000000-0005-0000-0000-0000B54B0000}"/>
    <cellStyle name="20% - Accent6 4 11" xfId="3899" xr:uid="{00000000-0005-0000-0000-0000B64B0000}"/>
    <cellStyle name="20% - Accent6 4 11 2" xfId="9379" xr:uid="{00000000-0005-0000-0000-0000B74B0000}"/>
    <cellStyle name="20% - Accent6 4 11 3" xfId="14855" xr:uid="{00000000-0005-0000-0000-0000B84B0000}"/>
    <cellStyle name="20% - Accent6 4 11 4" xfId="20331" xr:uid="{00000000-0005-0000-0000-0000B94B0000}"/>
    <cellStyle name="20% - Accent6 4 11 5" xfId="25807" xr:uid="{00000000-0005-0000-0000-0000BA4B0000}"/>
    <cellStyle name="20% - Accent6 4 11 6" xfId="37603" xr:uid="{00000000-0005-0000-0000-0000BB4B0000}"/>
    <cellStyle name="20% - Accent6 4 11 7" xfId="43080" xr:uid="{00000000-0005-0000-0000-0000BC4B0000}"/>
    <cellStyle name="20% - Accent6 4 11 8" xfId="48557" xr:uid="{00000000-0005-0000-0000-0000BD4B0000}"/>
    <cellStyle name="20% - Accent6 4 11 9" xfId="54075" xr:uid="{00000000-0005-0000-0000-0000BE4B0000}"/>
    <cellStyle name="20% - Accent6 4 12" xfId="6215" xr:uid="{00000000-0005-0000-0000-0000BF4B0000}"/>
    <cellStyle name="20% - Accent6 4 13" xfId="11695" xr:uid="{00000000-0005-0000-0000-0000C04B0000}"/>
    <cellStyle name="20% - Accent6 4 14" xfId="17171" xr:uid="{00000000-0005-0000-0000-0000C14B0000}"/>
    <cellStyle name="20% - Accent6 4 15" xfId="22647" xr:uid="{00000000-0005-0000-0000-0000C24B0000}"/>
    <cellStyle name="20% - Accent6 4 16" xfId="30016" xr:uid="{00000000-0005-0000-0000-0000C34B0000}"/>
    <cellStyle name="20% - Accent6 4 17" xfId="34442" xr:uid="{00000000-0005-0000-0000-0000C44B0000}"/>
    <cellStyle name="20% - Accent6 4 18" xfId="39919" xr:uid="{00000000-0005-0000-0000-0000C54B0000}"/>
    <cellStyle name="20% - Accent6 4 19" xfId="45396" xr:uid="{00000000-0005-0000-0000-0000C64B0000}"/>
    <cellStyle name="20% - Accent6 4 2" xfId="538" xr:uid="{00000000-0005-0000-0000-0000C74B0000}"/>
    <cellStyle name="20% - Accent6 4 2 10" xfId="39920" xr:uid="{00000000-0005-0000-0000-0000C84B0000}"/>
    <cellStyle name="20% - Accent6 4 2 11" xfId="45397" xr:uid="{00000000-0005-0000-0000-0000C94B0000}"/>
    <cellStyle name="20% - Accent6 4 2 12" xfId="50875" xr:uid="{00000000-0005-0000-0000-0000CA4B0000}"/>
    <cellStyle name="20% - Accent6 4 2 2" xfId="2299" xr:uid="{00000000-0005-0000-0000-0000CB4B0000}"/>
    <cellStyle name="20% - Accent6 4 2 2 10" xfId="52475" xr:uid="{00000000-0005-0000-0000-0000CC4B0000}"/>
    <cellStyle name="20% - Accent6 4 2 2 2" xfId="7779" xr:uid="{00000000-0005-0000-0000-0000CD4B0000}"/>
    <cellStyle name="20% - Accent6 4 2 2 2 2" xfId="30019" xr:uid="{00000000-0005-0000-0000-0000CE4B0000}"/>
    <cellStyle name="20% - Accent6 4 2 2 3" xfId="13255" xr:uid="{00000000-0005-0000-0000-0000CF4B0000}"/>
    <cellStyle name="20% - Accent6 4 2 2 4" xfId="18731" xr:uid="{00000000-0005-0000-0000-0000D04B0000}"/>
    <cellStyle name="20% - Accent6 4 2 2 5" xfId="24207" xr:uid="{00000000-0005-0000-0000-0000D14B0000}"/>
    <cellStyle name="20% - Accent6 4 2 2 6" xfId="30018" xr:uid="{00000000-0005-0000-0000-0000D24B0000}"/>
    <cellStyle name="20% - Accent6 4 2 2 7" xfId="36003" xr:uid="{00000000-0005-0000-0000-0000D34B0000}"/>
    <cellStyle name="20% - Accent6 4 2 2 8" xfId="41480" xr:uid="{00000000-0005-0000-0000-0000D44B0000}"/>
    <cellStyle name="20% - Accent6 4 2 2 9" xfId="46957" xr:uid="{00000000-0005-0000-0000-0000D54B0000}"/>
    <cellStyle name="20% - Accent6 4 2 3" xfId="4071" xr:uid="{00000000-0005-0000-0000-0000D64B0000}"/>
    <cellStyle name="20% - Accent6 4 2 3 10" xfId="54247" xr:uid="{00000000-0005-0000-0000-0000D74B0000}"/>
    <cellStyle name="20% - Accent6 4 2 3 2" xfId="9551" xr:uid="{00000000-0005-0000-0000-0000D84B0000}"/>
    <cellStyle name="20% - Accent6 4 2 3 3" xfId="15027" xr:uid="{00000000-0005-0000-0000-0000D94B0000}"/>
    <cellStyle name="20% - Accent6 4 2 3 4" xfId="20503" xr:uid="{00000000-0005-0000-0000-0000DA4B0000}"/>
    <cellStyle name="20% - Accent6 4 2 3 5" xfId="25979" xr:uid="{00000000-0005-0000-0000-0000DB4B0000}"/>
    <cellStyle name="20% - Accent6 4 2 3 6" xfId="30020" xr:uid="{00000000-0005-0000-0000-0000DC4B0000}"/>
    <cellStyle name="20% - Accent6 4 2 3 7" xfId="37775" xr:uid="{00000000-0005-0000-0000-0000DD4B0000}"/>
    <cellStyle name="20% - Accent6 4 2 3 8" xfId="43252" xr:uid="{00000000-0005-0000-0000-0000DE4B0000}"/>
    <cellStyle name="20% - Accent6 4 2 3 9" xfId="48729" xr:uid="{00000000-0005-0000-0000-0000DF4B0000}"/>
    <cellStyle name="20% - Accent6 4 2 4" xfId="6216" xr:uid="{00000000-0005-0000-0000-0000E04B0000}"/>
    <cellStyle name="20% - Accent6 4 2 5" xfId="11696" xr:uid="{00000000-0005-0000-0000-0000E14B0000}"/>
    <cellStyle name="20% - Accent6 4 2 6" xfId="17172" xr:uid="{00000000-0005-0000-0000-0000E24B0000}"/>
    <cellStyle name="20% - Accent6 4 2 7" xfId="22648" xr:uid="{00000000-0005-0000-0000-0000E34B0000}"/>
    <cellStyle name="20% - Accent6 4 2 8" xfId="30017" xr:uid="{00000000-0005-0000-0000-0000E44B0000}"/>
    <cellStyle name="20% - Accent6 4 2 9" xfId="34443" xr:uid="{00000000-0005-0000-0000-0000E54B0000}"/>
    <cellStyle name="20% - Accent6 4 20" xfId="50874" xr:uid="{00000000-0005-0000-0000-0000E64B0000}"/>
    <cellStyle name="20% - Accent6 4 3" xfId="710" xr:uid="{00000000-0005-0000-0000-0000E74B0000}"/>
    <cellStyle name="20% - Accent6 4 3 10" xfId="39921" xr:uid="{00000000-0005-0000-0000-0000E84B0000}"/>
    <cellStyle name="20% - Accent6 4 3 11" xfId="45398" xr:uid="{00000000-0005-0000-0000-0000E94B0000}"/>
    <cellStyle name="20% - Accent6 4 3 12" xfId="50876" xr:uid="{00000000-0005-0000-0000-0000EA4B0000}"/>
    <cellStyle name="20% - Accent6 4 3 2" xfId="2471" xr:uid="{00000000-0005-0000-0000-0000EB4B0000}"/>
    <cellStyle name="20% - Accent6 4 3 2 10" xfId="52647" xr:uid="{00000000-0005-0000-0000-0000EC4B0000}"/>
    <cellStyle name="20% - Accent6 4 3 2 2" xfId="7951" xr:uid="{00000000-0005-0000-0000-0000ED4B0000}"/>
    <cellStyle name="20% - Accent6 4 3 2 2 2" xfId="30023" xr:uid="{00000000-0005-0000-0000-0000EE4B0000}"/>
    <cellStyle name="20% - Accent6 4 3 2 3" xfId="13427" xr:uid="{00000000-0005-0000-0000-0000EF4B0000}"/>
    <cellStyle name="20% - Accent6 4 3 2 4" xfId="18903" xr:uid="{00000000-0005-0000-0000-0000F04B0000}"/>
    <cellStyle name="20% - Accent6 4 3 2 5" xfId="24379" xr:uid="{00000000-0005-0000-0000-0000F14B0000}"/>
    <cellStyle name="20% - Accent6 4 3 2 6" xfId="30022" xr:uid="{00000000-0005-0000-0000-0000F24B0000}"/>
    <cellStyle name="20% - Accent6 4 3 2 7" xfId="36175" xr:uid="{00000000-0005-0000-0000-0000F34B0000}"/>
    <cellStyle name="20% - Accent6 4 3 2 8" xfId="41652" xr:uid="{00000000-0005-0000-0000-0000F44B0000}"/>
    <cellStyle name="20% - Accent6 4 3 2 9" xfId="47129" xr:uid="{00000000-0005-0000-0000-0000F54B0000}"/>
    <cellStyle name="20% - Accent6 4 3 3" xfId="4243" xr:uid="{00000000-0005-0000-0000-0000F64B0000}"/>
    <cellStyle name="20% - Accent6 4 3 3 10" xfId="54419" xr:uid="{00000000-0005-0000-0000-0000F74B0000}"/>
    <cellStyle name="20% - Accent6 4 3 3 2" xfId="9723" xr:uid="{00000000-0005-0000-0000-0000F84B0000}"/>
    <cellStyle name="20% - Accent6 4 3 3 3" xfId="15199" xr:uid="{00000000-0005-0000-0000-0000F94B0000}"/>
    <cellStyle name="20% - Accent6 4 3 3 4" xfId="20675" xr:uid="{00000000-0005-0000-0000-0000FA4B0000}"/>
    <cellStyle name="20% - Accent6 4 3 3 5" xfId="26151" xr:uid="{00000000-0005-0000-0000-0000FB4B0000}"/>
    <cellStyle name="20% - Accent6 4 3 3 6" xfId="30024" xr:uid="{00000000-0005-0000-0000-0000FC4B0000}"/>
    <cellStyle name="20% - Accent6 4 3 3 7" xfId="37947" xr:uid="{00000000-0005-0000-0000-0000FD4B0000}"/>
    <cellStyle name="20% - Accent6 4 3 3 8" xfId="43424" xr:uid="{00000000-0005-0000-0000-0000FE4B0000}"/>
    <cellStyle name="20% - Accent6 4 3 3 9" xfId="48901" xr:uid="{00000000-0005-0000-0000-0000FF4B0000}"/>
    <cellStyle name="20% - Accent6 4 3 4" xfId="6217" xr:uid="{00000000-0005-0000-0000-0000004C0000}"/>
    <cellStyle name="20% - Accent6 4 3 5" xfId="11697" xr:uid="{00000000-0005-0000-0000-0000014C0000}"/>
    <cellStyle name="20% - Accent6 4 3 6" xfId="17173" xr:uid="{00000000-0005-0000-0000-0000024C0000}"/>
    <cellStyle name="20% - Accent6 4 3 7" xfId="22649" xr:uid="{00000000-0005-0000-0000-0000034C0000}"/>
    <cellStyle name="20% - Accent6 4 3 8" xfId="30021" xr:uid="{00000000-0005-0000-0000-0000044C0000}"/>
    <cellStyle name="20% - Accent6 4 3 9" xfId="34444" xr:uid="{00000000-0005-0000-0000-0000054C0000}"/>
    <cellStyle name="20% - Accent6 4 4" xfId="882" xr:uid="{00000000-0005-0000-0000-0000064C0000}"/>
    <cellStyle name="20% - Accent6 4 4 10" xfId="39922" xr:uid="{00000000-0005-0000-0000-0000074C0000}"/>
    <cellStyle name="20% - Accent6 4 4 11" xfId="45399" xr:uid="{00000000-0005-0000-0000-0000084C0000}"/>
    <cellStyle name="20% - Accent6 4 4 12" xfId="50877" xr:uid="{00000000-0005-0000-0000-0000094C0000}"/>
    <cellStyle name="20% - Accent6 4 4 2" xfId="2643" xr:uid="{00000000-0005-0000-0000-00000A4C0000}"/>
    <cellStyle name="20% - Accent6 4 4 2 10" xfId="52819" xr:uid="{00000000-0005-0000-0000-00000B4C0000}"/>
    <cellStyle name="20% - Accent6 4 4 2 2" xfId="8123" xr:uid="{00000000-0005-0000-0000-00000C4C0000}"/>
    <cellStyle name="20% - Accent6 4 4 2 2 2" xfId="30027" xr:uid="{00000000-0005-0000-0000-00000D4C0000}"/>
    <cellStyle name="20% - Accent6 4 4 2 3" xfId="13599" xr:uid="{00000000-0005-0000-0000-00000E4C0000}"/>
    <cellStyle name="20% - Accent6 4 4 2 4" xfId="19075" xr:uid="{00000000-0005-0000-0000-00000F4C0000}"/>
    <cellStyle name="20% - Accent6 4 4 2 5" xfId="24551" xr:uid="{00000000-0005-0000-0000-0000104C0000}"/>
    <cellStyle name="20% - Accent6 4 4 2 6" xfId="30026" xr:uid="{00000000-0005-0000-0000-0000114C0000}"/>
    <cellStyle name="20% - Accent6 4 4 2 7" xfId="36347" xr:uid="{00000000-0005-0000-0000-0000124C0000}"/>
    <cellStyle name="20% - Accent6 4 4 2 8" xfId="41824" xr:uid="{00000000-0005-0000-0000-0000134C0000}"/>
    <cellStyle name="20% - Accent6 4 4 2 9" xfId="47301" xr:uid="{00000000-0005-0000-0000-0000144C0000}"/>
    <cellStyle name="20% - Accent6 4 4 3" xfId="4415" xr:uid="{00000000-0005-0000-0000-0000154C0000}"/>
    <cellStyle name="20% - Accent6 4 4 3 10" xfId="54591" xr:uid="{00000000-0005-0000-0000-0000164C0000}"/>
    <cellStyle name="20% - Accent6 4 4 3 2" xfId="9895" xr:uid="{00000000-0005-0000-0000-0000174C0000}"/>
    <cellStyle name="20% - Accent6 4 4 3 3" xfId="15371" xr:uid="{00000000-0005-0000-0000-0000184C0000}"/>
    <cellStyle name="20% - Accent6 4 4 3 4" xfId="20847" xr:uid="{00000000-0005-0000-0000-0000194C0000}"/>
    <cellStyle name="20% - Accent6 4 4 3 5" xfId="26323" xr:uid="{00000000-0005-0000-0000-00001A4C0000}"/>
    <cellStyle name="20% - Accent6 4 4 3 6" xfId="30028" xr:uid="{00000000-0005-0000-0000-00001B4C0000}"/>
    <cellStyle name="20% - Accent6 4 4 3 7" xfId="38119" xr:uid="{00000000-0005-0000-0000-00001C4C0000}"/>
    <cellStyle name="20% - Accent6 4 4 3 8" xfId="43596" xr:uid="{00000000-0005-0000-0000-00001D4C0000}"/>
    <cellStyle name="20% - Accent6 4 4 3 9" xfId="49073" xr:uid="{00000000-0005-0000-0000-00001E4C0000}"/>
    <cellStyle name="20% - Accent6 4 4 4" xfId="6218" xr:uid="{00000000-0005-0000-0000-00001F4C0000}"/>
    <cellStyle name="20% - Accent6 4 4 5" xfId="11698" xr:uid="{00000000-0005-0000-0000-0000204C0000}"/>
    <cellStyle name="20% - Accent6 4 4 6" xfId="17174" xr:uid="{00000000-0005-0000-0000-0000214C0000}"/>
    <cellStyle name="20% - Accent6 4 4 7" xfId="22650" xr:uid="{00000000-0005-0000-0000-0000224C0000}"/>
    <cellStyle name="20% - Accent6 4 4 8" xfId="30025" xr:uid="{00000000-0005-0000-0000-0000234C0000}"/>
    <cellStyle name="20% - Accent6 4 4 9" xfId="34445" xr:uid="{00000000-0005-0000-0000-0000244C0000}"/>
    <cellStyle name="20% - Accent6 4 5" xfId="1088" xr:uid="{00000000-0005-0000-0000-0000254C0000}"/>
    <cellStyle name="20% - Accent6 4 5 10" xfId="39923" xr:uid="{00000000-0005-0000-0000-0000264C0000}"/>
    <cellStyle name="20% - Accent6 4 5 11" xfId="45400" xr:uid="{00000000-0005-0000-0000-0000274C0000}"/>
    <cellStyle name="20% - Accent6 4 5 12" xfId="50878" xr:uid="{00000000-0005-0000-0000-0000284C0000}"/>
    <cellStyle name="20% - Accent6 4 5 2" xfId="2849" xr:uid="{00000000-0005-0000-0000-0000294C0000}"/>
    <cellStyle name="20% - Accent6 4 5 2 10" xfId="53025" xr:uid="{00000000-0005-0000-0000-00002A4C0000}"/>
    <cellStyle name="20% - Accent6 4 5 2 2" xfId="8329" xr:uid="{00000000-0005-0000-0000-00002B4C0000}"/>
    <cellStyle name="20% - Accent6 4 5 2 2 2" xfId="30031" xr:uid="{00000000-0005-0000-0000-00002C4C0000}"/>
    <cellStyle name="20% - Accent6 4 5 2 3" xfId="13805" xr:uid="{00000000-0005-0000-0000-00002D4C0000}"/>
    <cellStyle name="20% - Accent6 4 5 2 4" xfId="19281" xr:uid="{00000000-0005-0000-0000-00002E4C0000}"/>
    <cellStyle name="20% - Accent6 4 5 2 5" xfId="24757" xr:uid="{00000000-0005-0000-0000-00002F4C0000}"/>
    <cellStyle name="20% - Accent6 4 5 2 6" xfId="30030" xr:uid="{00000000-0005-0000-0000-0000304C0000}"/>
    <cellStyle name="20% - Accent6 4 5 2 7" xfId="36553" xr:uid="{00000000-0005-0000-0000-0000314C0000}"/>
    <cellStyle name="20% - Accent6 4 5 2 8" xfId="42030" xr:uid="{00000000-0005-0000-0000-0000324C0000}"/>
    <cellStyle name="20% - Accent6 4 5 2 9" xfId="47507" xr:uid="{00000000-0005-0000-0000-0000334C0000}"/>
    <cellStyle name="20% - Accent6 4 5 3" xfId="4621" xr:uid="{00000000-0005-0000-0000-0000344C0000}"/>
    <cellStyle name="20% - Accent6 4 5 3 10" xfId="54797" xr:uid="{00000000-0005-0000-0000-0000354C0000}"/>
    <cellStyle name="20% - Accent6 4 5 3 2" xfId="10101" xr:uid="{00000000-0005-0000-0000-0000364C0000}"/>
    <cellStyle name="20% - Accent6 4 5 3 3" xfId="15577" xr:uid="{00000000-0005-0000-0000-0000374C0000}"/>
    <cellStyle name="20% - Accent6 4 5 3 4" xfId="21053" xr:uid="{00000000-0005-0000-0000-0000384C0000}"/>
    <cellStyle name="20% - Accent6 4 5 3 5" xfId="26529" xr:uid="{00000000-0005-0000-0000-0000394C0000}"/>
    <cellStyle name="20% - Accent6 4 5 3 6" xfId="30032" xr:uid="{00000000-0005-0000-0000-00003A4C0000}"/>
    <cellStyle name="20% - Accent6 4 5 3 7" xfId="38325" xr:uid="{00000000-0005-0000-0000-00003B4C0000}"/>
    <cellStyle name="20% - Accent6 4 5 3 8" xfId="43802" xr:uid="{00000000-0005-0000-0000-00003C4C0000}"/>
    <cellStyle name="20% - Accent6 4 5 3 9" xfId="49279" xr:uid="{00000000-0005-0000-0000-00003D4C0000}"/>
    <cellStyle name="20% - Accent6 4 5 4" xfId="6219" xr:uid="{00000000-0005-0000-0000-00003E4C0000}"/>
    <cellStyle name="20% - Accent6 4 5 5" xfId="11699" xr:uid="{00000000-0005-0000-0000-00003F4C0000}"/>
    <cellStyle name="20% - Accent6 4 5 6" xfId="17175" xr:uid="{00000000-0005-0000-0000-0000404C0000}"/>
    <cellStyle name="20% - Accent6 4 5 7" xfId="22651" xr:uid="{00000000-0005-0000-0000-0000414C0000}"/>
    <cellStyle name="20% - Accent6 4 5 8" xfId="30029" xr:uid="{00000000-0005-0000-0000-0000424C0000}"/>
    <cellStyle name="20% - Accent6 4 5 9" xfId="34446" xr:uid="{00000000-0005-0000-0000-0000434C0000}"/>
    <cellStyle name="20% - Accent6 4 6" xfId="1260" xr:uid="{00000000-0005-0000-0000-0000444C0000}"/>
    <cellStyle name="20% - Accent6 4 6 10" xfId="39924" xr:uid="{00000000-0005-0000-0000-0000454C0000}"/>
    <cellStyle name="20% - Accent6 4 6 11" xfId="45401" xr:uid="{00000000-0005-0000-0000-0000464C0000}"/>
    <cellStyle name="20% - Accent6 4 6 12" xfId="50879" xr:uid="{00000000-0005-0000-0000-0000474C0000}"/>
    <cellStyle name="20% - Accent6 4 6 2" xfId="3021" xr:uid="{00000000-0005-0000-0000-0000484C0000}"/>
    <cellStyle name="20% - Accent6 4 6 2 10" xfId="53197" xr:uid="{00000000-0005-0000-0000-0000494C0000}"/>
    <cellStyle name="20% - Accent6 4 6 2 2" xfId="8501" xr:uid="{00000000-0005-0000-0000-00004A4C0000}"/>
    <cellStyle name="20% - Accent6 4 6 2 2 2" xfId="30035" xr:uid="{00000000-0005-0000-0000-00004B4C0000}"/>
    <cellStyle name="20% - Accent6 4 6 2 3" xfId="13977" xr:uid="{00000000-0005-0000-0000-00004C4C0000}"/>
    <cellStyle name="20% - Accent6 4 6 2 4" xfId="19453" xr:uid="{00000000-0005-0000-0000-00004D4C0000}"/>
    <cellStyle name="20% - Accent6 4 6 2 5" xfId="24929" xr:uid="{00000000-0005-0000-0000-00004E4C0000}"/>
    <cellStyle name="20% - Accent6 4 6 2 6" xfId="30034" xr:uid="{00000000-0005-0000-0000-00004F4C0000}"/>
    <cellStyle name="20% - Accent6 4 6 2 7" xfId="36725" xr:uid="{00000000-0005-0000-0000-0000504C0000}"/>
    <cellStyle name="20% - Accent6 4 6 2 8" xfId="42202" xr:uid="{00000000-0005-0000-0000-0000514C0000}"/>
    <cellStyle name="20% - Accent6 4 6 2 9" xfId="47679" xr:uid="{00000000-0005-0000-0000-0000524C0000}"/>
    <cellStyle name="20% - Accent6 4 6 3" xfId="4793" xr:uid="{00000000-0005-0000-0000-0000534C0000}"/>
    <cellStyle name="20% - Accent6 4 6 3 10" xfId="54969" xr:uid="{00000000-0005-0000-0000-0000544C0000}"/>
    <cellStyle name="20% - Accent6 4 6 3 2" xfId="10273" xr:uid="{00000000-0005-0000-0000-0000554C0000}"/>
    <cellStyle name="20% - Accent6 4 6 3 3" xfId="15749" xr:uid="{00000000-0005-0000-0000-0000564C0000}"/>
    <cellStyle name="20% - Accent6 4 6 3 4" xfId="21225" xr:uid="{00000000-0005-0000-0000-0000574C0000}"/>
    <cellStyle name="20% - Accent6 4 6 3 5" xfId="26701" xr:uid="{00000000-0005-0000-0000-0000584C0000}"/>
    <cellStyle name="20% - Accent6 4 6 3 6" xfId="30036" xr:uid="{00000000-0005-0000-0000-0000594C0000}"/>
    <cellStyle name="20% - Accent6 4 6 3 7" xfId="38497" xr:uid="{00000000-0005-0000-0000-00005A4C0000}"/>
    <cellStyle name="20% - Accent6 4 6 3 8" xfId="43974" xr:uid="{00000000-0005-0000-0000-00005B4C0000}"/>
    <cellStyle name="20% - Accent6 4 6 3 9" xfId="49451" xr:uid="{00000000-0005-0000-0000-00005C4C0000}"/>
    <cellStyle name="20% - Accent6 4 6 4" xfId="6220" xr:uid="{00000000-0005-0000-0000-00005D4C0000}"/>
    <cellStyle name="20% - Accent6 4 6 5" xfId="11700" xr:uid="{00000000-0005-0000-0000-00005E4C0000}"/>
    <cellStyle name="20% - Accent6 4 6 6" xfId="17176" xr:uid="{00000000-0005-0000-0000-00005F4C0000}"/>
    <cellStyle name="20% - Accent6 4 6 7" xfId="22652" xr:uid="{00000000-0005-0000-0000-0000604C0000}"/>
    <cellStyle name="20% - Accent6 4 6 8" xfId="30033" xr:uid="{00000000-0005-0000-0000-0000614C0000}"/>
    <cellStyle name="20% - Accent6 4 6 9" xfId="34447" xr:uid="{00000000-0005-0000-0000-0000624C0000}"/>
    <cellStyle name="20% - Accent6 4 7" xfId="1432" xr:uid="{00000000-0005-0000-0000-0000634C0000}"/>
    <cellStyle name="20% - Accent6 4 7 10" xfId="39925" xr:uid="{00000000-0005-0000-0000-0000644C0000}"/>
    <cellStyle name="20% - Accent6 4 7 11" xfId="45402" xr:uid="{00000000-0005-0000-0000-0000654C0000}"/>
    <cellStyle name="20% - Accent6 4 7 12" xfId="50880" xr:uid="{00000000-0005-0000-0000-0000664C0000}"/>
    <cellStyle name="20% - Accent6 4 7 2" xfId="3193" xr:uid="{00000000-0005-0000-0000-0000674C0000}"/>
    <cellStyle name="20% - Accent6 4 7 2 10" xfId="53369" xr:uid="{00000000-0005-0000-0000-0000684C0000}"/>
    <cellStyle name="20% - Accent6 4 7 2 2" xfId="8673" xr:uid="{00000000-0005-0000-0000-0000694C0000}"/>
    <cellStyle name="20% - Accent6 4 7 2 2 2" xfId="30039" xr:uid="{00000000-0005-0000-0000-00006A4C0000}"/>
    <cellStyle name="20% - Accent6 4 7 2 3" xfId="14149" xr:uid="{00000000-0005-0000-0000-00006B4C0000}"/>
    <cellStyle name="20% - Accent6 4 7 2 4" xfId="19625" xr:uid="{00000000-0005-0000-0000-00006C4C0000}"/>
    <cellStyle name="20% - Accent6 4 7 2 5" xfId="25101" xr:uid="{00000000-0005-0000-0000-00006D4C0000}"/>
    <cellStyle name="20% - Accent6 4 7 2 6" xfId="30038" xr:uid="{00000000-0005-0000-0000-00006E4C0000}"/>
    <cellStyle name="20% - Accent6 4 7 2 7" xfId="36897" xr:uid="{00000000-0005-0000-0000-00006F4C0000}"/>
    <cellStyle name="20% - Accent6 4 7 2 8" xfId="42374" xr:uid="{00000000-0005-0000-0000-0000704C0000}"/>
    <cellStyle name="20% - Accent6 4 7 2 9" xfId="47851" xr:uid="{00000000-0005-0000-0000-0000714C0000}"/>
    <cellStyle name="20% - Accent6 4 7 3" xfId="4965" xr:uid="{00000000-0005-0000-0000-0000724C0000}"/>
    <cellStyle name="20% - Accent6 4 7 3 10" xfId="55141" xr:uid="{00000000-0005-0000-0000-0000734C0000}"/>
    <cellStyle name="20% - Accent6 4 7 3 2" xfId="10445" xr:uid="{00000000-0005-0000-0000-0000744C0000}"/>
    <cellStyle name="20% - Accent6 4 7 3 3" xfId="15921" xr:uid="{00000000-0005-0000-0000-0000754C0000}"/>
    <cellStyle name="20% - Accent6 4 7 3 4" xfId="21397" xr:uid="{00000000-0005-0000-0000-0000764C0000}"/>
    <cellStyle name="20% - Accent6 4 7 3 5" xfId="26873" xr:uid="{00000000-0005-0000-0000-0000774C0000}"/>
    <cellStyle name="20% - Accent6 4 7 3 6" xfId="30040" xr:uid="{00000000-0005-0000-0000-0000784C0000}"/>
    <cellStyle name="20% - Accent6 4 7 3 7" xfId="38669" xr:uid="{00000000-0005-0000-0000-0000794C0000}"/>
    <cellStyle name="20% - Accent6 4 7 3 8" xfId="44146" xr:uid="{00000000-0005-0000-0000-00007A4C0000}"/>
    <cellStyle name="20% - Accent6 4 7 3 9" xfId="49623" xr:uid="{00000000-0005-0000-0000-00007B4C0000}"/>
    <cellStyle name="20% - Accent6 4 7 4" xfId="6221" xr:uid="{00000000-0005-0000-0000-00007C4C0000}"/>
    <cellStyle name="20% - Accent6 4 7 5" xfId="11701" xr:uid="{00000000-0005-0000-0000-00007D4C0000}"/>
    <cellStyle name="20% - Accent6 4 7 6" xfId="17177" xr:uid="{00000000-0005-0000-0000-00007E4C0000}"/>
    <cellStyle name="20% - Accent6 4 7 7" xfId="22653" xr:uid="{00000000-0005-0000-0000-00007F4C0000}"/>
    <cellStyle name="20% - Accent6 4 7 8" xfId="30037" xr:uid="{00000000-0005-0000-0000-0000804C0000}"/>
    <cellStyle name="20% - Accent6 4 7 9" xfId="34448" xr:uid="{00000000-0005-0000-0000-0000814C0000}"/>
    <cellStyle name="20% - Accent6 4 8" xfId="1604" xr:uid="{00000000-0005-0000-0000-0000824C0000}"/>
    <cellStyle name="20% - Accent6 4 8 10" xfId="39926" xr:uid="{00000000-0005-0000-0000-0000834C0000}"/>
    <cellStyle name="20% - Accent6 4 8 11" xfId="45403" xr:uid="{00000000-0005-0000-0000-0000844C0000}"/>
    <cellStyle name="20% - Accent6 4 8 12" xfId="50881" xr:uid="{00000000-0005-0000-0000-0000854C0000}"/>
    <cellStyle name="20% - Accent6 4 8 2" xfId="3365" xr:uid="{00000000-0005-0000-0000-0000864C0000}"/>
    <cellStyle name="20% - Accent6 4 8 2 10" xfId="53541" xr:uid="{00000000-0005-0000-0000-0000874C0000}"/>
    <cellStyle name="20% - Accent6 4 8 2 2" xfId="8845" xr:uid="{00000000-0005-0000-0000-0000884C0000}"/>
    <cellStyle name="20% - Accent6 4 8 2 3" xfId="14321" xr:uid="{00000000-0005-0000-0000-0000894C0000}"/>
    <cellStyle name="20% - Accent6 4 8 2 4" xfId="19797" xr:uid="{00000000-0005-0000-0000-00008A4C0000}"/>
    <cellStyle name="20% - Accent6 4 8 2 5" xfId="25273" xr:uid="{00000000-0005-0000-0000-00008B4C0000}"/>
    <cellStyle name="20% - Accent6 4 8 2 6" xfId="30042" xr:uid="{00000000-0005-0000-0000-00008C4C0000}"/>
    <cellStyle name="20% - Accent6 4 8 2 7" xfId="37069" xr:uid="{00000000-0005-0000-0000-00008D4C0000}"/>
    <cellStyle name="20% - Accent6 4 8 2 8" xfId="42546" xr:uid="{00000000-0005-0000-0000-00008E4C0000}"/>
    <cellStyle name="20% - Accent6 4 8 2 9" xfId="48023" xr:uid="{00000000-0005-0000-0000-00008F4C0000}"/>
    <cellStyle name="20% - Accent6 4 8 3" xfId="5137" xr:uid="{00000000-0005-0000-0000-0000904C0000}"/>
    <cellStyle name="20% - Accent6 4 8 3 2" xfId="10617" xr:uid="{00000000-0005-0000-0000-0000914C0000}"/>
    <cellStyle name="20% - Accent6 4 8 3 3" xfId="16093" xr:uid="{00000000-0005-0000-0000-0000924C0000}"/>
    <cellStyle name="20% - Accent6 4 8 3 4" xfId="21569" xr:uid="{00000000-0005-0000-0000-0000934C0000}"/>
    <cellStyle name="20% - Accent6 4 8 3 5" xfId="27045" xr:uid="{00000000-0005-0000-0000-0000944C0000}"/>
    <cellStyle name="20% - Accent6 4 8 3 6" xfId="38841" xr:uid="{00000000-0005-0000-0000-0000954C0000}"/>
    <cellStyle name="20% - Accent6 4 8 3 7" xfId="44318" xr:uid="{00000000-0005-0000-0000-0000964C0000}"/>
    <cellStyle name="20% - Accent6 4 8 3 8" xfId="49795" xr:uid="{00000000-0005-0000-0000-0000974C0000}"/>
    <cellStyle name="20% - Accent6 4 8 3 9" xfId="55313" xr:uid="{00000000-0005-0000-0000-0000984C0000}"/>
    <cellStyle name="20% - Accent6 4 8 4" xfId="6222" xr:uid="{00000000-0005-0000-0000-0000994C0000}"/>
    <cellStyle name="20% - Accent6 4 8 5" xfId="11702" xr:uid="{00000000-0005-0000-0000-00009A4C0000}"/>
    <cellStyle name="20% - Accent6 4 8 6" xfId="17178" xr:uid="{00000000-0005-0000-0000-00009B4C0000}"/>
    <cellStyle name="20% - Accent6 4 8 7" xfId="22654" xr:uid="{00000000-0005-0000-0000-00009C4C0000}"/>
    <cellStyle name="20% - Accent6 4 8 8" xfId="30041" xr:uid="{00000000-0005-0000-0000-00009D4C0000}"/>
    <cellStyle name="20% - Accent6 4 8 9" xfId="34449" xr:uid="{00000000-0005-0000-0000-00009E4C0000}"/>
    <cellStyle name="20% - Accent6 4 9" xfId="1753" xr:uid="{00000000-0005-0000-0000-00009F4C0000}"/>
    <cellStyle name="20% - Accent6 4 9 10" xfId="39927" xr:uid="{00000000-0005-0000-0000-0000A04C0000}"/>
    <cellStyle name="20% - Accent6 4 9 11" xfId="45404" xr:uid="{00000000-0005-0000-0000-0000A14C0000}"/>
    <cellStyle name="20% - Accent6 4 9 12" xfId="50882" xr:uid="{00000000-0005-0000-0000-0000A24C0000}"/>
    <cellStyle name="20% - Accent6 4 9 2" xfId="3514" xr:uid="{00000000-0005-0000-0000-0000A34C0000}"/>
    <cellStyle name="20% - Accent6 4 9 2 2" xfId="8994" xr:uid="{00000000-0005-0000-0000-0000A44C0000}"/>
    <cellStyle name="20% - Accent6 4 9 2 3" xfId="14470" xr:uid="{00000000-0005-0000-0000-0000A54C0000}"/>
    <cellStyle name="20% - Accent6 4 9 2 4" xfId="19946" xr:uid="{00000000-0005-0000-0000-0000A64C0000}"/>
    <cellStyle name="20% - Accent6 4 9 2 5" xfId="25422" xr:uid="{00000000-0005-0000-0000-0000A74C0000}"/>
    <cellStyle name="20% - Accent6 4 9 2 6" xfId="37218" xr:uid="{00000000-0005-0000-0000-0000A84C0000}"/>
    <cellStyle name="20% - Accent6 4 9 2 7" xfId="42695" xr:uid="{00000000-0005-0000-0000-0000A94C0000}"/>
    <cellStyle name="20% - Accent6 4 9 2 8" xfId="48172" xr:uid="{00000000-0005-0000-0000-0000AA4C0000}"/>
    <cellStyle name="20% - Accent6 4 9 2 9" xfId="53690" xr:uid="{00000000-0005-0000-0000-0000AB4C0000}"/>
    <cellStyle name="20% - Accent6 4 9 3" xfId="5286" xr:uid="{00000000-0005-0000-0000-0000AC4C0000}"/>
    <cellStyle name="20% - Accent6 4 9 3 2" xfId="10766" xr:uid="{00000000-0005-0000-0000-0000AD4C0000}"/>
    <cellStyle name="20% - Accent6 4 9 3 3" xfId="16242" xr:uid="{00000000-0005-0000-0000-0000AE4C0000}"/>
    <cellStyle name="20% - Accent6 4 9 3 4" xfId="21718" xr:uid="{00000000-0005-0000-0000-0000AF4C0000}"/>
    <cellStyle name="20% - Accent6 4 9 3 5" xfId="27194" xr:uid="{00000000-0005-0000-0000-0000B04C0000}"/>
    <cellStyle name="20% - Accent6 4 9 3 6" xfId="38990" xr:uid="{00000000-0005-0000-0000-0000B14C0000}"/>
    <cellStyle name="20% - Accent6 4 9 3 7" xfId="44467" xr:uid="{00000000-0005-0000-0000-0000B24C0000}"/>
    <cellStyle name="20% - Accent6 4 9 3 8" xfId="49944" xr:uid="{00000000-0005-0000-0000-0000B34C0000}"/>
    <cellStyle name="20% - Accent6 4 9 3 9" xfId="55462" xr:uid="{00000000-0005-0000-0000-0000B44C0000}"/>
    <cellStyle name="20% - Accent6 4 9 4" xfId="6223" xr:uid="{00000000-0005-0000-0000-0000B54C0000}"/>
    <cellStyle name="20% - Accent6 4 9 5" xfId="11703" xr:uid="{00000000-0005-0000-0000-0000B64C0000}"/>
    <cellStyle name="20% - Accent6 4 9 6" xfId="17179" xr:uid="{00000000-0005-0000-0000-0000B74C0000}"/>
    <cellStyle name="20% - Accent6 4 9 7" xfId="22655" xr:uid="{00000000-0005-0000-0000-0000B84C0000}"/>
    <cellStyle name="20% - Accent6 4 9 8" xfId="30043" xr:uid="{00000000-0005-0000-0000-0000B94C0000}"/>
    <cellStyle name="20% - Accent6 4 9 9" xfId="34450" xr:uid="{00000000-0005-0000-0000-0000BA4C0000}"/>
    <cellStyle name="20% - Accent6 5" xfId="3680" xr:uid="{00000000-0005-0000-0000-0000BB4C0000}"/>
    <cellStyle name="20% - Accent6 5 10" xfId="30044" xr:uid="{00000000-0005-0000-0000-0000BC4C0000}"/>
    <cellStyle name="20% - Accent6 5 11" xfId="37384" xr:uid="{00000000-0005-0000-0000-0000BD4C0000}"/>
    <cellStyle name="20% - Accent6 5 12" xfId="42861" xr:uid="{00000000-0005-0000-0000-0000BE4C0000}"/>
    <cellStyle name="20% - Accent6 5 13" xfId="48338" xr:uid="{00000000-0005-0000-0000-0000BF4C0000}"/>
    <cellStyle name="20% - Accent6 5 14" xfId="52037" xr:uid="{00000000-0005-0000-0000-0000C04C0000}"/>
    <cellStyle name="20% - Accent6 5 2" xfId="9160" xr:uid="{00000000-0005-0000-0000-0000C14C0000}"/>
    <cellStyle name="20% - Accent6 5 2 2" xfId="30046" xr:uid="{00000000-0005-0000-0000-0000C24C0000}"/>
    <cellStyle name="20% - Accent6 5 2 2 2" xfId="30047" xr:uid="{00000000-0005-0000-0000-0000C34C0000}"/>
    <cellStyle name="20% - Accent6 5 2 3" xfId="30048" xr:uid="{00000000-0005-0000-0000-0000C44C0000}"/>
    <cellStyle name="20% - Accent6 5 2 4" xfId="30045" xr:uid="{00000000-0005-0000-0000-0000C54C0000}"/>
    <cellStyle name="20% - Accent6 5 2 5" xfId="53856" xr:uid="{00000000-0005-0000-0000-0000C64C0000}"/>
    <cellStyle name="20% - Accent6 5 3" xfId="14636" xr:uid="{00000000-0005-0000-0000-0000C74C0000}"/>
    <cellStyle name="20% - Accent6 5 3 2" xfId="30050" xr:uid="{00000000-0005-0000-0000-0000C84C0000}"/>
    <cellStyle name="20% - Accent6 5 3 2 2" xfId="30051" xr:uid="{00000000-0005-0000-0000-0000C94C0000}"/>
    <cellStyle name="20% - Accent6 5 3 3" xfId="30052" xr:uid="{00000000-0005-0000-0000-0000CA4C0000}"/>
    <cellStyle name="20% - Accent6 5 3 4" xfId="30049" xr:uid="{00000000-0005-0000-0000-0000CB4C0000}"/>
    <cellStyle name="20% - Accent6 5 4" xfId="20112" xr:uid="{00000000-0005-0000-0000-0000CC4C0000}"/>
    <cellStyle name="20% - Accent6 5 4 2" xfId="30054" xr:uid="{00000000-0005-0000-0000-0000CD4C0000}"/>
    <cellStyle name="20% - Accent6 5 4 2 2" xfId="30055" xr:uid="{00000000-0005-0000-0000-0000CE4C0000}"/>
    <cellStyle name="20% - Accent6 5 4 3" xfId="30056" xr:uid="{00000000-0005-0000-0000-0000CF4C0000}"/>
    <cellStyle name="20% - Accent6 5 4 4" xfId="30053" xr:uid="{00000000-0005-0000-0000-0000D04C0000}"/>
    <cellStyle name="20% - Accent6 5 5" xfId="25588" xr:uid="{00000000-0005-0000-0000-0000D14C0000}"/>
    <cellStyle name="20% - Accent6 5 5 2" xfId="30058" xr:uid="{00000000-0005-0000-0000-0000D24C0000}"/>
    <cellStyle name="20% - Accent6 5 5 2 2" xfId="30059" xr:uid="{00000000-0005-0000-0000-0000D34C0000}"/>
    <cellStyle name="20% - Accent6 5 5 3" xfId="30060" xr:uid="{00000000-0005-0000-0000-0000D44C0000}"/>
    <cellStyle name="20% - Accent6 5 5 4" xfId="30057" xr:uid="{00000000-0005-0000-0000-0000D54C0000}"/>
    <cellStyle name="20% - Accent6 5 6" xfId="30061" xr:uid="{00000000-0005-0000-0000-0000D64C0000}"/>
    <cellStyle name="20% - Accent6 5 6 2" xfId="30062" xr:uid="{00000000-0005-0000-0000-0000D74C0000}"/>
    <cellStyle name="20% - Accent6 5 6 2 2" xfId="30063" xr:uid="{00000000-0005-0000-0000-0000D84C0000}"/>
    <cellStyle name="20% - Accent6 5 6 3" xfId="30064" xr:uid="{00000000-0005-0000-0000-0000D94C0000}"/>
    <cellStyle name="20% - Accent6 5 7" xfId="30065" xr:uid="{00000000-0005-0000-0000-0000DA4C0000}"/>
    <cellStyle name="20% - Accent6 5 7 2" xfId="30066" xr:uid="{00000000-0005-0000-0000-0000DB4C0000}"/>
    <cellStyle name="20% - Accent6 5 7 2 2" xfId="30067" xr:uid="{00000000-0005-0000-0000-0000DC4C0000}"/>
    <cellStyle name="20% - Accent6 5 7 3" xfId="30068" xr:uid="{00000000-0005-0000-0000-0000DD4C0000}"/>
    <cellStyle name="20% - Accent6 5 8" xfId="30069" xr:uid="{00000000-0005-0000-0000-0000DE4C0000}"/>
    <cellStyle name="20% - Accent6 5 8 2" xfId="30070" xr:uid="{00000000-0005-0000-0000-0000DF4C0000}"/>
    <cellStyle name="20% - Accent6 5 9" xfId="30071" xr:uid="{00000000-0005-0000-0000-0000E04C0000}"/>
    <cellStyle name="20% - Accent6 6" xfId="7385" xr:uid="{00000000-0005-0000-0000-0000E14C0000}"/>
    <cellStyle name="20% - Accent6 6 10" xfId="30072" xr:uid="{00000000-0005-0000-0000-0000E24C0000}"/>
    <cellStyle name="20% - Accent6 6 2" xfId="30073" xr:uid="{00000000-0005-0000-0000-0000E34C0000}"/>
    <cellStyle name="20% - Accent6 6 2 2" xfId="30074" xr:uid="{00000000-0005-0000-0000-0000E44C0000}"/>
    <cellStyle name="20% - Accent6 6 2 2 2" xfId="30075" xr:uid="{00000000-0005-0000-0000-0000E54C0000}"/>
    <cellStyle name="20% - Accent6 6 2 3" xfId="30076" xr:uid="{00000000-0005-0000-0000-0000E64C0000}"/>
    <cellStyle name="20% - Accent6 6 3" xfId="30077" xr:uid="{00000000-0005-0000-0000-0000E74C0000}"/>
    <cellStyle name="20% - Accent6 6 3 2" xfId="30078" xr:uid="{00000000-0005-0000-0000-0000E84C0000}"/>
    <cellStyle name="20% - Accent6 6 3 2 2" xfId="30079" xr:uid="{00000000-0005-0000-0000-0000E94C0000}"/>
    <cellStyle name="20% - Accent6 6 3 3" xfId="30080" xr:uid="{00000000-0005-0000-0000-0000EA4C0000}"/>
    <cellStyle name="20% - Accent6 6 4" xfId="30081" xr:uid="{00000000-0005-0000-0000-0000EB4C0000}"/>
    <cellStyle name="20% - Accent6 6 4 2" xfId="30082" xr:uid="{00000000-0005-0000-0000-0000EC4C0000}"/>
    <cellStyle name="20% - Accent6 6 4 2 2" xfId="30083" xr:uid="{00000000-0005-0000-0000-0000ED4C0000}"/>
    <cellStyle name="20% - Accent6 6 4 3" xfId="30084" xr:uid="{00000000-0005-0000-0000-0000EE4C0000}"/>
    <cellStyle name="20% - Accent6 6 5" xfId="30085" xr:uid="{00000000-0005-0000-0000-0000EF4C0000}"/>
    <cellStyle name="20% - Accent6 6 5 2" xfId="30086" xr:uid="{00000000-0005-0000-0000-0000F04C0000}"/>
    <cellStyle name="20% - Accent6 6 5 2 2" xfId="30087" xr:uid="{00000000-0005-0000-0000-0000F14C0000}"/>
    <cellStyle name="20% - Accent6 6 5 3" xfId="30088" xr:uid="{00000000-0005-0000-0000-0000F24C0000}"/>
    <cellStyle name="20% - Accent6 6 6" xfId="30089" xr:uid="{00000000-0005-0000-0000-0000F34C0000}"/>
    <cellStyle name="20% - Accent6 6 6 2" xfId="30090" xr:uid="{00000000-0005-0000-0000-0000F44C0000}"/>
    <cellStyle name="20% - Accent6 6 6 2 2" xfId="30091" xr:uid="{00000000-0005-0000-0000-0000F54C0000}"/>
    <cellStyle name="20% - Accent6 6 6 3" xfId="30092" xr:uid="{00000000-0005-0000-0000-0000F64C0000}"/>
    <cellStyle name="20% - Accent6 6 7" xfId="30093" xr:uid="{00000000-0005-0000-0000-0000F74C0000}"/>
    <cellStyle name="20% - Accent6 6 7 2" xfId="30094" xr:uid="{00000000-0005-0000-0000-0000F84C0000}"/>
    <cellStyle name="20% - Accent6 6 7 2 2" xfId="30095" xr:uid="{00000000-0005-0000-0000-0000F94C0000}"/>
    <cellStyle name="20% - Accent6 6 7 3" xfId="30096" xr:uid="{00000000-0005-0000-0000-0000FA4C0000}"/>
    <cellStyle name="20% - Accent6 6 8" xfId="30097" xr:uid="{00000000-0005-0000-0000-0000FB4C0000}"/>
    <cellStyle name="20% - Accent6 6 8 2" xfId="30098" xr:uid="{00000000-0005-0000-0000-0000FC4C0000}"/>
    <cellStyle name="20% - Accent6 6 9" xfId="30099" xr:uid="{00000000-0005-0000-0000-0000FD4C0000}"/>
    <cellStyle name="20% - Accent6 7" xfId="12862" xr:uid="{00000000-0005-0000-0000-0000FE4C0000}"/>
    <cellStyle name="20% - Accent6 7 10" xfId="30100" xr:uid="{00000000-0005-0000-0000-0000FF4C0000}"/>
    <cellStyle name="20% - Accent6 7 2" xfId="30101" xr:uid="{00000000-0005-0000-0000-0000004D0000}"/>
    <cellStyle name="20% - Accent6 7 2 2" xfId="30102" xr:uid="{00000000-0005-0000-0000-0000014D0000}"/>
    <cellStyle name="20% - Accent6 7 2 2 2" xfId="30103" xr:uid="{00000000-0005-0000-0000-0000024D0000}"/>
    <cellStyle name="20% - Accent6 7 2 3" xfId="30104" xr:uid="{00000000-0005-0000-0000-0000034D0000}"/>
    <cellStyle name="20% - Accent6 7 3" xfId="30105" xr:uid="{00000000-0005-0000-0000-0000044D0000}"/>
    <cellStyle name="20% - Accent6 7 3 2" xfId="30106" xr:uid="{00000000-0005-0000-0000-0000054D0000}"/>
    <cellStyle name="20% - Accent6 7 3 2 2" xfId="30107" xr:uid="{00000000-0005-0000-0000-0000064D0000}"/>
    <cellStyle name="20% - Accent6 7 3 3" xfId="30108" xr:uid="{00000000-0005-0000-0000-0000074D0000}"/>
    <cellStyle name="20% - Accent6 7 4" xfId="30109" xr:uid="{00000000-0005-0000-0000-0000084D0000}"/>
    <cellStyle name="20% - Accent6 7 4 2" xfId="30110" xr:uid="{00000000-0005-0000-0000-0000094D0000}"/>
    <cellStyle name="20% - Accent6 7 4 2 2" xfId="30111" xr:uid="{00000000-0005-0000-0000-00000A4D0000}"/>
    <cellStyle name="20% - Accent6 7 4 3" xfId="30112" xr:uid="{00000000-0005-0000-0000-00000B4D0000}"/>
    <cellStyle name="20% - Accent6 7 5" xfId="30113" xr:uid="{00000000-0005-0000-0000-00000C4D0000}"/>
    <cellStyle name="20% - Accent6 7 5 2" xfId="30114" xr:uid="{00000000-0005-0000-0000-00000D4D0000}"/>
    <cellStyle name="20% - Accent6 7 5 2 2" xfId="30115" xr:uid="{00000000-0005-0000-0000-00000E4D0000}"/>
    <cellStyle name="20% - Accent6 7 5 3" xfId="30116" xr:uid="{00000000-0005-0000-0000-00000F4D0000}"/>
    <cellStyle name="20% - Accent6 7 6" xfId="30117" xr:uid="{00000000-0005-0000-0000-0000104D0000}"/>
    <cellStyle name="20% - Accent6 7 6 2" xfId="30118" xr:uid="{00000000-0005-0000-0000-0000114D0000}"/>
    <cellStyle name="20% - Accent6 7 6 2 2" xfId="30119" xr:uid="{00000000-0005-0000-0000-0000124D0000}"/>
    <cellStyle name="20% - Accent6 7 6 3" xfId="30120" xr:uid="{00000000-0005-0000-0000-0000134D0000}"/>
    <cellStyle name="20% - Accent6 7 7" xfId="30121" xr:uid="{00000000-0005-0000-0000-0000144D0000}"/>
    <cellStyle name="20% - Accent6 7 7 2" xfId="30122" xr:uid="{00000000-0005-0000-0000-0000154D0000}"/>
    <cellStyle name="20% - Accent6 7 7 2 2" xfId="30123" xr:uid="{00000000-0005-0000-0000-0000164D0000}"/>
    <cellStyle name="20% - Accent6 7 7 3" xfId="30124" xr:uid="{00000000-0005-0000-0000-0000174D0000}"/>
    <cellStyle name="20% - Accent6 7 8" xfId="30125" xr:uid="{00000000-0005-0000-0000-0000184D0000}"/>
    <cellStyle name="20% - Accent6 7 8 2" xfId="30126" xr:uid="{00000000-0005-0000-0000-0000194D0000}"/>
    <cellStyle name="20% - Accent6 7 9" xfId="30127" xr:uid="{00000000-0005-0000-0000-00001A4D0000}"/>
    <cellStyle name="20% - Accent6 8" xfId="18338" xr:uid="{00000000-0005-0000-0000-00001B4D0000}"/>
    <cellStyle name="20% - Accent6 8 2" xfId="30129" xr:uid="{00000000-0005-0000-0000-00001C4D0000}"/>
    <cellStyle name="20% - Accent6 8 2 2" xfId="30130" xr:uid="{00000000-0005-0000-0000-00001D4D0000}"/>
    <cellStyle name="20% - Accent6 8 3" xfId="30131" xr:uid="{00000000-0005-0000-0000-00001E4D0000}"/>
    <cellStyle name="20% - Accent6 8 4" xfId="30128" xr:uid="{00000000-0005-0000-0000-00001F4D0000}"/>
    <cellStyle name="20% - Accent6 9" xfId="23814" xr:uid="{00000000-0005-0000-0000-0000204D0000}"/>
    <cellStyle name="20% - Accent6 9 10" xfId="30132" xr:uid="{00000000-0005-0000-0000-0000214D0000}"/>
    <cellStyle name="20% - Accent6 9 2" xfId="30133" xr:uid="{00000000-0005-0000-0000-0000224D0000}"/>
    <cellStyle name="20% - Accent6 9 2 2" xfId="30134" xr:uid="{00000000-0005-0000-0000-0000234D0000}"/>
    <cellStyle name="20% - Accent6 9 2 2 2" xfId="30135" xr:uid="{00000000-0005-0000-0000-0000244D0000}"/>
    <cellStyle name="20% - Accent6 9 2 3" xfId="30136" xr:uid="{00000000-0005-0000-0000-0000254D0000}"/>
    <cellStyle name="20% - Accent6 9 3" xfId="30137" xr:uid="{00000000-0005-0000-0000-0000264D0000}"/>
    <cellStyle name="20% - Accent6 9 3 2" xfId="30138" xr:uid="{00000000-0005-0000-0000-0000274D0000}"/>
    <cellStyle name="20% - Accent6 9 3 2 2" xfId="30139" xr:uid="{00000000-0005-0000-0000-0000284D0000}"/>
    <cellStyle name="20% - Accent6 9 3 3" xfId="30140" xr:uid="{00000000-0005-0000-0000-0000294D0000}"/>
    <cellStyle name="20% - Accent6 9 4" xfId="30141" xr:uid="{00000000-0005-0000-0000-00002A4D0000}"/>
    <cellStyle name="20% - Accent6 9 4 2" xfId="30142" xr:uid="{00000000-0005-0000-0000-00002B4D0000}"/>
    <cellStyle name="20% - Accent6 9 4 2 2" xfId="30143" xr:uid="{00000000-0005-0000-0000-00002C4D0000}"/>
    <cellStyle name="20% - Accent6 9 4 3" xfId="30144" xr:uid="{00000000-0005-0000-0000-00002D4D0000}"/>
    <cellStyle name="20% - Accent6 9 5" xfId="30145" xr:uid="{00000000-0005-0000-0000-00002E4D0000}"/>
    <cellStyle name="20% - Accent6 9 5 2" xfId="30146" xr:uid="{00000000-0005-0000-0000-00002F4D0000}"/>
    <cellStyle name="20% - Accent6 9 5 2 2" xfId="30147" xr:uid="{00000000-0005-0000-0000-0000304D0000}"/>
    <cellStyle name="20% - Accent6 9 5 3" xfId="30148" xr:uid="{00000000-0005-0000-0000-0000314D0000}"/>
    <cellStyle name="20% - Accent6 9 6" xfId="30149" xr:uid="{00000000-0005-0000-0000-0000324D0000}"/>
    <cellStyle name="20% - Accent6 9 6 2" xfId="30150" xr:uid="{00000000-0005-0000-0000-0000334D0000}"/>
    <cellStyle name="20% - Accent6 9 6 2 2" xfId="30151" xr:uid="{00000000-0005-0000-0000-0000344D0000}"/>
    <cellStyle name="20% - Accent6 9 6 3" xfId="30152" xr:uid="{00000000-0005-0000-0000-0000354D0000}"/>
    <cellStyle name="20% - Accent6 9 7" xfId="30153" xr:uid="{00000000-0005-0000-0000-0000364D0000}"/>
    <cellStyle name="20% - Accent6 9 7 2" xfId="30154" xr:uid="{00000000-0005-0000-0000-0000374D0000}"/>
    <cellStyle name="20% - Accent6 9 7 2 2" xfId="30155" xr:uid="{00000000-0005-0000-0000-0000384D0000}"/>
    <cellStyle name="20% - Accent6 9 7 3" xfId="30156" xr:uid="{00000000-0005-0000-0000-0000394D0000}"/>
    <cellStyle name="20% - Accent6 9 8" xfId="30157" xr:uid="{00000000-0005-0000-0000-00003A4D0000}"/>
    <cellStyle name="20% - Accent6 9 8 2" xfId="30158" xr:uid="{00000000-0005-0000-0000-00003B4D0000}"/>
    <cellStyle name="20% - Accent6 9 9" xfId="30159" xr:uid="{00000000-0005-0000-0000-00003C4D0000}"/>
    <cellStyle name="40% - Accent1" xfId="58" builtinId="31" customBuiltin="1"/>
    <cellStyle name="40% - Accent1 10" xfId="30160" xr:uid="{00000000-0005-0000-0000-00003E4D0000}"/>
    <cellStyle name="40% - Accent1 10 2" xfId="30161" xr:uid="{00000000-0005-0000-0000-00003F4D0000}"/>
    <cellStyle name="40% - Accent1 10 2 2" xfId="30162" xr:uid="{00000000-0005-0000-0000-0000404D0000}"/>
    <cellStyle name="40% - Accent1 10 2 2 2" xfId="30163" xr:uid="{00000000-0005-0000-0000-0000414D0000}"/>
    <cellStyle name="40% - Accent1 10 2 3" xfId="30164" xr:uid="{00000000-0005-0000-0000-0000424D0000}"/>
    <cellStyle name="40% - Accent1 10 3" xfId="30165" xr:uid="{00000000-0005-0000-0000-0000434D0000}"/>
    <cellStyle name="40% - Accent1 10 3 2" xfId="30166" xr:uid="{00000000-0005-0000-0000-0000444D0000}"/>
    <cellStyle name="40% - Accent1 10 3 2 2" xfId="30167" xr:uid="{00000000-0005-0000-0000-0000454D0000}"/>
    <cellStyle name="40% - Accent1 10 3 3" xfId="30168" xr:uid="{00000000-0005-0000-0000-0000464D0000}"/>
    <cellStyle name="40% - Accent1 10 4" xfId="30169" xr:uid="{00000000-0005-0000-0000-0000474D0000}"/>
    <cellStyle name="40% - Accent1 10 4 2" xfId="30170" xr:uid="{00000000-0005-0000-0000-0000484D0000}"/>
    <cellStyle name="40% - Accent1 10 5" xfId="30171" xr:uid="{00000000-0005-0000-0000-0000494D0000}"/>
    <cellStyle name="40% - Accent1 11" xfId="30172" xr:uid="{00000000-0005-0000-0000-00004A4D0000}"/>
    <cellStyle name="40% - Accent1 11 2" xfId="30173" xr:uid="{00000000-0005-0000-0000-00004B4D0000}"/>
    <cellStyle name="40% - Accent1 11 2 2" xfId="30174" xr:uid="{00000000-0005-0000-0000-00004C4D0000}"/>
    <cellStyle name="40% - Accent1 11 3" xfId="30175" xr:uid="{00000000-0005-0000-0000-00004D4D0000}"/>
    <cellStyle name="40% - Accent1 12" xfId="30176" xr:uid="{00000000-0005-0000-0000-00004E4D0000}"/>
    <cellStyle name="40% - Accent1 12 2" xfId="30177" xr:uid="{00000000-0005-0000-0000-00004F4D0000}"/>
    <cellStyle name="40% - Accent1 12 2 2" xfId="30178" xr:uid="{00000000-0005-0000-0000-0000504D0000}"/>
    <cellStyle name="40% - Accent1 12 3" xfId="30179" xr:uid="{00000000-0005-0000-0000-0000514D0000}"/>
    <cellStyle name="40% - Accent1 13" xfId="30180" xr:uid="{00000000-0005-0000-0000-0000524D0000}"/>
    <cellStyle name="40% - Accent1 13 2" xfId="30181" xr:uid="{00000000-0005-0000-0000-0000534D0000}"/>
    <cellStyle name="40% - Accent1 13 2 2" xfId="30182" xr:uid="{00000000-0005-0000-0000-0000544D0000}"/>
    <cellStyle name="40% - Accent1 13 3" xfId="30183" xr:uid="{00000000-0005-0000-0000-0000554D0000}"/>
    <cellStyle name="40% - Accent1 14" xfId="30184" xr:uid="{00000000-0005-0000-0000-0000564D0000}"/>
    <cellStyle name="40% - Accent1 14 2" xfId="30185" xr:uid="{00000000-0005-0000-0000-0000574D0000}"/>
    <cellStyle name="40% - Accent1 14 2 2" xfId="30186" xr:uid="{00000000-0005-0000-0000-0000584D0000}"/>
    <cellStyle name="40% - Accent1 14 3" xfId="30187" xr:uid="{00000000-0005-0000-0000-0000594D0000}"/>
    <cellStyle name="40% - Accent1 15" xfId="30188" xr:uid="{00000000-0005-0000-0000-00005A4D0000}"/>
    <cellStyle name="40% - Accent1 15 2" xfId="30189" xr:uid="{00000000-0005-0000-0000-00005B4D0000}"/>
    <cellStyle name="40% - Accent1 15 2 2" xfId="30190" xr:uid="{00000000-0005-0000-0000-00005C4D0000}"/>
    <cellStyle name="40% - Accent1 15 3" xfId="30191" xr:uid="{00000000-0005-0000-0000-00005D4D0000}"/>
    <cellStyle name="40% - Accent1 16" xfId="30192" xr:uid="{00000000-0005-0000-0000-00005E4D0000}"/>
    <cellStyle name="40% - Accent1 16 2" xfId="30193" xr:uid="{00000000-0005-0000-0000-00005F4D0000}"/>
    <cellStyle name="40% - Accent1 16 2 2" xfId="30194" xr:uid="{00000000-0005-0000-0000-0000604D0000}"/>
    <cellStyle name="40% - Accent1 16 2 2 2" xfId="30195" xr:uid="{00000000-0005-0000-0000-0000614D0000}"/>
    <cellStyle name="40% - Accent1 16 2 2 2 2" xfId="30196" xr:uid="{00000000-0005-0000-0000-0000624D0000}"/>
    <cellStyle name="40% - Accent1 16 2 2 2 2 2" xfId="30197" xr:uid="{00000000-0005-0000-0000-0000634D0000}"/>
    <cellStyle name="40% - Accent1 16 2 2 2 3" xfId="30198" xr:uid="{00000000-0005-0000-0000-0000644D0000}"/>
    <cellStyle name="40% - Accent1 16 2 2 3" xfId="30199" xr:uid="{00000000-0005-0000-0000-0000654D0000}"/>
    <cellStyle name="40% - Accent1 16 2 2 3 2" xfId="30200" xr:uid="{00000000-0005-0000-0000-0000664D0000}"/>
    <cellStyle name="40% - Accent1 16 2 2 3 2 2" xfId="30201" xr:uid="{00000000-0005-0000-0000-0000674D0000}"/>
    <cellStyle name="40% - Accent1 16 2 2 3 3" xfId="30202" xr:uid="{00000000-0005-0000-0000-0000684D0000}"/>
    <cellStyle name="40% - Accent1 16 2 2 4" xfId="30203" xr:uid="{00000000-0005-0000-0000-0000694D0000}"/>
    <cellStyle name="40% - Accent1 16 2 2 4 2" xfId="30204" xr:uid="{00000000-0005-0000-0000-00006A4D0000}"/>
    <cellStyle name="40% - Accent1 16 2 2 5" xfId="30205" xr:uid="{00000000-0005-0000-0000-00006B4D0000}"/>
    <cellStyle name="40% - Accent1 16 2 3" xfId="30206" xr:uid="{00000000-0005-0000-0000-00006C4D0000}"/>
    <cellStyle name="40% - Accent1 16 2 3 2" xfId="30207" xr:uid="{00000000-0005-0000-0000-00006D4D0000}"/>
    <cellStyle name="40% - Accent1 16 2 3 2 2" xfId="30208" xr:uid="{00000000-0005-0000-0000-00006E4D0000}"/>
    <cellStyle name="40% - Accent1 16 2 3 2 2 2" xfId="30209" xr:uid="{00000000-0005-0000-0000-00006F4D0000}"/>
    <cellStyle name="40% - Accent1 16 2 3 2 3" xfId="30210" xr:uid="{00000000-0005-0000-0000-0000704D0000}"/>
    <cellStyle name="40% - Accent1 16 2 3 3" xfId="30211" xr:uid="{00000000-0005-0000-0000-0000714D0000}"/>
    <cellStyle name="40% - Accent1 16 2 3 3 2" xfId="30212" xr:uid="{00000000-0005-0000-0000-0000724D0000}"/>
    <cellStyle name="40% - Accent1 16 2 3 3 2 2" xfId="30213" xr:uid="{00000000-0005-0000-0000-0000734D0000}"/>
    <cellStyle name="40% - Accent1 16 2 3 3 3" xfId="30214" xr:uid="{00000000-0005-0000-0000-0000744D0000}"/>
    <cellStyle name="40% - Accent1 16 2 3 4" xfId="30215" xr:uid="{00000000-0005-0000-0000-0000754D0000}"/>
    <cellStyle name="40% - Accent1 16 2 3 4 2" xfId="30216" xr:uid="{00000000-0005-0000-0000-0000764D0000}"/>
    <cellStyle name="40% - Accent1 16 2 3 5" xfId="30217" xr:uid="{00000000-0005-0000-0000-0000774D0000}"/>
    <cellStyle name="40% - Accent1 16 2 4" xfId="30218" xr:uid="{00000000-0005-0000-0000-0000784D0000}"/>
    <cellStyle name="40% - Accent1 16 2 4 2" xfId="30219" xr:uid="{00000000-0005-0000-0000-0000794D0000}"/>
    <cellStyle name="40% - Accent1 16 2 4 2 2" xfId="30220" xr:uid="{00000000-0005-0000-0000-00007A4D0000}"/>
    <cellStyle name="40% - Accent1 16 2 4 2 2 2" xfId="30221" xr:uid="{00000000-0005-0000-0000-00007B4D0000}"/>
    <cellStyle name="40% - Accent1 16 2 4 2 3" xfId="30222" xr:uid="{00000000-0005-0000-0000-00007C4D0000}"/>
    <cellStyle name="40% - Accent1 16 2 4 3" xfId="30223" xr:uid="{00000000-0005-0000-0000-00007D4D0000}"/>
    <cellStyle name="40% - Accent1 16 2 4 3 2" xfId="30224" xr:uid="{00000000-0005-0000-0000-00007E4D0000}"/>
    <cellStyle name="40% - Accent1 16 2 4 3 2 2" xfId="30225" xr:uid="{00000000-0005-0000-0000-00007F4D0000}"/>
    <cellStyle name="40% - Accent1 16 2 4 3 3" xfId="30226" xr:uid="{00000000-0005-0000-0000-0000804D0000}"/>
    <cellStyle name="40% - Accent1 16 2 4 4" xfId="30227" xr:uid="{00000000-0005-0000-0000-0000814D0000}"/>
    <cellStyle name="40% - Accent1 16 2 4 4 2" xfId="30228" xr:uid="{00000000-0005-0000-0000-0000824D0000}"/>
    <cellStyle name="40% - Accent1 16 2 4 5" xfId="30229" xr:uid="{00000000-0005-0000-0000-0000834D0000}"/>
    <cellStyle name="40% - Accent1 16 2 5" xfId="30230" xr:uid="{00000000-0005-0000-0000-0000844D0000}"/>
    <cellStyle name="40% - Accent1 16 2 5 2" xfId="30231" xr:uid="{00000000-0005-0000-0000-0000854D0000}"/>
    <cellStyle name="40% - Accent1 16 2 5 2 2" xfId="30232" xr:uid="{00000000-0005-0000-0000-0000864D0000}"/>
    <cellStyle name="40% - Accent1 16 2 5 2 2 2" xfId="30233" xr:uid="{00000000-0005-0000-0000-0000874D0000}"/>
    <cellStyle name="40% - Accent1 16 2 5 2 3" xfId="30234" xr:uid="{00000000-0005-0000-0000-0000884D0000}"/>
    <cellStyle name="40% - Accent1 16 2 5 3" xfId="30235" xr:uid="{00000000-0005-0000-0000-0000894D0000}"/>
    <cellStyle name="40% - Accent1 16 2 5 3 2" xfId="30236" xr:uid="{00000000-0005-0000-0000-00008A4D0000}"/>
    <cellStyle name="40% - Accent1 16 2 5 4" xfId="30237" xr:uid="{00000000-0005-0000-0000-00008B4D0000}"/>
    <cellStyle name="40% - Accent1 16 2 6" xfId="30238" xr:uid="{00000000-0005-0000-0000-00008C4D0000}"/>
    <cellStyle name="40% - Accent1 16 2 6 2" xfId="30239" xr:uid="{00000000-0005-0000-0000-00008D4D0000}"/>
    <cellStyle name="40% - Accent1 16 2 6 2 2" xfId="30240" xr:uid="{00000000-0005-0000-0000-00008E4D0000}"/>
    <cellStyle name="40% - Accent1 16 2 6 3" xfId="30241" xr:uid="{00000000-0005-0000-0000-00008F4D0000}"/>
    <cellStyle name="40% - Accent1 16 2 7" xfId="30242" xr:uid="{00000000-0005-0000-0000-0000904D0000}"/>
    <cellStyle name="40% - Accent1 16 2 7 2" xfId="30243" xr:uid="{00000000-0005-0000-0000-0000914D0000}"/>
    <cellStyle name="40% - Accent1 16 2 8" xfId="30244" xr:uid="{00000000-0005-0000-0000-0000924D0000}"/>
    <cellStyle name="40% - Accent1 16 3" xfId="30245" xr:uid="{00000000-0005-0000-0000-0000934D0000}"/>
    <cellStyle name="40% - Accent1 16 3 2" xfId="30246" xr:uid="{00000000-0005-0000-0000-0000944D0000}"/>
    <cellStyle name="40% - Accent1 16 3 2 2" xfId="30247" xr:uid="{00000000-0005-0000-0000-0000954D0000}"/>
    <cellStyle name="40% - Accent1 16 3 2 2 2" xfId="30248" xr:uid="{00000000-0005-0000-0000-0000964D0000}"/>
    <cellStyle name="40% - Accent1 16 3 2 3" xfId="30249" xr:uid="{00000000-0005-0000-0000-0000974D0000}"/>
    <cellStyle name="40% - Accent1 16 3 3" xfId="30250" xr:uid="{00000000-0005-0000-0000-0000984D0000}"/>
    <cellStyle name="40% - Accent1 16 3 3 2" xfId="30251" xr:uid="{00000000-0005-0000-0000-0000994D0000}"/>
    <cellStyle name="40% - Accent1 16 3 3 2 2" xfId="30252" xr:uid="{00000000-0005-0000-0000-00009A4D0000}"/>
    <cellStyle name="40% - Accent1 16 3 3 3" xfId="30253" xr:uid="{00000000-0005-0000-0000-00009B4D0000}"/>
    <cellStyle name="40% - Accent1 16 3 4" xfId="30254" xr:uid="{00000000-0005-0000-0000-00009C4D0000}"/>
    <cellStyle name="40% - Accent1 16 3 4 2" xfId="30255" xr:uid="{00000000-0005-0000-0000-00009D4D0000}"/>
    <cellStyle name="40% - Accent1 16 3 4 2 2" xfId="30256" xr:uid="{00000000-0005-0000-0000-00009E4D0000}"/>
    <cellStyle name="40% - Accent1 16 3 4 3" xfId="30257" xr:uid="{00000000-0005-0000-0000-00009F4D0000}"/>
    <cellStyle name="40% - Accent1 16 3 5" xfId="30258" xr:uid="{00000000-0005-0000-0000-0000A04D0000}"/>
    <cellStyle name="40% - Accent1 16 3 5 2" xfId="30259" xr:uid="{00000000-0005-0000-0000-0000A14D0000}"/>
    <cellStyle name="40% - Accent1 16 3 6" xfId="30260" xr:uid="{00000000-0005-0000-0000-0000A24D0000}"/>
    <cellStyle name="40% - Accent1 16 4" xfId="30261" xr:uid="{00000000-0005-0000-0000-0000A34D0000}"/>
    <cellStyle name="40% - Accent1 16 4 2" xfId="30262" xr:uid="{00000000-0005-0000-0000-0000A44D0000}"/>
    <cellStyle name="40% - Accent1 16 4 2 2" xfId="30263" xr:uid="{00000000-0005-0000-0000-0000A54D0000}"/>
    <cellStyle name="40% - Accent1 16 4 2 2 2" xfId="30264" xr:uid="{00000000-0005-0000-0000-0000A64D0000}"/>
    <cellStyle name="40% - Accent1 16 4 2 3" xfId="30265" xr:uid="{00000000-0005-0000-0000-0000A74D0000}"/>
    <cellStyle name="40% - Accent1 16 4 3" xfId="30266" xr:uid="{00000000-0005-0000-0000-0000A84D0000}"/>
    <cellStyle name="40% - Accent1 16 4 3 2" xfId="30267" xr:uid="{00000000-0005-0000-0000-0000A94D0000}"/>
    <cellStyle name="40% - Accent1 16 4 3 2 2" xfId="30268" xr:uid="{00000000-0005-0000-0000-0000AA4D0000}"/>
    <cellStyle name="40% - Accent1 16 4 3 3" xfId="30269" xr:uid="{00000000-0005-0000-0000-0000AB4D0000}"/>
    <cellStyle name="40% - Accent1 16 4 4" xfId="30270" xr:uid="{00000000-0005-0000-0000-0000AC4D0000}"/>
    <cellStyle name="40% - Accent1 16 4 4 2" xfId="30271" xr:uid="{00000000-0005-0000-0000-0000AD4D0000}"/>
    <cellStyle name="40% - Accent1 16 4 5" xfId="30272" xr:uid="{00000000-0005-0000-0000-0000AE4D0000}"/>
    <cellStyle name="40% - Accent1 16 5" xfId="30273" xr:uid="{00000000-0005-0000-0000-0000AF4D0000}"/>
    <cellStyle name="40% - Accent1 16 5 2" xfId="30274" xr:uid="{00000000-0005-0000-0000-0000B04D0000}"/>
    <cellStyle name="40% - Accent1 16 5 2 2" xfId="30275" xr:uid="{00000000-0005-0000-0000-0000B14D0000}"/>
    <cellStyle name="40% - Accent1 16 5 2 2 2" xfId="30276" xr:uid="{00000000-0005-0000-0000-0000B24D0000}"/>
    <cellStyle name="40% - Accent1 16 5 2 3" xfId="30277" xr:uid="{00000000-0005-0000-0000-0000B34D0000}"/>
    <cellStyle name="40% - Accent1 16 5 3" xfId="30278" xr:uid="{00000000-0005-0000-0000-0000B44D0000}"/>
    <cellStyle name="40% - Accent1 16 5 3 2" xfId="30279" xr:uid="{00000000-0005-0000-0000-0000B54D0000}"/>
    <cellStyle name="40% - Accent1 16 5 3 2 2" xfId="30280" xr:uid="{00000000-0005-0000-0000-0000B64D0000}"/>
    <cellStyle name="40% - Accent1 16 5 3 3" xfId="30281" xr:uid="{00000000-0005-0000-0000-0000B74D0000}"/>
    <cellStyle name="40% - Accent1 16 5 4" xfId="30282" xr:uid="{00000000-0005-0000-0000-0000B84D0000}"/>
    <cellStyle name="40% - Accent1 16 5 4 2" xfId="30283" xr:uid="{00000000-0005-0000-0000-0000B94D0000}"/>
    <cellStyle name="40% - Accent1 16 5 5" xfId="30284" xr:uid="{00000000-0005-0000-0000-0000BA4D0000}"/>
    <cellStyle name="40% - Accent1 16 6" xfId="30285" xr:uid="{00000000-0005-0000-0000-0000BB4D0000}"/>
    <cellStyle name="40% - Accent1 16 6 2" xfId="30286" xr:uid="{00000000-0005-0000-0000-0000BC4D0000}"/>
    <cellStyle name="40% - Accent1 16 6 2 2" xfId="30287" xr:uid="{00000000-0005-0000-0000-0000BD4D0000}"/>
    <cellStyle name="40% - Accent1 16 6 2 2 2" xfId="30288" xr:uid="{00000000-0005-0000-0000-0000BE4D0000}"/>
    <cellStyle name="40% - Accent1 16 6 2 3" xfId="30289" xr:uid="{00000000-0005-0000-0000-0000BF4D0000}"/>
    <cellStyle name="40% - Accent1 16 6 3" xfId="30290" xr:uid="{00000000-0005-0000-0000-0000C04D0000}"/>
    <cellStyle name="40% - Accent1 16 6 3 2" xfId="30291" xr:uid="{00000000-0005-0000-0000-0000C14D0000}"/>
    <cellStyle name="40% - Accent1 16 6 4" xfId="30292" xr:uid="{00000000-0005-0000-0000-0000C24D0000}"/>
    <cellStyle name="40% - Accent1 16 7" xfId="30293" xr:uid="{00000000-0005-0000-0000-0000C34D0000}"/>
    <cellStyle name="40% - Accent1 16 7 2" xfId="30294" xr:uid="{00000000-0005-0000-0000-0000C44D0000}"/>
    <cellStyle name="40% - Accent1 16 7 2 2" xfId="30295" xr:uid="{00000000-0005-0000-0000-0000C54D0000}"/>
    <cellStyle name="40% - Accent1 16 7 3" xfId="30296" xr:uid="{00000000-0005-0000-0000-0000C64D0000}"/>
    <cellStyle name="40% - Accent1 16 8" xfId="30297" xr:uid="{00000000-0005-0000-0000-0000C74D0000}"/>
    <cellStyle name="40% - Accent1 16 8 2" xfId="30298" xr:uid="{00000000-0005-0000-0000-0000C84D0000}"/>
    <cellStyle name="40% - Accent1 16 9" xfId="30299" xr:uid="{00000000-0005-0000-0000-0000C94D0000}"/>
    <cellStyle name="40% - Accent1 17" xfId="30300" xr:uid="{00000000-0005-0000-0000-0000CA4D0000}"/>
    <cellStyle name="40% - Accent1 17 2" xfId="30301" xr:uid="{00000000-0005-0000-0000-0000CB4D0000}"/>
    <cellStyle name="40% - Accent1 17 2 2" xfId="30302" xr:uid="{00000000-0005-0000-0000-0000CC4D0000}"/>
    <cellStyle name="40% - Accent1 17 2 2 2" xfId="30303" xr:uid="{00000000-0005-0000-0000-0000CD4D0000}"/>
    <cellStyle name="40% - Accent1 17 2 2 2 2" xfId="30304" xr:uid="{00000000-0005-0000-0000-0000CE4D0000}"/>
    <cellStyle name="40% - Accent1 17 2 2 3" xfId="30305" xr:uid="{00000000-0005-0000-0000-0000CF4D0000}"/>
    <cellStyle name="40% - Accent1 17 2 3" xfId="30306" xr:uid="{00000000-0005-0000-0000-0000D04D0000}"/>
    <cellStyle name="40% - Accent1 17 2 3 2" xfId="30307" xr:uid="{00000000-0005-0000-0000-0000D14D0000}"/>
    <cellStyle name="40% - Accent1 17 2 3 2 2" xfId="30308" xr:uid="{00000000-0005-0000-0000-0000D24D0000}"/>
    <cellStyle name="40% - Accent1 17 2 3 3" xfId="30309" xr:uid="{00000000-0005-0000-0000-0000D34D0000}"/>
    <cellStyle name="40% - Accent1 17 2 4" xfId="30310" xr:uid="{00000000-0005-0000-0000-0000D44D0000}"/>
    <cellStyle name="40% - Accent1 17 2 4 2" xfId="30311" xr:uid="{00000000-0005-0000-0000-0000D54D0000}"/>
    <cellStyle name="40% - Accent1 17 2 5" xfId="30312" xr:uid="{00000000-0005-0000-0000-0000D64D0000}"/>
    <cellStyle name="40% - Accent1 17 3" xfId="30313" xr:uid="{00000000-0005-0000-0000-0000D74D0000}"/>
    <cellStyle name="40% - Accent1 17 3 2" xfId="30314" xr:uid="{00000000-0005-0000-0000-0000D84D0000}"/>
    <cellStyle name="40% - Accent1 17 3 2 2" xfId="30315" xr:uid="{00000000-0005-0000-0000-0000D94D0000}"/>
    <cellStyle name="40% - Accent1 17 3 2 2 2" xfId="30316" xr:uid="{00000000-0005-0000-0000-0000DA4D0000}"/>
    <cellStyle name="40% - Accent1 17 3 2 3" xfId="30317" xr:uid="{00000000-0005-0000-0000-0000DB4D0000}"/>
    <cellStyle name="40% - Accent1 17 3 3" xfId="30318" xr:uid="{00000000-0005-0000-0000-0000DC4D0000}"/>
    <cellStyle name="40% - Accent1 17 3 3 2" xfId="30319" xr:uid="{00000000-0005-0000-0000-0000DD4D0000}"/>
    <cellStyle name="40% - Accent1 17 3 3 2 2" xfId="30320" xr:uid="{00000000-0005-0000-0000-0000DE4D0000}"/>
    <cellStyle name="40% - Accent1 17 3 3 3" xfId="30321" xr:uid="{00000000-0005-0000-0000-0000DF4D0000}"/>
    <cellStyle name="40% - Accent1 17 3 4" xfId="30322" xr:uid="{00000000-0005-0000-0000-0000E04D0000}"/>
    <cellStyle name="40% - Accent1 17 3 4 2" xfId="30323" xr:uid="{00000000-0005-0000-0000-0000E14D0000}"/>
    <cellStyle name="40% - Accent1 17 3 5" xfId="30324" xr:uid="{00000000-0005-0000-0000-0000E24D0000}"/>
    <cellStyle name="40% - Accent1 17 4" xfId="30325" xr:uid="{00000000-0005-0000-0000-0000E34D0000}"/>
    <cellStyle name="40% - Accent1 17 4 2" xfId="30326" xr:uid="{00000000-0005-0000-0000-0000E44D0000}"/>
    <cellStyle name="40% - Accent1 17 4 2 2" xfId="30327" xr:uid="{00000000-0005-0000-0000-0000E54D0000}"/>
    <cellStyle name="40% - Accent1 17 4 2 2 2" xfId="30328" xr:uid="{00000000-0005-0000-0000-0000E64D0000}"/>
    <cellStyle name="40% - Accent1 17 4 2 3" xfId="30329" xr:uid="{00000000-0005-0000-0000-0000E74D0000}"/>
    <cellStyle name="40% - Accent1 17 4 3" xfId="30330" xr:uid="{00000000-0005-0000-0000-0000E84D0000}"/>
    <cellStyle name="40% - Accent1 17 4 3 2" xfId="30331" xr:uid="{00000000-0005-0000-0000-0000E94D0000}"/>
    <cellStyle name="40% - Accent1 17 4 3 2 2" xfId="30332" xr:uid="{00000000-0005-0000-0000-0000EA4D0000}"/>
    <cellStyle name="40% - Accent1 17 4 3 3" xfId="30333" xr:uid="{00000000-0005-0000-0000-0000EB4D0000}"/>
    <cellStyle name="40% - Accent1 17 4 4" xfId="30334" xr:uid="{00000000-0005-0000-0000-0000EC4D0000}"/>
    <cellStyle name="40% - Accent1 17 4 4 2" xfId="30335" xr:uid="{00000000-0005-0000-0000-0000ED4D0000}"/>
    <cellStyle name="40% - Accent1 17 4 5" xfId="30336" xr:uid="{00000000-0005-0000-0000-0000EE4D0000}"/>
    <cellStyle name="40% - Accent1 17 5" xfId="30337" xr:uid="{00000000-0005-0000-0000-0000EF4D0000}"/>
    <cellStyle name="40% - Accent1 17 5 2" xfId="30338" xr:uid="{00000000-0005-0000-0000-0000F04D0000}"/>
    <cellStyle name="40% - Accent1 17 5 2 2" xfId="30339" xr:uid="{00000000-0005-0000-0000-0000F14D0000}"/>
    <cellStyle name="40% - Accent1 17 5 2 2 2" xfId="30340" xr:uid="{00000000-0005-0000-0000-0000F24D0000}"/>
    <cellStyle name="40% - Accent1 17 5 2 3" xfId="30341" xr:uid="{00000000-0005-0000-0000-0000F34D0000}"/>
    <cellStyle name="40% - Accent1 17 5 3" xfId="30342" xr:uid="{00000000-0005-0000-0000-0000F44D0000}"/>
    <cellStyle name="40% - Accent1 17 5 3 2" xfId="30343" xr:uid="{00000000-0005-0000-0000-0000F54D0000}"/>
    <cellStyle name="40% - Accent1 17 5 4" xfId="30344" xr:uid="{00000000-0005-0000-0000-0000F64D0000}"/>
    <cellStyle name="40% - Accent1 17 6" xfId="30345" xr:uid="{00000000-0005-0000-0000-0000F74D0000}"/>
    <cellStyle name="40% - Accent1 17 6 2" xfId="30346" xr:uid="{00000000-0005-0000-0000-0000F84D0000}"/>
    <cellStyle name="40% - Accent1 17 6 2 2" xfId="30347" xr:uid="{00000000-0005-0000-0000-0000F94D0000}"/>
    <cellStyle name="40% - Accent1 17 6 3" xfId="30348" xr:uid="{00000000-0005-0000-0000-0000FA4D0000}"/>
    <cellStyle name="40% - Accent1 17 7" xfId="30349" xr:uid="{00000000-0005-0000-0000-0000FB4D0000}"/>
    <cellStyle name="40% - Accent1 17 7 2" xfId="30350" xr:uid="{00000000-0005-0000-0000-0000FC4D0000}"/>
    <cellStyle name="40% - Accent1 17 8" xfId="30351" xr:uid="{00000000-0005-0000-0000-0000FD4D0000}"/>
    <cellStyle name="40% - Accent1 18" xfId="30352" xr:uid="{00000000-0005-0000-0000-0000FE4D0000}"/>
    <cellStyle name="40% - Accent1 18 2" xfId="30353" xr:uid="{00000000-0005-0000-0000-0000FF4D0000}"/>
    <cellStyle name="40% - Accent1 18 2 2" xfId="30354" xr:uid="{00000000-0005-0000-0000-0000004E0000}"/>
    <cellStyle name="40% - Accent1 18 2 2 2" xfId="30355" xr:uid="{00000000-0005-0000-0000-0000014E0000}"/>
    <cellStyle name="40% - Accent1 18 2 2 2 2" xfId="30356" xr:uid="{00000000-0005-0000-0000-0000024E0000}"/>
    <cellStyle name="40% - Accent1 18 2 2 3" xfId="30357" xr:uid="{00000000-0005-0000-0000-0000034E0000}"/>
    <cellStyle name="40% - Accent1 18 2 3" xfId="30358" xr:uid="{00000000-0005-0000-0000-0000044E0000}"/>
    <cellStyle name="40% - Accent1 18 2 3 2" xfId="30359" xr:uid="{00000000-0005-0000-0000-0000054E0000}"/>
    <cellStyle name="40% - Accent1 18 2 4" xfId="30360" xr:uid="{00000000-0005-0000-0000-0000064E0000}"/>
    <cellStyle name="40% - Accent1 18 3" xfId="30361" xr:uid="{00000000-0005-0000-0000-0000074E0000}"/>
    <cellStyle name="40% - Accent1 18 3 2" xfId="30362" xr:uid="{00000000-0005-0000-0000-0000084E0000}"/>
    <cellStyle name="40% - Accent1 18 3 2 2" xfId="30363" xr:uid="{00000000-0005-0000-0000-0000094E0000}"/>
    <cellStyle name="40% - Accent1 18 3 2 2 2" xfId="30364" xr:uid="{00000000-0005-0000-0000-00000A4E0000}"/>
    <cellStyle name="40% - Accent1 18 3 2 3" xfId="30365" xr:uid="{00000000-0005-0000-0000-00000B4E0000}"/>
    <cellStyle name="40% - Accent1 18 3 3" xfId="30366" xr:uid="{00000000-0005-0000-0000-00000C4E0000}"/>
    <cellStyle name="40% - Accent1 18 3 3 2" xfId="30367" xr:uid="{00000000-0005-0000-0000-00000D4E0000}"/>
    <cellStyle name="40% - Accent1 18 3 4" xfId="30368" xr:uid="{00000000-0005-0000-0000-00000E4E0000}"/>
    <cellStyle name="40% - Accent1 18 4" xfId="30369" xr:uid="{00000000-0005-0000-0000-00000F4E0000}"/>
    <cellStyle name="40% - Accent1 18 4 2" xfId="30370" xr:uid="{00000000-0005-0000-0000-0000104E0000}"/>
    <cellStyle name="40% - Accent1 18 4 2 2" xfId="30371" xr:uid="{00000000-0005-0000-0000-0000114E0000}"/>
    <cellStyle name="40% - Accent1 18 4 3" xfId="30372" xr:uid="{00000000-0005-0000-0000-0000124E0000}"/>
    <cellStyle name="40% - Accent1 18 5" xfId="30373" xr:uid="{00000000-0005-0000-0000-0000134E0000}"/>
    <cellStyle name="40% - Accent1 18 5 2" xfId="30374" xr:uid="{00000000-0005-0000-0000-0000144E0000}"/>
    <cellStyle name="40% - Accent1 18 6" xfId="30375" xr:uid="{00000000-0005-0000-0000-0000154E0000}"/>
    <cellStyle name="40% - Accent1 19" xfId="30376" xr:uid="{00000000-0005-0000-0000-0000164E0000}"/>
    <cellStyle name="40% - Accent1 19 2" xfId="30377" xr:uid="{00000000-0005-0000-0000-0000174E0000}"/>
    <cellStyle name="40% - Accent1 19 2 2" xfId="30378" xr:uid="{00000000-0005-0000-0000-0000184E0000}"/>
    <cellStyle name="40% - Accent1 19 3" xfId="30379" xr:uid="{00000000-0005-0000-0000-0000194E0000}"/>
    <cellStyle name="40% - Accent1 2" xfId="89" xr:uid="{00000000-0005-0000-0000-00001A4E0000}"/>
    <cellStyle name="40% - Accent1 2 10" xfId="1001" xr:uid="{00000000-0005-0000-0000-00001B4E0000}"/>
    <cellStyle name="40% - Accent1 2 10 10" xfId="45406" xr:uid="{00000000-0005-0000-0000-00001C4E0000}"/>
    <cellStyle name="40% - Accent1 2 10 11" xfId="50884" xr:uid="{00000000-0005-0000-0000-00001D4E0000}"/>
    <cellStyle name="40% - Accent1 2 10 2" xfId="2762" xr:uid="{00000000-0005-0000-0000-00001E4E0000}"/>
    <cellStyle name="40% - Accent1 2 10 2 2" xfId="8242" xr:uid="{00000000-0005-0000-0000-00001F4E0000}"/>
    <cellStyle name="40% - Accent1 2 10 2 3" xfId="13718" xr:uid="{00000000-0005-0000-0000-0000204E0000}"/>
    <cellStyle name="40% - Accent1 2 10 2 4" xfId="19194" xr:uid="{00000000-0005-0000-0000-0000214E0000}"/>
    <cellStyle name="40% - Accent1 2 10 2 5" xfId="24670" xr:uid="{00000000-0005-0000-0000-0000224E0000}"/>
    <cellStyle name="40% - Accent1 2 10 2 6" xfId="36466" xr:uid="{00000000-0005-0000-0000-0000234E0000}"/>
    <cellStyle name="40% - Accent1 2 10 2 7" xfId="41943" xr:uid="{00000000-0005-0000-0000-0000244E0000}"/>
    <cellStyle name="40% - Accent1 2 10 2 8" xfId="47420" xr:uid="{00000000-0005-0000-0000-0000254E0000}"/>
    <cellStyle name="40% - Accent1 2 10 2 9" xfId="52938" xr:uid="{00000000-0005-0000-0000-0000264E0000}"/>
    <cellStyle name="40% - Accent1 2 10 3" xfId="4534" xr:uid="{00000000-0005-0000-0000-0000274E0000}"/>
    <cellStyle name="40% - Accent1 2 10 3 2" xfId="10014" xr:uid="{00000000-0005-0000-0000-0000284E0000}"/>
    <cellStyle name="40% - Accent1 2 10 3 3" xfId="15490" xr:uid="{00000000-0005-0000-0000-0000294E0000}"/>
    <cellStyle name="40% - Accent1 2 10 3 4" xfId="20966" xr:uid="{00000000-0005-0000-0000-00002A4E0000}"/>
    <cellStyle name="40% - Accent1 2 10 3 5" xfId="26442" xr:uid="{00000000-0005-0000-0000-00002B4E0000}"/>
    <cellStyle name="40% - Accent1 2 10 3 6" xfId="38238" xr:uid="{00000000-0005-0000-0000-00002C4E0000}"/>
    <cellStyle name="40% - Accent1 2 10 3 7" xfId="43715" xr:uid="{00000000-0005-0000-0000-00002D4E0000}"/>
    <cellStyle name="40% - Accent1 2 10 3 8" xfId="49192" xr:uid="{00000000-0005-0000-0000-00002E4E0000}"/>
    <cellStyle name="40% - Accent1 2 10 3 9" xfId="54710" xr:uid="{00000000-0005-0000-0000-00002F4E0000}"/>
    <cellStyle name="40% - Accent1 2 10 4" xfId="6225" xr:uid="{00000000-0005-0000-0000-0000304E0000}"/>
    <cellStyle name="40% - Accent1 2 10 5" xfId="11705" xr:uid="{00000000-0005-0000-0000-0000314E0000}"/>
    <cellStyle name="40% - Accent1 2 10 6" xfId="17181" xr:uid="{00000000-0005-0000-0000-0000324E0000}"/>
    <cellStyle name="40% - Accent1 2 10 7" xfId="22657" xr:uid="{00000000-0005-0000-0000-0000334E0000}"/>
    <cellStyle name="40% - Accent1 2 10 8" xfId="34452" xr:uid="{00000000-0005-0000-0000-0000344E0000}"/>
    <cellStyle name="40% - Accent1 2 10 9" xfId="39929" xr:uid="{00000000-0005-0000-0000-0000354E0000}"/>
    <cellStyle name="40% - Accent1 2 11" xfId="1018" xr:uid="{00000000-0005-0000-0000-0000364E0000}"/>
    <cellStyle name="40% - Accent1 2 11 10" xfId="45407" xr:uid="{00000000-0005-0000-0000-0000374E0000}"/>
    <cellStyle name="40% - Accent1 2 11 11" xfId="50885" xr:uid="{00000000-0005-0000-0000-0000384E0000}"/>
    <cellStyle name="40% - Accent1 2 11 2" xfId="2779" xr:uid="{00000000-0005-0000-0000-0000394E0000}"/>
    <cellStyle name="40% - Accent1 2 11 2 2" xfId="8259" xr:uid="{00000000-0005-0000-0000-00003A4E0000}"/>
    <cellStyle name="40% - Accent1 2 11 2 3" xfId="13735" xr:uid="{00000000-0005-0000-0000-00003B4E0000}"/>
    <cellStyle name="40% - Accent1 2 11 2 4" xfId="19211" xr:uid="{00000000-0005-0000-0000-00003C4E0000}"/>
    <cellStyle name="40% - Accent1 2 11 2 5" xfId="24687" xr:uid="{00000000-0005-0000-0000-00003D4E0000}"/>
    <cellStyle name="40% - Accent1 2 11 2 6" xfId="36483" xr:uid="{00000000-0005-0000-0000-00003E4E0000}"/>
    <cellStyle name="40% - Accent1 2 11 2 7" xfId="41960" xr:uid="{00000000-0005-0000-0000-00003F4E0000}"/>
    <cellStyle name="40% - Accent1 2 11 2 8" xfId="47437" xr:uid="{00000000-0005-0000-0000-0000404E0000}"/>
    <cellStyle name="40% - Accent1 2 11 2 9" xfId="52955" xr:uid="{00000000-0005-0000-0000-0000414E0000}"/>
    <cellStyle name="40% - Accent1 2 11 3" xfId="4551" xr:uid="{00000000-0005-0000-0000-0000424E0000}"/>
    <cellStyle name="40% - Accent1 2 11 3 2" xfId="10031" xr:uid="{00000000-0005-0000-0000-0000434E0000}"/>
    <cellStyle name="40% - Accent1 2 11 3 3" xfId="15507" xr:uid="{00000000-0005-0000-0000-0000444E0000}"/>
    <cellStyle name="40% - Accent1 2 11 3 4" xfId="20983" xr:uid="{00000000-0005-0000-0000-0000454E0000}"/>
    <cellStyle name="40% - Accent1 2 11 3 5" xfId="26459" xr:uid="{00000000-0005-0000-0000-0000464E0000}"/>
    <cellStyle name="40% - Accent1 2 11 3 6" xfId="38255" xr:uid="{00000000-0005-0000-0000-0000474E0000}"/>
    <cellStyle name="40% - Accent1 2 11 3 7" xfId="43732" xr:uid="{00000000-0005-0000-0000-0000484E0000}"/>
    <cellStyle name="40% - Accent1 2 11 3 8" xfId="49209" xr:uid="{00000000-0005-0000-0000-0000494E0000}"/>
    <cellStyle name="40% - Accent1 2 11 3 9" xfId="54727" xr:uid="{00000000-0005-0000-0000-00004A4E0000}"/>
    <cellStyle name="40% - Accent1 2 11 4" xfId="6226" xr:uid="{00000000-0005-0000-0000-00004B4E0000}"/>
    <cellStyle name="40% - Accent1 2 11 5" xfId="11706" xr:uid="{00000000-0005-0000-0000-00004C4E0000}"/>
    <cellStyle name="40% - Accent1 2 11 6" xfId="17182" xr:uid="{00000000-0005-0000-0000-00004D4E0000}"/>
    <cellStyle name="40% - Accent1 2 11 7" xfId="22658" xr:uid="{00000000-0005-0000-0000-00004E4E0000}"/>
    <cellStyle name="40% - Accent1 2 11 8" xfId="34453" xr:uid="{00000000-0005-0000-0000-00004F4E0000}"/>
    <cellStyle name="40% - Accent1 2 11 9" xfId="39930" xr:uid="{00000000-0005-0000-0000-0000504E0000}"/>
    <cellStyle name="40% - Accent1 2 12" xfId="1089" xr:uid="{00000000-0005-0000-0000-0000514E0000}"/>
    <cellStyle name="40% - Accent1 2 12 10" xfId="45408" xr:uid="{00000000-0005-0000-0000-0000524E0000}"/>
    <cellStyle name="40% - Accent1 2 12 11" xfId="50886" xr:uid="{00000000-0005-0000-0000-0000534E0000}"/>
    <cellStyle name="40% - Accent1 2 12 2" xfId="2850" xr:uid="{00000000-0005-0000-0000-0000544E0000}"/>
    <cellStyle name="40% - Accent1 2 12 2 2" xfId="8330" xr:uid="{00000000-0005-0000-0000-0000554E0000}"/>
    <cellStyle name="40% - Accent1 2 12 2 3" xfId="13806" xr:uid="{00000000-0005-0000-0000-0000564E0000}"/>
    <cellStyle name="40% - Accent1 2 12 2 4" xfId="19282" xr:uid="{00000000-0005-0000-0000-0000574E0000}"/>
    <cellStyle name="40% - Accent1 2 12 2 5" xfId="24758" xr:uid="{00000000-0005-0000-0000-0000584E0000}"/>
    <cellStyle name="40% - Accent1 2 12 2 6" xfId="36554" xr:uid="{00000000-0005-0000-0000-0000594E0000}"/>
    <cellStyle name="40% - Accent1 2 12 2 7" xfId="42031" xr:uid="{00000000-0005-0000-0000-00005A4E0000}"/>
    <cellStyle name="40% - Accent1 2 12 2 8" xfId="47508" xr:uid="{00000000-0005-0000-0000-00005B4E0000}"/>
    <cellStyle name="40% - Accent1 2 12 2 9" xfId="53026" xr:uid="{00000000-0005-0000-0000-00005C4E0000}"/>
    <cellStyle name="40% - Accent1 2 12 3" xfId="4622" xr:uid="{00000000-0005-0000-0000-00005D4E0000}"/>
    <cellStyle name="40% - Accent1 2 12 3 2" xfId="10102" xr:uid="{00000000-0005-0000-0000-00005E4E0000}"/>
    <cellStyle name="40% - Accent1 2 12 3 3" xfId="15578" xr:uid="{00000000-0005-0000-0000-00005F4E0000}"/>
    <cellStyle name="40% - Accent1 2 12 3 4" xfId="21054" xr:uid="{00000000-0005-0000-0000-0000604E0000}"/>
    <cellStyle name="40% - Accent1 2 12 3 5" xfId="26530" xr:uid="{00000000-0005-0000-0000-0000614E0000}"/>
    <cellStyle name="40% - Accent1 2 12 3 6" xfId="38326" xr:uid="{00000000-0005-0000-0000-0000624E0000}"/>
    <cellStyle name="40% - Accent1 2 12 3 7" xfId="43803" xr:uid="{00000000-0005-0000-0000-0000634E0000}"/>
    <cellStyle name="40% - Accent1 2 12 3 8" xfId="49280" xr:uid="{00000000-0005-0000-0000-0000644E0000}"/>
    <cellStyle name="40% - Accent1 2 12 3 9" xfId="54798" xr:uid="{00000000-0005-0000-0000-0000654E0000}"/>
    <cellStyle name="40% - Accent1 2 12 4" xfId="6227" xr:uid="{00000000-0005-0000-0000-0000664E0000}"/>
    <cellStyle name="40% - Accent1 2 12 5" xfId="11707" xr:uid="{00000000-0005-0000-0000-0000674E0000}"/>
    <cellStyle name="40% - Accent1 2 12 6" xfId="17183" xr:uid="{00000000-0005-0000-0000-0000684E0000}"/>
    <cellStyle name="40% - Accent1 2 12 7" xfId="22659" xr:uid="{00000000-0005-0000-0000-0000694E0000}"/>
    <cellStyle name="40% - Accent1 2 12 8" xfId="34454" xr:uid="{00000000-0005-0000-0000-00006A4E0000}"/>
    <cellStyle name="40% - Accent1 2 12 9" xfId="39931" xr:uid="{00000000-0005-0000-0000-00006B4E0000}"/>
    <cellStyle name="40% - Accent1 2 13" xfId="1261" xr:uid="{00000000-0005-0000-0000-00006C4E0000}"/>
    <cellStyle name="40% - Accent1 2 13 10" xfId="45409" xr:uid="{00000000-0005-0000-0000-00006D4E0000}"/>
    <cellStyle name="40% - Accent1 2 13 11" xfId="50887" xr:uid="{00000000-0005-0000-0000-00006E4E0000}"/>
    <cellStyle name="40% - Accent1 2 13 2" xfId="3022" xr:uid="{00000000-0005-0000-0000-00006F4E0000}"/>
    <cellStyle name="40% - Accent1 2 13 2 2" xfId="8502" xr:uid="{00000000-0005-0000-0000-0000704E0000}"/>
    <cellStyle name="40% - Accent1 2 13 2 3" xfId="13978" xr:uid="{00000000-0005-0000-0000-0000714E0000}"/>
    <cellStyle name="40% - Accent1 2 13 2 4" xfId="19454" xr:uid="{00000000-0005-0000-0000-0000724E0000}"/>
    <cellStyle name="40% - Accent1 2 13 2 5" xfId="24930" xr:uid="{00000000-0005-0000-0000-0000734E0000}"/>
    <cellStyle name="40% - Accent1 2 13 2 6" xfId="36726" xr:uid="{00000000-0005-0000-0000-0000744E0000}"/>
    <cellStyle name="40% - Accent1 2 13 2 7" xfId="42203" xr:uid="{00000000-0005-0000-0000-0000754E0000}"/>
    <cellStyle name="40% - Accent1 2 13 2 8" xfId="47680" xr:uid="{00000000-0005-0000-0000-0000764E0000}"/>
    <cellStyle name="40% - Accent1 2 13 2 9" xfId="53198" xr:uid="{00000000-0005-0000-0000-0000774E0000}"/>
    <cellStyle name="40% - Accent1 2 13 3" xfId="4794" xr:uid="{00000000-0005-0000-0000-0000784E0000}"/>
    <cellStyle name="40% - Accent1 2 13 3 2" xfId="10274" xr:uid="{00000000-0005-0000-0000-0000794E0000}"/>
    <cellStyle name="40% - Accent1 2 13 3 3" xfId="15750" xr:uid="{00000000-0005-0000-0000-00007A4E0000}"/>
    <cellStyle name="40% - Accent1 2 13 3 4" xfId="21226" xr:uid="{00000000-0005-0000-0000-00007B4E0000}"/>
    <cellStyle name="40% - Accent1 2 13 3 5" xfId="26702" xr:uid="{00000000-0005-0000-0000-00007C4E0000}"/>
    <cellStyle name="40% - Accent1 2 13 3 6" xfId="38498" xr:uid="{00000000-0005-0000-0000-00007D4E0000}"/>
    <cellStyle name="40% - Accent1 2 13 3 7" xfId="43975" xr:uid="{00000000-0005-0000-0000-00007E4E0000}"/>
    <cellStyle name="40% - Accent1 2 13 3 8" xfId="49452" xr:uid="{00000000-0005-0000-0000-00007F4E0000}"/>
    <cellStyle name="40% - Accent1 2 13 3 9" xfId="54970" xr:uid="{00000000-0005-0000-0000-0000804E0000}"/>
    <cellStyle name="40% - Accent1 2 13 4" xfId="6228" xr:uid="{00000000-0005-0000-0000-0000814E0000}"/>
    <cellStyle name="40% - Accent1 2 13 5" xfId="11708" xr:uid="{00000000-0005-0000-0000-0000824E0000}"/>
    <cellStyle name="40% - Accent1 2 13 6" xfId="17184" xr:uid="{00000000-0005-0000-0000-0000834E0000}"/>
    <cellStyle name="40% - Accent1 2 13 7" xfId="22660" xr:uid="{00000000-0005-0000-0000-0000844E0000}"/>
    <cellStyle name="40% - Accent1 2 13 8" xfId="34455" xr:uid="{00000000-0005-0000-0000-0000854E0000}"/>
    <cellStyle name="40% - Accent1 2 13 9" xfId="39932" xr:uid="{00000000-0005-0000-0000-0000864E0000}"/>
    <cellStyle name="40% - Accent1 2 14" xfId="1433" xr:uid="{00000000-0005-0000-0000-0000874E0000}"/>
    <cellStyle name="40% - Accent1 2 14 10" xfId="45410" xr:uid="{00000000-0005-0000-0000-0000884E0000}"/>
    <cellStyle name="40% - Accent1 2 14 11" xfId="50888" xr:uid="{00000000-0005-0000-0000-0000894E0000}"/>
    <cellStyle name="40% - Accent1 2 14 2" xfId="3194" xr:uid="{00000000-0005-0000-0000-00008A4E0000}"/>
    <cellStyle name="40% - Accent1 2 14 2 2" xfId="8674" xr:uid="{00000000-0005-0000-0000-00008B4E0000}"/>
    <cellStyle name="40% - Accent1 2 14 2 3" xfId="14150" xr:uid="{00000000-0005-0000-0000-00008C4E0000}"/>
    <cellStyle name="40% - Accent1 2 14 2 4" xfId="19626" xr:uid="{00000000-0005-0000-0000-00008D4E0000}"/>
    <cellStyle name="40% - Accent1 2 14 2 5" xfId="25102" xr:uid="{00000000-0005-0000-0000-00008E4E0000}"/>
    <cellStyle name="40% - Accent1 2 14 2 6" xfId="36898" xr:uid="{00000000-0005-0000-0000-00008F4E0000}"/>
    <cellStyle name="40% - Accent1 2 14 2 7" xfId="42375" xr:uid="{00000000-0005-0000-0000-0000904E0000}"/>
    <cellStyle name="40% - Accent1 2 14 2 8" xfId="47852" xr:uid="{00000000-0005-0000-0000-0000914E0000}"/>
    <cellStyle name="40% - Accent1 2 14 2 9" xfId="53370" xr:uid="{00000000-0005-0000-0000-0000924E0000}"/>
    <cellStyle name="40% - Accent1 2 14 3" xfId="4966" xr:uid="{00000000-0005-0000-0000-0000934E0000}"/>
    <cellStyle name="40% - Accent1 2 14 3 2" xfId="10446" xr:uid="{00000000-0005-0000-0000-0000944E0000}"/>
    <cellStyle name="40% - Accent1 2 14 3 3" xfId="15922" xr:uid="{00000000-0005-0000-0000-0000954E0000}"/>
    <cellStyle name="40% - Accent1 2 14 3 4" xfId="21398" xr:uid="{00000000-0005-0000-0000-0000964E0000}"/>
    <cellStyle name="40% - Accent1 2 14 3 5" xfId="26874" xr:uid="{00000000-0005-0000-0000-0000974E0000}"/>
    <cellStyle name="40% - Accent1 2 14 3 6" xfId="38670" xr:uid="{00000000-0005-0000-0000-0000984E0000}"/>
    <cellStyle name="40% - Accent1 2 14 3 7" xfId="44147" xr:uid="{00000000-0005-0000-0000-0000994E0000}"/>
    <cellStyle name="40% - Accent1 2 14 3 8" xfId="49624" xr:uid="{00000000-0005-0000-0000-00009A4E0000}"/>
    <cellStyle name="40% - Accent1 2 14 3 9" xfId="55142" xr:uid="{00000000-0005-0000-0000-00009B4E0000}"/>
    <cellStyle name="40% - Accent1 2 14 4" xfId="6229" xr:uid="{00000000-0005-0000-0000-00009C4E0000}"/>
    <cellStyle name="40% - Accent1 2 14 5" xfId="11709" xr:uid="{00000000-0005-0000-0000-00009D4E0000}"/>
    <cellStyle name="40% - Accent1 2 14 6" xfId="17185" xr:uid="{00000000-0005-0000-0000-00009E4E0000}"/>
    <cellStyle name="40% - Accent1 2 14 7" xfId="22661" xr:uid="{00000000-0005-0000-0000-00009F4E0000}"/>
    <cellStyle name="40% - Accent1 2 14 8" xfId="34456" xr:uid="{00000000-0005-0000-0000-0000A04E0000}"/>
    <cellStyle name="40% - Accent1 2 14 9" xfId="39933" xr:uid="{00000000-0005-0000-0000-0000A14E0000}"/>
    <cellStyle name="40% - Accent1 2 15" xfId="1605" xr:uid="{00000000-0005-0000-0000-0000A24E0000}"/>
    <cellStyle name="40% - Accent1 2 15 10" xfId="45411" xr:uid="{00000000-0005-0000-0000-0000A34E0000}"/>
    <cellStyle name="40% - Accent1 2 15 11" xfId="50889" xr:uid="{00000000-0005-0000-0000-0000A44E0000}"/>
    <cellStyle name="40% - Accent1 2 15 2" xfId="3366" xr:uid="{00000000-0005-0000-0000-0000A54E0000}"/>
    <cellStyle name="40% - Accent1 2 15 2 2" xfId="8846" xr:uid="{00000000-0005-0000-0000-0000A64E0000}"/>
    <cellStyle name="40% - Accent1 2 15 2 3" xfId="14322" xr:uid="{00000000-0005-0000-0000-0000A74E0000}"/>
    <cellStyle name="40% - Accent1 2 15 2 4" xfId="19798" xr:uid="{00000000-0005-0000-0000-0000A84E0000}"/>
    <cellStyle name="40% - Accent1 2 15 2 5" xfId="25274" xr:uid="{00000000-0005-0000-0000-0000A94E0000}"/>
    <cellStyle name="40% - Accent1 2 15 2 6" xfId="37070" xr:uid="{00000000-0005-0000-0000-0000AA4E0000}"/>
    <cellStyle name="40% - Accent1 2 15 2 7" xfId="42547" xr:uid="{00000000-0005-0000-0000-0000AB4E0000}"/>
    <cellStyle name="40% - Accent1 2 15 2 8" xfId="48024" xr:uid="{00000000-0005-0000-0000-0000AC4E0000}"/>
    <cellStyle name="40% - Accent1 2 15 2 9" xfId="53542" xr:uid="{00000000-0005-0000-0000-0000AD4E0000}"/>
    <cellStyle name="40% - Accent1 2 15 3" xfId="5138" xr:uid="{00000000-0005-0000-0000-0000AE4E0000}"/>
    <cellStyle name="40% - Accent1 2 15 3 2" xfId="10618" xr:uid="{00000000-0005-0000-0000-0000AF4E0000}"/>
    <cellStyle name="40% - Accent1 2 15 3 3" xfId="16094" xr:uid="{00000000-0005-0000-0000-0000B04E0000}"/>
    <cellStyle name="40% - Accent1 2 15 3 4" xfId="21570" xr:uid="{00000000-0005-0000-0000-0000B14E0000}"/>
    <cellStyle name="40% - Accent1 2 15 3 5" xfId="27046" xr:uid="{00000000-0005-0000-0000-0000B24E0000}"/>
    <cellStyle name="40% - Accent1 2 15 3 6" xfId="38842" xr:uid="{00000000-0005-0000-0000-0000B34E0000}"/>
    <cellStyle name="40% - Accent1 2 15 3 7" xfId="44319" xr:uid="{00000000-0005-0000-0000-0000B44E0000}"/>
    <cellStyle name="40% - Accent1 2 15 3 8" xfId="49796" xr:uid="{00000000-0005-0000-0000-0000B54E0000}"/>
    <cellStyle name="40% - Accent1 2 15 3 9" xfId="55314" xr:uid="{00000000-0005-0000-0000-0000B64E0000}"/>
    <cellStyle name="40% - Accent1 2 15 4" xfId="6230" xr:uid="{00000000-0005-0000-0000-0000B74E0000}"/>
    <cellStyle name="40% - Accent1 2 15 5" xfId="11710" xr:uid="{00000000-0005-0000-0000-0000B84E0000}"/>
    <cellStyle name="40% - Accent1 2 15 6" xfId="17186" xr:uid="{00000000-0005-0000-0000-0000B94E0000}"/>
    <cellStyle name="40% - Accent1 2 15 7" xfId="22662" xr:uid="{00000000-0005-0000-0000-0000BA4E0000}"/>
    <cellStyle name="40% - Accent1 2 15 8" xfId="34457" xr:uid="{00000000-0005-0000-0000-0000BB4E0000}"/>
    <cellStyle name="40% - Accent1 2 15 9" xfId="39934" xr:uid="{00000000-0005-0000-0000-0000BC4E0000}"/>
    <cellStyle name="40% - Accent1 2 16" xfId="1723" xr:uid="{00000000-0005-0000-0000-0000BD4E0000}"/>
    <cellStyle name="40% - Accent1 2 16 10" xfId="45412" xr:uid="{00000000-0005-0000-0000-0000BE4E0000}"/>
    <cellStyle name="40% - Accent1 2 16 11" xfId="50890" xr:uid="{00000000-0005-0000-0000-0000BF4E0000}"/>
    <cellStyle name="40% - Accent1 2 16 2" xfId="3484" xr:uid="{00000000-0005-0000-0000-0000C04E0000}"/>
    <cellStyle name="40% - Accent1 2 16 2 2" xfId="8964" xr:uid="{00000000-0005-0000-0000-0000C14E0000}"/>
    <cellStyle name="40% - Accent1 2 16 2 3" xfId="14440" xr:uid="{00000000-0005-0000-0000-0000C24E0000}"/>
    <cellStyle name="40% - Accent1 2 16 2 4" xfId="19916" xr:uid="{00000000-0005-0000-0000-0000C34E0000}"/>
    <cellStyle name="40% - Accent1 2 16 2 5" xfId="25392" xr:uid="{00000000-0005-0000-0000-0000C44E0000}"/>
    <cellStyle name="40% - Accent1 2 16 2 6" xfId="37188" xr:uid="{00000000-0005-0000-0000-0000C54E0000}"/>
    <cellStyle name="40% - Accent1 2 16 2 7" xfId="42665" xr:uid="{00000000-0005-0000-0000-0000C64E0000}"/>
    <cellStyle name="40% - Accent1 2 16 2 8" xfId="48142" xr:uid="{00000000-0005-0000-0000-0000C74E0000}"/>
    <cellStyle name="40% - Accent1 2 16 2 9" xfId="53660" xr:uid="{00000000-0005-0000-0000-0000C84E0000}"/>
    <cellStyle name="40% - Accent1 2 16 3" xfId="5256" xr:uid="{00000000-0005-0000-0000-0000C94E0000}"/>
    <cellStyle name="40% - Accent1 2 16 3 2" xfId="10736" xr:uid="{00000000-0005-0000-0000-0000CA4E0000}"/>
    <cellStyle name="40% - Accent1 2 16 3 3" xfId="16212" xr:uid="{00000000-0005-0000-0000-0000CB4E0000}"/>
    <cellStyle name="40% - Accent1 2 16 3 4" xfId="21688" xr:uid="{00000000-0005-0000-0000-0000CC4E0000}"/>
    <cellStyle name="40% - Accent1 2 16 3 5" xfId="27164" xr:uid="{00000000-0005-0000-0000-0000CD4E0000}"/>
    <cellStyle name="40% - Accent1 2 16 3 6" xfId="38960" xr:uid="{00000000-0005-0000-0000-0000CE4E0000}"/>
    <cellStyle name="40% - Accent1 2 16 3 7" xfId="44437" xr:uid="{00000000-0005-0000-0000-0000CF4E0000}"/>
    <cellStyle name="40% - Accent1 2 16 3 8" xfId="49914" xr:uid="{00000000-0005-0000-0000-0000D04E0000}"/>
    <cellStyle name="40% - Accent1 2 16 3 9" xfId="55432" xr:uid="{00000000-0005-0000-0000-0000D14E0000}"/>
    <cellStyle name="40% - Accent1 2 16 4" xfId="6231" xr:uid="{00000000-0005-0000-0000-0000D24E0000}"/>
    <cellStyle name="40% - Accent1 2 16 5" xfId="11711" xr:uid="{00000000-0005-0000-0000-0000D34E0000}"/>
    <cellStyle name="40% - Accent1 2 16 6" xfId="17187" xr:uid="{00000000-0005-0000-0000-0000D44E0000}"/>
    <cellStyle name="40% - Accent1 2 16 7" xfId="22663" xr:uid="{00000000-0005-0000-0000-0000D54E0000}"/>
    <cellStyle name="40% - Accent1 2 16 8" xfId="34458" xr:uid="{00000000-0005-0000-0000-0000D64E0000}"/>
    <cellStyle name="40% - Accent1 2 16 9" xfId="39935" xr:uid="{00000000-0005-0000-0000-0000D74E0000}"/>
    <cellStyle name="40% - Accent1 2 17" xfId="1741" xr:uid="{00000000-0005-0000-0000-0000D84E0000}"/>
    <cellStyle name="40% - Accent1 2 17 10" xfId="45413" xr:uid="{00000000-0005-0000-0000-0000D94E0000}"/>
    <cellStyle name="40% - Accent1 2 17 11" xfId="50891" xr:uid="{00000000-0005-0000-0000-0000DA4E0000}"/>
    <cellStyle name="40% - Accent1 2 17 2" xfId="3502" xr:uid="{00000000-0005-0000-0000-0000DB4E0000}"/>
    <cellStyle name="40% - Accent1 2 17 2 2" xfId="8982" xr:uid="{00000000-0005-0000-0000-0000DC4E0000}"/>
    <cellStyle name="40% - Accent1 2 17 2 3" xfId="14458" xr:uid="{00000000-0005-0000-0000-0000DD4E0000}"/>
    <cellStyle name="40% - Accent1 2 17 2 4" xfId="19934" xr:uid="{00000000-0005-0000-0000-0000DE4E0000}"/>
    <cellStyle name="40% - Accent1 2 17 2 5" xfId="25410" xr:uid="{00000000-0005-0000-0000-0000DF4E0000}"/>
    <cellStyle name="40% - Accent1 2 17 2 6" xfId="37206" xr:uid="{00000000-0005-0000-0000-0000E04E0000}"/>
    <cellStyle name="40% - Accent1 2 17 2 7" xfId="42683" xr:uid="{00000000-0005-0000-0000-0000E14E0000}"/>
    <cellStyle name="40% - Accent1 2 17 2 8" xfId="48160" xr:uid="{00000000-0005-0000-0000-0000E24E0000}"/>
    <cellStyle name="40% - Accent1 2 17 2 9" xfId="53678" xr:uid="{00000000-0005-0000-0000-0000E34E0000}"/>
    <cellStyle name="40% - Accent1 2 17 3" xfId="5274" xr:uid="{00000000-0005-0000-0000-0000E44E0000}"/>
    <cellStyle name="40% - Accent1 2 17 3 2" xfId="10754" xr:uid="{00000000-0005-0000-0000-0000E54E0000}"/>
    <cellStyle name="40% - Accent1 2 17 3 3" xfId="16230" xr:uid="{00000000-0005-0000-0000-0000E64E0000}"/>
    <cellStyle name="40% - Accent1 2 17 3 4" xfId="21706" xr:uid="{00000000-0005-0000-0000-0000E74E0000}"/>
    <cellStyle name="40% - Accent1 2 17 3 5" xfId="27182" xr:uid="{00000000-0005-0000-0000-0000E84E0000}"/>
    <cellStyle name="40% - Accent1 2 17 3 6" xfId="38978" xr:uid="{00000000-0005-0000-0000-0000E94E0000}"/>
    <cellStyle name="40% - Accent1 2 17 3 7" xfId="44455" xr:uid="{00000000-0005-0000-0000-0000EA4E0000}"/>
    <cellStyle name="40% - Accent1 2 17 3 8" xfId="49932" xr:uid="{00000000-0005-0000-0000-0000EB4E0000}"/>
    <cellStyle name="40% - Accent1 2 17 3 9" xfId="55450" xr:uid="{00000000-0005-0000-0000-0000EC4E0000}"/>
    <cellStyle name="40% - Accent1 2 17 4" xfId="6232" xr:uid="{00000000-0005-0000-0000-0000ED4E0000}"/>
    <cellStyle name="40% - Accent1 2 17 5" xfId="11712" xr:uid="{00000000-0005-0000-0000-0000EE4E0000}"/>
    <cellStyle name="40% - Accent1 2 17 6" xfId="17188" xr:uid="{00000000-0005-0000-0000-0000EF4E0000}"/>
    <cellStyle name="40% - Accent1 2 17 7" xfId="22664" xr:uid="{00000000-0005-0000-0000-0000F04E0000}"/>
    <cellStyle name="40% - Accent1 2 17 8" xfId="34459" xr:uid="{00000000-0005-0000-0000-0000F14E0000}"/>
    <cellStyle name="40% - Accent1 2 17 9" xfId="39936" xr:uid="{00000000-0005-0000-0000-0000F24E0000}"/>
    <cellStyle name="40% - Accent1 2 18" xfId="1967" xr:uid="{00000000-0005-0000-0000-0000F34E0000}"/>
    <cellStyle name="40% - Accent1 2 18 10" xfId="52144" xr:uid="{00000000-0005-0000-0000-0000F44E0000}"/>
    <cellStyle name="40% - Accent1 2 18 2" xfId="5499" xr:uid="{00000000-0005-0000-0000-0000F54E0000}"/>
    <cellStyle name="40% - Accent1 2 18 2 2" xfId="10979" xr:uid="{00000000-0005-0000-0000-0000F64E0000}"/>
    <cellStyle name="40% - Accent1 2 18 2 3" xfId="16455" xr:uid="{00000000-0005-0000-0000-0000F74E0000}"/>
    <cellStyle name="40% - Accent1 2 18 2 4" xfId="21931" xr:uid="{00000000-0005-0000-0000-0000F84E0000}"/>
    <cellStyle name="40% - Accent1 2 18 2 5" xfId="27407" xr:uid="{00000000-0005-0000-0000-0000F94E0000}"/>
    <cellStyle name="40% - Accent1 2 18 2 6" xfId="39203" xr:uid="{00000000-0005-0000-0000-0000FA4E0000}"/>
    <cellStyle name="40% - Accent1 2 18 2 7" xfId="44680" xr:uid="{00000000-0005-0000-0000-0000FB4E0000}"/>
    <cellStyle name="40% - Accent1 2 18 2 8" xfId="50157" xr:uid="{00000000-0005-0000-0000-0000FC4E0000}"/>
    <cellStyle name="40% - Accent1 2 18 2 9" xfId="55675" xr:uid="{00000000-0005-0000-0000-0000FD4E0000}"/>
    <cellStyle name="40% - Accent1 2 18 3" xfId="7448" xr:uid="{00000000-0005-0000-0000-0000FE4E0000}"/>
    <cellStyle name="40% - Accent1 2 18 4" xfId="12924" xr:uid="{00000000-0005-0000-0000-0000FF4E0000}"/>
    <cellStyle name="40% - Accent1 2 18 5" xfId="18400" xr:uid="{00000000-0005-0000-0000-0000004F0000}"/>
    <cellStyle name="40% - Accent1 2 18 6" xfId="23876" xr:uid="{00000000-0005-0000-0000-0000014F0000}"/>
    <cellStyle name="40% - Accent1 2 18 7" xfId="35672" xr:uid="{00000000-0005-0000-0000-0000024F0000}"/>
    <cellStyle name="40% - Accent1 2 18 8" xfId="41149" xr:uid="{00000000-0005-0000-0000-0000034F0000}"/>
    <cellStyle name="40% - Accent1 2 18 9" xfId="46626" xr:uid="{00000000-0005-0000-0000-0000044F0000}"/>
    <cellStyle name="40% - Accent1 2 19" xfId="3691" xr:uid="{00000000-0005-0000-0000-0000054F0000}"/>
    <cellStyle name="40% - Accent1 2 19 2" xfId="9171" xr:uid="{00000000-0005-0000-0000-0000064F0000}"/>
    <cellStyle name="40% - Accent1 2 19 3" xfId="14647" xr:uid="{00000000-0005-0000-0000-0000074F0000}"/>
    <cellStyle name="40% - Accent1 2 19 4" xfId="20123" xr:uid="{00000000-0005-0000-0000-0000084F0000}"/>
    <cellStyle name="40% - Accent1 2 19 5" xfId="25599" xr:uid="{00000000-0005-0000-0000-0000094F0000}"/>
    <cellStyle name="40% - Accent1 2 19 6" xfId="37395" xr:uid="{00000000-0005-0000-0000-00000A4F0000}"/>
    <cellStyle name="40% - Accent1 2 19 7" xfId="42872" xr:uid="{00000000-0005-0000-0000-00000B4F0000}"/>
    <cellStyle name="40% - Accent1 2 19 8" xfId="48349" xr:uid="{00000000-0005-0000-0000-00000C4F0000}"/>
    <cellStyle name="40% - Accent1 2 19 9" xfId="53867" xr:uid="{00000000-0005-0000-0000-00000D4F0000}"/>
    <cellStyle name="40% - Accent1 2 2" xfId="136" xr:uid="{00000000-0005-0000-0000-00000E4F0000}"/>
    <cellStyle name="40% - Accent1 2 2 10" xfId="1606" xr:uid="{00000000-0005-0000-0000-00000F4F0000}"/>
    <cellStyle name="40% - Accent1 2 2 10 10" xfId="45415" xr:uid="{00000000-0005-0000-0000-0000104F0000}"/>
    <cellStyle name="40% - Accent1 2 2 10 11" xfId="50893" xr:uid="{00000000-0005-0000-0000-0000114F0000}"/>
    <cellStyle name="40% - Accent1 2 2 10 2" xfId="3367" xr:uid="{00000000-0005-0000-0000-0000124F0000}"/>
    <cellStyle name="40% - Accent1 2 2 10 2 2" xfId="8847" xr:uid="{00000000-0005-0000-0000-0000134F0000}"/>
    <cellStyle name="40% - Accent1 2 2 10 2 3" xfId="14323" xr:uid="{00000000-0005-0000-0000-0000144F0000}"/>
    <cellStyle name="40% - Accent1 2 2 10 2 4" xfId="19799" xr:uid="{00000000-0005-0000-0000-0000154F0000}"/>
    <cellStyle name="40% - Accent1 2 2 10 2 5" xfId="25275" xr:uid="{00000000-0005-0000-0000-0000164F0000}"/>
    <cellStyle name="40% - Accent1 2 2 10 2 6" xfId="37071" xr:uid="{00000000-0005-0000-0000-0000174F0000}"/>
    <cellStyle name="40% - Accent1 2 2 10 2 7" xfId="42548" xr:uid="{00000000-0005-0000-0000-0000184F0000}"/>
    <cellStyle name="40% - Accent1 2 2 10 2 8" xfId="48025" xr:uid="{00000000-0005-0000-0000-0000194F0000}"/>
    <cellStyle name="40% - Accent1 2 2 10 2 9" xfId="53543" xr:uid="{00000000-0005-0000-0000-00001A4F0000}"/>
    <cellStyle name="40% - Accent1 2 2 10 3" xfId="5139" xr:uid="{00000000-0005-0000-0000-00001B4F0000}"/>
    <cellStyle name="40% - Accent1 2 2 10 3 2" xfId="10619" xr:uid="{00000000-0005-0000-0000-00001C4F0000}"/>
    <cellStyle name="40% - Accent1 2 2 10 3 3" xfId="16095" xr:uid="{00000000-0005-0000-0000-00001D4F0000}"/>
    <cellStyle name="40% - Accent1 2 2 10 3 4" xfId="21571" xr:uid="{00000000-0005-0000-0000-00001E4F0000}"/>
    <cellStyle name="40% - Accent1 2 2 10 3 5" xfId="27047" xr:uid="{00000000-0005-0000-0000-00001F4F0000}"/>
    <cellStyle name="40% - Accent1 2 2 10 3 6" xfId="38843" xr:uid="{00000000-0005-0000-0000-0000204F0000}"/>
    <cellStyle name="40% - Accent1 2 2 10 3 7" xfId="44320" xr:uid="{00000000-0005-0000-0000-0000214F0000}"/>
    <cellStyle name="40% - Accent1 2 2 10 3 8" xfId="49797" xr:uid="{00000000-0005-0000-0000-0000224F0000}"/>
    <cellStyle name="40% - Accent1 2 2 10 3 9" xfId="55315" xr:uid="{00000000-0005-0000-0000-0000234F0000}"/>
    <cellStyle name="40% - Accent1 2 2 10 4" xfId="6234" xr:uid="{00000000-0005-0000-0000-0000244F0000}"/>
    <cellStyle name="40% - Accent1 2 2 10 5" xfId="11714" xr:uid="{00000000-0005-0000-0000-0000254F0000}"/>
    <cellStyle name="40% - Accent1 2 2 10 6" xfId="17190" xr:uid="{00000000-0005-0000-0000-0000264F0000}"/>
    <cellStyle name="40% - Accent1 2 2 10 7" xfId="22666" xr:uid="{00000000-0005-0000-0000-0000274F0000}"/>
    <cellStyle name="40% - Accent1 2 2 10 8" xfId="34461" xr:uid="{00000000-0005-0000-0000-0000284F0000}"/>
    <cellStyle name="40% - Accent1 2 2 10 9" xfId="39938" xr:uid="{00000000-0005-0000-0000-0000294F0000}"/>
    <cellStyle name="40% - Accent1 2 2 11" xfId="1752" xr:uid="{00000000-0005-0000-0000-00002A4F0000}"/>
    <cellStyle name="40% - Accent1 2 2 11 10" xfId="45416" xr:uid="{00000000-0005-0000-0000-00002B4F0000}"/>
    <cellStyle name="40% - Accent1 2 2 11 11" xfId="50894" xr:uid="{00000000-0005-0000-0000-00002C4F0000}"/>
    <cellStyle name="40% - Accent1 2 2 11 2" xfId="3513" xr:uid="{00000000-0005-0000-0000-00002D4F0000}"/>
    <cellStyle name="40% - Accent1 2 2 11 2 2" xfId="8993" xr:uid="{00000000-0005-0000-0000-00002E4F0000}"/>
    <cellStyle name="40% - Accent1 2 2 11 2 3" xfId="14469" xr:uid="{00000000-0005-0000-0000-00002F4F0000}"/>
    <cellStyle name="40% - Accent1 2 2 11 2 4" xfId="19945" xr:uid="{00000000-0005-0000-0000-0000304F0000}"/>
    <cellStyle name="40% - Accent1 2 2 11 2 5" xfId="25421" xr:uid="{00000000-0005-0000-0000-0000314F0000}"/>
    <cellStyle name="40% - Accent1 2 2 11 2 6" xfId="37217" xr:uid="{00000000-0005-0000-0000-0000324F0000}"/>
    <cellStyle name="40% - Accent1 2 2 11 2 7" xfId="42694" xr:uid="{00000000-0005-0000-0000-0000334F0000}"/>
    <cellStyle name="40% - Accent1 2 2 11 2 8" xfId="48171" xr:uid="{00000000-0005-0000-0000-0000344F0000}"/>
    <cellStyle name="40% - Accent1 2 2 11 2 9" xfId="53689" xr:uid="{00000000-0005-0000-0000-0000354F0000}"/>
    <cellStyle name="40% - Accent1 2 2 11 3" xfId="5285" xr:uid="{00000000-0005-0000-0000-0000364F0000}"/>
    <cellStyle name="40% - Accent1 2 2 11 3 2" xfId="10765" xr:uid="{00000000-0005-0000-0000-0000374F0000}"/>
    <cellStyle name="40% - Accent1 2 2 11 3 3" xfId="16241" xr:uid="{00000000-0005-0000-0000-0000384F0000}"/>
    <cellStyle name="40% - Accent1 2 2 11 3 4" xfId="21717" xr:uid="{00000000-0005-0000-0000-0000394F0000}"/>
    <cellStyle name="40% - Accent1 2 2 11 3 5" xfId="27193" xr:uid="{00000000-0005-0000-0000-00003A4F0000}"/>
    <cellStyle name="40% - Accent1 2 2 11 3 6" xfId="38989" xr:uid="{00000000-0005-0000-0000-00003B4F0000}"/>
    <cellStyle name="40% - Accent1 2 2 11 3 7" xfId="44466" xr:uid="{00000000-0005-0000-0000-00003C4F0000}"/>
    <cellStyle name="40% - Accent1 2 2 11 3 8" xfId="49943" xr:uid="{00000000-0005-0000-0000-00003D4F0000}"/>
    <cellStyle name="40% - Accent1 2 2 11 3 9" xfId="55461" xr:uid="{00000000-0005-0000-0000-00003E4F0000}"/>
    <cellStyle name="40% - Accent1 2 2 11 4" xfId="6235" xr:uid="{00000000-0005-0000-0000-00003F4F0000}"/>
    <cellStyle name="40% - Accent1 2 2 11 5" xfId="11715" xr:uid="{00000000-0005-0000-0000-0000404F0000}"/>
    <cellStyle name="40% - Accent1 2 2 11 6" xfId="17191" xr:uid="{00000000-0005-0000-0000-0000414F0000}"/>
    <cellStyle name="40% - Accent1 2 2 11 7" xfId="22667" xr:uid="{00000000-0005-0000-0000-0000424F0000}"/>
    <cellStyle name="40% - Accent1 2 2 11 8" xfId="34462" xr:uid="{00000000-0005-0000-0000-0000434F0000}"/>
    <cellStyle name="40% - Accent1 2 2 11 9" xfId="39939" xr:uid="{00000000-0005-0000-0000-0000444F0000}"/>
    <cellStyle name="40% - Accent1 2 2 12" xfId="1968" xr:uid="{00000000-0005-0000-0000-0000454F0000}"/>
    <cellStyle name="40% - Accent1 2 2 12 10" xfId="52145" xr:uid="{00000000-0005-0000-0000-0000464F0000}"/>
    <cellStyle name="40% - Accent1 2 2 12 2" xfId="5500" xr:uid="{00000000-0005-0000-0000-0000474F0000}"/>
    <cellStyle name="40% - Accent1 2 2 12 2 2" xfId="10980" xr:uid="{00000000-0005-0000-0000-0000484F0000}"/>
    <cellStyle name="40% - Accent1 2 2 12 2 3" xfId="16456" xr:uid="{00000000-0005-0000-0000-0000494F0000}"/>
    <cellStyle name="40% - Accent1 2 2 12 2 4" xfId="21932" xr:uid="{00000000-0005-0000-0000-00004A4F0000}"/>
    <cellStyle name="40% - Accent1 2 2 12 2 5" xfId="27408" xr:uid="{00000000-0005-0000-0000-00004B4F0000}"/>
    <cellStyle name="40% - Accent1 2 2 12 2 6" xfId="39204" xr:uid="{00000000-0005-0000-0000-00004C4F0000}"/>
    <cellStyle name="40% - Accent1 2 2 12 2 7" xfId="44681" xr:uid="{00000000-0005-0000-0000-00004D4F0000}"/>
    <cellStyle name="40% - Accent1 2 2 12 2 8" xfId="50158" xr:uid="{00000000-0005-0000-0000-00004E4F0000}"/>
    <cellStyle name="40% - Accent1 2 2 12 2 9" xfId="55676" xr:uid="{00000000-0005-0000-0000-00004F4F0000}"/>
    <cellStyle name="40% - Accent1 2 2 12 3" xfId="7449" xr:uid="{00000000-0005-0000-0000-0000504F0000}"/>
    <cellStyle name="40% - Accent1 2 2 12 4" xfId="12925" xr:uid="{00000000-0005-0000-0000-0000514F0000}"/>
    <cellStyle name="40% - Accent1 2 2 12 5" xfId="18401" xr:uid="{00000000-0005-0000-0000-0000524F0000}"/>
    <cellStyle name="40% - Accent1 2 2 12 6" xfId="23877" xr:uid="{00000000-0005-0000-0000-0000534F0000}"/>
    <cellStyle name="40% - Accent1 2 2 12 7" xfId="35673" xr:uid="{00000000-0005-0000-0000-0000544F0000}"/>
    <cellStyle name="40% - Accent1 2 2 12 8" xfId="41150" xr:uid="{00000000-0005-0000-0000-0000554F0000}"/>
    <cellStyle name="40% - Accent1 2 2 12 9" xfId="46627" xr:uid="{00000000-0005-0000-0000-0000564F0000}"/>
    <cellStyle name="40% - Accent1 2 2 13" xfId="3708" xr:uid="{00000000-0005-0000-0000-0000574F0000}"/>
    <cellStyle name="40% - Accent1 2 2 13 2" xfId="9188" xr:uid="{00000000-0005-0000-0000-0000584F0000}"/>
    <cellStyle name="40% - Accent1 2 2 13 3" xfId="14664" xr:uid="{00000000-0005-0000-0000-0000594F0000}"/>
    <cellStyle name="40% - Accent1 2 2 13 4" xfId="20140" xr:uid="{00000000-0005-0000-0000-00005A4F0000}"/>
    <cellStyle name="40% - Accent1 2 2 13 5" xfId="25616" xr:uid="{00000000-0005-0000-0000-00005B4F0000}"/>
    <cellStyle name="40% - Accent1 2 2 13 6" xfId="37412" xr:uid="{00000000-0005-0000-0000-00005C4F0000}"/>
    <cellStyle name="40% - Accent1 2 2 13 7" xfId="42889" xr:uid="{00000000-0005-0000-0000-00005D4F0000}"/>
    <cellStyle name="40% - Accent1 2 2 13 8" xfId="48366" xr:uid="{00000000-0005-0000-0000-00005E4F0000}"/>
    <cellStyle name="40% - Accent1 2 2 13 9" xfId="53884" xr:uid="{00000000-0005-0000-0000-00005F4F0000}"/>
    <cellStyle name="40% - Accent1 2 2 14" xfId="6233" xr:uid="{00000000-0005-0000-0000-0000604F0000}"/>
    <cellStyle name="40% - Accent1 2 2 15" xfId="11713" xr:uid="{00000000-0005-0000-0000-0000614F0000}"/>
    <cellStyle name="40% - Accent1 2 2 16" xfId="17189" xr:uid="{00000000-0005-0000-0000-0000624F0000}"/>
    <cellStyle name="40% - Accent1 2 2 17" xfId="22665" xr:uid="{00000000-0005-0000-0000-0000634F0000}"/>
    <cellStyle name="40% - Accent1 2 2 18" xfId="30381" xr:uid="{00000000-0005-0000-0000-0000644F0000}"/>
    <cellStyle name="40% - Accent1 2 2 19" xfId="34460" xr:uid="{00000000-0005-0000-0000-0000654F0000}"/>
    <cellStyle name="40% - Accent1 2 2 2" xfId="228" xr:uid="{00000000-0005-0000-0000-0000664F0000}"/>
    <cellStyle name="40% - Accent1 2 2 2 10" xfId="1751" xr:uid="{00000000-0005-0000-0000-0000674F0000}"/>
    <cellStyle name="40% - Accent1 2 2 2 10 10" xfId="45418" xr:uid="{00000000-0005-0000-0000-0000684F0000}"/>
    <cellStyle name="40% - Accent1 2 2 2 10 11" xfId="50896" xr:uid="{00000000-0005-0000-0000-0000694F0000}"/>
    <cellStyle name="40% - Accent1 2 2 2 10 2" xfId="3512" xr:uid="{00000000-0005-0000-0000-00006A4F0000}"/>
    <cellStyle name="40% - Accent1 2 2 2 10 2 2" xfId="8992" xr:uid="{00000000-0005-0000-0000-00006B4F0000}"/>
    <cellStyle name="40% - Accent1 2 2 2 10 2 3" xfId="14468" xr:uid="{00000000-0005-0000-0000-00006C4F0000}"/>
    <cellStyle name="40% - Accent1 2 2 2 10 2 4" xfId="19944" xr:uid="{00000000-0005-0000-0000-00006D4F0000}"/>
    <cellStyle name="40% - Accent1 2 2 2 10 2 5" xfId="25420" xr:uid="{00000000-0005-0000-0000-00006E4F0000}"/>
    <cellStyle name="40% - Accent1 2 2 2 10 2 6" xfId="37216" xr:uid="{00000000-0005-0000-0000-00006F4F0000}"/>
    <cellStyle name="40% - Accent1 2 2 2 10 2 7" xfId="42693" xr:uid="{00000000-0005-0000-0000-0000704F0000}"/>
    <cellStyle name="40% - Accent1 2 2 2 10 2 8" xfId="48170" xr:uid="{00000000-0005-0000-0000-0000714F0000}"/>
    <cellStyle name="40% - Accent1 2 2 2 10 2 9" xfId="53688" xr:uid="{00000000-0005-0000-0000-0000724F0000}"/>
    <cellStyle name="40% - Accent1 2 2 2 10 3" xfId="5284" xr:uid="{00000000-0005-0000-0000-0000734F0000}"/>
    <cellStyle name="40% - Accent1 2 2 2 10 3 2" xfId="10764" xr:uid="{00000000-0005-0000-0000-0000744F0000}"/>
    <cellStyle name="40% - Accent1 2 2 2 10 3 3" xfId="16240" xr:uid="{00000000-0005-0000-0000-0000754F0000}"/>
    <cellStyle name="40% - Accent1 2 2 2 10 3 4" xfId="21716" xr:uid="{00000000-0005-0000-0000-0000764F0000}"/>
    <cellStyle name="40% - Accent1 2 2 2 10 3 5" xfId="27192" xr:uid="{00000000-0005-0000-0000-0000774F0000}"/>
    <cellStyle name="40% - Accent1 2 2 2 10 3 6" xfId="38988" xr:uid="{00000000-0005-0000-0000-0000784F0000}"/>
    <cellStyle name="40% - Accent1 2 2 2 10 3 7" xfId="44465" xr:uid="{00000000-0005-0000-0000-0000794F0000}"/>
    <cellStyle name="40% - Accent1 2 2 2 10 3 8" xfId="49942" xr:uid="{00000000-0005-0000-0000-00007A4F0000}"/>
    <cellStyle name="40% - Accent1 2 2 2 10 3 9" xfId="55460" xr:uid="{00000000-0005-0000-0000-00007B4F0000}"/>
    <cellStyle name="40% - Accent1 2 2 2 10 4" xfId="6237" xr:uid="{00000000-0005-0000-0000-00007C4F0000}"/>
    <cellStyle name="40% - Accent1 2 2 2 10 5" xfId="11717" xr:uid="{00000000-0005-0000-0000-00007D4F0000}"/>
    <cellStyle name="40% - Accent1 2 2 2 10 6" xfId="17193" xr:uid="{00000000-0005-0000-0000-00007E4F0000}"/>
    <cellStyle name="40% - Accent1 2 2 2 10 7" xfId="22669" xr:uid="{00000000-0005-0000-0000-00007F4F0000}"/>
    <cellStyle name="40% - Accent1 2 2 2 10 8" xfId="34464" xr:uid="{00000000-0005-0000-0000-0000804F0000}"/>
    <cellStyle name="40% - Accent1 2 2 2 10 9" xfId="39941" xr:uid="{00000000-0005-0000-0000-0000814F0000}"/>
    <cellStyle name="40% - Accent1 2 2 2 11" xfId="1969" xr:uid="{00000000-0005-0000-0000-0000824F0000}"/>
    <cellStyle name="40% - Accent1 2 2 2 11 10" xfId="52146" xr:uid="{00000000-0005-0000-0000-0000834F0000}"/>
    <cellStyle name="40% - Accent1 2 2 2 11 2" xfId="5501" xr:uid="{00000000-0005-0000-0000-0000844F0000}"/>
    <cellStyle name="40% - Accent1 2 2 2 11 2 2" xfId="10981" xr:uid="{00000000-0005-0000-0000-0000854F0000}"/>
    <cellStyle name="40% - Accent1 2 2 2 11 2 3" xfId="16457" xr:uid="{00000000-0005-0000-0000-0000864F0000}"/>
    <cellStyle name="40% - Accent1 2 2 2 11 2 4" xfId="21933" xr:uid="{00000000-0005-0000-0000-0000874F0000}"/>
    <cellStyle name="40% - Accent1 2 2 2 11 2 5" xfId="27409" xr:uid="{00000000-0005-0000-0000-0000884F0000}"/>
    <cellStyle name="40% - Accent1 2 2 2 11 2 6" xfId="39205" xr:uid="{00000000-0005-0000-0000-0000894F0000}"/>
    <cellStyle name="40% - Accent1 2 2 2 11 2 7" xfId="44682" xr:uid="{00000000-0005-0000-0000-00008A4F0000}"/>
    <cellStyle name="40% - Accent1 2 2 2 11 2 8" xfId="50159" xr:uid="{00000000-0005-0000-0000-00008B4F0000}"/>
    <cellStyle name="40% - Accent1 2 2 2 11 2 9" xfId="55677" xr:uid="{00000000-0005-0000-0000-00008C4F0000}"/>
    <cellStyle name="40% - Accent1 2 2 2 11 3" xfId="7450" xr:uid="{00000000-0005-0000-0000-00008D4F0000}"/>
    <cellStyle name="40% - Accent1 2 2 2 11 4" xfId="12926" xr:uid="{00000000-0005-0000-0000-00008E4F0000}"/>
    <cellStyle name="40% - Accent1 2 2 2 11 5" xfId="18402" xr:uid="{00000000-0005-0000-0000-00008F4F0000}"/>
    <cellStyle name="40% - Accent1 2 2 2 11 6" xfId="23878" xr:uid="{00000000-0005-0000-0000-0000904F0000}"/>
    <cellStyle name="40% - Accent1 2 2 2 11 7" xfId="35674" xr:uid="{00000000-0005-0000-0000-0000914F0000}"/>
    <cellStyle name="40% - Accent1 2 2 2 11 8" xfId="41151" xr:uid="{00000000-0005-0000-0000-0000924F0000}"/>
    <cellStyle name="40% - Accent1 2 2 2 11 9" xfId="46628" xr:uid="{00000000-0005-0000-0000-0000934F0000}"/>
    <cellStyle name="40% - Accent1 2 2 2 12" xfId="3794" xr:uid="{00000000-0005-0000-0000-0000944F0000}"/>
    <cellStyle name="40% - Accent1 2 2 2 12 2" xfId="9274" xr:uid="{00000000-0005-0000-0000-0000954F0000}"/>
    <cellStyle name="40% - Accent1 2 2 2 12 3" xfId="14750" xr:uid="{00000000-0005-0000-0000-0000964F0000}"/>
    <cellStyle name="40% - Accent1 2 2 2 12 4" xfId="20226" xr:uid="{00000000-0005-0000-0000-0000974F0000}"/>
    <cellStyle name="40% - Accent1 2 2 2 12 5" xfId="25702" xr:uid="{00000000-0005-0000-0000-0000984F0000}"/>
    <cellStyle name="40% - Accent1 2 2 2 12 6" xfId="37498" xr:uid="{00000000-0005-0000-0000-0000994F0000}"/>
    <cellStyle name="40% - Accent1 2 2 2 12 7" xfId="42975" xr:uid="{00000000-0005-0000-0000-00009A4F0000}"/>
    <cellStyle name="40% - Accent1 2 2 2 12 8" xfId="48452" xr:uid="{00000000-0005-0000-0000-00009B4F0000}"/>
    <cellStyle name="40% - Accent1 2 2 2 12 9" xfId="53970" xr:uid="{00000000-0005-0000-0000-00009C4F0000}"/>
    <cellStyle name="40% - Accent1 2 2 2 13" xfId="6236" xr:uid="{00000000-0005-0000-0000-00009D4F0000}"/>
    <cellStyle name="40% - Accent1 2 2 2 14" xfId="11716" xr:uid="{00000000-0005-0000-0000-00009E4F0000}"/>
    <cellStyle name="40% - Accent1 2 2 2 15" xfId="17192" xr:uid="{00000000-0005-0000-0000-00009F4F0000}"/>
    <cellStyle name="40% - Accent1 2 2 2 16" xfId="22668" xr:uid="{00000000-0005-0000-0000-0000A04F0000}"/>
    <cellStyle name="40% - Accent1 2 2 2 17" xfId="30382" xr:uid="{00000000-0005-0000-0000-0000A14F0000}"/>
    <cellStyle name="40% - Accent1 2 2 2 18" xfId="34463" xr:uid="{00000000-0005-0000-0000-0000A24F0000}"/>
    <cellStyle name="40% - Accent1 2 2 2 19" xfId="39940" xr:uid="{00000000-0005-0000-0000-0000A34F0000}"/>
    <cellStyle name="40% - Accent1 2 2 2 2" xfId="340" xr:uid="{00000000-0005-0000-0000-0000A44F0000}"/>
    <cellStyle name="40% - Accent1 2 2 2 2 10" xfId="39942" xr:uid="{00000000-0005-0000-0000-0000A54F0000}"/>
    <cellStyle name="40% - Accent1 2 2 2 2 11" xfId="45419" xr:uid="{00000000-0005-0000-0000-0000A64F0000}"/>
    <cellStyle name="40% - Accent1 2 2 2 2 12" xfId="50897" xr:uid="{00000000-0005-0000-0000-0000A74F0000}"/>
    <cellStyle name="40% - Accent1 2 2 2 2 2" xfId="2136" xr:uid="{00000000-0005-0000-0000-0000A84F0000}"/>
    <cellStyle name="40% - Accent1 2 2 2 2 2 2" xfId="7616" xr:uid="{00000000-0005-0000-0000-0000A94F0000}"/>
    <cellStyle name="40% - Accent1 2 2 2 2 2 3" xfId="13092" xr:uid="{00000000-0005-0000-0000-0000AA4F0000}"/>
    <cellStyle name="40% - Accent1 2 2 2 2 2 4" xfId="18568" xr:uid="{00000000-0005-0000-0000-0000AB4F0000}"/>
    <cellStyle name="40% - Accent1 2 2 2 2 2 5" xfId="24044" xr:uid="{00000000-0005-0000-0000-0000AC4F0000}"/>
    <cellStyle name="40% - Accent1 2 2 2 2 2 6" xfId="35840" xr:uid="{00000000-0005-0000-0000-0000AD4F0000}"/>
    <cellStyle name="40% - Accent1 2 2 2 2 2 7" xfId="41317" xr:uid="{00000000-0005-0000-0000-0000AE4F0000}"/>
    <cellStyle name="40% - Accent1 2 2 2 2 2 8" xfId="46794" xr:uid="{00000000-0005-0000-0000-0000AF4F0000}"/>
    <cellStyle name="40% - Accent1 2 2 2 2 2 9" xfId="52312" xr:uid="{00000000-0005-0000-0000-0000B04F0000}"/>
    <cellStyle name="40% - Accent1 2 2 2 2 3" xfId="3902" xr:uid="{00000000-0005-0000-0000-0000B14F0000}"/>
    <cellStyle name="40% - Accent1 2 2 2 2 3 2" xfId="9382" xr:uid="{00000000-0005-0000-0000-0000B24F0000}"/>
    <cellStyle name="40% - Accent1 2 2 2 2 3 3" xfId="14858" xr:uid="{00000000-0005-0000-0000-0000B34F0000}"/>
    <cellStyle name="40% - Accent1 2 2 2 2 3 4" xfId="20334" xr:uid="{00000000-0005-0000-0000-0000B44F0000}"/>
    <cellStyle name="40% - Accent1 2 2 2 2 3 5" xfId="25810" xr:uid="{00000000-0005-0000-0000-0000B54F0000}"/>
    <cellStyle name="40% - Accent1 2 2 2 2 3 6" xfId="37606" xr:uid="{00000000-0005-0000-0000-0000B64F0000}"/>
    <cellStyle name="40% - Accent1 2 2 2 2 3 7" xfId="43083" xr:uid="{00000000-0005-0000-0000-0000B74F0000}"/>
    <cellStyle name="40% - Accent1 2 2 2 2 3 8" xfId="48560" xr:uid="{00000000-0005-0000-0000-0000B84F0000}"/>
    <cellStyle name="40% - Accent1 2 2 2 2 3 9" xfId="54078" xr:uid="{00000000-0005-0000-0000-0000B94F0000}"/>
    <cellStyle name="40% - Accent1 2 2 2 2 4" xfId="6238" xr:uid="{00000000-0005-0000-0000-0000BA4F0000}"/>
    <cellStyle name="40% - Accent1 2 2 2 2 5" xfId="11718" xr:uid="{00000000-0005-0000-0000-0000BB4F0000}"/>
    <cellStyle name="40% - Accent1 2 2 2 2 6" xfId="17194" xr:uid="{00000000-0005-0000-0000-0000BC4F0000}"/>
    <cellStyle name="40% - Accent1 2 2 2 2 7" xfId="22670" xr:uid="{00000000-0005-0000-0000-0000BD4F0000}"/>
    <cellStyle name="40% - Accent1 2 2 2 2 8" xfId="30383" xr:uid="{00000000-0005-0000-0000-0000BE4F0000}"/>
    <cellStyle name="40% - Accent1 2 2 2 2 9" xfId="34465" xr:uid="{00000000-0005-0000-0000-0000BF4F0000}"/>
    <cellStyle name="40% - Accent1 2 2 2 20" xfId="45417" xr:uid="{00000000-0005-0000-0000-0000C04F0000}"/>
    <cellStyle name="40% - Accent1 2 2 2 21" xfId="50895" xr:uid="{00000000-0005-0000-0000-0000C14F0000}"/>
    <cellStyle name="40% - Accent1 2 2 2 3" xfId="541" xr:uid="{00000000-0005-0000-0000-0000C24F0000}"/>
    <cellStyle name="40% - Accent1 2 2 2 3 10" xfId="45420" xr:uid="{00000000-0005-0000-0000-0000C34F0000}"/>
    <cellStyle name="40% - Accent1 2 2 2 3 11" xfId="50898" xr:uid="{00000000-0005-0000-0000-0000C44F0000}"/>
    <cellStyle name="40% - Accent1 2 2 2 3 2" xfId="2302" xr:uid="{00000000-0005-0000-0000-0000C54F0000}"/>
    <cellStyle name="40% - Accent1 2 2 2 3 2 2" xfId="7782" xr:uid="{00000000-0005-0000-0000-0000C64F0000}"/>
    <cellStyle name="40% - Accent1 2 2 2 3 2 3" xfId="13258" xr:uid="{00000000-0005-0000-0000-0000C74F0000}"/>
    <cellStyle name="40% - Accent1 2 2 2 3 2 4" xfId="18734" xr:uid="{00000000-0005-0000-0000-0000C84F0000}"/>
    <cellStyle name="40% - Accent1 2 2 2 3 2 5" xfId="24210" xr:uid="{00000000-0005-0000-0000-0000C94F0000}"/>
    <cellStyle name="40% - Accent1 2 2 2 3 2 6" xfId="36006" xr:uid="{00000000-0005-0000-0000-0000CA4F0000}"/>
    <cellStyle name="40% - Accent1 2 2 2 3 2 7" xfId="41483" xr:uid="{00000000-0005-0000-0000-0000CB4F0000}"/>
    <cellStyle name="40% - Accent1 2 2 2 3 2 8" xfId="46960" xr:uid="{00000000-0005-0000-0000-0000CC4F0000}"/>
    <cellStyle name="40% - Accent1 2 2 2 3 2 9" xfId="52478" xr:uid="{00000000-0005-0000-0000-0000CD4F0000}"/>
    <cellStyle name="40% - Accent1 2 2 2 3 3" xfId="4074" xr:uid="{00000000-0005-0000-0000-0000CE4F0000}"/>
    <cellStyle name="40% - Accent1 2 2 2 3 3 2" xfId="9554" xr:uid="{00000000-0005-0000-0000-0000CF4F0000}"/>
    <cellStyle name="40% - Accent1 2 2 2 3 3 3" xfId="15030" xr:uid="{00000000-0005-0000-0000-0000D04F0000}"/>
    <cellStyle name="40% - Accent1 2 2 2 3 3 4" xfId="20506" xr:uid="{00000000-0005-0000-0000-0000D14F0000}"/>
    <cellStyle name="40% - Accent1 2 2 2 3 3 5" xfId="25982" xr:uid="{00000000-0005-0000-0000-0000D24F0000}"/>
    <cellStyle name="40% - Accent1 2 2 2 3 3 6" xfId="37778" xr:uid="{00000000-0005-0000-0000-0000D34F0000}"/>
    <cellStyle name="40% - Accent1 2 2 2 3 3 7" xfId="43255" xr:uid="{00000000-0005-0000-0000-0000D44F0000}"/>
    <cellStyle name="40% - Accent1 2 2 2 3 3 8" xfId="48732" xr:uid="{00000000-0005-0000-0000-0000D54F0000}"/>
    <cellStyle name="40% - Accent1 2 2 2 3 3 9" xfId="54250" xr:uid="{00000000-0005-0000-0000-0000D64F0000}"/>
    <cellStyle name="40% - Accent1 2 2 2 3 4" xfId="6239" xr:uid="{00000000-0005-0000-0000-0000D74F0000}"/>
    <cellStyle name="40% - Accent1 2 2 2 3 5" xfId="11719" xr:uid="{00000000-0005-0000-0000-0000D84F0000}"/>
    <cellStyle name="40% - Accent1 2 2 2 3 6" xfId="17195" xr:uid="{00000000-0005-0000-0000-0000D94F0000}"/>
    <cellStyle name="40% - Accent1 2 2 2 3 7" xfId="22671" xr:uid="{00000000-0005-0000-0000-0000DA4F0000}"/>
    <cellStyle name="40% - Accent1 2 2 2 3 8" xfId="34466" xr:uid="{00000000-0005-0000-0000-0000DB4F0000}"/>
    <cellStyle name="40% - Accent1 2 2 2 3 9" xfId="39943" xr:uid="{00000000-0005-0000-0000-0000DC4F0000}"/>
    <cellStyle name="40% - Accent1 2 2 2 4" xfId="713" xr:uid="{00000000-0005-0000-0000-0000DD4F0000}"/>
    <cellStyle name="40% - Accent1 2 2 2 4 10" xfId="45421" xr:uid="{00000000-0005-0000-0000-0000DE4F0000}"/>
    <cellStyle name="40% - Accent1 2 2 2 4 11" xfId="50899" xr:uid="{00000000-0005-0000-0000-0000DF4F0000}"/>
    <cellStyle name="40% - Accent1 2 2 2 4 2" xfId="2474" xr:uid="{00000000-0005-0000-0000-0000E04F0000}"/>
    <cellStyle name="40% - Accent1 2 2 2 4 2 2" xfId="7954" xr:uid="{00000000-0005-0000-0000-0000E14F0000}"/>
    <cellStyle name="40% - Accent1 2 2 2 4 2 3" xfId="13430" xr:uid="{00000000-0005-0000-0000-0000E24F0000}"/>
    <cellStyle name="40% - Accent1 2 2 2 4 2 4" xfId="18906" xr:uid="{00000000-0005-0000-0000-0000E34F0000}"/>
    <cellStyle name="40% - Accent1 2 2 2 4 2 5" xfId="24382" xr:uid="{00000000-0005-0000-0000-0000E44F0000}"/>
    <cellStyle name="40% - Accent1 2 2 2 4 2 6" xfId="36178" xr:uid="{00000000-0005-0000-0000-0000E54F0000}"/>
    <cellStyle name="40% - Accent1 2 2 2 4 2 7" xfId="41655" xr:uid="{00000000-0005-0000-0000-0000E64F0000}"/>
    <cellStyle name="40% - Accent1 2 2 2 4 2 8" xfId="47132" xr:uid="{00000000-0005-0000-0000-0000E74F0000}"/>
    <cellStyle name="40% - Accent1 2 2 2 4 2 9" xfId="52650" xr:uid="{00000000-0005-0000-0000-0000E84F0000}"/>
    <cellStyle name="40% - Accent1 2 2 2 4 3" xfId="4246" xr:uid="{00000000-0005-0000-0000-0000E94F0000}"/>
    <cellStyle name="40% - Accent1 2 2 2 4 3 2" xfId="9726" xr:uid="{00000000-0005-0000-0000-0000EA4F0000}"/>
    <cellStyle name="40% - Accent1 2 2 2 4 3 3" xfId="15202" xr:uid="{00000000-0005-0000-0000-0000EB4F0000}"/>
    <cellStyle name="40% - Accent1 2 2 2 4 3 4" xfId="20678" xr:uid="{00000000-0005-0000-0000-0000EC4F0000}"/>
    <cellStyle name="40% - Accent1 2 2 2 4 3 5" xfId="26154" xr:uid="{00000000-0005-0000-0000-0000ED4F0000}"/>
    <cellStyle name="40% - Accent1 2 2 2 4 3 6" xfId="37950" xr:uid="{00000000-0005-0000-0000-0000EE4F0000}"/>
    <cellStyle name="40% - Accent1 2 2 2 4 3 7" xfId="43427" xr:uid="{00000000-0005-0000-0000-0000EF4F0000}"/>
    <cellStyle name="40% - Accent1 2 2 2 4 3 8" xfId="48904" xr:uid="{00000000-0005-0000-0000-0000F04F0000}"/>
    <cellStyle name="40% - Accent1 2 2 2 4 3 9" xfId="54422" xr:uid="{00000000-0005-0000-0000-0000F14F0000}"/>
    <cellStyle name="40% - Accent1 2 2 2 4 4" xfId="6240" xr:uid="{00000000-0005-0000-0000-0000F24F0000}"/>
    <cellStyle name="40% - Accent1 2 2 2 4 5" xfId="11720" xr:uid="{00000000-0005-0000-0000-0000F34F0000}"/>
    <cellStyle name="40% - Accent1 2 2 2 4 6" xfId="17196" xr:uid="{00000000-0005-0000-0000-0000F44F0000}"/>
    <cellStyle name="40% - Accent1 2 2 2 4 7" xfId="22672" xr:uid="{00000000-0005-0000-0000-0000F54F0000}"/>
    <cellStyle name="40% - Accent1 2 2 2 4 8" xfId="34467" xr:uid="{00000000-0005-0000-0000-0000F64F0000}"/>
    <cellStyle name="40% - Accent1 2 2 2 4 9" xfId="39944" xr:uid="{00000000-0005-0000-0000-0000F74F0000}"/>
    <cellStyle name="40% - Accent1 2 2 2 5" xfId="885" xr:uid="{00000000-0005-0000-0000-0000F84F0000}"/>
    <cellStyle name="40% - Accent1 2 2 2 5 10" xfId="45422" xr:uid="{00000000-0005-0000-0000-0000F94F0000}"/>
    <cellStyle name="40% - Accent1 2 2 2 5 11" xfId="50900" xr:uid="{00000000-0005-0000-0000-0000FA4F0000}"/>
    <cellStyle name="40% - Accent1 2 2 2 5 2" xfId="2646" xr:uid="{00000000-0005-0000-0000-0000FB4F0000}"/>
    <cellStyle name="40% - Accent1 2 2 2 5 2 2" xfId="8126" xr:uid="{00000000-0005-0000-0000-0000FC4F0000}"/>
    <cellStyle name="40% - Accent1 2 2 2 5 2 3" xfId="13602" xr:uid="{00000000-0005-0000-0000-0000FD4F0000}"/>
    <cellStyle name="40% - Accent1 2 2 2 5 2 4" xfId="19078" xr:uid="{00000000-0005-0000-0000-0000FE4F0000}"/>
    <cellStyle name="40% - Accent1 2 2 2 5 2 5" xfId="24554" xr:uid="{00000000-0005-0000-0000-0000FF4F0000}"/>
    <cellStyle name="40% - Accent1 2 2 2 5 2 6" xfId="36350" xr:uid="{00000000-0005-0000-0000-000000500000}"/>
    <cellStyle name="40% - Accent1 2 2 2 5 2 7" xfId="41827" xr:uid="{00000000-0005-0000-0000-000001500000}"/>
    <cellStyle name="40% - Accent1 2 2 2 5 2 8" xfId="47304" xr:uid="{00000000-0005-0000-0000-000002500000}"/>
    <cellStyle name="40% - Accent1 2 2 2 5 2 9" xfId="52822" xr:uid="{00000000-0005-0000-0000-000003500000}"/>
    <cellStyle name="40% - Accent1 2 2 2 5 3" xfId="4418" xr:uid="{00000000-0005-0000-0000-000004500000}"/>
    <cellStyle name="40% - Accent1 2 2 2 5 3 2" xfId="9898" xr:uid="{00000000-0005-0000-0000-000005500000}"/>
    <cellStyle name="40% - Accent1 2 2 2 5 3 3" xfId="15374" xr:uid="{00000000-0005-0000-0000-000006500000}"/>
    <cellStyle name="40% - Accent1 2 2 2 5 3 4" xfId="20850" xr:uid="{00000000-0005-0000-0000-000007500000}"/>
    <cellStyle name="40% - Accent1 2 2 2 5 3 5" xfId="26326" xr:uid="{00000000-0005-0000-0000-000008500000}"/>
    <cellStyle name="40% - Accent1 2 2 2 5 3 6" xfId="38122" xr:uid="{00000000-0005-0000-0000-000009500000}"/>
    <cellStyle name="40% - Accent1 2 2 2 5 3 7" xfId="43599" xr:uid="{00000000-0005-0000-0000-00000A500000}"/>
    <cellStyle name="40% - Accent1 2 2 2 5 3 8" xfId="49076" xr:uid="{00000000-0005-0000-0000-00000B500000}"/>
    <cellStyle name="40% - Accent1 2 2 2 5 3 9" xfId="54594" xr:uid="{00000000-0005-0000-0000-00000C500000}"/>
    <cellStyle name="40% - Accent1 2 2 2 5 4" xfId="6241" xr:uid="{00000000-0005-0000-0000-00000D500000}"/>
    <cellStyle name="40% - Accent1 2 2 2 5 5" xfId="11721" xr:uid="{00000000-0005-0000-0000-00000E500000}"/>
    <cellStyle name="40% - Accent1 2 2 2 5 6" xfId="17197" xr:uid="{00000000-0005-0000-0000-00000F500000}"/>
    <cellStyle name="40% - Accent1 2 2 2 5 7" xfId="22673" xr:uid="{00000000-0005-0000-0000-000010500000}"/>
    <cellStyle name="40% - Accent1 2 2 2 5 8" xfId="34468" xr:uid="{00000000-0005-0000-0000-000011500000}"/>
    <cellStyle name="40% - Accent1 2 2 2 5 9" xfId="39945" xr:uid="{00000000-0005-0000-0000-000012500000}"/>
    <cellStyle name="40% - Accent1 2 2 2 6" xfId="1091" xr:uid="{00000000-0005-0000-0000-000013500000}"/>
    <cellStyle name="40% - Accent1 2 2 2 6 10" xfId="45423" xr:uid="{00000000-0005-0000-0000-000014500000}"/>
    <cellStyle name="40% - Accent1 2 2 2 6 11" xfId="50901" xr:uid="{00000000-0005-0000-0000-000015500000}"/>
    <cellStyle name="40% - Accent1 2 2 2 6 2" xfId="2852" xr:uid="{00000000-0005-0000-0000-000016500000}"/>
    <cellStyle name="40% - Accent1 2 2 2 6 2 2" xfId="8332" xr:uid="{00000000-0005-0000-0000-000017500000}"/>
    <cellStyle name="40% - Accent1 2 2 2 6 2 3" xfId="13808" xr:uid="{00000000-0005-0000-0000-000018500000}"/>
    <cellStyle name="40% - Accent1 2 2 2 6 2 4" xfId="19284" xr:uid="{00000000-0005-0000-0000-000019500000}"/>
    <cellStyle name="40% - Accent1 2 2 2 6 2 5" xfId="24760" xr:uid="{00000000-0005-0000-0000-00001A500000}"/>
    <cellStyle name="40% - Accent1 2 2 2 6 2 6" xfId="36556" xr:uid="{00000000-0005-0000-0000-00001B500000}"/>
    <cellStyle name="40% - Accent1 2 2 2 6 2 7" xfId="42033" xr:uid="{00000000-0005-0000-0000-00001C500000}"/>
    <cellStyle name="40% - Accent1 2 2 2 6 2 8" xfId="47510" xr:uid="{00000000-0005-0000-0000-00001D500000}"/>
    <cellStyle name="40% - Accent1 2 2 2 6 2 9" xfId="53028" xr:uid="{00000000-0005-0000-0000-00001E500000}"/>
    <cellStyle name="40% - Accent1 2 2 2 6 3" xfId="4624" xr:uid="{00000000-0005-0000-0000-00001F500000}"/>
    <cellStyle name="40% - Accent1 2 2 2 6 3 2" xfId="10104" xr:uid="{00000000-0005-0000-0000-000020500000}"/>
    <cellStyle name="40% - Accent1 2 2 2 6 3 3" xfId="15580" xr:uid="{00000000-0005-0000-0000-000021500000}"/>
    <cellStyle name="40% - Accent1 2 2 2 6 3 4" xfId="21056" xr:uid="{00000000-0005-0000-0000-000022500000}"/>
    <cellStyle name="40% - Accent1 2 2 2 6 3 5" xfId="26532" xr:uid="{00000000-0005-0000-0000-000023500000}"/>
    <cellStyle name="40% - Accent1 2 2 2 6 3 6" xfId="38328" xr:uid="{00000000-0005-0000-0000-000024500000}"/>
    <cellStyle name="40% - Accent1 2 2 2 6 3 7" xfId="43805" xr:uid="{00000000-0005-0000-0000-000025500000}"/>
    <cellStyle name="40% - Accent1 2 2 2 6 3 8" xfId="49282" xr:uid="{00000000-0005-0000-0000-000026500000}"/>
    <cellStyle name="40% - Accent1 2 2 2 6 3 9" xfId="54800" xr:uid="{00000000-0005-0000-0000-000027500000}"/>
    <cellStyle name="40% - Accent1 2 2 2 6 4" xfId="6242" xr:uid="{00000000-0005-0000-0000-000028500000}"/>
    <cellStyle name="40% - Accent1 2 2 2 6 5" xfId="11722" xr:uid="{00000000-0005-0000-0000-000029500000}"/>
    <cellStyle name="40% - Accent1 2 2 2 6 6" xfId="17198" xr:uid="{00000000-0005-0000-0000-00002A500000}"/>
    <cellStyle name="40% - Accent1 2 2 2 6 7" xfId="22674" xr:uid="{00000000-0005-0000-0000-00002B500000}"/>
    <cellStyle name="40% - Accent1 2 2 2 6 8" xfId="34469" xr:uid="{00000000-0005-0000-0000-00002C500000}"/>
    <cellStyle name="40% - Accent1 2 2 2 6 9" xfId="39946" xr:uid="{00000000-0005-0000-0000-00002D500000}"/>
    <cellStyle name="40% - Accent1 2 2 2 7" xfId="1263" xr:uid="{00000000-0005-0000-0000-00002E500000}"/>
    <cellStyle name="40% - Accent1 2 2 2 7 10" xfId="45424" xr:uid="{00000000-0005-0000-0000-00002F500000}"/>
    <cellStyle name="40% - Accent1 2 2 2 7 11" xfId="50902" xr:uid="{00000000-0005-0000-0000-000030500000}"/>
    <cellStyle name="40% - Accent1 2 2 2 7 2" xfId="3024" xr:uid="{00000000-0005-0000-0000-000031500000}"/>
    <cellStyle name="40% - Accent1 2 2 2 7 2 2" xfId="8504" xr:uid="{00000000-0005-0000-0000-000032500000}"/>
    <cellStyle name="40% - Accent1 2 2 2 7 2 3" xfId="13980" xr:uid="{00000000-0005-0000-0000-000033500000}"/>
    <cellStyle name="40% - Accent1 2 2 2 7 2 4" xfId="19456" xr:uid="{00000000-0005-0000-0000-000034500000}"/>
    <cellStyle name="40% - Accent1 2 2 2 7 2 5" xfId="24932" xr:uid="{00000000-0005-0000-0000-000035500000}"/>
    <cellStyle name="40% - Accent1 2 2 2 7 2 6" xfId="36728" xr:uid="{00000000-0005-0000-0000-000036500000}"/>
    <cellStyle name="40% - Accent1 2 2 2 7 2 7" xfId="42205" xr:uid="{00000000-0005-0000-0000-000037500000}"/>
    <cellStyle name="40% - Accent1 2 2 2 7 2 8" xfId="47682" xr:uid="{00000000-0005-0000-0000-000038500000}"/>
    <cellStyle name="40% - Accent1 2 2 2 7 2 9" xfId="53200" xr:uid="{00000000-0005-0000-0000-000039500000}"/>
    <cellStyle name="40% - Accent1 2 2 2 7 3" xfId="4796" xr:uid="{00000000-0005-0000-0000-00003A500000}"/>
    <cellStyle name="40% - Accent1 2 2 2 7 3 2" xfId="10276" xr:uid="{00000000-0005-0000-0000-00003B500000}"/>
    <cellStyle name="40% - Accent1 2 2 2 7 3 3" xfId="15752" xr:uid="{00000000-0005-0000-0000-00003C500000}"/>
    <cellStyle name="40% - Accent1 2 2 2 7 3 4" xfId="21228" xr:uid="{00000000-0005-0000-0000-00003D500000}"/>
    <cellStyle name="40% - Accent1 2 2 2 7 3 5" xfId="26704" xr:uid="{00000000-0005-0000-0000-00003E500000}"/>
    <cellStyle name="40% - Accent1 2 2 2 7 3 6" xfId="38500" xr:uid="{00000000-0005-0000-0000-00003F500000}"/>
    <cellStyle name="40% - Accent1 2 2 2 7 3 7" xfId="43977" xr:uid="{00000000-0005-0000-0000-000040500000}"/>
    <cellStyle name="40% - Accent1 2 2 2 7 3 8" xfId="49454" xr:uid="{00000000-0005-0000-0000-000041500000}"/>
    <cellStyle name="40% - Accent1 2 2 2 7 3 9" xfId="54972" xr:uid="{00000000-0005-0000-0000-000042500000}"/>
    <cellStyle name="40% - Accent1 2 2 2 7 4" xfId="6243" xr:uid="{00000000-0005-0000-0000-000043500000}"/>
    <cellStyle name="40% - Accent1 2 2 2 7 5" xfId="11723" xr:uid="{00000000-0005-0000-0000-000044500000}"/>
    <cellStyle name="40% - Accent1 2 2 2 7 6" xfId="17199" xr:uid="{00000000-0005-0000-0000-000045500000}"/>
    <cellStyle name="40% - Accent1 2 2 2 7 7" xfId="22675" xr:uid="{00000000-0005-0000-0000-000046500000}"/>
    <cellStyle name="40% - Accent1 2 2 2 7 8" xfId="34470" xr:uid="{00000000-0005-0000-0000-000047500000}"/>
    <cellStyle name="40% - Accent1 2 2 2 7 9" xfId="39947" xr:uid="{00000000-0005-0000-0000-000048500000}"/>
    <cellStyle name="40% - Accent1 2 2 2 8" xfId="1435" xr:uid="{00000000-0005-0000-0000-000049500000}"/>
    <cellStyle name="40% - Accent1 2 2 2 8 10" xfId="45425" xr:uid="{00000000-0005-0000-0000-00004A500000}"/>
    <cellStyle name="40% - Accent1 2 2 2 8 11" xfId="50903" xr:uid="{00000000-0005-0000-0000-00004B500000}"/>
    <cellStyle name="40% - Accent1 2 2 2 8 2" xfId="3196" xr:uid="{00000000-0005-0000-0000-00004C500000}"/>
    <cellStyle name="40% - Accent1 2 2 2 8 2 2" xfId="8676" xr:uid="{00000000-0005-0000-0000-00004D500000}"/>
    <cellStyle name="40% - Accent1 2 2 2 8 2 3" xfId="14152" xr:uid="{00000000-0005-0000-0000-00004E500000}"/>
    <cellStyle name="40% - Accent1 2 2 2 8 2 4" xfId="19628" xr:uid="{00000000-0005-0000-0000-00004F500000}"/>
    <cellStyle name="40% - Accent1 2 2 2 8 2 5" xfId="25104" xr:uid="{00000000-0005-0000-0000-000050500000}"/>
    <cellStyle name="40% - Accent1 2 2 2 8 2 6" xfId="36900" xr:uid="{00000000-0005-0000-0000-000051500000}"/>
    <cellStyle name="40% - Accent1 2 2 2 8 2 7" xfId="42377" xr:uid="{00000000-0005-0000-0000-000052500000}"/>
    <cellStyle name="40% - Accent1 2 2 2 8 2 8" xfId="47854" xr:uid="{00000000-0005-0000-0000-000053500000}"/>
    <cellStyle name="40% - Accent1 2 2 2 8 2 9" xfId="53372" xr:uid="{00000000-0005-0000-0000-000054500000}"/>
    <cellStyle name="40% - Accent1 2 2 2 8 3" xfId="4968" xr:uid="{00000000-0005-0000-0000-000055500000}"/>
    <cellStyle name="40% - Accent1 2 2 2 8 3 2" xfId="10448" xr:uid="{00000000-0005-0000-0000-000056500000}"/>
    <cellStyle name="40% - Accent1 2 2 2 8 3 3" xfId="15924" xr:uid="{00000000-0005-0000-0000-000057500000}"/>
    <cellStyle name="40% - Accent1 2 2 2 8 3 4" xfId="21400" xr:uid="{00000000-0005-0000-0000-000058500000}"/>
    <cellStyle name="40% - Accent1 2 2 2 8 3 5" xfId="26876" xr:uid="{00000000-0005-0000-0000-000059500000}"/>
    <cellStyle name="40% - Accent1 2 2 2 8 3 6" xfId="38672" xr:uid="{00000000-0005-0000-0000-00005A500000}"/>
    <cellStyle name="40% - Accent1 2 2 2 8 3 7" xfId="44149" xr:uid="{00000000-0005-0000-0000-00005B500000}"/>
    <cellStyle name="40% - Accent1 2 2 2 8 3 8" xfId="49626" xr:uid="{00000000-0005-0000-0000-00005C500000}"/>
    <cellStyle name="40% - Accent1 2 2 2 8 3 9" xfId="55144" xr:uid="{00000000-0005-0000-0000-00005D500000}"/>
    <cellStyle name="40% - Accent1 2 2 2 8 4" xfId="6244" xr:uid="{00000000-0005-0000-0000-00005E500000}"/>
    <cellStyle name="40% - Accent1 2 2 2 8 5" xfId="11724" xr:uid="{00000000-0005-0000-0000-00005F500000}"/>
    <cellStyle name="40% - Accent1 2 2 2 8 6" xfId="17200" xr:uid="{00000000-0005-0000-0000-000060500000}"/>
    <cellStyle name="40% - Accent1 2 2 2 8 7" xfId="22676" xr:uid="{00000000-0005-0000-0000-000061500000}"/>
    <cellStyle name="40% - Accent1 2 2 2 8 8" xfId="34471" xr:uid="{00000000-0005-0000-0000-000062500000}"/>
    <cellStyle name="40% - Accent1 2 2 2 8 9" xfId="39948" xr:uid="{00000000-0005-0000-0000-000063500000}"/>
    <cellStyle name="40% - Accent1 2 2 2 9" xfId="1607" xr:uid="{00000000-0005-0000-0000-000064500000}"/>
    <cellStyle name="40% - Accent1 2 2 2 9 10" xfId="45426" xr:uid="{00000000-0005-0000-0000-000065500000}"/>
    <cellStyle name="40% - Accent1 2 2 2 9 11" xfId="50904" xr:uid="{00000000-0005-0000-0000-000066500000}"/>
    <cellStyle name="40% - Accent1 2 2 2 9 2" xfId="3368" xr:uid="{00000000-0005-0000-0000-000067500000}"/>
    <cellStyle name="40% - Accent1 2 2 2 9 2 2" xfId="8848" xr:uid="{00000000-0005-0000-0000-000068500000}"/>
    <cellStyle name="40% - Accent1 2 2 2 9 2 3" xfId="14324" xr:uid="{00000000-0005-0000-0000-000069500000}"/>
    <cellStyle name="40% - Accent1 2 2 2 9 2 4" xfId="19800" xr:uid="{00000000-0005-0000-0000-00006A500000}"/>
    <cellStyle name="40% - Accent1 2 2 2 9 2 5" xfId="25276" xr:uid="{00000000-0005-0000-0000-00006B500000}"/>
    <cellStyle name="40% - Accent1 2 2 2 9 2 6" xfId="37072" xr:uid="{00000000-0005-0000-0000-00006C500000}"/>
    <cellStyle name="40% - Accent1 2 2 2 9 2 7" xfId="42549" xr:uid="{00000000-0005-0000-0000-00006D500000}"/>
    <cellStyle name="40% - Accent1 2 2 2 9 2 8" xfId="48026" xr:uid="{00000000-0005-0000-0000-00006E500000}"/>
    <cellStyle name="40% - Accent1 2 2 2 9 2 9" xfId="53544" xr:uid="{00000000-0005-0000-0000-00006F500000}"/>
    <cellStyle name="40% - Accent1 2 2 2 9 3" xfId="5140" xr:uid="{00000000-0005-0000-0000-000070500000}"/>
    <cellStyle name="40% - Accent1 2 2 2 9 3 2" xfId="10620" xr:uid="{00000000-0005-0000-0000-000071500000}"/>
    <cellStyle name="40% - Accent1 2 2 2 9 3 3" xfId="16096" xr:uid="{00000000-0005-0000-0000-000072500000}"/>
    <cellStyle name="40% - Accent1 2 2 2 9 3 4" xfId="21572" xr:uid="{00000000-0005-0000-0000-000073500000}"/>
    <cellStyle name="40% - Accent1 2 2 2 9 3 5" xfId="27048" xr:uid="{00000000-0005-0000-0000-000074500000}"/>
    <cellStyle name="40% - Accent1 2 2 2 9 3 6" xfId="38844" xr:uid="{00000000-0005-0000-0000-000075500000}"/>
    <cellStyle name="40% - Accent1 2 2 2 9 3 7" xfId="44321" xr:uid="{00000000-0005-0000-0000-000076500000}"/>
    <cellStyle name="40% - Accent1 2 2 2 9 3 8" xfId="49798" xr:uid="{00000000-0005-0000-0000-000077500000}"/>
    <cellStyle name="40% - Accent1 2 2 2 9 3 9" xfId="55316" xr:uid="{00000000-0005-0000-0000-000078500000}"/>
    <cellStyle name="40% - Accent1 2 2 2 9 4" xfId="6245" xr:uid="{00000000-0005-0000-0000-000079500000}"/>
    <cellStyle name="40% - Accent1 2 2 2 9 5" xfId="11725" xr:uid="{00000000-0005-0000-0000-00007A500000}"/>
    <cellStyle name="40% - Accent1 2 2 2 9 6" xfId="17201" xr:uid="{00000000-0005-0000-0000-00007B500000}"/>
    <cellStyle name="40% - Accent1 2 2 2 9 7" xfId="22677" xr:uid="{00000000-0005-0000-0000-00007C500000}"/>
    <cellStyle name="40% - Accent1 2 2 2 9 8" xfId="34472" xr:uid="{00000000-0005-0000-0000-00007D500000}"/>
    <cellStyle name="40% - Accent1 2 2 2 9 9" xfId="39949" xr:uid="{00000000-0005-0000-0000-00007E500000}"/>
    <cellStyle name="40% - Accent1 2 2 20" xfId="39937" xr:uid="{00000000-0005-0000-0000-00007F500000}"/>
    <cellStyle name="40% - Accent1 2 2 21" xfId="45414" xr:uid="{00000000-0005-0000-0000-000080500000}"/>
    <cellStyle name="40% - Accent1 2 2 22" xfId="50892" xr:uid="{00000000-0005-0000-0000-000081500000}"/>
    <cellStyle name="40% - Accent1 2 2 3" xfId="339" xr:uid="{00000000-0005-0000-0000-000082500000}"/>
    <cellStyle name="40% - Accent1 2 2 3 10" xfId="39950" xr:uid="{00000000-0005-0000-0000-000083500000}"/>
    <cellStyle name="40% - Accent1 2 2 3 11" xfId="45427" xr:uid="{00000000-0005-0000-0000-000084500000}"/>
    <cellStyle name="40% - Accent1 2 2 3 12" xfId="50905" xr:uid="{00000000-0005-0000-0000-000085500000}"/>
    <cellStyle name="40% - Accent1 2 2 3 2" xfId="2135" xr:uid="{00000000-0005-0000-0000-000086500000}"/>
    <cellStyle name="40% - Accent1 2 2 3 2 2" xfId="7615" xr:uid="{00000000-0005-0000-0000-000087500000}"/>
    <cellStyle name="40% - Accent1 2 2 3 2 3" xfId="13091" xr:uid="{00000000-0005-0000-0000-000088500000}"/>
    <cellStyle name="40% - Accent1 2 2 3 2 4" xfId="18567" xr:uid="{00000000-0005-0000-0000-000089500000}"/>
    <cellStyle name="40% - Accent1 2 2 3 2 5" xfId="24043" xr:uid="{00000000-0005-0000-0000-00008A500000}"/>
    <cellStyle name="40% - Accent1 2 2 3 2 6" xfId="35839" xr:uid="{00000000-0005-0000-0000-00008B500000}"/>
    <cellStyle name="40% - Accent1 2 2 3 2 7" xfId="41316" xr:uid="{00000000-0005-0000-0000-00008C500000}"/>
    <cellStyle name="40% - Accent1 2 2 3 2 8" xfId="46793" xr:uid="{00000000-0005-0000-0000-00008D500000}"/>
    <cellStyle name="40% - Accent1 2 2 3 2 9" xfId="52311" xr:uid="{00000000-0005-0000-0000-00008E500000}"/>
    <cellStyle name="40% - Accent1 2 2 3 3" xfId="3901" xr:uid="{00000000-0005-0000-0000-00008F500000}"/>
    <cellStyle name="40% - Accent1 2 2 3 3 2" xfId="9381" xr:uid="{00000000-0005-0000-0000-000090500000}"/>
    <cellStyle name="40% - Accent1 2 2 3 3 3" xfId="14857" xr:uid="{00000000-0005-0000-0000-000091500000}"/>
    <cellStyle name="40% - Accent1 2 2 3 3 4" xfId="20333" xr:uid="{00000000-0005-0000-0000-000092500000}"/>
    <cellStyle name="40% - Accent1 2 2 3 3 5" xfId="25809" xr:uid="{00000000-0005-0000-0000-000093500000}"/>
    <cellStyle name="40% - Accent1 2 2 3 3 6" xfId="37605" xr:uid="{00000000-0005-0000-0000-000094500000}"/>
    <cellStyle name="40% - Accent1 2 2 3 3 7" xfId="43082" xr:uid="{00000000-0005-0000-0000-000095500000}"/>
    <cellStyle name="40% - Accent1 2 2 3 3 8" xfId="48559" xr:uid="{00000000-0005-0000-0000-000096500000}"/>
    <cellStyle name="40% - Accent1 2 2 3 3 9" xfId="54077" xr:uid="{00000000-0005-0000-0000-000097500000}"/>
    <cellStyle name="40% - Accent1 2 2 3 4" xfId="6246" xr:uid="{00000000-0005-0000-0000-000098500000}"/>
    <cellStyle name="40% - Accent1 2 2 3 5" xfId="11726" xr:uid="{00000000-0005-0000-0000-000099500000}"/>
    <cellStyle name="40% - Accent1 2 2 3 6" xfId="17202" xr:uid="{00000000-0005-0000-0000-00009A500000}"/>
    <cellStyle name="40% - Accent1 2 2 3 7" xfId="22678" xr:uid="{00000000-0005-0000-0000-00009B500000}"/>
    <cellStyle name="40% - Accent1 2 2 3 8" xfId="30384" xr:uid="{00000000-0005-0000-0000-00009C500000}"/>
    <cellStyle name="40% - Accent1 2 2 3 9" xfId="34473" xr:uid="{00000000-0005-0000-0000-00009D500000}"/>
    <cellStyle name="40% - Accent1 2 2 4" xfId="540" xr:uid="{00000000-0005-0000-0000-00009E500000}"/>
    <cellStyle name="40% - Accent1 2 2 4 10" xfId="45428" xr:uid="{00000000-0005-0000-0000-00009F500000}"/>
    <cellStyle name="40% - Accent1 2 2 4 11" xfId="50906" xr:uid="{00000000-0005-0000-0000-0000A0500000}"/>
    <cellStyle name="40% - Accent1 2 2 4 2" xfId="2301" xr:uid="{00000000-0005-0000-0000-0000A1500000}"/>
    <cellStyle name="40% - Accent1 2 2 4 2 2" xfId="7781" xr:uid="{00000000-0005-0000-0000-0000A2500000}"/>
    <cellStyle name="40% - Accent1 2 2 4 2 3" xfId="13257" xr:uid="{00000000-0005-0000-0000-0000A3500000}"/>
    <cellStyle name="40% - Accent1 2 2 4 2 4" xfId="18733" xr:uid="{00000000-0005-0000-0000-0000A4500000}"/>
    <cellStyle name="40% - Accent1 2 2 4 2 5" xfId="24209" xr:uid="{00000000-0005-0000-0000-0000A5500000}"/>
    <cellStyle name="40% - Accent1 2 2 4 2 6" xfId="36005" xr:uid="{00000000-0005-0000-0000-0000A6500000}"/>
    <cellStyle name="40% - Accent1 2 2 4 2 7" xfId="41482" xr:uid="{00000000-0005-0000-0000-0000A7500000}"/>
    <cellStyle name="40% - Accent1 2 2 4 2 8" xfId="46959" xr:uid="{00000000-0005-0000-0000-0000A8500000}"/>
    <cellStyle name="40% - Accent1 2 2 4 2 9" xfId="52477" xr:uid="{00000000-0005-0000-0000-0000A9500000}"/>
    <cellStyle name="40% - Accent1 2 2 4 3" xfId="4073" xr:uid="{00000000-0005-0000-0000-0000AA500000}"/>
    <cellStyle name="40% - Accent1 2 2 4 3 2" xfId="9553" xr:uid="{00000000-0005-0000-0000-0000AB500000}"/>
    <cellStyle name="40% - Accent1 2 2 4 3 3" xfId="15029" xr:uid="{00000000-0005-0000-0000-0000AC500000}"/>
    <cellStyle name="40% - Accent1 2 2 4 3 4" xfId="20505" xr:uid="{00000000-0005-0000-0000-0000AD500000}"/>
    <cellStyle name="40% - Accent1 2 2 4 3 5" xfId="25981" xr:uid="{00000000-0005-0000-0000-0000AE500000}"/>
    <cellStyle name="40% - Accent1 2 2 4 3 6" xfId="37777" xr:uid="{00000000-0005-0000-0000-0000AF500000}"/>
    <cellStyle name="40% - Accent1 2 2 4 3 7" xfId="43254" xr:uid="{00000000-0005-0000-0000-0000B0500000}"/>
    <cellStyle name="40% - Accent1 2 2 4 3 8" xfId="48731" xr:uid="{00000000-0005-0000-0000-0000B1500000}"/>
    <cellStyle name="40% - Accent1 2 2 4 3 9" xfId="54249" xr:uid="{00000000-0005-0000-0000-0000B2500000}"/>
    <cellStyle name="40% - Accent1 2 2 4 4" xfId="6247" xr:uid="{00000000-0005-0000-0000-0000B3500000}"/>
    <cellStyle name="40% - Accent1 2 2 4 5" xfId="11727" xr:uid="{00000000-0005-0000-0000-0000B4500000}"/>
    <cellStyle name="40% - Accent1 2 2 4 6" xfId="17203" xr:uid="{00000000-0005-0000-0000-0000B5500000}"/>
    <cellStyle name="40% - Accent1 2 2 4 7" xfId="22679" xr:uid="{00000000-0005-0000-0000-0000B6500000}"/>
    <cellStyle name="40% - Accent1 2 2 4 8" xfId="34474" xr:uid="{00000000-0005-0000-0000-0000B7500000}"/>
    <cellStyle name="40% - Accent1 2 2 4 9" xfId="39951" xr:uid="{00000000-0005-0000-0000-0000B8500000}"/>
    <cellStyle name="40% - Accent1 2 2 5" xfId="712" xr:uid="{00000000-0005-0000-0000-0000B9500000}"/>
    <cellStyle name="40% - Accent1 2 2 5 10" xfId="45429" xr:uid="{00000000-0005-0000-0000-0000BA500000}"/>
    <cellStyle name="40% - Accent1 2 2 5 11" xfId="50907" xr:uid="{00000000-0005-0000-0000-0000BB500000}"/>
    <cellStyle name="40% - Accent1 2 2 5 2" xfId="2473" xr:uid="{00000000-0005-0000-0000-0000BC500000}"/>
    <cellStyle name="40% - Accent1 2 2 5 2 2" xfId="7953" xr:uid="{00000000-0005-0000-0000-0000BD500000}"/>
    <cellStyle name="40% - Accent1 2 2 5 2 3" xfId="13429" xr:uid="{00000000-0005-0000-0000-0000BE500000}"/>
    <cellStyle name="40% - Accent1 2 2 5 2 4" xfId="18905" xr:uid="{00000000-0005-0000-0000-0000BF500000}"/>
    <cellStyle name="40% - Accent1 2 2 5 2 5" xfId="24381" xr:uid="{00000000-0005-0000-0000-0000C0500000}"/>
    <cellStyle name="40% - Accent1 2 2 5 2 6" xfId="36177" xr:uid="{00000000-0005-0000-0000-0000C1500000}"/>
    <cellStyle name="40% - Accent1 2 2 5 2 7" xfId="41654" xr:uid="{00000000-0005-0000-0000-0000C2500000}"/>
    <cellStyle name="40% - Accent1 2 2 5 2 8" xfId="47131" xr:uid="{00000000-0005-0000-0000-0000C3500000}"/>
    <cellStyle name="40% - Accent1 2 2 5 2 9" xfId="52649" xr:uid="{00000000-0005-0000-0000-0000C4500000}"/>
    <cellStyle name="40% - Accent1 2 2 5 3" xfId="4245" xr:uid="{00000000-0005-0000-0000-0000C5500000}"/>
    <cellStyle name="40% - Accent1 2 2 5 3 2" xfId="9725" xr:uid="{00000000-0005-0000-0000-0000C6500000}"/>
    <cellStyle name="40% - Accent1 2 2 5 3 3" xfId="15201" xr:uid="{00000000-0005-0000-0000-0000C7500000}"/>
    <cellStyle name="40% - Accent1 2 2 5 3 4" xfId="20677" xr:uid="{00000000-0005-0000-0000-0000C8500000}"/>
    <cellStyle name="40% - Accent1 2 2 5 3 5" xfId="26153" xr:uid="{00000000-0005-0000-0000-0000C9500000}"/>
    <cellStyle name="40% - Accent1 2 2 5 3 6" xfId="37949" xr:uid="{00000000-0005-0000-0000-0000CA500000}"/>
    <cellStyle name="40% - Accent1 2 2 5 3 7" xfId="43426" xr:uid="{00000000-0005-0000-0000-0000CB500000}"/>
    <cellStyle name="40% - Accent1 2 2 5 3 8" xfId="48903" xr:uid="{00000000-0005-0000-0000-0000CC500000}"/>
    <cellStyle name="40% - Accent1 2 2 5 3 9" xfId="54421" xr:uid="{00000000-0005-0000-0000-0000CD500000}"/>
    <cellStyle name="40% - Accent1 2 2 5 4" xfId="6248" xr:uid="{00000000-0005-0000-0000-0000CE500000}"/>
    <cellStyle name="40% - Accent1 2 2 5 5" xfId="11728" xr:uid="{00000000-0005-0000-0000-0000CF500000}"/>
    <cellStyle name="40% - Accent1 2 2 5 6" xfId="17204" xr:uid="{00000000-0005-0000-0000-0000D0500000}"/>
    <cellStyle name="40% - Accent1 2 2 5 7" xfId="22680" xr:uid="{00000000-0005-0000-0000-0000D1500000}"/>
    <cellStyle name="40% - Accent1 2 2 5 8" xfId="34475" xr:uid="{00000000-0005-0000-0000-0000D2500000}"/>
    <cellStyle name="40% - Accent1 2 2 5 9" xfId="39952" xr:uid="{00000000-0005-0000-0000-0000D3500000}"/>
    <cellStyle name="40% - Accent1 2 2 6" xfId="884" xr:uid="{00000000-0005-0000-0000-0000D4500000}"/>
    <cellStyle name="40% - Accent1 2 2 6 10" xfId="45430" xr:uid="{00000000-0005-0000-0000-0000D5500000}"/>
    <cellStyle name="40% - Accent1 2 2 6 11" xfId="50908" xr:uid="{00000000-0005-0000-0000-0000D6500000}"/>
    <cellStyle name="40% - Accent1 2 2 6 2" xfId="2645" xr:uid="{00000000-0005-0000-0000-0000D7500000}"/>
    <cellStyle name="40% - Accent1 2 2 6 2 2" xfId="8125" xr:uid="{00000000-0005-0000-0000-0000D8500000}"/>
    <cellStyle name="40% - Accent1 2 2 6 2 3" xfId="13601" xr:uid="{00000000-0005-0000-0000-0000D9500000}"/>
    <cellStyle name="40% - Accent1 2 2 6 2 4" xfId="19077" xr:uid="{00000000-0005-0000-0000-0000DA500000}"/>
    <cellStyle name="40% - Accent1 2 2 6 2 5" xfId="24553" xr:uid="{00000000-0005-0000-0000-0000DB500000}"/>
    <cellStyle name="40% - Accent1 2 2 6 2 6" xfId="36349" xr:uid="{00000000-0005-0000-0000-0000DC500000}"/>
    <cellStyle name="40% - Accent1 2 2 6 2 7" xfId="41826" xr:uid="{00000000-0005-0000-0000-0000DD500000}"/>
    <cellStyle name="40% - Accent1 2 2 6 2 8" xfId="47303" xr:uid="{00000000-0005-0000-0000-0000DE500000}"/>
    <cellStyle name="40% - Accent1 2 2 6 2 9" xfId="52821" xr:uid="{00000000-0005-0000-0000-0000DF500000}"/>
    <cellStyle name="40% - Accent1 2 2 6 3" xfId="4417" xr:uid="{00000000-0005-0000-0000-0000E0500000}"/>
    <cellStyle name="40% - Accent1 2 2 6 3 2" xfId="9897" xr:uid="{00000000-0005-0000-0000-0000E1500000}"/>
    <cellStyle name="40% - Accent1 2 2 6 3 3" xfId="15373" xr:uid="{00000000-0005-0000-0000-0000E2500000}"/>
    <cellStyle name="40% - Accent1 2 2 6 3 4" xfId="20849" xr:uid="{00000000-0005-0000-0000-0000E3500000}"/>
    <cellStyle name="40% - Accent1 2 2 6 3 5" xfId="26325" xr:uid="{00000000-0005-0000-0000-0000E4500000}"/>
    <cellStyle name="40% - Accent1 2 2 6 3 6" xfId="38121" xr:uid="{00000000-0005-0000-0000-0000E5500000}"/>
    <cellStyle name="40% - Accent1 2 2 6 3 7" xfId="43598" xr:uid="{00000000-0005-0000-0000-0000E6500000}"/>
    <cellStyle name="40% - Accent1 2 2 6 3 8" xfId="49075" xr:uid="{00000000-0005-0000-0000-0000E7500000}"/>
    <cellStyle name="40% - Accent1 2 2 6 3 9" xfId="54593" xr:uid="{00000000-0005-0000-0000-0000E8500000}"/>
    <cellStyle name="40% - Accent1 2 2 6 4" xfId="6249" xr:uid="{00000000-0005-0000-0000-0000E9500000}"/>
    <cellStyle name="40% - Accent1 2 2 6 5" xfId="11729" xr:uid="{00000000-0005-0000-0000-0000EA500000}"/>
    <cellStyle name="40% - Accent1 2 2 6 6" xfId="17205" xr:uid="{00000000-0005-0000-0000-0000EB500000}"/>
    <cellStyle name="40% - Accent1 2 2 6 7" xfId="22681" xr:uid="{00000000-0005-0000-0000-0000EC500000}"/>
    <cellStyle name="40% - Accent1 2 2 6 8" xfId="34476" xr:uid="{00000000-0005-0000-0000-0000ED500000}"/>
    <cellStyle name="40% - Accent1 2 2 6 9" xfId="39953" xr:uid="{00000000-0005-0000-0000-0000EE500000}"/>
    <cellStyle name="40% - Accent1 2 2 7" xfId="1090" xr:uid="{00000000-0005-0000-0000-0000EF500000}"/>
    <cellStyle name="40% - Accent1 2 2 7 10" xfId="45431" xr:uid="{00000000-0005-0000-0000-0000F0500000}"/>
    <cellStyle name="40% - Accent1 2 2 7 11" xfId="50909" xr:uid="{00000000-0005-0000-0000-0000F1500000}"/>
    <cellStyle name="40% - Accent1 2 2 7 2" xfId="2851" xr:uid="{00000000-0005-0000-0000-0000F2500000}"/>
    <cellStyle name="40% - Accent1 2 2 7 2 2" xfId="8331" xr:uid="{00000000-0005-0000-0000-0000F3500000}"/>
    <cellStyle name="40% - Accent1 2 2 7 2 3" xfId="13807" xr:uid="{00000000-0005-0000-0000-0000F4500000}"/>
    <cellStyle name="40% - Accent1 2 2 7 2 4" xfId="19283" xr:uid="{00000000-0005-0000-0000-0000F5500000}"/>
    <cellStyle name="40% - Accent1 2 2 7 2 5" xfId="24759" xr:uid="{00000000-0005-0000-0000-0000F6500000}"/>
    <cellStyle name="40% - Accent1 2 2 7 2 6" xfId="36555" xr:uid="{00000000-0005-0000-0000-0000F7500000}"/>
    <cellStyle name="40% - Accent1 2 2 7 2 7" xfId="42032" xr:uid="{00000000-0005-0000-0000-0000F8500000}"/>
    <cellStyle name="40% - Accent1 2 2 7 2 8" xfId="47509" xr:uid="{00000000-0005-0000-0000-0000F9500000}"/>
    <cellStyle name="40% - Accent1 2 2 7 2 9" xfId="53027" xr:uid="{00000000-0005-0000-0000-0000FA500000}"/>
    <cellStyle name="40% - Accent1 2 2 7 3" xfId="4623" xr:uid="{00000000-0005-0000-0000-0000FB500000}"/>
    <cellStyle name="40% - Accent1 2 2 7 3 2" xfId="10103" xr:uid="{00000000-0005-0000-0000-0000FC500000}"/>
    <cellStyle name="40% - Accent1 2 2 7 3 3" xfId="15579" xr:uid="{00000000-0005-0000-0000-0000FD500000}"/>
    <cellStyle name="40% - Accent1 2 2 7 3 4" xfId="21055" xr:uid="{00000000-0005-0000-0000-0000FE500000}"/>
    <cellStyle name="40% - Accent1 2 2 7 3 5" xfId="26531" xr:uid="{00000000-0005-0000-0000-0000FF500000}"/>
    <cellStyle name="40% - Accent1 2 2 7 3 6" xfId="38327" xr:uid="{00000000-0005-0000-0000-000000510000}"/>
    <cellStyle name="40% - Accent1 2 2 7 3 7" xfId="43804" xr:uid="{00000000-0005-0000-0000-000001510000}"/>
    <cellStyle name="40% - Accent1 2 2 7 3 8" xfId="49281" xr:uid="{00000000-0005-0000-0000-000002510000}"/>
    <cellStyle name="40% - Accent1 2 2 7 3 9" xfId="54799" xr:uid="{00000000-0005-0000-0000-000003510000}"/>
    <cellStyle name="40% - Accent1 2 2 7 4" xfId="6250" xr:uid="{00000000-0005-0000-0000-000004510000}"/>
    <cellStyle name="40% - Accent1 2 2 7 5" xfId="11730" xr:uid="{00000000-0005-0000-0000-000005510000}"/>
    <cellStyle name="40% - Accent1 2 2 7 6" xfId="17206" xr:uid="{00000000-0005-0000-0000-000006510000}"/>
    <cellStyle name="40% - Accent1 2 2 7 7" xfId="22682" xr:uid="{00000000-0005-0000-0000-000007510000}"/>
    <cellStyle name="40% - Accent1 2 2 7 8" xfId="34477" xr:uid="{00000000-0005-0000-0000-000008510000}"/>
    <cellStyle name="40% - Accent1 2 2 7 9" xfId="39954" xr:uid="{00000000-0005-0000-0000-000009510000}"/>
    <cellStyle name="40% - Accent1 2 2 8" xfId="1262" xr:uid="{00000000-0005-0000-0000-00000A510000}"/>
    <cellStyle name="40% - Accent1 2 2 8 10" xfId="45432" xr:uid="{00000000-0005-0000-0000-00000B510000}"/>
    <cellStyle name="40% - Accent1 2 2 8 11" xfId="50910" xr:uid="{00000000-0005-0000-0000-00000C510000}"/>
    <cellStyle name="40% - Accent1 2 2 8 2" xfId="3023" xr:uid="{00000000-0005-0000-0000-00000D510000}"/>
    <cellStyle name="40% - Accent1 2 2 8 2 2" xfId="8503" xr:uid="{00000000-0005-0000-0000-00000E510000}"/>
    <cellStyle name="40% - Accent1 2 2 8 2 3" xfId="13979" xr:uid="{00000000-0005-0000-0000-00000F510000}"/>
    <cellStyle name="40% - Accent1 2 2 8 2 4" xfId="19455" xr:uid="{00000000-0005-0000-0000-000010510000}"/>
    <cellStyle name="40% - Accent1 2 2 8 2 5" xfId="24931" xr:uid="{00000000-0005-0000-0000-000011510000}"/>
    <cellStyle name="40% - Accent1 2 2 8 2 6" xfId="36727" xr:uid="{00000000-0005-0000-0000-000012510000}"/>
    <cellStyle name="40% - Accent1 2 2 8 2 7" xfId="42204" xr:uid="{00000000-0005-0000-0000-000013510000}"/>
    <cellStyle name="40% - Accent1 2 2 8 2 8" xfId="47681" xr:uid="{00000000-0005-0000-0000-000014510000}"/>
    <cellStyle name="40% - Accent1 2 2 8 2 9" xfId="53199" xr:uid="{00000000-0005-0000-0000-000015510000}"/>
    <cellStyle name="40% - Accent1 2 2 8 3" xfId="4795" xr:uid="{00000000-0005-0000-0000-000016510000}"/>
    <cellStyle name="40% - Accent1 2 2 8 3 2" xfId="10275" xr:uid="{00000000-0005-0000-0000-000017510000}"/>
    <cellStyle name="40% - Accent1 2 2 8 3 3" xfId="15751" xr:uid="{00000000-0005-0000-0000-000018510000}"/>
    <cellStyle name="40% - Accent1 2 2 8 3 4" xfId="21227" xr:uid="{00000000-0005-0000-0000-000019510000}"/>
    <cellStyle name="40% - Accent1 2 2 8 3 5" xfId="26703" xr:uid="{00000000-0005-0000-0000-00001A510000}"/>
    <cellStyle name="40% - Accent1 2 2 8 3 6" xfId="38499" xr:uid="{00000000-0005-0000-0000-00001B510000}"/>
    <cellStyle name="40% - Accent1 2 2 8 3 7" xfId="43976" xr:uid="{00000000-0005-0000-0000-00001C510000}"/>
    <cellStyle name="40% - Accent1 2 2 8 3 8" xfId="49453" xr:uid="{00000000-0005-0000-0000-00001D510000}"/>
    <cellStyle name="40% - Accent1 2 2 8 3 9" xfId="54971" xr:uid="{00000000-0005-0000-0000-00001E510000}"/>
    <cellStyle name="40% - Accent1 2 2 8 4" xfId="6251" xr:uid="{00000000-0005-0000-0000-00001F510000}"/>
    <cellStyle name="40% - Accent1 2 2 8 5" xfId="11731" xr:uid="{00000000-0005-0000-0000-000020510000}"/>
    <cellStyle name="40% - Accent1 2 2 8 6" xfId="17207" xr:uid="{00000000-0005-0000-0000-000021510000}"/>
    <cellStyle name="40% - Accent1 2 2 8 7" xfId="22683" xr:uid="{00000000-0005-0000-0000-000022510000}"/>
    <cellStyle name="40% - Accent1 2 2 8 8" xfId="34478" xr:uid="{00000000-0005-0000-0000-000023510000}"/>
    <cellStyle name="40% - Accent1 2 2 8 9" xfId="39955" xr:uid="{00000000-0005-0000-0000-000024510000}"/>
    <cellStyle name="40% - Accent1 2 2 9" xfId="1434" xr:uid="{00000000-0005-0000-0000-000025510000}"/>
    <cellStyle name="40% - Accent1 2 2 9 10" xfId="45433" xr:uid="{00000000-0005-0000-0000-000026510000}"/>
    <cellStyle name="40% - Accent1 2 2 9 11" xfId="50911" xr:uid="{00000000-0005-0000-0000-000027510000}"/>
    <cellStyle name="40% - Accent1 2 2 9 2" xfId="3195" xr:uid="{00000000-0005-0000-0000-000028510000}"/>
    <cellStyle name="40% - Accent1 2 2 9 2 2" xfId="8675" xr:uid="{00000000-0005-0000-0000-000029510000}"/>
    <cellStyle name="40% - Accent1 2 2 9 2 3" xfId="14151" xr:uid="{00000000-0005-0000-0000-00002A510000}"/>
    <cellStyle name="40% - Accent1 2 2 9 2 4" xfId="19627" xr:uid="{00000000-0005-0000-0000-00002B510000}"/>
    <cellStyle name="40% - Accent1 2 2 9 2 5" xfId="25103" xr:uid="{00000000-0005-0000-0000-00002C510000}"/>
    <cellStyle name="40% - Accent1 2 2 9 2 6" xfId="36899" xr:uid="{00000000-0005-0000-0000-00002D510000}"/>
    <cellStyle name="40% - Accent1 2 2 9 2 7" xfId="42376" xr:uid="{00000000-0005-0000-0000-00002E510000}"/>
    <cellStyle name="40% - Accent1 2 2 9 2 8" xfId="47853" xr:uid="{00000000-0005-0000-0000-00002F510000}"/>
    <cellStyle name="40% - Accent1 2 2 9 2 9" xfId="53371" xr:uid="{00000000-0005-0000-0000-000030510000}"/>
    <cellStyle name="40% - Accent1 2 2 9 3" xfId="4967" xr:uid="{00000000-0005-0000-0000-000031510000}"/>
    <cellStyle name="40% - Accent1 2 2 9 3 2" xfId="10447" xr:uid="{00000000-0005-0000-0000-000032510000}"/>
    <cellStyle name="40% - Accent1 2 2 9 3 3" xfId="15923" xr:uid="{00000000-0005-0000-0000-000033510000}"/>
    <cellStyle name="40% - Accent1 2 2 9 3 4" xfId="21399" xr:uid="{00000000-0005-0000-0000-000034510000}"/>
    <cellStyle name="40% - Accent1 2 2 9 3 5" xfId="26875" xr:uid="{00000000-0005-0000-0000-000035510000}"/>
    <cellStyle name="40% - Accent1 2 2 9 3 6" xfId="38671" xr:uid="{00000000-0005-0000-0000-000036510000}"/>
    <cellStyle name="40% - Accent1 2 2 9 3 7" xfId="44148" xr:uid="{00000000-0005-0000-0000-000037510000}"/>
    <cellStyle name="40% - Accent1 2 2 9 3 8" xfId="49625" xr:uid="{00000000-0005-0000-0000-000038510000}"/>
    <cellStyle name="40% - Accent1 2 2 9 3 9" xfId="55143" xr:uid="{00000000-0005-0000-0000-000039510000}"/>
    <cellStyle name="40% - Accent1 2 2 9 4" xfId="6252" xr:uid="{00000000-0005-0000-0000-00003A510000}"/>
    <cellStyle name="40% - Accent1 2 2 9 5" xfId="11732" xr:uid="{00000000-0005-0000-0000-00003B510000}"/>
    <cellStyle name="40% - Accent1 2 2 9 6" xfId="17208" xr:uid="{00000000-0005-0000-0000-00003C510000}"/>
    <cellStyle name="40% - Accent1 2 2 9 7" xfId="22684" xr:uid="{00000000-0005-0000-0000-00003D510000}"/>
    <cellStyle name="40% - Accent1 2 2 9 8" xfId="34479" xr:uid="{00000000-0005-0000-0000-00003E510000}"/>
    <cellStyle name="40% - Accent1 2 2 9 9" xfId="39956" xr:uid="{00000000-0005-0000-0000-00003F510000}"/>
    <cellStyle name="40% - Accent1 2 20" xfId="6224" xr:uid="{00000000-0005-0000-0000-000040510000}"/>
    <cellStyle name="40% - Accent1 2 21" xfId="11704" xr:uid="{00000000-0005-0000-0000-000041510000}"/>
    <cellStyle name="40% - Accent1 2 22" xfId="17180" xr:uid="{00000000-0005-0000-0000-000042510000}"/>
    <cellStyle name="40% - Accent1 2 23" xfId="22656" xr:uid="{00000000-0005-0000-0000-000043510000}"/>
    <cellStyle name="40% - Accent1 2 24" xfId="30380" xr:uid="{00000000-0005-0000-0000-000044510000}"/>
    <cellStyle name="40% - Accent1 2 25" xfId="34451" xr:uid="{00000000-0005-0000-0000-000045510000}"/>
    <cellStyle name="40% - Accent1 2 26" xfId="39928" xr:uid="{00000000-0005-0000-0000-000046510000}"/>
    <cellStyle name="40% - Accent1 2 27" xfId="45405" xr:uid="{00000000-0005-0000-0000-000047510000}"/>
    <cellStyle name="40% - Accent1 2 28" xfId="50883" xr:uid="{00000000-0005-0000-0000-000048510000}"/>
    <cellStyle name="40% - Accent1 2 3" xfId="153" xr:uid="{00000000-0005-0000-0000-000049510000}"/>
    <cellStyle name="40% - Accent1 2 3 10" xfId="1608" xr:uid="{00000000-0005-0000-0000-00004A510000}"/>
    <cellStyle name="40% - Accent1 2 3 10 10" xfId="45435" xr:uid="{00000000-0005-0000-0000-00004B510000}"/>
    <cellStyle name="40% - Accent1 2 3 10 11" xfId="50913" xr:uid="{00000000-0005-0000-0000-00004C510000}"/>
    <cellStyle name="40% - Accent1 2 3 10 2" xfId="3369" xr:uid="{00000000-0005-0000-0000-00004D510000}"/>
    <cellStyle name="40% - Accent1 2 3 10 2 2" xfId="8849" xr:uid="{00000000-0005-0000-0000-00004E510000}"/>
    <cellStyle name="40% - Accent1 2 3 10 2 3" xfId="14325" xr:uid="{00000000-0005-0000-0000-00004F510000}"/>
    <cellStyle name="40% - Accent1 2 3 10 2 4" xfId="19801" xr:uid="{00000000-0005-0000-0000-000050510000}"/>
    <cellStyle name="40% - Accent1 2 3 10 2 5" xfId="25277" xr:uid="{00000000-0005-0000-0000-000051510000}"/>
    <cellStyle name="40% - Accent1 2 3 10 2 6" xfId="37073" xr:uid="{00000000-0005-0000-0000-000052510000}"/>
    <cellStyle name="40% - Accent1 2 3 10 2 7" xfId="42550" xr:uid="{00000000-0005-0000-0000-000053510000}"/>
    <cellStyle name="40% - Accent1 2 3 10 2 8" xfId="48027" xr:uid="{00000000-0005-0000-0000-000054510000}"/>
    <cellStyle name="40% - Accent1 2 3 10 2 9" xfId="53545" xr:uid="{00000000-0005-0000-0000-000055510000}"/>
    <cellStyle name="40% - Accent1 2 3 10 3" xfId="5141" xr:uid="{00000000-0005-0000-0000-000056510000}"/>
    <cellStyle name="40% - Accent1 2 3 10 3 2" xfId="10621" xr:uid="{00000000-0005-0000-0000-000057510000}"/>
    <cellStyle name="40% - Accent1 2 3 10 3 3" xfId="16097" xr:uid="{00000000-0005-0000-0000-000058510000}"/>
    <cellStyle name="40% - Accent1 2 3 10 3 4" xfId="21573" xr:uid="{00000000-0005-0000-0000-000059510000}"/>
    <cellStyle name="40% - Accent1 2 3 10 3 5" xfId="27049" xr:uid="{00000000-0005-0000-0000-00005A510000}"/>
    <cellStyle name="40% - Accent1 2 3 10 3 6" xfId="38845" xr:uid="{00000000-0005-0000-0000-00005B510000}"/>
    <cellStyle name="40% - Accent1 2 3 10 3 7" xfId="44322" xr:uid="{00000000-0005-0000-0000-00005C510000}"/>
    <cellStyle name="40% - Accent1 2 3 10 3 8" xfId="49799" xr:uid="{00000000-0005-0000-0000-00005D510000}"/>
    <cellStyle name="40% - Accent1 2 3 10 3 9" xfId="55317" xr:uid="{00000000-0005-0000-0000-00005E510000}"/>
    <cellStyle name="40% - Accent1 2 3 10 4" xfId="6254" xr:uid="{00000000-0005-0000-0000-00005F510000}"/>
    <cellStyle name="40% - Accent1 2 3 10 5" xfId="11734" xr:uid="{00000000-0005-0000-0000-000060510000}"/>
    <cellStyle name="40% - Accent1 2 3 10 6" xfId="17210" xr:uid="{00000000-0005-0000-0000-000061510000}"/>
    <cellStyle name="40% - Accent1 2 3 10 7" xfId="22686" xr:uid="{00000000-0005-0000-0000-000062510000}"/>
    <cellStyle name="40% - Accent1 2 3 10 8" xfId="34481" xr:uid="{00000000-0005-0000-0000-000063510000}"/>
    <cellStyle name="40% - Accent1 2 3 10 9" xfId="39958" xr:uid="{00000000-0005-0000-0000-000064510000}"/>
    <cellStyle name="40% - Accent1 2 3 11" xfId="1750" xr:uid="{00000000-0005-0000-0000-000065510000}"/>
    <cellStyle name="40% - Accent1 2 3 11 10" xfId="45436" xr:uid="{00000000-0005-0000-0000-000066510000}"/>
    <cellStyle name="40% - Accent1 2 3 11 11" xfId="50914" xr:uid="{00000000-0005-0000-0000-000067510000}"/>
    <cellStyle name="40% - Accent1 2 3 11 2" xfId="3511" xr:uid="{00000000-0005-0000-0000-000068510000}"/>
    <cellStyle name="40% - Accent1 2 3 11 2 2" xfId="8991" xr:uid="{00000000-0005-0000-0000-000069510000}"/>
    <cellStyle name="40% - Accent1 2 3 11 2 3" xfId="14467" xr:uid="{00000000-0005-0000-0000-00006A510000}"/>
    <cellStyle name="40% - Accent1 2 3 11 2 4" xfId="19943" xr:uid="{00000000-0005-0000-0000-00006B510000}"/>
    <cellStyle name="40% - Accent1 2 3 11 2 5" xfId="25419" xr:uid="{00000000-0005-0000-0000-00006C510000}"/>
    <cellStyle name="40% - Accent1 2 3 11 2 6" xfId="37215" xr:uid="{00000000-0005-0000-0000-00006D510000}"/>
    <cellStyle name="40% - Accent1 2 3 11 2 7" xfId="42692" xr:uid="{00000000-0005-0000-0000-00006E510000}"/>
    <cellStyle name="40% - Accent1 2 3 11 2 8" xfId="48169" xr:uid="{00000000-0005-0000-0000-00006F510000}"/>
    <cellStyle name="40% - Accent1 2 3 11 2 9" xfId="53687" xr:uid="{00000000-0005-0000-0000-000070510000}"/>
    <cellStyle name="40% - Accent1 2 3 11 3" xfId="5283" xr:uid="{00000000-0005-0000-0000-000071510000}"/>
    <cellStyle name="40% - Accent1 2 3 11 3 2" xfId="10763" xr:uid="{00000000-0005-0000-0000-000072510000}"/>
    <cellStyle name="40% - Accent1 2 3 11 3 3" xfId="16239" xr:uid="{00000000-0005-0000-0000-000073510000}"/>
    <cellStyle name="40% - Accent1 2 3 11 3 4" xfId="21715" xr:uid="{00000000-0005-0000-0000-000074510000}"/>
    <cellStyle name="40% - Accent1 2 3 11 3 5" xfId="27191" xr:uid="{00000000-0005-0000-0000-000075510000}"/>
    <cellStyle name="40% - Accent1 2 3 11 3 6" xfId="38987" xr:uid="{00000000-0005-0000-0000-000076510000}"/>
    <cellStyle name="40% - Accent1 2 3 11 3 7" xfId="44464" xr:uid="{00000000-0005-0000-0000-000077510000}"/>
    <cellStyle name="40% - Accent1 2 3 11 3 8" xfId="49941" xr:uid="{00000000-0005-0000-0000-000078510000}"/>
    <cellStyle name="40% - Accent1 2 3 11 3 9" xfId="55459" xr:uid="{00000000-0005-0000-0000-000079510000}"/>
    <cellStyle name="40% - Accent1 2 3 11 4" xfId="6255" xr:uid="{00000000-0005-0000-0000-00007A510000}"/>
    <cellStyle name="40% - Accent1 2 3 11 5" xfId="11735" xr:uid="{00000000-0005-0000-0000-00007B510000}"/>
    <cellStyle name="40% - Accent1 2 3 11 6" xfId="17211" xr:uid="{00000000-0005-0000-0000-00007C510000}"/>
    <cellStyle name="40% - Accent1 2 3 11 7" xfId="22687" xr:uid="{00000000-0005-0000-0000-00007D510000}"/>
    <cellStyle name="40% - Accent1 2 3 11 8" xfId="34482" xr:uid="{00000000-0005-0000-0000-00007E510000}"/>
    <cellStyle name="40% - Accent1 2 3 11 9" xfId="39959" xr:uid="{00000000-0005-0000-0000-00007F510000}"/>
    <cellStyle name="40% - Accent1 2 3 12" xfId="1970" xr:uid="{00000000-0005-0000-0000-000080510000}"/>
    <cellStyle name="40% - Accent1 2 3 12 10" xfId="52147" xr:uid="{00000000-0005-0000-0000-000081510000}"/>
    <cellStyle name="40% - Accent1 2 3 12 2" xfId="5502" xr:uid="{00000000-0005-0000-0000-000082510000}"/>
    <cellStyle name="40% - Accent1 2 3 12 2 2" xfId="10982" xr:uid="{00000000-0005-0000-0000-000083510000}"/>
    <cellStyle name="40% - Accent1 2 3 12 2 3" xfId="16458" xr:uid="{00000000-0005-0000-0000-000084510000}"/>
    <cellStyle name="40% - Accent1 2 3 12 2 4" xfId="21934" xr:uid="{00000000-0005-0000-0000-000085510000}"/>
    <cellStyle name="40% - Accent1 2 3 12 2 5" xfId="27410" xr:uid="{00000000-0005-0000-0000-000086510000}"/>
    <cellStyle name="40% - Accent1 2 3 12 2 6" xfId="39206" xr:uid="{00000000-0005-0000-0000-000087510000}"/>
    <cellStyle name="40% - Accent1 2 3 12 2 7" xfId="44683" xr:uid="{00000000-0005-0000-0000-000088510000}"/>
    <cellStyle name="40% - Accent1 2 3 12 2 8" xfId="50160" xr:uid="{00000000-0005-0000-0000-000089510000}"/>
    <cellStyle name="40% - Accent1 2 3 12 2 9" xfId="55678" xr:uid="{00000000-0005-0000-0000-00008A510000}"/>
    <cellStyle name="40% - Accent1 2 3 12 3" xfId="7451" xr:uid="{00000000-0005-0000-0000-00008B510000}"/>
    <cellStyle name="40% - Accent1 2 3 12 4" xfId="12927" xr:uid="{00000000-0005-0000-0000-00008C510000}"/>
    <cellStyle name="40% - Accent1 2 3 12 5" xfId="18403" xr:uid="{00000000-0005-0000-0000-00008D510000}"/>
    <cellStyle name="40% - Accent1 2 3 12 6" xfId="23879" xr:uid="{00000000-0005-0000-0000-00008E510000}"/>
    <cellStyle name="40% - Accent1 2 3 12 7" xfId="35675" xr:uid="{00000000-0005-0000-0000-00008F510000}"/>
    <cellStyle name="40% - Accent1 2 3 12 8" xfId="41152" xr:uid="{00000000-0005-0000-0000-000090510000}"/>
    <cellStyle name="40% - Accent1 2 3 12 9" xfId="46629" xr:uid="{00000000-0005-0000-0000-000091510000}"/>
    <cellStyle name="40% - Accent1 2 3 13" xfId="3725" xr:uid="{00000000-0005-0000-0000-000092510000}"/>
    <cellStyle name="40% - Accent1 2 3 13 2" xfId="9205" xr:uid="{00000000-0005-0000-0000-000093510000}"/>
    <cellStyle name="40% - Accent1 2 3 13 3" xfId="14681" xr:uid="{00000000-0005-0000-0000-000094510000}"/>
    <cellStyle name="40% - Accent1 2 3 13 4" xfId="20157" xr:uid="{00000000-0005-0000-0000-000095510000}"/>
    <cellStyle name="40% - Accent1 2 3 13 5" xfId="25633" xr:uid="{00000000-0005-0000-0000-000096510000}"/>
    <cellStyle name="40% - Accent1 2 3 13 6" xfId="37429" xr:uid="{00000000-0005-0000-0000-000097510000}"/>
    <cellStyle name="40% - Accent1 2 3 13 7" xfId="42906" xr:uid="{00000000-0005-0000-0000-000098510000}"/>
    <cellStyle name="40% - Accent1 2 3 13 8" xfId="48383" xr:uid="{00000000-0005-0000-0000-000099510000}"/>
    <cellStyle name="40% - Accent1 2 3 13 9" xfId="53901" xr:uid="{00000000-0005-0000-0000-00009A510000}"/>
    <cellStyle name="40% - Accent1 2 3 14" xfId="6253" xr:uid="{00000000-0005-0000-0000-00009B510000}"/>
    <cellStyle name="40% - Accent1 2 3 15" xfId="11733" xr:uid="{00000000-0005-0000-0000-00009C510000}"/>
    <cellStyle name="40% - Accent1 2 3 16" xfId="17209" xr:uid="{00000000-0005-0000-0000-00009D510000}"/>
    <cellStyle name="40% - Accent1 2 3 17" xfId="22685" xr:uid="{00000000-0005-0000-0000-00009E510000}"/>
    <cellStyle name="40% - Accent1 2 3 18" xfId="30385" xr:uid="{00000000-0005-0000-0000-00009F510000}"/>
    <cellStyle name="40% - Accent1 2 3 19" xfId="34480" xr:uid="{00000000-0005-0000-0000-0000A0510000}"/>
    <cellStyle name="40% - Accent1 2 3 2" xfId="245" xr:uid="{00000000-0005-0000-0000-0000A1510000}"/>
    <cellStyle name="40% - Accent1 2 3 2 10" xfId="1749" xr:uid="{00000000-0005-0000-0000-0000A2510000}"/>
    <cellStyle name="40% - Accent1 2 3 2 10 10" xfId="45438" xr:uid="{00000000-0005-0000-0000-0000A3510000}"/>
    <cellStyle name="40% - Accent1 2 3 2 10 11" xfId="50916" xr:uid="{00000000-0005-0000-0000-0000A4510000}"/>
    <cellStyle name="40% - Accent1 2 3 2 10 2" xfId="3510" xr:uid="{00000000-0005-0000-0000-0000A5510000}"/>
    <cellStyle name="40% - Accent1 2 3 2 10 2 2" xfId="8990" xr:uid="{00000000-0005-0000-0000-0000A6510000}"/>
    <cellStyle name="40% - Accent1 2 3 2 10 2 3" xfId="14466" xr:uid="{00000000-0005-0000-0000-0000A7510000}"/>
    <cellStyle name="40% - Accent1 2 3 2 10 2 4" xfId="19942" xr:uid="{00000000-0005-0000-0000-0000A8510000}"/>
    <cellStyle name="40% - Accent1 2 3 2 10 2 5" xfId="25418" xr:uid="{00000000-0005-0000-0000-0000A9510000}"/>
    <cellStyle name="40% - Accent1 2 3 2 10 2 6" xfId="37214" xr:uid="{00000000-0005-0000-0000-0000AA510000}"/>
    <cellStyle name="40% - Accent1 2 3 2 10 2 7" xfId="42691" xr:uid="{00000000-0005-0000-0000-0000AB510000}"/>
    <cellStyle name="40% - Accent1 2 3 2 10 2 8" xfId="48168" xr:uid="{00000000-0005-0000-0000-0000AC510000}"/>
    <cellStyle name="40% - Accent1 2 3 2 10 2 9" xfId="53686" xr:uid="{00000000-0005-0000-0000-0000AD510000}"/>
    <cellStyle name="40% - Accent1 2 3 2 10 3" xfId="5282" xr:uid="{00000000-0005-0000-0000-0000AE510000}"/>
    <cellStyle name="40% - Accent1 2 3 2 10 3 2" xfId="10762" xr:uid="{00000000-0005-0000-0000-0000AF510000}"/>
    <cellStyle name="40% - Accent1 2 3 2 10 3 3" xfId="16238" xr:uid="{00000000-0005-0000-0000-0000B0510000}"/>
    <cellStyle name="40% - Accent1 2 3 2 10 3 4" xfId="21714" xr:uid="{00000000-0005-0000-0000-0000B1510000}"/>
    <cellStyle name="40% - Accent1 2 3 2 10 3 5" xfId="27190" xr:uid="{00000000-0005-0000-0000-0000B2510000}"/>
    <cellStyle name="40% - Accent1 2 3 2 10 3 6" xfId="38986" xr:uid="{00000000-0005-0000-0000-0000B3510000}"/>
    <cellStyle name="40% - Accent1 2 3 2 10 3 7" xfId="44463" xr:uid="{00000000-0005-0000-0000-0000B4510000}"/>
    <cellStyle name="40% - Accent1 2 3 2 10 3 8" xfId="49940" xr:uid="{00000000-0005-0000-0000-0000B5510000}"/>
    <cellStyle name="40% - Accent1 2 3 2 10 3 9" xfId="55458" xr:uid="{00000000-0005-0000-0000-0000B6510000}"/>
    <cellStyle name="40% - Accent1 2 3 2 10 4" xfId="6257" xr:uid="{00000000-0005-0000-0000-0000B7510000}"/>
    <cellStyle name="40% - Accent1 2 3 2 10 5" xfId="11737" xr:uid="{00000000-0005-0000-0000-0000B8510000}"/>
    <cellStyle name="40% - Accent1 2 3 2 10 6" xfId="17213" xr:uid="{00000000-0005-0000-0000-0000B9510000}"/>
    <cellStyle name="40% - Accent1 2 3 2 10 7" xfId="22689" xr:uid="{00000000-0005-0000-0000-0000BA510000}"/>
    <cellStyle name="40% - Accent1 2 3 2 10 8" xfId="34484" xr:uid="{00000000-0005-0000-0000-0000BB510000}"/>
    <cellStyle name="40% - Accent1 2 3 2 10 9" xfId="39961" xr:uid="{00000000-0005-0000-0000-0000BC510000}"/>
    <cellStyle name="40% - Accent1 2 3 2 11" xfId="1971" xr:uid="{00000000-0005-0000-0000-0000BD510000}"/>
    <cellStyle name="40% - Accent1 2 3 2 11 10" xfId="52148" xr:uid="{00000000-0005-0000-0000-0000BE510000}"/>
    <cellStyle name="40% - Accent1 2 3 2 11 2" xfId="5503" xr:uid="{00000000-0005-0000-0000-0000BF510000}"/>
    <cellStyle name="40% - Accent1 2 3 2 11 2 2" xfId="10983" xr:uid="{00000000-0005-0000-0000-0000C0510000}"/>
    <cellStyle name="40% - Accent1 2 3 2 11 2 3" xfId="16459" xr:uid="{00000000-0005-0000-0000-0000C1510000}"/>
    <cellStyle name="40% - Accent1 2 3 2 11 2 4" xfId="21935" xr:uid="{00000000-0005-0000-0000-0000C2510000}"/>
    <cellStyle name="40% - Accent1 2 3 2 11 2 5" xfId="27411" xr:uid="{00000000-0005-0000-0000-0000C3510000}"/>
    <cellStyle name="40% - Accent1 2 3 2 11 2 6" xfId="39207" xr:uid="{00000000-0005-0000-0000-0000C4510000}"/>
    <cellStyle name="40% - Accent1 2 3 2 11 2 7" xfId="44684" xr:uid="{00000000-0005-0000-0000-0000C5510000}"/>
    <cellStyle name="40% - Accent1 2 3 2 11 2 8" xfId="50161" xr:uid="{00000000-0005-0000-0000-0000C6510000}"/>
    <cellStyle name="40% - Accent1 2 3 2 11 2 9" xfId="55679" xr:uid="{00000000-0005-0000-0000-0000C7510000}"/>
    <cellStyle name="40% - Accent1 2 3 2 11 3" xfId="7452" xr:uid="{00000000-0005-0000-0000-0000C8510000}"/>
    <cellStyle name="40% - Accent1 2 3 2 11 4" xfId="12928" xr:uid="{00000000-0005-0000-0000-0000C9510000}"/>
    <cellStyle name="40% - Accent1 2 3 2 11 5" xfId="18404" xr:uid="{00000000-0005-0000-0000-0000CA510000}"/>
    <cellStyle name="40% - Accent1 2 3 2 11 6" xfId="23880" xr:uid="{00000000-0005-0000-0000-0000CB510000}"/>
    <cellStyle name="40% - Accent1 2 3 2 11 7" xfId="35676" xr:uid="{00000000-0005-0000-0000-0000CC510000}"/>
    <cellStyle name="40% - Accent1 2 3 2 11 8" xfId="41153" xr:uid="{00000000-0005-0000-0000-0000CD510000}"/>
    <cellStyle name="40% - Accent1 2 3 2 11 9" xfId="46630" xr:uid="{00000000-0005-0000-0000-0000CE510000}"/>
    <cellStyle name="40% - Accent1 2 3 2 12" xfId="3811" xr:uid="{00000000-0005-0000-0000-0000CF510000}"/>
    <cellStyle name="40% - Accent1 2 3 2 12 2" xfId="9291" xr:uid="{00000000-0005-0000-0000-0000D0510000}"/>
    <cellStyle name="40% - Accent1 2 3 2 12 3" xfId="14767" xr:uid="{00000000-0005-0000-0000-0000D1510000}"/>
    <cellStyle name="40% - Accent1 2 3 2 12 4" xfId="20243" xr:uid="{00000000-0005-0000-0000-0000D2510000}"/>
    <cellStyle name="40% - Accent1 2 3 2 12 5" xfId="25719" xr:uid="{00000000-0005-0000-0000-0000D3510000}"/>
    <cellStyle name="40% - Accent1 2 3 2 12 6" xfId="37515" xr:uid="{00000000-0005-0000-0000-0000D4510000}"/>
    <cellStyle name="40% - Accent1 2 3 2 12 7" xfId="42992" xr:uid="{00000000-0005-0000-0000-0000D5510000}"/>
    <cellStyle name="40% - Accent1 2 3 2 12 8" xfId="48469" xr:uid="{00000000-0005-0000-0000-0000D6510000}"/>
    <cellStyle name="40% - Accent1 2 3 2 12 9" xfId="53987" xr:uid="{00000000-0005-0000-0000-0000D7510000}"/>
    <cellStyle name="40% - Accent1 2 3 2 13" xfId="6256" xr:uid="{00000000-0005-0000-0000-0000D8510000}"/>
    <cellStyle name="40% - Accent1 2 3 2 14" xfId="11736" xr:uid="{00000000-0005-0000-0000-0000D9510000}"/>
    <cellStyle name="40% - Accent1 2 3 2 15" xfId="17212" xr:uid="{00000000-0005-0000-0000-0000DA510000}"/>
    <cellStyle name="40% - Accent1 2 3 2 16" xfId="22688" xr:uid="{00000000-0005-0000-0000-0000DB510000}"/>
    <cellStyle name="40% - Accent1 2 3 2 17" xfId="30386" xr:uid="{00000000-0005-0000-0000-0000DC510000}"/>
    <cellStyle name="40% - Accent1 2 3 2 18" xfId="34483" xr:uid="{00000000-0005-0000-0000-0000DD510000}"/>
    <cellStyle name="40% - Accent1 2 3 2 19" xfId="39960" xr:uid="{00000000-0005-0000-0000-0000DE510000}"/>
    <cellStyle name="40% - Accent1 2 3 2 2" xfId="342" xr:uid="{00000000-0005-0000-0000-0000DF510000}"/>
    <cellStyle name="40% - Accent1 2 3 2 2 10" xfId="39962" xr:uid="{00000000-0005-0000-0000-0000E0510000}"/>
    <cellStyle name="40% - Accent1 2 3 2 2 11" xfId="45439" xr:uid="{00000000-0005-0000-0000-0000E1510000}"/>
    <cellStyle name="40% - Accent1 2 3 2 2 12" xfId="50917" xr:uid="{00000000-0005-0000-0000-0000E2510000}"/>
    <cellStyle name="40% - Accent1 2 3 2 2 2" xfId="2138" xr:uid="{00000000-0005-0000-0000-0000E3510000}"/>
    <cellStyle name="40% - Accent1 2 3 2 2 2 2" xfId="7618" xr:uid="{00000000-0005-0000-0000-0000E4510000}"/>
    <cellStyle name="40% - Accent1 2 3 2 2 2 3" xfId="13094" xr:uid="{00000000-0005-0000-0000-0000E5510000}"/>
    <cellStyle name="40% - Accent1 2 3 2 2 2 4" xfId="18570" xr:uid="{00000000-0005-0000-0000-0000E6510000}"/>
    <cellStyle name="40% - Accent1 2 3 2 2 2 5" xfId="24046" xr:uid="{00000000-0005-0000-0000-0000E7510000}"/>
    <cellStyle name="40% - Accent1 2 3 2 2 2 6" xfId="35842" xr:uid="{00000000-0005-0000-0000-0000E8510000}"/>
    <cellStyle name="40% - Accent1 2 3 2 2 2 7" xfId="41319" xr:uid="{00000000-0005-0000-0000-0000E9510000}"/>
    <cellStyle name="40% - Accent1 2 3 2 2 2 8" xfId="46796" xr:uid="{00000000-0005-0000-0000-0000EA510000}"/>
    <cellStyle name="40% - Accent1 2 3 2 2 2 9" xfId="52314" xr:uid="{00000000-0005-0000-0000-0000EB510000}"/>
    <cellStyle name="40% - Accent1 2 3 2 2 3" xfId="3904" xr:uid="{00000000-0005-0000-0000-0000EC510000}"/>
    <cellStyle name="40% - Accent1 2 3 2 2 3 2" xfId="9384" xr:uid="{00000000-0005-0000-0000-0000ED510000}"/>
    <cellStyle name="40% - Accent1 2 3 2 2 3 3" xfId="14860" xr:uid="{00000000-0005-0000-0000-0000EE510000}"/>
    <cellStyle name="40% - Accent1 2 3 2 2 3 4" xfId="20336" xr:uid="{00000000-0005-0000-0000-0000EF510000}"/>
    <cellStyle name="40% - Accent1 2 3 2 2 3 5" xfId="25812" xr:uid="{00000000-0005-0000-0000-0000F0510000}"/>
    <cellStyle name="40% - Accent1 2 3 2 2 3 6" xfId="37608" xr:uid="{00000000-0005-0000-0000-0000F1510000}"/>
    <cellStyle name="40% - Accent1 2 3 2 2 3 7" xfId="43085" xr:uid="{00000000-0005-0000-0000-0000F2510000}"/>
    <cellStyle name="40% - Accent1 2 3 2 2 3 8" xfId="48562" xr:uid="{00000000-0005-0000-0000-0000F3510000}"/>
    <cellStyle name="40% - Accent1 2 3 2 2 3 9" xfId="54080" xr:uid="{00000000-0005-0000-0000-0000F4510000}"/>
    <cellStyle name="40% - Accent1 2 3 2 2 4" xfId="6258" xr:uid="{00000000-0005-0000-0000-0000F5510000}"/>
    <cellStyle name="40% - Accent1 2 3 2 2 5" xfId="11738" xr:uid="{00000000-0005-0000-0000-0000F6510000}"/>
    <cellStyle name="40% - Accent1 2 3 2 2 6" xfId="17214" xr:uid="{00000000-0005-0000-0000-0000F7510000}"/>
    <cellStyle name="40% - Accent1 2 3 2 2 7" xfId="22690" xr:uid="{00000000-0005-0000-0000-0000F8510000}"/>
    <cellStyle name="40% - Accent1 2 3 2 2 8" xfId="30387" xr:uid="{00000000-0005-0000-0000-0000F9510000}"/>
    <cellStyle name="40% - Accent1 2 3 2 2 9" xfId="34485" xr:uid="{00000000-0005-0000-0000-0000FA510000}"/>
    <cellStyle name="40% - Accent1 2 3 2 20" xfId="45437" xr:uid="{00000000-0005-0000-0000-0000FB510000}"/>
    <cellStyle name="40% - Accent1 2 3 2 21" xfId="50915" xr:uid="{00000000-0005-0000-0000-0000FC510000}"/>
    <cellStyle name="40% - Accent1 2 3 2 3" xfId="543" xr:uid="{00000000-0005-0000-0000-0000FD510000}"/>
    <cellStyle name="40% - Accent1 2 3 2 3 10" xfId="45440" xr:uid="{00000000-0005-0000-0000-0000FE510000}"/>
    <cellStyle name="40% - Accent1 2 3 2 3 11" xfId="50918" xr:uid="{00000000-0005-0000-0000-0000FF510000}"/>
    <cellStyle name="40% - Accent1 2 3 2 3 2" xfId="2304" xr:uid="{00000000-0005-0000-0000-000000520000}"/>
    <cellStyle name="40% - Accent1 2 3 2 3 2 2" xfId="7784" xr:uid="{00000000-0005-0000-0000-000001520000}"/>
    <cellStyle name="40% - Accent1 2 3 2 3 2 3" xfId="13260" xr:uid="{00000000-0005-0000-0000-000002520000}"/>
    <cellStyle name="40% - Accent1 2 3 2 3 2 4" xfId="18736" xr:uid="{00000000-0005-0000-0000-000003520000}"/>
    <cellStyle name="40% - Accent1 2 3 2 3 2 5" xfId="24212" xr:uid="{00000000-0005-0000-0000-000004520000}"/>
    <cellStyle name="40% - Accent1 2 3 2 3 2 6" xfId="36008" xr:uid="{00000000-0005-0000-0000-000005520000}"/>
    <cellStyle name="40% - Accent1 2 3 2 3 2 7" xfId="41485" xr:uid="{00000000-0005-0000-0000-000006520000}"/>
    <cellStyle name="40% - Accent1 2 3 2 3 2 8" xfId="46962" xr:uid="{00000000-0005-0000-0000-000007520000}"/>
    <cellStyle name="40% - Accent1 2 3 2 3 2 9" xfId="52480" xr:uid="{00000000-0005-0000-0000-000008520000}"/>
    <cellStyle name="40% - Accent1 2 3 2 3 3" xfId="4076" xr:uid="{00000000-0005-0000-0000-000009520000}"/>
    <cellStyle name="40% - Accent1 2 3 2 3 3 2" xfId="9556" xr:uid="{00000000-0005-0000-0000-00000A520000}"/>
    <cellStyle name="40% - Accent1 2 3 2 3 3 3" xfId="15032" xr:uid="{00000000-0005-0000-0000-00000B520000}"/>
    <cellStyle name="40% - Accent1 2 3 2 3 3 4" xfId="20508" xr:uid="{00000000-0005-0000-0000-00000C520000}"/>
    <cellStyle name="40% - Accent1 2 3 2 3 3 5" xfId="25984" xr:uid="{00000000-0005-0000-0000-00000D520000}"/>
    <cellStyle name="40% - Accent1 2 3 2 3 3 6" xfId="37780" xr:uid="{00000000-0005-0000-0000-00000E520000}"/>
    <cellStyle name="40% - Accent1 2 3 2 3 3 7" xfId="43257" xr:uid="{00000000-0005-0000-0000-00000F520000}"/>
    <cellStyle name="40% - Accent1 2 3 2 3 3 8" xfId="48734" xr:uid="{00000000-0005-0000-0000-000010520000}"/>
    <cellStyle name="40% - Accent1 2 3 2 3 3 9" xfId="54252" xr:uid="{00000000-0005-0000-0000-000011520000}"/>
    <cellStyle name="40% - Accent1 2 3 2 3 4" xfId="6259" xr:uid="{00000000-0005-0000-0000-000012520000}"/>
    <cellStyle name="40% - Accent1 2 3 2 3 5" xfId="11739" xr:uid="{00000000-0005-0000-0000-000013520000}"/>
    <cellStyle name="40% - Accent1 2 3 2 3 6" xfId="17215" xr:uid="{00000000-0005-0000-0000-000014520000}"/>
    <cellStyle name="40% - Accent1 2 3 2 3 7" xfId="22691" xr:uid="{00000000-0005-0000-0000-000015520000}"/>
    <cellStyle name="40% - Accent1 2 3 2 3 8" xfId="34486" xr:uid="{00000000-0005-0000-0000-000016520000}"/>
    <cellStyle name="40% - Accent1 2 3 2 3 9" xfId="39963" xr:uid="{00000000-0005-0000-0000-000017520000}"/>
    <cellStyle name="40% - Accent1 2 3 2 4" xfId="715" xr:uid="{00000000-0005-0000-0000-000018520000}"/>
    <cellStyle name="40% - Accent1 2 3 2 4 10" xfId="45441" xr:uid="{00000000-0005-0000-0000-000019520000}"/>
    <cellStyle name="40% - Accent1 2 3 2 4 11" xfId="50919" xr:uid="{00000000-0005-0000-0000-00001A520000}"/>
    <cellStyle name="40% - Accent1 2 3 2 4 2" xfId="2476" xr:uid="{00000000-0005-0000-0000-00001B520000}"/>
    <cellStyle name="40% - Accent1 2 3 2 4 2 2" xfId="7956" xr:uid="{00000000-0005-0000-0000-00001C520000}"/>
    <cellStyle name="40% - Accent1 2 3 2 4 2 3" xfId="13432" xr:uid="{00000000-0005-0000-0000-00001D520000}"/>
    <cellStyle name="40% - Accent1 2 3 2 4 2 4" xfId="18908" xr:uid="{00000000-0005-0000-0000-00001E520000}"/>
    <cellStyle name="40% - Accent1 2 3 2 4 2 5" xfId="24384" xr:uid="{00000000-0005-0000-0000-00001F520000}"/>
    <cellStyle name="40% - Accent1 2 3 2 4 2 6" xfId="36180" xr:uid="{00000000-0005-0000-0000-000020520000}"/>
    <cellStyle name="40% - Accent1 2 3 2 4 2 7" xfId="41657" xr:uid="{00000000-0005-0000-0000-000021520000}"/>
    <cellStyle name="40% - Accent1 2 3 2 4 2 8" xfId="47134" xr:uid="{00000000-0005-0000-0000-000022520000}"/>
    <cellStyle name="40% - Accent1 2 3 2 4 2 9" xfId="52652" xr:uid="{00000000-0005-0000-0000-000023520000}"/>
    <cellStyle name="40% - Accent1 2 3 2 4 3" xfId="4248" xr:uid="{00000000-0005-0000-0000-000024520000}"/>
    <cellStyle name="40% - Accent1 2 3 2 4 3 2" xfId="9728" xr:uid="{00000000-0005-0000-0000-000025520000}"/>
    <cellStyle name="40% - Accent1 2 3 2 4 3 3" xfId="15204" xr:uid="{00000000-0005-0000-0000-000026520000}"/>
    <cellStyle name="40% - Accent1 2 3 2 4 3 4" xfId="20680" xr:uid="{00000000-0005-0000-0000-000027520000}"/>
    <cellStyle name="40% - Accent1 2 3 2 4 3 5" xfId="26156" xr:uid="{00000000-0005-0000-0000-000028520000}"/>
    <cellStyle name="40% - Accent1 2 3 2 4 3 6" xfId="37952" xr:uid="{00000000-0005-0000-0000-000029520000}"/>
    <cellStyle name="40% - Accent1 2 3 2 4 3 7" xfId="43429" xr:uid="{00000000-0005-0000-0000-00002A520000}"/>
    <cellStyle name="40% - Accent1 2 3 2 4 3 8" xfId="48906" xr:uid="{00000000-0005-0000-0000-00002B520000}"/>
    <cellStyle name="40% - Accent1 2 3 2 4 3 9" xfId="54424" xr:uid="{00000000-0005-0000-0000-00002C520000}"/>
    <cellStyle name="40% - Accent1 2 3 2 4 4" xfId="6260" xr:uid="{00000000-0005-0000-0000-00002D520000}"/>
    <cellStyle name="40% - Accent1 2 3 2 4 5" xfId="11740" xr:uid="{00000000-0005-0000-0000-00002E520000}"/>
    <cellStyle name="40% - Accent1 2 3 2 4 6" xfId="17216" xr:uid="{00000000-0005-0000-0000-00002F520000}"/>
    <cellStyle name="40% - Accent1 2 3 2 4 7" xfId="22692" xr:uid="{00000000-0005-0000-0000-000030520000}"/>
    <cellStyle name="40% - Accent1 2 3 2 4 8" xfId="34487" xr:uid="{00000000-0005-0000-0000-000031520000}"/>
    <cellStyle name="40% - Accent1 2 3 2 4 9" xfId="39964" xr:uid="{00000000-0005-0000-0000-000032520000}"/>
    <cellStyle name="40% - Accent1 2 3 2 5" xfId="887" xr:uid="{00000000-0005-0000-0000-000033520000}"/>
    <cellStyle name="40% - Accent1 2 3 2 5 10" xfId="45442" xr:uid="{00000000-0005-0000-0000-000034520000}"/>
    <cellStyle name="40% - Accent1 2 3 2 5 11" xfId="50920" xr:uid="{00000000-0005-0000-0000-000035520000}"/>
    <cellStyle name="40% - Accent1 2 3 2 5 2" xfId="2648" xr:uid="{00000000-0005-0000-0000-000036520000}"/>
    <cellStyle name="40% - Accent1 2 3 2 5 2 2" xfId="8128" xr:uid="{00000000-0005-0000-0000-000037520000}"/>
    <cellStyle name="40% - Accent1 2 3 2 5 2 3" xfId="13604" xr:uid="{00000000-0005-0000-0000-000038520000}"/>
    <cellStyle name="40% - Accent1 2 3 2 5 2 4" xfId="19080" xr:uid="{00000000-0005-0000-0000-000039520000}"/>
    <cellStyle name="40% - Accent1 2 3 2 5 2 5" xfId="24556" xr:uid="{00000000-0005-0000-0000-00003A520000}"/>
    <cellStyle name="40% - Accent1 2 3 2 5 2 6" xfId="36352" xr:uid="{00000000-0005-0000-0000-00003B520000}"/>
    <cellStyle name="40% - Accent1 2 3 2 5 2 7" xfId="41829" xr:uid="{00000000-0005-0000-0000-00003C520000}"/>
    <cellStyle name="40% - Accent1 2 3 2 5 2 8" xfId="47306" xr:uid="{00000000-0005-0000-0000-00003D520000}"/>
    <cellStyle name="40% - Accent1 2 3 2 5 2 9" xfId="52824" xr:uid="{00000000-0005-0000-0000-00003E520000}"/>
    <cellStyle name="40% - Accent1 2 3 2 5 3" xfId="4420" xr:uid="{00000000-0005-0000-0000-00003F520000}"/>
    <cellStyle name="40% - Accent1 2 3 2 5 3 2" xfId="9900" xr:uid="{00000000-0005-0000-0000-000040520000}"/>
    <cellStyle name="40% - Accent1 2 3 2 5 3 3" xfId="15376" xr:uid="{00000000-0005-0000-0000-000041520000}"/>
    <cellStyle name="40% - Accent1 2 3 2 5 3 4" xfId="20852" xr:uid="{00000000-0005-0000-0000-000042520000}"/>
    <cellStyle name="40% - Accent1 2 3 2 5 3 5" xfId="26328" xr:uid="{00000000-0005-0000-0000-000043520000}"/>
    <cellStyle name="40% - Accent1 2 3 2 5 3 6" xfId="38124" xr:uid="{00000000-0005-0000-0000-000044520000}"/>
    <cellStyle name="40% - Accent1 2 3 2 5 3 7" xfId="43601" xr:uid="{00000000-0005-0000-0000-000045520000}"/>
    <cellStyle name="40% - Accent1 2 3 2 5 3 8" xfId="49078" xr:uid="{00000000-0005-0000-0000-000046520000}"/>
    <cellStyle name="40% - Accent1 2 3 2 5 3 9" xfId="54596" xr:uid="{00000000-0005-0000-0000-000047520000}"/>
    <cellStyle name="40% - Accent1 2 3 2 5 4" xfId="6261" xr:uid="{00000000-0005-0000-0000-000048520000}"/>
    <cellStyle name="40% - Accent1 2 3 2 5 5" xfId="11741" xr:uid="{00000000-0005-0000-0000-000049520000}"/>
    <cellStyle name="40% - Accent1 2 3 2 5 6" xfId="17217" xr:uid="{00000000-0005-0000-0000-00004A520000}"/>
    <cellStyle name="40% - Accent1 2 3 2 5 7" xfId="22693" xr:uid="{00000000-0005-0000-0000-00004B520000}"/>
    <cellStyle name="40% - Accent1 2 3 2 5 8" xfId="34488" xr:uid="{00000000-0005-0000-0000-00004C520000}"/>
    <cellStyle name="40% - Accent1 2 3 2 5 9" xfId="39965" xr:uid="{00000000-0005-0000-0000-00004D520000}"/>
    <cellStyle name="40% - Accent1 2 3 2 6" xfId="1093" xr:uid="{00000000-0005-0000-0000-00004E520000}"/>
    <cellStyle name="40% - Accent1 2 3 2 6 10" xfId="45443" xr:uid="{00000000-0005-0000-0000-00004F520000}"/>
    <cellStyle name="40% - Accent1 2 3 2 6 11" xfId="50921" xr:uid="{00000000-0005-0000-0000-000050520000}"/>
    <cellStyle name="40% - Accent1 2 3 2 6 2" xfId="2854" xr:uid="{00000000-0005-0000-0000-000051520000}"/>
    <cellStyle name="40% - Accent1 2 3 2 6 2 2" xfId="8334" xr:uid="{00000000-0005-0000-0000-000052520000}"/>
    <cellStyle name="40% - Accent1 2 3 2 6 2 3" xfId="13810" xr:uid="{00000000-0005-0000-0000-000053520000}"/>
    <cellStyle name="40% - Accent1 2 3 2 6 2 4" xfId="19286" xr:uid="{00000000-0005-0000-0000-000054520000}"/>
    <cellStyle name="40% - Accent1 2 3 2 6 2 5" xfId="24762" xr:uid="{00000000-0005-0000-0000-000055520000}"/>
    <cellStyle name="40% - Accent1 2 3 2 6 2 6" xfId="36558" xr:uid="{00000000-0005-0000-0000-000056520000}"/>
    <cellStyle name="40% - Accent1 2 3 2 6 2 7" xfId="42035" xr:uid="{00000000-0005-0000-0000-000057520000}"/>
    <cellStyle name="40% - Accent1 2 3 2 6 2 8" xfId="47512" xr:uid="{00000000-0005-0000-0000-000058520000}"/>
    <cellStyle name="40% - Accent1 2 3 2 6 2 9" xfId="53030" xr:uid="{00000000-0005-0000-0000-000059520000}"/>
    <cellStyle name="40% - Accent1 2 3 2 6 3" xfId="4626" xr:uid="{00000000-0005-0000-0000-00005A520000}"/>
    <cellStyle name="40% - Accent1 2 3 2 6 3 2" xfId="10106" xr:uid="{00000000-0005-0000-0000-00005B520000}"/>
    <cellStyle name="40% - Accent1 2 3 2 6 3 3" xfId="15582" xr:uid="{00000000-0005-0000-0000-00005C520000}"/>
    <cellStyle name="40% - Accent1 2 3 2 6 3 4" xfId="21058" xr:uid="{00000000-0005-0000-0000-00005D520000}"/>
    <cellStyle name="40% - Accent1 2 3 2 6 3 5" xfId="26534" xr:uid="{00000000-0005-0000-0000-00005E520000}"/>
    <cellStyle name="40% - Accent1 2 3 2 6 3 6" xfId="38330" xr:uid="{00000000-0005-0000-0000-00005F520000}"/>
    <cellStyle name="40% - Accent1 2 3 2 6 3 7" xfId="43807" xr:uid="{00000000-0005-0000-0000-000060520000}"/>
    <cellStyle name="40% - Accent1 2 3 2 6 3 8" xfId="49284" xr:uid="{00000000-0005-0000-0000-000061520000}"/>
    <cellStyle name="40% - Accent1 2 3 2 6 3 9" xfId="54802" xr:uid="{00000000-0005-0000-0000-000062520000}"/>
    <cellStyle name="40% - Accent1 2 3 2 6 4" xfId="6262" xr:uid="{00000000-0005-0000-0000-000063520000}"/>
    <cellStyle name="40% - Accent1 2 3 2 6 5" xfId="11742" xr:uid="{00000000-0005-0000-0000-000064520000}"/>
    <cellStyle name="40% - Accent1 2 3 2 6 6" xfId="17218" xr:uid="{00000000-0005-0000-0000-000065520000}"/>
    <cellStyle name="40% - Accent1 2 3 2 6 7" xfId="22694" xr:uid="{00000000-0005-0000-0000-000066520000}"/>
    <cellStyle name="40% - Accent1 2 3 2 6 8" xfId="34489" xr:uid="{00000000-0005-0000-0000-000067520000}"/>
    <cellStyle name="40% - Accent1 2 3 2 6 9" xfId="39966" xr:uid="{00000000-0005-0000-0000-000068520000}"/>
    <cellStyle name="40% - Accent1 2 3 2 7" xfId="1265" xr:uid="{00000000-0005-0000-0000-000069520000}"/>
    <cellStyle name="40% - Accent1 2 3 2 7 10" xfId="45444" xr:uid="{00000000-0005-0000-0000-00006A520000}"/>
    <cellStyle name="40% - Accent1 2 3 2 7 11" xfId="50922" xr:uid="{00000000-0005-0000-0000-00006B520000}"/>
    <cellStyle name="40% - Accent1 2 3 2 7 2" xfId="3026" xr:uid="{00000000-0005-0000-0000-00006C520000}"/>
    <cellStyle name="40% - Accent1 2 3 2 7 2 2" xfId="8506" xr:uid="{00000000-0005-0000-0000-00006D520000}"/>
    <cellStyle name="40% - Accent1 2 3 2 7 2 3" xfId="13982" xr:uid="{00000000-0005-0000-0000-00006E520000}"/>
    <cellStyle name="40% - Accent1 2 3 2 7 2 4" xfId="19458" xr:uid="{00000000-0005-0000-0000-00006F520000}"/>
    <cellStyle name="40% - Accent1 2 3 2 7 2 5" xfId="24934" xr:uid="{00000000-0005-0000-0000-000070520000}"/>
    <cellStyle name="40% - Accent1 2 3 2 7 2 6" xfId="36730" xr:uid="{00000000-0005-0000-0000-000071520000}"/>
    <cellStyle name="40% - Accent1 2 3 2 7 2 7" xfId="42207" xr:uid="{00000000-0005-0000-0000-000072520000}"/>
    <cellStyle name="40% - Accent1 2 3 2 7 2 8" xfId="47684" xr:uid="{00000000-0005-0000-0000-000073520000}"/>
    <cellStyle name="40% - Accent1 2 3 2 7 2 9" xfId="53202" xr:uid="{00000000-0005-0000-0000-000074520000}"/>
    <cellStyle name="40% - Accent1 2 3 2 7 3" xfId="4798" xr:uid="{00000000-0005-0000-0000-000075520000}"/>
    <cellStyle name="40% - Accent1 2 3 2 7 3 2" xfId="10278" xr:uid="{00000000-0005-0000-0000-000076520000}"/>
    <cellStyle name="40% - Accent1 2 3 2 7 3 3" xfId="15754" xr:uid="{00000000-0005-0000-0000-000077520000}"/>
    <cellStyle name="40% - Accent1 2 3 2 7 3 4" xfId="21230" xr:uid="{00000000-0005-0000-0000-000078520000}"/>
    <cellStyle name="40% - Accent1 2 3 2 7 3 5" xfId="26706" xr:uid="{00000000-0005-0000-0000-000079520000}"/>
    <cellStyle name="40% - Accent1 2 3 2 7 3 6" xfId="38502" xr:uid="{00000000-0005-0000-0000-00007A520000}"/>
    <cellStyle name="40% - Accent1 2 3 2 7 3 7" xfId="43979" xr:uid="{00000000-0005-0000-0000-00007B520000}"/>
    <cellStyle name="40% - Accent1 2 3 2 7 3 8" xfId="49456" xr:uid="{00000000-0005-0000-0000-00007C520000}"/>
    <cellStyle name="40% - Accent1 2 3 2 7 3 9" xfId="54974" xr:uid="{00000000-0005-0000-0000-00007D520000}"/>
    <cellStyle name="40% - Accent1 2 3 2 7 4" xfId="6263" xr:uid="{00000000-0005-0000-0000-00007E520000}"/>
    <cellStyle name="40% - Accent1 2 3 2 7 5" xfId="11743" xr:uid="{00000000-0005-0000-0000-00007F520000}"/>
    <cellStyle name="40% - Accent1 2 3 2 7 6" xfId="17219" xr:uid="{00000000-0005-0000-0000-000080520000}"/>
    <cellStyle name="40% - Accent1 2 3 2 7 7" xfId="22695" xr:uid="{00000000-0005-0000-0000-000081520000}"/>
    <cellStyle name="40% - Accent1 2 3 2 7 8" xfId="34490" xr:uid="{00000000-0005-0000-0000-000082520000}"/>
    <cellStyle name="40% - Accent1 2 3 2 7 9" xfId="39967" xr:uid="{00000000-0005-0000-0000-000083520000}"/>
    <cellStyle name="40% - Accent1 2 3 2 8" xfId="1437" xr:uid="{00000000-0005-0000-0000-000084520000}"/>
    <cellStyle name="40% - Accent1 2 3 2 8 10" xfId="45445" xr:uid="{00000000-0005-0000-0000-000085520000}"/>
    <cellStyle name="40% - Accent1 2 3 2 8 11" xfId="50923" xr:uid="{00000000-0005-0000-0000-000086520000}"/>
    <cellStyle name="40% - Accent1 2 3 2 8 2" xfId="3198" xr:uid="{00000000-0005-0000-0000-000087520000}"/>
    <cellStyle name="40% - Accent1 2 3 2 8 2 2" xfId="8678" xr:uid="{00000000-0005-0000-0000-000088520000}"/>
    <cellStyle name="40% - Accent1 2 3 2 8 2 3" xfId="14154" xr:uid="{00000000-0005-0000-0000-000089520000}"/>
    <cellStyle name="40% - Accent1 2 3 2 8 2 4" xfId="19630" xr:uid="{00000000-0005-0000-0000-00008A520000}"/>
    <cellStyle name="40% - Accent1 2 3 2 8 2 5" xfId="25106" xr:uid="{00000000-0005-0000-0000-00008B520000}"/>
    <cellStyle name="40% - Accent1 2 3 2 8 2 6" xfId="36902" xr:uid="{00000000-0005-0000-0000-00008C520000}"/>
    <cellStyle name="40% - Accent1 2 3 2 8 2 7" xfId="42379" xr:uid="{00000000-0005-0000-0000-00008D520000}"/>
    <cellStyle name="40% - Accent1 2 3 2 8 2 8" xfId="47856" xr:uid="{00000000-0005-0000-0000-00008E520000}"/>
    <cellStyle name="40% - Accent1 2 3 2 8 2 9" xfId="53374" xr:uid="{00000000-0005-0000-0000-00008F520000}"/>
    <cellStyle name="40% - Accent1 2 3 2 8 3" xfId="4970" xr:uid="{00000000-0005-0000-0000-000090520000}"/>
    <cellStyle name="40% - Accent1 2 3 2 8 3 2" xfId="10450" xr:uid="{00000000-0005-0000-0000-000091520000}"/>
    <cellStyle name="40% - Accent1 2 3 2 8 3 3" xfId="15926" xr:uid="{00000000-0005-0000-0000-000092520000}"/>
    <cellStyle name="40% - Accent1 2 3 2 8 3 4" xfId="21402" xr:uid="{00000000-0005-0000-0000-000093520000}"/>
    <cellStyle name="40% - Accent1 2 3 2 8 3 5" xfId="26878" xr:uid="{00000000-0005-0000-0000-000094520000}"/>
    <cellStyle name="40% - Accent1 2 3 2 8 3 6" xfId="38674" xr:uid="{00000000-0005-0000-0000-000095520000}"/>
    <cellStyle name="40% - Accent1 2 3 2 8 3 7" xfId="44151" xr:uid="{00000000-0005-0000-0000-000096520000}"/>
    <cellStyle name="40% - Accent1 2 3 2 8 3 8" xfId="49628" xr:uid="{00000000-0005-0000-0000-000097520000}"/>
    <cellStyle name="40% - Accent1 2 3 2 8 3 9" xfId="55146" xr:uid="{00000000-0005-0000-0000-000098520000}"/>
    <cellStyle name="40% - Accent1 2 3 2 8 4" xfId="6264" xr:uid="{00000000-0005-0000-0000-000099520000}"/>
    <cellStyle name="40% - Accent1 2 3 2 8 5" xfId="11744" xr:uid="{00000000-0005-0000-0000-00009A520000}"/>
    <cellStyle name="40% - Accent1 2 3 2 8 6" xfId="17220" xr:uid="{00000000-0005-0000-0000-00009B520000}"/>
    <cellStyle name="40% - Accent1 2 3 2 8 7" xfId="22696" xr:uid="{00000000-0005-0000-0000-00009C520000}"/>
    <cellStyle name="40% - Accent1 2 3 2 8 8" xfId="34491" xr:uid="{00000000-0005-0000-0000-00009D520000}"/>
    <cellStyle name="40% - Accent1 2 3 2 8 9" xfId="39968" xr:uid="{00000000-0005-0000-0000-00009E520000}"/>
    <cellStyle name="40% - Accent1 2 3 2 9" xfId="1609" xr:uid="{00000000-0005-0000-0000-00009F520000}"/>
    <cellStyle name="40% - Accent1 2 3 2 9 10" xfId="45446" xr:uid="{00000000-0005-0000-0000-0000A0520000}"/>
    <cellStyle name="40% - Accent1 2 3 2 9 11" xfId="50924" xr:uid="{00000000-0005-0000-0000-0000A1520000}"/>
    <cellStyle name="40% - Accent1 2 3 2 9 2" xfId="3370" xr:uid="{00000000-0005-0000-0000-0000A2520000}"/>
    <cellStyle name="40% - Accent1 2 3 2 9 2 2" xfId="8850" xr:uid="{00000000-0005-0000-0000-0000A3520000}"/>
    <cellStyle name="40% - Accent1 2 3 2 9 2 3" xfId="14326" xr:uid="{00000000-0005-0000-0000-0000A4520000}"/>
    <cellStyle name="40% - Accent1 2 3 2 9 2 4" xfId="19802" xr:uid="{00000000-0005-0000-0000-0000A5520000}"/>
    <cellStyle name="40% - Accent1 2 3 2 9 2 5" xfId="25278" xr:uid="{00000000-0005-0000-0000-0000A6520000}"/>
    <cellStyle name="40% - Accent1 2 3 2 9 2 6" xfId="37074" xr:uid="{00000000-0005-0000-0000-0000A7520000}"/>
    <cellStyle name="40% - Accent1 2 3 2 9 2 7" xfId="42551" xr:uid="{00000000-0005-0000-0000-0000A8520000}"/>
    <cellStyle name="40% - Accent1 2 3 2 9 2 8" xfId="48028" xr:uid="{00000000-0005-0000-0000-0000A9520000}"/>
    <cellStyle name="40% - Accent1 2 3 2 9 2 9" xfId="53546" xr:uid="{00000000-0005-0000-0000-0000AA520000}"/>
    <cellStyle name="40% - Accent1 2 3 2 9 3" xfId="5142" xr:uid="{00000000-0005-0000-0000-0000AB520000}"/>
    <cellStyle name="40% - Accent1 2 3 2 9 3 2" xfId="10622" xr:uid="{00000000-0005-0000-0000-0000AC520000}"/>
    <cellStyle name="40% - Accent1 2 3 2 9 3 3" xfId="16098" xr:uid="{00000000-0005-0000-0000-0000AD520000}"/>
    <cellStyle name="40% - Accent1 2 3 2 9 3 4" xfId="21574" xr:uid="{00000000-0005-0000-0000-0000AE520000}"/>
    <cellStyle name="40% - Accent1 2 3 2 9 3 5" xfId="27050" xr:uid="{00000000-0005-0000-0000-0000AF520000}"/>
    <cellStyle name="40% - Accent1 2 3 2 9 3 6" xfId="38846" xr:uid="{00000000-0005-0000-0000-0000B0520000}"/>
    <cellStyle name="40% - Accent1 2 3 2 9 3 7" xfId="44323" xr:uid="{00000000-0005-0000-0000-0000B1520000}"/>
    <cellStyle name="40% - Accent1 2 3 2 9 3 8" xfId="49800" xr:uid="{00000000-0005-0000-0000-0000B2520000}"/>
    <cellStyle name="40% - Accent1 2 3 2 9 3 9" xfId="55318" xr:uid="{00000000-0005-0000-0000-0000B3520000}"/>
    <cellStyle name="40% - Accent1 2 3 2 9 4" xfId="6265" xr:uid="{00000000-0005-0000-0000-0000B4520000}"/>
    <cellStyle name="40% - Accent1 2 3 2 9 5" xfId="11745" xr:uid="{00000000-0005-0000-0000-0000B5520000}"/>
    <cellStyle name="40% - Accent1 2 3 2 9 6" xfId="17221" xr:uid="{00000000-0005-0000-0000-0000B6520000}"/>
    <cellStyle name="40% - Accent1 2 3 2 9 7" xfId="22697" xr:uid="{00000000-0005-0000-0000-0000B7520000}"/>
    <cellStyle name="40% - Accent1 2 3 2 9 8" xfId="34492" xr:uid="{00000000-0005-0000-0000-0000B8520000}"/>
    <cellStyle name="40% - Accent1 2 3 2 9 9" xfId="39969" xr:uid="{00000000-0005-0000-0000-0000B9520000}"/>
    <cellStyle name="40% - Accent1 2 3 20" xfId="39957" xr:uid="{00000000-0005-0000-0000-0000BA520000}"/>
    <cellStyle name="40% - Accent1 2 3 21" xfId="45434" xr:uid="{00000000-0005-0000-0000-0000BB520000}"/>
    <cellStyle name="40% - Accent1 2 3 22" xfId="50912" xr:uid="{00000000-0005-0000-0000-0000BC520000}"/>
    <cellStyle name="40% - Accent1 2 3 3" xfId="341" xr:uid="{00000000-0005-0000-0000-0000BD520000}"/>
    <cellStyle name="40% - Accent1 2 3 3 10" xfId="39970" xr:uid="{00000000-0005-0000-0000-0000BE520000}"/>
    <cellStyle name="40% - Accent1 2 3 3 11" xfId="45447" xr:uid="{00000000-0005-0000-0000-0000BF520000}"/>
    <cellStyle name="40% - Accent1 2 3 3 12" xfId="50925" xr:uid="{00000000-0005-0000-0000-0000C0520000}"/>
    <cellStyle name="40% - Accent1 2 3 3 2" xfId="2137" xr:uid="{00000000-0005-0000-0000-0000C1520000}"/>
    <cellStyle name="40% - Accent1 2 3 3 2 2" xfId="7617" xr:uid="{00000000-0005-0000-0000-0000C2520000}"/>
    <cellStyle name="40% - Accent1 2 3 3 2 3" xfId="13093" xr:uid="{00000000-0005-0000-0000-0000C3520000}"/>
    <cellStyle name="40% - Accent1 2 3 3 2 4" xfId="18569" xr:uid="{00000000-0005-0000-0000-0000C4520000}"/>
    <cellStyle name="40% - Accent1 2 3 3 2 5" xfId="24045" xr:uid="{00000000-0005-0000-0000-0000C5520000}"/>
    <cellStyle name="40% - Accent1 2 3 3 2 6" xfId="35841" xr:uid="{00000000-0005-0000-0000-0000C6520000}"/>
    <cellStyle name="40% - Accent1 2 3 3 2 7" xfId="41318" xr:uid="{00000000-0005-0000-0000-0000C7520000}"/>
    <cellStyle name="40% - Accent1 2 3 3 2 8" xfId="46795" xr:uid="{00000000-0005-0000-0000-0000C8520000}"/>
    <cellStyle name="40% - Accent1 2 3 3 2 9" xfId="52313" xr:uid="{00000000-0005-0000-0000-0000C9520000}"/>
    <cellStyle name="40% - Accent1 2 3 3 3" xfId="3903" xr:uid="{00000000-0005-0000-0000-0000CA520000}"/>
    <cellStyle name="40% - Accent1 2 3 3 3 2" xfId="9383" xr:uid="{00000000-0005-0000-0000-0000CB520000}"/>
    <cellStyle name="40% - Accent1 2 3 3 3 3" xfId="14859" xr:uid="{00000000-0005-0000-0000-0000CC520000}"/>
    <cellStyle name="40% - Accent1 2 3 3 3 4" xfId="20335" xr:uid="{00000000-0005-0000-0000-0000CD520000}"/>
    <cellStyle name="40% - Accent1 2 3 3 3 5" xfId="25811" xr:uid="{00000000-0005-0000-0000-0000CE520000}"/>
    <cellStyle name="40% - Accent1 2 3 3 3 6" xfId="37607" xr:uid="{00000000-0005-0000-0000-0000CF520000}"/>
    <cellStyle name="40% - Accent1 2 3 3 3 7" xfId="43084" xr:uid="{00000000-0005-0000-0000-0000D0520000}"/>
    <cellStyle name="40% - Accent1 2 3 3 3 8" xfId="48561" xr:uid="{00000000-0005-0000-0000-0000D1520000}"/>
    <cellStyle name="40% - Accent1 2 3 3 3 9" xfId="54079" xr:uid="{00000000-0005-0000-0000-0000D2520000}"/>
    <cellStyle name="40% - Accent1 2 3 3 4" xfId="6266" xr:uid="{00000000-0005-0000-0000-0000D3520000}"/>
    <cellStyle name="40% - Accent1 2 3 3 5" xfId="11746" xr:uid="{00000000-0005-0000-0000-0000D4520000}"/>
    <cellStyle name="40% - Accent1 2 3 3 6" xfId="17222" xr:uid="{00000000-0005-0000-0000-0000D5520000}"/>
    <cellStyle name="40% - Accent1 2 3 3 7" xfId="22698" xr:uid="{00000000-0005-0000-0000-0000D6520000}"/>
    <cellStyle name="40% - Accent1 2 3 3 8" xfId="30388" xr:uid="{00000000-0005-0000-0000-0000D7520000}"/>
    <cellStyle name="40% - Accent1 2 3 3 9" xfId="34493" xr:uid="{00000000-0005-0000-0000-0000D8520000}"/>
    <cellStyle name="40% - Accent1 2 3 4" xfId="542" xr:uid="{00000000-0005-0000-0000-0000D9520000}"/>
    <cellStyle name="40% - Accent1 2 3 4 10" xfId="45448" xr:uid="{00000000-0005-0000-0000-0000DA520000}"/>
    <cellStyle name="40% - Accent1 2 3 4 11" xfId="50926" xr:uid="{00000000-0005-0000-0000-0000DB520000}"/>
    <cellStyle name="40% - Accent1 2 3 4 2" xfId="2303" xr:uid="{00000000-0005-0000-0000-0000DC520000}"/>
    <cellStyle name="40% - Accent1 2 3 4 2 2" xfId="7783" xr:uid="{00000000-0005-0000-0000-0000DD520000}"/>
    <cellStyle name="40% - Accent1 2 3 4 2 3" xfId="13259" xr:uid="{00000000-0005-0000-0000-0000DE520000}"/>
    <cellStyle name="40% - Accent1 2 3 4 2 4" xfId="18735" xr:uid="{00000000-0005-0000-0000-0000DF520000}"/>
    <cellStyle name="40% - Accent1 2 3 4 2 5" xfId="24211" xr:uid="{00000000-0005-0000-0000-0000E0520000}"/>
    <cellStyle name="40% - Accent1 2 3 4 2 6" xfId="36007" xr:uid="{00000000-0005-0000-0000-0000E1520000}"/>
    <cellStyle name="40% - Accent1 2 3 4 2 7" xfId="41484" xr:uid="{00000000-0005-0000-0000-0000E2520000}"/>
    <cellStyle name="40% - Accent1 2 3 4 2 8" xfId="46961" xr:uid="{00000000-0005-0000-0000-0000E3520000}"/>
    <cellStyle name="40% - Accent1 2 3 4 2 9" xfId="52479" xr:uid="{00000000-0005-0000-0000-0000E4520000}"/>
    <cellStyle name="40% - Accent1 2 3 4 3" xfId="4075" xr:uid="{00000000-0005-0000-0000-0000E5520000}"/>
    <cellStyle name="40% - Accent1 2 3 4 3 2" xfId="9555" xr:uid="{00000000-0005-0000-0000-0000E6520000}"/>
    <cellStyle name="40% - Accent1 2 3 4 3 3" xfId="15031" xr:uid="{00000000-0005-0000-0000-0000E7520000}"/>
    <cellStyle name="40% - Accent1 2 3 4 3 4" xfId="20507" xr:uid="{00000000-0005-0000-0000-0000E8520000}"/>
    <cellStyle name="40% - Accent1 2 3 4 3 5" xfId="25983" xr:uid="{00000000-0005-0000-0000-0000E9520000}"/>
    <cellStyle name="40% - Accent1 2 3 4 3 6" xfId="37779" xr:uid="{00000000-0005-0000-0000-0000EA520000}"/>
    <cellStyle name="40% - Accent1 2 3 4 3 7" xfId="43256" xr:uid="{00000000-0005-0000-0000-0000EB520000}"/>
    <cellStyle name="40% - Accent1 2 3 4 3 8" xfId="48733" xr:uid="{00000000-0005-0000-0000-0000EC520000}"/>
    <cellStyle name="40% - Accent1 2 3 4 3 9" xfId="54251" xr:uid="{00000000-0005-0000-0000-0000ED520000}"/>
    <cellStyle name="40% - Accent1 2 3 4 4" xfId="6267" xr:uid="{00000000-0005-0000-0000-0000EE520000}"/>
    <cellStyle name="40% - Accent1 2 3 4 5" xfId="11747" xr:uid="{00000000-0005-0000-0000-0000EF520000}"/>
    <cellStyle name="40% - Accent1 2 3 4 6" xfId="17223" xr:uid="{00000000-0005-0000-0000-0000F0520000}"/>
    <cellStyle name="40% - Accent1 2 3 4 7" xfId="22699" xr:uid="{00000000-0005-0000-0000-0000F1520000}"/>
    <cellStyle name="40% - Accent1 2 3 4 8" xfId="34494" xr:uid="{00000000-0005-0000-0000-0000F2520000}"/>
    <cellStyle name="40% - Accent1 2 3 4 9" xfId="39971" xr:uid="{00000000-0005-0000-0000-0000F3520000}"/>
    <cellStyle name="40% - Accent1 2 3 5" xfId="714" xr:uid="{00000000-0005-0000-0000-0000F4520000}"/>
    <cellStyle name="40% - Accent1 2 3 5 10" xfId="45449" xr:uid="{00000000-0005-0000-0000-0000F5520000}"/>
    <cellStyle name="40% - Accent1 2 3 5 11" xfId="50927" xr:uid="{00000000-0005-0000-0000-0000F6520000}"/>
    <cellStyle name="40% - Accent1 2 3 5 2" xfId="2475" xr:uid="{00000000-0005-0000-0000-0000F7520000}"/>
    <cellStyle name="40% - Accent1 2 3 5 2 2" xfId="7955" xr:uid="{00000000-0005-0000-0000-0000F8520000}"/>
    <cellStyle name="40% - Accent1 2 3 5 2 3" xfId="13431" xr:uid="{00000000-0005-0000-0000-0000F9520000}"/>
    <cellStyle name="40% - Accent1 2 3 5 2 4" xfId="18907" xr:uid="{00000000-0005-0000-0000-0000FA520000}"/>
    <cellStyle name="40% - Accent1 2 3 5 2 5" xfId="24383" xr:uid="{00000000-0005-0000-0000-0000FB520000}"/>
    <cellStyle name="40% - Accent1 2 3 5 2 6" xfId="36179" xr:uid="{00000000-0005-0000-0000-0000FC520000}"/>
    <cellStyle name="40% - Accent1 2 3 5 2 7" xfId="41656" xr:uid="{00000000-0005-0000-0000-0000FD520000}"/>
    <cellStyle name="40% - Accent1 2 3 5 2 8" xfId="47133" xr:uid="{00000000-0005-0000-0000-0000FE520000}"/>
    <cellStyle name="40% - Accent1 2 3 5 2 9" xfId="52651" xr:uid="{00000000-0005-0000-0000-0000FF520000}"/>
    <cellStyle name="40% - Accent1 2 3 5 3" xfId="4247" xr:uid="{00000000-0005-0000-0000-000000530000}"/>
    <cellStyle name="40% - Accent1 2 3 5 3 2" xfId="9727" xr:uid="{00000000-0005-0000-0000-000001530000}"/>
    <cellStyle name="40% - Accent1 2 3 5 3 3" xfId="15203" xr:uid="{00000000-0005-0000-0000-000002530000}"/>
    <cellStyle name="40% - Accent1 2 3 5 3 4" xfId="20679" xr:uid="{00000000-0005-0000-0000-000003530000}"/>
    <cellStyle name="40% - Accent1 2 3 5 3 5" xfId="26155" xr:uid="{00000000-0005-0000-0000-000004530000}"/>
    <cellStyle name="40% - Accent1 2 3 5 3 6" xfId="37951" xr:uid="{00000000-0005-0000-0000-000005530000}"/>
    <cellStyle name="40% - Accent1 2 3 5 3 7" xfId="43428" xr:uid="{00000000-0005-0000-0000-000006530000}"/>
    <cellStyle name="40% - Accent1 2 3 5 3 8" xfId="48905" xr:uid="{00000000-0005-0000-0000-000007530000}"/>
    <cellStyle name="40% - Accent1 2 3 5 3 9" xfId="54423" xr:uid="{00000000-0005-0000-0000-000008530000}"/>
    <cellStyle name="40% - Accent1 2 3 5 4" xfId="6268" xr:uid="{00000000-0005-0000-0000-000009530000}"/>
    <cellStyle name="40% - Accent1 2 3 5 5" xfId="11748" xr:uid="{00000000-0005-0000-0000-00000A530000}"/>
    <cellStyle name="40% - Accent1 2 3 5 6" xfId="17224" xr:uid="{00000000-0005-0000-0000-00000B530000}"/>
    <cellStyle name="40% - Accent1 2 3 5 7" xfId="22700" xr:uid="{00000000-0005-0000-0000-00000C530000}"/>
    <cellStyle name="40% - Accent1 2 3 5 8" xfId="34495" xr:uid="{00000000-0005-0000-0000-00000D530000}"/>
    <cellStyle name="40% - Accent1 2 3 5 9" xfId="39972" xr:uid="{00000000-0005-0000-0000-00000E530000}"/>
    <cellStyle name="40% - Accent1 2 3 6" xfId="886" xr:uid="{00000000-0005-0000-0000-00000F530000}"/>
    <cellStyle name="40% - Accent1 2 3 6 10" xfId="45450" xr:uid="{00000000-0005-0000-0000-000010530000}"/>
    <cellStyle name="40% - Accent1 2 3 6 11" xfId="50928" xr:uid="{00000000-0005-0000-0000-000011530000}"/>
    <cellStyle name="40% - Accent1 2 3 6 2" xfId="2647" xr:uid="{00000000-0005-0000-0000-000012530000}"/>
    <cellStyle name="40% - Accent1 2 3 6 2 2" xfId="8127" xr:uid="{00000000-0005-0000-0000-000013530000}"/>
    <cellStyle name="40% - Accent1 2 3 6 2 3" xfId="13603" xr:uid="{00000000-0005-0000-0000-000014530000}"/>
    <cellStyle name="40% - Accent1 2 3 6 2 4" xfId="19079" xr:uid="{00000000-0005-0000-0000-000015530000}"/>
    <cellStyle name="40% - Accent1 2 3 6 2 5" xfId="24555" xr:uid="{00000000-0005-0000-0000-000016530000}"/>
    <cellStyle name="40% - Accent1 2 3 6 2 6" xfId="36351" xr:uid="{00000000-0005-0000-0000-000017530000}"/>
    <cellStyle name="40% - Accent1 2 3 6 2 7" xfId="41828" xr:uid="{00000000-0005-0000-0000-000018530000}"/>
    <cellStyle name="40% - Accent1 2 3 6 2 8" xfId="47305" xr:uid="{00000000-0005-0000-0000-000019530000}"/>
    <cellStyle name="40% - Accent1 2 3 6 2 9" xfId="52823" xr:uid="{00000000-0005-0000-0000-00001A530000}"/>
    <cellStyle name="40% - Accent1 2 3 6 3" xfId="4419" xr:uid="{00000000-0005-0000-0000-00001B530000}"/>
    <cellStyle name="40% - Accent1 2 3 6 3 2" xfId="9899" xr:uid="{00000000-0005-0000-0000-00001C530000}"/>
    <cellStyle name="40% - Accent1 2 3 6 3 3" xfId="15375" xr:uid="{00000000-0005-0000-0000-00001D530000}"/>
    <cellStyle name="40% - Accent1 2 3 6 3 4" xfId="20851" xr:uid="{00000000-0005-0000-0000-00001E530000}"/>
    <cellStyle name="40% - Accent1 2 3 6 3 5" xfId="26327" xr:uid="{00000000-0005-0000-0000-00001F530000}"/>
    <cellStyle name="40% - Accent1 2 3 6 3 6" xfId="38123" xr:uid="{00000000-0005-0000-0000-000020530000}"/>
    <cellStyle name="40% - Accent1 2 3 6 3 7" xfId="43600" xr:uid="{00000000-0005-0000-0000-000021530000}"/>
    <cellStyle name="40% - Accent1 2 3 6 3 8" xfId="49077" xr:uid="{00000000-0005-0000-0000-000022530000}"/>
    <cellStyle name="40% - Accent1 2 3 6 3 9" xfId="54595" xr:uid="{00000000-0005-0000-0000-000023530000}"/>
    <cellStyle name="40% - Accent1 2 3 6 4" xfId="6269" xr:uid="{00000000-0005-0000-0000-000024530000}"/>
    <cellStyle name="40% - Accent1 2 3 6 5" xfId="11749" xr:uid="{00000000-0005-0000-0000-000025530000}"/>
    <cellStyle name="40% - Accent1 2 3 6 6" xfId="17225" xr:uid="{00000000-0005-0000-0000-000026530000}"/>
    <cellStyle name="40% - Accent1 2 3 6 7" xfId="22701" xr:uid="{00000000-0005-0000-0000-000027530000}"/>
    <cellStyle name="40% - Accent1 2 3 6 8" xfId="34496" xr:uid="{00000000-0005-0000-0000-000028530000}"/>
    <cellStyle name="40% - Accent1 2 3 6 9" xfId="39973" xr:uid="{00000000-0005-0000-0000-000029530000}"/>
    <cellStyle name="40% - Accent1 2 3 7" xfId="1092" xr:uid="{00000000-0005-0000-0000-00002A530000}"/>
    <cellStyle name="40% - Accent1 2 3 7 10" xfId="45451" xr:uid="{00000000-0005-0000-0000-00002B530000}"/>
    <cellStyle name="40% - Accent1 2 3 7 11" xfId="50929" xr:uid="{00000000-0005-0000-0000-00002C530000}"/>
    <cellStyle name="40% - Accent1 2 3 7 2" xfId="2853" xr:uid="{00000000-0005-0000-0000-00002D530000}"/>
    <cellStyle name="40% - Accent1 2 3 7 2 2" xfId="8333" xr:uid="{00000000-0005-0000-0000-00002E530000}"/>
    <cellStyle name="40% - Accent1 2 3 7 2 3" xfId="13809" xr:uid="{00000000-0005-0000-0000-00002F530000}"/>
    <cellStyle name="40% - Accent1 2 3 7 2 4" xfId="19285" xr:uid="{00000000-0005-0000-0000-000030530000}"/>
    <cellStyle name="40% - Accent1 2 3 7 2 5" xfId="24761" xr:uid="{00000000-0005-0000-0000-000031530000}"/>
    <cellStyle name="40% - Accent1 2 3 7 2 6" xfId="36557" xr:uid="{00000000-0005-0000-0000-000032530000}"/>
    <cellStyle name="40% - Accent1 2 3 7 2 7" xfId="42034" xr:uid="{00000000-0005-0000-0000-000033530000}"/>
    <cellStyle name="40% - Accent1 2 3 7 2 8" xfId="47511" xr:uid="{00000000-0005-0000-0000-000034530000}"/>
    <cellStyle name="40% - Accent1 2 3 7 2 9" xfId="53029" xr:uid="{00000000-0005-0000-0000-000035530000}"/>
    <cellStyle name="40% - Accent1 2 3 7 3" xfId="4625" xr:uid="{00000000-0005-0000-0000-000036530000}"/>
    <cellStyle name="40% - Accent1 2 3 7 3 2" xfId="10105" xr:uid="{00000000-0005-0000-0000-000037530000}"/>
    <cellStyle name="40% - Accent1 2 3 7 3 3" xfId="15581" xr:uid="{00000000-0005-0000-0000-000038530000}"/>
    <cellStyle name="40% - Accent1 2 3 7 3 4" xfId="21057" xr:uid="{00000000-0005-0000-0000-000039530000}"/>
    <cellStyle name="40% - Accent1 2 3 7 3 5" xfId="26533" xr:uid="{00000000-0005-0000-0000-00003A530000}"/>
    <cellStyle name="40% - Accent1 2 3 7 3 6" xfId="38329" xr:uid="{00000000-0005-0000-0000-00003B530000}"/>
    <cellStyle name="40% - Accent1 2 3 7 3 7" xfId="43806" xr:uid="{00000000-0005-0000-0000-00003C530000}"/>
    <cellStyle name="40% - Accent1 2 3 7 3 8" xfId="49283" xr:uid="{00000000-0005-0000-0000-00003D530000}"/>
    <cellStyle name="40% - Accent1 2 3 7 3 9" xfId="54801" xr:uid="{00000000-0005-0000-0000-00003E530000}"/>
    <cellStyle name="40% - Accent1 2 3 7 4" xfId="6270" xr:uid="{00000000-0005-0000-0000-00003F530000}"/>
    <cellStyle name="40% - Accent1 2 3 7 5" xfId="11750" xr:uid="{00000000-0005-0000-0000-000040530000}"/>
    <cellStyle name="40% - Accent1 2 3 7 6" xfId="17226" xr:uid="{00000000-0005-0000-0000-000041530000}"/>
    <cellStyle name="40% - Accent1 2 3 7 7" xfId="22702" xr:uid="{00000000-0005-0000-0000-000042530000}"/>
    <cellStyle name="40% - Accent1 2 3 7 8" xfId="34497" xr:uid="{00000000-0005-0000-0000-000043530000}"/>
    <cellStyle name="40% - Accent1 2 3 7 9" xfId="39974" xr:uid="{00000000-0005-0000-0000-000044530000}"/>
    <cellStyle name="40% - Accent1 2 3 8" xfId="1264" xr:uid="{00000000-0005-0000-0000-000045530000}"/>
    <cellStyle name="40% - Accent1 2 3 8 10" xfId="45452" xr:uid="{00000000-0005-0000-0000-000046530000}"/>
    <cellStyle name="40% - Accent1 2 3 8 11" xfId="50930" xr:uid="{00000000-0005-0000-0000-000047530000}"/>
    <cellStyle name="40% - Accent1 2 3 8 2" xfId="3025" xr:uid="{00000000-0005-0000-0000-000048530000}"/>
    <cellStyle name="40% - Accent1 2 3 8 2 2" xfId="8505" xr:uid="{00000000-0005-0000-0000-000049530000}"/>
    <cellStyle name="40% - Accent1 2 3 8 2 3" xfId="13981" xr:uid="{00000000-0005-0000-0000-00004A530000}"/>
    <cellStyle name="40% - Accent1 2 3 8 2 4" xfId="19457" xr:uid="{00000000-0005-0000-0000-00004B530000}"/>
    <cellStyle name="40% - Accent1 2 3 8 2 5" xfId="24933" xr:uid="{00000000-0005-0000-0000-00004C530000}"/>
    <cellStyle name="40% - Accent1 2 3 8 2 6" xfId="36729" xr:uid="{00000000-0005-0000-0000-00004D530000}"/>
    <cellStyle name="40% - Accent1 2 3 8 2 7" xfId="42206" xr:uid="{00000000-0005-0000-0000-00004E530000}"/>
    <cellStyle name="40% - Accent1 2 3 8 2 8" xfId="47683" xr:uid="{00000000-0005-0000-0000-00004F530000}"/>
    <cellStyle name="40% - Accent1 2 3 8 2 9" xfId="53201" xr:uid="{00000000-0005-0000-0000-000050530000}"/>
    <cellStyle name="40% - Accent1 2 3 8 3" xfId="4797" xr:uid="{00000000-0005-0000-0000-000051530000}"/>
    <cellStyle name="40% - Accent1 2 3 8 3 2" xfId="10277" xr:uid="{00000000-0005-0000-0000-000052530000}"/>
    <cellStyle name="40% - Accent1 2 3 8 3 3" xfId="15753" xr:uid="{00000000-0005-0000-0000-000053530000}"/>
    <cellStyle name="40% - Accent1 2 3 8 3 4" xfId="21229" xr:uid="{00000000-0005-0000-0000-000054530000}"/>
    <cellStyle name="40% - Accent1 2 3 8 3 5" xfId="26705" xr:uid="{00000000-0005-0000-0000-000055530000}"/>
    <cellStyle name="40% - Accent1 2 3 8 3 6" xfId="38501" xr:uid="{00000000-0005-0000-0000-000056530000}"/>
    <cellStyle name="40% - Accent1 2 3 8 3 7" xfId="43978" xr:uid="{00000000-0005-0000-0000-000057530000}"/>
    <cellStyle name="40% - Accent1 2 3 8 3 8" xfId="49455" xr:uid="{00000000-0005-0000-0000-000058530000}"/>
    <cellStyle name="40% - Accent1 2 3 8 3 9" xfId="54973" xr:uid="{00000000-0005-0000-0000-000059530000}"/>
    <cellStyle name="40% - Accent1 2 3 8 4" xfId="6271" xr:uid="{00000000-0005-0000-0000-00005A530000}"/>
    <cellStyle name="40% - Accent1 2 3 8 5" xfId="11751" xr:uid="{00000000-0005-0000-0000-00005B530000}"/>
    <cellStyle name="40% - Accent1 2 3 8 6" xfId="17227" xr:uid="{00000000-0005-0000-0000-00005C530000}"/>
    <cellStyle name="40% - Accent1 2 3 8 7" xfId="22703" xr:uid="{00000000-0005-0000-0000-00005D530000}"/>
    <cellStyle name="40% - Accent1 2 3 8 8" xfId="34498" xr:uid="{00000000-0005-0000-0000-00005E530000}"/>
    <cellStyle name="40% - Accent1 2 3 8 9" xfId="39975" xr:uid="{00000000-0005-0000-0000-00005F530000}"/>
    <cellStyle name="40% - Accent1 2 3 9" xfId="1436" xr:uid="{00000000-0005-0000-0000-000060530000}"/>
    <cellStyle name="40% - Accent1 2 3 9 10" xfId="45453" xr:uid="{00000000-0005-0000-0000-000061530000}"/>
    <cellStyle name="40% - Accent1 2 3 9 11" xfId="50931" xr:uid="{00000000-0005-0000-0000-000062530000}"/>
    <cellStyle name="40% - Accent1 2 3 9 2" xfId="3197" xr:uid="{00000000-0005-0000-0000-000063530000}"/>
    <cellStyle name="40% - Accent1 2 3 9 2 2" xfId="8677" xr:uid="{00000000-0005-0000-0000-000064530000}"/>
    <cellStyle name="40% - Accent1 2 3 9 2 3" xfId="14153" xr:uid="{00000000-0005-0000-0000-000065530000}"/>
    <cellStyle name="40% - Accent1 2 3 9 2 4" xfId="19629" xr:uid="{00000000-0005-0000-0000-000066530000}"/>
    <cellStyle name="40% - Accent1 2 3 9 2 5" xfId="25105" xr:uid="{00000000-0005-0000-0000-000067530000}"/>
    <cellStyle name="40% - Accent1 2 3 9 2 6" xfId="36901" xr:uid="{00000000-0005-0000-0000-000068530000}"/>
    <cellStyle name="40% - Accent1 2 3 9 2 7" xfId="42378" xr:uid="{00000000-0005-0000-0000-000069530000}"/>
    <cellStyle name="40% - Accent1 2 3 9 2 8" xfId="47855" xr:uid="{00000000-0005-0000-0000-00006A530000}"/>
    <cellStyle name="40% - Accent1 2 3 9 2 9" xfId="53373" xr:uid="{00000000-0005-0000-0000-00006B530000}"/>
    <cellStyle name="40% - Accent1 2 3 9 3" xfId="4969" xr:uid="{00000000-0005-0000-0000-00006C530000}"/>
    <cellStyle name="40% - Accent1 2 3 9 3 2" xfId="10449" xr:uid="{00000000-0005-0000-0000-00006D530000}"/>
    <cellStyle name="40% - Accent1 2 3 9 3 3" xfId="15925" xr:uid="{00000000-0005-0000-0000-00006E530000}"/>
    <cellStyle name="40% - Accent1 2 3 9 3 4" xfId="21401" xr:uid="{00000000-0005-0000-0000-00006F530000}"/>
    <cellStyle name="40% - Accent1 2 3 9 3 5" xfId="26877" xr:uid="{00000000-0005-0000-0000-000070530000}"/>
    <cellStyle name="40% - Accent1 2 3 9 3 6" xfId="38673" xr:uid="{00000000-0005-0000-0000-000071530000}"/>
    <cellStyle name="40% - Accent1 2 3 9 3 7" xfId="44150" xr:uid="{00000000-0005-0000-0000-000072530000}"/>
    <cellStyle name="40% - Accent1 2 3 9 3 8" xfId="49627" xr:uid="{00000000-0005-0000-0000-000073530000}"/>
    <cellStyle name="40% - Accent1 2 3 9 3 9" xfId="55145" xr:uid="{00000000-0005-0000-0000-000074530000}"/>
    <cellStyle name="40% - Accent1 2 3 9 4" xfId="6272" xr:uid="{00000000-0005-0000-0000-000075530000}"/>
    <cellStyle name="40% - Accent1 2 3 9 5" xfId="11752" xr:uid="{00000000-0005-0000-0000-000076530000}"/>
    <cellStyle name="40% - Accent1 2 3 9 6" xfId="17228" xr:uid="{00000000-0005-0000-0000-000077530000}"/>
    <cellStyle name="40% - Accent1 2 3 9 7" xfId="22704" xr:uid="{00000000-0005-0000-0000-000078530000}"/>
    <cellStyle name="40% - Accent1 2 3 9 8" xfId="34499" xr:uid="{00000000-0005-0000-0000-000079530000}"/>
    <cellStyle name="40% - Accent1 2 3 9 9" xfId="39976" xr:uid="{00000000-0005-0000-0000-00007A530000}"/>
    <cellStyle name="40% - Accent1 2 4" xfId="170" xr:uid="{00000000-0005-0000-0000-00007B530000}"/>
    <cellStyle name="40% - Accent1 2 4 10" xfId="1610" xr:uid="{00000000-0005-0000-0000-00007C530000}"/>
    <cellStyle name="40% - Accent1 2 4 10 10" xfId="45455" xr:uid="{00000000-0005-0000-0000-00007D530000}"/>
    <cellStyle name="40% - Accent1 2 4 10 11" xfId="50933" xr:uid="{00000000-0005-0000-0000-00007E530000}"/>
    <cellStyle name="40% - Accent1 2 4 10 2" xfId="3371" xr:uid="{00000000-0005-0000-0000-00007F530000}"/>
    <cellStyle name="40% - Accent1 2 4 10 2 2" xfId="8851" xr:uid="{00000000-0005-0000-0000-000080530000}"/>
    <cellStyle name="40% - Accent1 2 4 10 2 3" xfId="14327" xr:uid="{00000000-0005-0000-0000-000081530000}"/>
    <cellStyle name="40% - Accent1 2 4 10 2 4" xfId="19803" xr:uid="{00000000-0005-0000-0000-000082530000}"/>
    <cellStyle name="40% - Accent1 2 4 10 2 5" xfId="25279" xr:uid="{00000000-0005-0000-0000-000083530000}"/>
    <cellStyle name="40% - Accent1 2 4 10 2 6" xfId="37075" xr:uid="{00000000-0005-0000-0000-000084530000}"/>
    <cellStyle name="40% - Accent1 2 4 10 2 7" xfId="42552" xr:uid="{00000000-0005-0000-0000-000085530000}"/>
    <cellStyle name="40% - Accent1 2 4 10 2 8" xfId="48029" xr:uid="{00000000-0005-0000-0000-000086530000}"/>
    <cellStyle name="40% - Accent1 2 4 10 2 9" xfId="53547" xr:uid="{00000000-0005-0000-0000-000087530000}"/>
    <cellStyle name="40% - Accent1 2 4 10 3" xfId="5143" xr:uid="{00000000-0005-0000-0000-000088530000}"/>
    <cellStyle name="40% - Accent1 2 4 10 3 2" xfId="10623" xr:uid="{00000000-0005-0000-0000-000089530000}"/>
    <cellStyle name="40% - Accent1 2 4 10 3 3" xfId="16099" xr:uid="{00000000-0005-0000-0000-00008A530000}"/>
    <cellStyle name="40% - Accent1 2 4 10 3 4" xfId="21575" xr:uid="{00000000-0005-0000-0000-00008B530000}"/>
    <cellStyle name="40% - Accent1 2 4 10 3 5" xfId="27051" xr:uid="{00000000-0005-0000-0000-00008C530000}"/>
    <cellStyle name="40% - Accent1 2 4 10 3 6" xfId="38847" xr:uid="{00000000-0005-0000-0000-00008D530000}"/>
    <cellStyle name="40% - Accent1 2 4 10 3 7" xfId="44324" xr:uid="{00000000-0005-0000-0000-00008E530000}"/>
    <cellStyle name="40% - Accent1 2 4 10 3 8" xfId="49801" xr:uid="{00000000-0005-0000-0000-00008F530000}"/>
    <cellStyle name="40% - Accent1 2 4 10 3 9" xfId="55319" xr:uid="{00000000-0005-0000-0000-000090530000}"/>
    <cellStyle name="40% - Accent1 2 4 10 4" xfId="6274" xr:uid="{00000000-0005-0000-0000-000091530000}"/>
    <cellStyle name="40% - Accent1 2 4 10 5" xfId="11754" xr:uid="{00000000-0005-0000-0000-000092530000}"/>
    <cellStyle name="40% - Accent1 2 4 10 6" xfId="17230" xr:uid="{00000000-0005-0000-0000-000093530000}"/>
    <cellStyle name="40% - Accent1 2 4 10 7" xfId="22706" xr:uid="{00000000-0005-0000-0000-000094530000}"/>
    <cellStyle name="40% - Accent1 2 4 10 8" xfId="34501" xr:uid="{00000000-0005-0000-0000-000095530000}"/>
    <cellStyle name="40% - Accent1 2 4 10 9" xfId="39978" xr:uid="{00000000-0005-0000-0000-000096530000}"/>
    <cellStyle name="40% - Accent1 2 4 11" xfId="1748" xr:uid="{00000000-0005-0000-0000-000097530000}"/>
    <cellStyle name="40% - Accent1 2 4 11 10" xfId="45456" xr:uid="{00000000-0005-0000-0000-000098530000}"/>
    <cellStyle name="40% - Accent1 2 4 11 11" xfId="50934" xr:uid="{00000000-0005-0000-0000-000099530000}"/>
    <cellStyle name="40% - Accent1 2 4 11 2" xfId="3509" xr:uid="{00000000-0005-0000-0000-00009A530000}"/>
    <cellStyle name="40% - Accent1 2 4 11 2 2" xfId="8989" xr:uid="{00000000-0005-0000-0000-00009B530000}"/>
    <cellStyle name="40% - Accent1 2 4 11 2 3" xfId="14465" xr:uid="{00000000-0005-0000-0000-00009C530000}"/>
    <cellStyle name="40% - Accent1 2 4 11 2 4" xfId="19941" xr:uid="{00000000-0005-0000-0000-00009D530000}"/>
    <cellStyle name="40% - Accent1 2 4 11 2 5" xfId="25417" xr:uid="{00000000-0005-0000-0000-00009E530000}"/>
    <cellStyle name="40% - Accent1 2 4 11 2 6" xfId="37213" xr:uid="{00000000-0005-0000-0000-00009F530000}"/>
    <cellStyle name="40% - Accent1 2 4 11 2 7" xfId="42690" xr:uid="{00000000-0005-0000-0000-0000A0530000}"/>
    <cellStyle name="40% - Accent1 2 4 11 2 8" xfId="48167" xr:uid="{00000000-0005-0000-0000-0000A1530000}"/>
    <cellStyle name="40% - Accent1 2 4 11 2 9" xfId="53685" xr:uid="{00000000-0005-0000-0000-0000A2530000}"/>
    <cellStyle name="40% - Accent1 2 4 11 3" xfId="5281" xr:uid="{00000000-0005-0000-0000-0000A3530000}"/>
    <cellStyle name="40% - Accent1 2 4 11 3 2" xfId="10761" xr:uid="{00000000-0005-0000-0000-0000A4530000}"/>
    <cellStyle name="40% - Accent1 2 4 11 3 3" xfId="16237" xr:uid="{00000000-0005-0000-0000-0000A5530000}"/>
    <cellStyle name="40% - Accent1 2 4 11 3 4" xfId="21713" xr:uid="{00000000-0005-0000-0000-0000A6530000}"/>
    <cellStyle name="40% - Accent1 2 4 11 3 5" xfId="27189" xr:uid="{00000000-0005-0000-0000-0000A7530000}"/>
    <cellStyle name="40% - Accent1 2 4 11 3 6" xfId="38985" xr:uid="{00000000-0005-0000-0000-0000A8530000}"/>
    <cellStyle name="40% - Accent1 2 4 11 3 7" xfId="44462" xr:uid="{00000000-0005-0000-0000-0000A9530000}"/>
    <cellStyle name="40% - Accent1 2 4 11 3 8" xfId="49939" xr:uid="{00000000-0005-0000-0000-0000AA530000}"/>
    <cellStyle name="40% - Accent1 2 4 11 3 9" xfId="55457" xr:uid="{00000000-0005-0000-0000-0000AB530000}"/>
    <cellStyle name="40% - Accent1 2 4 11 4" xfId="6275" xr:uid="{00000000-0005-0000-0000-0000AC530000}"/>
    <cellStyle name="40% - Accent1 2 4 11 5" xfId="11755" xr:uid="{00000000-0005-0000-0000-0000AD530000}"/>
    <cellStyle name="40% - Accent1 2 4 11 6" xfId="17231" xr:uid="{00000000-0005-0000-0000-0000AE530000}"/>
    <cellStyle name="40% - Accent1 2 4 11 7" xfId="22707" xr:uid="{00000000-0005-0000-0000-0000AF530000}"/>
    <cellStyle name="40% - Accent1 2 4 11 8" xfId="34502" xr:uid="{00000000-0005-0000-0000-0000B0530000}"/>
    <cellStyle name="40% - Accent1 2 4 11 9" xfId="39979" xr:uid="{00000000-0005-0000-0000-0000B1530000}"/>
    <cellStyle name="40% - Accent1 2 4 12" xfId="1972" xr:uid="{00000000-0005-0000-0000-0000B2530000}"/>
    <cellStyle name="40% - Accent1 2 4 12 10" xfId="52149" xr:uid="{00000000-0005-0000-0000-0000B3530000}"/>
    <cellStyle name="40% - Accent1 2 4 12 2" xfId="5504" xr:uid="{00000000-0005-0000-0000-0000B4530000}"/>
    <cellStyle name="40% - Accent1 2 4 12 2 2" xfId="10984" xr:uid="{00000000-0005-0000-0000-0000B5530000}"/>
    <cellStyle name="40% - Accent1 2 4 12 2 3" xfId="16460" xr:uid="{00000000-0005-0000-0000-0000B6530000}"/>
    <cellStyle name="40% - Accent1 2 4 12 2 4" xfId="21936" xr:uid="{00000000-0005-0000-0000-0000B7530000}"/>
    <cellStyle name="40% - Accent1 2 4 12 2 5" xfId="27412" xr:uid="{00000000-0005-0000-0000-0000B8530000}"/>
    <cellStyle name="40% - Accent1 2 4 12 2 6" xfId="39208" xr:uid="{00000000-0005-0000-0000-0000B9530000}"/>
    <cellStyle name="40% - Accent1 2 4 12 2 7" xfId="44685" xr:uid="{00000000-0005-0000-0000-0000BA530000}"/>
    <cellStyle name="40% - Accent1 2 4 12 2 8" xfId="50162" xr:uid="{00000000-0005-0000-0000-0000BB530000}"/>
    <cellStyle name="40% - Accent1 2 4 12 2 9" xfId="55680" xr:uid="{00000000-0005-0000-0000-0000BC530000}"/>
    <cellStyle name="40% - Accent1 2 4 12 3" xfId="7453" xr:uid="{00000000-0005-0000-0000-0000BD530000}"/>
    <cellStyle name="40% - Accent1 2 4 12 4" xfId="12929" xr:uid="{00000000-0005-0000-0000-0000BE530000}"/>
    <cellStyle name="40% - Accent1 2 4 12 5" xfId="18405" xr:uid="{00000000-0005-0000-0000-0000BF530000}"/>
    <cellStyle name="40% - Accent1 2 4 12 6" xfId="23881" xr:uid="{00000000-0005-0000-0000-0000C0530000}"/>
    <cellStyle name="40% - Accent1 2 4 12 7" xfId="35677" xr:uid="{00000000-0005-0000-0000-0000C1530000}"/>
    <cellStyle name="40% - Accent1 2 4 12 8" xfId="41154" xr:uid="{00000000-0005-0000-0000-0000C2530000}"/>
    <cellStyle name="40% - Accent1 2 4 12 9" xfId="46631" xr:uid="{00000000-0005-0000-0000-0000C3530000}"/>
    <cellStyle name="40% - Accent1 2 4 13" xfId="3742" xr:uid="{00000000-0005-0000-0000-0000C4530000}"/>
    <cellStyle name="40% - Accent1 2 4 13 2" xfId="9222" xr:uid="{00000000-0005-0000-0000-0000C5530000}"/>
    <cellStyle name="40% - Accent1 2 4 13 3" xfId="14698" xr:uid="{00000000-0005-0000-0000-0000C6530000}"/>
    <cellStyle name="40% - Accent1 2 4 13 4" xfId="20174" xr:uid="{00000000-0005-0000-0000-0000C7530000}"/>
    <cellStyle name="40% - Accent1 2 4 13 5" xfId="25650" xr:uid="{00000000-0005-0000-0000-0000C8530000}"/>
    <cellStyle name="40% - Accent1 2 4 13 6" xfId="37446" xr:uid="{00000000-0005-0000-0000-0000C9530000}"/>
    <cellStyle name="40% - Accent1 2 4 13 7" xfId="42923" xr:uid="{00000000-0005-0000-0000-0000CA530000}"/>
    <cellStyle name="40% - Accent1 2 4 13 8" xfId="48400" xr:uid="{00000000-0005-0000-0000-0000CB530000}"/>
    <cellStyle name="40% - Accent1 2 4 13 9" xfId="53918" xr:uid="{00000000-0005-0000-0000-0000CC530000}"/>
    <cellStyle name="40% - Accent1 2 4 14" xfId="6273" xr:uid="{00000000-0005-0000-0000-0000CD530000}"/>
    <cellStyle name="40% - Accent1 2 4 15" xfId="11753" xr:uid="{00000000-0005-0000-0000-0000CE530000}"/>
    <cellStyle name="40% - Accent1 2 4 16" xfId="17229" xr:uid="{00000000-0005-0000-0000-0000CF530000}"/>
    <cellStyle name="40% - Accent1 2 4 17" xfId="22705" xr:uid="{00000000-0005-0000-0000-0000D0530000}"/>
    <cellStyle name="40% - Accent1 2 4 18" xfId="30389" xr:uid="{00000000-0005-0000-0000-0000D1530000}"/>
    <cellStyle name="40% - Accent1 2 4 19" xfId="34500" xr:uid="{00000000-0005-0000-0000-0000D2530000}"/>
    <cellStyle name="40% - Accent1 2 4 2" xfId="262" xr:uid="{00000000-0005-0000-0000-0000D3530000}"/>
    <cellStyle name="40% - Accent1 2 4 2 10" xfId="1747" xr:uid="{00000000-0005-0000-0000-0000D4530000}"/>
    <cellStyle name="40% - Accent1 2 4 2 10 10" xfId="45458" xr:uid="{00000000-0005-0000-0000-0000D5530000}"/>
    <cellStyle name="40% - Accent1 2 4 2 10 11" xfId="50936" xr:uid="{00000000-0005-0000-0000-0000D6530000}"/>
    <cellStyle name="40% - Accent1 2 4 2 10 2" xfId="3508" xr:uid="{00000000-0005-0000-0000-0000D7530000}"/>
    <cellStyle name="40% - Accent1 2 4 2 10 2 2" xfId="8988" xr:uid="{00000000-0005-0000-0000-0000D8530000}"/>
    <cellStyle name="40% - Accent1 2 4 2 10 2 3" xfId="14464" xr:uid="{00000000-0005-0000-0000-0000D9530000}"/>
    <cellStyle name="40% - Accent1 2 4 2 10 2 4" xfId="19940" xr:uid="{00000000-0005-0000-0000-0000DA530000}"/>
    <cellStyle name="40% - Accent1 2 4 2 10 2 5" xfId="25416" xr:uid="{00000000-0005-0000-0000-0000DB530000}"/>
    <cellStyle name="40% - Accent1 2 4 2 10 2 6" xfId="37212" xr:uid="{00000000-0005-0000-0000-0000DC530000}"/>
    <cellStyle name="40% - Accent1 2 4 2 10 2 7" xfId="42689" xr:uid="{00000000-0005-0000-0000-0000DD530000}"/>
    <cellStyle name="40% - Accent1 2 4 2 10 2 8" xfId="48166" xr:uid="{00000000-0005-0000-0000-0000DE530000}"/>
    <cellStyle name="40% - Accent1 2 4 2 10 2 9" xfId="53684" xr:uid="{00000000-0005-0000-0000-0000DF530000}"/>
    <cellStyle name="40% - Accent1 2 4 2 10 3" xfId="5280" xr:uid="{00000000-0005-0000-0000-0000E0530000}"/>
    <cellStyle name="40% - Accent1 2 4 2 10 3 2" xfId="10760" xr:uid="{00000000-0005-0000-0000-0000E1530000}"/>
    <cellStyle name="40% - Accent1 2 4 2 10 3 3" xfId="16236" xr:uid="{00000000-0005-0000-0000-0000E2530000}"/>
    <cellStyle name="40% - Accent1 2 4 2 10 3 4" xfId="21712" xr:uid="{00000000-0005-0000-0000-0000E3530000}"/>
    <cellStyle name="40% - Accent1 2 4 2 10 3 5" xfId="27188" xr:uid="{00000000-0005-0000-0000-0000E4530000}"/>
    <cellStyle name="40% - Accent1 2 4 2 10 3 6" xfId="38984" xr:uid="{00000000-0005-0000-0000-0000E5530000}"/>
    <cellStyle name="40% - Accent1 2 4 2 10 3 7" xfId="44461" xr:uid="{00000000-0005-0000-0000-0000E6530000}"/>
    <cellStyle name="40% - Accent1 2 4 2 10 3 8" xfId="49938" xr:uid="{00000000-0005-0000-0000-0000E7530000}"/>
    <cellStyle name="40% - Accent1 2 4 2 10 3 9" xfId="55456" xr:uid="{00000000-0005-0000-0000-0000E8530000}"/>
    <cellStyle name="40% - Accent1 2 4 2 10 4" xfId="6277" xr:uid="{00000000-0005-0000-0000-0000E9530000}"/>
    <cellStyle name="40% - Accent1 2 4 2 10 5" xfId="11757" xr:uid="{00000000-0005-0000-0000-0000EA530000}"/>
    <cellStyle name="40% - Accent1 2 4 2 10 6" xfId="17233" xr:uid="{00000000-0005-0000-0000-0000EB530000}"/>
    <cellStyle name="40% - Accent1 2 4 2 10 7" xfId="22709" xr:uid="{00000000-0005-0000-0000-0000EC530000}"/>
    <cellStyle name="40% - Accent1 2 4 2 10 8" xfId="34504" xr:uid="{00000000-0005-0000-0000-0000ED530000}"/>
    <cellStyle name="40% - Accent1 2 4 2 10 9" xfId="39981" xr:uid="{00000000-0005-0000-0000-0000EE530000}"/>
    <cellStyle name="40% - Accent1 2 4 2 11" xfId="1973" xr:uid="{00000000-0005-0000-0000-0000EF530000}"/>
    <cellStyle name="40% - Accent1 2 4 2 11 10" xfId="52150" xr:uid="{00000000-0005-0000-0000-0000F0530000}"/>
    <cellStyle name="40% - Accent1 2 4 2 11 2" xfId="5505" xr:uid="{00000000-0005-0000-0000-0000F1530000}"/>
    <cellStyle name="40% - Accent1 2 4 2 11 2 2" xfId="10985" xr:uid="{00000000-0005-0000-0000-0000F2530000}"/>
    <cellStyle name="40% - Accent1 2 4 2 11 2 3" xfId="16461" xr:uid="{00000000-0005-0000-0000-0000F3530000}"/>
    <cellStyle name="40% - Accent1 2 4 2 11 2 4" xfId="21937" xr:uid="{00000000-0005-0000-0000-0000F4530000}"/>
    <cellStyle name="40% - Accent1 2 4 2 11 2 5" xfId="27413" xr:uid="{00000000-0005-0000-0000-0000F5530000}"/>
    <cellStyle name="40% - Accent1 2 4 2 11 2 6" xfId="39209" xr:uid="{00000000-0005-0000-0000-0000F6530000}"/>
    <cellStyle name="40% - Accent1 2 4 2 11 2 7" xfId="44686" xr:uid="{00000000-0005-0000-0000-0000F7530000}"/>
    <cellStyle name="40% - Accent1 2 4 2 11 2 8" xfId="50163" xr:uid="{00000000-0005-0000-0000-0000F8530000}"/>
    <cellStyle name="40% - Accent1 2 4 2 11 2 9" xfId="55681" xr:uid="{00000000-0005-0000-0000-0000F9530000}"/>
    <cellStyle name="40% - Accent1 2 4 2 11 3" xfId="7454" xr:uid="{00000000-0005-0000-0000-0000FA530000}"/>
    <cellStyle name="40% - Accent1 2 4 2 11 4" xfId="12930" xr:uid="{00000000-0005-0000-0000-0000FB530000}"/>
    <cellStyle name="40% - Accent1 2 4 2 11 5" xfId="18406" xr:uid="{00000000-0005-0000-0000-0000FC530000}"/>
    <cellStyle name="40% - Accent1 2 4 2 11 6" xfId="23882" xr:uid="{00000000-0005-0000-0000-0000FD530000}"/>
    <cellStyle name="40% - Accent1 2 4 2 11 7" xfId="35678" xr:uid="{00000000-0005-0000-0000-0000FE530000}"/>
    <cellStyle name="40% - Accent1 2 4 2 11 8" xfId="41155" xr:uid="{00000000-0005-0000-0000-0000FF530000}"/>
    <cellStyle name="40% - Accent1 2 4 2 11 9" xfId="46632" xr:uid="{00000000-0005-0000-0000-000000540000}"/>
    <cellStyle name="40% - Accent1 2 4 2 12" xfId="3828" xr:uid="{00000000-0005-0000-0000-000001540000}"/>
    <cellStyle name="40% - Accent1 2 4 2 12 2" xfId="9308" xr:uid="{00000000-0005-0000-0000-000002540000}"/>
    <cellStyle name="40% - Accent1 2 4 2 12 3" xfId="14784" xr:uid="{00000000-0005-0000-0000-000003540000}"/>
    <cellStyle name="40% - Accent1 2 4 2 12 4" xfId="20260" xr:uid="{00000000-0005-0000-0000-000004540000}"/>
    <cellStyle name="40% - Accent1 2 4 2 12 5" xfId="25736" xr:uid="{00000000-0005-0000-0000-000005540000}"/>
    <cellStyle name="40% - Accent1 2 4 2 12 6" xfId="37532" xr:uid="{00000000-0005-0000-0000-000006540000}"/>
    <cellStyle name="40% - Accent1 2 4 2 12 7" xfId="43009" xr:uid="{00000000-0005-0000-0000-000007540000}"/>
    <cellStyle name="40% - Accent1 2 4 2 12 8" xfId="48486" xr:uid="{00000000-0005-0000-0000-000008540000}"/>
    <cellStyle name="40% - Accent1 2 4 2 12 9" xfId="54004" xr:uid="{00000000-0005-0000-0000-000009540000}"/>
    <cellStyle name="40% - Accent1 2 4 2 13" xfId="6276" xr:uid="{00000000-0005-0000-0000-00000A540000}"/>
    <cellStyle name="40% - Accent1 2 4 2 14" xfId="11756" xr:uid="{00000000-0005-0000-0000-00000B540000}"/>
    <cellStyle name="40% - Accent1 2 4 2 15" xfId="17232" xr:uid="{00000000-0005-0000-0000-00000C540000}"/>
    <cellStyle name="40% - Accent1 2 4 2 16" xfId="22708" xr:uid="{00000000-0005-0000-0000-00000D540000}"/>
    <cellStyle name="40% - Accent1 2 4 2 17" xfId="30390" xr:uid="{00000000-0005-0000-0000-00000E540000}"/>
    <cellStyle name="40% - Accent1 2 4 2 18" xfId="34503" xr:uid="{00000000-0005-0000-0000-00000F540000}"/>
    <cellStyle name="40% - Accent1 2 4 2 19" xfId="39980" xr:uid="{00000000-0005-0000-0000-000010540000}"/>
    <cellStyle name="40% - Accent1 2 4 2 2" xfId="344" xr:uid="{00000000-0005-0000-0000-000011540000}"/>
    <cellStyle name="40% - Accent1 2 4 2 2 10" xfId="39982" xr:uid="{00000000-0005-0000-0000-000012540000}"/>
    <cellStyle name="40% - Accent1 2 4 2 2 11" xfId="45459" xr:uid="{00000000-0005-0000-0000-000013540000}"/>
    <cellStyle name="40% - Accent1 2 4 2 2 12" xfId="50937" xr:uid="{00000000-0005-0000-0000-000014540000}"/>
    <cellStyle name="40% - Accent1 2 4 2 2 2" xfId="2140" xr:uid="{00000000-0005-0000-0000-000015540000}"/>
    <cellStyle name="40% - Accent1 2 4 2 2 2 2" xfId="7620" xr:uid="{00000000-0005-0000-0000-000016540000}"/>
    <cellStyle name="40% - Accent1 2 4 2 2 2 3" xfId="13096" xr:uid="{00000000-0005-0000-0000-000017540000}"/>
    <cellStyle name="40% - Accent1 2 4 2 2 2 4" xfId="18572" xr:uid="{00000000-0005-0000-0000-000018540000}"/>
    <cellStyle name="40% - Accent1 2 4 2 2 2 5" xfId="24048" xr:uid="{00000000-0005-0000-0000-000019540000}"/>
    <cellStyle name="40% - Accent1 2 4 2 2 2 6" xfId="35844" xr:uid="{00000000-0005-0000-0000-00001A540000}"/>
    <cellStyle name="40% - Accent1 2 4 2 2 2 7" xfId="41321" xr:uid="{00000000-0005-0000-0000-00001B540000}"/>
    <cellStyle name="40% - Accent1 2 4 2 2 2 8" xfId="46798" xr:uid="{00000000-0005-0000-0000-00001C540000}"/>
    <cellStyle name="40% - Accent1 2 4 2 2 2 9" xfId="52316" xr:uid="{00000000-0005-0000-0000-00001D540000}"/>
    <cellStyle name="40% - Accent1 2 4 2 2 3" xfId="3906" xr:uid="{00000000-0005-0000-0000-00001E540000}"/>
    <cellStyle name="40% - Accent1 2 4 2 2 3 2" xfId="9386" xr:uid="{00000000-0005-0000-0000-00001F540000}"/>
    <cellStyle name="40% - Accent1 2 4 2 2 3 3" xfId="14862" xr:uid="{00000000-0005-0000-0000-000020540000}"/>
    <cellStyle name="40% - Accent1 2 4 2 2 3 4" xfId="20338" xr:uid="{00000000-0005-0000-0000-000021540000}"/>
    <cellStyle name="40% - Accent1 2 4 2 2 3 5" xfId="25814" xr:uid="{00000000-0005-0000-0000-000022540000}"/>
    <cellStyle name="40% - Accent1 2 4 2 2 3 6" xfId="37610" xr:uid="{00000000-0005-0000-0000-000023540000}"/>
    <cellStyle name="40% - Accent1 2 4 2 2 3 7" xfId="43087" xr:uid="{00000000-0005-0000-0000-000024540000}"/>
    <cellStyle name="40% - Accent1 2 4 2 2 3 8" xfId="48564" xr:uid="{00000000-0005-0000-0000-000025540000}"/>
    <cellStyle name="40% - Accent1 2 4 2 2 3 9" xfId="54082" xr:uid="{00000000-0005-0000-0000-000026540000}"/>
    <cellStyle name="40% - Accent1 2 4 2 2 4" xfId="6278" xr:uid="{00000000-0005-0000-0000-000027540000}"/>
    <cellStyle name="40% - Accent1 2 4 2 2 5" xfId="11758" xr:uid="{00000000-0005-0000-0000-000028540000}"/>
    <cellStyle name="40% - Accent1 2 4 2 2 6" xfId="17234" xr:uid="{00000000-0005-0000-0000-000029540000}"/>
    <cellStyle name="40% - Accent1 2 4 2 2 7" xfId="22710" xr:uid="{00000000-0005-0000-0000-00002A540000}"/>
    <cellStyle name="40% - Accent1 2 4 2 2 8" xfId="30391" xr:uid="{00000000-0005-0000-0000-00002B540000}"/>
    <cellStyle name="40% - Accent1 2 4 2 2 9" xfId="34505" xr:uid="{00000000-0005-0000-0000-00002C540000}"/>
    <cellStyle name="40% - Accent1 2 4 2 20" xfId="45457" xr:uid="{00000000-0005-0000-0000-00002D540000}"/>
    <cellStyle name="40% - Accent1 2 4 2 21" xfId="50935" xr:uid="{00000000-0005-0000-0000-00002E540000}"/>
    <cellStyle name="40% - Accent1 2 4 2 3" xfId="545" xr:uid="{00000000-0005-0000-0000-00002F540000}"/>
    <cellStyle name="40% - Accent1 2 4 2 3 10" xfId="45460" xr:uid="{00000000-0005-0000-0000-000030540000}"/>
    <cellStyle name="40% - Accent1 2 4 2 3 11" xfId="50938" xr:uid="{00000000-0005-0000-0000-000031540000}"/>
    <cellStyle name="40% - Accent1 2 4 2 3 2" xfId="2306" xr:uid="{00000000-0005-0000-0000-000032540000}"/>
    <cellStyle name="40% - Accent1 2 4 2 3 2 2" xfId="7786" xr:uid="{00000000-0005-0000-0000-000033540000}"/>
    <cellStyle name="40% - Accent1 2 4 2 3 2 3" xfId="13262" xr:uid="{00000000-0005-0000-0000-000034540000}"/>
    <cellStyle name="40% - Accent1 2 4 2 3 2 4" xfId="18738" xr:uid="{00000000-0005-0000-0000-000035540000}"/>
    <cellStyle name="40% - Accent1 2 4 2 3 2 5" xfId="24214" xr:uid="{00000000-0005-0000-0000-000036540000}"/>
    <cellStyle name="40% - Accent1 2 4 2 3 2 6" xfId="36010" xr:uid="{00000000-0005-0000-0000-000037540000}"/>
    <cellStyle name="40% - Accent1 2 4 2 3 2 7" xfId="41487" xr:uid="{00000000-0005-0000-0000-000038540000}"/>
    <cellStyle name="40% - Accent1 2 4 2 3 2 8" xfId="46964" xr:uid="{00000000-0005-0000-0000-000039540000}"/>
    <cellStyle name="40% - Accent1 2 4 2 3 2 9" xfId="52482" xr:uid="{00000000-0005-0000-0000-00003A540000}"/>
    <cellStyle name="40% - Accent1 2 4 2 3 3" xfId="4078" xr:uid="{00000000-0005-0000-0000-00003B540000}"/>
    <cellStyle name="40% - Accent1 2 4 2 3 3 2" xfId="9558" xr:uid="{00000000-0005-0000-0000-00003C540000}"/>
    <cellStyle name="40% - Accent1 2 4 2 3 3 3" xfId="15034" xr:uid="{00000000-0005-0000-0000-00003D540000}"/>
    <cellStyle name="40% - Accent1 2 4 2 3 3 4" xfId="20510" xr:uid="{00000000-0005-0000-0000-00003E540000}"/>
    <cellStyle name="40% - Accent1 2 4 2 3 3 5" xfId="25986" xr:uid="{00000000-0005-0000-0000-00003F540000}"/>
    <cellStyle name="40% - Accent1 2 4 2 3 3 6" xfId="37782" xr:uid="{00000000-0005-0000-0000-000040540000}"/>
    <cellStyle name="40% - Accent1 2 4 2 3 3 7" xfId="43259" xr:uid="{00000000-0005-0000-0000-000041540000}"/>
    <cellStyle name="40% - Accent1 2 4 2 3 3 8" xfId="48736" xr:uid="{00000000-0005-0000-0000-000042540000}"/>
    <cellStyle name="40% - Accent1 2 4 2 3 3 9" xfId="54254" xr:uid="{00000000-0005-0000-0000-000043540000}"/>
    <cellStyle name="40% - Accent1 2 4 2 3 4" xfId="6279" xr:uid="{00000000-0005-0000-0000-000044540000}"/>
    <cellStyle name="40% - Accent1 2 4 2 3 5" xfId="11759" xr:uid="{00000000-0005-0000-0000-000045540000}"/>
    <cellStyle name="40% - Accent1 2 4 2 3 6" xfId="17235" xr:uid="{00000000-0005-0000-0000-000046540000}"/>
    <cellStyle name="40% - Accent1 2 4 2 3 7" xfId="22711" xr:uid="{00000000-0005-0000-0000-000047540000}"/>
    <cellStyle name="40% - Accent1 2 4 2 3 8" xfId="34506" xr:uid="{00000000-0005-0000-0000-000048540000}"/>
    <cellStyle name="40% - Accent1 2 4 2 3 9" xfId="39983" xr:uid="{00000000-0005-0000-0000-000049540000}"/>
    <cellStyle name="40% - Accent1 2 4 2 4" xfId="717" xr:uid="{00000000-0005-0000-0000-00004A540000}"/>
    <cellStyle name="40% - Accent1 2 4 2 4 10" xfId="45461" xr:uid="{00000000-0005-0000-0000-00004B540000}"/>
    <cellStyle name="40% - Accent1 2 4 2 4 11" xfId="50939" xr:uid="{00000000-0005-0000-0000-00004C540000}"/>
    <cellStyle name="40% - Accent1 2 4 2 4 2" xfId="2478" xr:uid="{00000000-0005-0000-0000-00004D540000}"/>
    <cellStyle name="40% - Accent1 2 4 2 4 2 2" xfId="7958" xr:uid="{00000000-0005-0000-0000-00004E540000}"/>
    <cellStyle name="40% - Accent1 2 4 2 4 2 3" xfId="13434" xr:uid="{00000000-0005-0000-0000-00004F540000}"/>
    <cellStyle name="40% - Accent1 2 4 2 4 2 4" xfId="18910" xr:uid="{00000000-0005-0000-0000-000050540000}"/>
    <cellStyle name="40% - Accent1 2 4 2 4 2 5" xfId="24386" xr:uid="{00000000-0005-0000-0000-000051540000}"/>
    <cellStyle name="40% - Accent1 2 4 2 4 2 6" xfId="36182" xr:uid="{00000000-0005-0000-0000-000052540000}"/>
    <cellStyle name="40% - Accent1 2 4 2 4 2 7" xfId="41659" xr:uid="{00000000-0005-0000-0000-000053540000}"/>
    <cellStyle name="40% - Accent1 2 4 2 4 2 8" xfId="47136" xr:uid="{00000000-0005-0000-0000-000054540000}"/>
    <cellStyle name="40% - Accent1 2 4 2 4 2 9" xfId="52654" xr:uid="{00000000-0005-0000-0000-000055540000}"/>
    <cellStyle name="40% - Accent1 2 4 2 4 3" xfId="4250" xr:uid="{00000000-0005-0000-0000-000056540000}"/>
    <cellStyle name="40% - Accent1 2 4 2 4 3 2" xfId="9730" xr:uid="{00000000-0005-0000-0000-000057540000}"/>
    <cellStyle name="40% - Accent1 2 4 2 4 3 3" xfId="15206" xr:uid="{00000000-0005-0000-0000-000058540000}"/>
    <cellStyle name="40% - Accent1 2 4 2 4 3 4" xfId="20682" xr:uid="{00000000-0005-0000-0000-000059540000}"/>
    <cellStyle name="40% - Accent1 2 4 2 4 3 5" xfId="26158" xr:uid="{00000000-0005-0000-0000-00005A540000}"/>
    <cellStyle name="40% - Accent1 2 4 2 4 3 6" xfId="37954" xr:uid="{00000000-0005-0000-0000-00005B540000}"/>
    <cellStyle name="40% - Accent1 2 4 2 4 3 7" xfId="43431" xr:uid="{00000000-0005-0000-0000-00005C540000}"/>
    <cellStyle name="40% - Accent1 2 4 2 4 3 8" xfId="48908" xr:uid="{00000000-0005-0000-0000-00005D540000}"/>
    <cellStyle name="40% - Accent1 2 4 2 4 3 9" xfId="54426" xr:uid="{00000000-0005-0000-0000-00005E540000}"/>
    <cellStyle name="40% - Accent1 2 4 2 4 4" xfId="6280" xr:uid="{00000000-0005-0000-0000-00005F540000}"/>
    <cellStyle name="40% - Accent1 2 4 2 4 5" xfId="11760" xr:uid="{00000000-0005-0000-0000-000060540000}"/>
    <cellStyle name="40% - Accent1 2 4 2 4 6" xfId="17236" xr:uid="{00000000-0005-0000-0000-000061540000}"/>
    <cellStyle name="40% - Accent1 2 4 2 4 7" xfId="22712" xr:uid="{00000000-0005-0000-0000-000062540000}"/>
    <cellStyle name="40% - Accent1 2 4 2 4 8" xfId="34507" xr:uid="{00000000-0005-0000-0000-000063540000}"/>
    <cellStyle name="40% - Accent1 2 4 2 4 9" xfId="39984" xr:uid="{00000000-0005-0000-0000-000064540000}"/>
    <cellStyle name="40% - Accent1 2 4 2 5" xfId="889" xr:uid="{00000000-0005-0000-0000-000065540000}"/>
    <cellStyle name="40% - Accent1 2 4 2 5 10" xfId="45462" xr:uid="{00000000-0005-0000-0000-000066540000}"/>
    <cellStyle name="40% - Accent1 2 4 2 5 11" xfId="50940" xr:uid="{00000000-0005-0000-0000-000067540000}"/>
    <cellStyle name="40% - Accent1 2 4 2 5 2" xfId="2650" xr:uid="{00000000-0005-0000-0000-000068540000}"/>
    <cellStyle name="40% - Accent1 2 4 2 5 2 2" xfId="8130" xr:uid="{00000000-0005-0000-0000-000069540000}"/>
    <cellStyle name="40% - Accent1 2 4 2 5 2 3" xfId="13606" xr:uid="{00000000-0005-0000-0000-00006A540000}"/>
    <cellStyle name="40% - Accent1 2 4 2 5 2 4" xfId="19082" xr:uid="{00000000-0005-0000-0000-00006B540000}"/>
    <cellStyle name="40% - Accent1 2 4 2 5 2 5" xfId="24558" xr:uid="{00000000-0005-0000-0000-00006C540000}"/>
    <cellStyle name="40% - Accent1 2 4 2 5 2 6" xfId="36354" xr:uid="{00000000-0005-0000-0000-00006D540000}"/>
    <cellStyle name="40% - Accent1 2 4 2 5 2 7" xfId="41831" xr:uid="{00000000-0005-0000-0000-00006E540000}"/>
    <cellStyle name="40% - Accent1 2 4 2 5 2 8" xfId="47308" xr:uid="{00000000-0005-0000-0000-00006F540000}"/>
    <cellStyle name="40% - Accent1 2 4 2 5 2 9" xfId="52826" xr:uid="{00000000-0005-0000-0000-000070540000}"/>
    <cellStyle name="40% - Accent1 2 4 2 5 3" xfId="4422" xr:uid="{00000000-0005-0000-0000-000071540000}"/>
    <cellStyle name="40% - Accent1 2 4 2 5 3 2" xfId="9902" xr:uid="{00000000-0005-0000-0000-000072540000}"/>
    <cellStyle name="40% - Accent1 2 4 2 5 3 3" xfId="15378" xr:uid="{00000000-0005-0000-0000-000073540000}"/>
    <cellStyle name="40% - Accent1 2 4 2 5 3 4" xfId="20854" xr:uid="{00000000-0005-0000-0000-000074540000}"/>
    <cellStyle name="40% - Accent1 2 4 2 5 3 5" xfId="26330" xr:uid="{00000000-0005-0000-0000-000075540000}"/>
    <cellStyle name="40% - Accent1 2 4 2 5 3 6" xfId="38126" xr:uid="{00000000-0005-0000-0000-000076540000}"/>
    <cellStyle name="40% - Accent1 2 4 2 5 3 7" xfId="43603" xr:uid="{00000000-0005-0000-0000-000077540000}"/>
    <cellStyle name="40% - Accent1 2 4 2 5 3 8" xfId="49080" xr:uid="{00000000-0005-0000-0000-000078540000}"/>
    <cellStyle name="40% - Accent1 2 4 2 5 3 9" xfId="54598" xr:uid="{00000000-0005-0000-0000-000079540000}"/>
    <cellStyle name="40% - Accent1 2 4 2 5 4" xfId="6281" xr:uid="{00000000-0005-0000-0000-00007A540000}"/>
    <cellStyle name="40% - Accent1 2 4 2 5 5" xfId="11761" xr:uid="{00000000-0005-0000-0000-00007B540000}"/>
    <cellStyle name="40% - Accent1 2 4 2 5 6" xfId="17237" xr:uid="{00000000-0005-0000-0000-00007C540000}"/>
    <cellStyle name="40% - Accent1 2 4 2 5 7" xfId="22713" xr:uid="{00000000-0005-0000-0000-00007D540000}"/>
    <cellStyle name="40% - Accent1 2 4 2 5 8" xfId="34508" xr:uid="{00000000-0005-0000-0000-00007E540000}"/>
    <cellStyle name="40% - Accent1 2 4 2 5 9" xfId="39985" xr:uid="{00000000-0005-0000-0000-00007F540000}"/>
    <cellStyle name="40% - Accent1 2 4 2 6" xfId="1095" xr:uid="{00000000-0005-0000-0000-000080540000}"/>
    <cellStyle name="40% - Accent1 2 4 2 6 10" xfId="45463" xr:uid="{00000000-0005-0000-0000-000081540000}"/>
    <cellStyle name="40% - Accent1 2 4 2 6 11" xfId="50941" xr:uid="{00000000-0005-0000-0000-000082540000}"/>
    <cellStyle name="40% - Accent1 2 4 2 6 2" xfId="2856" xr:uid="{00000000-0005-0000-0000-000083540000}"/>
    <cellStyle name="40% - Accent1 2 4 2 6 2 2" xfId="8336" xr:uid="{00000000-0005-0000-0000-000084540000}"/>
    <cellStyle name="40% - Accent1 2 4 2 6 2 3" xfId="13812" xr:uid="{00000000-0005-0000-0000-000085540000}"/>
    <cellStyle name="40% - Accent1 2 4 2 6 2 4" xfId="19288" xr:uid="{00000000-0005-0000-0000-000086540000}"/>
    <cellStyle name="40% - Accent1 2 4 2 6 2 5" xfId="24764" xr:uid="{00000000-0005-0000-0000-000087540000}"/>
    <cellStyle name="40% - Accent1 2 4 2 6 2 6" xfId="36560" xr:uid="{00000000-0005-0000-0000-000088540000}"/>
    <cellStyle name="40% - Accent1 2 4 2 6 2 7" xfId="42037" xr:uid="{00000000-0005-0000-0000-000089540000}"/>
    <cellStyle name="40% - Accent1 2 4 2 6 2 8" xfId="47514" xr:uid="{00000000-0005-0000-0000-00008A540000}"/>
    <cellStyle name="40% - Accent1 2 4 2 6 2 9" xfId="53032" xr:uid="{00000000-0005-0000-0000-00008B540000}"/>
    <cellStyle name="40% - Accent1 2 4 2 6 3" xfId="4628" xr:uid="{00000000-0005-0000-0000-00008C540000}"/>
    <cellStyle name="40% - Accent1 2 4 2 6 3 2" xfId="10108" xr:uid="{00000000-0005-0000-0000-00008D540000}"/>
    <cellStyle name="40% - Accent1 2 4 2 6 3 3" xfId="15584" xr:uid="{00000000-0005-0000-0000-00008E540000}"/>
    <cellStyle name="40% - Accent1 2 4 2 6 3 4" xfId="21060" xr:uid="{00000000-0005-0000-0000-00008F540000}"/>
    <cellStyle name="40% - Accent1 2 4 2 6 3 5" xfId="26536" xr:uid="{00000000-0005-0000-0000-000090540000}"/>
    <cellStyle name="40% - Accent1 2 4 2 6 3 6" xfId="38332" xr:uid="{00000000-0005-0000-0000-000091540000}"/>
    <cellStyle name="40% - Accent1 2 4 2 6 3 7" xfId="43809" xr:uid="{00000000-0005-0000-0000-000092540000}"/>
    <cellStyle name="40% - Accent1 2 4 2 6 3 8" xfId="49286" xr:uid="{00000000-0005-0000-0000-000093540000}"/>
    <cellStyle name="40% - Accent1 2 4 2 6 3 9" xfId="54804" xr:uid="{00000000-0005-0000-0000-000094540000}"/>
    <cellStyle name="40% - Accent1 2 4 2 6 4" xfId="6282" xr:uid="{00000000-0005-0000-0000-000095540000}"/>
    <cellStyle name="40% - Accent1 2 4 2 6 5" xfId="11762" xr:uid="{00000000-0005-0000-0000-000096540000}"/>
    <cellStyle name="40% - Accent1 2 4 2 6 6" xfId="17238" xr:uid="{00000000-0005-0000-0000-000097540000}"/>
    <cellStyle name="40% - Accent1 2 4 2 6 7" xfId="22714" xr:uid="{00000000-0005-0000-0000-000098540000}"/>
    <cellStyle name="40% - Accent1 2 4 2 6 8" xfId="34509" xr:uid="{00000000-0005-0000-0000-000099540000}"/>
    <cellStyle name="40% - Accent1 2 4 2 6 9" xfId="39986" xr:uid="{00000000-0005-0000-0000-00009A540000}"/>
    <cellStyle name="40% - Accent1 2 4 2 7" xfId="1267" xr:uid="{00000000-0005-0000-0000-00009B540000}"/>
    <cellStyle name="40% - Accent1 2 4 2 7 10" xfId="45464" xr:uid="{00000000-0005-0000-0000-00009C540000}"/>
    <cellStyle name="40% - Accent1 2 4 2 7 11" xfId="50942" xr:uid="{00000000-0005-0000-0000-00009D540000}"/>
    <cellStyle name="40% - Accent1 2 4 2 7 2" xfId="3028" xr:uid="{00000000-0005-0000-0000-00009E540000}"/>
    <cellStyle name="40% - Accent1 2 4 2 7 2 2" xfId="8508" xr:uid="{00000000-0005-0000-0000-00009F540000}"/>
    <cellStyle name="40% - Accent1 2 4 2 7 2 3" xfId="13984" xr:uid="{00000000-0005-0000-0000-0000A0540000}"/>
    <cellStyle name="40% - Accent1 2 4 2 7 2 4" xfId="19460" xr:uid="{00000000-0005-0000-0000-0000A1540000}"/>
    <cellStyle name="40% - Accent1 2 4 2 7 2 5" xfId="24936" xr:uid="{00000000-0005-0000-0000-0000A2540000}"/>
    <cellStyle name="40% - Accent1 2 4 2 7 2 6" xfId="36732" xr:uid="{00000000-0005-0000-0000-0000A3540000}"/>
    <cellStyle name="40% - Accent1 2 4 2 7 2 7" xfId="42209" xr:uid="{00000000-0005-0000-0000-0000A4540000}"/>
    <cellStyle name="40% - Accent1 2 4 2 7 2 8" xfId="47686" xr:uid="{00000000-0005-0000-0000-0000A5540000}"/>
    <cellStyle name="40% - Accent1 2 4 2 7 2 9" xfId="53204" xr:uid="{00000000-0005-0000-0000-0000A6540000}"/>
    <cellStyle name="40% - Accent1 2 4 2 7 3" xfId="4800" xr:uid="{00000000-0005-0000-0000-0000A7540000}"/>
    <cellStyle name="40% - Accent1 2 4 2 7 3 2" xfId="10280" xr:uid="{00000000-0005-0000-0000-0000A8540000}"/>
    <cellStyle name="40% - Accent1 2 4 2 7 3 3" xfId="15756" xr:uid="{00000000-0005-0000-0000-0000A9540000}"/>
    <cellStyle name="40% - Accent1 2 4 2 7 3 4" xfId="21232" xr:uid="{00000000-0005-0000-0000-0000AA540000}"/>
    <cellStyle name="40% - Accent1 2 4 2 7 3 5" xfId="26708" xr:uid="{00000000-0005-0000-0000-0000AB540000}"/>
    <cellStyle name="40% - Accent1 2 4 2 7 3 6" xfId="38504" xr:uid="{00000000-0005-0000-0000-0000AC540000}"/>
    <cellStyle name="40% - Accent1 2 4 2 7 3 7" xfId="43981" xr:uid="{00000000-0005-0000-0000-0000AD540000}"/>
    <cellStyle name="40% - Accent1 2 4 2 7 3 8" xfId="49458" xr:uid="{00000000-0005-0000-0000-0000AE540000}"/>
    <cellStyle name="40% - Accent1 2 4 2 7 3 9" xfId="54976" xr:uid="{00000000-0005-0000-0000-0000AF540000}"/>
    <cellStyle name="40% - Accent1 2 4 2 7 4" xfId="6283" xr:uid="{00000000-0005-0000-0000-0000B0540000}"/>
    <cellStyle name="40% - Accent1 2 4 2 7 5" xfId="11763" xr:uid="{00000000-0005-0000-0000-0000B1540000}"/>
    <cellStyle name="40% - Accent1 2 4 2 7 6" xfId="17239" xr:uid="{00000000-0005-0000-0000-0000B2540000}"/>
    <cellStyle name="40% - Accent1 2 4 2 7 7" xfId="22715" xr:uid="{00000000-0005-0000-0000-0000B3540000}"/>
    <cellStyle name="40% - Accent1 2 4 2 7 8" xfId="34510" xr:uid="{00000000-0005-0000-0000-0000B4540000}"/>
    <cellStyle name="40% - Accent1 2 4 2 7 9" xfId="39987" xr:uid="{00000000-0005-0000-0000-0000B5540000}"/>
    <cellStyle name="40% - Accent1 2 4 2 8" xfId="1439" xr:uid="{00000000-0005-0000-0000-0000B6540000}"/>
    <cellStyle name="40% - Accent1 2 4 2 8 10" xfId="45465" xr:uid="{00000000-0005-0000-0000-0000B7540000}"/>
    <cellStyle name="40% - Accent1 2 4 2 8 11" xfId="50943" xr:uid="{00000000-0005-0000-0000-0000B8540000}"/>
    <cellStyle name="40% - Accent1 2 4 2 8 2" xfId="3200" xr:uid="{00000000-0005-0000-0000-0000B9540000}"/>
    <cellStyle name="40% - Accent1 2 4 2 8 2 2" xfId="8680" xr:uid="{00000000-0005-0000-0000-0000BA540000}"/>
    <cellStyle name="40% - Accent1 2 4 2 8 2 3" xfId="14156" xr:uid="{00000000-0005-0000-0000-0000BB540000}"/>
    <cellStyle name="40% - Accent1 2 4 2 8 2 4" xfId="19632" xr:uid="{00000000-0005-0000-0000-0000BC540000}"/>
    <cellStyle name="40% - Accent1 2 4 2 8 2 5" xfId="25108" xr:uid="{00000000-0005-0000-0000-0000BD540000}"/>
    <cellStyle name="40% - Accent1 2 4 2 8 2 6" xfId="36904" xr:uid="{00000000-0005-0000-0000-0000BE540000}"/>
    <cellStyle name="40% - Accent1 2 4 2 8 2 7" xfId="42381" xr:uid="{00000000-0005-0000-0000-0000BF540000}"/>
    <cellStyle name="40% - Accent1 2 4 2 8 2 8" xfId="47858" xr:uid="{00000000-0005-0000-0000-0000C0540000}"/>
    <cellStyle name="40% - Accent1 2 4 2 8 2 9" xfId="53376" xr:uid="{00000000-0005-0000-0000-0000C1540000}"/>
    <cellStyle name="40% - Accent1 2 4 2 8 3" xfId="4972" xr:uid="{00000000-0005-0000-0000-0000C2540000}"/>
    <cellStyle name="40% - Accent1 2 4 2 8 3 2" xfId="10452" xr:uid="{00000000-0005-0000-0000-0000C3540000}"/>
    <cellStyle name="40% - Accent1 2 4 2 8 3 3" xfId="15928" xr:uid="{00000000-0005-0000-0000-0000C4540000}"/>
    <cellStyle name="40% - Accent1 2 4 2 8 3 4" xfId="21404" xr:uid="{00000000-0005-0000-0000-0000C5540000}"/>
    <cellStyle name="40% - Accent1 2 4 2 8 3 5" xfId="26880" xr:uid="{00000000-0005-0000-0000-0000C6540000}"/>
    <cellStyle name="40% - Accent1 2 4 2 8 3 6" xfId="38676" xr:uid="{00000000-0005-0000-0000-0000C7540000}"/>
    <cellStyle name="40% - Accent1 2 4 2 8 3 7" xfId="44153" xr:uid="{00000000-0005-0000-0000-0000C8540000}"/>
    <cellStyle name="40% - Accent1 2 4 2 8 3 8" xfId="49630" xr:uid="{00000000-0005-0000-0000-0000C9540000}"/>
    <cellStyle name="40% - Accent1 2 4 2 8 3 9" xfId="55148" xr:uid="{00000000-0005-0000-0000-0000CA540000}"/>
    <cellStyle name="40% - Accent1 2 4 2 8 4" xfId="6284" xr:uid="{00000000-0005-0000-0000-0000CB540000}"/>
    <cellStyle name="40% - Accent1 2 4 2 8 5" xfId="11764" xr:uid="{00000000-0005-0000-0000-0000CC540000}"/>
    <cellStyle name="40% - Accent1 2 4 2 8 6" xfId="17240" xr:uid="{00000000-0005-0000-0000-0000CD540000}"/>
    <cellStyle name="40% - Accent1 2 4 2 8 7" xfId="22716" xr:uid="{00000000-0005-0000-0000-0000CE540000}"/>
    <cellStyle name="40% - Accent1 2 4 2 8 8" xfId="34511" xr:uid="{00000000-0005-0000-0000-0000CF540000}"/>
    <cellStyle name="40% - Accent1 2 4 2 8 9" xfId="39988" xr:uid="{00000000-0005-0000-0000-0000D0540000}"/>
    <cellStyle name="40% - Accent1 2 4 2 9" xfId="1611" xr:uid="{00000000-0005-0000-0000-0000D1540000}"/>
    <cellStyle name="40% - Accent1 2 4 2 9 10" xfId="45466" xr:uid="{00000000-0005-0000-0000-0000D2540000}"/>
    <cellStyle name="40% - Accent1 2 4 2 9 11" xfId="50944" xr:uid="{00000000-0005-0000-0000-0000D3540000}"/>
    <cellStyle name="40% - Accent1 2 4 2 9 2" xfId="3372" xr:uid="{00000000-0005-0000-0000-0000D4540000}"/>
    <cellStyle name="40% - Accent1 2 4 2 9 2 2" xfId="8852" xr:uid="{00000000-0005-0000-0000-0000D5540000}"/>
    <cellStyle name="40% - Accent1 2 4 2 9 2 3" xfId="14328" xr:uid="{00000000-0005-0000-0000-0000D6540000}"/>
    <cellStyle name="40% - Accent1 2 4 2 9 2 4" xfId="19804" xr:uid="{00000000-0005-0000-0000-0000D7540000}"/>
    <cellStyle name="40% - Accent1 2 4 2 9 2 5" xfId="25280" xr:uid="{00000000-0005-0000-0000-0000D8540000}"/>
    <cellStyle name="40% - Accent1 2 4 2 9 2 6" xfId="37076" xr:uid="{00000000-0005-0000-0000-0000D9540000}"/>
    <cellStyle name="40% - Accent1 2 4 2 9 2 7" xfId="42553" xr:uid="{00000000-0005-0000-0000-0000DA540000}"/>
    <cellStyle name="40% - Accent1 2 4 2 9 2 8" xfId="48030" xr:uid="{00000000-0005-0000-0000-0000DB540000}"/>
    <cellStyle name="40% - Accent1 2 4 2 9 2 9" xfId="53548" xr:uid="{00000000-0005-0000-0000-0000DC540000}"/>
    <cellStyle name="40% - Accent1 2 4 2 9 3" xfId="5144" xr:uid="{00000000-0005-0000-0000-0000DD540000}"/>
    <cellStyle name="40% - Accent1 2 4 2 9 3 2" xfId="10624" xr:uid="{00000000-0005-0000-0000-0000DE540000}"/>
    <cellStyle name="40% - Accent1 2 4 2 9 3 3" xfId="16100" xr:uid="{00000000-0005-0000-0000-0000DF540000}"/>
    <cellStyle name="40% - Accent1 2 4 2 9 3 4" xfId="21576" xr:uid="{00000000-0005-0000-0000-0000E0540000}"/>
    <cellStyle name="40% - Accent1 2 4 2 9 3 5" xfId="27052" xr:uid="{00000000-0005-0000-0000-0000E1540000}"/>
    <cellStyle name="40% - Accent1 2 4 2 9 3 6" xfId="38848" xr:uid="{00000000-0005-0000-0000-0000E2540000}"/>
    <cellStyle name="40% - Accent1 2 4 2 9 3 7" xfId="44325" xr:uid="{00000000-0005-0000-0000-0000E3540000}"/>
    <cellStyle name="40% - Accent1 2 4 2 9 3 8" xfId="49802" xr:uid="{00000000-0005-0000-0000-0000E4540000}"/>
    <cellStyle name="40% - Accent1 2 4 2 9 3 9" xfId="55320" xr:uid="{00000000-0005-0000-0000-0000E5540000}"/>
    <cellStyle name="40% - Accent1 2 4 2 9 4" xfId="6285" xr:uid="{00000000-0005-0000-0000-0000E6540000}"/>
    <cellStyle name="40% - Accent1 2 4 2 9 5" xfId="11765" xr:uid="{00000000-0005-0000-0000-0000E7540000}"/>
    <cellStyle name="40% - Accent1 2 4 2 9 6" xfId="17241" xr:uid="{00000000-0005-0000-0000-0000E8540000}"/>
    <cellStyle name="40% - Accent1 2 4 2 9 7" xfId="22717" xr:uid="{00000000-0005-0000-0000-0000E9540000}"/>
    <cellStyle name="40% - Accent1 2 4 2 9 8" xfId="34512" xr:uid="{00000000-0005-0000-0000-0000EA540000}"/>
    <cellStyle name="40% - Accent1 2 4 2 9 9" xfId="39989" xr:uid="{00000000-0005-0000-0000-0000EB540000}"/>
    <cellStyle name="40% - Accent1 2 4 20" xfId="39977" xr:uid="{00000000-0005-0000-0000-0000EC540000}"/>
    <cellStyle name="40% - Accent1 2 4 21" xfId="45454" xr:uid="{00000000-0005-0000-0000-0000ED540000}"/>
    <cellStyle name="40% - Accent1 2 4 22" xfId="50932" xr:uid="{00000000-0005-0000-0000-0000EE540000}"/>
    <cellStyle name="40% - Accent1 2 4 3" xfId="343" xr:uid="{00000000-0005-0000-0000-0000EF540000}"/>
    <cellStyle name="40% - Accent1 2 4 3 10" xfId="39990" xr:uid="{00000000-0005-0000-0000-0000F0540000}"/>
    <cellStyle name="40% - Accent1 2 4 3 11" xfId="45467" xr:uid="{00000000-0005-0000-0000-0000F1540000}"/>
    <cellStyle name="40% - Accent1 2 4 3 12" xfId="50945" xr:uid="{00000000-0005-0000-0000-0000F2540000}"/>
    <cellStyle name="40% - Accent1 2 4 3 2" xfId="2139" xr:uid="{00000000-0005-0000-0000-0000F3540000}"/>
    <cellStyle name="40% - Accent1 2 4 3 2 2" xfId="7619" xr:uid="{00000000-0005-0000-0000-0000F4540000}"/>
    <cellStyle name="40% - Accent1 2 4 3 2 3" xfId="13095" xr:uid="{00000000-0005-0000-0000-0000F5540000}"/>
    <cellStyle name="40% - Accent1 2 4 3 2 4" xfId="18571" xr:uid="{00000000-0005-0000-0000-0000F6540000}"/>
    <cellStyle name="40% - Accent1 2 4 3 2 5" xfId="24047" xr:uid="{00000000-0005-0000-0000-0000F7540000}"/>
    <cellStyle name="40% - Accent1 2 4 3 2 6" xfId="35843" xr:uid="{00000000-0005-0000-0000-0000F8540000}"/>
    <cellStyle name="40% - Accent1 2 4 3 2 7" xfId="41320" xr:uid="{00000000-0005-0000-0000-0000F9540000}"/>
    <cellStyle name="40% - Accent1 2 4 3 2 8" xfId="46797" xr:uid="{00000000-0005-0000-0000-0000FA540000}"/>
    <cellStyle name="40% - Accent1 2 4 3 2 9" xfId="52315" xr:uid="{00000000-0005-0000-0000-0000FB540000}"/>
    <cellStyle name="40% - Accent1 2 4 3 3" xfId="3905" xr:uid="{00000000-0005-0000-0000-0000FC540000}"/>
    <cellStyle name="40% - Accent1 2 4 3 3 2" xfId="9385" xr:uid="{00000000-0005-0000-0000-0000FD540000}"/>
    <cellStyle name="40% - Accent1 2 4 3 3 3" xfId="14861" xr:uid="{00000000-0005-0000-0000-0000FE540000}"/>
    <cellStyle name="40% - Accent1 2 4 3 3 4" xfId="20337" xr:uid="{00000000-0005-0000-0000-0000FF540000}"/>
    <cellStyle name="40% - Accent1 2 4 3 3 5" xfId="25813" xr:uid="{00000000-0005-0000-0000-000000550000}"/>
    <cellStyle name="40% - Accent1 2 4 3 3 6" xfId="37609" xr:uid="{00000000-0005-0000-0000-000001550000}"/>
    <cellStyle name="40% - Accent1 2 4 3 3 7" xfId="43086" xr:uid="{00000000-0005-0000-0000-000002550000}"/>
    <cellStyle name="40% - Accent1 2 4 3 3 8" xfId="48563" xr:uid="{00000000-0005-0000-0000-000003550000}"/>
    <cellStyle name="40% - Accent1 2 4 3 3 9" xfId="54081" xr:uid="{00000000-0005-0000-0000-000004550000}"/>
    <cellStyle name="40% - Accent1 2 4 3 4" xfId="6286" xr:uid="{00000000-0005-0000-0000-000005550000}"/>
    <cellStyle name="40% - Accent1 2 4 3 5" xfId="11766" xr:uid="{00000000-0005-0000-0000-000006550000}"/>
    <cellStyle name="40% - Accent1 2 4 3 6" xfId="17242" xr:uid="{00000000-0005-0000-0000-000007550000}"/>
    <cellStyle name="40% - Accent1 2 4 3 7" xfId="22718" xr:uid="{00000000-0005-0000-0000-000008550000}"/>
    <cellStyle name="40% - Accent1 2 4 3 8" xfId="30392" xr:uid="{00000000-0005-0000-0000-000009550000}"/>
    <cellStyle name="40% - Accent1 2 4 3 9" xfId="34513" xr:uid="{00000000-0005-0000-0000-00000A550000}"/>
    <cellStyle name="40% - Accent1 2 4 4" xfId="544" xr:uid="{00000000-0005-0000-0000-00000B550000}"/>
    <cellStyle name="40% - Accent1 2 4 4 10" xfId="45468" xr:uid="{00000000-0005-0000-0000-00000C550000}"/>
    <cellStyle name="40% - Accent1 2 4 4 11" xfId="50946" xr:uid="{00000000-0005-0000-0000-00000D550000}"/>
    <cellStyle name="40% - Accent1 2 4 4 2" xfId="2305" xr:uid="{00000000-0005-0000-0000-00000E550000}"/>
    <cellStyle name="40% - Accent1 2 4 4 2 2" xfId="7785" xr:uid="{00000000-0005-0000-0000-00000F550000}"/>
    <cellStyle name="40% - Accent1 2 4 4 2 3" xfId="13261" xr:uid="{00000000-0005-0000-0000-000010550000}"/>
    <cellStyle name="40% - Accent1 2 4 4 2 4" xfId="18737" xr:uid="{00000000-0005-0000-0000-000011550000}"/>
    <cellStyle name="40% - Accent1 2 4 4 2 5" xfId="24213" xr:uid="{00000000-0005-0000-0000-000012550000}"/>
    <cellStyle name="40% - Accent1 2 4 4 2 6" xfId="36009" xr:uid="{00000000-0005-0000-0000-000013550000}"/>
    <cellStyle name="40% - Accent1 2 4 4 2 7" xfId="41486" xr:uid="{00000000-0005-0000-0000-000014550000}"/>
    <cellStyle name="40% - Accent1 2 4 4 2 8" xfId="46963" xr:uid="{00000000-0005-0000-0000-000015550000}"/>
    <cellStyle name="40% - Accent1 2 4 4 2 9" xfId="52481" xr:uid="{00000000-0005-0000-0000-000016550000}"/>
    <cellStyle name="40% - Accent1 2 4 4 3" xfId="4077" xr:uid="{00000000-0005-0000-0000-000017550000}"/>
    <cellStyle name="40% - Accent1 2 4 4 3 2" xfId="9557" xr:uid="{00000000-0005-0000-0000-000018550000}"/>
    <cellStyle name="40% - Accent1 2 4 4 3 3" xfId="15033" xr:uid="{00000000-0005-0000-0000-000019550000}"/>
    <cellStyle name="40% - Accent1 2 4 4 3 4" xfId="20509" xr:uid="{00000000-0005-0000-0000-00001A550000}"/>
    <cellStyle name="40% - Accent1 2 4 4 3 5" xfId="25985" xr:uid="{00000000-0005-0000-0000-00001B550000}"/>
    <cellStyle name="40% - Accent1 2 4 4 3 6" xfId="37781" xr:uid="{00000000-0005-0000-0000-00001C550000}"/>
    <cellStyle name="40% - Accent1 2 4 4 3 7" xfId="43258" xr:uid="{00000000-0005-0000-0000-00001D550000}"/>
    <cellStyle name="40% - Accent1 2 4 4 3 8" xfId="48735" xr:uid="{00000000-0005-0000-0000-00001E550000}"/>
    <cellStyle name="40% - Accent1 2 4 4 3 9" xfId="54253" xr:uid="{00000000-0005-0000-0000-00001F550000}"/>
    <cellStyle name="40% - Accent1 2 4 4 4" xfId="6287" xr:uid="{00000000-0005-0000-0000-000020550000}"/>
    <cellStyle name="40% - Accent1 2 4 4 5" xfId="11767" xr:uid="{00000000-0005-0000-0000-000021550000}"/>
    <cellStyle name="40% - Accent1 2 4 4 6" xfId="17243" xr:uid="{00000000-0005-0000-0000-000022550000}"/>
    <cellStyle name="40% - Accent1 2 4 4 7" xfId="22719" xr:uid="{00000000-0005-0000-0000-000023550000}"/>
    <cellStyle name="40% - Accent1 2 4 4 8" xfId="34514" xr:uid="{00000000-0005-0000-0000-000024550000}"/>
    <cellStyle name="40% - Accent1 2 4 4 9" xfId="39991" xr:uid="{00000000-0005-0000-0000-000025550000}"/>
    <cellStyle name="40% - Accent1 2 4 5" xfId="716" xr:uid="{00000000-0005-0000-0000-000026550000}"/>
    <cellStyle name="40% - Accent1 2 4 5 10" xfId="45469" xr:uid="{00000000-0005-0000-0000-000027550000}"/>
    <cellStyle name="40% - Accent1 2 4 5 11" xfId="50947" xr:uid="{00000000-0005-0000-0000-000028550000}"/>
    <cellStyle name="40% - Accent1 2 4 5 2" xfId="2477" xr:uid="{00000000-0005-0000-0000-000029550000}"/>
    <cellStyle name="40% - Accent1 2 4 5 2 2" xfId="7957" xr:uid="{00000000-0005-0000-0000-00002A550000}"/>
    <cellStyle name="40% - Accent1 2 4 5 2 3" xfId="13433" xr:uid="{00000000-0005-0000-0000-00002B550000}"/>
    <cellStyle name="40% - Accent1 2 4 5 2 4" xfId="18909" xr:uid="{00000000-0005-0000-0000-00002C550000}"/>
    <cellStyle name="40% - Accent1 2 4 5 2 5" xfId="24385" xr:uid="{00000000-0005-0000-0000-00002D550000}"/>
    <cellStyle name="40% - Accent1 2 4 5 2 6" xfId="36181" xr:uid="{00000000-0005-0000-0000-00002E550000}"/>
    <cellStyle name="40% - Accent1 2 4 5 2 7" xfId="41658" xr:uid="{00000000-0005-0000-0000-00002F550000}"/>
    <cellStyle name="40% - Accent1 2 4 5 2 8" xfId="47135" xr:uid="{00000000-0005-0000-0000-000030550000}"/>
    <cellStyle name="40% - Accent1 2 4 5 2 9" xfId="52653" xr:uid="{00000000-0005-0000-0000-000031550000}"/>
    <cellStyle name="40% - Accent1 2 4 5 3" xfId="4249" xr:uid="{00000000-0005-0000-0000-000032550000}"/>
    <cellStyle name="40% - Accent1 2 4 5 3 2" xfId="9729" xr:uid="{00000000-0005-0000-0000-000033550000}"/>
    <cellStyle name="40% - Accent1 2 4 5 3 3" xfId="15205" xr:uid="{00000000-0005-0000-0000-000034550000}"/>
    <cellStyle name="40% - Accent1 2 4 5 3 4" xfId="20681" xr:uid="{00000000-0005-0000-0000-000035550000}"/>
    <cellStyle name="40% - Accent1 2 4 5 3 5" xfId="26157" xr:uid="{00000000-0005-0000-0000-000036550000}"/>
    <cellStyle name="40% - Accent1 2 4 5 3 6" xfId="37953" xr:uid="{00000000-0005-0000-0000-000037550000}"/>
    <cellStyle name="40% - Accent1 2 4 5 3 7" xfId="43430" xr:uid="{00000000-0005-0000-0000-000038550000}"/>
    <cellStyle name="40% - Accent1 2 4 5 3 8" xfId="48907" xr:uid="{00000000-0005-0000-0000-000039550000}"/>
    <cellStyle name="40% - Accent1 2 4 5 3 9" xfId="54425" xr:uid="{00000000-0005-0000-0000-00003A550000}"/>
    <cellStyle name="40% - Accent1 2 4 5 4" xfId="6288" xr:uid="{00000000-0005-0000-0000-00003B550000}"/>
    <cellStyle name="40% - Accent1 2 4 5 5" xfId="11768" xr:uid="{00000000-0005-0000-0000-00003C550000}"/>
    <cellStyle name="40% - Accent1 2 4 5 6" xfId="17244" xr:uid="{00000000-0005-0000-0000-00003D550000}"/>
    <cellStyle name="40% - Accent1 2 4 5 7" xfId="22720" xr:uid="{00000000-0005-0000-0000-00003E550000}"/>
    <cellStyle name="40% - Accent1 2 4 5 8" xfId="34515" xr:uid="{00000000-0005-0000-0000-00003F550000}"/>
    <cellStyle name="40% - Accent1 2 4 5 9" xfId="39992" xr:uid="{00000000-0005-0000-0000-000040550000}"/>
    <cellStyle name="40% - Accent1 2 4 6" xfId="888" xr:uid="{00000000-0005-0000-0000-000041550000}"/>
    <cellStyle name="40% - Accent1 2 4 6 10" xfId="45470" xr:uid="{00000000-0005-0000-0000-000042550000}"/>
    <cellStyle name="40% - Accent1 2 4 6 11" xfId="50948" xr:uid="{00000000-0005-0000-0000-000043550000}"/>
    <cellStyle name="40% - Accent1 2 4 6 2" xfId="2649" xr:uid="{00000000-0005-0000-0000-000044550000}"/>
    <cellStyle name="40% - Accent1 2 4 6 2 2" xfId="8129" xr:uid="{00000000-0005-0000-0000-000045550000}"/>
    <cellStyle name="40% - Accent1 2 4 6 2 3" xfId="13605" xr:uid="{00000000-0005-0000-0000-000046550000}"/>
    <cellStyle name="40% - Accent1 2 4 6 2 4" xfId="19081" xr:uid="{00000000-0005-0000-0000-000047550000}"/>
    <cellStyle name="40% - Accent1 2 4 6 2 5" xfId="24557" xr:uid="{00000000-0005-0000-0000-000048550000}"/>
    <cellStyle name="40% - Accent1 2 4 6 2 6" xfId="36353" xr:uid="{00000000-0005-0000-0000-000049550000}"/>
    <cellStyle name="40% - Accent1 2 4 6 2 7" xfId="41830" xr:uid="{00000000-0005-0000-0000-00004A550000}"/>
    <cellStyle name="40% - Accent1 2 4 6 2 8" xfId="47307" xr:uid="{00000000-0005-0000-0000-00004B550000}"/>
    <cellStyle name="40% - Accent1 2 4 6 2 9" xfId="52825" xr:uid="{00000000-0005-0000-0000-00004C550000}"/>
    <cellStyle name="40% - Accent1 2 4 6 3" xfId="4421" xr:uid="{00000000-0005-0000-0000-00004D550000}"/>
    <cellStyle name="40% - Accent1 2 4 6 3 2" xfId="9901" xr:uid="{00000000-0005-0000-0000-00004E550000}"/>
    <cellStyle name="40% - Accent1 2 4 6 3 3" xfId="15377" xr:uid="{00000000-0005-0000-0000-00004F550000}"/>
    <cellStyle name="40% - Accent1 2 4 6 3 4" xfId="20853" xr:uid="{00000000-0005-0000-0000-000050550000}"/>
    <cellStyle name="40% - Accent1 2 4 6 3 5" xfId="26329" xr:uid="{00000000-0005-0000-0000-000051550000}"/>
    <cellStyle name="40% - Accent1 2 4 6 3 6" xfId="38125" xr:uid="{00000000-0005-0000-0000-000052550000}"/>
    <cellStyle name="40% - Accent1 2 4 6 3 7" xfId="43602" xr:uid="{00000000-0005-0000-0000-000053550000}"/>
    <cellStyle name="40% - Accent1 2 4 6 3 8" xfId="49079" xr:uid="{00000000-0005-0000-0000-000054550000}"/>
    <cellStyle name="40% - Accent1 2 4 6 3 9" xfId="54597" xr:uid="{00000000-0005-0000-0000-000055550000}"/>
    <cellStyle name="40% - Accent1 2 4 6 4" xfId="6289" xr:uid="{00000000-0005-0000-0000-000056550000}"/>
    <cellStyle name="40% - Accent1 2 4 6 5" xfId="11769" xr:uid="{00000000-0005-0000-0000-000057550000}"/>
    <cellStyle name="40% - Accent1 2 4 6 6" xfId="17245" xr:uid="{00000000-0005-0000-0000-000058550000}"/>
    <cellStyle name="40% - Accent1 2 4 6 7" xfId="22721" xr:uid="{00000000-0005-0000-0000-000059550000}"/>
    <cellStyle name="40% - Accent1 2 4 6 8" xfId="34516" xr:uid="{00000000-0005-0000-0000-00005A550000}"/>
    <cellStyle name="40% - Accent1 2 4 6 9" xfId="39993" xr:uid="{00000000-0005-0000-0000-00005B550000}"/>
    <cellStyle name="40% - Accent1 2 4 7" xfId="1094" xr:uid="{00000000-0005-0000-0000-00005C550000}"/>
    <cellStyle name="40% - Accent1 2 4 7 10" xfId="45471" xr:uid="{00000000-0005-0000-0000-00005D550000}"/>
    <cellStyle name="40% - Accent1 2 4 7 11" xfId="50949" xr:uid="{00000000-0005-0000-0000-00005E550000}"/>
    <cellStyle name="40% - Accent1 2 4 7 2" xfId="2855" xr:uid="{00000000-0005-0000-0000-00005F550000}"/>
    <cellStyle name="40% - Accent1 2 4 7 2 2" xfId="8335" xr:uid="{00000000-0005-0000-0000-000060550000}"/>
    <cellStyle name="40% - Accent1 2 4 7 2 3" xfId="13811" xr:uid="{00000000-0005-0000-0000-000061550000}"/>
    <cellStyle name="40% - Accent1 2 4 7 2 4" xfId="19287" xr:uid="{00000000-0005-0000-0000-000062550000}"/>
    <cellStyle name="40% - Accent1 2 4 7 2 5" xfId="24763" xr:uid="{00000000-0005-0000-0000-000063550000}"/>
    <cellStyle name="40% - Accent1 2 4 7 2 6" xfId="36559" xr:uid="{00000000-0005-0000-0000-000064550000}"/>
    <cellStyle name="40% - Accent1 2 4 7 2 7" xfId="42036" xr:uid="{00000000-0005-0000-0000-000065550000}"/>
    <cellStyle name="40% - Accent1 2 4 7 2 8" xfId="47513" xr:uid="{00000000-0005-0000-0000-000066550000}"/>
    <cellStyle name="40% - Accent1 2 4 7 2 9" xfId="53031" xr:uid="{00000000-0005-0000-0000-000067550000}"/>
    <cellStyle name="40% - Accent1 2 4 7 3" xfId="4627" xr:uid="{00000000-0005-0000-0000-000068550000}"/>
    <cellStyle name="40% - Accent1 2 4 7 3 2" xfId="10107" xr:uid="{00000000-0005-0000-0000-000069550000}"/>
    <cellStyle name="40% - Accent1 2 4 7 3 3" xfId="15583" xr:uid="{00000000-0005-0000-0000-00006A550000}"/>
    <cellStyle name="40% - Accent1 2 4 7 3 4" xfId="21059" xr:uid="{00000000-0005-0000-0000-00006B550000}"/>
    <cellStyle name="40% - Accent1 2 4 7 3 5" xfId="26535" xr:uid="{00000000-0005-0000-0000-00006C550000}"/>
    <cellStyle name="40% - Accent1 2 4 7 3 6" xfId="38331" xr:uid="{00000000-0005-0000-0000-00006D550000}"/>
    <cellStyle name="40% - Accent1 2 4 7 3 7" xfId="43808" xr:uid="{00000000-0005-0000-0000-00006E550000}"/>
    <cellStyle name="40% - Accent1 2 4 7 3 8" xfId="49285" xr:uid="{00000000-0005-0000-0000-00006F550000}"/>
    <cellStyle name="40% - Accent1 2 4 7 3 9" xfId="54803" xr:uid="{00000000-0005-0000-0000-000070550000}"/>
    <cellStyle name="40% - Accent1 2 4 7 4" xfId="6290" xr:uid="{00000000-0005-0000-0000-000071550000}"/>
    <cellStyle name="40% - Accent1 2 4 7 5" xfId="11770" xr:uid="{00000000-0005-0000-0000-000072550000}"/>
    <cellStyle name="40% - Accent1 2 4 7 6" xfId="17246" xr:uid="{00000000-0005-0000-0000-000073550000}"/>
    <cellStyle name="40% - Accent1 2 4 7 7" xfId="22722" xr:uid="{00000000-0005-0000-0000-000074550000}"/>
    <cellStyle name="40% - Accent1 2 4 7 8" xfId="34517" xr:uid="{00000000-0005-0000-0000-000075550000}"/>
    <cellStyle name="40% - Accent1 2 4 7 9" xfId="39994" xr:uid="{00000000-0005-0000-0000-000076550000}"/>
    <cellStyle name="40% - Accent1 2 4 8" xfId="1266" xr:uid="{00000000-0005-0000-0000-000077550000}"/>
    <cellStyle name="40% - Accent1 2 4 8 10" xfId="45472" xr:uid="{00000000-0005-0000-0000-000078550000}"/>
    <cellStyle name="40% - Accent1 2 4 8 11" xfId="50950" xr:uid="{00000000-0005-0000-0000-000079550000}"/>
    <cellStyle name="40% - Accent1 2 4 8 2" xfId="3027" xr:uid="{00000000-0005-0000-0000-00007A550000}"/>
    <cellStyle name="40% - Accent1 2 4 8 2 2" xfId="8507" xr:uid="{00000000-0005-0000-0000-00007B550000}"/>
    <cellStyle name="40% - Accent1 2 4 8 2 3" xfId="13983" xr:uid="{00000000-0005-0000-0000-00007C550000}"/>
    <cellStyle name="40% - Accent1 2 4 8 2 4" xfId="19459" xr:uid="{00000000-0005-0000-0000-00007D550000}"/>
    <cellStyle name="40% - Accent1 2 4 8 2 5" xfId="24935" xr:uid="{00000000-0005-0000-0000-00007E550000}"/>
    <cellStyle name="40% - Accent1 2 4 8 2 6" xfId="36731" xr:uid="{00000000-0005-0000-0000-00007F550000}"/>
    <cellStyle name="40% - Accent1 2 4 8 2 7" xfId="42208" xr:uid="{00000000-0005-0000-0000-000080550000}"/>
    <cellStyle name="40% - Accent1 2 4 8 2 8" xfId="47685" xr:uid="{00000000-0005-0000-0000-000081550000}"/>
    <cellStyle name="40% - Accent1 2 4 8 2 9" xfId="53203" xr:uid="{00000000-0005-0000-0000-000082550000}"/>
    <cellStyle name="40% - Accent1 2 4 8 3" xfId="4799" xr:uid="{00000000-0005-0000-0000-000083550000}"/>
    <cellStyle name="40% - Accent1 2 4 8 3 2" xfId="10279" xr:uid="{00000000-0005-0000-0000-000084550000}"/>
    <cellStyle name="40% - Accent1 2 4 8 3 3" xfId="15755" xr:uid="{00000000-0005-0000-0000-000085550000}"/>
    <cellStyle name="40% - Accent1 2 4 8 3 4" xfId="21231" xr:uid="{00000000-0005-0000-0000-000086550000}"/>
    <cellStyle name="40% - Accent1 2 4 8 3 5" xfId="26707" xr:uid="{00000000-0005-0000-0000-000087550000}"/>
    <cellStyle name="40% - Accent1 2 4 8 3 6" xfId="38503" xr:uid="{00000000-0005-0000-0000-000088550000}"/>
    <cellStyle name="40% - Accent1 2 4 8 3 7" xfId="43980" xr:uid="{00000000-0005-0000-0000-000089550000}"/>
    <cellStyle name="40% - Accent1 2 4 8 3 8" xfId="49457" xr:uid="{00000000-0005-0000-0000-00008A550000}"/>
    <cellStyle name="40% - Accent1 2 4 8 3 9" xfId="54975" xr:uid="{00000000-0005-0000-0000-00008B550000}"/>
    <cellStyle name="40% - Accent1 2 4 8 4" xfId="6291" xr:uid="{00000000-0005-0000-0000-00008C550000}"/>
    <cellStyle name="40% - Accent1 2 4 8 5" xfId="11771" xr:uid="{00000000-0005-0000-0000-00008D550000}"/>
    <cellStyle name="40% - Accent1 2 4 8 6" xfId="17247" xr:uid="{00000000-0005-0000-0000-00008E550000}"/>
    <cellStyle name="40% - Accent1 2 4 8 7" xfId="22723" xr:uid="{00000000-0005-0000-0000-00008F550000}"/>
    <cellStyle name="40% - Accent1 2 4 8 8" xfId="34518" xr:uid="{00000000-0005-0000-0000-000090550000}"/>
    <cellStyle name="40% - Accent1 2 4 8 9" xfId="39995" xr:uid="{00000000-0005-0000-0000-000091550000}"/>
    <cellStyle name="40% - Accent1 2 4 9" xfId="1438" xr:uid="{00000000-0005-0000-0000-000092550000}"/>
    <cellStyle name="40% - Accent1 2 4 9 10" xfId="45473" xr:uid="{00000000-0005-0000-0000-000093550000}"/>
    <cellStyle name="40% - Accent1 2 4 9 11" xfId="50951" xr:uid="{00000000-0005-0000-0000-000094550000}"/>
    <cellStyle name="40% - Accent1 2 4 9 2" xfId="3199" xr:uid="{00000000-0005-0000-0000-000095550000}"/>
    <cellStyle name="40% - Accent1 2 4 9 2 2" xfId="8679" xr:uid="{00000000-0005-0000-0000-000096550000}"/>
    <cellStyle name="40% - Accent1 2 4 9 2 3" xfId="14155" xr:uid="{00000000-0005-0000-0000-000097550000}"/>
    <cellStyle name="40% - Accent1 2 4 9 2 4" xfId="19631" xr:uid="{00000000-0005-0000-0000-000098550000}"/>
    <cellStyle name="40% - Accent1 2 4 9 2 5" xfId="25107" xr:uid="{00000000-0005-0000-0000-000099550000}"/>
    <cellStyle name="40% - Accent1 2 4 9 2 6" xfId="36903" xr:uid="{00000000-0005-0000-0000-00009A550000}"/>
    <cellStyle name="40% - Accent1 2 4 9 2 7" xfId="42380" xr:uid="{00000000-0005-0000-0000-00009B550000}"/>
    <cellStyle name="40% - Accent1 2 4 9 2 8" xfId="47857" xr:uid="{00000000-0005-0000-0000-00009C550000}"/>
    <cellStyle name="40% - Accent1 2 4 9 2 9" xfId="53375" xr:uid="{00000000-0005-0000-0000-00009D550000}"/>
    <cellStyle name="40% - Accent1 2 4 9 3" xfId="4971" xr:uid="{00000000-0005-0000-0000-00009E550000}"/>
    <cellStyle name="40% - Accent1 2 4 9 3 2" xfId="10451" xr:uid="{00000000-0005-0000-0000-00009F550000}"/>
    <cellStyle name="40% - Accent1 2 4 9 3 3" xfId="15927" xr:uid="{00000000-0005-0000-0000-0000A0550000}"/>
    <cellStyle name="40% - Accent1 2 4 9 3 4" xfId="21403" xr:uid="{00000000-0005-0000-0000-0000A1550000}"/>
    <cellStyle name="40% - Accent1 2 4 9 3 5" xfId="26879" xr:uid="{00000000-0005-0000-0000-0000A2550000}"/>
    <cellStyle name="40% - Accent1 2 4 9 3 6" xfId="38675" xr:uid="{00000000-0005-0000-0000-0000A3550000}"/>
    <cellStyle name="40% - Accent1 2 4 9 3 7" xfId="44152" xr:uid="{00000000-0005-0000-0000-0000A4550000}"/>
    <cellStyle name="40% - Accent1 2 4 9 3 8" xfId="49629" xr:uid="{00000000-0005-0000-0000-0000A5550000}"/>
    <cellStyle name="40% - Accent1 2 4 9 3 9" xfId="55147" xr:uid="{00000000-0005-0000-0000-0000A6550000}"/>
    <cellStyle name="40% - Accent1 2 4 9 4" xfId="6292" xr:uid="{00000000-0005-0000-0000-0000A7550000}"/>
    <cellStyle name="40% - Accent1 2 4 9 5" xfId="11772" xr:uid="{00000000-0005-0000-0000-0000A8550000}"/>
    <cellStyle name="40% - Accent1 2 4 9 6" xfId="17248" xr:uid="{00000000-0005-0000-0000-0000A9550000}"/>
    <cellStyle name="40% - Accent1 2 4 9 7" xfId="22724" xr:uid="{00000000-0005-0000-0000-0000AA550000}"/>
    <cellStyle name="40% - Accent1 2 4 9 8" xfId="34519" xr:uid="{00000000-0005-0000-0000-0000AB550000}"/>
    <cellStyle name="40% - Accent1 2 4 9 9" xfId="39996" xr:uid="{00000000-0005-0000-0000-0000AC550000}"/>
    <cellStyle name="40% - Accent1 2 5" xfId="211" xr:uid="{00000000-0005-0000-0000-0000AD550000}"/>
    <cellStyle name="40% - Accent1 2 5 10" xfId="1810" xr:uid="{00000000-0005-0000-0000-0000AE550000}"/>
    <cellStyle name="40% - Accent1 2 5 10 10" xfId="45475" xr:uid="{00000000-0005-0000-0000-0000AF550000}"/>
    <cellStyle name="40% - Accent1 2 5 10 11" xfId="50953" xr:uid="{00000000-0005-0000-0000-0000B0550000}"/>
    <cellStyle name="40% - Accent1 2 5 10 2" xfId="3571" xr:uid="{00000000-0005-0000-0000-0000B1550000}"/>
    <cellStyle name="40% - Accent1 2 5 10 2 2" xfId="9051" xr:uid="{00000000-0005-0000-0000-0000B2550000}"/>
    <cellStyle name="40% - Accent1 2 5 10 2 3" xfId="14527" xr:uid="{00000000-0005-0000-0000-0000B3550000}"/>
    <cellStyle name="40% - Accent1 2 5 10 2 4" xfId="20003" xr:uid="{00000000-0005-0000-0000-0000B4550000}"/>
    <cellStyle name="40% - Accent1 2 5 10 2 5" xfId="25479" xr:uid="{00000000-0005-0000-0000-0000B5550000}"/>
    <cellStyle name="40% - Accent1 2 5 10 2 6" xfId="37275" xr:uid="{00000000-0005-0000-0000-0000B6550000}"/>
    <cellStyle name="40% - Accent1 2 5 10 2 7" xfId="42752" xr:uid="{00000000-0005-0000-0000-0000B7550000}"/>
    <cellStyle name="40% - Accent1 2 5 10 2 8" xfId="48229" xr:uid="{00000000-0005-0000-0000-0000B8550000}"/>
    <cellStyle name="40% - Accent1 2 5 10 2 9" xfId="53747" xr:uid="{00000000-0005-0000-0000-0000B9550000}"/>
    <cellStyle name="40% - Accent1 2 5 10 3" xfId="5343" xr:uid="{00000000-0005-0000-0000-0000BA550000}"/>
    <cellStyle name="40% - Accent1 2 5 10 3 2" xfId="10823" xr:uid="{00000000-0005-0000-0000-0000BB550000}"/>
    <cellStyle name="40% - Accent1 2 5 10 3 3" xfId="16299" xr:uid="{00000000-0005-0000-0000-0000BC550000}"/>
    <cellStyle name="40% - Accent1 2 5 10 3 4" xfId="21775" xr:uid="{00000000-0005-0000-0000-0000BD550000}"/>
    <cellStyle name="40% - Accent1 2 5 10 3 5" xfId="27251" xr:uid="{00000000-0005-0000-0000-0000BE550000}"/>
    <cellStyle name="40% - Accent1 2 5 10 3 6" xfId="39047" xr:uid="{00000000-0005-0000-0000-0000BF550000}"/>
    <cellStyle name="40% - Accent1 2 5 10 3 7" xfId="44524" xr:uid="{00000000-0005-0000-0000-0000C0550000}"/>
    <cellStyle name="40% - Accent1 2 5 10 3 8" xfId="50001" xr:uid="{00000000-0005-0000-0000-0000C1550000}"/>
    <cellStyle name="40% - Accent1 2 5 10 3 9" xfId="55519" xr:uid="{00000000-0005-0000-0000-0000C2550000}"/>
    <cellStyle name="40% - Accent1 2 5 10 4" xfId="6294" xr:uid="{00000000-0005-0000-0000-0000C3550000}"/>
    <cellStyle name="40% - Accent1 2 5 10 5" xfId="11774" xr:uid="{00000000-0005-0000-0000-0000C4550000}"/>
    <cellStyle name="40% - Accent1 2 5 10 6" xfId="17250" xr:uid="{00000000-0005-0000-0000-0000C5550000}"/>
    <cellStyle name="40% - Accent1 2 5 10 7" xfId="22726" xr:uid="{00000000-0005-0000-0000-0000C6550000}"/>
    <cellStyle name="40% - Accent1 2 5 10 8" xfId="34521" xr:uid="{00000000-0005-0000-0000-0000C7550000}"/>
    <cellStyle name="40% - Accent1 2 5 10 9" xfId="39998" xr:uid="{00000000-0005-0000-0000-0000C8550000}"/>
    <cellStyle name="40% - Accent1 2 5 11" xfId="1974" xr:uid="{00000000-0005-0000-0000-0000C9550000}"/>
    <cellStyle name="40% - Accent1 2 5 11 10" xfId="52151" xr:uid="{00000000-0005-0000-0000-0000CA550000}"/>
    <cellStyle name="40% - Accent1 2 5 11 2" xfId="5506" xr:uid="{00000000-0005-0000-0000-0000CB550000}"/>
    <cellStyle name="40% - Accent1 2 5 11 2 2" xfId="10986" xr:uid="{00000000-0005-0000-0000-0000CC550000}"/>
    <cellStyle name="40% - Accent1 2 5 11 2 3" xfId="16462" xr:uid="{00000000-0005-0000-0000-0000CD550000}"/>
    <cellStyle name="40% - Accent1 2 5 11 2 4" xfId="21938" xr:uid="{00000000-0005-0000-0000-0000CE550000}"/>
    <cellStyle name="40% - Accent1 2 5 11 2 5" xfId="27414" xr:uid="{00000000-0005-0000-0000-0000CF550000}"/>
    <cellStyle name="40% - Accent1 2 5 11 2 6" xfId="39210" xr:uid="{00000000-0005-0000-0000-0000D0550000}"/>
    <cellStyle name="40% - Accent1 2 5 11 2 7" xfId="44687" xr:uid="{00000000-0005-0000-0000-0000D1550000}"/>
    <cellStyle name="40% - Accent1 2 5 11 2 8" xfId="50164" xr:uid="{00000000-0005-0000-0000-0000D2550000}"/>
    <cellStyle name="40% - Accent1 2 5 11 2 9" xfId="55682" xr:uid="{00000000-0005-0000-0000-0000D3550000}"/>
    <cellStyle name="40% - Accent1 2 5 11 3" xfId="7455" xr:uid="{00000000-0005-0000-0000-0000D4550000}"/>
    <cellStyle name="40% - Accent1 2 5 11 4" xfId="12931" xr:uid="{00000000-0005-0000-0000-0000D5550000}"/>
    <cellStyle name="40% - Accent1 2 5 11 5" xfId="18407" xr:uid="{00000000-0005-0000-0000-0000D6550000}"/>
    <cellStyle name="40% - Accent1 2 5 11 6" xfId="23883" xr:uid="{00000000-0005-0000-0000-0000D7550000}"/>
    <cellStyle name="40% - Accent1 2 5 11 7" xfId="35679" xr:uid="{00000000-0005-0000-0000-0000D8550000}"/>
    <cellStyle name="40% - Accent1 2 5 11 8" xfId="41156" xr:uid="{00000000-0005-0000-0000-0000D9550000}"/>
    <cellStyle name="40% - Accent1 2 5 11 9" xfId="46633" xr:uid="{00000000-0005-0000-0000-0000DA550000}"/>
    <cellStyle name="40% - Accent1 2 5 12" xfId="3777" xr:uid="{00000000-0005-0000-0000-0000DB550000}"/>
    <cellStyle name="40% - Accent1 2 5 12 2" xfId="9257" xr:uid="{00000000-0005-0000-0000-0000DC550000}"/>
    <cellStyle name="40% - Accent1 2 5 12 3" xfId="14733" xr:uid="{00000000-0005-0000-0000-0000DD550000}"/>
    <cellStyle name="40% - Accent1 2 5 12 4" xfId="20209" xr:uid="{00000000-0005-0000-0000-0000DE550000}"/>
    <cellStyle name="40% - Accent1 2 5 12 5" xfId="25685" xr:uid="{00000000-0005-0000-0000-0000DF550000}"/>
    <cellStyle name="40% - Accent1 2 5 12 6" xfId="37481" xr:uid="{00000000-0005-0000-0000-0000E0550000}"/>
    <cellStyle name="40% - Accent1 2 5 12 7" xfId="42958" xr:uid="{00000000-0005-0000-0000-0000E1550000}"/>
    <cellStyle name="40% - Accent1 2 5 12 8" xfId="48435" xr:uid="{00000000-0005-0000-0000-0000E2550000}"/>
    <cellStyle name="40% - Accent1 2 5 12 9" xfId="53953" xr:uid="{00000000-0005-0000-0000-0000E3550000}"/>
    <cellStyle name="40% - Accent1 2 5 13" xfId="6293" xr:uid="{00000000-0005-0000-0000-0000E4550000}"/>
    <cellStyle name="40% - Accent1 2 5 14" xfId="11773" xr:uid="{00000000-0005-0000-0000-0000E5550000}"/>
    <cellStyle name="40% - Accent1 2 5 15" xfId="17249" xr:uid="{00000000-0005-0000-0000-0000E6550000}"/>
    <cellStyle name="40% - Accent1 2 5 16" xfId="22725" xr:uid="{00000000-0005-0000-0000-0000E7550000}"/>
    <cellStyle name="40% - Accent1 2 5 17" xfId="30393" xr:uid="{00000000-0005-0000-0000-0000E8550000}"/>
    <cellStyle name="40% - Accent1 2 5 18" xfId="34520" xr:uid="{00000000-0005-0000-0000-0000E9550000}"/>
    <cellStyle name="40% - Accent1 2 5 19" xfId="39997" xr:uid="{00000000-0005-0000-0000-0000EA550000}"/>
    <cellStyle name="40% - Accent1 2 5 2" xfId="345" xr:uid="{00000000-0005-0000-0000-0000EB550000}"/>
    <cellStyle name="40% - Accent1 2 5 2 10" xfId="39999" xr:uid="{00000000-0005-0000-0000-0000EC550000}"/>
    <cellStyle name="40% - Accent1 2 5 2 11" xfId="45476" xr:uid="{00000000-0005-0000-0000-0000ED550000}"/>
    <cellStyle name="40% - Accent1 2 5 2 12" xfId="50954" xr:uid="{00000000-0005-0000-0000-0000EE550000}"/>
    <cellStyle name="40% - Accent1 2 5 2 2" xfId="2141" xr:uid="{00000000-0005-0000-0000-0000EF550000}"/>
    <cellStyle name="40% - Accent1 2 5 2 2 10" xfId="52317" xr:uid="{00000000-0005-0000-0000-0000F0550000}"/>
    <cellStyle name="40% - Accent1 2 5 2 2 2" xfId="7621" xr:uid="{00000000-0005-0000-0000-0000F1550000}"/>
    <cellStyle name="40% - Accent1 2 5 2 2 3" xfId="13097" xr:uid="{00000000-0005-0000-0000-0000F2550000}"/>
    <cellStyle name="40% - Accent1 2 5 2 2 4" xfId="18573" xr:uid="{00000000-0005-0000-0000-0000F3550000}"/>
    <cellStyle name="40% - Accent1 2 5 2 2 5" xfId="24049" xr:uid="{00000000-0005-0000-0000-0000F4550000}"/>
    <cellStyle name="40% - Accent1 2 5 2 2 6" xfId="30395" xr:uid="{00000000-0005-0000-0000-0000F5550000}"/>
    <cellStyle name="40% - Accent1 2 5 2 2 7" xfId="35845" xr:uid="{00000000-0005-0000-0000-0000F6550000}"/>
    <cellStyle name="40% - Accent1 2 5 2 2 8" xfId="41322" xr:uid="{00000000-0005-0000-0000-0000F7550000}"/>
    <cellStyle name="40% - Accent1 2 5 2 2 9" xfId="46799" xr:uid="{00000000-0005-0000-0000-0000F8550000}"/>
    <cellStyle name="40% - Accent1 2 5 2 3" xfId="3907" xr:uid="{00000000-0005-0000-0000-0000F9550000}"/>
    <cellStyle name="40% - Accent1 2 5 2 3 2" xfId="9387" xr:uid="{00000000-0005-0000-0000-0000FA550000}"/>
    <cellStyle name="40% - Accent1 2 5 2 3 3" xfId="14863" xr:uid="{00000000-0005-0000-0000-0000FB550000}"/>
    <cellStyle name="40% - Accent1 2 5 2 3 4" xfId="20339" xr:uid="{00000000-0005-0000-0000-0000FC550000}"/>
    <cellStyle name="40% - Accent1 2 5 2 3 5" xfId="25815" xr:uid="{00000000-0005-0000-0000-0000FD550000}"/>
    <cellStyle name="40% - Accent1 2 5 2 3 6" xfId="37611" xr:uid="{00000000-0005-0000-0000-0000FE550000}"/>
    <cellStyle name="40% - Accent1 2 5 2 3 7" xfId="43088" xr:uid="{00000000-0005-0000-0000-0000FF550000}"/>
    <cellStyle name="40% - Accent1 2 5 2 3 8" xfId="48565" xr:uid="{00000000-0005-0000-0000-000000560000}"/>
    <cellStyle name="40% - Accent1 2 5 2 3 9" xfId="54083" xr:uid="{00000000-0005-0000-0000-000001560000}"/>
    <cellStyle name="40% - Accent1 2 5 2 4" xfId="6295" xr:uid="{00000000-0005-0000-0000-000002560000}"/>
    <cellStyle name="40% - Accent1 2 5 2 5" xfId="11775" xr:uid="{00000000-0005-0000-0000-000003560000}"/>
    <cellStyle name="40% - Accent1 2 5 2 6" xfId="17251" xr:uid="{00000000-0005-0000-0000-000004560000}"/>
    <cellStyle name="40% - Accent1 2 5 2 7" xfId="22727" xr:uid="{00000000-0005-0000-0000-000005560000}"/>
    <cellStyle name="40% - Accent1 2 5 2 8" xfId="30394" xr:uid="{00000000-0005-0000-0000-000006560000}"/>
    <cellStyle name="40% - Accent1 2 5 2 9" xfId="34522" xr:uid="{00000000-0005-0000-0000-000007560000}"/>
    <cellStyle name="40% - Accent1 2 5 20" xfId="45474" xr:uid="{00000000-0005-0000-0000-000008560000}"/>
    <cellStyle name="40% - Accent1 2 5 21" xfId="50952" xr:uid="{00000000-0005-0000-0000-000009560000}"/>
    <cellStyle name="40% - Accent1 2 5 3" xfId="546" xr:uid="{00000000-0005-0000-0000-00000A560000}"/>
    <cellStyle name="40% - Accent1 2 5 3 10" xfId="40000" xr:uid="{00000000-0005-0000-0000-00000B560000}"/>
    <cellStyle name="40% - Accent1 2 5 3 11" xfId="45477" xr:uid="{00000000-0005-0000-0000-00000C560000}"/>
    <cellStyle name="40% - Accent1 2 5 3 12" xfId="50955" xr:uid="{00000000-0005-0000-0000-00000D560000}"/>
    <cellStyle name="40% - Accent1 2 5 3 2" xfId="2307" xr:uid="{00000000-0005-0000-0000-00000E560000}"/>
    <cellStyle name="40% - Accent1 2 5 3 2 2" xfId="7787" xr:uid="{00000000-0005-0000-0000-00000F560000}"/>
    <cellStyle name="40% - Accent1 2 5 3 2 3" xfId="13263" xr:uid="{00000000-0005-0000-0000-000010560000}"/>
    <cellStyle name="40% - Accent1 2 5 3 2 4" xfId="18739" xr:uid="{00000000-0005-0000-0000-000011560000}"/>
    <cellStyle name="40% - Accent1 2 5 3 2 5" xfId="24215" xr:uid="{00000000-0005-0000-0000-000012560000}"/>
    <cellStyle name="40% - Accent1 2 5 3 2 6" xfId="36011" xr:uid="{00000000-0005-0000-0000-000013560000}"/>
    <cellStyle name="40% - Accent1 2 5 3 2 7" xfId="41488" xr:uid="{00000000-0005-0000-0000-000014560000}"/>
    <cellStyle name="40% - Accent1 2 5 3 2 8" xfId="46965" xr:uid="{00000000-0005-0000-0000-000015560000}"/>
    <cellStyle name="40% - Accent1 2 5 3 2 9" xfId="52483" xr:uid="{00000000-0005-0000-0000-000016560000}"/>
    <cellStyle name="40% - Accent1 2 5 3 3" xfId="4079" xr:uid="{00000000-0005-0000-0000-000017560000}"/>
    <cellStyle name="40% - Accent1 2 5 3 3 2" xfId="9559" xr:uid="{00000000-0005-0000-0000-000018560000}"/>
    <cellStyle name="40% - Accent1 2 5 3 3 3" xfId="15035" xr:uid="{00000000-0005-0000-0000-000019560000}"/>
    <cellStyle name="40% - Accent1 2 5 3 3 4" xfId="20511" xr:uid="{00000000-0005-0000-0000-00001A560000}"/>
    <cellStyle name="40% - Accent1 2 5 3 3 5" xfId="25987" xr:uid="{00000000-0005-0000-0000-00001B560000}"/>
    <cellStyle name="40% - Accent1 2 5 3 3 6" xfId="37783" xr:uid="{00000000-0005-0000-0000-00001C560000}"/>
    <cellStyle name="40% - Accent1 2 5 3 3 7" xfId="43260" xr:uid="{00000000-0005-0000-0000-00001D560000}"/>
    <cellStyle name="40% - Accent1 2 5 3 3 8" xfId="48737" xr:uid="{00000000-0005-0000-0000-00001E560000}"/>
    <cellStyle name="40% - Accent1 2 5 3 3 9" xfId="54255" xr:uid="{00000000-0005-0000-0000-00001F560000}"/>
    <cellStyle name="40% - Accent1 2 5 3 4" xfId="6296" xr:uid="{00000000-0005-0000-0000-000020560000}"/>
    <cellStyle name="40% - Accent1 2 5 3 5" xfId="11776" xr:uid="{00000000-0005-0000-0000-000021560000}"/>
    <cellStyle name="40% - Accent1 2 5 3 6" xfId="17252" xr:uid="{00000000-0005-0000-0000-000022560000}"/>
    <cellStyle name="40% - Accent1 2 5 3 7" xfId="22728" xr:uid="{00000000-0005-0000-0000-000023560000}"/>
    <cellStyle name="40% - Accent1 2 5 3 8" xfId="30396" xr:uid="{00000000-0005-0000-0000-000024560000}"/>
    <cellStyle name="40% - Accent1 2 5 3 9" xfId="34523" xr:uid="{00000000-0005-0000-0000-000025560000}"/>
    <cellStyle name="40% - Accent1 2 5 4" xfId="718" xr:uid="{00000000-0005-0000-0000-000026560000}"/>
    <cellStyle name="40% - Accent1 2 5 4 10" xfId="45478" xr:uid="{00000000-0005-0000-0000-000027560000}"/>
    <cellStyle name="40% - Accent1 2 5 4 11" xfId="50956" xr:uid="{00000000-0005-0000-0000-000028560000}"/>
    <cellStyle name="40% - Accent1 2 5 4 2" xfId="2479" xr:uid="{00000000-0005-0000-0000-000029560000}"/>
    <cellStyle name="40% - Accent1 2 5 4 2 2" xfId="7959" xr:uid="{00000000-0005-0000-0000-00002A560000}"/>
    <cellStyle name="40% - Accent1 2 5 4 2 3" xfId="13435" xr:uid="{00000000-0005-0000-0000-00002B560000}"/>
    <cellStyle name="40% - Accent1 2 5 4 2 4" xfId="18911" xr:uid="{00000000-0005-0000-0000-00002C560000}"/>
    <cellStyle name="40% - Accent1 2 5 4 2 5" xfId="24387" xr:uid="{00000000-0005-0000-0000-00002D560000}"/>
    <cellStyle name="40% - Accent1 2 5 4 2 6" xfId="36183" xr:uid="{00000000-0005-0000-0000-00002E560000}"/>
    <cellStyle name="40% - Accent1 2 5 4 2 7" xfId="41660" xr:uid="{00000000-0005-0000-0000-00002F560000}"/>
    <cellStyle name="40% - Accent1 2 5 4 2 8" xfId="47137" xr:uid="{00000000-0005-0000-0000-000030560000}"/>
    <cellStyle name="40% - Accent1 2 5 4 2 9" xfId="52655" xr:uid="{00000000-0005-0000-0000-000031560000}"/>
    <cellStyle name="40% - Accent1 2 5 4 3" xfId="4251" xr:uid="{00000000-0005-0000-0000-000032560000}"/>
    <cellStyle name="40% - Accent1 2 5 4 3 2" xfId="9731" xr:uid="{00000000-0005-0000-0000-000033560000}"/>
    <cellStyle name="40% - Accent1 2 5 4 3 3" xfId="15207" xr:uid="{00000000-0005-0000-0000-000034560000}"/>
    <cellStyle name="40% - Accent1 2 5 4 3 4" xfId="20683" xr:uid="{00000000-0005-0000-0000-000035560000}"/>
    <cellStyle name="40% - Accent1 2 5 4 3 5" xfId="26159" xr:uid="{00000000-0005-0000-0000-000036560000}"/>
    <cellStyle name="40% - Accent1 2 5 4 3 6" xfId="37955" xr:uid="{00000000-0005-0000-0000-000037560000}"/>
    <cellStyle name="40% - Accent1 2 5 4 3 7" xfId="43432" xr:uid="{00000000-0005-0000-0000-000038560000}"/>
    <cellStyle name="40% - Accent1 2 5 4 3 8" xfId="48909" xr:uid="{00000000-0005-0000-0000-000039560000}"/>
    <cellStyle name="40% - Accent1 2 5 4 3 9" xfId="54427" xr:uid="{00000000-0005-0000-0000-00003A560000}"/>
    <cellStyle name="40% - Accent1 2 5 4 4" xfId="6297" xr:uid="{00000000-0005-0000-0000-00003B560000}"/>
    <cellStyle name="40% - Accent1 2 5 4 5" xfId="11777" xr:uid="{00000000-0005-0000-0000-00003C560000}"/>
    <cellStyle name="40% - Accent1 2 5 4 6" xfId="17253" xr:uid="{00000000-0005-0000-0000-00003D560000}"/>
    <cellStyle name="40% - Accent1 2 5 4 7" xfId="22729" xr:uid="{00000000-0005-0000-0000-00003E560000}"/>
    <cellStyle name="40% - Accent1 2 5 4 8" xfId="34524" xr:uid="{00000000-0005-0000-0000-00003F560000}"/>
    <cellStyle name="40% - Accent1 2 5 4 9" xfId="40001" xr:uid="{00000000-0005-0000-0000-000040560000}"/>
    <cellStyle name="40% - Accent1 2 5 5" xfId="890" xr:uid="{00000000-0005-0000-0000-000041560000}"/>
    <cellStyle name="40% - Accent1 2 5 5 10" xfId="45479" xr:uid="{00000000-0005-0000-0000-000042560000}"/>
    <cellStyle name="40% - Accent1 2 5 5 11" xfId="50957" xr:uid="{00000000-0005-0000-0000-000043560000}"/>
    <cellStyle name="40% - Accent1 2 5 5 2" xfId="2651" xr:uid="{00000000-0005-0000-0000-000044560000}"/>
    <cellStyle name="40% - Accent1 2 5 5 2 2" xfId="8131" xr:uid="{00000000-0005-0000-0000-000045560000}"/>
    <cellStyle name="40% - Accent1 2 5 5 2 3" xfId="13607" xr:uid="{00000000-0005-0000-0000-000046560000}"/>
    <cellStyle name="40% - Accent1 2 5 5 2 4" xfId="19083" xr:uid="{00000000-0005-0000-0000-000047560000}"/>
    <cellStyle name="40% - Accent1 2 5 5 2 5" xfId="24559" xr:uid="{00000000-0005-0000-0000-000048560000}"/>
    <cellStyle name="40% - Accent1 2 5 5 2 6" xfId="36355" xr:uid="{00000000-0005-0000-0000-000049560000}"/>
    <cellStyle name="40% - Accent1 2 5 5 2 7" xfId="41832" xr:uid="{00000000-0005-0000-0000-00004A560000}"/>
    <cellStyle name="40% - Accent1 2 5 5 2 8" xfId="47309" xr:uid="{00000000-0005-0000-0000-00004B560000}"/>
    <cellStyle name="40% - Accent1 2 5 5 2 9" xfId="52827" xr:uid="{00000000-0005-0000-0000-00004C560000}"/>
    <cellStyle name="40% - Accent1 2 5 5 3" xfId="4423" xr:uid="{00000000-0005-0000-0000-00004D560000}"/>
    <cellStyle name="40% - Accent1 2 5 5 3 2" xfId="9903" xr:uid="{00000000-0005-0000-0000-00004E560000}"/>
    <cellStyle name="40% - Accent1 2 5 5 3 3" xfId="15379" xr:uid="{00000000-0005-0000-0000-00004F560000}"/>
    <cellStyle name="40% - Accent1 2 5 5 3 4" xfId="20855" xr:uid="{00000000-0005-0000-0000-000050560000}"/>
    <cellStyle name="40% - Accent1 2 5 5 3 5" xfId="26331" xr:uid="{00000000-0005-0000-0000-000051560000}"/>
    <cellStyle name="40% - Accent1 2 5 5 3 6" xfId="38127" xr:uid="{00000000-0005-0000-0000-000052560000}"/>
    <cellStyle name="40% - Accent1 2 5 5 3 7" xfId="43604" xr:uid="{00000000-0005-0000-0000-000053560000}"/>
    <cellStyle name="40% - Accent1 2 5 5 3 8" xfId="49081" xr:uid="{00000000-0005-0000-0000-000054560000}"/>
    <cellStyle name="40% - Accent1 2 5 5 3 9" xfId="54599" xr:uid="{00000000-0005-0000-0000-000055560000}"/>
    <cellStyle name="40% - Accent1 2 5 5 4" xfId="6298" xr:uid="{00000000-0005-0000-0000-000056560000}"/>
    <cellStyle name="40% - Accent1 2 5 5 5" xfId="11778" xr:uid="{00000000-0005-0000-0000-000057560000}"/>
    <cellStyle name="40% - Accent1 2 5 5 6" xfId="17254" xr:uid="{00000000-0005-0000-0000-000058560000}"/>
    <cellStyle name="40% - Accent1 2 5 5 7" xfId="22730" xr:uid="{00000000-0005-0000-0000-000059560000}"/>
    <cellStyle name="40% - Accent1 2 5 5 8" xfId="34525" xr:uid="{00000000-0005-0000-0000-00005A560000}"/>
    <cellStyle name="40% - Accent1 2 5 5 9" xfId="40002" xr:uid="{00000000-0005-0000-0000-00005B560000}"/>
    <cellStyle name="40% - Accent1 2 5 6" xfId="1096" xr:uid="{00000000-0005-0000-0000-00005C560000}"/>
    <cellStyle name="40% - Accent1 2 5 6 10" xfId="45480" xr:uid="{00000000-0005-0000-0000-00005D560000}"/>
    <cellStyle name="40% - Accent1 2 5 6 11" xfId="50958" xr:uid="{00000000-0005-0000-0000-00005E560000}"/>
    <cellStyle name="40% - Accent1 2 5 6 2" xfId="2857" xr:uid="{00000000-0005-0000-0000-00005F560000}"/>
    <cellStyle name="40% - Accent1 2 5 6 2 2" xfId="8337" xr:uid="{00000000-0005-0000-0000-000060560000}"/>
    <cellStyle name="40% - Accent1 2 5 6 2 3" xfId="13813" xr:uid="{00000000-0005-0000-0000-000061560000}"/>
    <cellStyle name="40% - Accent1 2 5 6 2 4" xfId="19289" xr:uid="{00000000-0005-0000-0000-000062560000}"/>
    <cellStyle name="40% - Accent1 2 5 6 2 5" xfId="24765" xr:uid="{00000000-0005-0000-0000-000063560000}"/>
    <cellStyle name="40% - Accent1 2 5 6 2 6" xfId="36561" xr:uid="{00000000-0005-0000-0000-000064560000}"/>
    <cellStyle name="40% - Accent1 2 5 6 2 7" xfId="42038" xr:uid="{00000000-0005-0000-0000-000065560000}"/>
    <cellStyle name="40% - Accent1 2 5 6 2 8" xfId="47515" xr:uid="{00000000-0005-0000-0000-000066560000}"/>
    <cellStyle name="40% - Accent1 2 5 6 2 9" xfId="53033" xr:uid="{00000000-0005-0000-0000-000067560000}"/>
    <cellStyle name="40% - Accent1 2 5 6 3" xfId="4629" xr:uid="{00000000-0005-0000-0000-000068560000}"/>
    <cellStyle name="40% - Accent1 2 5 6 3 2" xfId="10109" xr:uid="{00000000-0005-0000-0000-000069560000}"/>
    <cellStyle name="40% - Accent1 2 5 6 3 3" xfId="15585" xr:uid="{00000000-0005-0000-0000-00006A560000}"/>
    <cellStyle name="40% - Accent1 2 5 6 3 4" xfId="21061" xr:uid="{00000000-0005-0000-0000-00006B560000}"/>
    <cellStyle name="40% - Accent1 2 5 6 3 5" xfId="26537" xr:uid="{00000000-0005-0000-0000-00006C560000}"/>
    <cellStyle name="40% - Accent1 2 5 6 3 6" xfId="38333" xr:uid="{00000000-0005-0000-0000-00006D560000}"/>
    <cellStyle name="40% - Accent1 2 5 6 3 7" xfId="43810" xr:uid="{00000000-0005-0000-0000-00006E560000}"/>
    <cellStyle name="40% - Accent1 2 5 6 3 8" xfId="49287" xr:uid="{00000000-0005-0000-0000-00006F560000}"/>
    <cellStyle name="40% - Accent1 2 5 6 3 9" xfId="54805" xr:uid="{00000000-0005-0000-0000-000070560000}"/>
    <cellStyle name="40% - Accent1 2 5 6 4" xfId="6299" xr:uid="{00000000-0005-0000-0000-000071560000}"/>
    <cellStyle name="40% - Accent1 2 5 6 5" xfId="11779" xr:uid="{00000000-0005-0000-0000-000072560000}"/>
    <cellStyle name="40% - Accent1 2 5 6 6" xfId="17255" xr:uid="{00000000-0005-0000-0000-000073560000}"/>
    <cellStyle name="40% - Accent1 2 5 6 7" xfId="22731" xr:uid="{00000000-0005-0000-0000-000074560000}"/>
    <cellStyle name="40% - Accent1 2 5 6 8" xfId="34526" xr:uid="{00000000-0005-0000-0000-000075560000}"/>
    <cellStyle name="40% - Accent1 2 5 6 9" xfId="40003" xr:uid="{00000000-0005-0000-0000-000076560000}"/>
    <cellStyle name="40% - Accent1 2 5 7" xfId="1268" xr:uid="{00000000-0005-0000-0000-000077560000}"/>
    <cellStyle name="40% - Accent1 2 5 7 10" xfId="45481" xr:uid="{00000000-0005-0000-0000-000078560000}"/>
    <cellStyle name="40% - Accent1 2 5 7 11" xfId="50959" xr:uid="{00000000-0005-0000-0000-000079560000}"/>
    <cellStyle name="40% - Accent1 2 5 7 2" xfId="3029" xr:uid="{00000000-0005-0000-0000-00007A560000}"/>
    <cellStyle name="40% - Accent1 2 5 7 2 2" xfId="8509" xr:uid="{00000000-0005-0000-0000-00007B560000}"/>
    <cellStyle name="40% - Accent1 2 5 7 2 3" xfId="13985" xr:uid="{00000000-0005-0000-0000-00007C560000}"/>
    <cellStyle name="40% - Accent1 2 5 7 2 4" xfId="19461" xr:uid="{00000000-0005-0000-0000-00007D560000}"/>
    <cellStyle name="40% - Accent1 2 5 7 2 5" xfId="24937" xr:uid="{00000000-0005-0000-0000-00007E560000}"/>
    <cellStyle name="40% - Accent1 2 5 7 2 6" xfId="36733" xr:uid="{00000000-0005-0000-0000-00007F560000}"/>
    <cellStyle name="40% - Accent1 2 5 7 2 7" xfId="42210" xr:uid="{00000000-0005-0000-0000-000080560000}"/>
    <cellStyle name="40% - Accent1 2 5 7 2 8" xfId="47687" xr:uid="{00000000-0005-0000-0000-000081560000}"/>
    <cellStyle name="40% - Accent1 2 5 7 2 9" xfId="53205" xr:uid="{00000000-0005-0000-0000-000082560000}"/>
    <cellStyle name="40% - Accent1 2 5 7 3" xfId="4801" xr:uid="{00000000-0005-0000-0000-000083560000}"/>
    <cellStyle name="40% - Accent1 2 5 7 3 2" xfId="10281" xr:uid="{00000000-0005-0000-0000-000084560000}"/>
    <cellStyle name="40% - Accent1 2 5 7 3 3" xfId="15757" xr:uid="{00000000-0005-0000-0000-000085560000}"/>
    <cellStyle name="40% - Accent1 2 5 7 3 4" xfId="21233" xr:uid="{00000000-0005-0000-0000-000086560000}"/>
    <cellStyle name="40% - Accent1 2 5 7 3 5" xfId="26709" xr:uid="{00000000-0005-0000-0000-000087560000}"/>
    <cellStyle name="40% - Accent1 2 5 7 3 6" xfId="38505" xr:uid="{00000000-0005-0000-0000-000088560000}"/>
    <cellStyle name="40% - Accent1 2 5 7 3 7" xfId="43982" xr:uid="{00000000-0005-0000-0000-000089560000}"/>
    <cellStyle name="40% - Accent1 2 5 7 3 8" xfId="49459" xr:uid="{00000000-0005-0000-0000-00008A560000}"/>
    <cellStyle name="40% - Accent1 2 5 7 3 9" xfId="54977" xr:uid="{00000000-0005-0000-0000-00008B560000}"/>
    <cellStyle name="40% - Accent1 2 5 7 4" xfId="6300" xr:uid="{00000000-0005-0000-0000-00008C560000}"/>
    <cellStyle name="40% - Accent1 2 5 7 5" xfId="11780" xr:uid="{00000000-0005-0000-0000-00008D560000}"/>
    <cellStyle name="40% - Accent1 2 5 7 6" xfId="17256" xr:uid="{00000000-0005-0000-0000-00008E560000}"/>
    <cellStyle name="40% - Accent1 2 5 7 7" xfId="22732" xr:uid="{00000000-0005-0000-0000-00008F560000}"/>
    <cellStyle name="40% - Accent1 2 5 7 8" xfId="34527" xr:uid="{00000000-0005-0000-0000-000090560000}"/>
    <cellStyle name="40% - Accent1 2 5 7 9" xfId="40004" xr:uid="{00000000-0005-0000-0000-000091560000}"/>
    <cellStyle name="40% - Accent1 2 5 8" xfId="1440" xr:uid="{00000000-0005-0000-0000-000092560000}"/>
    <cellStyle name="40% - Accent1 2 5 8 10" xfId="45482" xr:uid="{00000000-0005-0000-0000-000093560000}"/>
    <cellStyle name="40% - Accent1 2 5 8 11" xfId="50960" xr:uid="{00000000-0005-0000-0000-000094560000}"/>
    <cellStyle name="40% - Accent1 2 5 8 2" xfId="3201" xr:uid="{00000000-0005-0000-0000-000095560000}"/>
    <cellStyle name="40% - Accent1 2 5 8 2 2" xfId="8681" xr:uid="{00000000-0005-0000-0000-000096560000}"/>
    <cellStyle name="40% - Accent1 2 5 8 2 3" xfId="14157" xr:uid="{00000000-0005-0000-0000-000097560000}"/>
    <cellStyle name="40% - Accent1 2 5 8 2 4" xfId="19633" xr:uid="{00000000-0005-0000-0000-000098560000}"/>
    <cellStyle name="40% - Accent1 2 5 8 2 5" xfId="25109" xr:uid="{00000000-0005-0000-0000-000099560000}"/>
    <cellStyle name="40% - Accent1 2 5 8 2 6" xfId="36905" xr:uid="{00000000-0005-0000-0000-00009A560000}"/>
    <cellStyle name="40% - Accent1 2 5 8 2 7" xfId="42382" xr:uid="{00000000-0005-0000-0000-00009B560000}"/>
    <cellStyle name="40% - Accent1 2 5 8 2 8" xfId="47859" xr:uid="{00000000-0005-0000-0000-00009C560000}"/>
    <cellStyle name="40% - Accent1 2 5 8 2 9" xfId="53377" xr:uid="{00000000-0005-0000-0000-00009D560000}"/>
    <cellStyle name="40% - Accent1 2 5 8 3" xfId="4973" xr:uid="{00000000-0005-0000-0000-00009E560000}"/>
    <cellStyle name="40% - Accent1 2 5 8 3 2" xfId="10453" xr:uid="{00000000-0005-0000-0000-00009F560000}"/>
    <cellStyle name="40% - Accent1 2 5 8 3 3" xfId="15929" xr:uid="{00000000-0005-0000-0000-0000A0560000}"/>
    <cellStyle name="40% - Accent1 2 5 8 3 4" xfId="21405" xr:uid="{00000000-0005-0000-0000-0000A1560000}"/>
    <cellStyle name="40% - Accent1 2 5 8 3 5" xfId="26881" xr:uid="{00000000-0005-0000-0000-0000A2560000}"/>
    <cellStyle name="40% - Accent1 2 5 8 3 6" xfId="38677" xr:uid="{00000000-0005-0000-0000-0000A3560000}"/>
    <cellStyle name="40% - Accent1 2 5 8 3 7" xfId="44154" xr:uid="{00000000-0005-0000-0000-0000A4560000}"/>
    <cellStyle name="40% - Accent1 2 5 8 3 8" xfId="49631" xr:uid="{00000000-0005-0000-0000-0000A5560000}"/>
    <cellStyle name="40% - Accent1 2 5 8 3 9" xfId="55149" xr:uid="{00000000-0005-0000-0000-0000A6560000}"/>
    <cellStyle name="40% - Accent1 2 5 8 4" xfId="6301" xr:uid="{00000000-0005-0000-0000-0000A7560000}"/>
    <cellStyle name="40% - Accent1 2 5 8 5" xfId="11781" xr:uid="{00000000-0005-0000-0000-0000A8560000}"/>
    <cellStyle name="40% - Accent1 2 5 8 6" xfId="17257" xr:uid="{00000000-0005-0000-0000-0000A9560000}"/>
    <cellStyle name="40% - Accent1 2 5 8 7" xfId="22733" xr:uid="{00000000-0005-0000-0000-0000AA560000}"/>
    <cellStyle name="40% - Accent1 2 5 8 8" xfId="34528" xr:uid="{00000000-0005-0000-0000-0000AB560000}"/>
    <cellStyle name="40% - Accent1 2 5 8 9" xfId="40005" xr:uid="{00000000-0005-0000-0000-0000AC560000}"/>
    <cellStyle name="40% - Accent1 2 5 9" xfId="1612" xr:uid="{00000000-0005-0000-0000-0000AD560000}"/>
    <cellStyle name="40% - Accent1 2 5 9 10" xfId="45483" xr:uid="{00000000-0005-0000-0000-0000AE560000}"/>
    <cellStyle name="40% - Accent1 2 5 9 11" xfId="50961" xr:uid="{00000000-0005-0000-0000-0000AF560000}"/>
    <cellStyle name="40% - Accent1 2 5 9 2" xfId="3373" xr:uid="{00000000-0005-0000-0000-0000B0560000}"/>
    <cellStyle name="40% - Accent1 2 5 9 2 2" xfId="8853" xr:uid="{00000000-0005-0000-0000-0000B1560000}"/>
    <cellStyle name="40% - Accent1 2 5 9 2 3" xfId="14329" xr:uid="{00000000-0005-0000-0000-0000B2560000}"/>
    <cellStyle name="40% - Accent1 2 5 9 2 4" xfId="19805" xr:uid="{00000000-0005-0000-0000-0000B3560000}"/>
    <cellStyle name="40% - Accent1 2 5 9 2 5" xfId="25281" xr:uid="{00000000-0005-0000-0000-0000B4560000}"/>
    <cellStyle name="40% - Accent1 2 5 9 2 6" xfId="37077" xr:uid="{00000000-0005-0000-0000-0000B5560000}"/>
    <cellStyle name="40% - Accent1 2 5 9 2 7" xfId="42554" xr:uid="{00000000-0005-0000-0000-0000B6560000}"/>
    <cellStyle name="40% - Accent1 2 5 9 2 8" xfId="48031" xr:uid="{00000000-0005-0000-0000-0000B7560000}"/>
    <cellStyle name="40% - Accent1 2 5 9 2 9" xfId="53549" xr:uid="{00000000-0005-0000-0000-0000B8560000}"/>
    <cellStyle name="40% - Accent1 2 5 9 3" xfId="5145" xr:uid="{00000000-0005-0000-0000-0000B9560000}"/>
    <cellStyle name="40% - Accent1 2 5 9 3 2" xfId="10625" xr:uid="{00000000-0005-0000-0000-0000BA560000}"/>
    <cellStyle name="40% - Accent1 2 5 9 3 3" xfId="16101" xr:uid="{00000000-0005-0000-0000-0000BB560000}"/>
    <cellStyle name="40% - Accent1 2 5 9 3 4" xfId="21577" xr:uid="{00000000-0005-0000-0000-0000BC560000}"/>
    <cellStyle name="40% - Accent1 2 5 9 3 5" xfId="27053" xr:uid="{00000000-0005-0000-0000-0000BD560000}"/>
    <cellStyle name="40% - Accent1 2 5 9 3 6" xfId="38849" xr:uid="{00000000-0005-0000-0000-0000BE560000}"/>
    <cellStyle name="40% - Accent1 2 5 9 3 7" xfId="44326" xr:uid="{00000000-0005-0000-0000-0000BF560000}"/>
    <cellStyle name="40% - Accent1 2 5 9 3 8" xfId="49803" xr:uid="{00000000-0005-0000-0000-0000C0560000}"/>
    <cellStyle name="40% - Accent1 2 5 9 3 9" xfId="55321" xr:uid="{00000000-0005-0000-0000-0000C1560000}"/>
    <cellStyle name="40% - Accent1 2 5 9 4" xfId="6302" xr:uid="{00000000-0005-0000-0000-0000C2560000}"/>
    <cellStyle name="40% - Accent1 2 5 9 5" xfId="11782" xr:uid="{00000000-0005-0000-0000-0000C3560000}"/>
    <cellStyle name="40% - Accent1 2 5 9 6" xfId="17258" xr:uid="{00000000-0005-0000-0000-0000C4560000}"/>
    <cellStyle name="40% - Accent1 2 5 9 7" xfId="22734" xr:uid="{00000000-0005-0000-0000-0000C5560000}"/>
    <cellStyle name="40% - Accent1 2 5 9 8" xfId="34529" xr:uid="{00000000-0005-0000-0000-0000C6560000}"/>
    <cellStyle name="40% - Accent1 2 5 9 9" xfId="40006" xr:uid="{00000000-0005-0000-0000-0000C7560000}"/>
    <cellStyle name="40% - Accent1 2 6" xfId="338" xr:uid="{00000000-0005-0000-0000-0000C8560000}"/>
    <cellStyle name="40% - Accent1 2 6 10" xfId="40007" xr:uid="{00000000-0005-0000-0000-0000C9560000}"/>
    <cellStyle name="40% - Accent1 2 6 11" xfId="45484" xr:uid="{00000000-0005-0000-0000-0000CA560000}"/>
    <cellStyle name="40% - Accent1 2 6 12" xfId="50962" xr:uid="{00000000-0005-0000-0000-0000CB560000}"/>
    <cellStyle name="40% - Accent1 2 6 2" xfId="2134" xr:uid="{00000000-0005-0000-0000-0000CC560000}"/>
    <cellStyle name="40% - Accent1 2 6 2 10" xfId="52310" xr:uid="{00000000-0005-0000-0000-0000CD560000}"/>
    <cellStyle name="40% - Accent1 2 6 2 2" xfId="7614" xr:uid="{00000000-0005-0000-0000-0000CE560000}"/>
    <cellStyle name="40% - Accent1 2 6 2 2 2" xfId="30399" xr:uid="{00000000-0005-0000-0000-0000CF560000}"/>
    <cellStyle name="40% - Accent1 2 6 2 3" xfId="13090" xr:uid="{00000000-0005-0000-0000-0000D0560000}"/>
    <cellStyle name="40% - Accent1 2 6 2 4" xfId="18566" xr:uid="{00000000-0005-0000-0000-0000D1560000}"/>
    <cellStyle name="40% - Accent1 2 6 2 5" xfId="24042" xr:uid="{00000000-0005-0000-0000-0000D2560000}"/>
    <cellStyle name="40% - Accent1 2 6 2 6" xfId="30398" xr:uid="{00000000-0005-0000-0000-0000D3560000}"/>
    <cellStyle name="40% - Accent1 2 6 2 7" xfId="35838" xr:uid="{00000000-0005-0000-0000-0000D4560000}"/>
    <cellStyle name="40% - Accent1 2 6 2 8" xfId="41315" xr:uid="{00000000-0005-0000-0000-0000D5560000}"/>
    <cellStyle name="40% - Accent1 2 6 2 9" xfId="46792" xr:uid="{00000000-0005-0000-0000-0000D6560000}"/>
    <cellStyle name="40% - Accent1 2 6 3" xfId="3900" xr:uid="{00000000-0005-0000-0000-0000D7560000}"/>
    <cellStyle name="40% - Accent1 2 6 3 10" xfId="54076" xr:uid="{00000000-0005-0000-0000-0000D8560000}"/>
    <cellStyle name="40% - Accent1 2 6 3 2" xfId="9380" xr:uid="{00000000-0005-0000-0000-0000D9560000}"/>
    <cellStyle name="40% - Accent1 2 6 3 3" xfId="14856" xr:uid="{00000000-0005-0000-0000-0000DA560000}"/>
    <cellStyle name="40% - Accent1 2 6 3 4" xfId="20332" xr:uid="{00000000-0005-0000-0000-0000DB560000}"/>
    <cellStyle name="40% - Accent1 2 6 3 5" xfId="25808" xr:uid="{00000000-0005-0000-0000-0000DC560000}"/>
    <cellStyle name="40% - Accent1 2 6 3 6" xfId="30400" xr:uid="{00000000-0005-0000-0000-0000DD560000}"/>
    <cellStyle name="40% - Accent1 2 6 3 7" xfId="37604" xr:uid="{00000000-0005-0000-0000-0000DE560000}"/>
    <cellStyle name="40% - Accent1 2 6 3 8" xfId="43081" xr:uid="{00000000-0005-0000-0000-0000DF560000}"/>
    <cellStyle name="40% - Accent1 2 6 3 9" xfId="48558" xr:uid="{00000000-0005-0000-0000-0000E0560000}"/>
    <cellStyle name="40% - Accent1 2 6 4" xfId="6303" xr:uid="{00000000-0005-0000-0000-0000E1560000}"/>
    <cellStyle name="40% - Accent1 2 6 5" xfId="11783" xr:uid="{00000000-0005-0000-0000-0000E2560000}"/>
    <cellStyle name="40% - Accent1 2 6 6" xfId="17259" xr:uid="{00000000-0005-0000-0000-0000E3560000}"/>
    <cellStyle name="40% - Accent1 2 6 7" xfId="22735" xr:uid="{00000000-0005-0000-0000-0000E4560000}"/>
    <cellStyle name="40% - Accent1 2 6 8" xfId="30397" xr:uid="{00000000-0005-0000-0000-0000E5560000}"/>
    <cellStyle name="40% - Accent1 2 6 9" xfId="34530" xr:uid="{00000000-0005-0000-0000-0000E6560000}"/>
    <cellStyle name="40% - Accent1 2 7" xfId="539" xr:uid="{00000000-0005-0000-0000-0000E7560000}"/>
    <cellStyle name="40% - Accent1 2 7 10" xfId="40008" xr:uid="{00000000-0005-0000-0000-0000E8560000}"/>
    <cellStyle name="40% - Accent1 2 7 11" xfId="45485" xr:uid="{00000000-0005-0000-0000-0000E9560000}"/>
    <cellStyle name="40% - Accent1 2 7 12" xfId="50963" xr:uid="{00000000-0005-0000-0000-0000EA560000}"/>
    <cellStyle name="40% - Accent1 2 7 2" xfId="2300" xr:uid="{00000000-0005-0000-0000-0000EB560000}"/>
    <cellStyle name="40% - Accent1 2 7 2 10" xfId="52476" xr:uid="{00000000-0005-0000-0000-0000EC560000}"/>
    <cellStyle name="40% - Accent1 2 7 2 2" xfId="7780" xr:uid="{00000000-0005-0000-0000-0000ED560000}"/>
    <cellStyle name="40% - Accent1 2 7 2 2 2" xfId="30403" xr:uid="{00000000-0005-0000-0000-0000EE560000}"/>
    <cellStyle name="40% - Accent1 2 7 2 3" xfId="13256" xr:uid="{00000000-0005-0000-0000-0000EF560000}"/>
    <cellStyle name="40% - Accent1 2 7 2 4" xfId="18732" xr:uid="{00000000-0005-0000-0000-0000F0560000}"/>
    <cellStyle name="40% - Accent1 2 7 2 5" xfId="24208" xr:uid="{00000000-0005-0000-0000-0000F1560000}"/>
    <cellStyle name="40% - Accent1 2 7 2 6" xfId="30402" xr:uid="{00000000-0005-0000-0000-0000F2560000}"/>
    <cellStyle name="40% - Accent1 2 7 2 7" xfId="36004" xr:uid="{00000000-0005-0000-0000-0000F3560000}"/>
    <cellStyle name="40% - Accent1 2 7 2 8" xfId="41481" xr:uid="{00000000-0005-0000-0000-0000F4560000}"/>
    <cellStyle name="40% - Accent1 2 7 2 9" xfId="46958" xr:uid="{00000000-0005-0000-0000-0000F5560000}"/>
    <cellStyle name="40% - Accent1 2 7 3" xfId="4072" xr:uid="{00000000-0005-0000-0000-0000F6560000}"/>
    <cellStyle name="40% - Accent1 2 7 3 10" xfId="54248" xr:uid="{00000000-0005-0000-0000-0000F7560000}"/>
    <cellStyle name="40% - Accent1 2 7 3 2" xfId="9552" xr:uid="{00000000-0005-0000-0000-0000F8560000}"/>
    <cellStyle name="40% - Accent1 2 7 3 3" xfId="15028" xr:uid="{00000000-0005-0000-0000-0000F9560000}"/>
    <cellStyle name="40% - Accent1 2 7 3 4" xfId="20504" xr:uid="{00000000-0005-0000-0000-0000FA560000}"/>
    <cellStyle name="40% - Accent1 2 7 3 5" xfId="25980" xr:uid="{00000000-0005-0000-0000-0000FB560000}"/>
    <cellStyle name="40% - Accent1 2 7 3 6" xfId="30404" xr:uid="{00000000-0005-0000-0000-0000FC560000}"/>
    <cellStyle name="40% - Accent1 2 7 3 7" xfId="37776" xr:uid="{00000000-0005-0000-0000-0000FD560000}"/>
    <cellStyle name="40% - Accent1 2 7 3 8" xfId="43253" xr:uid="{00000000-0005-0000-0000-0000FE560000}"/>
    <cellStyle name="40% - Accent1 2 7 3 9" xfId="48730" xr:uid="{00000000-0005-0000-0000-0000FF560000}"/>
    <cellStyle name="40% - Accent1 2 7 4" xfId="6304" xr:uid="{00000000-0005-0000-0000-000000570000}"/>
    <cellStyle name="40% - Accent1 2 7 5" xfId="11784" xr:uid="{00000000-0005-0000-0000-000001570000}"/>
    <cellStyle name="40% - Accent1 2 7 6" xfId="17260" xr:uid="{00000000-0005-0000-0000-000002570000}"/>
    <cellStyle name="40% - Accent1 2 7 7" xfId="22736" xr:uid="{00000000-0005-0000-0000-000003570000}"/>
    <cellStyle name="40% - Accent1 2 7 8" xfId="30401" xr:uid="{00000000-0005-0000-0000-000004570000}"/>
    <cellStyle name="40% - Accent1 2 7 9" xfId="34531" xr:uid="{00000000-0005-0000-0000-000005570000}"/>
    <cellStyle name="40% - Accent1 2 8" xfId="711" xr:uid="{00000000-0005-0000-0000-000006570000}"/>
    <cellStyle name="40% - Accent1 2 8 10" xfId="40009" xr:uid="{00000000-0005-0000-0000-000007570000}"/>
    <cellStyle name="40% - Accent1 2 8 11" xfId="45486" xr:uid="{00000000-0005-0000-0000-000008570000}"/>
    <cellStyle name="40% - Accent1 2 8 12" xfId="50964" xr:uid="{00000000-0005-0000-0000-000009570000}"/>
    <cellStyle name="40% - Accent1 2 8 2" xfId="2472" xr:uid="{00000000-0005-0000-0000-00000A570000}"/>
    <cellStyle name="40% - Accent1 2 8 2 10" xfId="52648" xr:uid="{00000000-0005-0000-0000-00000B570000}"/>
    <cellStyle name="40% - Accent1 2 8 2 2" xfId="7952" xr:uid="{00000000-0005-0000-0000-00000C570000}"/>
    <cellStyle name="40% - Accent1 2 8 2 3" xfId="13428" xr:uid="{00000000-0005-0000-0000-00000D570000}"/>
    <cellStyle name="40% - Accent1 2 8 2 4" xfId="18904" xr:uid="{00000000-0005-0000-0000-00000E570000}"/>
    <cellStyle name="40% - Accent1 2 8 2 5" xfId="24380" xr:uid="{00000000-0005-0000-0000-00000F570000}"/>
    <cellStyle name="40% - Accent1 2 8 2 6" xfId="30406" xr:uid="{00000000-0005-0000-0000-000010570000}"/>
    <cellStyle name="40% - Accent1 2 8 2 7" xfId="36176" xr:uid="{00000000-0005-0000-0000-000011570000}"/>
    <cellStyle name="40% - Accent1 2 8 2 8" xfId="41653" xr:uid="{00000000-0005-0000-0000-000012570000}"/>
    <cellStyle name="40% - Accent1 2 8 2 9" xfId="47130" xr:uid="{00000000-0005-0000-0000-000013570000}"/>
    <cellStyle name="40% - Accent1 2 8 3" xfId="4244" xr:uid="{00000000-0005-0000-0000-000014570000}"/>
    <cellStyle name="40% - Accent1 2 8 3 2" xfId="9724" xr:uid="{00000000-0005-0000-0000-000015570000}"/>
    <cellStyle name="40% - Accent1 2 8 3 3" xfId="15200" xr:uid="{00000000-0005-0000-0000-000016570000}"/>
    <cellStyle name="40% - Accent1 2 8 3 4" xfId="20676" xr:uid="{00000000-0005-0000-0000-000017570000}"/>
    <cellStyle name="40% - Accent1 2 8 3 5" xfId="26152" xr:uid="{00000000-0005-0000-0000-000018570000}"/>
    <cellStyle name="40% - Accent1 2 8 3 6" xfId="37948" xr:uid="{00000000-0005-0000-0000-000019570000}"/>
    <cellStyle name="40% - Accent1 2 8 3 7" xfId="43425" xr:uid="{00000000-0005-0000-0000-00001A570000}"/>
    <cellStyle name="40% - Accent1 2 8 3 8" xfId="48902" xr:uid="{00000000-0005-0000-0000-00001B570000}"/>
    <cellStyle name="40% - Accent1 2 8 3 9" xfId="54420" xr:uid="{00000000-0005-0000-0000-00001C570000}"/>
    <cellStyle name="40% - Accent1 2 8 4" xfId="6305" xr:uid="{00000000-0005-0000-0000-00001D570000}"/>
    <cellStyle name="40% - Accent1 2 8 5" xfId="11785" xr:uid="{00000000-0005-0000-0000-00001E570000}"/>
    <cellStyle name="40% - Accent1 2 8 6" xfId="17261" xr:uid="{00000000-0005-0000-0000-00001F570000}"/>
    <cellStyle name="40% - Accent1 2 8 7" xfId="22737" xr:uid="{00000000-0005-0000-0000-000020570000}"/>
    <cellStyle name="40% - Accent1 2 8 8" xfId="30405" xr:uid="{00000000-0005-0000-0000-000021570000}"/>
    <cellStyle name="40% - Accent1 2 8 9" xfId="34532" xr:uid="{00000000-0005-0000-0000-000022570000}"/>
    <cellStyle name="40% - Accent1 2 9" xfId="883" xr:uid="{00000000-0005-0000-0000-000023570000}"/>
    <cellStyle name="40% - Accent1 2 9 10" xfId="40010" xr:uid="{00000000-0005-0000-0000-000024570000}"/>
    <cellStyle name="40% - Accent1 2 9 11" xfId="45487" xr:uid="{00000000-0005-0000-0000-000025570000}"/>
    <cellStyle name="40% - Accent1 2 9 12" xfId="50965" xr:uid="{00000000-0005-0000-0000-000026570000}"/>
    <cellStyle name="40% - Accent1 2 9 2" xfId="2644" xr:uid="{00000000-0005-0000-0000-000027570000}"/>
    <cellStyle name="40% - Accent1 2 9 2 2" xfId="8124" xr:uid="{00000000-0005-0000-0000-000028570000}"/>
    <cellStyle name="40% - Accent1 2 9 2 3" xfId="13600" xr:uid="{00000000-0005-0000-0000-000029570000}"/>
    <cellStyle name="40% - Accent1 2 9 2 4" xfId="19076" xr:uid="{00000000-0005-0000-0000-00002A570000}"/>
    <cellStyle name="40% - Accent1 2 9 2 5" xfId="24552" xr:uid="{00000000-0005-0000-0000-00002B570000}"/>
    <cellStyle name="40% - Accent1 2 9 2 6" xfId="36348" xr:uid="{00000000-0005-0000-0000-00002C570000}"/>
    <cellStyle name="40% - Accent1 2 9 2 7" xfId="41825" xr:uid="{00000000-0005-0000-0000-00002D570000}"/>
    <cellStyle name="40% - Accent1 2 9 2 8" xfId="47302" xr:uid="{00000000-0005-0000-0000-00002E570000}"/>
    <cellStyle name="40% - Accent1 2 9 2 9" xfId="52820" xr:uid="{00000000-0005-0000-0000-00002F570000}"/>
    <cellStyle name="40% - Accent1 2 9 3" xfId="4416" xr:uid="{00000000-0005-0000-0000-000030570000}"/>
    <cellStyle name="40% - Accent1 2 9 3 2" xfId="9896" xr:uid="{00000000-0005-0000-0000-000031570000}"/>
    <cellStyle name="40% - Accent1 2 9 3 3" xfId="15372" xr:uid="{00000000-0005-0000-0000-000032570000}"/>
    <cellStyle name="40% - Accent1 2 9 3 4" xfId="20848" xr:uid="{00000000-0005-0000-0000-000033570000}"/>
    <cellStyle name="40% - Accent1 2 9 3 5" xfId="26324" xr:uid="{00000000-0005-0000-0000-000034570000}"/>
    <cellStyle name="40% - Accent1 2 9 3 6" xfId="38120" xr:uid="{00000000-0005-0000-0000-000035570000}"/>
    <cellStyle name="40% - Accent1 2 9 3 7" xfId="43597" xr:uid="{00000000-0005-0000-0000-000036570000}"/>
    <cellStyle name="40% - Accent1 2 9 3 8" xfId="49074" xr:uid="{00000000-0005-0000-0000-000037570000}"/>
    <cellStyle name="40% - Accent1 2 9 3 9" xfId="54592" xr:uid="{00000000-0005-0000-0000-000038570000}"/>
    <cellStyle name="40% - Accent1 2 9 4" xfId="6306" xr:uid="{00000000-0005-0000-0000-000039570000}"/>
    <cellStyle name="40% - Accent1 2 9 5" xfId="11786" xr:uid="{00000000-0005-0000-0000-00003A570000}"/>
    <cellStyle name="40% - Accent1 2 9 6" xfId="17262" xr:uid="{00000000-0005-0000-0000-00003B570000}"/>
    <cellStyle name="40% - Accent1 2 9 7" xfId="22738" xr:uid="{00000000-0005-0000-0000-00003C570000}"/>
    <cellStyle name="40% - Accent1 2 9 8" xfId="30407" xr:uid="{00000000-0005-0000-0000-00003D570000}"/>
    <cellStyle name="40% - Accent1 2 9 9" xfId="34533" xr:uid="{00000000-0005-0000-0000-00003E570000}"/>
    <cellStyle name="40% - Accent1 20" xfId="30408" xr:uid="{00000000-0005-0000-0000-00003F570000}"/>
    <cellStyle name="40% - Accent1 20 2" xfId="30409" xr:uid="{00000000-0005-0000-0000-000040570000}"/>
    <cellStyle name="40% - Accent1 20 2 2" xfId="30410" xr:uid="{00000000-0005-0000-0000-000041570000}"/>
    <cellStyle name="40% - Accent1 20 3" xfId="30411" xr:uid="{00000000-0005-0000-0000-000042570000}"/>
    <cellStyle name="40% - Accent1 21" xfId="30412" xr:uid="{00000000-0005-0000-0000-000043570000}"/>
    <cellStyle name="40% - Accent1 21 2" xfId="30413" xr:uid="{00000000-0005-0000-0000-000044570000}"/>
    <cellStyle name="40% - Accent1 22" xfId="30414" xr:uid="{00000000-0005-0000-0000-000045570000}"/>
    <cellStyle name="40% - Accent1 23" xfId="30415" xr:uid="{00000000-0005-0000-0000-000046570000}"/>
    <cellStyle name="40% - Accent1 23 2" xfId="30416" xr:uid="{00000000-0005-0000-0000-000047570000}"/>
    <cellStyle name="40% - Accent1 24" xfId="30417" xr:uid="{00000000-0005-0000-0000-000048570000}"/>
    <cellStyle name="40% - Accent1 24 2" xfId="30418" xr:uid="{00000000-0005-0000-0000-000049570000}"/>
    <cellStyle name="40% - Accent1 25" xfId="30419" xr:uid="{00000000-0005-0000-0000-00004A570000}"/>
    <cellStyle name="40% - Accent1 26" xfId="27556" xr:uid="{00000000-0005-0000-0000-00004B570000}"/>
    <cellStyle name="40% - Accent1 27" xfId="35601" xr:uid="{00000000-0005-0000-0000-00004C570000}"/>
    <cellStyle name="40% - Accent1 28" xfId="41078" xr:uid="{00000000-0005-0000-0000-00004D570000}"/>
    <cellStyle name="40% - Accent1 29" xfId="46555" xr:uid="{00000000-0005-0000-0000-00004E570000}"/>
    <cellStyle name="40% - Accent1 3" xfId="185" xr:uid="{00000000-0005-0000-0000-00004F570000}"/>
    <cellStyle name="40% - Accent1 3 10" xfId="1811" xr:uid="{00000000-0005-0000-0000-000050570000}"/>
    <cellStyle name="40% - Accent1 3 10 10" xfId="45489" xr:uid="{00000000-0005-0000-0000-000051570000}"/>
    <cellStyle name="40% - Accent1 3 10 11" xfId="50967" xr:uid="{00000000-0005-0000-0000-000052570000}"/>
    <cellStyle name="40% - Accent1 3 10 2" xfId="3572" xr:uid="{00000000-0005-0000-0000-000053570000}"/>
    <cellStyle name="40% - Accent1 3 10 2 2" xfId="9052" xr:uid="{00000000-0005-0000-0000-000054570000}"/>
    <cellStyle name="40% - Accent1 3 10 2 3" xfId="14528" xr:uid="{00000000-0005-0000-0000-000055570000}"/>
    <cellStyle name="40% - Accent1 3 10 2 4" xfId="20004" xr:uid="{00000000-0005-0000-0000-000056570000}"/>
    <cellStyle name="40% - Accent1 3 10 2 5" xfId="25480" xr:uid="{00000000-0005-0000-0000-000057570000}"/>
    <cellStyle name="40% - Accent1 3 10 2 6" xfId="37276" xr:uid="{00000000-0005-0000-0000-000058570000}"/>
    <cellStyle name="40% - Accent1 3 10 2 7" xfId="42753" xr:uid="{00000000-0005-0000-0000-000059570000}"/>
    <cellStyle name="40% - Accent1 3 10 2 8" xfId="48230" xr:uid="{00000000-0005-0000-0000-00005A570000}"/>
    <cellStyle name="40% - Accent1 3 10 2 9" xfId="53748" xr:uid="{00000000-0005-0000-0000-00005B570000}"/>
    <cellStyle name="40% - Accent1 3 10 3" xfId="5344" xr:uid="{00000000-0005-0000-0000-00005C570000}"/>
    <cellStyle name="40% - Accent1 3 10 3 2" xfId="10824" xr:uid="{00000000-0005-0000-0000-00005D570000}"/>
    <cellStyle name="40% - Accent1 3 10 3 3" xfId="16300" xr:uid="{00000000-0005-0000-0000-00005E570000}"/>
    <cellStyle name="40% - Accent1 3 10 3 4" xfId="21776" xr:uid="{00000000-0005-0000-0000-00005F570000}"/>
    <cellStyle name="40% - Accent1 3 10 3 5" xfId="27252" xr:uid="{00000000-0005-0000-0000-000060570000}"/>
    <cellStyle name="40% - Accent1 3 10 3 6" xfId="39048" xr:uid="{00000000-0005-0000-0000-000061570000}"/>
    <cellStyle name="40% - Accent1 3 10 3 7" xfId="44525" xr:uid="{00000000-0005-0000-0000-000062570000}"/>
    <cellStyle name="40% - Accent1 3 10 3 8" xfId="50002" xr:uid="{00000000-0005-0000-0000-000063570000}"/>
    <cellStyle name="40% - Accent1 3 10 3 9" xfId="55520" xr:uid="{00000000-0005-0000-0000-000064570000}"/>
    <cellStyle name="40% - Accent1 3 10 4" xfId="6308" xr:uid="{00000000-0005-0000-0000-000065570000}"/>
    <cellStyle name="40% - Accent1 3 10 5" xfId="11788" xr:uid="{00000000-0005-0000-0000-000066570000}"/>
    <cellStyle name="40% - Accent1 3 10 6" xfId="17264" xr:uid="{00000000-0005-0000-0000-000067570000}"/>
    <cellStyle name="40% - Accent1 3 10 7" xfId="22740" xr:uid="{00000000-0005-0000-0000-000068570000}"/>
    <cellStyle name="40% - Accent1 3 10 8" xfId="34535" xr:uid="{00000000-0005-0000-0000-000069570000}"/>
    <cellStyle name="40% - Accent1 3 10 9" xfId="40012" xr:uid="{00000000-0005-0000-0000-00006A570000}"/>
    <cellStyle name="40% - Accent1 3 11" xfId="1975" xr:uid="{00000000-0005-0000-0000-00006B570000}"/>
    <cellStyle name="40% - Accent1 3 11 10" xfId="52152" xr:uid="{00000000-0005-0000-0000-00006C570000}"/>
    <cellStyle name="40% - Accent1 3 11 2" xfId="5507" xr:uid="{00000000-0005-0000-0000-00006D570000}"/>
    <cellStyle name="40% - Accent1 3 11 2 2" xfId="10987" xr:uid="{00000000-0005-0000-0000-00006E570000}"/>
    <cellStyle name="40% - Accent1 3 11 2 3" xfId="16463" xr:uid="{00000000-0005-0000-0000-00006F570000}"/>
    <cellStyle name="40% - Accent1 3 11 2 4" xfId="21939" xr:uid="{00000000-0005-0000-0000-000070570000}"/>
    <cellStyle name="40% - Accent1 3 11 2 5" xfId="27415" xr:uid="{00000000-0005-0000-0000-000071570000}"/>
    <cellStyle name="40% - Accent1 3 11 2 6" xfId="39211" xr:uid="{00000000-0005-0000-0000-000072570000}"/>
    <cellStyle name="40% - Accent1 3 11 2 7" xfId="44688" xr:uid="{00000000-0005-0000-0000-000073570000}"/>
    <cellStyle name="40% - Accent1 3 11 2 8" xfId="50165" xr:uid="{00000000-0005-0000-0000-000074570000}"/>
    <cellStyle name="40% - Accent1 3 11 2 9" xfId="55683" xr:uid="{00000000-0005-0000-0000-000075570000}"/>
    <cellStyle name="40% - Accent1 3 11 3" xfId="7456" xr:uid="{00000000-0005-0000-0000-000076570000}"/>
    <cellStyle name="40% - Accent1 3 11 4" xfId="12932" xr:uid="{00000000-0005-0000-0000-000077570000}"/>
    <cellStyle name="40% - Accent1 3 11 5" xfId="18408" xr:uid="{00000000-0005-0000-0000-000078570000}"/>
    <cellStyle name="40% - Accent1 3 11 6" xfId="23884" xr:uid="{00000000-0005-0000-0000-000079570000}"/>
    <cellStyle name="40% - Accent1 3 11 7" xfId="35680" xr:uid="{00000000-0005-0000-0000-00007A570000}"/>
    <cellStyle name="40% - Accent1 3 11 8" xfId="41157" xr:uid="{00000000-0005-0000-0000-00007B570000}"/>
    <cellStyle name="40% - Accent1 3 11 9" xfId="46634" xr:uid="{00000000-0005-0000-0000-00007C570000}"/>
    <cellStyle name="40% - Accent1 3 12" xfId="3755" xr:uid="{00000000-0005-0000-0000-00007D570000}"/>
    <cellStyle name="40% - Accent1 3 12 2" xfId="9235" xr:uid="{00000000-0005-0000-0000-00007E570000}"/>
    <cellStyle name="40% - Accent1 3 12 3" xfId="14711" xr:uid="{00000000-0005-0000-0000-00007F570000}"/>
    <cellStyle name="40% - Accent1 3 12 4" xfId="20187" xr:uid="{00000000-0005-0000-0000-000080570000}"/>
    <cellStyle name="40% - Accent1 3 12 5" xfId="25663" xr:uid="{00000000-0005-0000-0000-000081570000}"/>
    <cellStyle name="40% - Accent1 3 12 6" xfId="37459" xr:uid="{00000000-0005-0000-0000-000082570000}"/>
    <cellStyle name="40% - Accent1 3 12 7" xfId="42936" xr:uid="{00000000-0005-0000-0000-000083570000}"/>
    <cellStyle name="40% - Accent1 3 12 8" xfId="48413" xr:uid="{00000000-0005-0000-0000-000084570000}"/>
    <cellStyle name="40% - Accent1 3 12 9" xfId="53931" xr:uid="{00000000-0005-0000-0000-000085570000}"/>
    <cellStyle name="40% - Accent1 3 13" xfId="6307" xr:uid="{00000000-0005-0000-0000-000086570000}"/>
    <cellStyle name="40% - Accent1 3 14" xfId="11787" xr:uid="{00000000-0005-0000-0000-000087570000}"/>
    <cellStyle name="40% - Accent1 3 15" xfId="17263" xr:uid="{00000000-0005-0000-0000-000088570000}"/>
    <cellStyle name="40% - Accent1 3 16" xfId="22739" xr:uid="{00000000-0005-0000-0000-000089570000}"/>
    <cellStyle name="40% - Accent1 3 17" xfId="30420" xr:uid="{00000000-0005-0000-0000-00008A570000}"/>
    <cellStyle name="40% - Accent1 3 18" xfId="34534" xr:uid="{00000000-0005-0000-0000-00008B570000}"/>
    <cellStyle name="40% - Accent1 3 19" xfId="40011" xr:uid="{00000000-0005-0000-0000-00008C570000}"/>
    <cellStyle name="40% - Accent1 3 2" xfId="346" xr:uid="{00000000-0005-0000-0000-00008D570000}"/>
    <cellStyle name="40% - Accent1 3 2 10" xfId="40013" xr:uid="{00000000-0005-0000-0000-00008E570000}"/>
    <cellStyle name="40% - Accent1 3 2 11" xfId="45490" xr:uid="{00000000-0005-0000-0000-00008F570000}"/>
    <cellStyle name="40% - Accent1 3 2 12" xfId="50968" xr:uid="{00000000-0005-0000-0000-000090570000}"/>
    <cellStyle name="40% - Accent1 3 2 2" xfId="2142" xr:uid="{00000000-0005-0000-0000-000091570000}"/>
    <cellStyle name="40% - Accent1 3 2 2 10" xfId="52318" xr:uid="{00000000-0005-0000-0000-000092570000}"/>
    <cellStyle name="40% - Accent1 3 2 2 2" xfId="7622" xr:uid="{00000000-0005-0000-0000-000093570000}"/>
    <cellStyle name="40% - Accent1 3 2 2 2 2" xfId="30423" xr:uid="{00000000-0005-0000-0000-000094570000}"/>
    <cellStyle name="40% - Accent1 3 2 2 3" xfId="13098" xr:uid="{00000000-0005-0000-0000-000095570000}"/>
    <cellStyle name="40% - Accent1 3 2 2 4" xfId="18574" xr:uid="{00000000-0005-0000-0000-000096570000}"/>
    <cellStyle name="40% - Accent1 3 2 2 5" xfId="24050" xr:uid="{00000000-0005-0000-0000-000097570000}"/>
    <cellStyle name="40% - Accent1 3 2 2 6" xfId="30422" xr:uid="{00000000-0005-0000-0000-000098570000}"/>
    <cellStyle name="40% - Accent1 3 2 2 7" xfId="35846" xr:uid="{00000000-0005-0000-0000-000099570000}"/>
    <cellStyle name="40% - Accent1 3 2 2 8" xfId="41323" xr:uid="{00000000-0005-0000-0000-00009A570000}"/>
    <cellStyle name="40% - Accent1 3 2 2 9" xfId="46800" xr:uid="{00000000-0005-0000-0000-00009B570000}"/>
    <cellStyle name="40% - Accent1 3 2 3" xfId="3908" xr:uid="{00000000-0005-0000-0000-00009C570000}"/>
    <cellStyle name="40% - Accent1 3 2 3 10" xfId="54084" xr:uid="{00000000-0005-0000-0000-00009D570000}"/>
    <cellStyle name="40% - Accent1 3 2 3 2" xfId="9388" xr:uid="{00000000-0005-0000-0000-00009E570000}"/>
    <cellStyle name="40% - Accent1 3 2 3 3" xfId="14864" xr:uid="{00000000-0005-0000-0000-00009F570000}"/>
    <cellStyle name="40% - Accent1 3 2 3 4" xfId="20340" xr:uid="{00000000-0005-0000-0000-0000A0570000}"/>
    <cellStyle name="40% - Accent1 3 2 3 5" xfId="25816" xr:uid="{00000000-0005-0000-0000-0000A1570000}"/>
    <cellStyle name="40% - Accent1 3 2 3 6" xfId="30424" xr:uid="{00000000-0005-0000-0000-0000A2570000}"/>
    <cellStyle name="40% - Accent1 3 2 3 7" xfId="37612" xr:uid="{00000000-0005-0000-0000-0000A3570000}"/>
    <cellStyle name="40% - Accent1 3 2 3 8" xfId="43089" xr:uid="{00000000-0005-0000-0000-0000A4570000}"/>
    <cellStyle name="40% - Accent1 3 2 3 9" xfId="48566" xr:uid="{00000000-0005-0000-0000-0000A5570000}"/>
    <cellStyle name="40% - Accent1 3 2 4" xfId="6309" xr:uid="{00000000-0005-0000-0000-0000A6570000}"/>
    <cellStyle name="40% - Accent1 3 2 5" xfId="11789" xr:uid="{00000000-0005-0000-0000-0000A7570000}"/>
    <cellStyle name="40% - Accent1 3 2 6" xfId="17265" xr:uid="{00000000-0005-0000-0000-0000A8570000}"/>
    <cellStyle name="40% - Accent1 3 2 7" xfId="22741" xr:uid="{00000000-0005-0000-0000-0000A9570000}"/>
    <cellStyle name="40% - Accent1 3 2 8" xfId="30421" xr:uid="{00000000-0005-0000-0000-0000AA570000}"/>
    <cellStyle name="40% - Accent1 3 2 9" xfId="34536" xr:uid="{00000000-0005-0000-0000-0000AB570000}"/>
    <cellStyle name="40% - Accent1 3 20" xfId="45488" xr:uid="{00000000-0005-0000-0000-0000AC570000}"/>
    <cellStyle name="40% - Accent1 3 21" xfId="50966" xr:uid="{00000000-0005-0000-0000-0000AD570000}"/>
    <cellStyle name="40% - Accent1 3 3" xfId="547" xr:uid="{00000000-0005-0000-0000-0000AE570000}"/>
    <cellStyle name="40% - Accent1 3 3 10" xfId="40014" xr:uid="{00000000-0005-0000-0000-0000AF570000}"/>
    <cellStyle name="40% - Accent1 3 3 11" xfId="45491" xr:uid="{00000000-0005-0000-0000-0000B0570000}"/>
    <cellStyle name="40% - Accent1 3 3 12" xfId="50969" xr:uid="{00000000-0005-0000-0000-0000B1570000}"/>
    <cellStyle name="40% - Accent1 3 3 2" xfId="2308" xr:uid="{00000000-0005-0000-0000-0000B2570000}"/>
    <cellStyle name="40% - Accent1 3 3 2 10" xfId="52484" xr:uid="{00000000-0005-0000-0000-0000B3570000}"/>
    <cellStyle name="40% - Accent1 3 3 2 2" xfId="7788" xr:uid="{00000000-0005-0000-0000-0000B4570000}"/>
    <cellStyle name="40% - Accent1 3 3 2 2 2" xfId="30427" xr:uid="{00000000-0005-0000-0000-0000B5570000}"/>
    <cellStyle name="40% - Accent1 3 3 2 3" xfId="13264" xr:uid="{00000000-0005-0000-0000-0000B6570000}"/>
    <cellStyle name="40% - Accent1 3 3 2 4" xfId="18740" xr:uid="{00000000-0005-0000-0000-0000B7570000}"/>
    <cellStyle name="40% - Accent1 3 3 2 5" xfId="24216" xr:uid="{00000000-0005-0000-0000-0000B8570000}"/>
    <cellStyle name="40% - Accent1 3 3 2 6" xfId="30426" xr:uid="{00000000-0005-0000-0000-0000B9570000}"/>
    <cellStyle name="40% - Accent1 3 3 2 7" xfId="36012" xr:uid="{00000000-0005-0000-0000-0000BA570000}"/>
    <cellStyle name="40% - Accent1 3 3 2 8" xfId="41489" xr:uid="{00000000-0005-0000-0000-0000BB570000}"/>
    <cellStyle name="40% - Accent1 3 3 2 9" xfId="46966" xr:uid="{00000000-0005-0000-0000-0000BC570000}"/>
    <cellStyle name="40% - Accent1 3 3 3" xfId="4080" xr:uid="{00000000-0005-0000-0000-0000BD570000}"/>
    <cellStyle name="40% - Accent1 3 3 3 10" xfId="54256" xr:uid="{00000000-0005-0000-0000-0000BE570000}"/>
    <cellStyle name="40% - Accent1 3 3 3 2" xfId="9560" xr:uid="{00000000-0005-0000-0000-0000BF570000}"/>
    <cellStyle name="40% - Accent1 3 3 3 3" xfId="15036" xr:uid="{00000000-0005-0000-0000-0000C0570000}"/>
    <cellStyle name="40% - Accent1 3 3 3 4" xfId="20512" xr:uid="{00000000-0005-0000-0000-0000C1570000}"/>
    <cellStyle name="40% - Accent1 3 3 3 5" xfId="25988" xr:uid="{00000000-0005-0000-0000-0000C2570000}"/>
    <cellStyle name="40% - Accent1 3 3 3 6" xfId="30428" xr:uid="{00000000-0005-0000-0000-0000C3570000}"/>
    <cellStyle name="40% - Accent1 3 3 3 7" xfId="37784" xr:uid="{00000000-0005-0000-0000-0000C4570000}"/>
    <cellStyle name="40% - Accent1 3 3 3 8" xfId="43261" xr:uid="{00000000-0005-0000-0000-0000C5570000}"/>
    <cellStyle name="40% - Accent1 3 3 3 9" xfId="48738" xr:uid="{00000000-0005-0000-0000-0000C6570000}"/>
    <cellStyle name="40% - Accent1 3 3 4" xfId="6310" xr:uid="{00000000-0005-0000-0000-0000C7570000}"/>
    <cellStyle name="40% - Accent1 3 3 5" xfId="11790" xr:uid="{00000000-0005-0000-0000-0000C8570000}"/>
    <cellStyle name="40% - Accent1 3 3 6" xfId="17266" xr:uid="{00000000-0005-0000-0000-0000C9570000}"/>
    <cellStyle name="40% - Accent1 3 3 7" xfId="22742" xr:uid="{00000000-0005-0000-0000-0000CA570000}"/>
    <cellStyle name="40% - Accent1 3 3 8" xfId="30425" xr:uid="{00000000-0005-0000-0000-0000CB570000}"/>
    <cellStyle name="40% - Accent1 3 3 9" xfId="34537" xr:uid="{00000000-0005-0000-0000-0000CC570000}"/>
    <cellStyle name="40% - Accent1 3 4" xfId="719" xr:uid="{00000000-0005-0000-0000-0000CD570000}"/>
    <cellStyle name="40% - Accent1 3 4 10" xfId="40015" xr:uid="{00000000-0005-0000-0000-0000CE570000}"/>
    <cellStyle name="40% - Accent1 3 4 11" xfId="45492" xr:uid="{00000000-0005-0000-0000-0000CF570000}"/>
    <cellStyle name="40% - Accent1 3 4 12" xfId="50970" xr:uid="{00000000-0005-0000-0000-0000D0570000}"/>
    <cellStyle name="40% - Accent1 3 4 2" xfId="2480" xr:uid="{00000000-0005-0000-0000-0000D1570000}"/>
    <cellStyle name="40% - Accent1 3 4 2 10" xfId="52656" xr:uid="{00000000-0005-0000-0000-0000D2570000}"/>
    <cellStyle name="40% - Accent1 3 4 2 2" xfId="7960" xr:uid="{00000000-0005-0000-0000-0000D3570000}"/>
    <cellStyle name="40% - Accent1 3 4 2 2 2" xfId="30431" xr:uid="{00000000-0005-0000-0000-0000D4570000}"/>
    <cellStyle name="40% - Accent1 3 4 2 3" xfId="13436" xr:uid="{00000000-0005-0000-0000-0000D5570000}"/>
    <cellStyle name="40% - Accent1 3 4 2 4" xfId="18912" xr:uid="{00000000-0005-0000-0000-0000D6570000}"/>
    <cellStyle name="40% - Accent1 3 4 2 5" xfId="24388" xr:uid="{00000000-0005-0000-0000-0000D7570000}"/>
    <cellStyle name="40% - Accent1 3 4 2 6" xfId="30430" xr:uid="{00000000-0005-0000-0000-0000D8570000}"/>
    <cellStyle name="40% - Accent1 3 4 2 7" xfId="36184" xr:uid="{00000000-0005-0000-0000-0000D9570000}"/>
    <cellStyle name="40% - Accent1 3 4 2 8" xfId="41661" xr:uid="{00000000-0005-0000-0000-0000DA570000}"/>
    <cellStyle name="40% - Accent1 3 4 2 9" xfId="47138" xr:uid="{00000000-0005-0000-0000-0000DB570000}"/>
    <cellStyle name="40% - Accent1 3 4 3" xfId="4252" xr:uid="{00000000-0005-0000-0000-0000DC570000}"/>
    <cellStyle name="40% - Accent1 3 4 3 10" xfId="54428" xr:uid="{00000000-0005-0000-0000-0000DD570000}"/>
    <cellStyle name="40% - Accent1 3 4 3 2" xfId="9732" xr:uid="{00000000-0005-0000-0000-0000DE570000}"/>
    <cellStyle name="40% - Accent1 3 4 3 3" xfId="15208" xr:uid="{00000000-0005-0000-0000-0000DF570000}"/>
    <cellStyle name="40% - Accent1 3 4 3 4" xfId="20684" xr:uid="{00000000-0005-0000-0000-0000E0570000}"/>
    <cellStyle name="40% - Accent1 3 4 3 5" xfId="26160" xr:uid="{00000000-0005-0000-0000-0000E1570000}"/>
    <cellStyle name="40% - Accent1 3 4 3 6" xfId="30432" xr:uid="{00000000-0005-0000-0000-0000E2570000}"/>
    <cellStyle name="40% - Accent1 3 4 3 7" xfId="37956" xr:uid="{00000000-0005-0000-0000-0000E3570000}"/>
    <cellStyle name="40% - Accent1 3 4 3 8" xfId="43433" xr:uid="{00000000-0005-0000-0000-0000E4570000}"/>
    <cellStyle name="40% - Accent1 3 4 3 9" xfId="48910" xr:uid="{00000000-0005-0000-0000-0000E5570000}"/>
    <cellStyle name="40% - Accent1 3 4 4" xfId="6311" xr:uid="{00000000-0005-0000-0000-0000E6570000}"/>
    <cellStyle name="40% - Accent1 3 4 5" xfId="11791" xr:uid="{00000000-0005-0000-0000-0000E7570000}"/>
    <cellStyle name="40% - Accent1 3 4 6" xfId="17267" xr:uid="{00000000-0005-0000-0000-0000E8570000}"/>
    <cellStyle name="40% - Accent1 3 4 7" xfId="22743" xr:uid="{00000000-0005-0000-0000-0000E9570000}"/>
    <cellStyle name="40% - Accent1 3 4 8" xfId="30429" xr:uid="{00000000-0005-0000-0000-0000EA570000}"/>
    <cellStyle name="40% - Accent1 3 4 9" xfId="34538" xr:uid="{00000000-0005-0000-0000-0000EB570000}"/>
    <cellStyle name="40% - Accent1 3 5" xfId="891" xr:uid="{00000000-0005-0000-0000-0000EC570000}"/>
    <cellStyle name="40% - Accent1 3 5 10" xfId="40016" xr:uid="{00000000-0005-0000-0000-0000ED570000}"/>
    <cellStyle name="40% - Accent1 3 5 11" xfId="45493" xr:uid="{00000000-0005-0000-0000-0000EE570000}"/>
    <cellStyle name="40% - Accent1 3 5 12" xfId="50971" xr:uid="{00000000-0005-0000-0000-0000EF570000}"/>
    <cellStyle name="40% - Accent1 3 5 2" xfId="2652" xr:uid="{00000000-0005-0000-0000-0000F0570000}"/>
    <cellStyle name="40% - Accent1 3 5 2 10" xfId="52828" xr:uid="{00000000-0005-0000-0000-0000F1570000}"/>
    <cellStyle name="40% - Accent1 3 5 2 2" xfId="8132" xr:uid="{00000000-0005-0000-0000-0000F2570000}"/>
    <cellStyle name="40% - Accent1 3 5 2 2 2" xfId="30435" xr:uid="{00000000-0005-0000-0000-0000F3570000}"/>
    <cellStyle name="40% - Accent1 3 5 2 3" xfId="13608" xr:uid="{00000000-0005-0000-0000-0000F4570000}"/>
    <cellStyle name="40% - Accent1 3 5 2 4" xfId="19084" xr:uid="{00000000-0005-0000-0000-0000F5570000}"/>
    <cellStyle name="40% - Accent1 3 5 2 5" xfId="24560" xr:uid="{00000000-0005-0000-0000-0000F6570000}"/>
    <cellStyle name="40% - Accent1 3 5 2 6" xfId="30434" xr:uid="{00000000-0005-0000-0000-0000F7570000}"/>
    <cellStyle name="40% - Accent1 3 5 2 7" xfId="36356" xr:uid="{00000000-0005-0000-0000-0000F8570000}"/>
    <cellStyle name="40% - Accent1 3 5 2 8" xfId="41833" xr:uid="{00000000-0005-0000-0000-0000F9570000}"/>
    <cellStyle name="40% - Accent1 3 5 2 9" xfId="47310" xr:uid="{00000000-0005-0000-0000-0000FA570000}"/>
    <cellStyle name="40% - Accent1 3 5 3" xfId="4424" xr:uid="{00000000-0005-0000-0000-0000FB570000}"/>
    <cellStyle name="40% - Accent1 3 5 3 10" xfId="54600" xr:uid="{00000000-0005-0000-0000-0000FC570000}"/>
    <cellStyle name="40% - Accent1 3 5 3 2" xfId="9904" xr:uid="{00000000-0005-0000-0000-0000FD570000}"/>
    <cellStyle name="40% - Accent1 3 5 3 3" xfId="15380" xr:uid="{00000000-0005-0000-0000-0000FE570000}"/>
    <cellStyle name="40% - Accent1 3 5 3 4" xfId="20856" xr:uid="{00000000-0005-0000-0000-0000FF570000}"/>
    <cellStyle name="40% - Accent1 3 5 3 5" xfId="26332" xr:uid="{00000000-0005-0000-0000-000000580000}"/>
    <cellStyle name="40% - Accent1 3 5 3 6" xfId="30436" xr:uid="{00000000-0005-0000-0000-000001580000}"/>
    <cellStyle name="40% - Accent1 3 5 3 7" xfId="38128" xr:uid="{00000000-0005-0000-0000-000002580000}"/>
    <cellStyle name="40% - Accent1 3 5 3 8" xfId="43605" xr:uid="{00000000-0005-0000-0000-000003580000}"/>
    <cellStyle name="40% - Accent1 3 5 3 9" xfId="49082" xr:uid="{00000000-0005-0000-0000-000004580000}"/>
    <cellStyle name="40% - Accent1 3 5 4" xfId="6312" xr:uid="{00000000-0005-0000-0000-000005580000}"/>
    <cellStyle name="40% - Accent1 3 5 5" xfId="11792" xr:uid="{00000000-0005-0000-0000-000006580000}"/>
    <cellStyle name="40% - Accent1 3 5 6" xfId="17268" xr:uid="{00000000-0005-0000-0000-000007580000}"/>
    <cellStyle name="40% - Accent1 3 5 7" xfId="22744" xr:uid="{00000000-0005-0000-0000-000008580000}"/>
    <cellStyle name="40% - Accent1 3 5 8" xfId="30433" xr:uid="{00000000-0005-0000-0000-000009580000}"/>
    <cellStyle name="40% - Accent1 3 5 9" xfId="34539" xr:uid="{00000000-0005-0000-0000-00000A580000}"/>
    <cellStyle name="40% - Accent1 3 6" xfId="1097" xr:uid="{00000000-0005-0000-0000-00000B580000}"/>
    <cellStyle name="40% - Accent1 3 6 10" xfId="40017" xr:uid="{00000000-0005-0000-0000-00000C580000}"/>
    <cellStyle name="40% - Accent1 3 6 11" xfId="45494" xr:uid="{00000000-0005-0000-0000-00000D580000}"/>
    <cellStyle name="40% - Accent1 3 6 12" xfId="50972" xr:uid="{00000000-0005-0000-0000-00000E580000}"/>
    <cellStyle name="40% - Accent1 3 6 2" xfId="2858" xr:uid="{00000000-0005-0000-0000-00000F580000}"/>
    <cellStyle name="40% - Accent1 3 6 2 10" xfId="53034" xr:uid="{00000000-0005-0000-0000-000010580000}"/>
    <cellStyle name="40% - Accent1 3 6 2 2" xfId="8338" xr:uid="{00000000-0005-0000-0000-000011580000}"/>
    <cellStyle name="40% - Accent1 3 6 2 2 2" xfId="30439" xr:uid="{00000000-0005-0000-0000-000012580000}"/>
    <cellStyle name="40% - Accent1 3 6 2 3" xfId="13814" xr:uid="{00000000-0005-0000-0000-000013580000}"/>
    <cellStyle name="40% - Accent1 3 6 2 4" xfId="19290" xr:uid="{00000000-0005-0000-0000-000014580000}"/>
    <cellStyle name="40% - Accent1 3 6 2 5" xfId="24766" xr:uid="{00000000-0005-0000-0000-000015580000}"/>
    <cellStyle name="40% - Accent1 3 6 2 6" xfId="30438" xr:uid="{00000000-0005-0000-0000-000016580000}"/>
    <cellStyle name="40% - Accent1 3 6 2 7" xfId="36562" xr:uid="{00000000-0005-0000-0000-000017580000}"/>
    <cellStyle name="40% - Accent1 3 6 2 8" xfId="42039" xr:uid="{00000000-0005-0000-0000-000018580000}"/>
    <cellStyle name="40% - Accent1 3 6 2 9" xfId="47516" xr:uid="{00000000-0005-0000-0000-000019580000}"/>
    <cellStyle name="40% - Accent1 3 6 3" xfId="4630" xr:uid="{00000000-0005-0000-0000-00001A580000}"/>
    <cellStyle name="40% - Accent1 3 6 3 10" xfId="54806" xr:uid="{00000000-0005-0000-0000-00001B580000}"/>
    <cellStyle name="40% - Accent1 3 6 3 2" xfId="10110" xr:uid="{00000000-0005-0000-0000-00001C580000}"/>
    <cellStyle name="40% - Accent1 3 6 3 3" xfId="15586" xr:uid="{00000000-0005-0000-0000-00001D580000}"/>
    <cellStyle name="40% - Accent1 3 6 3 4" xfId="21062" xr:uid="{00000000-0005-0000-0000-00001E580000}"/>
    <cellStyle name="40% - Accent1 3 6 3 5" xfId="26538" xr:uid="{00000000-0005-0000-0000-00001F580000}"/>
    <cellStyle name="40% - Accent1 3 6 3 6" xfId="30440" xr:uid="{00000000-0005-0000-0000-000020580000}"/>
    <cellStyle name="40% - Accent1 3 6 3 7" xfId="38334" xr:uid="{00000000-0005-0000-0000-000021580000}"/>
    <cellStyle name="40% - Accent1 3 6 3 8" xfId="43811" xr:uid="{00000000-0005-0000-0000-000022580000}"/>
    <cellStyle name="40% - Accent1 3 6 3 9" xfId="49288" xr:uid="{00000000-0005-0000-0000-000023580000}"/>
    <cellStyle name="40% - Accent1 3 6 4" xfId="6313" xr:uid="{00000000-0005-0000-0000-000024580000}"/>
    <cellStyle name="40% - Accent1 3 6 5" xfId="11793" xr:uid="{00000000-0005-0000-0000-000025580000}"/>
    <cellStyle name="40% - Accent1 3 6 6" xfId="17269" xr:uid="{00000000-0005-0000-0000-000026580000}"/>
    <cellStyle name="40% - Accent1 3 6 7" xfId="22745" xr:uid="{00000000-0005-0000-0000-000027580000}"/>
    <cellStyle name="40% - Accent1 3 6 8" xfId="30437" xr:uid="{00000000-0005-0000-0000-000028580000}"/>
    <cellStyle name="40% - Accent1 3 6 9" xfId="34540" xr:uid="{00000000-0005-0000-0000-000029580000}"/>
    <cellStyle name="40% - Accent1 3 7" xfId="1269" xr:uid="{00000000-0005-0000-0000-00002A580000}"/>
    <cellStyle name="40% - Accent1 3 7 10" xfId="40018" xr:uid="{00000000-0005-0000-0000-00002B580000}"/>
    <cellStyle name="40% - Accent1 3 7 11" xfId="45495" xr:uid="{00000000-0005-0000-0000-00002C580000}"/>
    <cellStyle name="40% - Accent1 3 7 12" xfId="50973" xr:uid="{00000000-0005-0000-0000-00002D580000}"/>
    <cellStyle name="40% - Accent1 3 7 2" xfId="3030" xr:uid="{00000000-0005-0000-0000-00002E580000}"/>
    <cellStyle name="40% - Accent1 3 7 2 10" xfId="53206" xr:uid="{00000000-0005-0000-0000-00002F580000}"/>
    <cellStyle name="40% - Accent1 3 7 2 2" xfId="8510" xr:uid="{00000000-0005-0000-0000-000030580000}"/>
    <cellStyle name="40% - Accent1 3 7 2 2 2" xfId="30443" xr:uid="{00000000-0005-0000-0000-000031580000}"/>
    <cellStyle name="40% - Accent1 3 7 2 3" xfId="13986" xr:uid="{00000000-0005-0000-0000-000032580000}"/>
    <cellStyle name="40% - Accent1 3 7 2 4" xfId="19462" xr:uid="{00000000-0005-0000-0000-000033580000}"/>
    <cellStyle name="40% - Accent1 3 7 2 5" xfId="24938" xr:uid="{00000000-0005-0000-0000-000034580000}"/>
    <cellStyle name="40% - Accent1 3 7 2 6" xfId="30442" xr:uid="{00000000-0005-0000-0000-000035580000}"/>
    <cellStyle name="40% - Accent1 3 7 2 7" xfId="36734" xr:uid="{00000000-0005-0000-0000-000036580000}"/>
    <cellStyle name="40% - Accent1 3 7 2 8" xfId="42211" xr:uid="{00000000-0005-0000-0000-000037580000}"/>
    <cellStyle name="40% - Accent1 3 7 2 9" xfId="47688" xr:uid="{00000000-0005-0000-0000-000038580000}"/>
    <cellStyle name="40% - Accent1 3 7 3" xfId="4802" xr:uid="{00000000-0005-0000-0000-000039580000}"/>
    <cellStyle name="40% - Accent1 3 7 3 10" xfId="54978" xr:uid="{00000000-0005-0000-0000-00003A580000}"/>
    <cellStyle name="40% - Accent1 3 7 3 2" xfId="10282" xr:uid="{00000000-0005-0000-0000-00003B580000}"/>
    <cellStyle name="40% - Accent1 3 7 3 3" xfId="15758" xr:uid="{00000000-0005-0000-0000-00003C580000}"/>
    <cellStyle name="40% - Accent1 3 7 3 4" xfId="21234" xr:uid="{00000000-0005-0000-0000-00003D580000}"/>
    <cellStyle name="40% - Accent1 3 7 3 5" xfId="26710" xr:uid="{00000000-0005-0000-0000-00003E580000}"/>
    <cellStyle name="40% - Accent1 3 7 3 6" xfId="30444" xr:uid="{00000000-0005-0000-0000-00003F580000}"/>
    <cellStyle name="40% - Accent1 3 7 3 7" xfId="38506" xr:uid="{00000000-0005-0000-0000-000040580000}"/>
    <cellStyle name="40% - Accent1 3 7 3 8" xfId="43983" xr:uid="{00000000-0005-0000-0000-000041580000}"/>
    <cellStyle name="40% - Accent1 3 7 3 9" xfId="49460" xr:uid="{00000000-0005-0000-0000-000042580000}"/>
    <cellStyle name="40% - Accent1 3 7 4" xfId="6314" xr:uid="{00000000-0005-0000-0000-000043580000}"/>
    <cellStyle name="40% - Accent1 3 7 5" xfId="11794" xr:uid="{00000000-0005-0000-0000-000044580000}"/>
    <cellStyle name="40% - Accent1 3 7 6" xfId="17270" xr:uid="{00000000-0005-0000-0000-000045580000}"/>
    <cellStyle name="40% - Accent1 3 7 7" xfId="22746" xr:uid="{00000000-0005-0000-0000-000046580000}"/>
    <cellStyle name="40% - Accent1 3 7 8" xfId="30441" xr:uid="{00000000-0005-0000-0000-000047580000}"/>
    <cellStyle name="40% - Accent1 3 7 9" xfId="34541" xr:uid="{00000000-0005-0000-0000-000048580000}"/>
    <cellStyle name="40% - Accent1 3 8" xfId="1441" xr:uid="{00000000-0005-0000-0000-000049580000}"/>
    <cellStyle name="40% - Accent1 3 8 10" xfId="40019" xr:uid="{00000000-0005-0000-0000-00004A580000}"/>
    <cellStyle name="40% - Accent1 3 8 11" xfId="45496" xr:uid="{00000000-0005-0000-0000-00004B580000}"/>
    <cellStyle name="40% - Accent1 3 8 12" xfId="50974" xr:uid="{00000000-0005-0000-0000-00004C580000}"/>
    <cellStyle name="40% - Accent1 3 8 2" xfId="3202" xr:uid="{00000000-0005-0000-0000-00004D580000}"/>
    <cellStyle name="40% - Accent1 3 8 2 10" xfId="53378" xr:uid="{00000000-0005-0000-0000-00004E580000}"/>
    <cellStyle name="40% - Accent1 3 8 2 2" xfId="8682" xr:uid="{00000000-0005-0000-0000-00004F580000}"/>
    <cellStyle name="40% - Accent1 3 8 2 3" xfId="14158" xr:uid="{00000000-0005-0000-0000-000050580000}"/>
    <cellStyle name="40% - Accent1 3 8 2 4" xfId="19634" xr:uid="{00000000-0005-0000-0000-000051580000}"/>
    <cellStyle name="40% - Accent1 3 8 2 5" xfId="25110" xr:uid="{00000000-0005-0000-0000-000052580000}"/>
    <cellStyle name="40% - Accent1 3 8 2 6" xfId="30446" xr:uid="{00000000-0005-0000-0000-000053580000}"/>
    <cellStyle name="40% - Accent1 3 8 2 7" xfId="36906" xr:uid="{00000000-0005-0000-0000-000054580000}"/>
    <cellStyle name="40% - Accent1 3 8 2 8" xfId="42383" xr:uid="{00000000-0005-0000-0000-000055580000}"/>
    <cellStyle name="40% - Accent1 3 8 2 9" xfId="47860" xr:uid="{00000000-0005-0000-0000-000056580000}"/>
    <cellStyle name="40% - Accent1 3 8 3" xfId="4974" xr:uid="{00000000-0005-0000-0000-000057580000}"/>
    <cellStyle name="40% - Accent1 3 8 3 2" xfId="10454" xr:uid="{00000000-0005-0000-0000-000058580000}"/>
    <cellStyle name="40% - Accent1 3 8 3 3" xfId="15930" xr:uid="{00000000-0005-0000-0000-000059580000}"/>
    <cellStyle name="40% - Accent1 3 8 3 4" xfId="21406" xr:uid="{00000000-0005-0000-0000-00005A580000}"/>
    <cellStyle name="40% - Accent1 3 8 3 5" xfId="26882" xr:uid="{00000000-0005-0000-0000-00005B580000}"/>
    <cellStyle name="40% - Accent1 3 8 3 6" xfId="38678" xr:uid="{00000000-0005-0000-0000-00005C580000}"/>
    <cellStyle name="40% - Accent1 3 8 3 7" xfId="44155" xr:uid="{00000000-0005-0000-0000-00005D580000}"/>
    <cellStyle name="40% - Accent1 3 8 3 8" xfId="49632" xr:uid="{00000000-0005-0000-0000-00005E580000}"/>
    <cellStyle name="40% - Accent1 3 8 3 9" xfId="55150" xr:uid="{00000000-0005-0000-0000-00005F580000}"/>
    <cellStyle name="40% - Accent1 3 8 4" xfId="6315" xr:uid="{00000000-0005-0000-0000-000060580000}"/>
    <cellStyle name="40% - Accent1 3 8 5" xfId="11795" xr:uid="{00000000-0005-0000-0000-000061580000}"/>
    <cellStyle name="40% - Accent1 3 8 6" xfId="17271" xr:uid="{00000000-0005-0000-0000-000062580000}"/>
    <cellStyle name="40% - Accent1 3 8 7" xfId="22747" xr:uid="{00000000-0005-0000-0000-000063580000}"/>
    <cellStyle name="40% - Accent1 3 8 8" xfId="30445" xr:uid="{00000000-0005-0000-0000-000064580000}"/>
    <cellStyle name="40% - Accent1 3 8 9" xfId="34542" xr:uid="{00000000-0005-0000-0000-000065580000}"/>
    <cellStyle name="40% - Accent1 3 9" xfId="1613" xr:uid="{00000000-0005-0000-0000-000066580000}"/>
    <cellStyle name="40% - Accent1 3 9 10" xfId="40020" xr:uid="{00000000-0005-0000-0000-000067580000}"/>
    <cellStyle name="40% - Accent1 3 9 11" xfId="45497" xr:uid="{00000000-0005-0000-0000-000068580000}"/>
    <cellStyle name="40% - Accent1 3 9 12" xfId="50975" xr:uid="{00000000-0005-0000-0000-000069580000}"/>
    <cellStyle name="40% - Accent1 3 9 2" xfId="3374" xr:uid="{00000000-0005-0000-0000-00006A580000}"/>
    <cellStyle name="40% - Accent1 3 9 2 2" xfId="8854" xr:uid="{00000000-0005-0000-0000-00006B580000}"/>
    <cellStyle name="40% - Accent1 3 9 2 3" xfId="14330" xr:uid="{00000000-0005-0000-0000-00006C580000}"/>
    <cellStyle name="40% - Accent1 3 9 2 4" xfId="19806" xr:uid="{00000000-0005-0000-0000-00006D580000}"/>
    <cellStyle name="40% - Accent1 3 9 2 5" xfId="25282" xr:uid="{00000000-0005-0000-0000-00006E580000}"/>
    <cellStyle name="40% - Accent1 3 9 2 6" xfId="37078" xr:uid="{00000000-0005-0000-0000-00006F580000}"/>
    <cellStyle name="40% - Accent1 3 9 2 7" xfId="42555" xr:uid="{00000000-0005-0000-0000-000070580000}"/>
    <cellStyle name="40% - Accent1 3 9 2 8" xfId="48032" xr:uid="{00000000-0005-0000-0000-000071580000}"/>
    <cellStyle name="40% - Accent1 3 9 2 9" xfId="53550" xr:uid="{00000000-0005-0000-0000-000072580000}"/>
    <cellStyle name="40% - Accent1 3 9 3" xfId="5146" xr:uid="{00000000-0005-0000-0000-000073580000}"/>
    <cellStyle name="40% - Accent1 3 9 3 2" xfId="10626" xr:uid="{00000000-0005-0000-0000-000074580000}"/>
    <cellStyle name="40% - Accent1 3 9 3 3" xfId="16102" xr:uid="{00000000-0005-0000-0000-000075580000}"/>
    <cellStyle name="40% - Accent1 3 9 3 4" xfId="21578" xr:uid="{00000000-0005-0000-0000-000076580000}"/>
    <cellStyle name="40% - Accent1 3 9 3 5" xfId="27054" xr:uid="{00000000-0005-0000-0000-000077580000}"/>
    <cellStyle name="40% - Accent1 3 9 3 6" xfId="38850" xr:uid="{00000000-0005-0000-0000-000078580000}"/>
    <cellStyle name="40% - Accent1 3 9 3 7" xfId="44327" xr:uid="{00000000-0005-0000-0000-000079580000}"/>
    <cellStyle name="40% - Accent1 3 9 3 8" xfId="49804" xr:uid="{00000000-0005-0000-0000-00007A580000}"/>
    <cellStyle name="40% - Accent1 3 9 3 9" xfId="55322" xr:uid="{00000000-0005-0000-0000-00007B580000}"/>
    <cellStyle name="40% - Accent1 3 9 4" xfId="6316" xr:uid="{00000000-0005-0000-0000-00007C580000}"/>
    <cellStyle name="40% - Accent1 3 9 5" xfId="11796" xr:uid="{00000000-0005-0000-0000-00007D580000}"/>
    <cellStyle name="40% - Accent1 3 9 6" xfId="17272" xr:uid="{00000000-0005-0000-0000-00007E580000}"/>
    <cellStyle name="40% - Accent1 3 9 7" xfId="22748" xr:uid="{00000000-0005-0000-0000-00007F580000}"/>
    <cellStyle name="40% - Accent1 3 9 8" xfId="30447" xr:uid="{00000000-0005-0000-0000-000080580000}"/>
    <cellStyle name="40% - Accent1 3 9 9" xfId="34543" xr:uid="{00000000-0005-0000-0000-000081580000}"/>
    <cellStyle name="40% - Accent1 4" xfId="347" xr:uid="{00000000-0005-0000-0000-000082580000}"/>
    <cellStyle name="40% - Accent1 4 10" xfId="1976" xr:uid="{00000000-0005-0000-0000-000083580000}"/>
    <cellStyle name="40% - Accent1 4 10 10" xfId="52153" xr:uid="{00000000-0005-0000-0000-000084580000}"/>
    <cellStyle name="40% - Accent1 4 10 2" xfId="5508" xr:uid="{00000000-0005-0000-0000-000085580000}"/>
    <cellStyle name="40% - Accent1 4 10 2 2" xfId="10988" xr:uid="{00000000-0005-0000-0000-000086580000}"/>
    <cellStyle name="40% - Accent1 4 10 2 3" xfId="16464" xr:uid="{00000000-0005-0000-0000-000087580000}"/>
    <cellStyle name="40% - Accent1 4 10 2 4" xfId="21940" xr:uid="{00000000-0005-0000-0000-000088580000}"/>
    <cellStyle name="40% - Accent1 4 10 2 5" xfId="27416" xr:uid="{00000000-0005-0000-0000-000089580000}"/>
    <cellStyle name="40% - Accent1 4 10 2 6" xfId="39212" xr:uid="{00000000-0005-0000-0000-00008A580000}"/>
    <cellStyle name="40% - Accent1 4 10 2 7" xfId="44689" xr:uid="{00000000-0005-0000-0000-00008B580000}"/>
    <cellStyle name="40% - Accent1 4 10 2 8" xfId="50166" xr:uid="{00000000-0005-0000-0000-00008C580000}"/>
    <cellStyle name="40% - Accent1 4 10 2 9" xfId="55684" xr:uid="{00000000-0005-0000-0000-00008D580000}"/>
    <cellStyle name="40% - Accent1 4 10 3" xfId="7457" xr:uid="{00000000-0005-0000-0000-00008E580000}"/>
    <cellStyle name="40% - Accent1 4 10 4" xfId="12933" xr:uid="{00000000-0005-0000-0000-00008F580000}"/>
    <cellStyle name="40% - Accent1 4 10 5" xfId="18409" xr:uid="{00000000-0005-0000-0000-000090580000}"/>
    <cellStyle name="40% - Accent1 4 10 6" xfId="23885" xr:uid="{00000000-0005-0000-0000-000091580000}"/>
    <cellStyle name="40% - Accent1 4 10 7" xfId="35681" xr:uid="{00000000-0005-0000-0000-000092580000}"/>
    <cellStyle name="40% - Accent1 4 10 8" xfId="41158" xr:uid="{00000000-0005-0000-0000-000093580000}"/>
    <cellStyle name="40% - Accent1 4 10 9" xfId="46635" xr:uid="{00000000-0005-0000-0000-000094580000}"/>
    <cellStyle name="40% - Accent1 4 11" xfId="3909" xr:uid="{00000000-0005-0000-0000-000095580000}"/>
    <cellStyle name="40% - Accent1 4 11 2" xfId="9389" xr:uid="{00000000-0005-0000-0000-000096580000}"/>
    <cellStyle name="40% - Accent1 4 11 3" xfId="14865" xr:uid="{00000000-0005-0000-0000-000097580000}"/>
    <cellStyle name="40% - Accent1 4 11 4" xfId="20341" xr:uid="{00000000-0005-0000-0000-000098580000}"/>
    <cellStyle name="40% - Accent1 4 11 5" xfId="25817" xr:uid="{00000000-0005-0000-0000-000099580000}"/>
    <cellStyle name="40% - Accent1 4 11 6" xfId="37613" xr:uid="{00000000-0005-0000-0000-00009A580000}"/>
    <cellStyle name="40% - Accent1 4 11 7" xfId="43090" xr:uid="{00000000-0005-0000-0000-00009B580000}"/>
    <cellStyle name="40% - Accent1 4 11 8" xfId="48567" xr:uid="{00000000-0005-0000-0000-00009C580000}"/>
    <cellStyle name="40% - Accent1 4 11 9" xfId="54085" xr:uid="{00000000-0005-0000-0000-00009D580000}"/>
    <cellStyle name="40% - Accent1 4 12" xfId="6317" xr:uid="{00000000-0005-0000-0000-00009E580000}"/>
    <cellStyle name="40% - Accent1 4 13" xfId="11797" xr:uid="{00000000-0005-0000-0000-00009F580000}"/>
    <cellStyle name="40% - Accent1 4 14" xfId="17273" xr:uid="{00000000-0005-0000-0000-0000A0580000}"/>
    <cellStyle name="40% - Accent1 4 15" xfId="22749" xr:uid="{00000000-0005-0000-0000-0000A1580000}"/>
    <cellStyle name="40% - Accent1 4 16" xfId="30448" xr:uid="{00000000-0005-0000-0000-0000A2580000}"/>
    <cellStyle name="40% - Accent1 4 17" xfId="34544" xr:uid="{00000000-0005-0000-0000-0000A3580000}"/>
    <cellStyle name="40% - Accent1 4 18" xfId="40021" xr:uid="{00000000-0005-0000-0000-0000A4580000}"/>
    <cellStyle name="40% - Accent1 4 19" xfId="45498" xr:uid="{00000000-0005-0000-0000-0000A5580000}"/>
    <cellStyle name="40% - Accent1 4 2" xfId="548" xr:uid="{00000000-0005-0000-0000-0000A6580000}"/>
    <cellStyle name="40% - Accent1 4 2 10" xfId="40022" xr:uid="{00000000-0005-0000-0000-0000A7580000}"/>
    <cellStyle name="40% - Accent1 4 2 11" xfId="45499" xr:uid="{00000000-0005-0000-0000-0000A8580000}"/>
    <cellStyle name="40% - Accent1 4 2 12" xfId="50977" xr:uid="{00000000-0005-0000-0000-0000A9580000}"/>
    <cellStyle name="40% - Accent1 4 2 2" xfId="2309" xr:uid="{00000000-0005-0000-0000-0000AA580000}"/>
    <cellStyle name="40% - Accent1 4 2 2 10" xfId="52485" xr:uid="{00000000-0005-0000-0000-0000AB580000}"/>
    <cellStyle name="40% - Accent1 4 2 2 2" xfId="7789" xr:uid="{00000000-0005-0000-0000-0000AC580000}"/>
    <cellStyle name="40% - Accent1 4 2 2 2 2" xfId="30451" xr:uid="{00000000-0005-0000-0000-0000AD580000}"/>
    <cellStyle name="40% - Accent1 4 2 2 3" xfId="13265" xr:uid="{00000000-0005-0000-0000-0000AE580000}"/>
    <cellStyle name="40% - Accent1 4 2 2 4" xfId="18741" xr:uid="{00000000-0005-0000-0000-0000AF580000}"/>
    <cellStyle name="40% - Accent1 4 2 2 5" xfId="24217" xr:uid="{00000000-0005-0000-0000-0000B0580000}"/>
    <cellStyle name="40% - Accent1 4 2 2 6" xfId="30450" xr:uid="{00000000-0005-0000-0000-0000B1580000}"/>
    <cellStyle name="40% - Accent1 4 2 2 7" xfId="36013" xr:uid="{00000000-0005-0000-0000-0000B2580000}"/>
    <cellStyle name="40% - Accent1 4 2 2 8" xfId="41490" xr:uid="{00000000-0005-0000-0000-0000B3580000}"/>
    <cellStyle name="40% - Accent1 4 2 2 9" xfId="46967" xr:uid="{00000000-0005-0000-0000-0000B4580000}"/>
    <cellStyle name="40% - Accent1 4 2 3" xfId="4081" xr:uid="{00000000-0005-0000-0000-0000B5580000}"/>
    <cellStyle name="40% - Accent1 4 2 3 10" xfId="54257" xr:uid="{00000000-0005-0000-0000-0000B6580000}"/>
    <cellStyle name="40% - Accent1 4 2 3 2" xfId="9561" xr:uid="{00000000-0005-0000-0000-0000B7580000}"/>
    <cellStyle name="40% - Accent1 4 2 3 3" xfId="15037" xr:uid="{00000000-0005-0000-0000-0000B8580000}"/>
    <cellStyle name="40% - Accent1 4 2 3 4" xfId="20513" xr:uid="{00000000-0005-0000-0000-0000B9580000}"/>
    <cellStyle name="40% - Accent1 4 2 3 5" xfId="25989" xr:uid="{00000000-0005-0000-0000-0000BA580000}"/>
    <cellStyle name="40% - Accent1 4 2 3 6" xfId="30452" xr:uid="{00000000-0005-0000-0000-0000BB580000}"/>
    <cellStyle name="40% - Accent1 4 2 3 7" xfId="37785" xr:uid="{00000000-0005-0000-0000-0000BC580000}"/>
    <cellStyle name="40% - Accent1 4 2 3 8" xfId="43262" xr:uid="{00000000-0005-0000-0000-0000BD580000}"/>
    <cellStyle name="40% - Accent1 4 2 3 9" xfId="48739" xr:uid="{00000000-0005-0000-0000-0000BE580000}"/>
    <cellStyle name="40% - Accent1 4 2 4" xfId="6318" xr:uid="{00000000-0005-0000-0000-0000BF580000}"/>
    <cellStyle name="40% - Accent1 4 2 5" xfId="11798" xr:uid="{00000000-0005-0000-0000-0000C0580000}"/>
    <cellStyle name="40% - Accent1 4 2 6" xfId="17274" xr:uid="{00000000-0005-0000-0000-0000C1580000}"/>
    <cellStyle name="40% - Accent1 4 2 7" xfId="22750" xr:uid="{00000000-0005-0000-0000-0000C2580000}"/>
    <cellStyle name="40% - Accent1 4 2 8" xfId="30449" xr:uid="{00000000-0005-0000-0000-0000C3580000}"/>
    <cellStyle name="40% - Accent1 4 2 9" xfId="34545" xr:uid="{00000000-0005-0000-0000-0000C4580000}"/>
    <cellStyle name="40% - Accent1 4 20" xfId="50976" xr:uid="{00000000-0005-0000-0000-0000C5580000}"/>
    <cellStyle name="40% - Accent1 4 3" xfId="720" xr:uid="{00000000-0005-0000-0000-0000C6580000}"/>
    <cellStyle name="40% - Accent1 4 3 10" xfId="40023" xr:uid="{00000000-0005-0000-0000-0000C7580000}"/>
    <cellStyle name="40% - Accent1 4 3 11" xfId="45500" xr:uid="{00000000-0005-0000-0000-0000C8580000}"/>
    <cellStyle name="40% - Accent1 4 3 12" xfId="50978" xr:uid="{00000000-0005-0000-0000-0000C9580000}"/>
    <cellStyle name="40% - Accent1 4 3 2" xfId="2481" xr:uid="{00000000-0005-0000-0000-0000CA580000}"/>
    <cellStyle name="40% - Accent1 4 3 2 10" xfId="52657" xr:uid="{00000000-0005-0000-0000-0000CB580000}"/>
    <cellStyle name="40% - Accent1 4 3 2 2" xfId="7961" xr:uid="{00000000-0005-0000-0000-0000CC580000}"/>
    <cellStyle name="40% - Accent1 4 3 2 2 2" xfId="30455" xr:uid="{00000000-0005-0000-0000-0000CD580000}"/>
    <cellStyle name="40% - Accent1 4 3 2 3" xfId="13437" xr:uid="{00000000-0005-0000-0000-0000CE580000}"/>
    <cellStyle name="40% - Accent1 4 3 2 4" xfId="18913" xr:uid="{00000000-0005-0000-0000-0000CF580000}"/>
    <cellStyle name="40% - Accent1 4 3 2 5" xfId="24389" xr:uid="{00000000-0005-0000-0000-0000D0580000}"/>
    <cellStyle name="40% - Accent1 4 3 2 6" xfId="30454" xr:uid="{00000000-0005-0000-0000-0000D1580000}"/>
    <cellStyle name="40% - Accent1 4 3 2 7" xfId="36185" xr:uid="{00000000-0005-0000-0000-0000D2580000}"/>
    <cellStyle name="40% - Accent1 4 3 2 8" xfId="41662" xr:uid="{00000000-0005-0000-0000-0000D3580000}"/>
    <cellStyle name="40% - Accent1 4 3 2 9" xfId="47139" xr:uid="{00000000-0005-0000-0000-0000D4580000}"/>
    <cellStyle name="40% - Accent1 4 3 3" xfId="4253" xr:uid="{00000000-0005-0000-0000-0000D5580000}"/>
    <cellStyle name="40% - Accent1 4 3 3 10" xfId="54429" xr:uid="{00000000-0005-0000-0000-0000D6580000}"/>
    <cellStyle name="40% - Accent1 4 3 3 2" xfId="9733" xr:uid="{00000000-0005-0000-0000-0000D7580000}"/>
    <cellStyle name="40% - Accent1 4 3 3 3" xfId="15209" xr:uid="{00000000-0005-0000-0000-0000D8580000}"/>
    <cellStyle name="40% - Accent1 4 3 3 4" xfId="20685" xr:uid="{00000000-0005-0000-0000-0000D9580000}"/>
    <cellStyle name="40% - Accent1 4 3 3 5" xfId="26161" xr:uid="{00000000-0005-0000-0000-0000DA580000}"/>
    <cellStyle name="40% - Accent1 4 3 3 6" xfId="30456" xr:uid="{00000000-0005-0000-0000-0000DB580000}"/>
    <cellStyle name="40% - Accent1 4 3 3 7" xfId="37957" xr:uid="{00000000-0005-0000-0000-0000DC580000}"/>
    <cellStyle name="40% - Accent1 4 3 3 8" xfId="43434" xr:uid="{00000000-0005-0000-0000-0000DD580000}"/>
    <cellStyle name="40% - Accent1 4 3 3 9" xfId="48911" xr:uid="{00000000-0005-0000-0000-0000DE580000}"/>
    <cellStyle name="40% - Accent1 4 3 4" xfId="6319" xr:uid="{00000000-0005-0000-0000-0000DF580000}"/>
    <cellStyle name="40% - Accent1 4 3 5" xfId="11799" xr:uid="{00000000-0005-0000-0000-0000E0580000}"/>
    <cellStyle name="40% - Accent1 4 3 6" xfId="17275" xr:uid="{00000000-0005-0000-0000-0000E1580000}"/>
    <cellStyle name="40% - Accent1 4 3 7" xfId="22751" xr:uid="{00000000-0005-0000-0000-0000E2580000}"/>
    <cellStyle name="40% - Accent1 4 3 8" xfId="30453" xr:uid="{00000000-0005-0000-0000-0000E3580000}"/>
    <cellStyle name="40% - Accent1 4 3 9" xfId="34546" xr:uid="{00000000-0005-0000-0000-0000E4580000}"/>
    <cellStyle name="40% - Accent1 4 4" xfId="892" xr:uid="{00000000-0005-0000-0000-0000E5580000}"/>
    <cellStyle name="40% - Accent1 4 4 10" xfId="40024" xr:uid="{00000000-0005-0000-0000-0000E6580000}"/>
    <cellStyle name="40% - Accent1 4 4 11" xfId="45501" xr:uid="{00000000-0005-0000-0000-0000E7580000}"/>
    <cellStyle name="40% - Accent1 4 4 12" xfId="50979" xr:uid="{00000000-0005-0000-0000-0000E8580000}"/>
    <cellStyle name="40% - Accent1 4 4 2" xfId="2653" xr:uid="{00000000-0005-0000-0000-0000E9580000}"/>
    <cellStyle name="40% - Accent1 4 4 2 10" xfId="52829" xr:uid="{00000000-0005-0000-0000-0000EA580000}"/>
    <cellStyle name="40% - Accent1 4 4 2 2" xfId="8133" xr:uid="{00000000-0005-0000-0000-0000EB580000}"/>
    <cellStyle name="40% - Accent1 4 4 2 2 2" xfId="30459" xr:uid="{00000000-0005-0000-0000-0000EC580000}"/>
    <cellStyle name="40% - Accent1 4 4 2 3" xfId="13609" xr:uid="{00000000-0005-0000-0000-0000ED580000}"/>
    <cellStyle name="40% - Accent1 4 4 2 4" xfId="19085" xr:uid="{00000000-0005-0000-0000-0000EE580000}"/>
    <cellStyle name="40% - Accent1 4 4 2 5" xfId="24561" xr:uid="{00000000-0005-0000-0000-0000EF580000}"/>
    <cellStyle name="40% - Accent1 4 4 2 6" xfId="30458" xr:uid="{00000000-0005-0000-0000-0000F0580000}"/>
    <cellStyle name="40% - Accent1 4 4 2 7" xfId="36357" xr:uid="{00000000-0005-0000-0000-0000F1580000}"/>
    <cellStyle name="40% - Accent1 4 4 2 8" xfId="41834" xr:uid="{00000000-0005-0000-0000-0000F2580000}"/>
    <cellStyle name="40% - Accent1 4 4 2 9" xfId="47311" xr:uid="{00000000-0005-0000-0000-0000F3580000}"/>
    <cellStyle name="40% - Accent1 4 4 3" xfId="4425" xr:uid="{00000000-0005-0000-0000-0000F4580000}"/>
    <cellStyle name="40% - Accent1 4 4 3 10" xfId="54601" xr:uid="{00000000-0005-0000-0000-0000F5580000}"/>
    <cellStyle name="40% - Accent1 4 4 3 2" xfId="9905" xr:uid="{00000000-0005-0000-0000-0000F6580000}"/>
    <cellStyle name="40% - Accent1 4 4 3 3" xfId="15381" xr:uid="{00000000-0005-0000-0000-0000F7580000}"/>
    <cellStyle name="40% - Accent1 4 4 3 4" xfId="20857" xr:uid="{00000000-0005-0000-0000-0000F8580000}"/>
    <cellStyle name="40% - Accent1 4 4 3 5" xfId="26333" xr:uid="{00000000-0005-0000-0000-0000F9580000}"/>
    <cellStyle name="40% - Accent1 4 4 3 6" xfId="30460" xr:uid="{00000000-0005-0000-0000-0000FA580000}"/>
    <cellStyle name="40% - Accent1 4 4 3 7" xfId="38129" xr:uid="{00000000-0005-0000-0000-0000FB580000}"/>
    <cellStyle name="40% - Accent1 4 4 3 8" xfId="43606" xr:uid="{00000000-0005-0000-0000-0000FC580000}"/>
    <cellStyle name="40% - Accent1 4 4 3 9" xfId="49083" xr:uid="{00000000-0005-0000-0000-0000FD580000}"/>
    <cellStyle name="40% - Accent1 4 4 4" xfId="6320" xr:uid="{00000000-0005-0000-0000-0000FE580000}"/>
    <cellStyle name="40% - Accent1 4 4 5" xfId="11800" xr:uid="{00000000-0005-0000-0000-0000FF580000}"/>
    <cellStyle name="40% - Accent1 4 4 6" xfId="17276" xr:uid="{00000000-0005-0000-0000-000000590000}"/>
    <cellStyle name="40% - Accent1 4 4 7" xfId="22752" xr:uid="{00000000-0005-0000-0000-000001590000}"/>
    <cellStyle name="40% - Accent1 4 4 8" xfId="30457" xr:uid="{00000000-0005-0000-0000-000002590000}"/>
    <cellStyle name="40% - Accent1 4 4 9" xfId="34547" xr:uid="{00000000-0005-0000-0000-000003590000}"/>
    <cellStyle name="40% - Accent1 4 5" xfId="1098" xr:uid="{00000000-0005-0000-0000-000004590000}"/>
    <cellStyle name="40% - Accent1 4 5 10" xfId="40025" xr:uid="{00000000-0005-0000-0000-000005590000}"/>
    <cellStyle name="40% - Accent1 4 5 11" xfId="45502" xr:uid="{00000000-0005-0000-0000-000006590000}"/>
    <cellStyle name="40% - Accent1 4 5 12" xfId="50980" xr:uid="{00000000-0005-0000-0000-000007590000}"/>
    <cellStyle name="40% - Accent1 4 5 2" xfId="2859" xr:uid="{00000000-0005-0000-0000-000008590000}"/>
    <cellStyle name="40% - Accent1 4 5 2 10" xfId="53035" xr:uid="{00000000-0005-0000-0000-000009590000}"/>
    <cellStyle name="40% - Accent1 4 5 2 2" xfId="8339" xr:uid="{00000000-0005-0000-0000-00000A590000}"/>
    <cellStyle name="40% - Accent1 4 5 2 2 2" xfId="30463" xr:uid="{00000000-0005-0000-0000-00000B590000}"/>
    <cellStyle name="40% - Accent1 4 5 2 3" xfId="13815" xr:uid="{00000000-0005-0000-0000-00000C590000}"/>
    <cellStyle name="40% - Accent1 4 5 2 4" xfId="19291" xr:uid="{00000000-0005-0000-0000-00000D590000}"/>
    <cellStyle name="40% - Accent1 4 5 2 5" xfId="24767" xr:uid="{00000000-0005-0000-0000-00000E590000}"/>
    <cellStyle name="40% - Accent1 4 5 2 6" xfId="30462" xr:uid="{00000000-0005-0000-0000-00000F590000}"/>
    <cellStyle name="40% - Accent1 4 5 2 7" xfId="36563" xr:uid="{00000000-0005-0000-0000-000010590000}"/>
    <cellStyle name="40% - Accent1 4 5 2 8" xfId="42040" xr:uid="{00000000-0005-0000-0000-000011590000}"/>
    <cellStyle name="40% - Accent1 4 5 2 9" xfId="47517" xr:uid="{00000000-0005-0000-0000-000012590000}"/>
    <cellStyle name="40% - Accent1 4 5 3" xfId="4631" xr:uid="{00000000-0005-0000-0000-000013590000}"/>
    <cellStyle name="40% - Accent1 4 5 3 10" xfId="54807" xr:uid="{00000000-0005-0000-0000-000014590000}"/>
    <cellStyle name="40% - Accent1 4 5 3 2" xfId="10111" xr:uid="{00000000-0005-0000-0000-000015590000}"/>
    <cellStyle name="40% - Accent1 4 5 3 3" xfId="15587" xr:uid="{00000000-0005-0000-0000-000016590000}"/>
    <cellStyle name="40% - Accent1 4 5 3 4" xfId="21063" xr:uid="{00000000-0005-0000-0000-000017590000}"/>
    <cellStyle name="40% - Accent1 4 5 3 5" xfId="26539" xr:uid="{00000000-0005-0000-0000-000018590000}"/>
    <cellStyle name="40% - Accent1 4 5 3 6" xfId="30464" xr:uid="{00000000-0005-0000-0000-000019590000}"/>
    <cellStyle name="40% - Accent1 4 5 3 7" xfId="38335" xr:uid="{00000000-0005-0000-0000-00001A590000}"/>
    <cellStyle name="40% - Accent1 4 5 3 8" xfId="43812" xr:uid="{00000000-0005-0000-0000-00001B590000}"/>
    <cellStyle name="40% - Accent1 4 5 3 9" xfId="49289" xr:uid="{00000000-0005-0000-0000-00001C590000}"/>
    <cellStyle name="40% - Accent1 4 5 4" xfId="6321" xr:uid="{00000000-0005-0000-0000-00001D590000}"/>
    <cellStyle name="40% - Accent1 4 5 5" xfId="11801" xr:uid="{00000000-0005-0000-0000-00001E590000}"/>
    <cellStyle name="40% - Accent1 4 5 6" xfId="17277" xr:uid="{00000000-0005-0000-0000-00001F590000}"/>
    <cellStyle name="40% - Accent1 4 5 7" xfId="22753" xr:uid="{00000000-0005-0000-0000-000020590000}"/>
    <cellStyle name="40% - Accent1 4 5 8" xfId="30461" xr:uid="{00000000-0005-0000-0000-000021590000}"/>
    <cellStyle name="40% - Accent1 4 5 9" xfId="34548" xr:uid="{00000000-0005-0000-0000-000022590000}"/>
    <cellStyle name="40% - Accent1 4 6" xfId="1270" xr:uid="{00000000-0005-0000-0000-000023590000}"/>
    <cellStyle name="40% - Accent1 4 6 10" xfId="40026" xr:uid="{00000000-0005-0000-0000-000024590000}"/>
    <cellStyle name="40% - Accent1 4 6 11" xfId="45503" xr:uid="{00000000-0005-0000-0000-000025590000}"/>
    <cellStyle name="40% - Accent1 4 6 12" xfId="50981" xr:uid="{00000000-0005-0000-0000-000026590000}"/>
    <cellStyle name="40% - Accent1 4 6 2" xfId="3031" xr:uid="{00000000-0005-0000-0000-000027590000}"/>
    <cellStyle name="40% - Accent1 4 6 2 10" xfId="53207" xr:uid="{00000000-0005-0000-0000-000028590000}"/>
    <cellStyle name="40% - Accent1 4 6 2 2" xfId="8511" xr:uid="{00000000-0005-0000-0000-000029590000}"/>
    <cellStyle name="40% - Accent1 4 6 2 2 2" xfId="30467" xr:uid="{00000000-0005-0000-0000-00002A590000}"/>
    <cellStyle name="40% - Accent1 4 6 2 3" xfId="13987" xr:uid="{00000000-0005-0000-0000-00002B590000}"/>
    <cellStyle name="40% - Accent1 4 6 2 4" xfId="19463" xr:uid="{00000000-0005-0000-0000-00002C590000}"/>
    <cellStyle name="40% - Accent1 4 6 2 5" xfId="24939" xr:uid="{00000000-0005-0000-0000-00002D590000}"/>
    <cellStyle name="40% - Accent1 4 6 2 6" xfId="30466" xr:uid="{00000000-0005-0000-0000-00002E590000}"/>
    <cellStyle name="40% - Accent1 4 6 2 7" xfId="36735" xr:uid="{00000000-0005-0000-0000-00002F590000}"/>
    <cellStyle name="40% - Accent1 4 6 2 8" xfId="42212" xr:uid="{00000000-0005-0000-0000-000030590000}"/>
    <cellStyle name="40% - Accent1 4 6 2 9" xfId="47689" xr:uid="{00000000-0005-0000-0000-000031590000}"/>
    <cellStyle name="40% - Accent1 4 6 3" xfId="4803" xr:uid="{00000000-0005-0000-0000-000032590000}"/>
    <cellStyle name="40% - Accent1 4 6 3 10" xfId="54979" xr:uid="{00000000-0005-0000-0000-000033590000}"/>
    <cellStyle name="40% - Accent1 4 6 3 2" xfId="10283" xr:uid="{00000000-0005-0000-0000-000034590000}"/>
    <cellStyle name="40% - Accent1 4 6 3 3" xfId="15759" xr:uid="{00000000-0005-0000-0000-000035590000}"/>
    <cellStyle name="40% - Accent1 4 6 3 4" xfId="21235" xr:uid="{00000000-0005-0000-0000-000036590000}"/>
    <cellStyle name="40% - Accent1 4 6 3 5" xfId="26711" xr:uid="{00000000-0005-0000-0000-000037590000}"/>
    <cellStyle name="40% - Accent1 4 6 3 6" xfId="30468" xr:uid="{00000000-0005-0000-0000-000038590000}"/>
    <cellStyle name="40% - Accent1 4 6 3 7" xfId="38507" xr:uid="{00000000-0005-0000-0000-000039590000}"/>
    <cellStyle name="40% - Accent1 4 6 3 8" xfId="43984" xr:uid="{00000000-0005-0000-0000-00003A590000}"/>
    <cellStyle name="40% - Accent1 4 6 3 9" xfId="49461" xr:uid="{00000000-0005-0000-0000-00003B590000}"/>
    <cellStyle name="40% - Accent1 4 6 4" xfId="6322" xr:uid="{00000000-0005-0000-0000-00003C590000}"/>
    <cellStyle name="40% - Accent1 4 6 5" xfId="11802" xr:uid="{00000000-0005-0000-0000-00003D590000}"/>
    <cellStyle name="40% - Accent1 4 6 6" xfId="17278" xr:uid="{00000000-0005-0000-0000-00003E590000}"/>
    <cellStyle name="40% - Accent1 4 6 7" xfId="22754" xr:uid="{00000000-0005-0000-0000-00003F590000}"/>
    <cellStyle name="40% - Accent1 4 6 8" xfId="30465" xr:uid="{00000000-0005-0000-0000-000040590000}"/>
    <cellStyle name="40% - Accent1 4 6 9" xfId="34549" xr:uid="{00000000-0005-0000-0000-000041590000}"/>
    <cellStyle name="40% - Accent1 4 7" xfId="1442" xr:uid="{00000000-0005-0000-0000-000042590000}"/>
    <cellStyle name="40% - Accent1 4 7 10" xfId="40027" xr:uid="{00000000-0005-0000-0000-000043590000}"/>
    <cellStyle name="40% - Accent1 4 7 11" xfId="45504" xr:uid="{00000000-0005-0000-0000-000044590000}"/>
    <cellStyle name="40% - Accent1 4 7 12" xfId="50982" xr:uid="{00000000-0005-0000-0000-000045590000}"/>
    <cellStyle name="40% - Accent1 4 7 2" xfId="3203" xr:uid="{00000000-0005-0000-0000-000046590000}"/>
    <cellStyle name="40% - Accent1 4 7 2 10" xfId="53379" xr:uid="{00000000-0005-0000-0000-000047590000}"/>
    <cellStyle name="40% - Accent1 4 7 2 2" xfId="8683" xr:uid="{00000000-0005-0000-0000-000048590000}"/>
    <cellStyle name="40% - Accent1 4 7 2 2 2" xfId="30471" xr:uid="{00000000-0005-0000-0000-000049590000}"/>
    <cellStyle name="40% - Accent1 4 7 2 3" xfId="14159" xr:uid="{00000000-0005-0000-0000-00004A590000}"/>
    <cellStyle name="40% - Accent1 4 7 2 4" xfId="19635" xr:uid="{00000000-0005-0000-0000-00004B590000}"/>
    <cellStyle name="40% - Accent1 4 7 2 5" xfId="25111" xr:uid="{00000000-0005-0000-0000-00004C590000}"/>
    <cellStyle name="40% - Accent1 4 7 2 6" xfId="30470" xr:uid="{00000000-0005-0000-0000-00004D590000}"/>
    <cellStyle name="40% - Accent1 4 7 2 7" xfId="36907" xr:uid="{00000000-0005-0000-0000-00004E590000}"/>
    <cellStyle name="40% - Accent1 4 7 2 8" xfId="42384" xr:uid="{00000000-0005-0000-0000-00004F590000}"/>
    <cellStyle name="40% - Accent1 4 7 2 9" xfId="47861" xr:uid="{00000000-0005-0000-0000-000050590000}"/>
    <cellStyle name="40% - Accent1 4 7 3" xfId="4975" xr:uid="{00000000-0005-0000-0000-000051590000}"/>
    <cellStyle name="40% - Accent1 4 7 3 10" xfId="55151" xr:uid="{00000000-0005-0000-0000-000052590000}"/>
    <cellStyle name="40% - Accent1 4 7 3 2" xfId="10455" xr:uid="{00000000-0005-0000-0000-000053590000}"/>
    <cellStyle name="40% - Accent1 4 7 3 3" xfId="15931" xr:uid="{00000000-0005-0000-0000-000054590000}"/>
    <cellStyle name="40% - Accent1 4 7 3 4" xfId="21407" xr:uid="{00000000-0005-0000-0000-000055590000}"/>
    <cellStyle name="40% - Accent1 4 7 3 5" xfId="26883" xr:uid="{00000000-0005-0000-0000-000056590000}"/>
    <cellStyle name="40% - Accent1 4 7 3 6" xfId="30472" xr:uid="{00000000-0005-0000-0000-000057590000}"/>
    <cellStyle name="40% - Accent1 4 7 3 7" xfId="38679" xr:uid="{00000000-0005-0000-0000-000058590000}"/>
    <cellStyle name="40% - Accent1 4 7 3 8" xfId="44156" xr:uid="{00000000-0005-0000-0000-000059590000}"/>
    <cellStyle name="40% - Accent1 4 7 3 9" xfId="49633" xr:uid="{00000000-0005-0000-0000-00005A590000}"/>
    <cellStyle name="40% - Accent1 4 7 4" xfId="6323" xr:uid="{00000000-0005-0000-0000-00005B590000}"/>
    <cellStyle name="40% - Accent1 4 7 5" xfId="11803" xr:uid="{00000000-0005-0000-0000-00005C590000}"/>
    <cellStyle name="40% - Accent1 4 7 6" xfId="17279" xr:uid="{00000000-0005-0000-0000-00005D590000}"/>
    <cellStyle name="40% - Accent1 4 7 7" xfId="22755" xr:uid="{00000000-0005-0000-0000-00005E590000}"/>
    <cellStyle name="40% - Accent1 4 7 8" xfId="30469" xr:uid="{00000000-0005-0000-0000-00005F590000}"/>
    <cellStyle name="40% - Accent1 4 7 9" xfId="34550" xr:uid="{00000000-0005-0000-0000-000060590000}"/>
    <cellStyle name="40% - Accent1 4 8" xfId="1614" xr:uid="{00000000-0005-0000-0000-000061590000}"/>
    <cellStyle name="40% - Accent1 4 8 10" xfId="40028" xr:uid="{00000000-0005-0000-0000-000062590000}"/>
    <cellStyle name="40% - Accent1 4 8 11" xfId="45505" xr:uid="{00000000-0005-0000-0000-000063590000}"/>
    <cellStyle name="40% - Accent1 4 8 12" xfId="50983" xr:uid="{00000000-0005-0000-0000-000064590000}"/>
    <cellStyle name="40% - Accent1 4 8 2" xfId="3375" xr:uid="{00000000-0005-0000-0000-000065590000}"/>
    <cellStyle name="40% - Accent1 4 8 2 10" xfId="53551" xr:uid="{00000000-0005-0000-0000-000066590000}"/>
    <cellStyle name="40% - Accent1 4 8 2 2" xfId="8855" xr:uid="{00000000-0005-0000-0000-000067590000}"/>
    <cellStyle name="40% - Accent1 4 8 2 3" xfId="14331" xr:uid="{00000000-0005-0000-0000-000068590000}"/>
    <cellStyle name="40% - Accent1 4 8 2 4" xfId="19807" xr:uid="{00000000-0005-0000-0000-000069590000}"/>
    <cellStyle name="40% - Accent1 4 8 2 5" xfId="25283" xr:uid="{00000000-0005-0000-0000-00006A590000}"/>
    <cellStyle name="40% - Accent1 4 8 2 6" xfId="30474" xr:uid="{00000000-0005-0000-0000-00006B590000}"/>
    <cellStyle name="40% - Accent1 4 8 2 7" xfId="37079" xr:uid="{00000000-0005-0000-0000-00006C590000}"/>
    <cellStyle name="40% - Accent1 4 8 2 8" xfId="42556" xr:uid="{00000000-0005-0000-0000-00006D590000}"/>
    <cellStyle name="40% - Accent1 4 8 2 9" xfId="48033" xr:uid="{00000000-0005-0000-0000-00006E590000}"/>
    <cellStyle name="40% - Accent1 4 8 3" xfId="5147" xr:uid="{00000000-0005-0000-0000-00006F590000}"/>
    <cellStyle name="40% - Accent1 4 8 3 2" xfId="10627" xr:uid="{00000000-0005-0000-0000-000070590000}"/>
    <cellStyle name="40% - Accent1 4 8 3 3" xfId="16103" xr:uid="{00000000-0005-0000-0000-000071590000}"/>
    <cellStyle name="40% - Accent1 4 8 3 4" xfId="21579" xr:uid="{00000000-0005-0000-0000-000072590000}"/>
    <cellStyle name="40% - Accent1 4 8 3 5" xfId="27055" xr:uid="{00000000-0005-0000-0000-000073590000}"/>
    <cellStyle name="40% - Accent1 4 8 3 6" xfId="38851" xr:uid="{00000000-0005-0000-0000-000074590000}"/>
    <cellStyle name="40% - Accent1 4 8 3 7" xfId="44328" xr:uid="{00000000-0005-0000-0000-000075590000}"/>
    <cellStyle name="40% - Accent1 4 8 3 8" xfId="49805" xr:uid="{00000000-0005-0000-0000-000076590000}"/>
    <cellStyle name="40% - Accent1 4 8 3 9" xfId="55323" xr:uid="{00000000-0005-0000-0000-000077590000}"/>
    <cellStyle name="40% - Accent1 4 8 4" xfId="6324" xr:uid="{00000000-0005-0000-0000-000078590000}"/>
    <cellStyle name="40% - Accent1 4 8 5" xfId="11804" xr:uid="{00000000-0005-0000-0000-000079590000}"/>
    <cellStyle name="40% - Accent1 4 8 6" xfId="17280" xr:uid="{00000000-0005-0000-0000-00007A590000}"/>
    <cellStyle name="40% - Accent1 4 8 7" xfId="22756" xr:uid="{00000000-0005-0000-0000-00007B590000}"/>
    <cellStyle name="40% - Accent1 4 8 8" xfId="30473" xr:uid="{00000000-0005-0000-0000-00007C590000}"/>
    <cellStyle name="40% - Accent1 4 8 9" xfId="34551" xr:uid="{00000000-0005-0000-0000-00007D590000}"/>
    <cellStyle name="40% - Accent1 4 9" xfId="1812" xr:uid="{00000000-0005-0000-0000-00007E590000}"/>
    <cellStyle name="40% - Accent1 4 9 10" xfId="40029" xr:uid="{00000000-0005-0000-0000-00007F590000}"/>
    <cellStyle name="40% - Accent1 4 9 11" xfId="45506" xr:uid="{00000000-0005-0000-0000-000080590000}"/>
    <cellStyle name="40% - Accent1 4 9 12" xfId="50984" xr:uid="{00000000-0005-0000-0000-000081590000}"/>
    <cellStyle name="40% - Accent1 4 9 2" xfId="3573" xr:uid="{00000000-0005-0000-0000-000082590000}"/>
    <cellStyle name="40% - Accent1 4 9 2 2" xfId="9053" xr:uid="{00000000-0005-0000-0000-000083590000}"/>
    <cellStyle name="40% - Accent1 4 9 2 3" xfId="14529" xr:uid="{00000000-0005-0000-0000-000084590000}"/>
    <cellStyle name="40% - Accent1 4 9 2 4" xfId="20005" xr:uid="{00000000-0005-0000-0000-000085590000}"/>
    <cellStyle name="40% - Accent1 4 9 2 5" xfId="25481" xr:uid="{00000000-0005-0000-0000-000086590000}"/>
    <cellStyle name="40% - Accent1 4 9 2 6" xfId="37277" xr:uid="{00000000-0005-0000-0000-000087590000}"/>
    <cellStyle name="40% - Accent1 4 9 2 7" xfId="42754" xr:uid="{00000000-0005-0000-0000-000088590000}"/>
    <cellStyle name="40% - Accent1 4 9 2 8" xfId="48231" xr:uid="{00000000-0005-0000-0000-000089590000}"/>
    <cellStyle name="40% - Accent1 4 9 2 9" xfId="53749" xr:uid="{00000000-0005-0000-0000-00008A590000}"/>
    <cellStyle name="40% - Accent1 4 9 3" xfId="5345" xr:uid="{00000000-0005-0000-0000-00008B590000}"/>
    <cellStyle name="40% - Accent1 4 9 3 2" xfId="10825" xr:uid="{00000000-0005-0000-0000-00008C590000}"/>
    <cellStyle name="40% - Accent1 4 9 3 3" xfId="16301" xr:uid="{00000000-0005-0000-0000-00008D590000}"/>
    <cellStyle name="40% - Accent1 4 9 3 4" xfId="21777" xr:uid="{00000000-0005-0000-0000-00008E590000}"/>
    <cellStyle name="40% - Accent1 4 9 3 5" xfId="27253" xr:uid="{00000000-0005-0000-0000-00008F590000}"/>
    <cellStyle name="40% - Accent1 4 9 3 6" xfId="39049" xr:uid="{00000000-0005-0000-0000-000090590000}"/>
    <cellStyle name="40% - Accent1 4 9 3 7" xfId="44526" xr:uid="{00000000-0005-0000-0000-000091590000}"/>
    <cellStyle name="40% - Accent1 4 9 3 8" xfId="50003" xr:uid="{00000000-0005-0000-0000-000092590000}"/>
    <cellStyle name="40% - Accent1 4 9 3 9" xfId="55521" xr:uid="{00000000-0005-0000-0000-000093590000}"/>
    <cellStyle name="40% - Accent1 4 9 4" xfId="6325" xr:uid="{00000000-0005-0000-0000-000094590000}"/>
    <cellStyle name="40% - Accent1 4 9 5" xfId="11805" xr:uid="{00000000-0005-0000-0000-000095590000}"/>
    <cellStyle name="40% - Accent1 4 9 6" xfId="17281" xr:uid="{00000000-0005-0000-0000-000096590000}"/>
    <cellStyle name="40% - Accent1 4 9 7" xfId="22757" xr:uid="{00000000-0005-0000-0000-000097590000}"/>
    <cellStyle name="40% - Accent1 4 9 8" xfId="30475" xr:uid="{00000000-0005-0000-0000-000098590000}"/>
    <cellStyle name="40% - Accent1 4 9 9" xfId="34552" xr:uid="{00000000-0005-0000-0000-000099590000}"/>
    <cellStyle name="40% - Accent1 5" xfId="3671" xr:uid="{00000000-0005-0000-0000-00009A590000}"/>
    <cellStyle name="40% - Accent1 5 10" xfId="30476" xr:uid="{00000000-0005-0000-0000-00009B590000}"/>
    <cellStyle name="40% - Accent1 5 11" xfId="37375" xr:uid="{00000000-0005-0000-0000-00009C590000}"/>
    <cellStyle name="40% - Accent1 5 12" xfId="42852" xr:uid="{00000000-0005-0000-0000-00009D590000}"/>
    <cellStyle name="40% - Accent1 5 13" xfId="48329" xr:uid="{00000000-0005-0000-0000-00009E590000}"/>
    <cellStyle name="40% - Accent1 5 14" xfId="52038" xr:uid="{00000000-0005-0000-0000-00009F590000}"/>
    <cellStyle name="40% - Accent1 5 2" xfId="9151" xr:uid="{00000000-0005-0000-0000-0000A0590000}"/>
    <cellStyle name="40% - Accent1 5 2 2" xfId="30478" xr:uid="{00000000-0005-0000-0000-0000A1590000}"/>
    <cellStyle name="40% - Accent1 5 2 2 2" xfId="30479" xr:uid="{00000000-0005-0000-0000-0000A2590000}"/>
    <cellStyle name="40% - Accent1 5 2 3" xfId="30480" xr:uid="{00000000-0005-0000-0000-0000A3590000}"/>
    <cellStyle name="40% - Accent1 5 2 4" xfId="30477" xr:uid="{00000000-0005-0000-0000-0000A4590000}"/>
    <cellStyle name="40% - Accent1 5 2 5" xfId="53847" xr:uid="{00000000-0005-0000-0000-0000A5590000}"/>
    <cellStyle name="40% - Accent1 5 3" xfId="14627" xr:uid="{00000000-0005-0000-0000-0000A6590000}"/>
    <cellStyle name="40% - Accent1 5 3 2" xfId="30482" xr:uid="{00000000-0005-0000-0000-0000A7590000}"/>
    <cellStyle name="40% - Accent1 5 3 2 2" xfId="30483" xr:uid="{00000000-0005-0000-0000-0000A8590000}"/>
    <cellStyle name="40% - Accent1 5 3 3" xfId="30484" xr:uid="{00000000-0005-0000-0000-0000A9590000}"/>
    <cellStyle name="40% - Accent1 5 3 4" xfId="30481" xr:uid="{00000000-0005-0000-0000-0000AA590000}"/>
    <cellStyle name="40% - Accent1 5 4" xfId="20103" xr:uid="{00000000-0005-0000-0000-0000AB590000}"/>
    <cellStyle name="40% - Accent1 5 4 2" xfId="30486" xr:uid="{00000000-0005-0000-0000-0000AC590000}"/>
    <cellStyle name="40% - Accent1 5 4 2 2" xfId="30487" xr:uid="{00000000-0005-0000-0000-0000AD590000}"/>
    <cellStyle name="40% - Accent1 5 4 3" xfId="30488" xr:uid="{00000000-0005-0000-0000-0000AE590000}"/>
    <cellStyle name="40% - Accent1 5 4 4" xfId="30485" xr:uid="{00000000-0005-0000-0000-0000AF590000}"/>
    <cellStyle name="40% - Accent1 5 5" xfId="25579" xr:uid="{00000000-0005-0000-0000-0000B0590000}"/>
    <cellStyle name="40% - Accent1 5 5 2" xfId="30490" xr:uid="{00000000-0005-0000-0000-0000B1590000}"/>
    <cellStyle name="40% - Accent1 5 5 2 2" xfId="30491" xr:uid="{00000000-0005-0000-0000-0000B2590000}"/>
    <cellStyle name="40% - Accent1 5 5 3" xfId="30492" xr:uid="{00000000-0005-0000-0000-0000B3590000}"/>
    <cellStyle name="40% - Accent1 5 5 4" xfId="30489" xr:uid="{00000000-0005-0000-0000-0000B4590000}"/>
    <cellStyle name="40% - Accent1 5 6" xfId="30493" xr:uid="{00000000-0005-0000-0000-0000B5590000}"/>
    <cellStyle name="40% - Accent1 5 6 2" xfId="30494" xr:uid="{00000000-0005-0000-0000-0000B6590000}"/>
    <cellStyle name="40% - Accent1 5 6 2 2" xfId="30495" xr:uid="{00000000-0005-0000-0000-0000B7590000}"/>
    <cellStyle name="40% - Accent1 5 6 3" xfId="30496" xr:uid="{00000000-0005-0000-0000-0000B8590000}"/>
    <cellStyle name="40% - Accent1 5 7" xfId="30497" xr:uid="{00000000-0005-0000-0000-0000B9590000}"/>
    <cellStyle name="40% - Accent1 5 7 2" xfId="30498" xr:uid="{00000000-0005-0000-0000-0000BA590000}"/>
    <cellStyle name="40% - Accent1 5 7 2 2" xfId="30499" xr:uid="{00000000-0005-0000-0000-0000BB590000}"/>
    <cellStyle name="40% - Accent1 5 7 3" xfId="30500" xr:uid="{00000000-0005-0000-0000-0000BC590000}"/>
    <cellStyle name="40% - Accent1 5 8" xfId="30501" xr:uid="{00000000-0005-0000-0000-0000BD590000}"/>
    <cellStyle name="40% - Accent1 5 8 2" xfId="30502" xr:uid="{00000000-0005-0000-0000-0000BE590000}"/>
    <cellStyle name="40% - Accent1 5 9" xfId="30503" xr:uid="{00000000-0005-0000-0000-0000BF590000}"/>
    <cellStyle name="40% - Accent1 6" xfId="7376" xr:uid="{00000000-0005-0000-0000-0000C0590000}"/>
    <cellStyle name="40% - Accent1 6 10" xfId="30504" xr:uid="{00000000-0005-0000-0000-0000C1590000}"/>
    <cellStyle name="40% - Accent1 6 2" xfId="30505" xr:uid="{00000000-0005-0000-0000-0000C2590000}"/>
    <cellStyle name="40% - Accent1 6 2 2" xfId="30506" xr:uid="{00000000-0005-0000-0000-0000C3590000}"/>
    <cellStyle name="40% - Accent1 6 2 2 2" xfId="30507" xr:uid="{00000000-0005-0000-0000-0000C4590000}"/>
    <cellStyle name="40% - Accent1 6 2 3" xfId="30508" xr:uid="{00000000-0005-0000-0000-0000C5590000}"/>
    <cellStyle name="40% - Accent1 6 3" xfId="30509" xr:uid="{00000000-0005-0000-0000-0000C6590000}"/>
    <cellStyle name="40% - Accent1 6 3 2" xfId="30510" xr:uid="{00000000-0005-0000-0000-0000C7590000}"/>
    <cellStyle name="40% - Accent1 6 3 2 2" xfId="30511" xr:uid="{00000000-0005-0000-0000-0000C8590000}"/>
    <cellStyle name="40% - Accent1 6 3 3" xfId="30512" xr:uid="{00000000-0005-0000-0000-0000C9590000}"/>
    <cellStyle name="40% - Accent1 6 4" xfId="30513" xr:uid="{00000000-0005-0000-0000-0000CA590000}"/>
    <cellStyle name="40% - Accent1 6 4 2" xfId="30514" xr:uid="{00000000-0005-0000-0000-0000CB590000}"/>
    <cellStyle name="40% - Accent1 6 4 2 2" xfId="30515" xr:uid="{00000000-0005-0000-0000-0000CC590000}"/>
    <cellStyle name="40% - Accent1 6 4 3" xfId="30516" xr:uid="{00000000-0005-0000-0000-0000CD590000}"/>
    <cellStyle name="40% - Accent1 6 5" xfId="30517" xr:uid="{00000000-0005-0000-0000-0000CE590000}"/>
    <cellStyle name="40% - Accent1 6 5 2" xfId="30518" xr:uid="{00000000-0005-0000-0000-0000CF590000}"/>
    <cellStyle name="40% - Accent1 6 5 2 2" xfId="30519" xr:uid="{00000000-0005-0000-0000-0000D0590000}"/>
    <cellStyle name="40% - Accent1 6 5 3" xfId="30520" xr:uid="{00000000-0005-0000-0000-0000D1590000}"/>
    <cellStyle name="40% - Accent1 6 6" xfId="30521" xr:uid="{00000000-0005-0000-0000-0000D2590000}"/>
    <cellStyle name="40% - Accent1 6 6 2" xfId="30522" xr:uid="{00000000-0005-0000-0000-0000D3590000}"/>
    <cellStyle name="40% - Accent1 6 6 2 2" xfId="30523" xr:uid="{00000000-0005-0000-0000-0000D4590000}"/>
    <cellStyle name="40% - Accent1 6 6 3" xfId="30524" xr:uid="{00000000-0005-0000-0000-0000D5590000}"/>
    <cellStyle name="40% - Accent1 6 7" xfId="30525" xr:uid="{00000000-0005-0000-0000-0000D6590000}"/>
    <cellStyle name="40% - Accent1 6 7 2" xfId="30526" xr:uid="{00000000-0005-0000-0000-0000D7590000}"/>
    <cellStyle name="40% - Accent1 6 7 2 2" xfId="30527" xr:uid="{00000000-0005-0000-0000-0000D8590000}"/>
    <cellStyle name="40% - Accent1 6 7 3" xfId="30528" xr:uid="{00000000-0005-0000-0000-0000D9590000}"/>
    <cellStyle name="40% - Accent1 6 8" xfId="30529" xr:uid="{00000000-0005-0000-0000-0000DA590000}"/>
    <cellStyle name="40% - Accent1 6 8 2" xfId="30530" xr:uid="{00000000-0005-0000-0000-0000DB590000}"/>
    <cellStyle name="40% - Accent1 6 9" xfId="30531" xr:uid="{00000000-0005-0000-0000-0000DC590000}"/>
    <cellStyle name="40% - Accent1 7" xfId="12853" xr:uid="{00000000-0005-0000-0000-0000DD590000}"/>
    <cellStyle name="40% - Accent1 7 10" xfId="30532" xr:uid="{00000000-0005-0000-0000-0000DE590000}"/>
    <cellStyle name="40% - Accent1 7 2" xfId="30533" xr:uid="{00000000-0005-0000-0000-0000DF590000}"/>
    <cellStyle name="40% - Accent1 7 2 2" xfId="30534" xr:uid="{00000000-0005-0000-0000-0000E0590000}"/>
    <cellStyle name="40% - Accent1 7 2 2 2" xfId="30535" xr:uid="{00000000-0005-0000-0000-0000E1590000}"/>
    <cellStyle name="40% - Accent1 7 2 3" xfId="30536" xr:uid="{00000000-0005-0000-0000-0000E2590000}"/>
    <cellStyle name="40% - Accent1 7 3" xfId="30537" xr:uid="{00000000-0005-0000-0000-0000E3590000}"/>
    <cellStyle name="40% - Accent1 7 3 2" xfId="30538" xr:uid="{00000000-0005-0000-0000-0000E4590000}"/>
    <cellStyle name="40% - Accent1 7 3 2 2" xfId="30539" xr:uid="{00000000-0005-0000-0000-0000E5590000}"/>
    <cellStyle name="40% - Accent1 7 3 3" xfId="30540" xr:uid="{00000000-0005-0000-0000-0000E6590000}"/>
    <cellStyle name="40% - Accent1 7 4" xfId="30541" xr:uid="{00000000-0005-0000-0000-0000E7590000}"/>
    <cellStyle name="40% - Accent1 7 4 2" xfId="30542" xr:uid="{00000000-0005-0000-0000-0000E8590000}"/>
    <cellStyle name="40% - Accent1 7 4 2 2" xfId="30543" xr:uid="{00000000-0005-0000-0000-0000E9590000}"/>
    <cellStyle name="40% - Accent1 7 4 3" xfId="30544" xr:uid="{00000000-0005-0000-0000-0000EA590000}"/>
    <cellStyle name="40% - Accent1 7 5" xfId="30545" xr:uid="{00000000-0005-0000-0000-0000EB590000}"/>
    <cellStyle name="40% - Accent1 7 5 2" xfId="30546" xr:uid="{00000000-0005-0000-0000-0000EC590000}"/>
    <cellStyle name="40% - Accent1 7 5 2 2" xfId="30547" xr:uid="{00000000-0005-0000-0000-0000ED590000}"/>
    <cellStyle name="40% - Accent1 7 5 3" xfId="30548" xr:uid="{00000000-0005-0000-0000-0000EE590000}"/>
    <cellStyle name="40% - Accent1 7 6" xfId="30549" xr:uid="{00000000-0005-0000-0000-0000EF590000}"/>
    <cellStyle name="40% - Accent1 7 6 2" xfId="30550" xr:uid="{00000000-0005-0000-0000-0000F0590000}"/>
    <cellStyle name="40% - Accent1 7 6 2 2" xfId="30551" xr:uid="{00000000-0005-0000-0000-0000F1590000}"/>
    <cellStyle name="40% - Accent1 7 6 3" xfId="30552" xr:uid="{00000000-0005-0000-0000-0000F2590000}"/>
    <cellStyle name="40% - Accent1 7 7" xfId="30553" xr:uid="{00000000-0005-0000-0000-0000F3590000}"/>
    <cellStyle name="40% - Accent1 7 7 2" xfId="30554" xr:uid="{00000000-0005-0000-0000-0000F4590000}"/>
    <cellStyle name="40% - Accent1 7 7 2 2" xfId="30555" xr:uid="{00000000-0005-0000-0000-0000F5590000}"/>
    <cellStyle name="40% - Accent1 7 7 3" xfId="30556" xr:uid="{00000000-0005-0000-0000-0000F6590000}"/>
    <cellStyle name="40% - Accent1 7 8" xfId="30557" xr:uid="{00000000-0005-0000-0000-0000F7590000}"/>
    <cellStyle name="40% - Accent1 7 8 2" xfId="30558" xr:uid="{00000000-0005-0000-0000-0000F8590000}"/>
    <cellStyle name="40% - Accent1 7 9" xfId="30559" xr:uid="{00000000-0005-0000-0000-0000F9590000}"/>
    <cellStyle name="40% - Accent1 8" xfId="18329" xr:uid="{00000000-0005-0000-0000-0000FA590000}"/>
    <cellStyle name="40% - Accent1 8 2" xfId="30561" xr:uid="{00000000-0005-0000-0000-0000FB590000}"/>
    <cellStyle name="40% - Accent1 8 2 2" xfId="30562" xr:uid="{00000000-0005-0000-0000-0000FC590000}"/>
    <cellStyle name="40% - Accent1 8 3" xfId="30563" xr:uid="{00000000-0005-0000-0000-0000FD590000}"/>
    <cellStyle name="40% - Accent1 8 4" xfId="30560" xr:uid="{00000000-0005-0000-0000-0000FE590000}"/>
    <cellStyle name="40% - Accent1 9" xfId="23805" xr:uid="{00000000-0005-0000-0000-0000FF590000}"/>
    <cellStyle name="40% - Accent1 9 10" xfId="30564" xr:uid="{00000000-0005-0000-0000-0000005A0000}"/>
    <cellStyle name="40% - Accent1 9 2" xfId="30565" xr:uid="{00000000-0005-0000-0000-0000015A0000}"/>
    <cellStyle name="40% - Accent1 9 2 2" xfId="30566" xr:uid="{00000000-0005-0000-0000-0000025A0000}"/>
    <cellStyle name="40% - Accent1 9 2 2 2" xfId="30567" xr:uid="{00000000-0005-0000-0000-0000035A0000}"/>
    <cellStyle name="40% - Accent1 9 2 3" xfId="30568" xr:uid="{00000000-0005-0000-0000-0000045A0000}"/>
    <cellStyle name="40% - Accent1 9 3" xfId="30569" xr:uid="{00000000-0005-0000-0000-0000055A0000}"/>
    <cellStyle name="40% - Accent1 9 3 2" xfId="30570" xr:uid="{00000000-0005-0000-0000-0000065A0000}"/>
    <cellStyle name="40% - Accent1 9 3 2 2" xfId="30571" xr:uid="{00000000-0005-0000-0000-0000075A0000}"/>
    <cellStyle name="40% - Accent1 9 3 3" xfId="30572" xr:uid="{00000000-0005-0000-0000-0000085A0000}"/>
    <cellStyle name="40% - Accent1 9 4" xfId="30573" xr:uid="{00000000-0005-0000-0000-0000095A0000}"/>
    <cellStyle name="40% - Accent1 9 4 2" xfId="30574" xr:uid="{00000000-0005-0000-0000-00000A5A0000}"/>
    <cellStyle name="40% - Accent1 9 4 2 2" xfId="30575" xr:uid="{00000000-0005-0000-0000-00000B5A0000}"/>
    <cellStyle name="40% - Accent1 9 4 3" xfId="30576" xr:uid="{00000000-0005-0000-0000-00000C5A0000}"/>
    <cellStyle name="40% - Accent1 9 5" xfId="30577" xr:uid="{00000000-0005-0000-0000-00000D5A0000}"/>
    <cellStyle name="40% - Accent1 9 5 2" xfId="30578" xr:uid="{00000000-0005-0000-0000-00000E5A0000}"/>
    <cellStyle name="40% - Accent1 9 5 2 2" xfId="30579" xr:uid="{00000000-0005-0000-0000-00000F5A0000}"/>
    <cellStyle name="40% - Accent1 9 5 3" xfId="30580" xr:uid="{00000000-0005-0000-0000-0000105A0000}"/>
    <cellStyle name="40% - Accent1 9 6" xfId="30581" xr:uid="{00000000-0005-0000-0000-0000115A0000}"/>
    <cellStyle name="40% - Accent1 9 6 2" xfId="30582" xr:uid="{00000000-0005-0000-0000-0000125A0000}"/>
    <cellStyle name="40% - Accent1 9 6 2 2" xfId="30583" xr:uid="{00000000-0005-0000-0000-0000135A0000}"/>
    <cellStyle name="40% - Accent1 9 6 3" xfId="30584" xr:uid="{00000000-0005-0000-0000-0000145A0000}"/>
    <cellStyle name="40% - Accent1 9 7" xfId="30585" xr:uid="{00000000-0005-0000-0000-0000155A0000}"/>
    <cellStyle name="40% - Accent1 9 7 2" xfId="30586" xr:uid="{00000000-0005-0000-0000-0000165A0000}"/>
    <cellStyle name="40% - Accent1 9 7 2 2" xfId="30587" xr:uid="{00000000-0005-0000-0000-0000175A0000}"/>
    <cellStyle name="40% - Accent1 9 7 3" xfId="30588" xr:uid="{00000000-0005-0000-0000-0000185A0000}"/>
    <cellStyle name="40% - Accent1 9 8" xfId="30589" xr:uid="{00000000-0005-0000-0000-0000195A0000}"/>
    <cellStyle name="40% - Accent1 9 8 2" xfId="30590" xr:uid="{00000000-0005-0000-0000-00001A5A0000}"/>
    <cellStyle name="40% - Accent1 9 9" xfId="30591" xr:uid="{00000000-0005-0000-0000-00001B5A0000}"/>
    <cellStyle name="40% - Accent2" xfId="62" builtinId="35" customBuiltin="1"/>
    <cellStyle name="40% - Accent2 10" xfId="30592" xr:uid="{00000000-0005-0000-0000-00001D5A0000}"/>
    <cellStyle name="40% - Accent2 10 2" xfId="30593" xr:uid="{00000000-0005-0000-0000-00001E5A0000}"/>
    <cellStyle name="40% - Accent2 10 2 2" xfId="30594" xr:uid="{00000000-0005-0000-0000-00001F5A0000}"/>
    <cellStyle name="40% - Accent2 10 2 2 2" xfId="30595" xr:uid="{00000000-0005-0000-0000-0000205A0000}"/>
    <cellStyle name="40% - Accent2 10 2 3" xfId="30596" xr:uid="{00000000-0005-0000-0000-0000215A0000}"/>
    <cellStyle name="40% - Accent2 10 3" xfId="30597" xr:uid="{00000000-0005-0000-0000-0000225A0000}"/>
    <cellStyle name="40% - Accent2 10 3 2" xfId="30598" xr:uid="{00000000-0005-0000-0000-0000235A0000}"/>
    <cellStyle name="40% - Accent2 10 3 2 2" xfId="30599" xr:uid="{00000000-0005-0000-0000-0000245A0000}"/>
    <cellStyle name="40% - Accent2 10 3 3" xfId="30600" xr:uid="{00000000-0005-0000-0000-0000255A0000}"/>
    <cellStyle name="40% - Accent2 10 4" xfId="30601" xr:uid="{00000000-0005-0000-0000-0000265A0000}"/>
    <cellStyle name="40% - Accent2 10 4 2" xfId="30602" xr:uid="{00000000-0005-0000-0000-0000275A0000}"/>
    <cellStyle name="40% - Accent2 10 5" xfId="30603" xr:uid="{00000000-0005-0000-0000-0000285A0000}"/>
    <cellStyle name="40% - Accent2 11" xfId="30604" xr:uid="{00000000-0005-0000-0000-0000295A0000}"/>
    <cellStyle name="40% - Accent2 11 2" xfId="30605" xr:uid="{00000000-0005-0000-0000-00002A5A0000}"/>
    <cellStyle name="40% - Accent2 11 2 2" xfId="30606" xr:uid="{00000000-0005-0000-0000-00002B5A0000}"/>
    <cellStyle name="40% - Accent2 11 3" xfId="30607" xr:uid="{00000000-0005-0000-0000-00002C5A0000}"/>
    <cellStyle name="40% - Accent2 12" xfId="30608" xr:uid="{00000000-0005-0000-0000-00002D5A0000}"/>
    <cellStyle name="40% - Accent2 12 2" xfId="30609" xr:uid="{00000000-0005-0000-0000-00002E5A0000}"/>
    <cellStyle name="40% - Accent2 12 2 2" xfId="30610" xr:uid="{00000000-0005-0000-0000-00002F5A0000}"/>
    <cellStyle name="40% - Accent2 12 3" xfId="30611" xr:uid="{00000000-0005-0000-0000-0000305A0000}"/>
    <cellStyle name="40% - Accent2 13" xfId="30612" xr:uid="{00000000-0005-0000-0000-0000315A0000}"/>
    <cellStyle name="40% - Accent2 13 2" xfId="30613" xr:uid="{00000000-0005-0000-0000-0000325A0000}"/>
    <cellStyle name="40% - Accent2 13 2 2" xfId="30614" xr:uid="{00000000-0005-0000-0000-0000335A0000}"/>
    <cellStyle name="40% - Accent2 13 3" xfId="30615" xr:uid="{00000000-0005-0000-0000-0000345A0000}"/>
    <cellStyle name="40% - Accent2 14" xfId="30616" xr:uid="{00000000-0005-0000-0000-0000355A0000}"/>
    <cellStyle name="40% - Accent2 14 2" xfId="30617" xr:uid="{00000000-0005-0000-0000-0000365A0000}"/>
    <cellStyle name="40% - Accent2 14 2 2" xfId="30618" xr:uid="{00000000-0005-0000-0000-0000375A0000}"/>
    <cellStyle name="40% - Accent2 14 3" xfId="30619" xr:uid="{00000000-0005-0000-0000-0000385A0000}"/>
    <cellStyle name="40% - Accent2 15" xfId="30620" xr:uid="{00000000-0005-0000-0000-0000395A0000}"/>
    <cellStyle name="40% - Accent2 15 2" xfId="30621" xr:uid="{00000000-0005-0000-0000-00003A5A0000}"/>
    <cellStyle name="40% - Accent2 15 2 2" xfId="30622" xr:uid="{00000000-0005-0000-0000-00003B5A0000}"/>
    <cellStyle name="40% - Accent2 15 3" xfId="30623" xr:uid="{00000000-0005-0000-0000-00003C5A0000}"/>
    <cellStyle name="40% - Accent2 16" xfId="30624" xr:uid="{00000000-0005-0000-0000-00003D5A0000}"/>
    <cellStyle name="40% - Accent2 16 2" xfId="30625" xr:uid="{00000000-0005-0000-0000-00003E5A0000}"/>
    <cellStyle name="40% - Accent2 16 2 2" xfId="30626" xr:uid="{00000000-0005-0000-0000-00003F5A0000}"/>
    <cellStyle name="40% - Accent2 16 2 2 2" xfId="30627" xr:uid="{00000000-0005-0000-0000-0000405A0000}"/>
    <cellStyle name="40% - Accent2 16 2 2 2 2" xfId="30628" xr:uid="{00000000-0005-0000-0000-0000415A0000}"/>
    <cellStyle name="40% - Accent2 16 2 2 2 2 2" xfId="30629" xr:uid="{00000000-0005-0000-0000-0000425A0000}"/>
    <cellStyle name="40% - Accent2 16 2 2 2 3" xfId="30630" xr:uid="{00000000-0005-0000-0000-0000435A0000}"/>
    <cellStyle name="40% - Accent2 16 2 2 3" xfId="30631" xr:uid="{00000000-0005-0000-0000-0000445A0000}"/>
    <cellStyle name="40% - Accent2 16 2 2 3 2" xfId="30632" xr:uid="{00000000-0005-0000-0000-0000455A0000}"/>
    <cellStyle name="40% - Accent2 16 2 2 3 2 2" xfId="30633" xr:uid="{00000000-0005-0000-0000-0000465A0000}"/>
    <cellStyle name="40% - Accent2 16 2 2 3 3" xfId="30634" xr:uid="{00000000-0005-0000-0000-0000475A0000}"/>
    <cellStyle name="40% - Accent2 16 2 2 4" xfId="30635" xr:uid="{00000000-0005-0000-0000-0000485A0000}"/>
    <cellStyle name="40% - Accent2 16 2 2 4 2" xfId="30636" xr:uid="{00000000-0005-0000-0000-0000495A0000}"/>
    <cellStyle name="40% - Accent2 16 2 2 5" xfId="30637" xr:uid="{00000000-0005-0000-0000-00004A5A0000}"/>
    <cellStyle name="40% - Accent2 16 2 3" xfId="30638" xr:uid="{00000000-0005-0000-0000-00004B5A0000}"/>
    <cellStyle name="40% - Accent2 16 2 3 2" xfId="30639" xr:uid="{00000000-0005-0000-0000-00004C5A0000}"/>
    <cellStyle name="40% - Accent2 16 2 3 2 2" xfId="30640" xr:uid="{00000000-0005-0000-0000-00004D5A0000}"/>
    <cellStyle name="40% - Accent2 16 2 3 2 2 2" xfId="30641" xr:uid="{00000000-0005-0000-0000-00004E5A0000}"/>
    <cellStyle name="40% - Accent2 16 2 3 2 3" xfId="30642" xr:uid="{00000000-0005-0000-0000-00004F5A0000}"/>
    <cellStyle name="40% - Accent2 16 2 3 3" xfId="30643" xr:uid="{00000000-0005-0000-0000-0000505A0000}"/>
    <cellStyle name="40% - Accent2 16 2 3 3 2" xfId="30644" xr:uid="{00000000-0005-0000-0000-0000515A0000}"/>
    <cellStyle name="40% - Accent2 16 2 3 3 2 2" xfId="30645" xr:uid="{00000000-0005-0000-0000-0000525A0000}"/>
    <cellStyle name="40% - Accent2 16 2 3 3 3" xfId="30646" xr:uid="{00000000-0005-0000-0000-0000535A0000}"/>
    <cellStyle name="40% - Accent2 16 2 3 4" xfId="30647" xr:uid="{00000000-0005-0000-0000-0000545A0000}"/>
    <cellStyle name="40% - Accent2 16 2 3 4 2" xfId="30648" xr:uid="{00000000-0005-0000-0000-0000555A0000}"/>
    <cellStyle name="40% - Accent2 16 2 3 5" xfId="30649" xr:uid="{00000000-0005-0000-0000-0000565A0000}"/>
    <cellStyle name="40% - Accent2 16 2 4" xfId="30650" xr:uid="{00000000-0005-0000-0000-0000575A0000}"/>
    <cellStyle name="40% - Accent2 16 2 4 2" xfId="30651" xr:uid="{00000000-0005-0000-0000-0000585A0000}"/>
    <cellStyle name="40% - Accent2 16 2 4 2 2" xfId="30652" xr:uid="{00000000-0005-0000-0000-0000595A0000}"/>
    <cellStyle name="40% - Accent2 16 2 4 2 2 2" xfId="30653" xr:uid="{00000000-0005-0000-0000-00005A5A0000}"/>
    <cellStyle name="40% - Accent2 16 2 4 2 3" xfId="30654" xr:uid="{00000000-0005-0000-0000-00005B5A0000}"/>
    <cellStyle name="40% - Accent2 16 2 4 3" xfId="30655" xr:uid="{00000000-0005-0000-0000-00005C5A0000}"/>
    <cellStyle name="40% - Accent2 16 2 4 3 2" xfId="30656" xr:uid="{00000000-0005-0000-0000-00005D5A0000}"/>
    <cellStyle name="40% - Accent2 16 2 4 3 2 2" xfId="30657" xr:uid="{00000000-0005-0000-0000-00005E5A0000}"/>
    <cellStyle name="40% - Accent2 16 2 4 3 3" xfId="30658" xr:uid="{00000000-0005-0000-0000-00005F5A0000}"/>
    <cellStyle name="40% - Accent2 16 2 4 4" xfId="30659" xr:uid="{00000000-0005-0000-0000-0000605A0000}"/>
    <cellStyle name="40% - Accent2 16 2 4 4 2" xfId="30660" xr:uid="{00000000-0005-0000-0000-0000615A0000}"/>
    <cellStyle name="40% - Accent2 16 2 4 5" xfId="30661" xr:uid="{00000000-0005-0000-0000-0000625A0000}"/>
    <cellStyle name="40% - Accent2 16 2 5" xfId="30662" xr:uid="{00000000-0005-0000-0000-0000635A0000}"/>
    <cellStyle name="40% - Accent2 16 2 5 2" xfId="30663" xr:uid="{00000000-0005-0000-0000-0000645A0000}"/>
    <cellStyle name="40% - Accent2 16 2 5 2 2" xfId="30664" xr:uid="{00000000-0005-0000-0000-0000655A0000}"/>
    <cellStyle name="40% - Accent2 16 2 5 2 2 2" xfId="30665" xr:uid="{00000000-0005-0000-0000-0000665A0000}"/>
    <cellStyle name="40% - Accent2 16 2 5 2 3" xfId="30666" xr:uid="{00000000-0005-0000-0000-0000675A0000}"/>
    <cellStyle name="40% - Accent2 16 2 5 3" xfId="30667" xr:uid="{00000000-0005-0000-0000-0000685A0000}"/>
    <cellStyle name="40% - Accent2 16 2 5 3 2" xfId="30668" xr:uid="{00000000-0005-0000-0000-0000695A0000}"/>
    <cellStyle name="40% - Accent2 16 2 5 4" xfId="30669" xr:uid="{00000000-0005-0000-0000-00006A5A0000}"/>
    <cellStyle name="40% - Accent2 16 2 6" xfId="30670" xr:uid="{00000000-0005-0000-0000-00006B5A0000}"/>
    <cellStyle name="40% - Accent2 16 2 6 2" xfId="30671" xr:uid="{00000000-0005-0000-0000-00006C5A0000}"/>
    <cellStyle name="40% - Accent2 16 2 6 2 2" xfId="30672" xr:uid="{00000000-0005-0000-0000-00006D5A0000}"/>
    <cellStyle name="40% - Accent2 16 2 6 3" xfId="30673" xr:uid="{00000000-0005-0000-0000-00006E5A0000}"/>
    <cellStyle name="40% - Accent2 16 2 7" xfId="30674" xr:uid="{00000000-0005-0000-0000-00006F5A0000}"/>
    <cellStyle name="40% - Accent2 16 2 7 2" xfId="30675" xr:uid="{00000000-0005-0000-0000-0000705A0000}"/>
    <cellStyle name="40% - Accent2 16 2 8" xfId="30676" xr:uid="{00000000-0005-0000-0000-0000715A0000}"/>
    <cellStyle name="40% - Accent2 16 3" xfId="30677" xr:uid="{00000000-0005-0000-0000-0000725A0000}"/>
    <cellStyle name="40% - Accent2 16 3 2" xfId="30678" xr:uid="{00000000-0005-0000-0000-0000735A0000}"/>
    <cellStyle name="40% - Accent2 16 3 2 2" xfId="30679" xr:uid="{00000000-0005-0000-0000-0000745A0000}"/>
    <cellStyle name="40% - Accent2 16 3 2 2 2" xfId="30680" xr:uid="{00000000-0005-0000-0000-0000755A0000}"/>
    <cellStyle name="40% - Accent2 16 3 2 3" xfId="30681" xr:uid="{00000000-0005-0000-0000-0000765A0000}"/>
    <cellStyle name="40% - Accent2 16 3 3" xfId="30682" xr:uid="{00000000-0005-0000-0000-0000775A0000}"/>
    <cellStyle name="40% - Accent2 16 3 3 2" xfId="30683" xr:uid="{00000000-0005-0000-0000-0000785A0000}"/>
    <cellStyle name="40% - Accent2 16 3 3 2 2" xfId="30684" xr:uid="{00000000-0005-0000-0000-0000795A0000}"/>
    <cellStyle name="40% - Accent2 16 3 3 3" xfId="30685" xr:uid="{00000000-0005-0000-0000-00007A5A0000}"/>
    <cellStyle name="40% - Accent2 16 3 4" xfId="30686" xr:uid="{00000000-0005-0000-0000-00007B5A0000}"/>
    <cellStyle name="40% - Accent2 16 3 4 2" xfId="30687" xr:uid="{00000000-0005-0000-0000-00007C5A0000}"/>
    <cellStyle name="40% - Accent2 16 3 4 2 2" xfId="30688" xr:uid="{00000000-0005-0000-0000-00007D5A0000}"/>
    <cellStyle name="40% - Accent2 16 3 4 3" xfId="30689" xr:uid="{00000000-0005-0000-0000-00007E5A0000}"/>
    <cellStyle name="40% - Accent2 16 3 5" xfId="30690" xr:uid="{00000000-0005-0000-0000-00007F5A0000}"/>
    <cellStyle name="40% - Accent2 16 3 5 2" xfId="30691" xr:uid="{00000000-0005-0000-0000-0000805A0000}"/>
    <cellStyle name="40% - Accent2 16 3 6" xfId="30692" xr:uid="{00000000-0005-0000-0000-0000815A0000}"/>
    <cellStyle name="40% - Accent2 16 4" xfId="30693" xr:uid="{00000000-0005-0000-0000-0000825A0000}"/>
    <cellStyle name="40% - Accent2 16 4 2" xfId="30694" xr:uid="{00000000-0005-0000-0000-0000835A0000}"/>
    <cellStyle name="40% - Accent2 16 4 2 2" xfId="30695" xr:uid="{00000000-0005-0000-0000-0000845A0000}"/>
    <cellStyle name="40% - Accent2 16 4 2 2 2" xfId="30696" xr:uid="{00000000-0005-0000-0000-0000855A0000}"/>
    <cellStyle name="40% - Accent2 16 4 2 3" xfId="30697" xr:uid="{00000000-0005-0000-0000-0000865A0000}"/>
    <cellStyle name="40% - Accent2 16 4 3" xfId="30698" xr:uid="{00000000-0005-0000-0000-0000875A0000}"/>
    <cellStyle name="40% - Accent2 16 4 3 2" xfId="30699" xr:uid="{00000000-0005-0000-0000-0000885A0000}"/>
    <cellStyle name="40% - Accent2 16 4 3 2 2" xfId="30700" xr:uid="{00000000-0005-0000-0000-0000895A0000}"/>
    <cellStyle name="40% - Accent2 16 4 3 3" xfId="30701" xr:uid="{00000000-0005-0000-0000-00008A5A0000}"/>
    <cellStyle name="40% - Accent2 16 4 4" xfId="30702" xr:uid="{00000000-0005-0000-0000-00008B5A0000}"/>
    <cellStyle name="40% - Accent2 16 4 4 2" xfId="30703" xr:uid="{00000000-0005-0000-0000-00008C5A0000}"/>
    <cellStyle name="40% - Accent2 16 4 5" xfId="30704" xr:uid="{00000000-0005-0000-0000-00008D5A0000}"/>
    <cellStyle name="40% - Accent2 16 5" xfId="30705" xr:uid="{00000000-0005-0000-0000-00008E5A0000}"/>
    <cellStyle name="40% - Accent2 16 5 2" xfId="30706" xr:uid="{00000000-0005-0000-0000-00008F5A0000}"/>
    <cellStyle name="40% - Accent2 16 5 2 2" xfId="30707" xr:uid="{00000000-0005-0000-0000-0000905A0000}"/>
    <cellStyle name="40% - Accent2 16 5 2 2 2" xfId="30708" xr:uid="{00000000-0005-0000-0000-0000915A0000}"/>
    <cellStyle name="40% - Accent2 16 5 2 3" xfId="30709" xr:uid="{00000000-0005-0000-0000-0000925A0000}"/>
    <cellStyle name="40% - Accent2 16 5 3" xfId="30710" xr:uid="{00000000-0005-0000-0000-0000935A0000}"/>
    <cellStyle name="40% - Accent2 16 5 3 2" xfId="30711" xr:uid="{00000000-0005-0000-0000-0000945A0000}"/>
    <cellStyle name="40% - Accent2 16 5 3 2 2" xfId="30712" xr:uid="{00000000-0005-0000-0000-0000955A0000}"/>
    <cellStyle name="40% - Accent2 16 5 3 3" xfId="30713" xr:uid="{00000000-0005-0000-0000-0000965A0000}"/>
    <cellStyle name="40% - Accent2 16 5 4" xfId="30714" xr:uid="{00000000-0005-0000-0000-0000975A0000}"/>
    <cellStyle name="40% - Accent2 16 5 4 2" xfId="30715" xr:uid="{00000000-0005-0000-0000-0000985A0000}"/>
    <cellStyle name="40% - Accent2 16 5 5" xfId="30716" xr:uid="{00000000-0005-0000-0000-0000995A0000}"/>
    <cellStyle name="40% - Accent2 16 6" xfId="30717" xr:uid="{00000000-0005-0000-0000-00009A5A0000}"/>
    <cellStyle name="40% - Accent2 16 6 2" xfId="30718" xr:uid="{00000000-0005-0000-0000-00009B5A0000}"/>
    <cellStyle name="40% - Accent2 16 6 2 2" xfId="30719" xr:uid="{00000000-0005-0000-0000-00009C5A0000}"/>
    <cellStyle name="40% - Accent2 16 6 2 2 2" xfId="30720" xr:uid="{00000000-0005-0000-0000-00009D5A0000}"/>
    <cellStyle name="40% - Accent2 16 6 2 3" xfId="30721" xr:uid="{00000000-0005-0000-0000-00009E5A0000}"/>
    <cellStyle name="40% - Accent2 16 6 3" xfId="30722" xr:uid="{00000000-0005-0000-0000-00009F5A0000}"/>
    <cellStyle name="40% - Accent2 16 6 3 2" xfId="30723" xr:uid="{00000000-0005-0000-0000-0000A05A0000}"/>
    <cellStyle name="40% - Accent2 16 6 4" xfId="30724" xr:uid="{00000000-0005-0000-0000-0000A15A0000}"/>
    <cellStyle name="40% - Accent2 16 7" xfId="30725" xr:uid="{00000000-0005-0000-0000-0000A25A0000}"/>
    <cellStyle name="40% - Accent2 16 7 2" xfId="30726" xr:uid="{00000000-0005-0000-0000-0000A35A0000}"/>
    <cellStyle name="40% - Accent2 16 7 2 2" xfId="30727" xr:uid="{00000000-0005-0000-0000-0000A45A0000}"/>
    <cellStyle name="40% - Accent2 16 7 3" xfId="30728" xr:uid="{00000000-0005-0000-0000-0000A55A0000}"/>
    <cellStyle name="40% - Accent2 16 8" xfId="30729" xr:uid="{00000000-0005-0000-0000-0000A65A0000}"/>
    <cellStyle name="40% - Accent2 16 8 2" xfId="30730" xr:uid="{00000000-0005-0000-0000-0000A75A0000}"/>
    <cellStyle name="40% - Accent2 16 9" xfId="30731" xr:uid="{00000000-0005-0000-0000-0000A85A0000}"/>
    <cellStyle name="40% - Accent2 17" xfId="30732" xr:uid="{00000000-0005-0000-0000-0000A95A0000}"/>
    <cellStyle name="40% - Accent2 17 2" xfId="30733" xr:uid="{00000000-0005-0000-0000-0000AA5A0000}"/>
    <cellStyle name="40% - Accent2 17 2 2" xfId="30734" xr:uid="{00000000-0005-0000-0000-0000AB5A0000}"/>
    <cellStyle name="40% - Accent2 17 2 2 2" xfId="30735" xr:uid="{00000000-0005-0000-0000-0000AC5A0000}"/>
    <cellStyle name="40% - Accent2 17 2 2 2 2" xfId="30736" xr:uid="{00000000-0005-0000-0000-0000AD5A0000}"/>
    <cellStyle name="40% - Accent2 17 2 2 3" xfId="30737" xr:uid="{00000000-0005-0000-0000-0000AE5A0000}"/>
    <cellStyle name="40% - Accent2 17 2 3" xfId="30738" xr:uid="{00000000-0005-0000-0000-0000AF5A0000}"/>
    <cellStyle name="40% - Accent2 17 2 3 2" xfId="30739" xr:uid="{00000000-0005-0000-0000-0000B05A0000}"/>
    <cellStyle name="40% - Accent2 17 2 3 2 2" xfId="30740" xr:uid="{00000000-0005-0000-0000-0000B15A0000}"/>
    <cellStyle name="40% - Accent2 17 2 3 3" xfId="30741" xr:uid="{00000000-0005-0000-0000-0000B25A0000}"/>
    <cellStyle name="40% - Accent2 17 2 4" xfId="30742" xr:uid="{00000000-0005-0000-0000-0000B35A0000}"/>
    <cellStyle name="40% - Accent2 17 2 4 2" xfId="30743" xr:uid="{00000000-0005-0000-0000-0000B45A0000}"/>
    <cellStyle name="40% - Accent2 17 2 5" xfId="30744" xr:uid="{00000000-0005-0000-0000-0000B55A0000}"/>
    <cellStyle name="40% - Accent2 17 3" xfId="30745" xr:uid="{00000000-0005-0000-0000-0000B65A0000}"/>
    <cellStyle name="40% - Accent2 17 3 2" xfId="30746" xr:uid="{00000000-0005-0000-0000-0000B75A0000}"/>
    <cellStyle name="40% - Accent2 17 3 2 2" xfId="30747" xr:uid="{00000000-0005-0000-0000-0000B85A0000}"/>
    <cellStyle name="40% - Accent2 17 3 2 2 2" xfId="30748" xr:uid="{00000000-0005-0000-0000-0000B95A0000}"/>
    <cellStyle name="40% - Accent2 17 3 2 3" xfId="30749" xr:uid="{00000000-0005-0000-0000-0000BA5A0000}"/>
    <cellStyle name="40% - Accent2 17 3 3" xfId="30750" xr:uid="{00000000-0005-0000-0000-0000BB5A0000}"/>
    <cellStyle name="40% - Accent2 17 3 3 2" xfId="30751" xr:uid="{00000000-0005-0000-0000-0000BC5A0000}"/>
    <cellStyle name="40% - Accent2 17 3 3 2 2" xfId="30752" xr:uid="{00000000-0005-0000-0000-0000BD5A0000}"/>
    <cellStyle name="40% - Accent2 17 3 3 3" xfId="30753" xr:uid="{00000000-0005-0000-0000-0000BE5A0000}"/>
    <cellStyle name="40% - Accent2 17 3 4" xfId="30754" xr:uid="{00000000-0005-0000-0000-0000BF5A0000}"/>
    <cellStyle name="40% - Accent2 17 3 4 2" xfId="30755" xr:uid="{00000000-0005-0000-0000-0000C05A0000}"/>
    <cellStyle name="40% - Accent2 17 3 5" xfId="30756" xr:uid="{00000000-0005-0000-0000-0000C15A0000}"/>
    <cellStyle name="40% - Accent2 17 4" xfId="30757" xr:uid="{00000000-0005-0000-0000-0000C25A0000}"/>
    <cellStyle name="40% - Accent2 17 4 2" xfId="30758" xr:uid="{00000000-0005-0000-0000-0000C35A0000}"/>
    <cellStyle name="40% - Accent2 17 4 2 2" xfId="30759" xr:uid="{00000000-0005-0000-0000-0000C45A0000}"/>
    <cellStyle name="40% - Accent2 17 4 2 2 2" xfId="30760" xr:uid="{00000000-0005-0000-0000-0000C55A0000}"/>
    <cellStyle name="40% - Accent2 17 4 2 3" xfId="30761" xr:uid="{00000000-0005-0000-0000-0000C65A0000}"/>
    <cellStyle name="40% - Accent2 17 4 3" xfId="30762" xr:uid="{00000000-0005-0000-0000-0000C75A0000}"/>
    <cellStyle name="40% - Accent2 17 4 3 2" xfId="30763" xr:uid="{00000000-0005-0000-0000-0000C85A0000}"/>
    <cellStyle name="40% - Accent2 17 4 3 2 2" xfId="30764" xr:uid="{00000000-0005-0000-0000-0000C95A0000}"/>
    <cellStyle name="40% - Accent2 17 4 3 3" xfId="30765" xr:uid="{00000000-0005-0000-0000-0000CA5A0000}"/>
    <cellStyle name="40% - Accent2 17 4 4" xfId="30766" xr:uid="{00000000-0005-0000-0000-0000CB5A0000}"/>
    <cellStyle name="40% - Accent2 17 4 4 2" xfId="30767" xr:uid="{00000000-0005-0000-0000-0000CC5A0000}"/>
    <cellStyle name="40% - Accent2 17 4 5" xfId="30768" xr:uid="{00000000-0005-0000-0000-0000CD5A0000}"/>
    <cellStyle name="40% - Accent2 17 5" xfId="30769" xr:uid="{00000000-0005-0000-0000-0000CE5A0000}"/>
    <cellStyle name="40% - Accent2 17 5 2" xfId="30770" xr:uid="{00000000-0005-0000-0000-0000CF5A0000}"/>
    <cellStyle name="40% - Accent2 17 5 2 2" xfId="30771" xr:uid="{00000000-0005-0000-0000-0000D05A0000}"/>
    <cellStyle name="40% - Accent2 17 5 2 2 2" xfId="30772" xr:uid="{00000000-0005-0000-0000-0000D15A0000}"/>
    <cellStyle name="40% - Accent2 17 5 2 3" xfId="30773" xr:uid="{00000000-0005-0000-0000-0000D25A0000}"/>
    <cellStyle name="40% - Accent2 17 5 3" xfId="30774" xr:uid="{00000000-0005-0000-0000-0000D35A0000}"/>
    <cellStyle name="40% - Accent2 17 5 3 2" xfId="30775" xr:uid="{00000000-0005-0000-0000-0000D45A0000}"/>
    <cellStyle name="40% - Accent2 17 5 4" xfId="30776" xr:uid="{00000000-0005-0000-0000-0000D55A0000}"/>
    <cellStyle name="40% - Accent2 17 6" xfId="30777" xr:uid="{00000000-0005-0000-0000-0000D65A0000}"/>
    <cellStyle name="40% - Accent2 17 6 2" xfId="30778" xr:uid="{00000000-0005-0000-0000-0000D75A0000}"/>
    <cellStyle name="40% - Accent2 17 6 2 2" xfId="30779" xr:uid="{00000000-0005-0000-0000-0000D85A0000}"/>
    <cellStyle name="40% - Accent2 17 6 3" xfId="30780" xr:uid="{00000000-0005-0000-0000-0000D95A0000}"/>
    <cellStyle name="40% - Accent2 17 7" xfId="30781" xr:uid="{00000000-0005-0000-0000-0000DA5A0000}"/>
    <cellStyle name="40% - Accent2 17 7 2" xfId="30782" xr:uid="{00000000-0005-0000-0000-0000DB5A0000}"/>
    <cellStyle name="40% - Accent2 17 8" xfId="30783" xr:uid="{00000000-0005-0000-0000-0000DC5A0000}"/>
    <cellStyle name="40% - Accent2 18" xfId="30784" xr:uid="{00000000-0005-0000-0000-0000DD5A0000}"/>
    <cellStyle name="40% - Accent2 18 2" xfId="30785" xr:uid="{00000000-0005-0000-0000-0000DE5A0000}"/>
    <cellStyle name="40% - Accent2 18 2 2" xfId="30786" xr:uid="{00000000-0005-0000-0000-0000DF5A0000}"/>
    <cellStyle name="40% - Accent2 18 2 2 2" xfId="30787" xr:uid="{00000000-0005-0000-0000-0000E05A0000}"/>
    <cellStyle name="40% - Accent2 18 2 2 2 2" xfId="30788" xr:uid="{00000000-0005-0000-0000-0000E15A0000}"/>
    <cellStyle name="40% - Accent2 18 2 2 3" xfId="30789" xr:uid="{00000000-0005-0000-0000-0000E25A0000}"/>
    <cellStyle name="40% - Accent2 18 2 3" xfId="30790" xr:uid="{00000000-0005-0000-0000-0000E35A0000}"/>
    <cellStyle name="40% - Accent2 18 2 3 2" xfId="30791" xr:uid="{00000000-0005-0000-0000-0000E45A0000}"/>
    <cellStyle name="40% - Accent2 18 2 4" xfId="30792" xr:uid="{00000000-0005-0000-0000-0000E55A0000}"/>
    <cellStyle name="40% - Accent2 18 3" xfId="30793" xr:uid="{00000000-0005-0000-0000-0000E65A0000}"/>
    <cellStyle name="40% - Accent2 18 3 2" xfId="30794" xr:uid="{00000000-0005-0000-0000-0000E75A0000}"/>
    <cellStyle name="40% - Accent2 18 3 2 2" xfId="30795" xr:uid="{00000000-0005-0000-0000-0000E85A0000}"/>
    <cellStyle name="40% - Accent2 18 3 2 2 2" xfId="30796" xr:uid="{00000000-0005-0000-0000-0000E95A0000}"/>
    <cellStyle name="40% - Accent2 18 3 2 3" xfId="30797" xr:uid="{00000000-0005-0000-0000-0000EA5A0000}"/>
    <cellStyle name="40% - Accent2 18 3 3" xfId="30798" xr:uid="{00000000-0005-0000-0000-0000EB5A0000}"/>
    <cellStyle name="40% - Accent2 18 3 3 2" xfId="30799" xr:uid="{00000000-0005-0000-0000-0000EC5A0000}"/>
    <cellStyle name="40% - Accent2 18 3 4" xfId="30800" xr:uid="{00000000-0005-0000-0000-0000ED5A0000}"/>
    <cellStyle name="40% - Accent2 18 4" xfId="30801" xr:uid="{00000000-0005-0000-0000-0000EE5A0000}"/>
    <cellStyle name="40% - Accent2 18 4 2" xfId="30802" xr:uid="{00000000-0005-0000-0000-0000EF5A0000}"/>
    <cellStyle name="40% - Accent2 18 4 2 2" xfId="30803" xr:uid="{00000000-0005-0000-0000-0000F05A0000}"/>
    <cellStyle name="40% - Accent2 18 4 3" xfId="30804" xr:uid="{00000000-0005-0000-0000-0000F15A0000}"/>
    <cellStyle name="40% - Accent2 18 5" xfId="30805" xr:uid="{00000000-0005-0000-0000-0000F25A0000}"/>
    <cellStyle name="40% - Accent2 18 5 2" xfId="30806" xr:uid="{00000000-0005-0000-0000-0000F35A0000}"/>
    <cellStyle name="40% - Accent2 18 6" xfId="30807" xr:uid="{00000000-0005-0000-0000-0000F45A0000}"/>
    <cellStyle name="40% - Accent2 19" xfId="30808" xr:uid="{00000000-0005-0000-0000-0000F55A0000}"/>
    <cellStyle name="40% - Accent2 19 2" xfId="30809" xr:uid="{00000000-0005-0000-0000-0000F65A0000}"/>
    <cellStyle name="40% - Accent2 19 2 2" xfId="30810" xr:uid="{00000000-0005-0000-0000-0000F75A0000}"/>
    <cellStyle name="40% - Accent2 19 3" xfId="30811" xr:uid="{00000000-0005-0000-0000-0000F85A0000}"/>
    <cellStyle name="40% - Accent2 2" xfId="90" xr:uid="{00000000-0005-0000-0000-0000F95A0000}"/>
    <cellStyle name="40% - Accent2 2 10" xfId="1002" xr:uid="{00000000-0005-0000-0000-0000FA5A0000}"/>
    <cellStyle name="40% - Accent2 2 10 10" xfId="45508" xr:uid="{00000000-0005-0000-0000-0000FB5A0000}"/>
    <cellStyle name="40% - Accent2 2 10 11" xfId="50986" xr:uid="{00000000-0005-0000-0000-0000FC5A0000}"/>
    <cellStyle name="40% - Accent2 2 10 2" xfId="2763" xr:uid="{00000000-0005-0000-0000-0000FD5A0000}"/>
    <cellStyle name="40% - Accent2 2 10 2 2" xfId="8243" xr:uid="{00000000-0005-0000-0000-0000FE5A0000}"/>
    <cellStyle name="40% - Accent2 2 10 2 3" xfId="13719" xr:uid="{00000000-0005-0000-0000-0000FF5A0000}"/>
    <cellStyle name="40% - Accent2 2 10 2 4" xfId="19195" xr:uid="{00000000-0005-0000-0000-0000005B0000}"/>
    <cellStyle name="40% - Accent2 2 10 2 5" xfId="24671" xr:uid="{00000000-0005-0000-0000-0000015B0000}"/>
    <cellStyle name="40% - Accent2 2 10 2 6" xfId="36467" xr:uid="{00000000-0005-0000-0000-0000025B0000}"/>
    <cellStyle name="40% - Accent2 2 10 2 7" xfId="41944" xr:uid="{00000000-0005-0000-0000-0000035B0000}"/>
    <cellStyle name="40% - Accent2 2 10 2 8" xfId="47421" xr:uid="{00000000-0005-0000-0000-0000045B0000}"/>
    <cellStyle name="40% - Accent2 2 10 2 9" xfId="52939" xr:uid="{00000000-0005-0000-0000-0000055B0000}"/>
    <cellStyle name="40% - Accent2 2 10 3" xfId="4535" xr:uid="{00000000-0005-0000-0000-0000065B0000}"/>
    <cellStyle name="40% - Accent2 2 10 3 2" xfId="10015" xr:uid="{00000000-0005-0000-0000-0000075B0000}"/>
    <cellStyle name="40% - Accent2 2 10 3 3" xfId="15491" xr:uid="{00000000-0005-0000-0000-0000085B0000}"/>
    <cellStyle name="40% - Accent2 2 10 3 4" xfId="20967" xr:uid="{00000000-0005-0000-0000-0000095B0000}"/>
    <cellStyle name="40% - Accent2 2 10 3 5" xfId="26443" xr:uid="{00000000-0005-0000-0000-00000A5B0000}"/>
    <cellStyle name="40% - Accent2 2 10 3 6" xfId="38239" xr:uid="{00000000-0005-0000-0000-00000B5B0000}"/>
    <cellStyle name="40% - Accent2 2 10 3 7" xfId="43716" xr:uid="{00000000-0005-0000-0000-00000C5B0000}"/>
    <cellStyle name="40% - Accent2 2 10 3 8" xfId="49193" xr:uid="{00000000-0005-0000-0000-00000D5B0000}"/>
    <cellStyle name="40% - Accent2 2 10 3 9" xfId="54711" xr:uid="{00000000-0005-0000-0000-00000E5B0000}"/>
    <cellStyle name="40% - Accent2 2 10 4" xfId="6327" xr:uid="{00000000-0005-0000-0000-00000F5B0000}"/>
    <cellStyle name="40% - Accent2 2 10 5" xfId="11807" xr:uid="{00000000-0005-0000-0000-0000105B0000}"/>
    <cellStyle name="40% - Accent2 2 10 6" xfId="17283" xr:uid="{00000000-0005-0000-0000-0000115B0000}"/>
    <cellStyle name="40% - Accent2 2 10 7" xfId="22759" xr:uid="{00000000-0005-0000-0000-0000125B0000}"/>
    <cellStyle name="40% - Accent2 2 10 8" xfId="34554" xr:uid="{00000000-0005-0000-0000-0000135B0000}"/>
    <cellStyle name="40% - Accent2 2 10 9" xfId="40031" xr:uid="{00000000-0005-0000-0000-0000145B0000}"/>
    <cellStyle name="40% - Accent2 2 11" xfId="1019" xr:uid="{00000000-0005-0000-0000-0000155B0000}"/>
    <cellStyle name="40% - Accent2 2 11 10" xfId="45509" xr:uid="{00000000-0005-0000-0000-0000165B0000}"/>
    <cellStyle name="40% - Accent2 2 11 11" xfId="50987" xr:uid="{00000000-0005-0000-0000-0000175B0000}"/>
    <cellStyle name="40% - Accent2 2 11 2" xfId="2780" xr:uid="{00000000-0005-0000-0000-0000185B0000}"/>
    <cellStyle name="40% - Accent2 2 11 2 2" xfId="8260" xr:uid="{00000000-0005-0000-0000-0000195B0000}"/>
    <cellStyle name="40% - Accent2 2 11 2 3" xfId="13736" xr:uid="{00000000-0005-0000-0000-00001A5B0000}"/>
    <cellStyle name="40% - Accent2 2 11 2 4" xfId="19212" xr:uid="{00000000-0005-0000-0000-00001B5B0000}"/>
    <cellStyle name="40% - Accent2 2 11 2 5" xfId="24688" xr:uid="{00000000-0005-0000-0000-00001C5B0000}"/>
    <cellStyle name="40% - Accent2 2 11 2 6" xfId="36484" xr:uid="{00000000-0005-0000-0000-00001D5B0000}"/>
    <cellStyle name="40% - Accent2 2 11 2 7" xfId="41961" xr:uid="{00000000-0005-0000-0000-00001E5B0000}"/>
    <cellStyle name="40% - Accent2 2 11 2 8" xfId="47438" xr:uid="{00000000-0005-0000-0000-00001F5B0000}"/>
    <cellStyle name="40% - Accent2 2 11 2 9" xfId="52956" xr:uid="{00000000-0005-0000-0000-0000205B0000}"/>
    <cellStyle name="40% - Accent2 2 11 3" xfId="4552" xr:uid="{00000000-0005-0000-0000-0000215B0000}"/>
    <cellStyle name="40% - Accent2 2 11 3 2" xfId="10032" xr:uid="{00000000-0005-0000-0000-0000225B0000}"/>
    <cellStyle name="40% - Accent2 2 11 3 3" xfId="15508" xr:uid="{00000000-0005-0000-0000-0000235B0000}"/>
    <cellStyle name="40% - Accent2 2 11 3 4" xfId="20984" xr:uid="{00000000-0005-0000-0000-0000245B0000}"/>
    <cellStyle name="40% - Accent2 2 11 3 5" xfId="26460" xr:uid="{00000000-0005-0000-0000-0000255B0000}"/>
    <cellStyle name="40% - Accent2 2 11 3 6" xfId="38256" xr:uid="{00000000-0005-0000-0000-0000265B0000}"/>
    <cellStyle name="40% - Accent2 2 11 3 7" xfId="43733" xr:uid="{00000000-0005-0000-0000-0000275B0000}"/>
    <cellStyle name="40% - Accent2 2 11 3 8" xfId="49210" xr:uid="{00000000-0005-0000-0000-0000285B0000}"/>
    <cellStyle name="40% - Accent2 2 11 3 9" xfId="54728" xr:uid="{00000000-0005-0000-0000-0000295B0000}"/>
    <cellStyle name="40% - Accent2 2 11 4" xfId="6328" xr:uid="{00000000-0005-0000-0000-00002A5B0000}"/>
    <cellStyle name="40% - Accent2 2 11 5" xfId="11808" xr:uid="{00000000-0005-0000-0000-00002B5B0000}"/>
    <cellStyle name="40% - Accent2 2 11 6" xfId="17284" xr:uid="{00000000-0005-0000-0000-00002C5B0000}"/>
    <cellStyle name="40% - Accent2 2 11 7" xfId="22760" xr:uid="{00000000-0005-0000-0000-00002D5B0000}"/>
    <cellStyle name="40% - Accent2 2 11 8" xfId="34555" xr:uid="{00000000-0005-0000-0000-00002E5B0000}"/>
    <cellStyle name="40% - Accent2 2 11 9" xfId="40032" xr:uid="{00000000-0005-0000-0000-00002F5B0000}"/>
    <cellStyle name="40% - Accent2 2 12" xfId="1099" xr:uid="{00000000-0005-0000-0000-0000305B0000}"/>
    <cellStyle name="40% - Accent2 2 12 10" xfId="45510" xr:uid="{00000000-0005-0000-0000-0000315B0000}"/>
    <cellStyle name="40% - Accent2 2 12 11" xfId="50988" xr:uid="{00000000-0005-0000-0000-0000325B0000}"/>
    <cellStyle name="40% - Accent2 2 12 2" xfId="2860" xr:uid="{00000000-0005-0000-0000-0000335B0000}"/>
    <cellStyle name="40% - Accent2 2 12 2 2" xfId="8340" xr:uid="{00000000-0005-0000-0000-0000345B0000}"/>
    <cellStyle name="40% - Accent2 2 12 2 3" xfId="13816" xr:uid="{00000000-0005-0000-0000-0000355B0000}"/>
    <cellStyle name="40% - Accent2 2 12 2 4" xfId="19292" xr:uid="{00000000-0005-0000-0000-0000365B0000}"/>
    <cellStyle name="40% - Accent2 2 12 2 5" xfId="24768" xr:uid="{00000000-0005-0000-0000-0000375B0000}"/>
    <cellStyle name="40% - Accent2 2 12 2 6" xfId="36564" xr:uid="{00000000-0005-0000-0000-0000385B0000}"/>
    <cellStyle name="40% - Accent2 2 12 2 7" xfId="42041" xr:uid="{00000000-0005-0000-0000-0000395B0000}"/>
    <cellStyle name="40% - Accent2 2 12 2 8" xfId="47518" xr:uid="{00000000-0005-0000-0000-00003A5B0000}"/>
    <cellStyle name="40% - Accent2 2 12 2 9" xfId="53036" xr:uid="{00000000-0005-0000-0000-00003B5B0000}"/>
    <cellStyle name="40% - Accent2 2 12 3" xfId="4632" xr:uid="{00000000-0005-0000-0000-00003C5B0000}"/>
    <cellStyle name="40% - Accent2 2 12 3 2" xfId="10112" xr:uid="{00000000-0005-0000-0000-00003D5B0000}"/>
    <cellStyle name="40% - Accent2 2 12 3 3" xfId="15588" xr:uid="{00000000-0005-0000-0000-00003E5B0000}"/>
    <cellStyle name="40% - Accent2 2 12 3 4" xfId="21064" xr:uid="{00000000-0005-0000-0000-00003F5B0000}"/>
    <cellStyle name="40% - Accent2 2 12 3 5" xfId="26540" xr:uid="{00000000-0005-0000-0000-0000405B0000}"/>
    <cellStyle name="40% - Accent2 2 12 3 6" xfId="38336" xr:uid="{00000000-0005-0000-0000-0000415B0000}"/>
    <cellStyle name="40% - Accent2 2 12 3 7" xfId="43813" xr:uid="{00000000-0005-0000-0000-0000425B0000}"/>
    <cellStyle name="40% - Accent2 2 12 3 8" xfId="49290" xr:uid="{00000000-0005-0000-0000-0000435B0000}"/>
    <cellStyle name="40% - Accent2 2 12 3 9" xfId="54808" xr:uid="{00000000-0005-0000-0000-0000445B0000}"/>
    <cellStyle name="40% - Accent2 2 12 4" xfId="6329" xr:uid="{00000000-0005-0000-0000-0000455B0000}"/>
    <cellStyle name="40% - Accent2 2 12 5" xfId="11809" xr:uid="{00000000-0005-0000-0000-0000465B0000}"/>
    <cellStyle name="40% - Accent2 2 12 6" xfId="17285" xr:uid="{00000000-0005-0000-0000-0000475B0000}"/>
    <cellStyle name="40% - Accent2 2 12 7" xfId="22761" xr:uid="{00000000-0005-0000-0000-0000485B0000}"/>
    <cellStyle name="40% - Accent2 2 12 8" xfId="34556" xr:uid="{00000000-0005-0000-0000-0000495B0000}"/>
    <cellStyle name="40% - Accent2 2 12 9" xfId="40033" xr:uid="{00000000-0005-0000-0000-00004A5B0000}"/>
    <cellStyle name="40% - Accent2 2 13" xfId="1271" xr:uid="{00000000-0005-0000-0000-00004B5B0000}"/>
    <cellStyle name="40% - Accent2 2 13 10" xfId="45511" xr:uid="{00000000-0005-0000-0000-00004C5B0000}"/>
    <cellStyle name="40% - Accent2 2 13 11" xfId="50989" xr:uid="{00000000-0005-0000-0000-00004D5B0000}"/>
    <cellStyle name="40% - Accent2 2 13 2" xfId="3032" xr:uid="{00000000-0005-0000-0000-00004E5B0000}"/>
    <cellStyle name="40% - Accent2 2 13 2 2" xfId="8512" xr:uid="{00000000-0005-0000-0000-00004F5B0000}"/>
    <cellStyle name="40% - Accent2 2 13 2 3" xfId="13988" xr:uid="{00000000-0005-0000-0000-0000505B0000}"/>
    <cellStyle name="40% - Accent2 2 13 2 4" xfId="19464" xr:uid="{00000000-0005-0000-0000-0000515B0000}"/>
    <cellStyle name="40% - Accent2 2 13 2 5" xfId="24940" xr:uid="{00000000-0005-0000-0000-0000525B0000}"/>
    <cellStyle name="40% - Accent2 2 13 2 6" xfId="36736" xr:uid="{00000000-0005-0000-0000-0000535B0000}"/>
    <cellStyle name="40% - Accent2 2 13 2 7" xfId="42213" xr:uid="{00000000-0005-0000-0000-0000545B0000}"/>
    <cellStyle name="40% - Accent2 2 13 2 8" xfId="47690" xr:uid="{00000000-0005-0000-0000-0000555B0000}"/>
    <cellStyle name="40% - Accent2 2 13 2 9" xfId="53208" xr:uid="{00000000-0005-0000-0000-0000565B0000}"/>
    <cellStyle name="40% - Accent2 2 13 3" xfId="4804" xr:uid="{00000000-0005-0000-0000-0000575B0000}"/>
    <cellStyle name="40% - Accent2 2 13 3 2" xfId="10284" xr:uid="{00000000-0005-0000-0000-0000585B0000}"/>
    <cellStyle name="40% - Accent2 2 13 3 3" xfId="15760" xr:uid="{00000000-0005-0000-0000-0000595B0000}"/>
    <cellStyle name="40% - Accent2 2 13 3 4" xfId="21236" xr:uid="{00000000-0005-0000-0000-00005A5B0000}"/>
    <cellStyle name="40% - Accent2 2 13 3 5" xfId="26712" xr:uid="{00000000-0005-0000-0000-00005B5B0000}"/>
    <cellStyle name="40% - Accent2 2 13 3 6" xfId="38508" xr:uid="{00000000-0005-0000-0000-00005C5B0000}"/>
    <cellStyle name="40% - Accent2 2 13 3 7" xfId="43985" xr:uid="{00000000-0005-0000-0000-00005D5B0000}"/>
    <cellStyle name="40% - Accent2 2 13 3 8" xfId="49462" xr:uid="{00000000-0005-0000-0000-00005E5B0000}"/>
    <cellStyle name="40% - Accent2 2 13 3 9" xfId="54980" xr:uid="{00000000-0005-0000-0000-00005F5B0000}"/>
    <cellStyle name="40% - Accent2 2 13 4" xfId="6330" xr:uid="{00000000-0005-0000-0000-0000605B0000}"/>
    <cellStyle name="40% - Accent2 2 13 5" xfId="11810" xr:uid="{00000000-0005-0000-0000-0000615B0000}"/>
    <cellStyle name="40% - Accent2 2 13 6" xfId="17286" xr:uid="{00000000-0005-0000-0000-0000625B0000}"/>
    <cellStyle name="40% - Accent2 2 13 7" xfId="22762" xr:uid="{00000000-0005-0000-0000-0000635B0000}"/>
    <cellStyle name="40% - Accent2 2 13 8" xfId="34557" xr:uid="{00000000-0005-0000-0000-0000645B0000}"/>
    <cellStyle name="40% - Accent2 2 13 9" xfId="40034" xr:uid="{00000000-0005-0000-0000-0000655B0000}"/>
    <cellStyle name="40% - Accent2 2 14" xfId="1443" xr:uid="{00000000-0005-0000-0000-0000665B0000}"/>
    <cellStyle name="40% - Accent2 2 14 10" xfId="45512" xr:uid="{00000000-0005-0000-0000-0000675B0000}"/>
    <cellStyle name="40% - Accent2 2 14 11" xfId="50990" xr:uid="{00000000-0005-0000-0000-0000685B0000}"/>
    <cellStyle name="40% - Accent2 2 14 2" xfId="3204" xr:uid="{00000000-0005-0000-0000-0000695B0000}"/>
    <cellStyle name="40% - Accent2 2 14 2 2" xfId="8684" xr:uid="{00000000-0005-0000-0000-00006A5B0000}"/>
    <cellStyle name="40% - Accent2 2 14 2 3" xfId="14160" xr:uid="{00000000-0005-0000-0000-00006B5B0000}"/>
    <cellStyle name="40% - Accent2 2 14 2 4" xfId="19636" xr:uid="{00000000-0005-0000-0000-00006C5B0000}"/>
    <cellStyle name="40% - Accent2 2 14 2 5" xfId="25112" xr:uid="{00000000-0005-0000-0000-00006D5B0000}"/>
    <cellStyle name="40% - Accent2 2 14 2 6" xfId="36908" xr:uid="{00000000-0005-0000-0000-00006E5B0000}"/>
    <cellStyle name="40% - Accent2 2 14 2 7" xfId="42385" xr:uid="{00000000-0005-0000-0000-00006F5B0000}"/>
    <cellStyle name="40% - Accent2 2 14 2 8" xfId="47862" xr:uid="{00000000-0005-0000-0000-0000705B0000}"/>
    <cellStyle name="40% - Accent2 2 14 2 9" xfId="53380" xr:uid="{00000000-0005-0000-0000-0000715B0000}"/>
    <cellStyle name="40% - Accent2 2 14 3" xfId="4976" xr:uid="{00000000-0005-0000-0000-0000725B0000}"/>
    <cellStyle name="40% - Accent2 2 14 3 2" xfId="10456" xr:uid="{00000000-0005-0000-0000-0000735B0000}"/>
    <cellStyle name="40% - Accent2 2 14 3 3" xfId="15932" xr:uid="{00000000-0005-0000-0000-0000745B0000}"/>
    <cellStyle name="40% - Accent2 2 14 3 4" xfId="21408" xr:uid="{00000000-0005-0000-0000-0000755B0000}"/>
    <cellStyle name="40% - Accent2 2 14 3 5" xfId="26884" xr:uid="{00000000-0005-0000-0000-0000765B0000}"/>
    <cellStyle name="40% - Accent2 2 14 3 6" xfId="38680" xr:uid="{00000000-0005-0000-0000-0000775B0000}"/>
    <cellStyle name="40% - Accent2 2 14 3 7" xfId="44157" xr:uid="{00000000-0005-0000-0000-0000785B0000}"/>
    <cellStyle name="40% - Accent2 2 14 3 8" xfId="49634" xr:uid="{00000000-0005-0000-0000-0000795B0000}"/>
    <cellStyle name="40% - Accent2 2 14 3 9" xfId="55152" xr:uid="{00000000-0005-0000-0000-00007A5B0000}"/>
    <cellStyle name="40% - Accent2 2 14 4" xfId="6331" xr:uid="{00000000-0005-0000-0000-00007B5B0000}"/>
    <cellStyle name="40% - Accent2 2 14 5" xfId="11811" xr:uid="{00000000-0005-0000-0000-00007C5B0000}"/>
    <cellStyle name="40% - Accent2 2 14 6" xfId="17287" xr:uid="{00000000-0005-0000-0000-00007D5B0000}"/>
    <cellStyle name="40% - Accent2 2 14 7" xfId="22763" xr:uid="{00000000-0005-0000-0000-00007E5B0000}"/>
    <cellStyle name="40% - Accent2 2 14 8" xfId="34558" xr:uid="{00000000-0005-0000-0000-00007F5B0000}"/>
    <cellStyle name="40% - Accent2 2 14 9" xfId="40035" xr:uid="{00000000-0005-0000-0000-0000805B0000}"/>
    <cellStyle name="40% - Accent2 2 15" xfId="1615" xr:uid="{00000000-0005-0000-0000-0000815B0000}"/>
    <cellStyle name="40% - Accent2 2 15 10" xfId="45513" xr:uid="{00000000-0005-0000-0000-0000825B0000}"/>
    <cellStyle name="40% - Accent2 2 15 11" xfId="50991" xr:uid="{00000000-0005-0000-0000-0000835B0000}"/>
    <cellStyle name="40% - Accent2 2 15 2" xfId="3376" xr:uid="{00000000-0005-0000-0000-0000845B0000}"/>
    <cellStyle name="40% - Accent2 2 15 2 2" xfId="8856" xr:uid="{00000000-0005-0000-0000-0000855B0000}"/>
    <cellStyle name="40% - Accent2 2 15 2 3" xfId="14332" xr:uid="{00000000-0005-0000-0000-0000865B0000}"/>
    <cellStyle name="40% - Accent2 2 15 2 4" xfId="19808" xr:uid="{00000000-0005-0000-0000-0000875B0000}"/>
    <cellStyle name="40% - Accent2 2 15 2 5" xfId="25284" xr:uid="{00000000-0005-0000-0000-0000885B0000}"/>
    <cellStyle name="40% - Accent2 2 15 2 6" xfId="37080" xr:uid="{00000000-0005-0000-0000-0000895B0000}"/>
    <cellStyle name="40% - Accent2 2 15 2 7" xfId="42557" xr:uid="{00000000-0005-0000-0000-00008A5B0000}"/>
    <cellStyle name="40% - Accent2 2 15 2 8" xfId="48034" xr:uid="{00000000-0005-0000-0000-00008B5B0000}"/>
    <cellStyle name="40% - Accent2 2 15 2 9" xfId="53552" xr:uid="{00000000-0005-0000-0000-00008C5B0000}"/>
    <cellStyle name="40% - Accent2 2 15 3" xfId="5148" xr:uid="{00000000-0005-0000-0000-00008D5B0000}"/>
    <cellStyle name="40% - Accent2 2 15 3 2" xfId="10628" xr:uid="{00000000-0005-0000-0000-00008E5B0000}"/>
    <cellStyle name="40% - Accent2 2 15 3 3" xfId="16104" xr:uid="{00000000-0005-0000-0000-00008F5B0000}"/>
    <cellStyle name="40% - Accent2 2 15 3 4" xfId="21580" xr:uid="{00000000-0005-0000-0000-0000905B0000}"/>
    <cellStyle name="40% - Accent2 2 15 3 5" xfId="27056" xr:uid="{00000000-0005-0000-0000-0000915B0000}"/>
    <cellStyle name="40% - Accent2 2 15 3 6" xfId="38852" xr:uid="{00000000-0005-0000-0000-0000925B0000}"/>
    <cellStyle name="40% - Accent2 2 15 3 7" xfId="44329" xr:uid="{00000000-0005-0000-0000-0000935B0000}"/>
    <cellStyle name="40% - Accent2 2 15 3 8" xfId="49806" xr:uid="{00000000-0005-0000-0000-0000945B0000}"/>
    <cellStyle name="40% - Accent2 2 15 3 9" xfId="55324" xr:uid="{00000000-0005-0000-0000-0000955B0000}"/>
    <cellStyle name="40% - Accent2 2 15 4" xfId="6332" xr:uid="{00000000-0005-0000-0000-0000965B0000}"/>
    <cellStyle name="40% - Accent2 2 15 5" xfId="11812" xr:uid="{00000000-0005-0000-0000-0000975B0000}"/>
    <cellStyle name="40% - Accent2 2 15 6" xfId="17288" xr:uid="{00000000-0005-0000-0000-0000985B0000}"/>
    <cellStyle name="40% - Accent2 2 15 7" xfId="22764" xr:uid="{00000000-0005-0000-0000-0000995B0000}"/>
    <cellStyle name="40% - Accent2 2 15 8" xfId="34559" xr:uid="{00000000-0005-0000-0000-00009A5B0000}"/>
    <cellStyle name="40% - Accent2 2 15 9" xfId="40036" xr:uid="{00000000-0005-0000-0000-00009B5B0000}"/>
    <cellStyle name="40% - Accent2 2 16" xfId="1724" xr:uid="{00000000-0005-0000-0000-00009C5B0000}"/>
    <cellStyle name="40% - Accent2 2 16 10" xfId="45514" xr:uid="{00000000-0005-0000-0000-00009D5B0000}"/>
    <cellStyle name="40% - Accent2 2 16 11" xfId="50992" xr:uid="{00000000-0005-0000-0000-00009E5B0000}"/>
    <cellStyle name="40% - Accent2 2 16 2" xfId="3485" xr:uid="{00000000-0005-0000-0000-00009F5B0000}"/>
    <cellStyle name="40% - Accent2 2 16 2 2" xfId="8965" xr:uid="{00000000-0005-0000-0000-0000A05B0000}"/>
    <cellStyle name="40% - Accent2 2 16 2 3" xfId="14441" xr:uid="{00000000-0005-0000-0000-0000A15B0000}"/>
    <cellStyle name="40% - Accent2 2 16 2 4" xfId="19917" xr:uid="{00000000-0005-0000-0000-0000A25B0000}"/>
    <cellStyle name="40% - Accent2 2 16 2 5" xfId="25393" xr:uid="{00000000-0005-0000-0000-0000A35B0000}"/>
    <cellStyle name="40% - Accent2 2 16 2 6" xfId="37189" xr:uid="{00000000-0005-0000-0000-0000A45B0000}"/>
    <cellStyle name="40% - Accent2 2 16 2 7" xfId="42666" xr:uid="{00000000-0005-0000-0000-0000A55B0000}"/>
    <cellStyle name="40% - Accent2 2 16 2 8" xfId="48143" xr:uid="{00000000-0005-0000-0000-0000A65B0000}"/>
    <cellStyle name="40% - Accent2 2 16 2 9" xfId="53661" xr:uid="{00000000-0005-0000-0000-0000A75B0000}"/>
    <cellStyle name="40% - Accent2 2 16 3" xfId="5257" xr:uid="{00000000-0005-0000-0000-0000A85B0000}"/>
    <cellStyle name="40% - Accent2 2 16 3 2" xfId="10737" xr:uid="{00000000-0005-0000-0000-0000A95B0000}"/>
    <cellStyle name="40% - Accent2 2 16 3 3" xfId="16213" xr:uid="{00000000-0005-0000-0000-0000AA5B0000}"/>
    <cellStyle name="40% - Accent2 2 16 3 4" xfId="21689" xr:uid="{00000000-0005-0000-0000-0000AB5B0000}"/>
    <cellStyle name="40% - Accent2 2 16 3 5" xfId="27165" xr:uid="{00000000-0005-0000-0000-0000AC5B0000}"/>
    <cellStyle name="40% - Accent2 2 16 3 6" xfId="38961" xr:uid="{00000000-0005-0000-0000-0000AD5B0000}"/>
    <cellStyle name="40% - Accent2 2 16 3 7" xfId="44438" xr:uid="{00000000-0005-0000-0000-0000AE5B0000}"/>
    <cellStyle name="40% - Accent2 2 16 3 8" xfId="49915" xr:uid="{00000000-0005-0000-0000-0000AF5B0000}"/>
    <cellStyle name="40% - Accent2 2 16 3 9" xfId="55433" xr:uid="{00000000-0005-0000-0000-0000B05B0000}"/>
    <cellStyle name="40% - Accent2 2 16 4" xfId="6333" xr:uid="{00000000-0005-0000-0000-0000B15B0000}"/>
    <cellStyle name="40% - Accent2 2 16 5" xfId="11813" xr:uid="{00000000-0005-0000-0000-0000B25B0000}"/>
    <cellStyle name="40% - Accent2 2 16 6" xfId="17289" xr:uid="{00000000-0005-0000-0000-0000B35B0000}"/>
    <cellStyle name="40% - Accent2 2 16 7" xfId="22765" xr:uid="{00000000-0005-0000-0000-0000B45B0000}"/>
    <cellStyle name="40% - Accent2 2 16 8" xfId="34560" xr:uid="{00000000-0005-0000-0000-0000B55B0000}"/>
    <cellStyle name="40% - Accent2 2 16 9" xfId="40037" xr:uid="{00000000-0005-0000-0000-0000B65B0000}"/>
    <cellStyle name="40% - Accent2 2 17" xfId="1742" xr:uid="{00000000-0005-0000-0000-0000B75B0000}"/>
    <cellStyle name="40% - Accent2 2 17 10" xfId="45515" xr:uid="{00000000-0005-0000-0000-0000B85B0000}"/>
    <cellStyle name="40% - Accent2 2 17 11" xfId="50993" xr:uid="{00000000-0005-0000-0000-0000B95B0000}"/>
    <cellStyle name="40% - Accent2 2 17 2" xfId="3503" xr:uid="{00000000-0005-0000-0000-0000BA5B0000}"/>
    <cellStyle name="40% - Accent2 2 17 2 2" xfId="8983" xr:uid="{00000000-0005-0000-0000-0000BB5B0000}"/>
    <cellStyle name="40% - Accent2 2 17 2 3" xfId="14459" xr:uid="{00000000-0005-0000-0000-0000BC5B0000}"/>
    <cellStyle name="40% - Accent2 2 17 2 4" xfId="19935" xr:uid="{00000000-0005-0000-0000-0000BD5B0000}"/>
    <cellStyle name="40% - Accent2 2 17 2 5" xfId="25411" xr:uid="{00000000-0005-0000-0000-0000BE5B0000}"/>
    <cellStyle name="40% - Accent2 2 17 2 6" xfId="37207" xr:uid="{00000000-0005-0000-0000-0000BF5B0000}"/>
    <cellStyle name="40% - Accent2 2 17 2 7" xfId="42684" xr:uid="{00000000-0005-0000-0000-0000C05B0000}"/>
    <cellStyle name="40% - Accent2 2 17 2 8" xfId="48161" xr:uid="{00000000-0005-0000-0000-0000C15B0000}"/>
    <cellStyle name="40% - Accent2 2 17 2 9" xfId="53679" xr:uid="{00000000-0005-0000-0000-0000C25B0000}"/>
    <cellStyle name="40% - Accent2 2 17 3" xfId="5275" xr:uid="{00000000-0005-0000-0000-0000C35B0000}"/>
    <cellStyle name="40% - Accent2 2 17 3 2" xfId="10755" xr:uid="{00000000-0005-0000-0000-0000C45B0000}"/>
    <cellStyle name="40% - Accent2 2 17 3 3" xfId="16231" xr:uid="{00000000-0005-0000-0000-0000C55B0000}"/>
    <cellStyle name="40% - Accent2 2 17 3 4" xfId="21707" xr:uid="{00000000-0005-0000-0000-0000C65B0000}"/>
    <cellStyle name="40% - Accent2 2 17 3 5" xfId="27183" xr:uid="{00000000-0005-0000-0000-0000C75B0000}"/>
    <cellStyle name="40% - Accent2 2 17 3 6" xfId="38979" xr:uid="{00000000-0005-0000-0000-0000C85B0000}"/>
    <cellStyle name="40% - Accent2 2 17 3 7" xfId="44456" xr:uid="{00000000-0005-0000-0000-0000C95B0000}"/>
    <cellStyle name="40% - Accent2 2 17 3 8" xfId="49933" xr:uid="{00000000-0005-0000-0000-0000CA5B0000}"/>
    <cellStyle name="40% - Accent2 2 17 3 9" xfId="55451" xr:uid="{00000000-0005-0000-0000-0000CB5B0000}"/>
    <cellStyle name="40% - Accent2 2 17 4" xfId="6334" xr:uid="{00000000-0005-0000-0000-0000CC5B0000}"/>
    <cellStyle name="40% - Accent2 2 17 5" xfId="11814" xr:uid="{00000000-0005-0000-0000-0000CD5B0000}"/>
    <cellStyle name="40% - Accent2 2 17 6" xfId="17290" xr:uid="{00000000-0005-0000-0000-0000CE5B0000}"/>
    <cellStyle name="40% - Accent2 2 17 7" xfId="22766" xr:uid="{00000000-0005-0000-0000-0000CF5B0000}"/>
    <cellStyle name="40% - Accent2 2 17 8" xfId="34561" xr:uid="{00000000-0005-0000-0000-0000D05B0000}"/>
    <cellStyle name="40% - Accent2 2 17 9" xfId="40038" xr:uid="{00000000-0005-0000-0000-0000D15B0000}"/>
    <cellStyle name="40% - Accent2 2 18" xfId="1977" xr:uid="{00000000-0005-0000-0000-0000D25B0000}"/>
    <cellStyle name="40% - Accent2 2 18 10" xfId="52154" xr:uid="{00000000-0005-0000-0000-0000D35B0000}"/>
    <cellStyle name="40% - Accent2 2 18 2" xfId="5509" xr:uid="{00000000-0005-0000-0000-0000D45B0000}"/>
    <cellStyle name="40% - Accent2 2 18 2 2" xfId="10989" xr:uid="{00000000-0005-0000-0000-0000D55B0000}"/>
    <cellStyle name="40% - Accent2 2 18 2 3" xfId="16465" xr:uid="{00000000-0005-0000-0000-0000D65B0000}"/>
    <cellStyle name="40% - Accent2 2 18 2 4" xfId="21941" xr:uid="{00000000-0005-0000-0000-0000D75B0000}"/>
    <cellStyle name="40% - Accent2 2 18 2 5" xfId="27417" xr:uid="{00000000-0005-0000-0000-0000D85B0000}"/>
    <cellStyle name="40% - Accent2 2 18 2 6" xfId="39213" xr:uid="{00000000-0005-0000-0000-0000D95B0000}"/>
    <cellStyle name="40% - Accent2 2 18 2 7" xfId="44690" xr:uid="{00000000-0005-0000-0000-0000DA5B0000}"/>
    <cellStyle name="40% - Accent2 2 18 2 8" xfId="50167" xr:uid="{00000000-0005-0000-0000-0000DB5B0000}"/>
    <cellStyle name="40% - Accent2 2 18 2 9" xfId="55685" xr:uid="{00000000-0005-0000-0000-0000DC5B0000}"/>
    <cellStyle name="40% - Accent2 2 18 3" xfId="7458" xr:uid="{00000000-0005-0000-0000-0000DD5B0000}"/>
    <cellStyle name="40% - Accent2 2 18 4" xfId="12934" xr:uid="{00000000-0005-0000-0000-0000DE5B0000}"/>
    <cellStyle name="40% - Accent2 2 18 5" xfId="18410" xr:uid="{00000000-0005-0000-0000-0000DF5B0000}"/>
    <cellStyle name="40% - Accent2 2 18 6" xfId="23886" xr:uid="{00000000-0005-0000-0000-0000E05B0000}"/>
    <cellStyle name="40% - Accent2 2 18 7" xfId="35682" xr:uid="{00000000-0005-0000-0000-0000E15B0000}"/>
    <cellStyle name="40% - Accent2 2 18 8" xfId="41159" xr:uid="{00000000-0005-0000-0000-0000E25B0000}"/>
    <cellStyle name="40% - Accent2 2 18 9" xfId="46636" xr:uid="{00000000-0005-0000-0000-0000E35B0000}"/>
    <cellStyle name="40% - Accent2 2 19" xfId="3692" xr:uid="{00000000-0005-0000-0000-0000E45B0000}"/>
    <cellStyle name="40% - Accent2 2 19 2" xfId="9172" xr:uid="{00000000-0005-0000-0000-0000E55B0000}"/>
    <cellStyle name="40% - Accent2 2 19 3" xfId="14648" xr:uid="{00000000-0005-0000-0000-0000E65B0000}"/>
    <cellStyle name="40% - Accent2 2 19 4" xfId="20124" xr:uid="{00000000-0005-0000-0000-0000E75B0000}"/>
    <cellStyle name="40% - Accent2 2 19 5" xfId="25600" xr:uid="{00000000-0005-0000-0000-0000E85B0000}"/>
    <cellStyle name="40% - Accent2 2 19 6" xfId="37396" xr:uid="{00000000-0005-0000-0000-0000E95B0000}"/>
    <cellStyle name="40% - Accent2 2 19 7" xfId="42873" xr:uid="{00000000-0005-0000-0000-0000EA5B0000}"/>
    <cellStyle name="40% - Accent2 2 19 8" xfId="48350" xr:uid="{00000000-0005-0000-0000-0000EB5B0000}"/>
    <cellStyle name="40% - Accent2 2 19 9" xfId="53868" xr:uid="{00000000-0005-0000-0000-0000EC5B0000}"/>
    <cellStyle name="40% - Accent2 2 2" xfId="137" xr:uid="{00000000-0005-0000-0000-0000ED5B0000}"/>
    <cellStyle name="40% - Accent2 2 2 10" xfId="1616" xr:uid="{00000000-0005-0000-0000-0000EE5B0000}"/>
    <cellStyle name="40% - Accent2 2 2 10 10" xfId="45517" xr:uid="{00000000-0005-0000-0000-0000EF5B0000}"/>
    <cellStyle name="40% - Accent2 2 2 10 11" xfId="50995" xr:uid="{00000000-0005-0000-0000-0000F05B0000}"/>
    <cellStyle name="40% - Accent2 2 2 10 2" xfId="3377" xr:uid="{00000000-0005-0000-0000-0000F15B0000}"/>
    <cellStyle name="40% - Accent2 2 2 10 2 2" xfId="8857" xr:uid="{00000000-0005-0000-0000-0000F25B0000}"/>
    <cellStyle name="40% - Accent2 2 2 10 2 3" xfId="14333" xr:uid="{00000000-0005-0000-0000-0000F35B0000}"/>
    <cellStyle name="40% - Accent2 2 2 10 2 4" xfId="19809" xr:uid="{00000000-0005-0000-0000-0000F45B0000}"/>
    <cellStyle name="40% - Accent2 2 2 10 2 5" xfId="25285" xr:uid="{00000000-0005-0000-0000-0000F55B0000}"/>
    <cellStyle name="40% - Accent2 2 2 10 2 6" xfId="37081" xr:uid="{00000000-0005-0000-0000-0000F65B0000}"/>
    <cellStyle name="40% - Accent2 2 2 10 2 7" xfId="42558" xr:uid="{00000000-0005-0000-0000-0000F75B0000}"/>
    <cellStyle name="40% - Accent2 2 2 10 2 8" xfId="48035" xr:uid="{00000000-0005-0000-0000-0000F85B0000}"/>
    <cellStyle name="40% - Accent2 2 2 10 2 9" xfId="53553" xr:uid="{00000000-0005-0000-0000-0000F95B0000}"/>
    <cellStyle name="40% - Accent2 2 2 10 3" xfId="5149" xr:uid="{00000000-0005-0000-0000-0000FA5B0000}"/>
    <cellStyle name="40% - Accent2 2 2 10 3 2" xfId="10629" xr:uid="{00000000-0005-0000-0000-0000FB5B0000}"/>
    <cellStyle name="40% - Accent2 2 2 10 3 3" xfId="16105" xr:uid="{00000000-0005-0000-0000-0000FC5B0000}"/>
    <cellStyle name="40% - Accent2 2 2 10 3 4" xfId="21581" xr:uid="{00000000-0005-0000-0000-0000FD5B0000}"/>
    <cellStyle name="40% - Accent2 2 2 10 3 5" xfId="27057" xr:uid="{00000000-0005-0000-0000-0000FE5B0000}"/>
    <cellStyle name="40% - Accent2 2 2 10 3 6" xfId="38853" xr:uid="{00000000-0005-0000-0000-0000FF5B0000}"/>
    <cellStyle name="40% - Accent2 2 2 10 3 7" xfId="44330" xr:uid="{00000000-0005-0000-0000-0000005C0000}"/>
    <cellStyle name="40% - Accent2 2 2 10 3 8" xfId="49807" xr:uid="{00000000-0005-0000-0000-0000015C0000}"/>
    <cellStyle name="40% - Accent2 2 2 10 3 9" xfId="55325" xr:uid="{00000000-0005-0000-0000-0000025C0000}"/>
    <cellStyle name="40% - Accent2 2 2 10 4" xfId="6336" xr:uid="{00000000-0005-0000-0000-0000035C0000}"/>
    <cellStyle name="40% - Accent2 2 2 10 5" xfId="11816" xr:uid="{00000000-0005-0000-0000-0000045C0000}"/>
    <cellStyle name="40% - Accent2 2 2 10 6" xfId="17292" xr:uid="{00000000-0005-0000-0000-0000055C0000}"/>
    <cellStyle name="40% - Accent2 2 2 10 7" xfId="22768" xr:uid="{00000000-0005-0000-0000-0000065C0000}"/>
    <cellStyle name="40% - Accent2 2 2 10 8" xfId="34563" xr:uid="{00000000-0005-0000-0000-0000075C0000}"/>
    <cellStyle name="40% - Accent2 2 2 10 9" xfId="40040" xr:uid="{00000000-0005-0000-0000-0000085C0000}"/>
    <cellStyle name="40% - Accent2 2 2 11" xfId="1813" xr:uid="{00000000-0005-0000-0000-0000095C0000}"/>
    <cellStyle name="40% - Accent2 2 2 11 10" xfId="45518" xr:uid="{00000000-0005-0000-0000-00000A5C0000}"/>
    <cellStyle name="40% - Accent2 2 2 11 11" xfId="50996" xr:uid="{00000000-0005-0000-0000-00000B5C0000}"/>
    <cellStyle name="40% - Accent2 2 2 11 2" xfId="3574" xr:uid="{00000000-0005-0000-0000-00000C5C0000}"/>
    <cellStyle name="40% - Accent2 2 2 11 2 2" xfId="9054" xr:uid="{00000000-0005-0000-0000-00000D5C0000}"/>
    <cellStyle name="40% - Accent2 2 2 11 2 3" xfId="14530" xr:uid="{00000000-0005-0000-0000-00000E5C0000}"/>
    <cellStyle name="40% - Accent2 2 2 11 2 4" xfId="20006" xr:uid="{00000000-0005-0000-0000-00000F5C0000}"/>
    <cellStyle name="40% - Accent2 2 2 11 2 5" xfId="25482" xr:uid="{00000000-0005-0000-0000-0000105C0000}"/>
    <cellStyle name="40% - Accent2 2 2 11 2 6" xfId="37278" xr:uid="{00000000-0005-0000-0000-0000115C0000}"/>
    <cellStyle name="40% - Accent2 2 2 11 2 7" xfId="42755" xr:uid="{00000000-0005-0000-0000-0000125C0000}"/>
    <cellStyle name="40% - Accent2 2 2 11 2 8" xfId="48232" xr:uid="{00000000-0005-0000-0000-0000135C0000}"/>
    <cellStyle name="40% - Accent2 2 2 11 2 9" xfId="53750" xr:uid="{00000000-0005-0000-0000-0000145C0000}"/>
    <cellStyle name="40% - Accent2 2 2 11 3" xfId="5346" xr:uid="{00000000-0005-0000-0000-0000155C0000}"/>
    <cellStyle name="40% - Accent2 2 2 11 3 2" xfId="10826" xr:uid="{00000000-0005-0000-0000-0000165C0000}"/>
    <cellStyle name="40% - Accent2 2 2 11 3 3" xfId="16302" xr:uid="{00000000-0005-0000-0000-0000175C0000}"/>
    <cellStyle name="40% - Accent2 2 2 11 3 4" xfId="21778" xr:uid="{00000000-0005-0000-0000-0000185C0000}"/>
    <cellStyle name="40% - Accent2 2 2 11 3 5" xfId="27254" xr:uid="{00000000-0005-0000-0000-0000195C0000}"/>
    <cellStyle name="40% - Accent2 2 2 11 3 6" xfId="39050" xr:uid="{00000000-0005-0000-0000-00001A5C0000}"/>
    <cellStyle name="40% - Accent2 2 2 11 3 7" xfId="44527" xr:uid="{00000000-0005-0000-0000-00001B5C0000}"/>
    <cellStyle name="40% - Accent2 2 2 11 3 8" xfId="50004" xr:uid="{00000000-0005-0000-0000-00001C5C0000}"/>
    <cellStyle name="40% - Accent2 2 2 11 3 9" xfId="55522" xr:uid="{00000000-0005-0000-0000-00001D5C0000}"/>
    <cellStyle name="40% - Accent2 2 2 11 4" xfId="6337" xr:uid="{00000000-0005-0000-0000-00001E5C0000}"/>
    <cellStyle name="40% - Accent2 2 2 11 5" xfId="11817" xr:uid="{00000000-0005-0000-0000-00001F5C0000}"/>
    <cellStyle name="40% - Accent2 2 2 11 6" xfId="17293" xr:uid="{00000000-0005-0000-0000-0000205C0000}"/>
    <cellStyle name="40% - Accent2 2 2 11 7" xfId="22769" xr:uid="{00000000-0005-0000-0000-0000215C0000}"/>
    <cellStyle name="40% - Accent2 2 2 11 8" xfId="34564" xr:uid="{00000000-0005-0000-0000-0000225C0000}"/>
    <cellStyle name="40% - Accent2 2 2 11 9" xfId="40041" xr:uid="{00000000-0005-0000-0000-0000235C0000}"/>
    <cellStyle name="40% - Accent2 2 2 12" xfId="1978" xr:uid="{00000000-0005-0000-0000-0000245C0000}"/>
    <cellStyle name="40% - Accent2 2 2 12 10" xfId="52155" xr:uid="{00000000-0005-0000-0000-0000255C0000}"/>
    <cellStyle name="40% - Accent2 2 2 12 2" xfId="5510" xr:uid="{00000000-0005-0000-0000-0000265C0000}"/>
    <cellStyle name="40% - Accent2 2 2 12 2 2" xfId="10990" xr:uid="{00000000-0005-0000-0000-0000275C0000}"/>
    <cellStyle name="40% - Accent2 2 2 12 2 3" xfId="16466" xr:uid="{00000000-0005-0000-0000-0000285C0000}"/>
    <cellStyle name="40% - Accent2 2 2 12 2 4" xfId="21942" xr:uid="{00000000-0005-0000-0000-0000295C0000}"/>
    <cellStyle name="40% - Accent2 2 2 12 2 5" xfId="27418" xr:uid="{00000000-0005-0000-0000-00002A5C0000}"/>
    <cellStyle name="40% - Accent2 2 2 12 2 6" xfId="39214" xr:uid="{00000000-0005-0000-0000-00002B5C0000}"/>
    <cellStyle name="40% - Accent2 2 2 12 2 7" xfId="44691" xr:uid="{00000000-0005-0000-0000-00002C5C0000}"/>
    <cellStyle name="40% - Accent2 2 2 12 2 8" xfId="50168" xr:uid="{00000000-0005-0000-0000-00002D5C0000}"/>
    <cellStyle name="40% - Accent2 2 2 12 2 9" xfId="55686" xr:uid="{00000000-0005-0000-0000-00002E5C0000}"/>
    <cellStyle name="40% - Accent2 2 2 12 3" xfId="7459" xr:uid="{00000000-0005-0000-0000-00002F5C0000}"/>
    <cellStyle name="40% - Accent2 2 2 12 4" xfId="12935" xr:uid="{00000000-0005-0000-0000-0000305C0000}"/>
    <cellStyle name="40% - Accent2 2 2 12 5" xfId="18411" xr:uid="{00000000-0005-0000-0000-0000315C0000}"/>
    <cellStyle name="40% - Accent2 2 2 12 6" xfId="23887" xr:uid="{00000000-0005-0000-0000-0000325C0000}"/>
    <cellStyle name="40% - Accent2 2 2 12 7" xfId="35683" xr:uid="{00000000-0005-0000-0000-0000335C0000}"/>
    <cellStyle name="40% - Accent2 2 2 12 8" xfId="41160" xr:uid="{00000000-0005-0000-0000-0000345C0000}"/>
    <cellStyle name="40% - Accent2 2 2 12 9" xfId="46637" xr:uid="{00000000-0005-0000-0000-0000355C0000}"/>
    <cellStyle name="40% - Accent2 2 2 13" xfId="3709" xr:uid="{00000000-0005-0000-0000-0000365C0000}"/>
    <cellStyle name="40% - Accent2 2 2 13 2" xfId="9189" xr:uid="{00000000-0005-0000-0000-0000375C0000}"/>
    <cellStyle name="40% - Accent2 2 2 13 3" xfId="14665" xr:uid="{00000000-0005-0000-0000-0000385C0000}"/>
    <cellStyle name="40% - Accent2 2 2 13 4" xfId="20141" xr:uid="{00000000-0005-0000-0000-0000395C0000}"/>
    <cellStyle name="40% - Accent2 2 2 13 5" xfId="25617" xr:uid="{00000000-0005-0000-0000-00003A5C0000}"/>
    <cellStyle name="40% - Accent2 2 2 13 6" xfId="37413" xr:uid="{00000000-0005-0000-0000-00003B5C0000}"/>
    <cellStyle name="40% - Accent2 2 2 13 7" xfId="42890" xr:uid="{00000000-0005-0000-0000-00003C5C0000}"/>
    <cellStyle name="40% - Accent2 2 2 13 8" xfId="48367" xr:uid="{00000000-0005-0000-0000-00003D5C0000}"/>
    <cellStyle name="40% - Accent2 2 2 13 9" xfId="53885" xr:uid="{00000000-0005-0000-0000-00003E5C0000}"/>
    <cellStyle name="40% - Accent2 2 2 14" xfId="6335" xr:uid="{00000000-0005-0000-0000-00003F5C0000}"/>
    <cellStyle name="40% - Accent2 2 2 15" xfId="11815" xr:uid="{00000000-0005-0000-0000-0000405C0000}"/>
    <cellStyle name="40% - Accent2 2 2 16" xfId="17291" xr:uid="{00000000-0005-0000-0000-0000415C0000}"/>
    <cellStyle name="40% - Accent2 2 2 17" xfId="22767" xr:uid="{00000000-0005-0000-0000-0000425C0000}"/>
    <cellStyle name="40% - Accent2 2 2 18" xfId="30813" xr:uid="{00000000-0005-0000-0000-0000435C0000}"/>
    <cellStyle name="40% - Accent2 2 2 19" xfId="34562" xr:uid="{00000000-0005-0000-0000-0000445C0000}"/>
    <cellStyle name="40% - Accent2 2 2 2" xfId="229" xr:uid="{00000000-0005-0000-0000-0000455C0000}"/>
    <cellStyle name="40% - Accent2 2 2 2 10" xfId="1814" xr:uid="{00000000-0005-0000-0000-0000465C0000}"/>
    <cellStyle name="40% - Accent2 2 2 2 10 10" xfId="45520" xr:uid="{00000000-0005-0000-0000-0000475C0000}"/>
    <cellStyle name="40% - Accent2 2 2 2 10 11" xfId="50998" xr:uid="{00000000-0005-0000-0000-0000485C0000}"/>
    <cellStyle name="40% - Accent2 2 2 2 10 2" xfId="3575" xr:uid="{00000000-0005-0000-0000-0000495C0000}"/>
    <cellStyle name="40% - Accent2 2 2 2 10 2 2" xfId="9055" xr:uid="{00000000-0005-0000-0000-00004A5C0000}"/>
    <cellStyle name="40% - Accent2 2 2 2 10 2 3" xfId="14531" xr:uid="{00000000-0005-0000-0000-00004B5C0000}"/>
    <cellStyle name="40% - Accent2 2 2 2 10 2 4" xfId="20007" xr:uid="{00000000-0005-0000-0000-00004C5C0000}"/>
    <cellStyle name="40% - Accent2 2 2 2 10 2 5" xfId="25483" xr:uid="{00000000-0005-0000-0000-00004D5C0000}"/>
    <cellStyle name="40% - Accent2 2 2 2 10 2 6" xfId="37279" xr:uid="{00000000-0005-0000-0000-00004E5C0000}"/>
    <cellStyle name="40% - Accent2 2 2 2 10 2 7" xfId="42756" xr:uid="{00000000-0005-0000-0000-00004F5C0000}"/>
    <cellStyle name="40% - Accent2 2 2 2 10 2 8" xfId="48233" xr:uid="{00000000-0005-0000-0000-0000505C0000}"/>
    <cellStyle name="40% - Accent2 2 2 2 10 2 9" xfId="53751" xr:uid="{00000000-0005-0000-0000-0000515C0000}"/>
    <cellStyle name="40% - Accent2 2 2 2 10 3" xfId="5347" xr:uid="{00000000-0005-0000-0000-0000525C0000}"/>
    <cellStyle name="40% - Accent2 2 2 2 10 3 2" xfId="10827" xr:uid="{00000000-0005-0000-0000-0000535C0000}"/>
    <cellStyle name="40% - Accent2 2 2 2 10 3 3" xfId="16303" xr:uid="{00000000-0005-0000-0000-0000545C0000}"/>
    <cellStyle name="40% - Accent2 2 2 2 10 3 4" xfId="21779" xr:uid="{00000000-0005-0000-0000-0000555C0000}"/>
    <cellStyle name="40% - Accent2 2 2 2 10 3 5" xfId="27255" xr:uid="{00000000-0005-0000-0000-0000565C0000}"/>
    <cellStyle name="40% - Accent2 2 2 2 10 3 6" xfId="39051" xr:uid="{00000000-0005-0000-0000-0000575C0000}"/>
    <cellStyle name="40% - Accent2 2 2 2 10 3 7" xfId="44528" xr:uid="{00000000-0005-0000-0000-0000585C0000}"/>
    <cellStyle name="40% - Accent2 2 2 2 10 3 8" xfId="50005" xr:uid="{00000000-0005-0000-0000-0000595C0000}"/>
    <cellStyle name="40% - Accent2 2 2 2 10 3 9" xfId="55523" xr:uid="{00000000-0005-0000-0000-00005A5C0000}"/>
    <cellStyle name="40% - Accent2 2 2 2 10 4" xfId="6339" xr:uid="{00000000-0005-0000-0000-00005B5C0000}"/>
    <cellStyle name="40% - Accent2 2 2 2 10 5" xfId="11819" xr:uid="{00000000-0005-0000-0000-00005C5C0000}"/>
    <cellStyle name="40% - Accent2 2 2 2 10 6" xfId="17295" xr:uid="{00000000-0005-0000-0000-00005D5C0000}"/>
    <cellStyle name="40% - Accent2 2 2 2 10 7" xfId="22771" xr:uid="{00000000-0005-0000-0000-00005E5C0000}"/>
    <cellStyle name="40% - Accent2 2 2 2 10 8" xfId="34566" xr:uid="{00000000-0005-0000-0000-00005F5C0000}"/>
    <cellStyle name="40% - Accent2 2 2 2 10 9" xfId="40043" xr:uid="{00000000-0005-0000-0000-0000605C0000}"/>
    <cellStyle name="40% - Accent2 2 2 2 11" xfId="1979" xr:uid="{00000000-0005-0000-0000-0000615C0000}"/>
    <cellStyle name="40% - Accent2 2 2 2 11 10" xfId="52156" xr:uid="{00000000-0005-0000-0000-0000625C0000}"/>
    <cellStyle name="40% - Accent2 2 2 2 11 2" xfId="5511" xr:uid="{00000000-0005-0000-0000-0000635C0000}"/>
    <cellStyle name="40% - Accent2 2 2 2 11 2 2" xfId="10991" xr:uid="{00000000-0005-0000-0000-0000645C0000}"/>
    <cellStyle name="40% - Accent2 2 2 2 11 2 3" xfId="16467" xr:uid="{00000000-0005-0000-0000-0000655C0000}"/>
    <cellStyle name="40% - Accent2 2 2 2 11 2 4" xfId="21943" xr:uid="{00000000-0005-0000-0000-0000665C0000}"/>
    <cellStyle name="40% - Accent2 2 2 2 11 2 5" xfId="27419" xr:uid="{00000000-0005-0000-0000-0000675C0000}"/>
    <cellStyle name="40% - Accent2 2 2 2 11 2 6" xfId="39215" xr:uid="{00000000-0005-0000-0000-0000685C0000}"/>
    <cellStyle name="40% - Accent2 2 2 2 11 2 7" xfId="44692" xr:uid="{00000000-0005-0000-0000-0000695C0000}"/>
    <cellStyle name="40% - Accent2 2 2 2 11 2 8" xfId="50169" xr:uid="{00000000-0005-0000-0000-00006A5C0000}"/>
    <cellStyle name="40% - Accent2 2 2 2 11 2 9" xfId="55687" xr:uid="{00000000-0005-0000-0000-00006B5C0000}"/>
    <cellStyle name="40% - Accent2 2 2 2 11 3" xfId="7460" xr:uid="{00000000-0005-0000-0000-00006C5C0000}"/>
    <cellStyle name="40% - Accent2 2 2 2 11 4" xfId="12936" xr:uid="{00000000-0005-0000-0000-00006D5C0000}"/>
    <cellStyle name="40% - Accent2 2 2 2 11 5" xfId="18412" xr:uid="{00000000-0005-0000-0000-00006E5C0000}"/>
    <cellStyle name="40% - Accent2 2 2 2 11 6" xfId="23888" xr:uid="{00000000-0005-0000-0000-00006F5C0000}"/>
    <cellStyle name="40% - Accent2 2 2 2 11 7" xfId="35684" xr:uid="{00000000-0005-0000-0000-0000705C0000}"/>
    <cellStyle name="40% - Accent2 2 2 2 11 8" xfId="41161" xr:uid="{00000000-0005-0000-0000-0000715C0000}"/>
    <cellStyle name="40% - Accent2 2 2 2 11 9" xfId="46638" xr:uid="{00000000-0005-0000-0000-0000725C0000}"/>
    <cellStyle name="40% - Accent2 2 2 2 12" xfId="3795" xr:uid="{00000000-0005-0000-0000-0000735C0000}"/>
    <cellStyle name="40% - Accent2 2 2 2 12 2" xfId="9275" xr:uid="{00000000-0005-0000-0000-0000745C0000}"/>
    <cellStyle name="40% - Accent2 2 2 2 12 3" xfId="14751" xr:uid="{00000000-0005-0000-0000-0000755C0000}"/>
    <cellStyle name="40% - Accent2 2 2 2 12 4" xfId="20227" xr:uid="{00000000-0005-0000-0000-0000765C0000}"/>
    <cellStyle name="40% - Accent2 2 2 2 12 5" xfId="25703" xr:uid="{00000000-0005-0000-0000-0000775C0000}"/>
    <cellStyle name="40% - Accent2 2 2 2 12 6" xfId="37499" xr:uid="{00000000-0005-0000-0000-0000785C0000}"/>
    <cellStyle name="40% - Accent2 2 2 2 12 7" xfId="42976" xr:uid="{00000000-0005-0000-0000-0000795C0000}"/>
    <cellStyle name="40% - Accent2 2 2 2 12 8" xfId="48453" xr:uid="{00000000-0005-0000-0000-00007A5C0000}"/>
    <cellStyle name="40% - Accent2 2 2 2 12 9" xfId="53971" xr:uid="{00000000-0005-0000-0000-00007B5C0000}"/>
    <cellStyle name="40% - Accent2 2 2 2 13" xfId="6338" xr:uid="{00000000-0005-0000-0000-00007C5C0000}"/>
    <cellStyle name="40% - Accent2 2 2 2 14" xfId="11818" xr:uid="{00000000-0005-0000-0000-00007D5C0000}"/>
    <cellStyle name="40% - Accent2 2 2 2 15" xfId="17294" xr:uid="{00000000-0005-0000-0000-00007E5C0000}"/>
    <cellStyle name="40% - Accent2 2 2 2 16" xfId="22770" xr:uid="{00000000-0005-0000-0000-00007F5C0000}"/>
    <cellStyle name="40% - Accent2 2 2 2 17" xfId="30814" xr:uid="{00000000-0005-0000-0000-0000805C0000}"/>
    <cellStyle name="40% - Accent2 2 2 2 18" xfId="34565" xr:uid="{00000000-0005-0000-0000-0000815C0000}"/>
    <cellStyle name="40% - Accent2 2 2 2 19" xfId="40042" xr:uid="{00000000-0005-0000-0000-0000825C0000}"/>
    <cellStyle name="40% - Accent2 2 2 2 2" xfId="350" xr:uid="{00000000-0005-0000-0000-0000835C0000}"/>
    <cellStyle name="40% - Accent2 2 2 2 2 10" xfId="40044" xr:uid="{00000000-0005-0000-0000-0000845C0000}"/>
    <cellStyle name="40% - Accent2 2 2 2 2 11" xfId="45521" xr:uid="{00000000-0005-0000-0000-0000855C0000}"/>
    <cellStyle name="40% - Accent2 2 2 2 2 12" xfId="50999" xr:uid="{00000000-0005-0000-0000-0000865C0000}"/>
    <cellStyle name="40% - Accent2 2 2 2 2 2" xfId="2145" xr:uid="{00000000-0005-0000-0000-0000875C0000}"/>
    <cellStyle name="40% - Accent2 2 2 2 2 2 2" xfId="7625" xr:uid="{00000000-0005-0000-0000-0000885C0000}"/>
    <cellStyle name="40% - Accent2 2 2 2 2 2 3" xfId="13101" xr:uid="{00000000-0005-0000-0000-0000895C0000}"/>
    <cellStyle name="40% - Accent2 2 2 2 2 2 4" xfId="18577" xr:uid="{00000000-0005-0000-0000-00008A5C0000}"/>
    <cellStyle name="40% - Accent2 2 2 2 2 2 5" xfId="24053" xr:uid="{00000000-0005-0000-0000-00008B5C0000}"/>
    <cellStyle name="40% - Accent2 2 2 2 2 2 6" xfId="35849" xr:uid="{00000000-0005-0000-0000-00008C5C0000}"/>
    <cellStyle name="40% - Accent2 2 2 2 2 2 7" xfId="41326" xr:uid="{00000000-0005-0000-0000-00008D5C0000}"/>
    <cellStyle name="40% - Accent2 2 2 2 2 2 8" xfId="46803" xr:uid="{00000000-0005-0000-0000-00008E5C0000}"/>
    <cellStyle name="40% - Accent2 2 2 2 2 2 9" xfId="52321" xr:uid="{00000000-0005-0000-0000-00008F5C0000}"/>
    <cellStyle name="40% - Accent2 2 2 2 2 3" xfId="3912" xr:uid="{00000000-0005-0000-0000-0000905C0000}"/>
    <cellStyle name="40% - Accent2 2 2 2 2 3 2" xfId="9392" xr:uid="{00000000-0005-0000-0000-0000915C0000}"/>
    <cellStyle name="40% - Accent2 2 2 2 2 3 3" xfId="14868" xr:uid="{00000000-0005-0000-0000-0000925C0000}"/>
    <cellStyle name="40% - Accent2 2 2 2 2 3 4" xfId="20344" xr:uid="{00000000-0005-0000-0000-0000935C0000}"/>
    <cellStyle name="40% - Accent2 2 2 2 2 3 5" xfId="25820" xr:uid="{00000000-0005-0000-0000-0000945C0000}"/>
    <cellStyle name="40% - Accent2 2 2 2 2 3 6" xfId="37616" xr:uid="{00000000-0005-0000-0000-0000955C0000}"/>
    <cellStyle name="40% - Accent2 2 2 2 2 3 7" xfId="43093" xr:uid="{00000000-0005-0000-0000-0000965C0000}"/>
    <cellStyle name="40% - Accent2 2 2 2 2 3 8" xfId="48570" xr:uid="{00000000-0005-0000-0000-0000975C0000}"/>
    <cellStyle name="40% - Accent2 2 2 2 2 3 9" xfId="54088" xr:uid="{00000000-0005-0000-0000-0000985C0000}"/>
    <cellStyle name="40% - Accent2 2 2 2 2 4" xfId="6340" xr:uid="{00000000-0005-0000-0000-0000995C0000}"/>
    <cellStyle name="40% - Accent2 2 2 2 2 5" xfId="11820" xr:uid="{00000000-0005-0000-0000-00009A5C0000}"/>
    <cellStyle name="40% - Accent2 2 2 2 2 6" xfId="17296" xr:uid="{00000000-0005-0000-0000-00009B5C0000}"/>
    <cellStyle name="40% - Accent2 2 2 2 2 7" xfId="22772" xr:uid="{00000000-0005-0000-0000-00009C5C0000}"/>
    <cellStyle name="40% - Accent2 2 2 2 2 8" xfId="30815" xr:uid="{00000000-0005-0000-0000-00009D5C0000}"/>
    <cellStyle name="40% - Accent2 2 2 2 2 9" xfId="34567" xr:uid="{00000000-0005-0000-0000-00009E5C0000}"/>
    <cellStyle name="40% - Accent2 2 2 2 20" xfId="45519" xr:uid="{00000000-0005-0000-0000-00009F5C0000}"/>
    <cellStyle name="40% - Accent2 2 2 2 21" xfId="50997" xr:uid="{00000000-0005-0000-0000-0000A05C0000}"/>
    <cellStyle name="40% - Accent2 2 2 2 3" xfId="551" xr:uid="{00000000-0005-0000-0000-0000A15C0000}"/>
    <cellStyle name="40% - Accent2 2 2 2 3 10" xfId="45522" xr:uid="{00000000-0005-0000-0000-0000A25C0000}"/>
    <cellStyle name="40% - Accent2 2 2 2 3 11" xfId="51000" xr:uid="{00000000-0005-0000-0000-0000A35C0000}"/>
    <cellStyle name="40% - Accent2 2 2 2 3 2" xfId="2312" xr:uid="{00000000-0005-0000-0000-0000A45C0000}"/>
    <cellStyle name="40% - Accent2 2 2 2 3 2 2" xfId="7792" xr:uid="{00000000-0005-0000-0000-0000A55C0000}"/>
    <cellStyle name="40% - Accent2 2 2 2 3 2 3" xfId="13268" xr:uid="{00000000-0005-0000-0000-0000A65C0000}"/>
    <cellStyle name="40% - Accent2 2 2 2 3 2 4" xfId="18744" xr:uid="{00000000-0005-0000-0000-0000A75C0000}"/>
    <cellStyle name="40% - Accent2 2 2 2 3 2 5" xfId="24220" xr:uid="{00000000-0005-0000-0000-0000A85C0000}"/>
    <cellStyle name="40% - Accent2 2 2 2 3 2 6" xfId="36016" xr:uid="{00000000-0005-0000-0000-0000A95C0000}"/>
    <cellStyle name="40% - Accent2 2 2 2 3 2 7" xfId="41493" xr:uid="{00000000-0005-0000-0000-0000AA5C0000}"/>
    <cellStyle name="40% - Accent2 2 2 2 3 2 8" xfId="46970" xr:uid="{00000000-0005-0000-0000-0000AB5C0000}"/>
    <cellStyle name="40% - Accent2 2 2 2 3 2 9" xfId="52488" xr:uid="{00000000-0005-0000-0000-0000AC5C0000}"/>
    <cellStyle name="40% - Accent2 2 2 2 3 3" xfId="4084" xr:uid="{00000000-0005-0000-0000-0000AD5C0000}"/>
    <cellStyle name="40% - Accent2 2 2 2 3 3 2" xfId="9564" xr:uid="{00000000-0005-0000-0000-0000AE5C0000}"/>
    <cellStyle name="40% - Accent2 2 2 2 3 3 3" xfId="15040" xr:uid="{00000000-0005-0000-0000-0000AF5C0000}"/>
    <cellStyle name="40% - Accent2 2 2 2 3 3 4" xfId="20516" xr:uid="{00000000-0005-0000-0000-0000B05C0000}"/>
    <cellStyle name="40% - Accent2 2 2 2 3 3 5" xfId="25992" xr:uid="{00000000-0005-0000-0000-0000B15C0000}"/>
    <cellStyle name="40% - Accent2 2 2 2 3 3 6" xfId="37788" xr:uid="{00000000-0005-0000-0000-0000B25C0000}"/>
    <cellStyle name="40% - Accent2 2 2 2 3 3 7" xfId="43265" xr:uid="{00000000-0005-0000-0000-0000B35C0000}"/>
    <cellStyle name="40% - Accent2 2 2 2 3 3 8" xfId="48742" xr:uid="{00000000-0005-0000-0000-0000B45C0000}"/>
    <cellStyle name="40% - Accent2 2 2 2 3 3 9" xfId="54260" xr:uid="{00000000-0005-0000-0000-0000B55C0000}"/>
    <cellStyle name="40% - Accent2 2 2 2 3 4" xfId="6341" xr:uid="{00000000-0005-0000-0000-0000B65C0000}"/>
    <cellStyle name="40% - Accent2 2 2 2 3 5" xfId="11821" xr:uid="{00000000-0005-0000-0000-0000B75C0000}"/>
    <cellStyle name="40% - Accent2 2 2 2 3 6" xfId="17297" xr:uid="{00000000-0005-0000-0000-0000B85C0000}"/>
    <cellStyle name="40% - Accent2 2 2 2 3 7" xfId="22773" xr:uid="{00000000-0005-0000-0000-0000B95C0000}"/>
    <cellStyle name="40% - Accent2 2 2 2 3 8" xfId="34568" xr:uid="{00000000-0005-0000-0000-0000BA5C0000}"/>
    <cellStyle name="40% - Accent2 2 2 2 3 9" xfId="40045" xr:uid="{00000000-0005-0000-0000-0000BB5C0000}"/>
    <cellStyle name="40% - Accent2 2 2 2 4" xfId="723" xr:uid="{00000000-0005-0000-0000-0000BC5C0000}"/>
    <cellStyle name="40% - Accent2 2 2 2 4 10" xfId="45523" xr:uid="{00000000-0005-0000-0000-0000BD5C0000}"/>
    <cellStyle name="40% - Accent2 2 2 2 4 11" xfId="51001" xr:uid="{00000000-0005-0000-0000-0000BE5C0000}"/>
    <cellStyle name="40% - Accent2 2 2 2 4 2" xfId="2484" xr:uid="{00000000-0005-0000-0000-0000BF5C0000}"/>
    <cellStyle name="40% - Accent2 2 2 2 4 2 2" xfId="7964" xr:uid="{00000000-0005-0000-0000-0000C05C0000}"/>
    <cellStyle name="40% - Accent2 2 2 2 4 2 3" xfId="13440" xr:uid="{00000000-0005-0000-0000-0000C15C0000}"/>
    <cellStyle name="40% - Accent2 2 2 2 4 2 4" xfId="18916" xr:uid="{00000000-0005-0000-0000-0000C25C0000}"/>
    <cellStyle name="40% - Accent2 2 2 2 4 2 5" xfId="24392" xr:uid="{00000000-0005-0000-0000-0000C35C0000}"/>
    <cellStyle name="40% - Accent2 2 2 2 4 2 6" xfId="36188" xr:uid="{00000000-0005-0000-0000-0000C45C0000}"/>
    <cellStyle name="40% - Accent2 2 2 2 4 2 7" xfId="41665" xr:uid="{00000000-0005-0000-0000-0000C55C0000}"/>
    <cellStyle name="40% - Accent2 2 2 2 4 2 8" xfId="47142" xr:uid="{00000000-0005-0000-0000-0000C65C0000}"/>
    <cellStyle name="40% - Accent2 2 2 2 4 2 9" xfId="52660" xr:uid="{00000000-0005-0000-0000-0000C75C0000}"/>
    <cellStyle name="40% - Accent2 2 2 2 4 3" xfId="4256" xr:uid="{00000000-0005-0000-0000-0000C85C0000}"/>
    <cellStyle name="40% - Accent2 2 2 2 4 3 2" xfId="9736" xr:uid="{00000000-0005-0000-0000-0000C95C0000}"/>
    <cellStyle name="40% - Accent2 2 2 2 4 3 3" xfId="15212" xr:uid="{00000000-0005-0000-0000-0000CA5C0000}"/>
    <cellStyle name="40% - Accent2 2 2 2 4 3 4" xfId="20688" xr:uid="{00000000-0005-0000-0000-0000CB5C0000}"/>
    <cellStyle name="40% - Accent2 2 2 2 4 3 5" xfId="26164" xr:uid="{00000000-0005-0000-0000-0000CC5C0000}"/>
    <cellStyle name="40% - Accent2 2 2 2 4 3 6" xfId="37960" xr:uid="{00000000-0005-0000-0000-0000CD5C0000}"/>
    <cellStyle name="40% - Accent2 2 2 2 4 3 7" xfId="43437" xr:uid="{00000000-0005-0000-0000-0000CE5C0000}"/>
    <cellStyle name="40% - Accent2 2 2 2 4 3 8" xfId="48914" xr:uid="{00000000-0005-0000-0000-0000CF5C0000}"/>
    <cellStyle name="40% - Accent2 2 2 2 4 3 9" xfId="54432" xr:uid="{00000000-0005-0000-0000-0000D05C0000}"/>
    <cellStyle name="40% - Accent2 2 2 2 4 4" xfId="6342" xr:uid="{00000000-0005-0000-0000-0000D15C0000}"/>
    <cellStyle name="40% - Accent2 2 2 2 4 5" xfId="11822" xr:uid="{00000000-0005-0000-0000-0000D25C0000}"/>
    <cellStyle name="40% - Accent2 2 2 2 4 6" xfId="17298" xr:uid="{00000000-0005-0000-0000-0000D35C0000}"/>
    <cellStyle name="40% - Accent2 2 2 2 4 7" xfId="22774" xr:uid="{00000000-0005-0000-0000-0000D45C0000}"/>
    <cellStyle name="40% - Accent2 2 2 2 4 8" xfId="34569" xr:uid="{00000000-0005-0000-0000-0000D55C0000}"/>
    <cellStyle name="40% - Accent2 2 2 2 4 9" xfId="40046" xr:uid="{00000000-0005-0000-0000-0000D65C0000}"/>
    <cellStyle name="40% - Accent2 2 2 2 5" xfId="895" xr:uid="{00000000-0005-0000-0000-0000D75C0000}"/>
    <cellStyle name="40% - Accent2 2 2 2 5 10" xfId="45524" xr:uid="{00000000-0005-0000-0000-0000D85C0000}"/>
    <cellStyle name="40% - Accent2 2 2 2 5 11" xfId="51002" xr:uid="{00000000-0005-0000-0000-0000D95C0000}"/>
    <cellStyle name="40% - Accent2 2 2 2 5 2" xfId="2656" xr:uid="{00000000-0005-0000-0000-0000DA5C0000}"/>
    <cellStyle name="40% - Accent2 2 2 2 5 2 2" xfId="8136" xr:uid="{00000000-0005-0000-0000-0000DB5C0000}"/>
    <cellStyle name="40% - Accent2 2 2 2 5 2 3" xfId="13612" xr:uid="{00000000-0005-0000-0000-0000DC5C0000}"/>
    <cellStyle name="40% - Accent2 2 2 2 5 2 4" xfId="19088" xr:uid="{00000000-0005-0000-0000-0000DD5C0000}"/>
    <cellStyle name="40% - Accent2 2 2 2 5 2 5" xfId="24564" xr:uid="{00000000-0005-0000-0000-0000DE5C0000}"/>
    <cellStyle name="40% - Accent2 2 2 2 5 2 6" xfId="36360" xr:uid="{00000000-0005-0000-0000-0000DF5C0000}"/>
    <cellStyle name="40% - Accent2 2 2 2 5 2 7" xfId="41837" xr:uid="{00000000-0005-0000-0000-0000E05C0000}"/>
    <cellStyle name="40% - Accent2 2 2 2 5 2 8" xfId="47314" xr:uid="{00000000-0005-0000-0000-0000E15C0000}"/>
    <cellStyle name="40% - Accent2 2 2 2 5 2 9" xfId="52832" xr:uid="{00000000-0005-0000-0000-0000E25C0000}"/>
    <cellStyle name="40% - Accent2 2 2 2 5 3" xfId="4428" xr:uid="{00000000-0005-0000-0000-0000E35C0000}"/>
    <cellStyle name="40% - Accent2 2 2 2 5 3 2" xfId="9908" xr:uid="{00000000-0005-0000-0000-0000E45C0000}"/>
    <cellStyle name="40% - Accent2 2 2 2 5 3 3" xfId="15384" xr:uid="{00000000-0005-0000-0000-0000E55C0000}"/>
    <cellStyle name="40% - Accent2 2 2 2 5 3 4" xfId="20860" xr:uid="{00000000-0005-0000-0000-0000E65C0000}"/>
    <cellStyle name="40% - Accent2 2 2 2 5 3 5" xfId="26336" xr:uid="{00000000-0005-0000-0000-0000E75C0000}"/>
    <cellStyle name="40% - Accent2 2 2 2 5 3 6" xfId="38132" xr:uid="{00000000-0005-0000-0000-0000E85C0000}"/>
    <cellStyle name="40% - Accent2 2 2 2 5 3 7" xfId="43609" xr:uid="{00000000-0005-0000-0000-0000E95C0000}"/>
    <cellStyle name="40% - Accent2 2 2 2 5 3 8" xfId="49086" xr:uid="{00000000-0005-0000-0000-0000EA5C0000}"/>
    <cellStyle name="40% - Accent2 2 2 2 5 3 9" xfId="54604" xr:uid="{00000000-0005-0000-0000-0000EB5C0000}"/>
    <cellStyle name="40% - Accent2 2 2 2 5 4" xfId="6343" xr:uid="{00000000-0005-0000-0000-0000EC5C0000}"/>
    <cellStyle name="40% - Accent2 2 2 2 5 5" xfId="11823" xr:uid="{00000000-0005-0000-0000-0000ED5C0000}"/>
    <cellStyle name="40% - Accent2 2 2 2 5 6" xfId="17299" xr:uid="{00000000-0005-0000-0000-0000EE5C0000}"/>
    <cellStyle name="40% - Accent2 2 2 2 5 7" xfId="22775" xr:uid="{00000000-0005-0000-0000-0000EF5C0000}"/>
    <cellStyle name="40% - Accent2 2 2 2 5 8" xfId="34570" xr:uid="{00000000-0005-0000-0000-0000F05C0000}"/>
    <cellStyle name="40% - Accent2 2 2 2 5 9" xfId="40047" xr:uid="{00000000-0005-0000-0000-0000F15C0000}"/>
    <cellStyle name="40% - Accent2 2 2 2 6" xfId="1101" xr:uid="{00000000-0005-0000-0000-0000F25C0000}"/>
    <cellStyle name="40% - Accent2 2 2 2 6 10" xfId="45525" xr:uid="{00000000-0005-0000-0000-0000F35C0000}"/>
    <cellStyle name="40% - Accent2 2 2 2 6 11" xfId="51003" xr:uid="{00000000-0005-0000-0000-0000F45C0000}"/>
    <cellStyle name="40% - Accent2 2 2 2 6 2" xfId="2862" xr:uid="{00000000-0005-0000-0000-0000F55C0000}"/>
    <cellStyle name="40% - Accent2 2 2 2 6 2 2" xfId="8342" xr:uid="{00000000-0005-0000-0000-0000F65C0000}"/>
    <cellStyle name="40% - Accent2 2 2 2 6 2 3" xfId="13818" xr:uid="{00000000-0005-0000-0000-0000F75C0000}"/>
    <cellStyle name="40% - Accent2 2 2 2 6 2 4" xfId="19294" xr:uid="{00000000-0005-0000-0000-0000F85C0000}"/>
    <cellStyle name="40% - Accent2 2 2 2 6 2 5" xfId="24770" xr:uid="{00000000-0005-0000-0000-0000F95C0000}"/>
    <cellStyle name="40% - Accent2 2 2 2 6 2 6" xfId="36566" xr:uid="{00000000-0005-0000-0000-0000FA5C0000}"/>
    <cellStyle name="40% - Accent2 2 2 2 6 2 7" xfId="42043" xr:uid="{00000000-0005-0000-0000-0000FB5C0000}"/>
    <cellStyle name="40% - Accent2 2 2 2 6 2 8" xfId="47520" xr:uid="{00000000-0005-0000-0000-0000FC5C0000}"/>
    <cellStyle name="40% - Accent2 2 2 2 6 2 9" xfId="53038" xr:uid="{00000000-0005-0000-0000-0000FD5C0000}"/>
    <cellStyle name="40% - Accent2 2 2 2 6 3" xfId="4634" xr:uid="{00000000-0005-0000-0000-0000FE5C0000}"/>
    <cellStyle name="40% - Accent2 2 2 2 6 3 2" xfId="10114" xr:uid="{00000000-0005-0000-0000-0000FF5C0000}"/>
    <cellStyle name="40% - Accent2 2 2 2 6 3 3" xfId="15590" xr:uid="{00000000-0005-0000-0000-0000005D0000}"/>
    <cellStyle name="40% - Accent2 2 2 2 6 3 4" xfId="21066" xr:uid="{00000000-0005-0000-0000-0000015D0000}"/>
    <cellStyle name="40% - Accent2 2 2 2 6 3 5" xfId="26542" xr:uid="{00000000-0005-0000-0000-0000025D0000}"/>
    <cellStyle name="40% - Accent2 2 2 2 6 3 6" xfId="38338" xr:uid="{00000000-0005-0000-0000-0000035D0000}"/>
    <cellStyle name="40% - Accent2 2 2 2 6 3 7" xfId="43815" xr:uid="{00000000-0005-0000-0000-0000045D0000}"/>
    <cellStyle name="40% - Accent2 2 2 2 6 3 8" xfId="49292" xr:uid="{00000000-0005-0000-0000-0000055D0000}"/>
    <cellStyle name="40% - Accent2 2 2 2 6 3 9" xfId="54810" xr:uid="{00000000-0005-0000-0000-0000065D0000}"/>
    <cellStyle name="40% - Accent2 2 2 2 6 4" xfId="6344" xr:uid="{00000000-0005-0000-0000-0000075D0000}"/>
    <cellStyle name="40% - Accent2 2 2 2 6 5" xfId="11824" xr:uid="{00000000-0005-0000-0000-0000085D0000}"/>
    <cellStyle name="40% - Accent2 2 2 2 6 6" xfId="17300" xr:uid="{00000000-0005-0000-0000-0000095D0000}"/>
    <cellStyle name="40% - Accent2 2 2 2 6 7" xfId="22776" xr:uid="{00000000-0005-0000-0000-00000A5D0000}"/>
    <cellStyle name="40% - Accent2 2 2 2 6 8" xfId="34571" xr:uid="{00000000-0005-0000-0000-00000B5D0000}"/>
    <cellStyle name="40% - Accent2 2 2 2 6 9" xfId="40048" xr:uid="{00000000-0005-0000-0000-00000C5D0000}"/>
    <cellStyle name="40% - Accent2 2 2 2 7" xfId="1273" xr:uid="{00000000-0005-0000-0000-00000D5D0000}"/>
    <cellStyle name="40% - Accent2 2 2 2 7 10" xfId="45526" xr:uid="{00000000-0005-0000-0000-00000E5D0000}"/>
    <cellStyle name="40% - Accent2 2 2 2 7 11" xfId="51004" xr:uid="{00000000-0005-0000-0000-00000F5D0000}"/>
    <cellStyle name="40% - Accent2 2 2 2 7 2" xfId="3034" xr:uid="{00000000-0005-0000-0000-0000105D0000}"/>
    <cellStyle name="40% - Accent2 2 2 2 7 2 2" xfId="8514" xr:uid="{00000000-0005-0000-0000-0000115D0000}"/>
    <cellStyle name="40% - Accent2 2 2 2 7 2 3" xfId="13990" xr:uid="{00000000-0005-0000-0000-0000125D0000}"/>
    <cellStyle name="40% - Accent2 2 2 2 7 2 4" xfId="19466" xr:uid="{00000000-0005-0000-0000-0000135D0000}"/>
    <cellStyle name="40% - Accent2 2 2 2 7 2 5" xfId="24942" xr:uid="{00000000-0005-0000-0000-0000145D0000}"/>
    <cellStyle name="40% - Accent2 2 2 2 7 2 6" xfId="36738" xr:uid="{00000000-0005-0000-0000-0000155D0000}"/>
    <cellStyle name="40% - Accent2 2 2 2 7 2 7" xfId="42215" xr:uid="{00000000-0005-0000-0000-0000165D0000}"/>
    <cellStyle name="40% - Accent2 2 2 2 7 2 8" xfId="47692" xr:uid="{00000000-0005-0000-0000-0000175D0000}"/>
    <cellStyle name="40% - Accent2 2 2 2 7 2 9" xfId="53210" xr:uid="{00000000-0005-0000-0000-0000185D0000}"/>
    <cellStyle name="40% - Accent2 2 2 2 7 3" xfId="4806" xr:uid="{00000000-0005-0000-0000-0000195D0000}"/>
    <cellStyle name="40% - Accent2 2 2 2 7 3 2" xfId="10286" xr:uid="{00000000-0005-0000-0000-00001A5D0000}"/>
    <cellStyle name="40% - Accent2 2 2 2 7 3 3" xfId="15762" xr:uid="{00000000-0005-0000-0000-00001B5D0000}"/>
    <cellStyle name="40% - Accent2 2 2 2 7 3 4" xfId="21238" xr:uid="{00000000-0005-0000-0000-00001C5D0000}"/>
    <cellStyle name="40% - Accent2 2 2 2 7 3 5" xfId="26714" xr:uid="{00000000-0005-0000-0000-00001D5D0000}"/>
    <cellStyle name="40% - Accent2 2 2 2 7 3 6" xfId="38510" xr:uid="{00000000-0005-0000-0000-00001E5D0000}"/>
    <cellStyle name="40% - Accent2 2 2 2 7 3 7" xfId="43987" xr:uid="{00000000-0005-0000-0000-00001F5D0000}"/>
    <cellStyle name="40% - Accent2 2 2 2 7 3 8" xfId="49464" xr:uid="{00000000-0005-0000-0000-0000205D0000}"/>
    <cellStyle name="40% - Accent2 2 2 2 7 3 9" xfId="54982" xr:uid="{00000000-0005-0000-0000-0000215D0000}"/>
    <cellStyle name="40% - Accent2 2 2 2 7 4" xfId="6345" xr:uid="{00000000-0005-0000-0000-0000225D0000}"/>
    <cellStyle name="40% - Accent2 2 2 2 7 5" xfId="11825" xr:uid="{00000000-0005-0000-0000-0000235D0000}"/>
    <cellStyle name="40% - Accent2 2 2 2 7 6" xfId="17301" xr:uid="{00000000-0005-0000-0000-0000245D0000}"/>
    <cellStyle name="40% - Accent2 2 2 2 7 7" xfId="22777" xr:uid="{00000000-0005-0000-0000-0000255D0000}"/>
    <cellStyle name="40% - Accent2 2 2 2 7 8" xfId="34572" xr:uid="{00000000-0005-0000-0000-0000265D0000}"/>
    <cellStyle name="40% - Accent2 2 2 2 7 9" xfId="40049" xr:uid="{00000000-0005-0000-0000-0000275D0000}"/>
    <cellStyle name="40% - Accent2 2 2 2 8" xfId="1445" xr:uid="{00000000-0005-0000-0000-0000285D0000}"/>
    <cellStyle name="40% - Accent2 2 2 2 8 10" xfId="45527" xr:uid="{00000000-0005-0000-0000-0000295D0000}"/>
    <cellStyle name="40% - Accent2 2 2 2 8 11" xfId="51005" xr:uid="{00000000-0005-0000-0000-00002A5D0000}"/>
    <cellStyle name="40% - Accent2 2 2 2 8 2" xfId="3206" xr:uid="{00000000-0005-0000-0000-00002B5D0000}"/>
    <cellStyle name="40% - Accent2 2 2 2 8 2 2" xfId="8686" xr:uid="{00000000-0005-0000-0000-00002C5D0000}"/>
    <cellStyle name="40% - Accent2 2 2 2 8 2 3" xfId="14162" xr:uid="{00000000-0005-0000-0000-00002D5D0000}"/>
    <cellStyle name="40% - Accent2 2 2 2 8 2 4" xfId="19638" xr:uid="{00000000-0005-0000-0000-00002E5D0000}"/>
    <cellStyle name="40% - Accent2 2 2 2 8 2 5" xfId="25114" xr:uid="{00000000-0005-0000-0000-00002F5D0000}"/>
    <cellStyle name="40% - Accent2 2 2 2 8 2 6" xfId="36910" xr:uid="{00000000-0005-0000-0000-0000305D0000}"/>
    <cellStyle name="40% - Accent2 2 2 2 8 2 7" xfId="42387" xr:uid="{00000000-0005-0000-0000-0000315D0000}"/>
    <cellStyle name="40% - Accent2 2 2 2 8 2 8" xfId="47864" xr:uid="{00000000-0005-0000-0000-0000325D0000}"/>
    <cellStyle name="40% - Accent2 2 2 2 8 2 9" xfId="53382" xr:uid="{00000000-0005-0000-0000-0000335D0000}"/>
    <cellStyle name="40% - Accent2 2 2 2 8 3" xfId="4978" xr:uid="{00000000-0005-0000-0000-0000345D0000}"/>
    <cellStyle name="40% - Accent2 2 2 2 8 3 2" xfId="10458" xr:uid="{00000000-0005-0000-0000-0000355D0000}"/>
    <cellStyle name="40% - Accent2 2 2 2 8 3 3" xfId="15934" xr:uid="{00000000-0005-0000-0000-0000365D0000}"/>
    <cellStyle name="40% - Accent2 2 2 2 8 3 4" xfId="21410" xr:uid="{00000000-0005-0000-0000-0000375D0000}"/>
    <cellStyle name="40% - Accent2 2 2 2 8 3 5" xfId="26886" xr:uid="{00000000-0005-0000-0000-0000385D0000}"/>
    <cellStyle name="40% - Accent2 2 2 2 8 3 6" xfId="38682" xr:uid="{00000000-0005-0000-0000-0000395D0000}"/>
    <cellStyle name="40% - Accent2 2 2 2 8 3 7" xfId="44159" xr:uid="{00000000-0005-0000-0000-00003A5D0000}"/>
    <cellStyle name="40% - Accent2 2 2 2 8 3 8" xfId="49636" xr:uid="{00000000-0005-0000-0000-00003B5D0000}"/>
    <cellStyle name="40% - Accent2 2 2 2 8 3 9" xfId="55154" xr:uid="{00000000-0005-0000-0000-00003C5D0000}"/>
    <cellStyle name="40% - Accent2 2 2 2 8 4" xfId="6346" xr:uid="{00000000-0005-0000-0000-00003D5D0000}"/>
    <cellStyle name="40% - Accent2 2 2 2 8 5" xfId="11826" xr:uid="{00000000-0005-0000-0000-00003E5D0000}"/>
    <cellStyle name="40% - Accent2 2 2 2 8 6" xfId="17302" xr:uid="{00000000-0005-0000-0000-00003F5D0000}"/>
    <cellStyle name="40% - Accent2 2 2 2 8 7" xfId="22778" xr:uid="{00000000-0005-0000-0000-0000405D0000}"/>
    <cellStyle name="40% - Accent2 2 2 2 8 8" xfId="34573" xr:uid="{00000000-0005-0000-0000-0000415D0000}"/>
    <cellStyle name="40% - Accent2 2 2 2 8 9" xfId="40050" xr:uid="{00000000-0005-0000-0000-0000425D0000}"/>
    <cellStyle name="40% - Accent2 2 2 2 9" xfId="1617" xr:uid="{00000000-0005-0000-0000-0000435D0000}"/>
    <cellStyle name="40% - Accent2 2 2 2 9 10" xfId="45528" xr:uid="{00000000-0005-0000-0000-0000445D0000}"/>
    <cellStyle name="40% - Accent2 2 2 2 9 11" xfId="51006" xr:uid="{00000000-0005-0000-0000-0000455D0000}"/>
    <cellStyle name="40% - Accent2 2 2 2 9 2" xfId="3378" xr:uid="{00000000-0005-0000-0000-0000465D0000}"/>
    <cellStyle name="40% - Accent2 2 2 2 9 2 2" xfId="8858" xr:uid="{00000000-0005-0000-0000-0000475D0000}"/>
    <cellStyle name="40% - Accent2 2 2 2 9 2 3" xfId="14334" xr:uid="{00000000-0005-0000-0000-0000485D0000}"/>
    <cellStyle name="40% - Accent2 2 2 2 9 2 4" xfId="19810" xr:uid="{00000000-0005-0000-0000-0000495D0000}"/>
    <cellStyle name="40% - Accent2 2 2 2 9 2 5" xfId="25286" xr:uid="{00000000-0005-0000-0000-00004A5D0000}"/>
    <cellStyle name="40% - Accent2 2 2 2 9 2 6" xfId="37082" xr:uid="{00000000-0005-0000-0000-00004B5D0000}"/>
    <cellStyle name="40% - Accent2 2 2 2 9 2 7" xfId="42559" xr:uid="{00000000-0005-0000-0000-00004C5D0000}"/>
    <cellStyle name="40% - Accent2 2 2 2 9 2 8" xfId="48036" xr:uid="{00000000-0005-0000-0000-00004D5D0000}"/>
    <cellStyle name="40% - Accent2 2 2 2 9 2 9" xfId="53554" xr:uid="{00000000-0005-0000-0000-00004E5D0000}"/>
    <cellStyle name="40% - Accent2 2 2 2 9 3" xfId="5150" xr:uid="{00000000-0005-0000-0000-00004F5D0000}"/>
    <cellStyle name="40% - Accent2 2 2 2 9 3 2" xfId="10630" xr:uid="{00000000-0005-0000-0000-0000505D0000}"/>
    <cellStyle name="40% - Accent2 2 2 2 9 3 3" xfId="16106" xr:uid="{00000000-0005-0000-0000-0000515D0000}"/>
    <cellStyle name="40% - Accent2 2 2 2 9 3 4" xfId="21582" xr:uid="{00000000-0005-0000-0000-0000525D0000}"/>
    <cellStyle name="40% - Accent2 2 2 2 9 3 5" xfId="27058" xr:uid="{00000000-0005-0000-0000-0000535D0000}"/>
    <cellStyle name="40% - Accent2 2 2 2 9 3 6" xfId="38854" xr:uid="{00000000-0005-0000-0000-0000545D0000}"/>
    <cellStyle name="40% - Accent2 2 2 2 9 3 7" xfId="44331" xr:uid="{00000000-0005-0000-0000-0000555D0000}"/>
    <cellStyle name="40% - Accent2 2 2 2 9 3 8" xfId="49808" xr:uid="{00000000-0005-0000-0000-0000565D0000}"/>
    <cellStyle name="40% - Accent2 2 2 2 9 3 9" xfId="55326" xr:uid="{00000000-0005-0000-0000-0000575D0000}"/>
    <cellStyle name="40% - Accent2 2 2 2 9 4" xfId="6347" xr:uid="{00000000-0005-0000-0000-0000585D0000}"/>
    <cellStyle name="40% - Accent2 2 2 2 9 5" xfId="11827" xr:uid="{00000000-0005-0000-0000-0000595D0000}"/>
    <cellStyle name="40% - Accent2 2 2 2 9 6" xfId="17303" xr:uid="{00000000-0005-0000-0000-00005A5D0000}"/>
    <cellStyle name="40% - Accent2 2 2 2 9 7" xfId="22779" xr:uid="{00000000-0005-0000-0000-00005B5D0000}"/>
    <cellStyle name="40% - Accent2 2 2 2 9 8" xfId="34574" xr:uid="{00000000-0005-0000-0000-00005C5D0000}"/>
    <cellStyle name="40% - Accent2 2 2 2 9 9" xfId="40051" xr:uid="{00000000-0005-0000-0000-00005D5D0000}"/>
    <cellStyle name="40% - Accent2 2 2 20" xfId="40039" xr:uid="{00000000-0005-0000-0000-00005E5D0000}"/>
    <cellStyle name="40% - Accent2 2 2 21" xfId="45516" xr:uid="{00000000-0005-0000-0000-00005F5D0000}"/>
    <cellStyle name="40% - Accent2 2 2 22" xfId="50994" xr:uid="{00000000-0005-0000-0000-0000605D0000}"/>
    <cellStyle name="40% - Accent2 2 2 3" xfId="349" xr:uid="{00000000-0005-0000-0000-0000615D0000}"/>
    <cellStyle name="40% - Accent2 2 2 3 10" xfId="40052" xr:uid="{00000000-0005-0000-0000-0000625D0000}"/>
    <cellStyle name="40% - Accent2 2 2 3 11" xfId="45529" xr:uid="{00000000-0005-0000-0000-0000635D0000}"/>
    <cellStyle name="40% - Accent2 2 2 3 12" xfId="51007" xr:uid="{00000000-0005-0000-0000-0000645D0000}"/>
    <cellStyle name="40% - Accent2 2 2 3 2" xfId="2144" xr:uid="{00000000-0005-0000-0000-0000655D0000}"/>
    <cellStyle name="40% - Accent2 2 2 3 2 2" xfId="7624" xr:uid="{00000000-0005-0000-0000-0000665D0000}"/>
    <cellStyle name="40% - Accent2 2 2 3 2 3" xfId="13100" xr:uid="{00000000-0005-0000-0000-0000675D0000}"/>
    <cellStyle name="40% - Accent2 2 2 3 2 4" xfId="18576" xr:uid="{00000000-0005-0000-0000-0000685D0000}"/>
    <cellStyle name="40% - Accent2 2 2 3 2 5" xfId="24052" xr:uid="{00000000-0005-0000-0000-0000695D0000}"/>
    <cellStyle name="40% - Accent2 2 2 3 2 6" xfId="35848" xr:uid="{00000000-0005-0000-0000-00006A5D0000}"/>
    <cellStyle name="40% - Accent2 2 2 3 2 7" xfId="41325" xr:uid="{00000000-0005-0000-0000-00006B5D0000}"/>
    <cellStyle name="40% - Accent2 2 2 3 2 8" xfId="46802" xr:uid="{00000000-0005-0000-0000-00006C5D0000}"/>
    <cellStyle name="40% - Accent2 2 2 3 2 9" xfId="52320" xr:uid="{00000000-0005-0000-0000-00006D5D0000}"/>
    <cellStyle name="40% - Accent2 2 2 3 3" xfId="3911" xr:uid="{00000000-0005-0000-0000-00006E5D0000}"/>
    <cellStyle name="40% - Accent2 2 2 3 3 2" xfId="9391" xr:uid="{00000000-0005-0000-0000-00006F5D0000}"/>
    <cellStyle name="40% - Accent2 2 2 3 3 3" xfId="14867" xr:uid="{00000000-0005-0000-0000-0000705D0000}"/>
    <cellStyle name="40% - Accent2 2 2 3 3 4" xfId="20343" xr:uid="{00000000-0005-0000-0000-0000715D0000}"/>
    <cellStyle name="40% - Accent2 2 2 3 3 5" xfId="25819" xr:uid="{00000000-0005-0000-0000-0000725D0000}"/>
    <cellStyle name="40% - Accent2 2 2 3 3 6" xfId="37615" xr:uid="{00000000-0005-0000-0000-0000735D0000}"/>
    <cellStyle name="40% - Accent2 2 2 3 3 7" xfId="43092" xr:uid="{00000000-0005-0000-0000-0000745D0000}"/>
    <cellStyle name="40% - Accent2 2 2 3 3 8" xfId="48569" xr:uid="{00000000-0005-0000-0000-0000755D0000}"/>
    <cellStyle name="40% - Accent2 2 2 3 3 9" xfId="54087" xr:uid="{00000000-0005-0000-0000-0000765D0000}"/>
    <cellStyle name="40% - Accent2 2 2 3 4" xfId="6348" xr:uid="{00000000-0005-0000-0000-0000775D0000}"/>
    <cellStyle name="40% - Accent2 2 2 3 5" xfId="11828" xr:uid="{00000000-0005-0000-0000-0000785D0000}"/>
    <cellStyle name="40% - Accent2 2 2 3 6" xfId="17304" xr:uid="{00000000-0005-0000-0000-0000795D0000}"/>
    <cellStyle name="40% - Accent2 2 2 3 7" xfId="22780" xr:uid="{00000000-0005-0000-0000-00007A5D0000}"/>
    <cellStyle name="40% - Accent2 2 2 3 8" xfId="30816" xr:uid="{00000000-0005-0000-0000-00007B5D0000}"/>
    <cellStyle name="40% - Accent2 2 2 3 9" xfId="34575" xr:uid="{00000000-0005-0000-0000-00007C5D0000}"/>
    <cellStyle name="40% - Accent2 2 2 4" xfId="550" xr:uid="{00000000-0005-0000-0000-00007D5D0000}"/>
    <cellStyle name="40% - Accent2 2 2 4 10" xfId="45530" xr:uid="{00000000-0005-0000-0000-00007E5D0000}"/>
    <cellStyle name="40% - Accent2 2 2 4 11" xfId="51008" xr:uid="{00000000-0005-0000-0000-00007F5D0000}"/>
    <cellStyle name="40% - Accent2 2 2 4 2" xfId="2311" xr:uid="{00000000-0005-0000-0000-0000805D0000}"/>
    <cellStyle name="40% - Accent2 2 2 4 2 2" xfId="7791" xr:uid="{00000000-0005-0000-0000-0000815D0000}"/>
    <cellStyle name="40% - Accent2 2 2 4 2 3" xfId="13267" xr:uid="{00000000-0005-0000-0000-0000825D0000}"/>
    <cellStyle name="40% - Accent2 2 2 4 2 4" xfId="18743" xr:uid="{00000000-0005-0000-0000-0000835D0000}"/>
    <cellStyle name="40% - Accent2 2 2 4 2 5" xfId="24219" xr:uid="{00000000-0005-0000-0000-0000845D0000}"/>
    <cellStyle name="40% - Accent2 2 2 4 2 6" xfId="36015" xr:uid="{00000000-0005-0000-0000-0000855D0000}"/>
    <cellStyle name="40% - Accent2 2 2 4 2 7" xfId="41492" xr:uid="{00000000-0005-0000-0000-0000865D0000}"/>
    <cellStyle name="40% - Accent2 2 2 4 2 8" xfId="46969" xr:uid="{00000000-0005-0000-0000-0000875D0000}"/>
    <cellStyle name="40% - Accent2 2 2 4 2 9" xfId="52487" xr:uid="{00000000-0005-0000-0000-0000885D0000}"/>
    <cellStyle name="40% - Accent2 2 2 4 3" xfId="4083" xr:uid="{00000000-0005-0000-0000-0000895D0000}"/>
    <cellStyle name="40% - Accent2 2 2 4 3 2" xfId="9563" xr:uid="{00000000-0005-0000-0000-00008A5D0000}"/>
    <cellStyle name="40% - Accent2 2 2 4 3 3" xfId="15039" xr:uid="{00000000-0005-0000-0000-00008B5D0000}"/>
    <cellStyle name="40% - Accent2 2 2 4 3 4" xfId="20515" xr:uid="{00000000-0005-0000-0000-00008C5D0000}"/>
    <cellStyle name="40% - Accent2 2 2 4 3 5" xfId="25991" xr:uid="{00000000-0005-0000-0000-00008D5D0000}"/>
    <cellStyle name="40% - Accent2 2 2 4 3 6" xfId="37787" xr:uid="{00000000-0005-0000-0000-00008E5D0000}"/>
    <cellStyle name="40% - Accent2 2 2 4 3 7" xfId="43264" xr:uid="{00000000-0005-0000-0000-00008F5D0000}"/>
    <cellStyle name="40% - Accent2 2 2 4 3 8" xfId="48741" xr:uid="{00000000-0005-0000-0000-0000905D0000}"/>
    <cellStyle name="40% - Accent2 2 2 4 3 9" xfId="54259" xr:uid="{00000000-0005-0000-0000-0000915D0000}"/>
    <cellStyle name="40% - Accent2 2 2 4 4" xfId="6349" xr:uid="{00000000-0005-0000-0000-0000925D0000}"/>
    <cellStyle name="40% - Accent2 2 2 4 5" xfId="11829" xr:uid="{00000000-0005-0000-0000-0000935D0000}"/>
    <cellStyle name="40% - Accent2 2 2 4 6" xfId="17305" xr:uid="{00000000-0005-0000-0000-0000945D0000}"/>
    <cellStyle name="40% - Accent2 2 2 4 7" xfId="22781" xr:uid="{00000000-0005-0000-0000-0000955D0000}"/>
    <cellStyle name="40% - Accent2 2 2 4 8" xfId="34576" xr:uid="{00000000-0005-0000-0000-0000965D0000}"/>
    <cellStyle name="40% - Accent2 2 2 4 9" xfId="40053" xr:uid="{00000000-0005-0000-0000-0000975D0000}"/>
    <cellStyle name="40% - Accent2 2 2 5" xfId="722" xr:uid="{00000000-0005-0000-0000-0000985D0000}"/>
    <cellStyle name="40% - Accent2 2 2 5 10" xfId="45531" xr:uid="{00000000-0005-0000-0000-0000995D0000}"/>
    <cellStyle name="40% - Accent2 2 2 5 11" xfId="51009" xr:uid="{00000000-0005-0000-0000-00009A5D0000}"/>
    <cellStyle name="40% - Accent2 2 2 5 2" xfId="2483" xr:uid="{00000000-0005-0000-0000-00009B5D0000}"/>
    <cellStyle name="40% - Accent2 2 2 5 2 2" xfId="7963" xr:uid="{00000000-0005-0000-0000-00009C5D0000}"/>
    <cellStyle name="40% - Accent2 2 2 5 2 3" xfId="13439" xr:uid="{00000000-0005-0000-0000-00009D5D0000}"/>
    <cellStyle name="40% - Accent2 2 2 5 2 4" xfId="18915" xr:uid="{00000000-0005-0000-0000-00009E5D0000}"/>
    <cellStyle name="40% - Accent2 2 2 5 2 5" xfId="24391" xr:uid="{00000000-0005-0000-0000-00009F5D0000}"/>
    <cellStyle name="40% - Accent2 2 2 5 2 6" xfId="36187" xr:uid="{00000000-0005-0000-0000-0000A05D0000}"/>
    <cellStyle name="40% - Accent2 2 2 5 2 7" xfId="41664" xr:uid="{00000000-0005-0000-0000-0000A15D0000}"/>
    <cellStyle name="40% - Accent2 2 2 5 2 8" xfId="47141" xr:uid="{00000000-0005-0000-0000-0000A25D0000}"/>
    <cellStyle name="40% - Accent2 2 2 5 2 9" xfId="52659" xr:uid="{00000000-0005-0000-0000-0000A35D0000}"/>
    <cellStyle name="40% - Accent2 2 2 5 3" xfId="4255" xr:uid="{00000000-0005-0000-0000-0000A45D0000}"/>
    <cellStyle name="40% - Accent2 2 2 5 3 2" xfId="9735" xr:uid="{00000000-0005-0000-0000-0000A55D0000}"/>
    <cellStyle name="40% - Accent2 2 2 5 3 3" xfId="15211" xr:uid="{00000000-0005-0000-0000-0000A65D0000}"/>
    <cellStyle name="40% - Accent2 2 2 5 3 4" xfId="20687" xr:uid="{00000000-0005-0000-0000-0000A75D0000}"/>
    <cellStyle name="40% - Accent2 2 2 5 3 5" xfId="26163" xr:uid="{00000000-0005-0000-0000-0000A85D0000}"/>
    <cellStyle name="40% - Accent2 2 2 5 3 6" xfId="37959" xr:uid="{00000000-0005-0000-0000-0000A95D0000}"/>
    <cellStyle name="40% - Accent2 2 2 5 3 7" xfId="43436" xr:uid="{00000000-0005-0000-0000-0000AA5D0000}"/>
    <cellStyle name="40% - Accent2 2 2 5 3 8" xfId="48913" xr:uid="{00000000-0005-0000-0000-0000AB5D0000}"/>
    <cellStyle name="40% - Accent2 2 2 5 3 9" xfId="54431" xr:uid="{00000000-0005-0000-0000-0000AC5D0000}"/>
    <cellStyle name="40% - Accent2 2 2 5 4" xfId="6350" xr:uid="{00000000-0005-0000-0000-0000AD5D0000}"/>
    <cellStyle name="40% - Accent2 2 2 5 5" xfId="11830" xr:uid="{00000000-0005-0000-0000-0000AE5D0000}"/>
    <cellStyle name="40% - Accent2 2 2 5 6" xfId="17306" xr:uid="{00000000-0005-0000-0000-0000AF5D0000}"/>
    <cellStyle name="40% - Accent2 2 2 5 7" xfId="22782" xr:uid="{00000000-0005-0000-0000-0000B05D0000}"/>
    <cellStyle name="40% - Accent2 2 2 5 8" xfId="34577" xr:uid="{00000000-0005-0000-0000-0000B15D0000}"/>
    <cellStyle name="40% - Accent2 2 2 5 9" xfId="40054" xr:uid="{00000000-0005-0000-0000-0000B25D0000}"/>
    <cellStyle name="40% - Accent2 2 2 6" xfId="894" xr:uid="{00000000-0005-0000-0000-0000B35D0000}"/>
    <cellStyle name="40% - Accent2 2 2 6 10" xfId="45532" xr:uid="{00000000-0005-0000-0000-0000B45D0000}"/>
    <cellStyle name="40% - Accent2 2 2 6 11" xfId="51010" xr:uid="{00000000-0005-0000-0000-0000B55D0000}"/>
    <cellStyle name="40% - Accent2 2 2 6 2" xfId="2655" xr:uid="{00000000-0005-0000-0000-0000B65D0000}"/>
    <cellStyle name="40% - Accent2 2 2 6 2 2" xfId="8135" xr:uid="{00000000-0005-0000-0000-0000B75D0000}"/>
    <cellStyle name="40% - Accent2 2 2 6 2 3" xfId="13611" xr:uid="{00000000-0005-0000-0000-0000B85D0000}"/>
    <cellStyle name="40% - Accent2 2 2 6 2 4" xfId="19087" xr:uid="{00000000-0005-0000-0000-0000B95D0000}"/>
    <cellStyle name="40% - Accent2 2 2 6 2 5" xfId="24563" xr:uid="{00000000-0005-0000-0000-0000BA5D0000}"/>
    <cellStyle name="40% - Accent2 2 2 6 2 6" xfId="36359" xr:uid="{00000000-0005-0000-0000-0000BB5D0000}"/>
    <cellStyle name="40% - Accent2 2 2 6 2 7" xfId="41836" xr:uid="{00000000-0005-0000-0000-0000BC5D0000}"/>
    <cellStyle name="40% - Accent2 2 2 6 2 8" xfId="47313" xr:uid="{00000000-0005-0000-0000-0000BD5D0000}"/>
    <cellStyle name="40% - Accent2 2 2 6 2 9" xfId="52831" xr:uid="{00000000-0005-0000-0000-0000BE5D0000}"/>
    <cellStyle name="40% - Accent2 2 2 6 3" xfId="4427" xr:uid="{00000000-0005-0000-0000-0000BF5D0000}"/>
    <cellStyle name="40% - Accent2 2 2 6 3 2" xfId="9907" xr:uid="{00000000-0005-0000-0000-0000C05D0000}"/>
    <cellStyle name="40% - Accent2 2 2 6 3 3" xfId="15383" xr:uid="{00000000-0005-0000-0000-0000C15D0000}"/>
    <cellStyle name="40% - Accent2 2 2 6 3 4" xfId="20859" xr:uid="{00000000-0005-0000-0000-0000C25D0000}"/>
    <cellStyle name="40% - Accent2 2 2 6 3 5" xfId="26335" xr:uid="{00000000-0005-0000-0000-0000C35D0000}"/>
    <cellStyle name="40% - Accent2 2 2 6 3 6" xfId="38131" xr:uid="{00000000-0005-0000-0000-0000C45D0000}"/>
    <cellStyle name="40% - Accent2 2 2 6 3 7" xfId="43608" xr:uid="{00000000-0005-0000-0000-0000C55D0000}"/>
    <cellStyle name="40% - Accent2 2 2 6 3 8" xfId="49085" xr:uid="{00000000-0005-0000-0000-0000C65D0000}"/>
    <cellStyle name="40% - Accent2 2 2 6 3 9" xfId="54603" xr:uid="{00000000-0005-0000-0000-0000C75D0000}"/>
    <cellStyle name="40% - Accent2 2 2 6 4" xfId="6351" xr:uid="{00000000-0005-0000-0000-0000C85D0000}"/>
    <cellStyle name="40% - Accent2 2 2 6 5" xfId="11831" xr:uid="{00000000-0005-0000-0000-0000C95D0000}"/>
    <cellStyle name="40% - Accent2 2 2 6 6" xfId="17307" xr:uid="{00000000-0005-0000-0000-0000CA5D0000}"/>
    <cellStyle name="40% - Accent2 2 2 6 7" xfId="22783" xr:uid="{00000000-0005-0000-0000-0000CB5D0000}"/>
    <cellStyle name="40% - Accent2 2 2 6 8" xfId="34578" xr:uid="{00000000-0005-0000-0000-0000CC5D0000}"/>
    <cellStyle name="40% - Accent2 2 2 6 9" xfId="40055" xr:uid="{00000000-0005-0000-0000-0000CD5D0000}"/>
    <cellStyle name="40% - Accent2 2 2 7" xfId="1100" xr:uid="{00000000-0005-0000-0000-0000CE5D0000}"/>
    <cellStyle name="40% - Accent2 2 2 7 10" xfId="45533" xr:uid="{00000000-0005-0000-0000-0000CF5D0000}"/>
    <cellStyle name="40% - Accent2 2 2 7 11" xfId="51011" xr:uid="{00000000-0005-0000-0000-0000D05D0000}"/>
    <cellStyle name="40% - Accent2 2 2 7 2" xfId="2861" xr:uid="{00000000-0005-0000-0000-0000D15D0000}"/>
    <cellStyle name="40% - Accent2 2 2 7 2 2" xfId="8341" xr:uid="{00000000-0005-0000-0000-0000D25D0000}"/>
    <cellStyle name="40% - Accent2 2 2 7 2 3" xfId="13817" xr:uid="{00000000-0005-0000-0000-0000D35D0000}"/>
    <cellStyle name="40% - Accent2 2 2 7 2 4" xfId="19293" xr:uid="{00000000-0005-0000-0000-0000D45D0000}"/>
    <cellStyle name="40% - Accent2 2 2 7 2 5" xfId="24769" xr:uid="{00000000-0005-0000-0000-0000D55D0000}"/>
    <cellStyle name="40% - Accent2 2 2 7 2 6" xfId="36565" xr:uid="{00000000-0005-0000-0000-0000D65D0000}"/>
    <cellStyle name="40% - Accent2 2 2 7 2 7" xfId="42042" xr:uid="{00000000-0005-0000-0000-0000D75D0000}"/>
    <cellStyle name="40% - Accent2 2 2 7 2 8" xfId="47519" xr:uid="{00000000-0005-0000-0000-0000D85D0000}"/>
    <cellStyle name="40% - Accent2 2 2 7 2 9" xfId="53037" xr:uid="{00000000-0005-0000-0000-0000D95D0000}"/>
    <cellStyle name="40% - Accent2 2 2 7 3" xfId="4633" xr:uid="{00000000-0005-0000-0000-0000DA5D0000}"/>
    <cellStyle name="40% - Accent2 2 2 7 3 2" xfId="10113" xr:uid="{00000000-0005-0000-0000-0000DB5D0000}"/>
    <cellStyle name="40% - Accent2 2 2 7 3 3" xfId="15589" xr:uid="{00000000-0005-0000-0000-0000DC5D0000}"/>
    <cellStyle name="40% - Accent2 2 2 7 3 4" xfId="21065" xr:uid="{00000000-0005-0000-0000-0000DD5D0000}"/>
    <cellStyle name="40% - Accent2 2 2 7 3 5" xfId="26541" xr:uid="{00000000-0005-0000-0000-0000DE5D0000}"/>
    <cellStyle name="40% - Accent2 2 2 7 3 6" xfId="38337" xr:uid="{00000000-0005-0000-0000-0000DF5D0000}"/>
    <cellStyle name="40% - Accent2 2 2 7 3 7" xfId="43814" xr:uid="{00000000-0005-0000-0000-0000E05D0000}"/>
    <cellStyle name="40% - Accent2 2 2 7 3 8" xfId="49291" xr:uid="{00000000-0005-0000-0000-0000E15D0000}"/>
    <cellStyle name="40% - Accent2 2 2 7 3 9" xfId="54809" xr:uid="{00000000-0005-0000-0000-0000E25D0000}"/>
    <cellStyle name="40% - Accent2 2 2 7 4" xfId="6352" xr:uid="{00000000-0005-0000-0000-0000E35D0000}"/>
    <cellStyle name="40% - Accent2 2 2 7 5" xfId="11832" xr:uid="{00000000-0005-0000-0000-0000E45D0000}"/>
    <cellStyle name="40% - Accent2 2 2 7 6" xfId="17308" xr:uid="{00000000-0005-0000-0000-0000E55D0000}"/>
    <cellStyle name="40% - Accent2 2 2 7 7" xfId="22784" xr:uid="{00000000-0005-0000-0000-0000E65D0000}"/>
    <cellStyle name="40% - Accent2 2 2 7 8" xfId="34579" xr:uid="{00000000-0005-0000-0000-0000E75D0000}"/>
    <cellStyle name="40% - Accent2 2 2 7 9" xfId="40056" xr:uid="{00000000-0005-0000-0000-0000E85D0000}"/>
    <cellStyle name="40% - Accent2 2 2 8" xfId="1272" xr:uid="{00000000-0005-0000-0000-0000E95D0000}"/>
    <cellStyle name="40% - Accent2 2 2 8 10" xfId="45534" xr:uid="{00000000-0005-0000-0000-0000EA5D0000}"/>
    <cellStyle name="40% - Accent2 2 2 8 11" xfId="51012" xr:uid="{00000000-0005-0000-0000-0000EB5D0000}"/>
    <cellStyle name="40% - Accent2 2 2 8 2" xfId="3033" xr:uid="{00000000-0005-0000-0000-0000EC5D0000}"/>
    <cellStyle name="40% - Accent2 2 2 8 2 2" xfId="8513" xr:uid="{00000000-0005-0000-0000-0000ED5D0000}"/>
    <cellStyle name="40% - Accent2 2 2 8 2 3" xfId="13989" xr:uid="{00000000-0005-0000-0000-0000EE5D0000}"/>
    <cellStyle name="40% - Accent2 2 2 8 2 4" xfId="19465" xr:uid="{00000000-0005-0000-0000-0000EF5D0000}"/>
    <cellStyle name="40% - Accent2 2 2 8 2 5" xfId="24941" xr:uid="{00000000-0005-0000-0000-0000F05D0000}"/>
    <cellStyle name="40% - Accent2 2 2 8 2 6" xfId="36737" xr:uid="{00000000-0005-0000-0000-0000F15D0000}"/>
    <cellStyle name="40% - Accent2 2 2 8 2 7" xfId="42214" xr:uid="{00000000-0005-0000-0000-0000F25D0000}"/>
    <cellStyle name="40% - Accent2 2 2 8 2 8" xfId="47691" xr:uid="{00000000-0005-0000-0000-0000F35D0000}"/>
    <cellStyle name="40% - Accent2 2 2 8 2 9" xfId="53209" xr:uid="{00000000-0005-0000-0000-0000F45D0000}"/>
    <cellStyle name="40% - Accent2 2 2 8 3" xfId="4805" xr:uid="{00000000-0005-0000-0000-0000F55D0000}"/>
    <cellStyle name="40% - Accent2 2 2 8 3 2" xfId="10285" xr:uid="{00000000-0005-0000-0000-0000F65D0000}"/>
    <cellStyle name="40% - Accent2 2 2 8 3 3" xfId="15761" xr:uid="{00000000-0005-0000-0000-0000F75D0000}"/>
    <cellStyle name="40% - Accent2 2 2 8 3 4" xfId="21237" xr:uid="{00000000-0005-0000-0000-0000F85D0000}"/>
    <cellStyle name="40% - Accent2 2 2 8 3 5" xfId="26713" xr:uid="{00000000-0005-0000-0000-0000F95D0000}"/>
    <cellStyle name="40% - Accent2 2 2 8 3 6" xfId="38509" xr:uid="{00000000-0005-0000-0000-0000FA5D0000}"/>
    <cellStyle name="40% - Accent2 2 2 8 3 7" xfId="43986" xr:uid="{00000000-0005-0000-0000-0000FB5D0000}"/>
    <cellStyle name="40% - Accent2 2 2 8 3 8" xfId="49463" xr:uid="{00000000-0005-0000-0000-0000FC5D0000}"/>
    <cellStyle name="40% - Accent2 2 2 8 3 9" xfId="54981" xr:uid="{00000000-0005-0000-0000-0000FD5D0000}"/>
    <cellStyle name="40% - Accent2 2 2 8 4" xfId="6353" xr:uid="{00000000-0005-0000-0000-0000FE5D0000}"/>
    <cellStyle name="40% - Accent2 2 2 8 5" xfId="11833" xr:uid="{00000000-0005-0000-0000-0000FF5D0000}"/>
    <cellStyle name="40% - Accent2 2 2 8 6" xfId="17309" xr:uid="{00000000-0005-0000-0000-0000005E0000}"/>
    <cellStyle name="40% - Accent2 2 2 8 7" xfId="22785" xr:uid="{00000000-0005-0000-0000-0000015E0000}"/>
    <cellStyle name="40% - Accent2 2 2 8 8" xfId="34580" xr:uid="{00000000-0005-0000-0000-0000025E0000}"/>
    <cellStyle name="40% - Accent2 2 2 8 9" xfId="40057" xr:uid="{00000000-0005-0000-0000-0000035E0000}"/>
    <cellStyle name="40% - Accent2 2 2 9" xfId="1444" xr:uid="{00000000-0005-0000-0000-0000045E0000}"/>
    <cellStyle name="40% - Accent2 2 2 9 10" xfId="45535" xr:uid="{00000000-0005-0000-0000-0000055E0000}"/>
    <cellStyle name="40% - Accent2 2 2 9 11" xfId="51013" xr:uid="{00000000-0005-0000-0000-0000065E0000}"/>
    <cellStyle name="40% - Accent2 2 2 9 2" xfId="3205" xr:uid="{00000000-0005-0000-0000-0000075E0000}"/>
    <cellStyle name="40% - Accent2 2 2 9 2 2" xfId="8685" xr:uid="{00000000-0005-0000-0000-0000085E0000}"/>
    <cellStyle name="40% - Accent2 2 2 9 2 3" xfId="14161" xr:uid="{00000000-0005-0000-0000-0000095E0000}"/>
    <cellStyle name="40% - Accent2 2 2 9 2 4" xfId="19637" xr:uid="{00000000-0005-0000-0000-00000A5E0000}"/>
    <cellStyle name="40% - Accent2 2 2 9 2 5" xfId="25113" xr:uid="{00000000-0005-0000-0000-00000B5E0000}"/>
    <cellStyle name="40% - Accent2 2 2 9 2 6" xfId="36909" xr:uid="{00000000-0005-0000-0000-00000C5E0000}"/>
    <cellStyle name="40% - Accent2 2 2 9 2 7" xfId="42386" xr:uid="{00000000-0005-0000-0000-00000D5E0000}"/>
    <cellStyle name="40% - Accent2 2 2 9 2 8" xfId="47863" xr:uid="{00000000-0005-0000-0000-00000E5E0000}"/>
    <cellStyle name="40% - Accent2 2 2 9 2 9" xfId="53381" xr:uid="{00000000-0005-0000-0000-00000F5E0000}"/>
    <cellStyle name="40% - Accent2 2 2 9 3" xfId="4977" xr:uid="{00000000-0005-0000-0000-0000105E0000}"/>
    <cellStyle name="40% - Accent2 2 2 9 3 2" xfId="10457" xr:uid="{00000000-0005-0000-0000-0000115E0000}"/>
    <cellStyle name="40% - Accent2 2 2 9 3 3" xfId="15933" xr:uid="{00000000-0005-0000-0000-0000125E0000}"/>
    <cellStyle name="40% - Accent2 2 2 9 3 4" xfId="21409" xr:uid="{00000000-0005-0000-0000-0000135E0000}"/>
    <cellStyle name="40% - Accent2 2 2 9 3 5" xfId="26885" xr:uid="{00000000-0005-0000-0000-0000145E0000}"/>
    <cellStyle name="40% - Accent2 2 2 9 3 6" xfId="38681" xr:uid="{00000000-0005-0000-0000-0000155E0000}"/>
    <cellStyle name="40% - Accent2 2 2 9 3 7" xfId="44158" xr:uid="{00000000-0005-0000-0000-0000165E0000}"/>
    <cellStyle name="40% - Accent2 2 2 9 3 8" xfId="49635" xr:uid="{00000000-0005-0000-0000-0000175E0000}"/>
    <cellStyle name="40% - Accent2 2 2 9 3 9" xfId="55153" xr:uid="{00000000-0005-0000-0000-0000185E0000}"/>
    <cellStyle name="40% - Accent2 2 2 9 4" xfId="6354" xr:uid="{00000000-0005-0000-0000-0000195E0000}"/>
    <cellStyle name="40% - Accent2 2 2 9 5" xfId="11834" xr:uid="{00000000-0005-0000-0000-00001A5E0000}"/>
    <cellStyle name="40% - Accent2 2 2 9 6" xfId="17310" xr:uid="{00000000-0005-0000-0000-00001B5E0000}"/>
    <cellStyle name="40% - Accent2 2 2 9 7" xfId="22786" xr:uid="{00000000-0005-0000-0000-00001C5E0000}"/>
    <cellStyle name="40% - Accent2 2 2 9 8" xfId="34581" xr:uid="{00000000-0005-0000-0000-00001D5E0000}"/>
    <cellStyle name="40% - Accent2 2 2 9 9" xfId="40058" xr:uid="{00000000-0005-0000-0000-00001E5E0000}"/>
    <cellStyle name="40% - Accent2 2 20" xfId="6326" xr:uid="{00000000-0005-0000-0000-00001F5E0000}"/>
    <cellStyle name="40% - Accent2 2 21" xfId="11806" xr:uid="{00000000-0005-0000-0000-0000205E0000}"/>
    <cellStyle name="40% - Accent2 2 22" xfId="17282" xr:uid="{00000000-0005-0000-0000-0000215E0000}"/>
    <cellStyle name="40% - Accent2 2 23" xfId="22758" xr:uid="{00000000-0005-0000-0000-0000225E0000}"/>
    <cellStyle name="40% - Accent2 2 24" xfId="30812" xr:uid="{00000000-0005-0000-0000-0000235E0000}"/>
    <cellStyle name="40% - Accent2 2 25" xfId="34553" xr:uid="{00000000-0005-0000-0000-0000245E0000}"/>
    <cellStyle name="40% - Accent2 2 26" xfId="40030" xr:uid="{00000000-0005-0000-0000-0000255E0000}"/>
    <cellStyle name="40% - Accent2 2 27" xfId="45507" xr:uid="{00000000-0005-0000-0000-0000265E0000}"/>
    <cellStyle name="40% - Accent2 2 28" xfId="50985" xr:uid="{00000000-0005-0000-0000-0000275E0000}"/>
    <cellStyle name="40% - Accent2 2 3" xfId="154" xr:uid="{00000000-0005-0000-0000-0000285E0000}"/>
    <cellStyle name="40% - Accent2 2 3 10" xfId="1618" xr:uid="{00000000-0005-0000-0000-0000295E0000}"/>
    <cellStyle name="40% - Accent2 2 3 10 10" xfId="45537" xr:uid="{00000000-0005-0000-0000-00002A5E0000}"/>
    <cellStyle name="40% - Accent2 2 3 10 11" xfId="51015" xr:uid="{00000000-0005-0000-0000-00002B5E0000}"/>
    <cellStyle name="40% - Accent2 2 3 10 2" xfId="3379" xr:uid="{00000000-0005-0000-0000-00002C5E0000}"/>
    <cellStyle name="40% - Accent2 2 3 10 2 2" xfId="8859" xr:uid="{00000000-0005-0000-0000-00002D5E0000}"/>
    <cellStyle name="40% - Accent2 2 3 10 2 3" xfId="14335" xr:uid="{00000000-0005-0000-0000-00002E5E0000}"/>
    <cellStyle name="40% - Accent2 2 3 10 2 4" xfId="19811" xr:uid="{00000000-0005-0000-0000-00002F5E0000}"/>
    <cellStyle name="40% - Accent2 2 3 10 2 5" xfId="25287" xr:uid="{00000000-0005-0000-0000-0000305E0000}"/>
    <cellStyle name="40% - Accent2 2 3 10 2 6" xfId="37083" xr:uid="{00000000-0005-0000-0000-0000315E0000}"/>
    <cellStyle name="40% - Accent2 2 3 10 2 7" xfId="42560" xr:uid="{00000000-0005-0000-0000-0000325E0000}"/>
    <cellStyle name="40% - Accent2 2 3 10 2 8" xfId="48037" xr:uid="{00000000-0005-0000-0000-0000335E0000}"/>
    <cellStyle name="40% - Accent2 2 3 10 2 9" xfId="53555" xr:uid="{00000000-0005-0000-0000-0000345E0000}"/>
    <cellStyle name="40% - Accent2 2 3 10 3" xfId="5151" xr:uid="{00000000-0005-0000-0000-0000355E0000}"/>
    <cellStyle name="40% - Accent2 2 3 10 3 2" xfId="10631" xr:uid="{00000000-0005-0000-0000-0000365E0000}"/>
    <cellStyle name="40% - Accent2 2 3 10 3 3" xfId="16107" xr:uid="{00000000-0005-0000-0000-0000375E0000}"/>
    <cellStyle name="40% - Accent2 2 3 10 3 4" xfId="21583" xr:uid="{00000000-0005-0000-0000-0000385E0000}"/>
    <cellStyle name="40% - Accent2 2 3 10 3 5" xfId="27059" xr:uid="{00000000-0005-0000-0000-0000395E0000}"/>
    <cellStyle name="40% - Accent2 2 3 10 3 6" xfId="38855" xr:uid="{00000000-0005-0000-0000-00003A5E0000}"/>
    <cellStyle name="40% - Accent2 2 3 10 3 7" xfId="44332" xr:uid="{00000000-0005-0000-0000-00003B5E0000}"/>
    <cellStyle name="40% - Accent2 2 3 10 3 8" xfId="49809" xr:uid="{00000000-0005-0000-0000-00003C5E0000}"/>
    <cellStyle name="40% - Accent2 2 3 10 3 9" xfId="55327" xr:uid="{00000000-0005-0000-0000-00003D5E0000}"/>
    <cellStyle name="40% - Accent2 2 3 10 4" xfId="6356" xr:uid="{00000000-0005-0000-0000-00003E5E0000}"/>
    <cellStyle name="40% - Accent2 2 3 10 5" xfId="11836" xr:uid="{00000000-0005-0000-0000-00003F5E0000}"/>
    <cellStyle name="40% - Accent2 2 3 10 6" xfId="17312" xr:uid="{00000000-0005-0000-0000-0000405E0000}"/>
    <cellStyle name="40% - Accent2 2 3 10 7" xfId="22788" xr:uid="{00000000-0005-0000-0000-0000415E0000}"/>
    <cellStyle name="40% - Accent2 2 3 10 8" xfId="34583" xr:uid="{00000000-0005-0000-0000-0000425E0000}"/>
    <cellStyle name="40% - Accent2 2 3 10 9" xfId="40060" xr:uid="{00000000-0005-0000-0000-0000435E0000}"/>
    <cellStyle name="40% - Accent2 2 3 11" xfId="1815" xr:uid="{00000000-0005-0000-0000-0000445E0000}"/>
    <cellStyle name="40% - Accent2 2 3 11 10" xfId="45538" xr:uid="{00000000-0005-0000-0000-0000455E0000}"/>
    <cellStyle name="40% - Accent2 2 3 11 11" xfId="51016" xr:uid="{00000000-0005-0000-0000-0000465E0000}"/>
    <cellStyle name="40% - Accent2 2 3 11 2" xfId="3576" xr:uid="{00000000-0005-0000-0000-0000475E0000}"/>
    <cellStyle name="40% - Accent2 2 3 11 2 2" xfId="9056" xr:uid="{00000000-0005-0000-0000-0000485E0000}"/>
    <cellStyle name="40% - Accent2 2 3 11 2 3" xfId="14532" xr:uid="{00000000-0005-0000-0000-0000495E0000}"/>
    <cellStyle name="40% - Accent2 2 3 11 2 4" xfId="20008" xr:uid="{00000000-0005-0000-0000-00004A5E0000}"/>
    <cellStyle name="40% - Accent2 2 3 11 2 5" xfId="25484" xr:uid="{00000000-0005-0000-0000-00004B5E0000}"/>
    <cellStyle name="40% - Accent2 2 3 11 2 6" xfId="37280" xr:uid="{00000000-0005-0000-0000-00004C5E0000}"/>
    <cellStyle name="40% - Accent2 2 3 11 2 7" xfId="42757" xr:uid="{00000000-0005-0000-0000-00004D5E0000}"/>
    <cellStyle name="40% - Accent2 2 3 11 2 8" xfId="48234" xr:uid="{00000000-0005-0000-0000-00004E5E0000}"/>
    <cellStyle name="40% - Accent2 2 3 11 2 9" xfId="53752" xr:uid="{00000000-0005-0000-0000-00004F5E0000}"/>
    <cellStyle name="40% - Accent2 2 3 11 3" xfId="5348" xr:uid="{00000000-0005-0000-0000-0000505E0000}"/>
    <cellStyle name="40% - Accent2 2 3 11 3 2" xfId="10828" xr:uid="{00000000-0005-0000-0000-0000515E0000}"/>
    <cellStyle name="40% - Accent2 2 3 11 3 3" xfId="16304" xr:uid="{00000000-0005-0000-0000-0000525E0000}"/>
    <cellStyle name="40% - Accent2 2 3 11 3 4" xfId="21780" xr:uid="{00000000-0005-0000-0000-0000535E0000}"/>
    <cellStyle name="40% - Accent2 2 3 11 3 5" xfId="27256" xr:uid="{00000000-0005-0000-0000-0000545E0000}"/>
    <cellStyle name="40% - Accent2 2 3 11 3 6" xfId="39052" xr:uid="{00000000-0005-0000-0000-0000555E0000}"/>
    <cellStyle name="40% - Accent2 2 3 11 3 7" xfId="44529" xr:uid="{00000000-0005-0000-0000-0000565E0000}"/>
    <cellStyle name="40% - Accent2 2 3 11 3 8" xfId="50006" xr:uid="{00000000-0005-0000-0000-0000575E0000}"/>
    <cellStyle name="40% - Accent2 2 3 11 3 9" xfId="55524" xr:uid="{00000000-0005-0000-0000-0000585E0000}"/>
    <cellStyle name="40% - Accent2 2 3 11 4" xfId="6357" xr:uid="{00000000-0005-0000-0000-0000595E0000}"/>
    <cellStyle name="40% - Accent2 2 3 11 5" xfId="11837" xr:uid="{00000000-0005-0000-0000-00005A5E0000}"/>
    <cellStyle name="40% - Accent2 2 3 11 6" xfId="17313" xr:uid="{00000000-0005-0000-0000-00005B5E0000}"/>
    <cellStyle name="40% - Accent2 2 3 11 7" xfId="22789" xr:uid="{00000000-0005-0000-0000-00005C5E0000}"/>
    <cellStyle name="40% - Accent2 2 3 11 8" xfId="34584" xr:uid="{00000000-0005-0000-0000-00005D5E0000}"/>
    <cellStyle name="40% - Accent2 2 3 11 9" xfId="40061" xr:uid="{00000000-0005-0000-0000-00005E5E0000}"/>
    <cellStyle name="40% - Accent2 2 3 12" xfId="1980" xr:uid="{00000000-0005-0000-0000-00005F5E0000}"/>
    <cellStyle name="40% - Accent2 2 3 12 10" xfId="52157" xr:uid="{00000000-0005-0000-0000-0000605E0000}"/>
    <cellStyle name="40% - Accent2 2 3 12 2" xfId="5512" xr:uid="{00000000-0005-0000-0000-0000615E0000}"/>
    <cellStyle name="40% - Accent2 2 3 12 2 2" xfId="10992" xr:uid="{00000000-0005-0000-0000-0000625E0000}"/>
    <cellStyle name="40% - Accent2 2 3 12 2 3" xfId="16468" xr:uid="{00000000-0005-0000-0000-0000635E0000}"/>
    <cellStyle name="40% - Accent2 2 3 12 2 4" xfId="21944" xr:uid="{00000000-0005-0000-0000-0000645E0000}"/>
    <cellStyle name="40% - Accent2 2 3 12 2 5" xfId="27420" xr:uid="{00000000-0005-0000-0000-0000655E0000}"/>
    <cellStyle name="40% - Accent2 2 3 12 2 6" xfId="39216" xr:uid="{00000000-0005-0000-0000-0000665E0000}"/>
    <cellStyle name="40% - Accent2 2 3 12 2 7" xfId="44693" xr:uid="{00000000-0005-0000-0000-0000675E0000}"/>
    <cellStyle name="40% - Accent2 2 3 12 2 8" xfId="50170" xr:uid="{00000000-0005-0000-0000-0000685E0000}"/>
    <cellStyle name="40% - Accent2 2 3 12 2 9" xfId="55688" xr:uid="{00000000-0005-0000-0000-0000695E0000}"/>
    <cellStyle name="40% - Accent2 2 3 12 3" xfId="7461" xr:uid="{00000000-0005-0000-0000-00006A5E0000}"/>
    <cellStyle name="40% - Accent2 2 3 12 4" xfId="12937" xr:uid="{00000000-0005-0000-0000-00006B5E0000}"/>
    <cellStyle name="40% - Accent2 2 3 12 5" xfId="18413" xr:uid="{00000000-0005-0000-0000-00006C5E0000}"/>
    <cellStyle name="40% - Accent2 2 3 12 6" xfId="23889" xr:uid="{00000000-0005-0000-0000-00006D5E0000}"/>
    <cellStyle name="40% - Accent2 2 3 12 7" xfId="35685" xr:uid="{00000000-0005-0000-0000-00006E5E0000}"/>
    <cellStyle name="40% - Accent2 2 3 12 8" xfId="41162" xr:uid="{00000000-0005-0000-0000-00006F5E0000}"/>
    <cellStyle name="40% - Accent2 2 3 12 9" xfId="46639" xr:uid="{00000000-0005-0000-0000-0000705E0000}"/>
    <cellStyle name="40% - Accent2 2 3 13" xfId="3726" xr:uid="{00000000-0005-0000-0000-0000715E0000}"/>
    <cellStyle name="40% - Accent2 2 3 13 2" xfId="9206" xr:uid="{00000000-0005-0000-0000-0000725E0000}"/>
    <cellStyle name="40% - Accent2 2 3 13 3" xfId="14682" xr:uid="{00000000-0005-0000-0000-0000735E0000}"/>
    <cellStyle name="40% - Accent2 2 3 13 4" xfId="20158" xr:uid="{00000000-0005-0000-0000-0000745E0000}"/>
    <cellStyle name="40% - Accent2 2 3 13 5" xfId="25634" xr:uid="{00000000-0005-0000-0000-0000755E0000}"/>
    <cellStyle name="40% - Accent2 2 3 13 6" xfId="37430" xr:uid="{00000000-0005-0000-0000-0000765E0000}"/>
    <cellStyle name="40% - Accent2 2 3 13 7" xfId="42907" xr:uid="{00000000-0005-0000-0000-0000775E0000}"/>
    <cellStyle name="40% - Accent2 2 3 13 8" xfId="48384" xr:uid="{00000000-0005-0000-0000-0000785E0000}"/>
    <cellStyle name="40% - Accent2 2 3 13 9" xfId="53902" xr:uid="{00000000-0005-0000-0000-0000795E0000}"/>
    <cellStyle name="40% - Accent2 2 3 14" xfId="6355" xr:uid="{00000000-0005-0000-0000-00007A5E0000}"/>
    <cellStyle name="40% - Accent2 2 3 15" xfId="11835" xr:uid="{00000000-0005-0000-0000-00007B5E0000}"/>
    <cellStyle name="40% - Accent2 2 3 16" xfId="17311" xr:uid="{00000000-0005-0000-0000-00007C5E0000}"/>
    <cellStyle name="40% - Accent2 2 3 17" xfId="22787" xr:uid="{00000000-0005-0000-0000-00007D5E0000}"/>
    <cellStyle name="40% - Accent2 2 3 18" xfId="30817" xr:uid="{00000000-0005-0000-0000-00007E5E0000}"/>
    <cellStyle name="40% - Accent2 2 3 19" xfId="34582" xr:uid="{00000000-0005-0000-0000-00007F5E0000}"/>
    <cellStyle name="40% - Accent2 2 3 2" xfId="246" xr:uid="{00000000-0005-0000-0000-0000805E0000}"/>
    <cellStyle name="40% - Accent2 2 3 2 10" xfId="1816" xr:uid="{00000000-0005-0000-0000-0000815E0000}"/>
    <cellStyle name="40% - Accent2 2 3 2 10 10" xfId="45540" xr:uid="{00000000-0005-0000-0000-0000825E0000}"/>
    <cellStyle name="40% - Accent2 2 3 2 10 11" xfId="51018" xr:uid="{00000000-0005-0000-0000-0000835E0000}"/>
    <cellStyle name="40% - Accent2 2 3 2 10 2" xfId="3577" xr:uid="{00000000-0005-0000-0000-0000845E0000}"/>
    <cellStyle name="40% - Accent2 2 3 2 10 2 2" xfId="9057" xr:uid="{00000000-0005-0000-0000-0000855E0000}"/>
    <cellStyle name="40% - Accent2 2 3 2 10 2 3" xfId="14533" xr:uid="{00000000-0005-0000-0000-0000865E0000}"/>
    <cellStyle name="40% - Accent2 2 3 2 10 2 4" xfId="20009" xr:uid="{00000000-0005-0000-0000-0000875E0000}"/>
    <cellStyle name="40% - Accent2 2 3 2 10 2 5" xfId="25485" xr:uid="{00000000-0005-0000-0000-0000885E0000}"/>
    <cellStyle name="40% - Accent2 2 3 2 10 2 6" xfId="37281" xr:uid="{00000000-0005-0000-0000-0000895E0000}"/>
    <cellStyle name="40% - Accent2 2 3 2 10 2 7" xfId="42758" xr:uid="{00000000-0005-0000-0000-00008A5E0000}"/>
    <cellStyle name="40% - Accent2 2 3 2 10 2 8" xfId="48235" xr:uid="{00000000-0005-0000-0000-00008B5E0000}"/>
    <cellStyle name="40% - Accent2 2 3 2 10 2 9" xfId="53753" xr:uid="{00000000-0005-0000-0000-00008C5E0000}"/>
    <cellStyle name="40% - Accent2 2 3 2 10 3" xfId="5349" xr:uid="{00000000-0005-0000-0000-00008D5E0000}"/>
    <cellStyle name="40% - Accent2 2 3 2 10 3 2" xfId="10829" xr:uid="{00000000-0005-0000-0000-00008E5E0000}"/>
    <cellStyle name="40% - Accent2 2 3 2 10 3 3" xfId="16305" xr:uid="{00000000-0005-0000-0000-00008F5E0000}"/>
    <cellStyle name="40% - Accent2 2 3 2 10 3 4" xfId="21781" xr:uid="{00000000-0005-0000-0000-0000905E0000}"/>
    <cellStyle name="40% - Accent2 2 3 2 10 3 5" xfId="27257" xr:uid="{00000000-0005-0000-0000-0000915E0000}"/>
    <cellStyle name="40% - Accent2 2 3 2 10 3 6" xfId="39053" xr:uid="{00000000-0005-0000-0000-0000925E0000}"/>
    <cellStyle name="40% - Accent2 2 3 2 10 3 7" xfId="44530" xr:uid="{00000000-0005-0000-0000-0000935E0000}"/>
    <cellStyle name="40% - Accent2 2 3 2 10 3 8" xfId="50007" xr:uid="{00000000-0005-0000-0000-0000945E0000}"/>
    <cellStyle name="40% - Accent2 2 3 2 10 3 9" xfId="55525" xr:uid="{00000000-0005-0000-0000-0000955E0000}"/>
    <cellStyle name="40% - Accent2 2 3 2 10 4" xfId="6359" xr:uid="{00000000-0005-0000-0000-0000965E0000}"/>
    <cellStyle name="40% - Accent2 2 3 2 10 5" xfId="11839" xr:uid="{00000000-0005-0000-0000-0000975E0000}"/>
    <cellStyle name="40% - Accent2 2 3 2 10 6" xfId="17315" xr:uid="{00000000-0005-0000-0000-0000985E0000}"/>
    <cellStyle name="40% - Accent2 2 3 2 10 7" xfId="22791" xr:uid="{00000000-0005-0000-0000-0000995E0000}"/>
    <cellStyle name="40% - Accent2 2 3 2 10 8" xfId="34586" xr:uid="{00000000-0005-0000-0000-00009A5E0000}"/>
    <cellStyle name="40% - Accent2 2 3 2 10 9" xfId="40063" xr:uid="{00000000-0005-0000-0000-00009B5E0000}"/>
    <cellStyle name="40% - Accent2 2 3 2 11" xfId="1981" xr:uid="{00000000-0005-0000-0000-00009C5E0000}"/>
    <cellStyle name="40% - Accent2 2 3 2 11 10" xfId="52158" xr:uid="{00000000-0005-0000-0000-00009D5E0000}"/>
    <cellStyle name="40% - Accent2 2 3 2 11 2" xfId="5513" xr:uid="{00000000-0005-0000-0000-00009E5E0000}"/>
    <cellStyle name="40% - Accent2 2 3 2 11 2 2" xfId="10993" xr:uid="{00000000-0005-0000-0000-00009F5E0000}"/>
    <cellStyle name="40% - Accent2 2 3 2 11 2 3" xfId="16469" xr:uid="{00000000-0005-0000-0000-0000A05E0000}"/>
    <cellStyle name="40% - Accent2 2 3 2 11 2 4" xfId="21945" xr:uid="{00000000-0005-0000-0000-0000A15E0000}"/>
    <cellStyle name="40% - Accent2 2 3 2 11 2 5" xfId="27421" xr:uid="{00000000-0005-0000-0000-0000A25E0000}"/>
    <cellStyle name="40% - Accent2 2 3 2 11 2 6" xfId="39217" xr:uid="{00000000-0005-0000-0000-0000A35E0000}"/>
    <cellStyle name="40% - Accent2 2 3 2 11 2 7" xfId="44694" xr:uid="{00000000-0005-0000-0000-0000A45E0000}"/>
    <cellStyle name="40% - Accent2 2 3 2 11 2 8" xfId="50171" xr:uid="{00000000-0005-0000-0000-0000A55E0000}"/>
    <cellStyle name="40% - Accent2 2 3 2 11 2 9" xfId="55689" xr:uid="{00000000-0005-0000-0000-0000A65E0000}"/>
    <cellStyle name="40% - Accent2 2 3 2 11 3" xfId="7462" xr:uid="{00000000-0005-0000-0000-0000A75E0000}"/>
    <cellStyle name="40% - Accent2 2 3 2 11 4" xfId="12938" xr:uid="{00000000-0005-0000-0000-0000A85E0000}"/>
    <cellStyle name="40% - Accent2 2 3 2 11 5" xfId="18414" xr:uid="{00000000-0005-0000-0000-0000A95E0000}"/>
    <cellStyle name="40% - Accent2 2 3 2 11 6" xfId="23890" xr:uid="{00000000-0005-0000-0000-0000AA5E0000}"/>
    <cellStyle name="40% - Accent2 2 3 2 11 7" xfId="35686" xr:uid="{00000000-0005-0000-0000-0000AB5E0000}"/>
    <cellStyle name="40% - Accent2 2 3 2 11 8" xfId="41163" xr:uid="{00000000-0005-0000-0000-0000AC5E0000}"/>
    <cellStyle name="40% - Accent2 2 3 2 11 9" xfId="46640" xr:uid="{00000000-0005-0000-0000-0000AD5E0000}"/>
    <cellStyle name="40% - Accent2 2 3 2 12" xfId="3812" xr:uid="{00000000-0005-0000-0000-0000AE5E0000}"/>
    <cellStyle name="40% - Accent2 2 3 2 12 2" xfId="9292" xr:uid="{00000000-0005-0000-0000-0000AF5E0000}"/>
    <cellStyle name="40% - Accent2 2 3 2 12 3" xfId="14768" xr:uid="{00000000-0005-0000-0000-0000B05E0000}"/>
    <cellStyle name="40% - Accent2 2 3 2 12 4" xfId="20244" xr:uid="{00000000-0005-0000-0000-0000B15E0000}"/>
    <cellStyle name="40% - Accent2 2 3 2 12 5" xfId="25720" xr:uid="{00000000-0005-0000-0000-0000B25E0000}"/>
    <cellStyle name="40% - Accent2 2 3 2 12 6" xfId="37516" xr:uid="{00000000-0005-0000-0000-0000B35E0000}"/>
    <cellStyle name="40% - Accent2 2 3 2 12 7" xfId="42993" xr:uid="{00000000-0005-0000-0000-0000B45E0000}"/>
    <cellStyle name="40% - Accent2 2 3 2 12 8" xfId="48470" xr:uid="{00000000-0005-0000-0000-0000B55E0000}"/>
    <cellStyle name="40% - Accent2 2 3 2 12 9" xfId="53988" xr:uid="{00000000-0005-0000-0000-0000B65E0000}"/>
    <cellStyle name="40% - Accent2 2 3 2 13" xfId="6358" xr:uid="{00000000-0005-0000-0000-0000B75E0000}"/>
    <cellStyle name="40% - Accent2 2 3 2 14" xfId="11838" xr:uid="{00000000-0005-0000-0000-0000B85E0000}"/>
    <cellStyle name="40% - Accent2 2 3 2 15" xfId="17314" xr:uid="{00000000-0005-0000-0000-0000B95E0000}"/>
    <cellStyle name="40% - Accent2 2 3 2 16" xfId="22790" xr:uid="{00000000-0005-0000-0000-0000BA5E0000}"/>
    <cellStyle name="40% - Accent2 2 3 2 17" xfId="30818" xr:uid="{00000000-0005-0000-0000-0000BB5E0000}"/>
    <cellStyle name="40% - Accent2 2 3 2 18" xfId="34585" xr:uid="{00000000-0005-0000-0000-0000BC5E0000}"/>
    <cellStyle name="40% - Accent2 2 3 2 19" xfId="40062" xr:uid="{00000000-0005-0000-0000-0000BD5E0000}"/>
    <cellStyle name="40% - Accent2 2 3 2 2" xfId="352" xr:uid="{00000000-0005-0000-0000-0000BE5E0000}"/>
    <cellStyle name="40% - Accent2 2 3 2 2 10" xfId="40064" xr:uid="{00000000-0005-0000-0000-0000BF5E0000}"/>
    <cellStyle name="40% - Accent2 2 3 2 2 11" xfId="45541" xr:uid="{00000000-0005-0000-0000-0000C05E0000}"/>
    <cellStyle name="40% - Accent2 2 3 2 2 12" xfId="51019" xr:uid="{00000000-0005-0000-0000-0000C15E0000}"/>
    <cellStyle name="40% - Accent2 2 3 2 2 2" xfId="2147" xr:uid="{00000000-0005-0000-0000-0000C25E0000}"/>
    <cellStyle name="40% - Accent2 2 3 2 2 2 2" xfId="7627" xr:uid="{00000000-0005-0000-0000-0000C35E0000}"/>
    <cellStyle name="40% - Accent2 2 3 2 2 2 3" xfId="13103" xr:uid="{00000000-0005-0000-0000-0000C45E0000}"/>
    <cellStyle name="40% - Accent2 2 3 2 2 2 4" xfId="18579" xr:uid="{00000000-0005-0000-0000-0000C55E0000}"/>
    <cellStyle name="40% - Accent2 2 3 2 2 2 5" xfId="24055" xr:uid="{00000000-0005-0000-0000-0000C65E0000}"/>
    <cellStyle name="40% - Accent2 2 3 2 2 2 6" xfId="35851" xr:uid="{00000000-0005-0000-0000-0000C75E0000}"/>
    <cellStyle name="40% - Accent2 2 3 2 2 2 7" xfId="41328" xr:uid="{00000000-0005-0000-0000-0000C85E0000}"/>
    <cellStyle name="40% - Accent2 2 3 2 2 2 8" xfId="46805" xr:uid="{00000000-0005-0000-0000-0000C95E0000}"/>
    <cellStyle name="40% - Accent2 2 3 2 2 2 9" xfId="52323" xr:uid="{00000000-0005-0000-0000-0000CA5E0000}"/>
    <cellStyle name="40% - Accent2 2 3 2 2 3" xfId="3914" xr:uid="{00000000-0005-0000-0000-0000CB5E0000}"/>
    <cellStyle name="40% - Accent2 2 3 2 2 3 2" xfId="9394" xr:uid="{00000000-0005-0000-0000-0000CC5E0000}"/>
    <cellStyle name="40% - Accent2 2 3 2 2 3 3" xfId="14870" xr:uid="{00000000-0005-0000-0000-0000CD5E0000}"/>
    <cellStyle name="40% - Accent2 2 3 2 2 3 4" xfId="20346" xr:uid="{00000000-0005-0000-0000-0000CE5E0000}"/>
    <cellStyle name="40% - Accent2 2 3 2 2 3 5" xfId="25822" xr:uid="{00000000-0005-0000-0000-0000CF5E0000}"/>
    <cellStyle name="40% - Accent2 2 3 2 2 3 6" xfId="37618" xr:uid="{00000000-0005-0000-0000-0000D05E0000}"/>
    <cellStyle name="40% - Accent2 2 3 2 2 3 7" xfId="43095" xr:uid="{00000000-0005-0000-0000-0000D15E0000}"/>
    <cellStyle name="40% - Accent2 2 3 2 2 3 8" xfId="48572" xr:uid="{00000000-0005-0000-0000-0000D25E0000}"/>
    <cellStyle name="40% - Accent2 2 3 2 2 3 9" xfId="54090" xr:uid="{00000000-0005-0000-0000-0000D35E0000}"/>
    <cellStyle name="40% - Accent2 2 3 2 2 4" xfId="6360" xr:uid="{00000000-0005-0000-0000-0000D45E0000}"/>
    <cellStyle name="40% - Accent2 2 3 2 2 5" xfId="11840" xr:uid="{00000000-0005-0000-0000-0000D55E0000}"/>
    <cellStyle name="40% - Accent2 2 3 2 2 6" xfId="17316" xr:uid="{00000000-0005-0000-0000-0000D65E0000}"/>
    <cellStyle name="40% - Accent2 2 3 2 2 7" xfId="22792" xr:uid="{00000000-0005-0000-0000-0000D75E0000}"/>
    <cellStyle name="40% - Accent2 2 3 2 2 8" xfId="30819" xr:uid="{00000000-0005-0000-0000-0000D85E0000}"/>
    <cellStyle name="40% - Accent2 2 3 2 2 9" xfId="34587" xr:uid="{00000000-0005-0000-0000-0000D95E0000}"/>
    <cellStyle name="40% - Accent2 2 3 2 20" xfId="45539" xr:uid="{00000000-0005-0000-0000-0000DA5E0000}"/>
    <cellStyle name="40% - Accent2 2 3 2 21" xfId="51017" xr:uid="{00000000-0005-0000-0000-0000DB5E0000}"/>
    <cellStyle name="40% - Accent2 2 3 2 3" xfId="553" xr:uid="{00000000-0005-0000-0000-0000DC5E0000}"/>
    <cellStyle name="40% - Accent2 2 3 2 3 10" xfId="45542" xr:uid="{00000000-0005-0000-0000-0000DD5E0000}"/>
    <cellStyle name="40% - Accent2 2 3 2 3 11" xfId="51020" xr:uid="{00000000-0005-0000-0000-0000DE5E0000}"/>
    <cellStyle name="40% - Accent2 2 3 2 3 2" xfId="2314" xr:uid="{00000000-0005-0000-0000-0000DF5E0000}"/>
    <cellStyle name="40% - Accent2 2 3 2 3 2 2" xfId="7794" xr:uid="{00000000-0005-0000-0000-0000E05E0000}"/>
    <cellStyle name="40% - Accent2 2 3 2 3 2 3" xfId="13270" xr:uid="{00000000-0005-0000-0000-0000E15E0000}"/>
    <cellStyle name="40% - Accent2 2 3 2 3 2 4" xfId="18746" xr:uid="{00000000-0005-0000-0000-0000E25E0000}"/>
    <cellStyle name="40% - Accent2 2 3 2 3 2 5" xfId="24222" xr:uid="{00000000-0005-0000-0000-0000E35E0000}"/>
    <cellStyle name="40% - Accent2 2 3 2 3 2 6" xfId="36018" xr:uid="{00000000-0005-0000-0000-0000E45E0000}"/>
    <cellStyle name="40% - Accent2 2 3 2 3 2 7" xfId="41495" xr:uid="{00000000-0005-0000-0000-0000E55E0000}"/>
    <cellStyle name="40% - Accent2 2 3 2 3 2 8" xfId="46972" xr:uid="{00000000-0005-0000-0000-0000E65E0000}"/>
    <cellStyle name="40% - Accent2 2 3 2 3 2 9" xfId="52490" xr:uid="{00000000-0005-0000-0000-0000E75E0000}"/>
    <cellStyle name="40% - Accent2 2 3 2 3 3" xfId="4086" xr:uid="{00000000-0005-0000-0000-0000E85E0000}"/>
    <cellStyle name="40% - Accent2 2 3 2 3 3 2" xfId="9566" xr:uid="{00000000-0005-0000-0000-0000E95E0000}"/>
    <cellStyle name="40% - Accent2 2 3 2 3 3 3" xfId="15042" xr:uid="{00000000-0005-0000-0000-0000EA5E0000}"/>
    <cellStyle name="40% - Accent2 2 3 2 3 3 4" xfId="20518" xr:uid="{00000000-0005-0000-0000-0000EB5E0000}"/>
    <cellStyle name="40% - Accent2 2 3 2 3 3 5" xfId="25994" xr:uid="{00000000-0005-0000-0000-0000EC5E0000}"/>
    <cellStyle name="40% - Accent2 2 3 2 3 3 6" xfId="37790" xr:uid="{00000000-0005-0000-0000-0000ED5E0000}"/>
    <cellStyle name="40% - Accent2 2 3 2 3 3 7" xfId="43267" xr:uid="{00000000-0005-0000-0000-0000EE5E0000}"/>
    <cellStyle name="40% - Accent2 2 3 2 3 3 8" xfId="48744" xr:uid="{00000000-0005-0000-0000-0000EF5E0000}"/>
    <cellStyle name="40% - Accent2 2 3 2 3 3 9" xfId="54262" xr:uid="{00000000-0005-0000-0000-0000F05E0000}"/>
    <cellStyle name="40% - Accent2 2 3 2 3 4" xfId="6361" xr:uid="{00000000-0005-0000-0000-0000F15E0000}"/>
    <cellStyle name="40% - Accent2 2 3 2 3 5" xfId="11841" xr:uid="{00000000-0005-0000-0000-0000F25E0000}"/>
    <cellStyle name="40% - Accent2 2 3 2 3 6" xfId="17317" xr:uid="{00000000-0005-0000-0000-0000F35E0000}"/>
    <cellStyle name="40% - Accent2 2 3 2 3 7" xfId="22793" xr:uid="{00000000-0005-0000-0000-0000F45E0000}"/>
    <cellStyle name="40% - Accent2 2 3 2 3 8" xfId="34588" xr:uid="{00000000-0005-0000-0000-0000F55E0000}"/>
    <cellStyle name="40% - Accent2 2 3 2 3 9" xfId="40065" xr:uid="{00000000-0005-0000-0000-0000F65E0000}"/>
    <cellStyle name="40% - Accent2 2 3 2 4" xfId="725" xr:uid="{00000000-0005-0000-0000-0000F75E0000}"/>
    <cellStyle name="40% - Accent2 2 3 2 4 10" xfId="45543" xr:uid="{00000000-0005-0000-0000-0000F85E0000}"/>
    <cellStyle name="40% - Accent2 2 3 2 4 11" xfId="51021" xr:uid="{00000000-0005-0000-0000-0000F95E0000}"/>
    <cellStyle name="40% - Accent2 2 3 2 4 2" xfId="2486" xr:uid="{00000000-0005-0000-0000-0000FA5E0000}"/>
    <cellStyle name="40% - Accent2 2 3 2 4 2 2" xfId="7966" xr:uid="{00000000-0005-0000-0000-0000FB5E0000}"/>
    <cellStyle name="40% - Accent2 2 3 2 4 2 3" xfId="13442" xr:uid="{00000000-0005-0000-0000-0000FC5E0000}"/>
    <cellStyle name="40% - Accent2 2 3 2 4 2 4" xfId="18918" xr:uid="{00000000-0005-0000-0000-0000FD5E0000}"/>
    <cellStyle name="40% - Accent2 2 3 2 4 2 5" xfId="24394" xr:uid="{00000000-0005-0000-0000-0000FE5E0000}"/>
    <cellStyle name="40% - Accent2 2 3 2 4 2 6" xfId="36190" xr:uid="{00000000-0005-0000-0000-0000FF5E0000}"/>
    <cellStyle name="40% - Accent2 2 3 2 4 2 7" xfId="41667" xr:uid="{00000000-0005-0000-0000-0000005F0000}"/>
    <cellStyle name="40% - Accent2 2 3 2 4 2 8" xfId="47144" xr:uid="{00000000-0005-0000-0000-0000015F0000}"/>
    <cellStyle name="40% - Accent2 2 3 2 4 2 9" xfId="52662" xr:uid="{00000000-0005-0000-0000-0000025F0000}"/>
    <cellStyle name="40% - Accent2 2 3 2 4 3" xfId="4258" xr:uid="{00000000-0005-0000-0000-0000035F0000}"/>
    <cellStyle name="40% - Accent2 2 3 2 4 3 2" xfId="9738" xr:uid="{00000000-0005-0000-0000-0000045F0000}"/>
    <cellStyle name="40% - Accent2 2 3 2 4 3 3" xfId="15214" xr:uid="{00000000-0005-0000-0000-0000055F0000}"/>
    <cellStyle name="40% - Accent2 2 3 2 4 3 4" xfId="20690" xr:uid="{00000000-0005-0000-0000-0000065F0000}"/>
    <cellStyle name="40% - Accent2 2 3 2 4 3 5" xfId="26166" xr:uid="{00000000-0005-0000-0000-0000075F0000}"/>
    <cellStyle name="40% - Accent2 2 3 2 4 3 6" xfId="37962" xr:uid="{00000000-0005-0000-0000-0000085F0000}"/>
    <cellStyle name="40% - Accent2 2 3 2 4 3 7" xfId="43439" xr:uid="{00000000-0005-0000-0000-0000095F0000}"/>
    <cellStyle name="40% - Accent2 2 3 2 4 3 8" xfId="48916" xr:uid="{00000000-0005-0000-0000-00000A5F0000}"/>
    <cellStyle name="40% - Accent2 2 3 2 4 3 9" xfId="54434" xr:uid="{00000000-0005-0000-0000-00000B5F0000}"/>
    <cellStyle name="40% - Accent2 2 3 2 4 4" xfId="6362" xr:uid="{00000000-0005-0000-0000-00000C5F0000}"/>
    <cellStyle name="40% - Accent2 2 3 2 4 5" xfId="11842" xr:uid="{00000000-0005-0000-0000-00000D5F0000}"/>
    <cellStyle name="40% - Accent2 2 3 2 4 6" xfId="17318" xr:uid="{00000000-0005-0000-0000-00000E5F0000}"/>
    <cellStyle name="40% - Accent2 2 3 2 4 7" xfId="22794" xr:uid="{00000000-0005-0000-0000-00000F5F0000}"/>
    <cellStyle name="40% - Accent2 2 3 2 4 8" xfId="34589" xr:uid="{00000000-0005-0000-0000-0000105F0000}"/>
    <cellStyle name="40% - Accent2 2 3 2 4 9" xfId="40066" xr:uid="{00000000-0005-0000-0000-0000115F0000}"/>
    <cellStyle name="40% - Accent2 2 3 2 5" xfId="897" xr:uid="{00000000-0005-0000-0000-0000125F0000}"/>
    <cellStyle name="40% - Accent2 2 3 2 5 10" xfId="45544" xr:uid="{00000000-0005-0000-0000-0000135F0000}"/>
    <cellStyle name="40% - Accent2 2 3 2 5 11" xfId="51022" xr:uid="{00000000-0005-0000-0000-0000145F0000}"/>
    <cellStyle name="40% - Accent2 2 3 2 5 2" xfId="2658" xr:uid="{00000000-0005-0000-0000-0000155F0000}"/>
    <cellStyle name="40% - Accent2 2 3 2 5 2 2" xfId="8138" xr:uid="{00000000-0005-0000-0000-0000165F0000}"/>
    <cellStyle name="40% - Accent2 2 3 2 5 2 3" xfId="13614" xr:uid="{00000000-0005-0000-0000-0000175F0000}"/>
    <cellStyle name="40% - Accent2 2 3 2 5 2 4" xfId="19090" xr:uid="{00000000-0005-0000-0000-0000185F0000}"/>
    <cellStyle name="40% - Accent2 2 3 2 5 2 5" xfId="24566" xr:uid="{00000000-0005-0000-0000-0000195F0000}"/>
    <cellStyle name="40% - Accent2 2 3 2 5 2 6" xfId="36362" xr:uid="{00000000-0005-0000-0000-00001A5F0000}"/>
    <cellStyle name="40% - Accent2 2 3 2 5 2 7" xfId="41839" xr:uid="{00000000-0005-0000-0000-00001B5F0000}"/>
    <cellStyle name="40% - Accent2 2 3 2 5 2 8" xfId="47316" xr:uid="{00000000-0005-0000-0000-00001C5F0000}"/>
    <cellStyle name="40% - Accent2 2 3 2 5 2 9" xfId="52834" xr:uid="{00000000-0005-0000-0000-00001D5F0000}"/>
    <cellStyle name="40% - Accent2 2 3 2 5 3" xfId="4430" xr:uid="{00000000-0005-0000-0000-00001E5F0000}"/>
    <cellStyle name="40% - Accent2 2 3 2 5 3 2" xfId="9910" xr:uid="{00000000-0005-0000-0000-00001F5F0000}"/>
    <cellStyle name="40% - Accent2 2 3 2 5 3 3" xfId="15386" xr:uid="{00000000-0005-0000-0000-0000205F0000}"/>
    <cellStyle name="40% - Accent2 2 3 2 5 3 4" xfId="20862" xr:uid="{00000000-0005-0000-0000-0000215F0000}"/>
    <cellStyle name="40% - Accent2 2 3 2 5 3 5" xfId="26338" xr:uid="{00000000-0005-0000-0000-0000225F0000}"/>
    <cellStyle name="40% - Accent2 2 3 2 5 3 6" xfId="38134" xr:uid="{00000000-0005-0000-0000-0000235F0000}"/>
    <cellStyle name="40% - Accent2 2 3 2 5 3 7" xfId="43611" xr:uid="{00000000-0005-0000-0000-0000245F0000}"/>
    <cellStyle name="40% - Accent2 2 3 2 5 3 8" xfId="49088" xr:uid="{00000000-0005-0000-0000-0000255F0000}"/>
    <cellStyle name="40% - Accent2 2 3 2 5 3 9" xfId="54606" xr:uid="{00000000-0005-0000-0000-0000265F0000}"/>
    <cellStyle name="40% - Accent2 2 3 2 5 4" xfId="6363" xr:uid="{00000000-0005-0000-0000-0000275F0000}"/>
    <cellStyle name="40% - Accent2 2 3 2 5 5" xfId="11843" xr:uid="{00000000-0005-0000-0000-0000285F0000}"/>
    <cellStyle name="40% - Accent2 2 3 2 5 6" xfId="17319" xr:uid="{00000000-0005-0000-0000-0000295F0000}"/>
    <cellStyle name="40% - Accent2 2 3 2 5 7" xfId="22795" xr:uid="{00000000-0005-0000-0000-00002A5F0000}"/>
    <cellStyle name="40% - Accent2 2 3 2 5 8" xfId="34590" xr:uid="{00000000-0005-0000-0000-00002B5F0000}"/>
    <cellStyle name="40% - Accent2 2 3 2 5 9" xfId="40067" xr:uid="{00000000-0005-0000-0000-00002C5F0000}"/>
    <cellStyle name="40% - Accent2 2 3 2 6" xfId="1103" xr:uid="{00000000-0005-0000-0000-00002D5F0000}"/>
    <cellStyle name="40% - Accent2 2 3 2 6 10" xfId="45545" xr:uid="{00000000-0005-0000-0000-00002E5F0000}"/>
    <cellStyle name="40% - Accent2 2 3 2 6 11" xfId="51023" xr:uid="{00000000-0005-0000-0000-00002F5F0000}"/>
    <cellStyle name="40% - Accent2 2 3 2 6 2" xfId="2864" xr:uid="{00000000-0005-0000-0000-0000305F0000}"/>
    <cellStyle name="40% - Accent2 2 3 2 6 2 2" xfId="8344" xr:uid="{00000000-0005-0000-0000-0000315F0000}"/>
    <cellStyle name="40% - Accent2 2 3 2 6 2 3" xfId="13820" xr:uid="{00000000-0005-0000-0000-0000325F0000}"/>
    <cellStyle name="40% - Accent2 2 3 2 6 2 4" xfId="19296" xr:uid="{00000000-0005-0000-0000-0000335F0000}"/>
    <cellStyle name="40% - Accent2 2 3 2 6 2 5" xfId="24772" xr:uid="{00000000-0005-0000-0000-0000345F0000}"/>
    <cellStyle name="40% - Accent2 2 3 2 6 2 6" xfId="36568" xr:uid="{00000000-0005-0000-0000-0000355F0000}"/>
    <cellStyle name="40% - Accent2 2 3 2 6 2 7" xfId="42045" xr:uid="{00000000-0005-0000-0000-0000365F0000}"/>
    <cellStyle name="40% - Accent2 2 3 2 6 2 8" xfId="47522" xr:uid="{00000000-0005-0000-0000-0000375F0000}"/>
    <cellStyle name="40% - Accent2 2 3 2 6 2 9" xfId="53040" xr:uid="{00000000-0005-0000-0000-0000385F0000}"/>
    <cellStyle name="40% - Accent2 2 3 2 6 3" xfId="4636" xr:uid="{00000000-0005-0000-0000-0000395F0000}"/>
    <cellStyle name="40% - Accent2 2 3 2 6 3 2" xfId="10116" xr:uid="{00000000-0005-0000-0000-00003A5F0000}"/>
    <cellStyle name="40% - Accent2 2 3 2 6 3 3" xfId="15592" xr:uid="{00000000-0005-0000-0000-00003B5F0000}"/>
    <cellStyle name="40% - Accent2 2 3 2 6 3 4" xfId="21068" xr:uid="{00000000-0005-0000-0000-00003C5F0000}"/>
    <cellStyle name="40% - Accent2 2 3 2 6 3 5" xfId="26544" xr:uid="{00000000-0005-0000-0000-00003D5F0000}"/>
    <cellStyle name="40% - Accent2 2 3 2 6 3 6" xfId="38340" xr:uid="{00000000-0005-0000-0000-00003E5F0000}"/>
    <cellStyle name="40% - Accent2 2 3 2 6 3 7" xfId="43817" xr:uid="{00000000-0005-0000-0000-00003F5F0000}"/>
    <cellStyle name="40% - Accent2 2 3 2 6 3 8" xfId="49294" xr:uid="{00000000-0005-0000-0000-0000405F0000}"/>
    <cellStyle name="40% - Accent2 2 3 2 6 3 9" xfId="54812" xr:uid="{00000000-0005-0000-0000-0000415F0000}"/>
    <cellStyle name="40% - Accent2 2 3 2 6 4" xfId="6364" xr:uid="{00000000-0005-0000-0000-0000425F0000}"/>
    <cellStyle name="40% - Accent2 2 3 2 6 5" xfId="11844" xr:uid="{00000000-0005-0000-0000-0000435F0000}"/>
    <cellStyle name="40% - Accent2 2 3 2 6 6" xfId="17320" xr:uid="{00000000-0005-0000-0000-0000445F0000}"/>
    <cellStyle name="40% - Accent2 2 3 2 6 7" xfId="22796" xr:uid="{00000000-0005-0000-0000-0000455F0000}"/>
    <cellStyle name="40% - Accent2 2 3 2 6 8" xfId="34591" xr:uid="{00000000-0005-0000-0000-0000465F0000}"/>
    <cellStyle name="40% - Accent2 2 3 2 6 9" xfId="40068" xr:uid="{00000000-0005-0000-0000-0000475F0000}"/>
    <cellStyle name="40% - Accent2 2 3 2 7" xfId="1275" xr:uid="{00000000-0005-0000-0000-0000485F0000}"/>
    <cellStyle name="40% - Accent2 2 3 2 7 10" xfId="45546" xr:uid="{00000000-0005-0000-0000-0000495F0000}"/>
    <cellStyle name="40% - Accent2 2 3 2 7 11" xfId="51024" xr:uid="{00000000-0005-0000-0000-00004A5F0000}"/>
    <cellStyle name="40% - Accent2 2 3 2 7 2" xfId="3036" xr:uid="{00000000-0005-0000-0000-00004B5F0000}"/>
    <cellStyle name="40% - Accent2 2 3 2 7 2 2" xfId="8516" xr:uid="{00000000-0005-0000-0000-00004C5F0000}"/>
    <cellStyle name="40% - Accent2 2 3 2 7 2 3" xfId="13992" xr:uid="{00000000-0005-0000-0000-00004D5F0000}"/>
    <cellStyle name="40% - Accent2 2 3 2 7 2 4" xfId="19468" xr:uid="{00000000-0005-0000-0000-00004E5F0000}"/>
    <cellStyle name="40% - Accent2 2 3 2 7 2 5" xfId="24944" xr:uid="{00000000-0005-0000-0000-00004F5F0000}"/>
    <cellStyle name="40% - Accent2 2 3 2 7 2 6" xfId="36740" xr:uid="{00000000-0005-0000-0000-0000505F0000}"/>
    <cellStyle name="40% - Accent2 2 3 2 7 2 7" xfId="42217" xr:uid="{00000000-0005-0000-0000-0000515F0000}"/>
    <cellStyle name="40% - Accent2 2 3 2 7 2 8" xfId="47694" xr:uid="{00000000-0005-0000-0000-0000525F0000}"/>
    <cellStyle name="40% - Accent2 2 3 2 7 2 9" xfId="53212" xr:uid="{00000000-0005-0000-0000-0000535F0000}"/>
    <cellStyle name="40% - Accent2 2 3 2 7 3" xfId="4808" xr:uid="{00000000-0005-0000-0000-0000545F0000}"/>
    <cellStyle name="40% - Accent2 2 3 2 7 3 2" xfId="10288" xr:uid="{00000000-0005-0000-0000-0000555F0000}"/>
    <cellStyle name="40% - Accent2 2 3 2 7 3 3" xfId="15764" xr:uid="{00000000-0005-0000-0000-0000565F0000}"/>
    <cellStyle name="40% - Accent2 2 3 2 7 3 4" xfId="21240" xr:uid="{00000000-0005-0000-0000-0000575F0000}"/>
    <cellStyle name="40% - Accent2 2 3 2 7 3 5" xfId="26716" xr:uid="{00000000-0005-0000-0000-0000585F0000}"/>
    <cellStyle name="40% - Accent2 2 3 2 7 3 6" xfId="38512" xr:uid="{00000000-0005-0000-0000-0000595F0000}"/>
    <cellStyle name="40% - Accent2 2 3 2 7 3 7" xfId="43989" xr:uid="{00000000-0005-0000-0000-00005A5F0000}"/>
    <cellStyle name="40% - Accent2 2 3 2 7 3 8" xfId="49466" xr:uid="{00000000-0005-0000-0000-00005B5F0000}"/>
    <cellStyle name="40% - Accent2 2 3 2 7 3 9" xfId="54984" xr:uid="{00000000-0005-0000-0000-00005C5F0000}"/>
    <cellStyle name="40% - Accent2 2 3 2 7 4" xfId="6365" xr:uid="{00000000-0005-0000-0000-00005D5F0000}"/>
    <cellStyle name="40% - Accent2 2 3 2 7 5" xfId="11845" xr:uid="{00000000-0005-0000-0000-00005E5F0000}"/>
    <cellStyle name="40% - Accent2 2 3 2 7 6" xfId="17321" xr:uid="{00000000-0005-0000-0000-00005F5F0000}"/>
    <cellStyle name="40% - Accent2 2 3 2 7 7" xfId="22797" xr:uid="{00000000-0005-0000-0000-0000605F0000}"/>
    <cellStyle name="40% - Accent2 2 3 2 7 8" xfId="34592" xr:uid="{00000000-0005-0000-0000-0000615F0000}"/>
    <cellStyle name="40% - Accent2 2 3 2 7 9" xfId="40069" xr:uid="{00000000-0005-0000-0000-0000625F0000}"/>
    <cellStyle name="40% - Accent2 2 3 2 8" xfId="1447" xr:uid="{00000000-0005-0000-0000-0000635F0000}"/>
    <cellStyle name="40% - Accent2 2 3 2 8 10" xfId="45547" xr:uid="{00000000-0005-0000-0000-0000645F0000}"/>
    <cellStyle name="40% - Accent2 2 3 2 8 11" xfId="51025" xr:uid="{00000000-0005-0000-0000-0000655F0000}"/>
    <cellStyle name="40% - Accent2 2 3 2 8 2" xfId="3208" xr:uid="{00000000-0005-0000-0000-0000665F0000}"/>
    <cellStyle name="40% - Accent2 2 3 2 8 2 2" xfId="8688" xr:uid="{00000000-0005-0000-0000-0000675F0000}"/>
    <cellStyle name="40% - Accent2 2 3 2 8 2 3" xfId="14164" xr:uid="{00000000-0005-0000-0000-0000685F0000}"/>
    <cellStyle name="40% - Accent2 2 3 2 8 2 4" xfId="19640" xr:uid="{00000000-0005-0000-0000-0000695F0000}"/>
    <cellStyle name="40% - Accent2 2 3 2 8 2 5" xfId="25116" xr:uid="{00000000-0005-0000-0000-00006A5F0000}"/>
    <cellStyle name="40% - Accent2 2 3 2 8 2 6" xfId="36912" xr:uid="{00000000-0005-0000-0000-00006B5F0000}"/>
    <cellStyle name="40% - Accent2 2 3 2 8 2 7" xfId="42389" xr:uid="{00000000-0005-0000-0000-00006C5F0000}"/>
    <cellStyle name="40% - Accent2 2 3 2 8 2 8" xfId="47866" xr:uid="{00000000-0005-0000-0000-00006D5F0000}"/>
    <cellStyle name="40% - Accent2 2 3 2 8 2 9" xfId="53384" xr:uid="{00000000-0005-0000-0000-00006E5F0000}"/>
    <cellStyle name="40% - Accent2 2 3 2 8 3" xfId="4980" xr:uid="{00000000-0005-0000-0000-00006F5F0000}"/>
    <cellStyle name="40% - Accent2 2 3 2 8 3 2" xfId="10460" xr:uid="{00000000-0005-0000-0000-0000705F0000}"/>
    <cellStyle name="40% - Accent2 2 3 2 8 3 3" xfId="15936" xr:uid="{00000000-0005-0000-0000-0000715F0000}"/>
    <cellStyle name="40% - Accent2 2 3 2 8 3 4" xfId="21412" xr:uid="{00000000-0005-0000-0000-0000725F0000}"/>
    <cellStyle name="40% - Accent2 2 3 2 8 3 5" xfId="26888" xr:uid="{00000000-0005-0000-0000-0000735F0000}"/>
    <cellStyle name="40% - Accent2 2 3 2 8 3 6" xfId="38684" xr:uid="{00000000-0005-0000-0000-0000745F0000}"/>
    <cellStyle name="40% - Accent2 2 3 2 8 3 7" xfId="44161" xr:uid="{00000000-0005-0000-0000-0000755F0000}"/>
    <cellStyle name="40% - Accent2 2 3 2 8 3 8" xfId="49638" xr:uid="{00000000-0005-0000-0000-0000765F0000}"/>
    <cellStyle name="40% - Accent2 2 3 2 8 3 9" xfId="55156" xr:uid="{00000000-0005-0000-0000-0000775F0000}"/>
    <cellStyle name="40% - Accent2 2 3 2 8 4" xfId="6366" xr:uid="{00000000-0005-0000-0000-0000785F0000}"/>
    <cellStyle name="40% - Accent2 2 3 2 8 5" xfId="11846" xr:uid="{00000000-0005-0000-0000-0000795F0000}"/>
    <cellStyle name="40% - Accent2 2 3 2 8 6" xfId="17322" xr:uid="{00000000-0005-0000-0000-00007A5F0000}"/>
    <cellStyle name="40% - Accent2 2 3 2 8 7" xfId="22798" xr:uid="{00000000-0005-0000-0000-00007B5F0000}"/>
    <cellStyle name="40% - Accent2 2 3 2 8 8" xfId="34593" xr:uid="{00000000-0005-0000-0000-00007C5F0000}"/>
    <cellStyle name="40% - Accent2 2 3 2 8 9" xfId="40070" xr:uid="{00000000-0005-0000-0000-00007D5F0000}"/>
    <cellStyle name="40% - Accent2 2 3 2 9" xfId="1619" xr:uid="{00000000-0005-0000-0000-00007E5F0000}"/>
    <cellStyle name="40% - Accent2 2 3 2 9 10" xfId="45548" xr:uid="{00000000-0005-0000-0000-00007F5F0000}"/>
    <cellStyle name="40% - Accent2 2 3 2 9 11" xfId="51026" xr:uid="{00000000-0005-0000-0000-0000805F0000}"/>
    <cellStyle name="40% - Accent2 2 3 2 9 2" xfId="3380" xr:uid="{00000000-0005-0000-0000-0000815F0000}"/>
    <cellStyle name="40% - Accent2 2 3 2 9 2 2" xfId="8860" xr:uid="{00000000-0005-0000-0000-0000825F0000}"/>
    <cellStyle name="40% - Accent2 2 3 2 9 2 3" xfId="14336" xr:uid="{00000000-0005-0000-0000-0000835F0000}"/>
    <cellStyle name="40% - Accent2 2 3 2 9 2 4" xfId="19812" xr:uid="{00000000-0005-0000-0000-0000845F0000}"/>
    <cellStyle name="40% - Accent2 2 3 2 9 2 5" xfId="25288" xr:uid="{00000000-0005-0000-0000-0000855F0000}"/>
    <cellStyle name="40% - Accent2 2 3 2 9 2 6" xfId="37084" xr:uid="{00000000-0005-0000-0000-0000865F0000}"/>
    <cellStyle name="40% - Accent2 2 3 2 9 2 7" xfId="42561" xr:uid="{00000000-0005-0000-0000-0000875F0000}"/>
    <cellStyle name="40% - Accent2 2 3 2 9 2 8" xfId="48038" xr:uid="{00000000-0005-0000-0000-0000885F0000}"/>
    <cellStyle name="40% - Accent2 2 3 2 9 2 9" xfId="53556" xr:uid="{00000000-0005-0000-0000-0000895F0000}"/>
    <cellStyle name="40% - Accent2 2 3 2 9 3" xfId="5152" xr:uid="{00000000-0005-0000-0000-00008A5F0000}"/>
    <cellStyle name="40% - Accent2 2 3 2 9 3 2" xfId="10632" xr:uid="{00000000-0005-0000-0000-00008B5F0000}"/>
    <cellStyle name="40% - Accent2 2 3 2 9 3 3" xfId="16108" xr:uid="{00000000-0005-0000-0000-00008C5F0000}"/>
    <cellStyle name="40% - Accent2 2 3 2 9 3 4" xfId="21584" xr:uid="{00000000-0005-0000-0000-00008D5F0000}"/>
    <cellStyle name="40% - Accent2 2 3 2 9 3 5" xfId="27060" xr:uid="{00000000-0005-0000-0000-00008E5F0000}"/>
    <cellStyle name="40% - Accent2 2 3 2 9 3 6" xfId="38856" xr:uid="{00000000-0005-0000-0000-00008F5F0000}"/>
    <cellStyle name="40% - Accent2 2 3 2 9 3 7" xfId="44333" xr:uid="{00000000-0005-0000-0000-0000905F0000}"/>
    <cellStyle name="40% - Accent2 2 3 2 9 3 8" xfId="49810" xr:uid="{00000000-0005-0000-0000-0000915F0000}"/>
    <cellStyle name="40% - Accent2 2 3 2 9 3 9" xfId="55328" xr:uid="{00000000-0005-0000-0000-0000925F0000}"/>
    <cellStyle name="40% - Accent2 2 3 2 9 4" xfId="6367" xr:uid="{00000000-0005-0000-0000-0000935F0000}"/>
    <cellStyle name="40% - Accent2 2 3 2 9 5" xfId="11847" xr:uid="{00000000-0005-0000-0000-0000945F0000}"/>
    <cellStyle name="40% - Accent2 2 3 2 9 6" xfId="17323" xr:uid="{00000000-0005-0000-0000-0000955F0000}"/>
    <cellStyle name="40% - Accent2 2 3 2 9 7" xfId="22799" xr:uid="{00000000-0005-0000-0000-0000965F0000}"/>
    <cellStyle name="40% - Accent2 2 3 2 9 8" xfId="34594" xr:uid="{00000000-0005-0000-0000-0000975F0000}"/>
    <cellStyle name="40% - Accent2 2 3 2 9 9" xfId="40071" xr:uid="{00000000-0005-0000-0000-0000985F0000}"/>
    <cellStyle name="40% - Accent2 2 3 20" xfId="40059" xr:uid="{00000000-0005-0000-0000-0000995F0000}"/>
    <cellStyle name="40% - Accent2 2 3 21" xfId="45536" xr:uid="{00000000-0005-0000-0000-00009A5F0000}"/>
    <cellStyle name="40% - Accent2 2 3 22" xfId="51014" xr:uid="{00000000-0005-0000-0000-00009B5F0000}"/>
    <cellStyle name="40% - Accent2 2 3 3" xfId="351" xr:uid="{00000000-0005-0000-0000-00009C5F0000}"/>
    <cellStyle name="40% - Accent2 2 3 3 10" xfId="40072" xr:uid="{00000000-0005-0000-0000-00009D5F0000}"/>
    <cellStyle name="40% - Accent2 2 3 3 11" xfId="45549" xr:uid="{00000000-0005-0000-0000-00009E5F0000}"/>
    <cellStyle name="40% - Accent2 2 3 3 12" xfId="51027" xr:uid="{00000000-0005-0000-0000-00009F5F0000}"/>
    <cellStyle name="40% - Accent2 2 3 3 2" xfId="2146" xr:uid="{00000000-0005-0000-0000-0000A05F0000}"/>
    <cellStyle name="40% - Accent2 2 3 3 2 2" xfId="7626" xr:uid="{00000000-0005-0000-0000-0000A15F0000}"/>
    <cellStyle name="40% - Accent2 2 3 3 2 3" xfId="13102" xr:uid="{00000000-0005-0000-0000-0000A25F0000}"/>
    <cellStyle name="40% - Accent2 2 3 3 2 4" xfId="18578" xr:uid="{00000000-0005-0000-0000-0000A35F0000}"/>
    <cellStyle name="40% - Accent2 2 3 3 2 5" xfId="24054" xr:uid="{00000000-0005-0000-0000-0000A45F0000}"/>
    <cellStyle name="40% - Accent2 2 3 3 2 6" xfId="35850" xr:uid="{00000000-0005-0000-0000-0000A55F0000}"/>
    <cellStyle name="40% - Accent2 2 3 3 2 7" xfId="41327" xr:uid="{00000000-0005-0000-0000-0000A65F0000}"/>
    <cellStyle name="40% - Accent2 2 3 3 2 8" xfId="46804" xr:uid="{00000000-0005-0000-0000-0000A75F0000}"/>
    <cellStyle name="40% - Accent2 2 3 3 2 9" xfId="52322" xr:uid="{00000000-0005-0000-0000-0000A85F0000}"/>
    <cellStyle name="40% - Accent2 2 3 3 3" xfId="3913" xr:uid="{00000000-0005-0000-0000-0000A95F0000}"/>
    <cellStyle name="40% - Accent2 2 3 3 3 2" xfId="9393" xr:uid="{00000000-0005-0000-0000-0000AA5F0000}"/>
    <cellStyle name="40% - Accent2 2 3 3 3 3" xfId="14869" xr:uid="{00000000-0005-0000-0000-0000AB5F0000}"/>
    <cellStyle name="40% - Accent2 2 3 3 3 4" xfId="20345" xr:uid="{00000000-0005-0000-0000-0000AC5F0000}"/>
    <cellStyle name="40% - Accent2 2 3 3 3 5" xfId="25821" xr:uid="{00000000-0005-0000-0000-0000AD5F0000}"/>
    <cellStyle name="40% - Accent2 2 3 3 3 6" xfId="37617" xr:uid="{00000000-0005-0000-0000-0000AE5F0000}"/>
    <cellStyle name="40% - Accent2 2 3 3 3 7" xfId="43094" xr:uid="{00000000-0005-0000-0000-0000AF5F0000}"/>
    <cellStyle name="40% - Accent2 2 3 3 3 8" xfId="48571" xr:uid="{00000000-0005-0000-0000-0000B05F0000}"/>
    <cellStyle name="40% - Accent2 2 3 3 3 9" xfId="54089" xr:uid="{00000000-0005-0000-0000-0000B15F0000}"/>
    <cellStyle name="40% - Accent2 2 3 3 4" xfId="6368" xr:uid="{00000000-0005-0000-0000-0000B25F0000}"/>
    <cellStyle name="40% - Accent2 2 3 3 5" xfId="11848" xr:uid="{00000000-0005-0000-0000-0000B35F0000}"/>
    <cellStyle name="40% - Accent2 2 3 3 6" xfId="17324" xr:uid="{00000000-0005-0000-0000-0000B45F0000}"/>
    <cellStyle name="40% - Accent2 2 3 3 7" xfId="22800" xr:uid="{00000000-0005-0000-0000-0000B55F0000}"/>
    <cellStyle name="40% - Accent2 2 3 3 8" xfId="30820" xr:uid="{00000000-0005-0000-0000-0000B65F0000}"/>
    <cellStyle name="40% - Accent2 2 3 3 9" xfId="34595" xr:uid="{00000000-0005-0000-0000-0000B75F0000}"/>
    <cellStyle name="40% - Accent2 2 3 4" xfId="552" xr:uid="{00000000-0005-0000-0000-0000B85F0000}"/>
    <cellStyle name="40% - Accent2 2 3 4 10" xfId="45550" xr:uid="{00000000-0005-0000-0000-0000B95F0000}"/>
    <cellStyle name="40% - Accent2 2 3 4 11" xfId="51028" xr:uid="{00000000-0005-0000-0000-0000BA5F0000}"/>
    <cellStyle name="40% - Accent2 2 3 4 2" xfId="2313" xr:uid="{00000000-0005-0000-0000-0000BB5F0000}"/>
    <cellStyle name="40% - Accent2 2 3 4 2 2" xfId="7793" xr:uid="{00000000-0005-0000-0000-0000BC5F0000}"/>
    <cellStyle name="40% - Accent2 2 3 4 2 3" xfId="13269" xr:uid="{00000000-0005-0000-0000-0000BD5F0000}"/>
    <cellStyle name="40% - Accent2 2 3 4 2 4" xfId="18745" xr:uid="{00000000-0005-0000-0000-0000BE5F0000}"/>
    <cellStyle name="40% - Accent2 2 3 4 2 5" xfId="24221" xr:uid="{00000000-0005-0000-0000-0000BF5F0000}"/>
    <cellStyle name="40% - Accent2 2 3 4 2 6" xfId="36017" xr:uid="{00000000-0005-0000-0000-0000C05F0000}"/>
    <cellStyle name="40% - Accent2 2 3 4 2 7" xfId="41494" xr:uid="{00000000-0005-0000-0000-0000C15F0000}"/>
    <cellStyle name="40% - Accent2 2 3 4 2 8" xfId="46971" xr:uid="{00000000-0005-0000-0000-0000C25F0000}"/>
    <cellStyle name="40% - Accent2 2 3 4 2 9" xfId="52489" xr:uid="{00000000-0005-0000-0000-0000C35F0000}"/>
    <cellStyle name="40% - Accent2 2 3 4 3" xfId="4085" xr:uid="{00000000-0005-0000-0000-0000C45F0000}"/>
    <cellStyle name="40% - Accent2 2 3 4 3 2" xfId="9565" xr:uid="{00000000-0005-0000-0000-0000C55F0000}"/>
    <cellStyle name="40% - Accent2 2 3 4 3 3" xfId="15041" xr:uid="{00000000-0005-0000-0000-0000C65F0000}"/>
    <cellStyle name="40% - Accent2 2 3 4 3 4" xfId="20517" xr:uid="{00000000-0005-0000-0000-0000C75F0000}"/>
    <cellStyle name="40% - Accent2 2 3 4 3 5" xfId="25993" xr:uid="{00000000-0005-0000-0000-0000C85F0000}"/>
    <cellStyle name="40% - Accent2 2 3 4 3 6" xfId="37789" xr:uid="{00000000-0005-0000-0000-0000C95F0000}"/>
    <cellStyle name="40% - Accent2 2 3 4 3 7" xfId="43266" xr:uid="{00000000-0005-0000-0000-0000CA5F0000}"/>
    <cellStyle name="40% - Accent2 2 3 4 3 8" xfId="48743" xr:uid="{00000000-0005-0000-0000-0000CB5F0000}"/>
    <cellStyle name="40% - Accent2 2 3 4 3 9" xfId="54261" xr:uid="{00000000-0005-0000-0000-0000CC5F0000}"/>
    <cellStyle name="40% - Accent2 2 3 4 4" xfId="6369" xr:uid="{00000000-0005-0000-0000-0000CD5F0000}"/>
    <cellStyle name="40% - Accent2 2 3 4 5" xfId="11849" xr:uid="{00000000-0005-0000-0000-0000CE5F0000}"/>
    <cellStyle name="40% - Accent2 2 3 4 6" xfId="17325" xr:uid="{00000000-0005-0000-0000-0000CF5F0000}"/>
    <cellStyle name="40% - Accent2 2 3 4 7" xfId="22801" xr:uid="{00000000-0005-0000-0000-0000D05F0000}"/>
    <cellStyle name="40% - Accent2 2 3 4 8" xfId="34596" xr:uid="{00000000-0005-0000-0000-0000D15F0000}"/>
    <cellStyle name="40% - Accent2 2 3 4 9" xfId="40073" xr:uid="{00000000-0005-0000-0000-0000D25F0000}"/>
    <cellStyle name="40% - Accent2 2 3 5" xfId="724" xr:uid="{00000000-0005-0000-0000-0000D35F0000}"/>
    <cellStyle name="40% - Accent2 2 3 5 10" xfId="45551" xr:uid="{00000000-0005-0000-0000-0000D45F0000}"/>
    <cellStyle name="40% - Accent2 2 3 5 11" xfId="51029" xr:uid="{00000000-0005-0000-0000-0000D55F0000}"/>
    <cellStyle name="40% - Accent2 2 3 5 2" xfId="2485" xr:uid="{00000000-0005-0000-0000-0000D65F0000}"/>
    <cellStyle name="40% - Accent2 2 3 5 2 2" xfId="7965" xr:uid="{00000000-0005-0000-0000-0000D75F0000}"/>
    <cellStyle name="40% - Accent2 2 3 5 2 3" xfId="13441" xr:uid="{00000000-0005-0000-0000-0000D85F0000}"/>
    <cellStyle name="40% - Accent2 2 3 5 2 4" xfId="18917" xr:uid="{00000000-0005-0000-0000-0000D95F0000}"/>
    <cellStyle name="40% - Accent2 2 3 5 2 5" xfId="24393" xr:uid="{00000000-0005-0000-0000-0000DA5F0000}"/>
    <cellStyle name="40% - Accent2 2 3 5 2 6" xfId="36189" xr:uid="{00000000-0005-0000-0000-0000DB5F0000}"/>
    <cellStyle name="40% - Accent2 2 3 5 2 7" xfId="41666" xr:uid="{00000000-0005-0000-0000-0000DC5F0000}"/>
    <cellStyle name="40% - Accent2 2 3 5 2 8" xfId="47143" xr:uid="{00000000-0005-0000-0000-0000DD5F0000}"/>
    <cellStyle name="40% - Accent2 2 3 5 2 9" xfId="52661" xr:uid="{00000000-0005-0000-0000-0000DE5F0000}"/>
    <cellStyle name="40% - Accent2 2 3 5 3" xfId="4257" xr:uid="{00000000-0005-0000-0000-0000DF5F0000}"/>
    <cellStyle name="40% - Accent2 2 3 5 3 2" xfId="9737" xr:uid="{00000000-0005-0000-0000-0000E05F0000}"/>
    <cellStyle name="40% - Accent2 2 3 5 3 3" xfId="15213" xr:uid="{00000000-0005-0000-0000-0000E15F0000}"/>
    <cellStyle name="40% - Accent2 2 3 5 3 4" xfId="20689" xr:uid="{00000000-0005-0000-0000-0000E25F0000}"/>
    <cellStyle name="40% - Accent2 2 3 5 3 5" xfId="26165" xr:uid="{00000000-0005-0000-0000-0000E35F0000}"/>
    <cellStyle name="40% - Accent2 2 3 5 3 6" xfId="37961" xr:uid="{00000000-0005-0000-0000-0000E45F0000}"/>
    <cellStyle name="40% - Accent2 2 3 5 3 7" xfId="43438" xr:uid="{00000000-0005-0000-0000-0000E55F0000}"/>
    <cellStyle name="40% - Accent2 2 3 5 3 8" xfId="48915" xr:uid="{00000000-0005-0000-0000-0000E65F0000}"/>
    <cellStyle name="40% - Accent2 2 3 5 3 9" xfId="54433" xr:uid="{00000000-0005-0000-0000-0000E75F0000}"/>
    <cellStyle name="40% - Accent2 2 3 5 4" xfId="6370" xr:uid="{00000000-0005-0000-0000-0000E85F0000}"/>
    <cellStyle name="40% - Accent2 2 3 5 5" xfId="11850" xr:uid="{00000000-0005-0000-0000-0000E95F0000}"/>
    <cellStyle name="40% - Accent2 2 3 5 6" xfId="17326" xr:uid="{00000000-0005-0000-0000-0000EA5F0000}"/>
    <cellStyle name="40% - Accent2 2 3 5 7" xfId="22802" xr:uid="{00000000-0005-0000-0000-0000EB5F0000}"/>
    <cellStyle name="40% - Accent2 2 3 5 8" xfId="34597" xr:uid="{00000000-0005-0000-0000-0000EC5F0000}"/>
    <cellStyle name="40% - Accent2 2 3 5 9" xfId="40074" xr:uid="{00000000-0005-0000-0000-0000ED5F0000}"/>
    <cellStyle name="40% - Accent2 2 3 6" xfId="896" xr:uid="{00000000-0005-0000-0000-0000EE5F0000}"/>
    <cellStyle name="40% - Accent2 2 3 6 10" xfId="45552" xr:uid="{00000000-0005-0000-0000-0000EF5F0000}"/>
    <cellStyle name="40% - Accent2 2 3 6 11" xfId="51030" xr:uid="{00000000-0005-0000-0000-0000F05F0000}"/>
    <cellStyle name="40% - Accent2 2 3 6 2" xfId="2657" xr:uid="{00000000-0005-0000-0000-0000F15F0000}"/>
    <cellStyle name="40% - Accent2 2 3 6 2 2" xfId="8137" xr:uid="{00000000-0005-0000-0000-0000F25F0000}"/>
    <cellStyle name="40% - Accent2 2 3 6 2 3" xfId="13613" xr:uid="{00000000-0005-0000-0000-0000F35F0000}"/>
    <cellStyle name="40% - Accent2 2 3 6 2 4" xfId="19089" xr:uid="{00000000-0005-0000-0000-0000F45F0000}"/>
    <cellStyle name="40% - Accent2 2 3 6 2 5" xfId="24565" xr:uid="{00000000-0005-0000-0000-0000F55F0000}"/>
    <cellStyle name="40% - Accent2 2 3 6 2 6" xfId="36361" xr:uid="{00000000-0005-0000-0000-0000F65F0000}"/>
    <cellStyle name="40% - Accent2 2 3 6 2 7" xfId="41838" xr:uid="{00000000-0005-0000-0000-0000F75F0000}"/>
    <cellStyle name="40% - Accent2 2 3 6 2 8" xfId="47315" xr:uid="{00000000-0005-0000-0000-0000F85F0000}"/>
    <cellStyle name="40% - Accent2 2 3 6 2 9" xfId="52833" xr:uid="{00000000-0005-0000-0000-0000F95F0000}"/>
    <cellStyle name="40% - Accent2 2 3 6 3" xfId="4429" xr:uid="{00000000-0005-0000-0000-0000FA5F0000}"/>
    <cellStyle name="40% - Accent2 2 3 6 3 2" xfId="9909" xr:uid="{00000000-0005-0000-0000-0000FB5F0000}"/>
    <cellStyle name="40% - Accent2 2 3 6 3 3" xfId="15385" xr:uid="{00000000-0005-0000-0000-0000FC5F0000}"/>
    <cellStyle name="40% - Accent2 2 3 6 3 4" xfId="20861" xr:uid="{00000000-0005-0000-0000-0000FD5F0000}"/>
    <cellStyle name="40% - Accent2 2 3 6 3 5" xfId="26337" xr:uid="{00000000-0005-0000-0000-0000FE5F0000}"/>
    <cellStyle name="40% - Accent2 2 3 6 3 6" xfId="38133" xr:uid="{00000000-0005-0000-0000-0000FF5F0000}"/>
    <cellStyle name="40% - Accent2 2 3 6 3 7" xfId="43610" xr:uid="{00000000-0005-0000-0000-000000600000}"/>
    <cellStyle name="40% - Accent2 2 3 6 3 8" xfId="49087" xr:uid="{00000000-0005-0000-0000-000001600000}"/>
    <cellStyle name="40% - Accent2 2 3 6 3 9" xfId="54605" xr:uid="{00000000-0005-0000-0000-000002600000}"/>
    <cellStyle name="40% - Accent2 2 3 6 4" xfId="6371" xr:uid="{00000000-0005-0000-0000-000003600000}"/>
    <cellStyle name="40% - Accent2 2 3 6 5" xfId="11851" xr:uid="{00000000-0005-0000-0000-000004600000}"/>
    <cellStyle name="40% - Accent2 2 3 6 6" xfId="17327" xr:uid="{00000000-0005-0000-0000-000005600000}"/>
    <cellStyle name="40% - Accent2 2 3 6 7" xfId="22803" xr:uid="{00000000-0005-0000-0000-000006600000}"/>
    <cellStyle name="40% - Accent2 2 3 6 8" xfId="34598" xr:uid="{00000000-0005-0000-0000-000007600000}"/>
    <cellStyle name="40% - Accent2 2 3 6 9" xfId="40075" xr:uid="{00000000-0005-0000-0000-000008600000}"/>
    <cellStyle name="40% - Accent2 2 3 7" xfId="1102" xr:uid="{00000000-0005-0000-0000-000009600000}"/>
    <cellStyle name="40% - Accent2 2 3 7 10" xfId="45553" xr:uid="{00000000-0005-0000-0000-00000A600000}"/>
    <cellStyle name="40% - Accent2 2 3 7 11" xfId="51031" xr:uid="{00000000-0005-0000-0000-00000B600000}"/>
    <cellStyle name="40% - Accent2 2 3 7 2" xfId="2863" xr:uid="{00000000-0005-0000-0000-00000C600000}"/>
    <cellStyle name="40% - Accent2 2 3 7 2 2" xfId="8343" xr:uid="{00000000-0005-0000-0000-00000D600000}"/>
    <cellStyle name="40% - Accent2 2 3 7 2 3" xfId="13819" xr:uid="{00000000-0005-0000-0000-00000E600000}"/>
    <cellStyle name="40% - Accent2 2 3 7 2 4" xfId="19295" xr:uid="{00000000-0005-0000-0000-00000F600000}"/>
    <cellStyle name="40% - Accent2 2 3 7 2 5" xfId="24771" xr:uid="{00000000-0005-0000-0000-000010600000}"/>
    <cellStyle name="40% - Accent2 2 3 7 2 6" xfId="36567" xr:uid="{00000000-0005-0000-0000-000011600000}"/>
    <cellStyle name="40% - Accent2 2 3 7 2 7" xfId="42044" xr:uid="{00000000-0005-0000-0000-000012600000}"/>
    <cellStyle name="40% - Accent2 2 3 7 2 8" xfId="47521" xr:uid="{00000000-0005-0000-0000-000013600000}"/>
    <cellStyle name="40% - Accent2 2 3 7 2 9" xfId="53039" xr:uid="{00000000-0005-0000-0000-000014600000}"/>
    <cellStyle name="40% - Accent2 2 3 7 3" xfId="4635" xr:uid="{00000000-0005-0000-0000-000015600000}"/>
    <cellStyle name="40% - Accent2 2 3 7 3 2" xfId="10115" xr:uid="{00000000-0005-0000-0000-000016600000}"/>
    <cellStyle name="40% - Accent2 2 3 7 3 3" xfId="15591" xr:uid="{00000000-0005-0000-0000-000017600000}"/>
    <cellStyle name="40% - Accent2 2 3 7 3 4" xfId="21067" xr:uid="{00000000-0005-0000-0000-000018600000}"/>
    <cellStyle name="40% - Accent2 2 3 7 3 5" xfId="26543" xr:uid="{00000000-0005-0000-0000-000019600000}"/>
    <cellStyle name="40% - Accent2 2 3 7 3 6" xfId="38339" xr:uid="{00000000-0005-0000-0000-00001A600000}"/>
    <cellStyle name="40% - Accent2 2 3 7 3 7" xfId="43816" xr:uid="{00000000-0005-0000-0000-00001B600000}"/>
    <cellStyle name="40% - Accent2 2 3 7 3 8" xfId="49293" xr:uid="{00000000-0005-0000-0000-00001C600000}"/>
    <cellStyle name="40% - Accent2 2 3 7 3 9" xfId="54811" xr:uid="{00000000-0005-0000-0000-00001D600000}"/>
    <cellStyle name="40% - Accent2 2 3 7 4" xfId="6372" xr:uid="{00000000-0005-0000-0000-00001E600000}"/>
    <cellStyle name="40% - Accent2 2 3 7 5" xfId="11852" xr:uid="{00000000-0005-0000-0000-00001F600000}"/>
    <cellStyle name="40% - Accent2 2 3 7 6" xfId="17328" xr:uid="{00000000-0005-0000-0000-000020600000}"/>
    <cellStyle name="40% - Accent2 2 3 7 7" xfId="22804" xr:uid="{00000000-0005-0000-0000-000021600000}"/>
    <cellStyle name="40% - Accent2 2 3 7 8" xfId="34599" xr:uid="{00000000-0005-0000-0000-000022600000}"/>
    <cellStyle name="40% - Accent2 2 3 7 9" xfId="40076" xr:uid="{00000000-0005-0000-0000-000023600000}"/>
    <cellStyle name="40% - Accent2 2 3 8" xfId="1274" xr:uid="{00000000-0005-0000-0000-000024600000}"/>
    <cellStyle name="40% - Accent2 2 3 8 10" xfId="45554" xr:uid="{00000000-0005-0000-0000-000025600000}"/>
    <cellStyle name="40% - Accent2 2 3 8 11" xfId="51032" xr:uid="{00000000-0005-0000-0000-000026600000}"/>
    <cellStyle name="40% - Accent2 2 3 8 2" xfId="3035" xr:uid="{00000000-0005-0000-0000-000027600000}"/>
    <cellStyle name="40% - Accent2 2 3 8 2 2" xfId="8515" xr:uid="{00000000-0005-0000-0000-000028600000}"/>
    <cellStyle name="40% - Accent2 2 3 8 2 3" xfId="13991" xr:uid="{00000000-0005-0000-0000-000029600000}"/>
    <cellStyle name="40% - Accent2 2 3 8 2 4" xfId="19467" xr:uid="{00000000-0005-0000-0000-00002A600000}"/>
    <cellStyle name="40% - Accent2 2 3 8 2 5" xfId="24943" xr:uid="{00000000-0005-0000-0000-00002B600000}"/>
    <cellStyle name="40% - Accent2 2 3 8 2 6" xfId="36739" xr:uid="{00000000-0005-0000-0000-00002C600000}"/>
    <cellStyle name="40% - Accent2 2 3 8 2 7" xfId="42216" xr:uid="{00000000-0005-0000-0000-00002D600000}"/>
    <cellStyle name="40% - Accent2 2 3 8 2 8" xfId="47693" xr:uid="{00000000-0005-0000-0000-00002E600000}"/>
    <cellStyle name="40% - Accent2 2 3 8 2 9" xfId="53211" xr:uid="{00000000-0005-0000-0000-00002F600000}"/>
    <cellStyle name="40% - Accent2 2 3 8 3" xfId="4807" xr:uid="{00000000-0005-0000-0000-000030600000}"/>
    <cellStyle name="40% - Accent2 2 3 8 3 2" xfId="10287" xr:uid="{00000000-0005-0000-0000-000031600000}"/>
    <cellStyle name="40% - Accent2 2 3 8 3 3" xfId="15763" xr:uid="{00000000-0005-0000-0000-000032600000}"/>
    <cellStyle name="40% - Accent2 2 3 8 3 4" xfId="21239" xr:uid="{00000000-0005-0000-0000-000033600000}"/>
    <cellStyle name="40% - Accent2 2 3 8 3 5" xfId="26715" xr:uid="{00000000-0005-0000-0000-000034600000}"/>
    <cellStyle name="40% - Accent2 2 3 8 3 6" xfId="38511" xr:uid="{00000000-0005-0000-0000-000035600000}"/>
    <cellStyle name="40% - Accent2 2 3 8 3 7" xfId="43988" xr:uid="{00000000-0005-0000-0000-000036600000}"/>
    <cellStyle name="40% - Accent2 2 3 8 3 8" xfId="49465" xr:uid="{00000000-0005-0000-0000-000037600000}"/>
    <cellStyle name="40% - Accent2 2 3 8 3 9" xfId="54983" xr:uid="{00000000-0005-0000-0000-000038600000}"/>
    <cellStyle name="40% - Accent2 2 3 8 4" xfId="6373" xr:uid="{00000000-0005-0000-0000-000039600000}"/>
    <cellStyle name="40% - Accent2 2 3 8 5" xfId="11853" xr:uid="{00000000-0005-0000-0000-00003A600000}"/>
    <cellStyle name="40% - Accent2 2 3 8 6" xfId="17329" xr:uid="{00000000-0005-0000-0000-00003B600000}"/>
    <cellStyle name="40% - Accent2 2 3 8 7" xfId="22805" xr:uid="{00000000-0005-0000-0000-00003C600000}"/>
    <cellStyle name="40% - Accent2 2 3 8 8" xfId="34600" xr:uid="{00000000-0005-0000-0000-00003D600000}"/>
    <cellStyle name="40% - Accent2 2 3 8 9" xfId="40077" xr:uid="{00000000-0005-0000-0000-00003E600000}"/>
    <cellStyle name="40% - Accent2 2 3 9" xfId="1446" xr:uid="{00000000-0005-0000-0000-00003F600000}"/>
    <cellStyle name="40% - Accent2 2 3 9 10" xfId="45555" xr:uid="{00000000-0005-0000-0000-000040600000}"/>
    <cellStyle name="40% - Accent2 2 3 9 11" xfId="51033" xr:uid="{00000000-0005-0000-0000-000041600000}"/>
    <cellStyle name="40% - Accent2 2 3 9 2" xfId="3207" xr:uid="{00000000-0005-0000-0000-000042600000}"/>
    <cellStyle name="40% - Accent2 2 3 9 2 2" xfId="8687" xr:uid="{00000000-0005-0000-0000-000043600000}"/>
    <cellStyle name="40% - Accent2 2 3 9 2 3" xfId="14163" xr:uid="{00000000-0005-0000-0000-000044600000}"/>
    <cellStyle name="40% - Accent2 2 3 9 2 4" xfId="19639" xr:uid="{00000000-0005-0000-0000-000045600000}"/>
    <cellStyle name="40% - Accent2 2 3 9 2 5" xfId="25115" xr:uid="{00000000-0005-0000-0000-000046600000}"/>
    <cellStyle name="40% - Accent2 2 3 9 2 6" xfId="36911" xr:uid="{00000000-0005-0000-0000-000047600000}"/>
    <cellStyle name="40% - Accent2 2 3 9 2 7" xfId="42388" xr:uid="{00000000-0005-0000-0000-000048600000}"/>
    <cellStyle name="40% - Accent2 2 3 9 2 8" xfId="47865" xr:uid="{00000000-0005-0000-0000-000049600000}"/>
    <cellStyle name="40% - Accent2 2 3 9 2 9" xfId="53383" xr:uid="{00000000-0005-0000-0000-00004A600000}"/>
    <cellStyle name="40% - Accent2 2 3 9 3" xfId="4979" xr:uid="{00000000-0005-0000-0000-00004B600000}"/>
    <cellStyle name="40% - Accent2 2 3 9 3 2" xfId="10459" xr:uid="{00000000-0005-0000-0000-00004C600000}"/>
    <cellStyle name="40% - Accent2 2 3 9 3 3" xfId="15935" xr:uid="{00000000-0005-0000-0000-00004D600000}"/>
    <cellStyle name="40% - Accent2 2 3 9 3 4" xfId="21411" xr:uid="{00000000-0005-0000-0000-00004E600000}"/>
    <cellStyle name="40% - Accent2 2 3 9 3 5" xfId="26887" xr:uid="{00000000-0005-0000-0000-00004F600000}"/>
    <cellStyle name="40% - Accent2 2 3 9 3 6" xfId="38683" xr:uid="{00000000-0005-0000-0000-000050600000}"/>
    <cellStyle name="40% - Accent2 2 3 9 3 7" xfId="44160" xr:uid="{00000000-0005-0000-0000-000051600000}"/>
    <cellStyle name="40% - Accent2 2 3 9 3 8" xfId="49637" xr:uid="{00000000-0005-0000-0000-000052600000}"/>
    <cellStyle name="40% - Accent2 2 3 9 3 9" xfId="55155" xr:uid="{00000000-0005-0000-0000-000053600000}"/>
    <cellStyle name="40% - Accent2 2 3 9 4" xfId="6374" xr:uid="{00000000-0005-0000-0000-000054600000}"/>
    <cellStyle name="40% - Accent2 2 3 9 5" xfId="11854" xr:uid="{00000000-0005-0000-0000-000055600000}"/>
    <cellStyle name="40% - Accent2 2 3 9 6" xfId="17330" xr:uid="{00000000-0005-0000-0000-000056600000}"/>
    <cellStyle name="40% - Accent2 2 3 9 7" xfId="22806" xr:uid="{00000000-0005-0000-0000-000057600000}"/>
    <cellStyle name="40% - Accent2 2 3 9 8" xfId="34601" xr:uid="{00000000-0005-0000-0000-000058600000}"/>
    <cellStyle name="40% - Accent2 2 3 9 9" xfId="40078" xr:uid="{00000000-0005-0000-0000-000059600000}"/>
    <cellStyle name="40% - Accent2 2 4" xfId="171" xr:uid="{00000000-0005-0000-0000-00005A600000}"/>
    <cellStyle name="40% - Accent2 2 4 10" xfId="1620" xr:uid="{00000000-0005-0000-0000-00005B600000}"/>
    <cellStyle name="40% - Accent2 2 4 10 10" xfId="45557" xr:uid="{00000000-0005-0000-0000-00005C600000}"/>
    <cellStyle name="40% - Accent2 2 4 10 11" xfId="51035" xr:uid="{00000000-0005-0000-0000-00005D600000}"/>
    <cellStyle name="40% - Accent2 2 4 10 2" xfId="3381" xr:uid="{00000000-0005-0000-0000-00005E600000}"/>
    <cellStyle name="40% - Accent2 2 4 10 2 2" xfId="8861" xr:uid="{00000000-0005-0000-0000-00005F600000}"/>
    <cellStyle name="40% - Accent2 2 4 10 2 3" xfId="14337" xr:uid="{00000000-0005-0000-0000-000060600000}"/>
    <cellStyle name="40% - Accent2 2 4 10 2 4" xfId="19813" xr:uid="{00000000-0005-0000-0000-000061600000}"/>
    <cellStyle name="40% - Accent2 2 4 10 2 5" xfId="25289" xr:uid="{00000000-0005-0000-0000-000062600000}"/>
    <cellStyle name="40% - Accent2 2 4 10 2 6" xfId="37085" xr:uid="{00000000-0005-0000-0000-000063600000}"/>
    <cellStyle name="40% - Accent2 2 4 10 2 7" xfId="42562" xr:uid="{00000000-0005-0000-0000-000064600000}"/>
    <cellStyle name="40% - Accent2 2 4 10 2 8" xfId="48039" xr:uid="{00000000-0005-0000-0000-000065600000}"/>
    <cellStyle name="40% - Accent2 2 4 10 2 9" xfId="53557" xr:uid="{00000000-0005-0000-0000-000066600000}"/>
    <cellStyle name="40% - Accent2 2 4 10 3" xfId="5153" xr:uid="{00000000-0005-0000-0000-000067600000}"/>
    <cellStyle name="40% - Accent2 2 4 10 3 2" xfId="10633" xr:uid="{00000000-0005-0000-0000-000068600000}"/>
    <cellStyle name="40% - Accent2 2 4 10 3 3" xfId="16109" xr:uid="{00000000-0005-0000-0000-000069600000}"/>
    <cellStyle name="40% - Accent2 2 4 10 3 4" xfId="21585" xr:uid="{00000000-0005-0000-0000-00006A600000}"/>
    <cellStyle name="40% - Accent2 2 4 10 3 5" xfId="27061" xr:uid="{00000000-0005-0000-0000-00006B600000}"/>
    <cellStyle name="40% - Accent2 2 4 10 3 6" xfId="38857" xr:uid="{00000000-0005-0000-0000-00006C600000}"/>
    <cellStyle name="40% - Accent2 2 4 10 3 7" xfId="44334" xr:uid="{00000000-0005-0000-0000-00006D600000}"/>
    <cellStyle name="40% - Accent2 2 4 10 3 8" xfId="49811" xr:uid="{00000000-0005-0000-0000-00006E600000}"/>
    <cellStyle name="40% - Accent2 2 4 10 3 9" xfId="55329" xr:uid="{00000000-0005-0000-0000-00006F600000}"/>
    <cellStyle name="40% - Accent2 2 4 10 4" xfId="6376" xr:uid="{00000000-0005-0000-0000-000070600000}"/>
    <cellStyle name="40% - Accent2 2 4 10 5" xfId="11856" xr:uid="{00000000-0005-0000-0000-000071600000}"/>
    <cellStyle name="40% - Accent2 2 4 10 6" xfId="17332" xr:uid="{00000000-0005-0000-0000-000072600000}"/>
    <cellStyle name="40% - Accent2 2 4 10 7" xfId="22808" xr:uid="{00000000-0005-0000-0000-000073600000}"/>
    <cellStyle name="40% - Accent2 2 4 10 8" xfId="34603" xr:uid="{00000000-0005-0000-0000-000074600000}"/>
    <cellStyle name="40% - Accent2 2 4 10 9" xfId="40080" xr:uid="{00000000-0005-0000-0000-000075600000}"/>
    <cellStyle name="40% - Accent2 2 4 11" xfId="1817" xr:uid="{00000000-0005-0000-0000-000076600000}"/>
    <cellStyle name="40% - Accent2 2 4 11 10" xfId="45558" xr:uid="{00000000-0005-0000-0000-000077600000}"/>
    <cellStyle name="40% - Accent2 2 4 11 11" xfId="51036" xr:uid="{00000000-0005-0000-0000-000078600000}"/>
    <cellStyle name="40% - Accent2 2 4 11 2" xfId="3578" xr:uid="{00000000-0005-0000-0000-000079600000}"/>
    <cellStyle name="40% - Accent2 2 4 11 2 2" xfId="9058" xr:uid="{00000000-0005-0000-0000-00007A600000}"/>
    <cellStyle name="40% - Accent2 2 4 11 2 3" xfId="14534" xr:uid="{00000000-0005-0000-0000-00007B600000}"/>
    <cellStyle name="40% - Accent2 2 4 11 2 4" xfId="20010" xr:uid="{00000000-0005-0000-0000-00007C600000}"/>
    <cellStyle name="40% - Accent2 2 4 11 2 5" xfId="25486" xr:uid="{00000000-0005-0000-0000-00007D600000}"/>
    <cellStyle name="40% - Accent2 2 4 11 2 6" xfId="37282" xr:uid="{00000000-0005-0000-0000-00007E600000}"/>
    <cellStyle name="40% - Accent2 2 4 11 2 7" xfId="42759" xr:uid="{00000000-0005-0000-0000-00007F600000}"/>
    <cellStyle name="40% - Accent2 2 4 11 2 8" xfId="48236" xr:uid="{00000000-0005-0000-0000-000080600000}"/>
    <cellStyle name="40% - Accent2 2 4 11 2 9" xfId="53754" xr:uid="{00000000-0005-0000-0000-000081600000}"/>
    <cellStyle name="40% - Accent2 2 4 11 3" xfId="5350" xr:uid="{00000000-0005-0000-0000-000082600000}"/>
    <cellStyle name="40% - Accent2 2 4 11 3 2" xfId="10830" xr:uid="{00000000-0005-0000-0000-000083600000}"/>
    <cellStyle name="40% - Accent2 2 4 11 3 3" xfId="16306" xr:uid="{00000000-0005-0000-0000-000084600000}"/>
    <cellStyle name="40% - Accent2 2 4 11 3 4" xfId="21782" xr:uid="{00000000-0005-0000-0000-000085600000}"/>
    <cellStyle name="40% - Accent2 2 4 11 3 5" xfId="27258" xr:uid="{00000000-0005-0000-0000-000086600000}"/>
    <cellStyle name="40% - Accent2 2 4 11 3 6" xfId="39054" xr:uid="{00000000-0005-0000-0000-000087600000}"/>
    <cellStyle name="40% - Accent2 2 4 11 3 7" xfId="44531" xr:uid="{00000000-0005-0000-0000-000088600000}"/>
    <cellStyle name="40% - Accent2 2 4 11 3 8" xfId="50008" xr:uid="{00000000-0005-0000-0000-000089600000}"/>
    <cellStyle name="40% - Accent2 2 4 11 3 9" xfId="55526" xr:uid="{00000000-0005-0000-0000-00008A600000}"/>
    <cellStyle name="40% - Accent2 2 4 11 4" xfId="6377" xr:uid="{00000000-0005-0000-0000-00008B600000}"/>
    <cellStyle name="40% - Accent2 2 4 11 5" xfId="11857" xr:uid="{00000000-0005-0000-0000-00008C600000}"/>
    <cellStyle name="40% - Accent2 2 4 11 6" xfId="17333" xr:uid="{00000000-0005-0000-0000-00008D600000}"/>
    <cellStyle name="40% - Accent2 2 4 11 7" xfId="22809" xr:uid="{00000000-0005-0000-0000-00008E600000}"/>
    <cellStyle name="40% - Accent2 2 4 11 8" xfId="34604" xr:uid="{00000000-0005-0000-0000-00008F600000}"/>
    <cellStyle name="40% - Accent2 2 4 11 9" xfId="40081" xr:uid="{00000000-0005-0000-0000-000090600000}"/>
    <cellStyle name="40% - Accent2 2 4 12" xfId="1982" xr:uid="{00000000-0005-0000-0000-000091600000}"/>
    <cellStyle name="40% - Accent2 2 4 12 10" xfId="52159" xr:uid="{00000000-0005-0000-0000-000092600000}"/>
    <cellStyle name="40% - Accent2 2 4 12 2" xfId="5514" xr:uid="{00000000-0005-0000-0000-000093600000}"/>
    <cellStyle name="40% - Accent2 2 4 12 2 2" xfId="10994" xr:uid="{00000000-0005-0000-0000-000094600000}"/>
    <cellStyle name="40% - Accent2 2 4 12 2 3" xfId="16470" xr:uid="{00000000-0005-0000-0000-000095600000}"/>
    <cellStyle name="40% - Accent2 2 4 12 2 4" xfId="21946" xr:uid="{00000000-0005-0000-0000-000096600000}"/>
    <cellStyle name="40% - Accent2 2 4 12 2 5" xfId="27422" xr:uid="{00000000-0005-0000-0000-000097600000}"/>
    <cellStyle name="40% - Accent2 2 4 12 2 6" xfId="39218" xr:uid="{00000000-0005-0000-0000-000098600000}"/>
    <cellStyle name="40% - Accent2 2 4 12 2 7" xfId="44695" xr:uid="{00000000-0005-0000-0000-000099600000}"/>
    <cellStyle name="40% - Accent2 2 4 12 2 8" xfId="50172" xr:uid="{00000000-0005-0000-0000-00009A600000}"/>
    <cellStyle name="40% - Accent2 2 4 12 2 9" xfId="55690" xr:uid="{00000000-0005-0000-0000-00009B600000}"/>
    <cellStyle name="40% - Accent2 2 4 12 3" xfId="7463" xr:uid="{00000000-0005-0000-0000-00009C600000}"/>
    <cellStyle name="40% - Accent2 2 4 12 4" xfId="12939" xr:uid="{00000000-0005-0000-0000-00009D600000}"/>
    <cellStyle name="40% - Accent2 2 4 12 5" xfId="18415" xr:uid="{00000000-0005-0000-0000-00009E600000}"/>
    <cellStyle name="40% - Accent2 2 4 12 6" xfId="23891" xr:uid="{00000000-0005-0000-0000-00009F600000}"/>
    <cellStyle name="40% - Accent2 2 4 12 7" xfId="35687" xr:uid="{00000000-0005-0000-0000-0000A0600000}"/>
    <cellStyle name="40% - Accent2 2 4 12 8" xfId="41164" xr:uid="{00000000-0005-0000-0000-0000A1600000}"/>
    <cellStyle name="40% - Accent2 2 4 12 9" xfId="46641" xr:uid="{00000000-0005-0000-0000-0000A2600000}"/>
    <cellStyle name="40% - Accent2 2 4 13" xfId="3743" xr:uid="{00000000-0005-0000-0000-0000A3600000}"/>
    <cellStyle name="40% - Accent2 2 4 13 2" xfId="9223" xr:uid="{00000000-0005-0000-0000-0000A4600000}"/>
    <cellStyle name="40% - Accent2 2 4 13 3" xfId="14699" xr:uid="{00000000-0005-0000-0000-0000A5600000}"/>
    <cellStyle name="40% - Accent2 2 4 13 4" xfId="20175" xr:uid="{00000000-0005-0000-0000-0000A6600000}"/>
    <cellStyle name="40% - Accent2 2 4 13 5" xfId="25651" xr:uid="{00000000-0005-0000-0000-0000A7600000}"/>
    <cellStyle name="40% - Accent2 2 4 13 6" xfId="37447" xr:uid="{00000000-0005-0000-0000-0000A8600000}"/>
    <cellStyle name="40% - Accent2 2 4 13 7" xfId="42924" xr:uid="{00000000-0005-0000-0000-0000A9600000}"/>
    <cellStyle name="40% - Accent2 2 4 13 8" xfId="48401" xr:uid="{00000000-0005-0000-0000-0000AA600000}"/>
    <cellStyle name="40% - Accent2 2 4 13 9" xfId="53919" xr:uid="{00000000-0005-0000-0000-0000AB600000}"/>
    <cellStyle name="40% - Accent2 2 4 14" xfId="6375" xr:uid="{00000000-0005-0000-0000-0000AC600000}"/>
    <cellStyle name="40% - Accent2 2 4 15" xfId="11855" xr:uid="{00000000-0005-0000-0000-0000AD600000}"/>
    <cellStyle name="40% - Accent2 2 4 16" xfId="17331" xr:uid="{00000000-0005-0000-0000-0000AE600000}"/>
    <cellStyle name="40% - Accent2 2 4 17" xfId="22807" xr:uid="{00000000-0005-0000-0000-0000AF600000}"/>
    <cellStyle name="40% - Accent2 2 4 18" xfId="30821" xr:uid="{00000000-0005-0000-0000-0000B0600000}"/>
    <cellStyle name="40% - Accent2 2 4 19" xfId="34602" xr:uid="{00000000-0005-0000-0000-0000B1600000}"/>
    <cellStyle name="40% - Accent2 2 4 2" xfId="263" xr:uid="{00000000-0005-0000-0000-0000B2600000}"/>
    <cellStyle name="40% - Accent2 2 4 2 10" xfId="1818" xr:uid="{00000000-0005-0000-0000-0000B3600000}"/>
    <cellStyle name="40% - Accent2 2 4 2 10 10" xfId="45560" xr:uid="{00000000-0005-0000-0000-0000B4600000}"/>
    <cellStyle name="40% - Accent2 2 4 2 10 11" xfId="51038" xr:uid="{00000000-0005-0000-0000-0000B5600000}"/>
    <cellStyle name="40% - Accent2 2 4 2 10 2" xfId="3579" xr:uid="{00000000-0005-0000-0000-0000B6600000}"/>
    <cellStyle name="40% - Accent2 2 4 2 10 2 2" xfId="9059" xr:uid="{00000000-0005-0000-0000-0000B7600000}"/>
    <cellStyle name="40% - Accent2 2 4 2 10 2 3" xfId="14535" xr:uid="{00000000-0005-0000-0000-0000B8600000}"/>
    <cellStyle name="40% - Accent2 2 4 2 10 2 4" xfId="20011" xr:uid="{00000000-0005-0000-0000-0000B9600000}"/>
    <cellStyle name="40% - Accent2 2 4 2 10 2 5" xfId="25487" xr:uid="{00000000-0005-0000-0000-0000BA600000}"/>
    <cellStyle name="40% - Accent2 2 4 2 10 2 6" xfId="37283" xr:uid="{00000000-0005-0000-0000-0000BB600000}"/>
    <cellStyle name="40% - Accent2 2 4 2 10 2 7" xfId="42760" xr:uid="{00000000-0005-0000-0000-0000BC600000}"/>
    <cellStyle name="40% - Accent2 2 4 2 10 2 8" xfId="48237" xr:uid="{00000000-0005-0000-0000-0000BD600000}"/>
    <cellStyle name="40% - Accent2 2 4 2 10 2 9" xfId="53755" xr:uid="{00000000-0005-0000-0000-0000BE600000}"/>
    <cellStyle name="40% - Accent2 2 4 2 10 3" xfId="5351" xr:uid="{00000000-0005-0000-0000-0000BF600000}"/>
    <cellStyle name="40% - Accent2 2 4 2 10 3 2" xfId="10831" xr:uid="{00000000-0005-0000-0000-0000C0600000}"/>
    <cellStyle name="40% - Accent2 2 4 2 10 3 3" xfId="16307" xr:uid="{00000000-0005-0000-0000-0000C1600000}"/>
    <cellStyle name="40% - Accent2 2 4 2 10 3 4" xfId="21783" xr:uid="{00000000-0005-0000-0000-0000C2600000}"/>
    <cellStyle name="40% - Accent2 2 4 2 10 3 5" xfId="27259" xr:uid="{00000000-0005-0000-0000-0000C3600000}"/>
    <cellStyle name="40% - Accent2 2 4 2 10 3 6" xfId="39055" xr:uid="{00000000-0005-0000-0000-0000C4600000}"/>
    <cellStyle name="40% - Accent2 2 4 2 10 3 7" xfId="44532" xr:uid="{00000000-0005-0000-0000-0000C5600000}"/>
    <cellStyle name="40% - Accent2 2 4 2 10 3 8" xfId="50009" xr:uid="{00000000-0005-0000-0000-0000C6600000}"/>
    <cellStyle name="40% - Accent2 2 4 2 10 3 9" xfId="55527" xr:uid="{00000000-0005-0000-0000-0000C7600000}"/>
    <cellStyle name="40% - Accent2 2 4 2 10 4" xfId="6379" xr:uid="{00000000-0005-0000-0000-0000C8600000}"/>
    <cellStyle name="40% - Accent2 2 4 2 10 5" xfId="11859" xr:uid="{00000000-0005-0000-0000-0000C9600000}"/>
    <cellStyle name="40% - Accent2 2 4 2 10 6" xfId="17335" xr:uid="{00000000-0005-0000-0000-0000CA600000}"/>
    <cellStyle name="40% - Accent2 2 4 2 10 7" xfId="22811" xr:uid="{00000000-0005-0000-0000-0000CB600000}"/>
    <cellStyle name="40% - Accent2 2 4 2 10 8" xfId="34606" xr:uid="{00000000-0005-0000-0000-0000CC600000}"/>
    <cellStyle name="40% - Accent2 2 4 2 10 9" xfId="40083" xr:uid="{00000000-0005-0000-0000-0000CD600000}"/>
    <cellStyle name="40% - Accent2 2 4 2 11" xfId="1983" xr:uid="{00000000-0005-0000-0000-0000CE600000}"/>
    <cellStyle name="40% - Accent2 2 4 2 11 10" xfId="52160" xr:uid="{00000000-0005-0000-0000-0000CF600000}"/>
    <cellStyle name="40% - Accent2 2 4 2 11 2" xfId="5515" xr:uid="{00000000-0005-0000-0000-0000D0600000}"/>
    <cellStyle name="40% - Accent2 2 4 2 11 2 2" xfId="10995" xr:uid="{00000000-0005-0000-0000-0000D1600000}"/>
    <cellStyle name="40% - Accent2 2 4 2 11 2 3" xfId="16471" xr:uid="{00000000-0005-0000-0000-0000D2600000}"/>
    <cellStyle name="40% - Accent2 2 4 2 11 2 4" xfId="21947" xr:uid="{00000000-0005-0000-0000-0000D3600000}"/>
    <cellStyle name="40% - Accent2 2 4 2 11 2 5" xfId="27423" xr:uid="{00000000-0005-0000-0000-0000D4600000}"/>
    <cellStyle name="40% - Accent2 2 4 2 11 2 6" xfId="39219" xr:uid="{00000000-0005-0000-0000-0000D5600000}"/>
    <cellStyle name="40% - Accent2 2 4 2 11 2 7" xfId="44696" xr:uid="{00000000-0005-0000-0000-0000D6600000}"/>
    <cellStyle name="40% - Accent2 2 4 2 11 2 8" xfId="50173" xr:uid="{00000000-0005-0000-0000-0000D7600000}"/>
    <cellStyle name="40% - Accent2 2 4 2 11 2 9" xfId="55691" xr:uid="{00000000-0005-0000-0000-0000D8600000}"/>
    <cellStyle name="40% - Accent2 2 4 2 11 3" xfId="7464" xr:uid="{00000000-0005-0000-0000-0000D9600000}"/>
    <cellStyle name="40% - Accent2 2 4 2 11 4" xfId="12940" xr:uid="{00000000-0005-0000-0000-0000DA600000}"/>
    <cellStyle name="40% - Accent2 2 4 2 11 5" xfId="18416" xr:uid="{00000000-0005-0000-0000-0000DB600000}"/>
    <cellStyle name="40% - Accent2 2 4 2 11 6" xfId="23892" xr:uid="{00000000-0005-0000-0000-0000DC600000}"/>
    <cellStyle name="40% - Accent2 2 4 2 11 7" xfId="35688" xr:uid="{00000000-0005-0000-0000-0000DD600000}"/>
    <cellStyle name="40% - Accent2 2 4 2 11 8" xfId="41165" xr:uid="{00000000-0005-0000-0000-0000DE600000}"/>
    <cellStyle name="40% - Accent2 2 4 2 11 9" xfId="46642" xr:uid="{00000000-0005-0000-0000-0000DF600000}"/>
    <cellStyle name="40% - Accent2 2 4 2 12" xfId="3829" xr:uid="{00000000-0005-0000-0000-0000E0600000}"/>
    <cellStyle name="40% - Accent2 2 4 2 12 2" xfId="9309" xr:uid="{00000000-0005-0000-0000-0000E1600000}"/>
    <cellStyle name="40% - Accent2 2 4 2 12 3" xfId="14785" xr:uid="{00000000-0005-0000-0000-0000E2600000}"/>
    <cellStyle name="40% - Accent2 2 4 2 12 4" xfId="20261" xr:uid="{00000000-0005-0000-0000-0000E3600000}"/>
    <cellStyle name="40% - Accent2 2 4 2 12 5" xfId="25737" xr:uid="{00000000-0005-0000-0000-0000E4600000}"/>
    <cellStyle name="40% - Accent2 2 4 2 12 6" xfId="37533" xr:uid="{00000000-0005-0000-0000-0000E5600000}"/>
    <cellStyle name="40% - Accent2 2 4 2 12 7" xfId="43010" xr:uid="{00000000-0005-0000-0000-0000E6600000}"/>
    <cellStyle name="40% - Accent2 2 4 2 12 8" xfId="48487" xr:uid="{00000000-0005-0000-0000-0000E7600000}"/>
    <cellStyle name="40% - Accent2 2 4 2 12 9" xfId="54005" xr:uid="{00000000-0005-0000-0000-0000E8600000}"/>
    <cellStyle name="40% - Accent2 2 4 2 13" xfId="6378" xr:uid="{00000000-0005-0000-0000-0000E9600000}"/>
    <cellStyle name="40% - Accent2 2 4 2 14" xfId="11858" xr:uid="{00000000-0005-0000-0000-0000EA600000}"/>
    <cellStyle name="40% - Accent2 2 4 2 15" xfId="17334" xr:uid="{00000000-0005-0000-0000-0000EB600000}"/>
    <cellStyle name="40% - Accent2 2 4 2 16" xfId="22810" xr:uid="{00000000-0005-0000-0000-0000EC600000}"/>
    <cellStyle name="40% - Accent2 2 4 2 17" xfId="30822" xr:uid="{00000000-0005-0000-0000-0000ED600000}"/>
    <cellStyle name="40% - Accent2 2 4 2 18" xfId="34605" xr:uid="{00000000-0005-0000-0000-0000EE600000}"/>
    <cellStyle name="40% - Accent2 2 4 2 19" xfId="40082" xr:uid="{00000000-0005-0000-0000-0000EF600000}"/>
    <cellStyle name="40% - Accent2 2 4 2 2" xfId="354" xr:uid="{00000000-0005-0000-0000-0000F0600000}"/>
    <cellStyle name="40% - Accent2 2 4 2 2 10" xfId="40084" xr:uid="{00000000-0005-0000-0000-0000F1600000}"/>
    <cellStyle name="40% - Accent2 2 4 2 2 11" xfId="45561" xr:uid="{00000000-0005-0000-0000-0000F2600000}"/>
    <cellStyle name="40% - Accent2 2 4 2 2 12" xfId="51039" xr:uid="{00000000-0005-0000-0000-0000F3600000}"/>
    <cellStyle name="40% - Accent2 2 4 2 2 2" xfId="2149" xr:uid="{00000000-0005-0000-0000-0000F4600000}"/>
    <cellStyle name="40% - Accent2 2 4 2 2 2 2" xfId="7629" xr:uid="{00000000-0005-0000-0000-0000F5600000}"/>
    <cellStyle name="40% - Accent2 2 4 2 2 2 3" xfId="13105" xr:uid="{00000000-0005-0000-0000-0000F6600000}"/>
    <cellStyle name="40% - Accent2 2 4 2 2 2 4" xfId="18581" xr:uid="{00000000-0005-0000-0000-0000F7600000}"/>
    <cellStyle name="40% - Accent2 2 4 2 2 2 5" xfId="24057" xr:uid="{00000000-0005-0000-0000-0000F8600000}"/>
    <cellStyle name="40% - Accent2 2 4 2 2 2 6" xfId="35853" xr:uid="{00000000-0005-0000-0000-0000F9600000}"/>
    <cellStyle name="40% - Accent2 2 4 2 2 2 7" xfId="41330" xr:uid="{00000000-0005-0000-0000-0000FA600000}"/>
    <cellStyle name="40% - Accent2 2 4 2 2 2 8" xfId="46807" xr:uid="{00000000-0005-0000-0000-0000FB600000}"/>
    <cellStyle name="40% - Accent2 2 4 2 2 2 9" xfId="52325" xr:uid="{00000000-0005-0000-0000-0000FC600000}"/>
    <cellStyle name="40% - Accent2 2 4 2 2 3" xfId="3916" xr:uid="{00000000-0005-0000-0000-0000FD600000}"/>
    <cellStyle name="40% - Accent2 2 4 2 2 3 2" xfId="9396" xr:uid="{00000000-0005-0000-0000-0000FE600000}"/>
    <cellStyle name="40% - Accent2 2 4 2 2 3 3" xfId="14872" xr:uid="{00000000-0005-0000-0000-0000FF600000}"/>
    <cellStyle name="40% - Accent2 2 4 2 2 3 4" xfId="20348" xr:uid="{00000000-0005-0000-0000-000000610000}"/>
    <cellStyle name="40% - Accent2 2 4 2 2 3 5" xfId="25824" xr:uid="{00000000-0005-0000-0000-000001610000}"/>
    <cellStyle name="40% - Accent2 2 4 2 2 3 6" xfId="37620" xr:uid="{00000000-0005-0000-0000-000002610000}"/>
    <cellStyle name="40% - Accent2 2 4 2 2 3 7" xfId="43097" xr:uid="{00000000-0005-0000-0000-000003610000}"/>
    <cellStyle name="40% - Accent2 2 4 2 2 3 8" xfId="48574" xr:uid="{00000000-0005-0000-0000-000004610000}"/>
    <cellStyle name="40% - Accent2 2 4 2 2 3 9" xfId="54092" xr:uid="{00000000-0005-0000-0000-000005610000}"/>
    <cellStyle name="40% - Accent2 2 4 2 2 4" xfId="6380" xr:uid="{00000000-0005-0000-0000-000006610000}"/>
    <cellStyle name="40% - Accent2 2 4 2 2 5" xfId="11860" xr:uid="{00000000-0005-0000-0000-000007610000}"/>
    <cellStyle name="40% - Accent2 2 4 2 2 6" xfId="17336" xr:uid="{00000000-0005-0000-0000-000008610000}"/>
    <cellStyle name="40% - Accent2 2 4 2 2 7" xfId="22812" xr:uid="{00000000-0005-0000-0000-000009610000}"/>
    <cellStyle name="40% - Accent2 2 4 2 2 8" xfId="30823" xr:uid="{00000000-0005-0000-0000-00000A610000}"/>
    <cellStyle name="40% - Accent2 2 4 2 2 9" xfId="34607" xr:uid="{00000000-0005-0000-0000-00000B610000}"/>
    <cellStyle name="40% - Accent2 2 4 2 20" xfId="45559" xr:uid="{00000000-0005-0000-0000-00000C610000}"/>
    <cellStyle name="40% - Accent2 2 4 2 21" xfId="51037" xr:uid="{00000000-0005-0000-0000-00000D610000}"/>
    <cellStyle name="40% - Accent2 2 4 2 3" xfId="555" xr:uid="{00000000-0005-0000-0000-00000E610000}"/>
    <cellStyle name="40% - Accent2 2 4 2 3 10" xfId="45562" xr:uid="{00000000-0005-0000-0000-00000F610000}"/>
    <cellStyle name="40% - Accent2 2 4 2 3 11" xfId="51040" xr:uid="{00000000-0005-0000-0000-000010610000}"/>
    <cellStyle name="40% - Accent2 2 4 2 3 2" xfId="2316" xr:uid="{00000000-0005-0000-0000-000011610000}"/>
    <cellStyle name="40% - Accent2 2 4 2 3 2 2" xfId="7796" xr:uid="{00000000-0005-0000-0000-000012610000}"/>
    <cellStyle name="40% - Accent2 2 4 2 3 2 3" xfId="13272" xr:uid="{00000000-0005-0000-0000-000013610000}"/>
    <cellStyle name="40% - Accent2 2 4 2 3 2 4" xfId="18748" xr:uid="{00000000-0005-0000-0000-000014610000}"/>
    <cellStyle name="40% - Accent2 2 4 2 3 2 5" xfId="24224" xr:uid="{00000000-0005-0000-0000-000015610000}"/>
    <cellStyle name="40% - Accent2 2 4 2 3 2 6" xfId="36020" xr:uid="{00000000-0005-0000-0000-000016610000}"/>
    <cellStyle name="40% - Accent2 2 4 2 3 2 7" xfId="41497" xr:uid="{00000000-0005-0000-0000-000017610000}"/>
    <cellStyle name="40% - Accent2 2 4 2 3 2 8" xfId="46974" xr:uid="{00000000-0005-0000-0000-000018610000}"/>
    <cellStyle name="40% - Accent2 2 4 2 3 2 9" xfId="52492" xr:uid="{00000000-0005-0000-0000-000019610000}"/>
    <cellStyle name="40% - Accent2 2 4 2 3 3" xfId="4088" xr:uid="{00000000-0005-0000-0000-00001A610000}"/>
    <cellStyle name="40% - Accent2 2 4 2 3 3 2" xfId="9568" xr:uid="{00000000-0005-0000-0000-00001B610000}"/>
    <cellStyle name="40% - Accent2 2 4 2 3 3 3" xfId="15044" xr:uid="{00000000-0005-0000-0000-00001C610000}"/>
    <cellStyle name="40% - Accent2 2 4 2 3 3 4" xfId="20520" xr:uid="{00000000-0005-0000-0000-00001D610000}"/>
    <cellStyle name="40% - Accent2 2 4 2 3 3 5" xfId="25996" xr:uid="{00000000-0005-0000-0000-00001E610000}"/>
    <cellStyle name="40% - Accent2 2 4 2 3 3 6" xfId="37792" xr:uid="{00000000-0005-0000-0000-00001F610000}"/>
    <cellStyle name="40% - Accent2 2 4 2 3 3 7" xfId="43269" xr:uid="{00000000-0005-0000-0000-000020610000}"/>
    <cellStyle name="40% - Accent2 2 4 2 3 3 8" xfId="48746" xr:uid="{00000000-0005-0000-0000-000021610000}"/>
    <cellStyle name="40% - Accent2 2 4 2 3 3 9" xfId="54264" xr:uid="{00000000-0005-0000-0000-000022610000}"/>
    <cellStyle name="40% - Accent2 2 4 2 3 4" xfId="6381" xr:uid="{00000000-0005-0000-0000-000023610000}"/>
    <cellStyle name="40% - Accent2 2 4 2 3 5" xfId="11861" xr:uid="{00000000-0005-0000-0000-000024610000}"/>
    <cellStyle name="40% - Accent2 2 4 2 3 6" xfId="17337" xr:uid="{00000000-0005-0000-0000-000025610000}"/>
    <cellStyle name="40% - Accent2 2 4 2 3 7" xfId="22813" xr:uid="{00000000-0005-0000-0000-000026610000}"/>
    <cellStyle name="40% - Accent2 2 4 2 3 8" xfId="34608" xr:uid="{00000000-0005-0000-0000-000027610000}"/>
    <cellStyle name="40% - Accent2 2 4 2 3 9" xfId="40085" xr:uid="{00000000-0005-0000-0000-000028610000}"/>
    <cellStyle name="40% - Accent2 2 4 2 4" xfId="727" xr:uid="{00000000-0005-0000-0000-000029610000}"/>
    <cellStyle name="40% - Accent2 2 4 2 4 10" xfId="45563" xr:uid="{00000000-0005-0000-0000-00002A610000}"/>
    <cellStyle name="40% - Accent2 2 4 2 4 11" xfId="51041" xr:uid="{00000000-0005-0000-0000-00002B610000}"/>
    <cellStyle name="40% - Accent2 2 4 2 4 2" xfId="2488" xr:uid="{00000000-0005-0000-0000-00002C610000}"/>
    <cellStyle name="40% - Accent2 2 4 2 4 2 2" xfId="7968" xr:uid="{00000000-0005-0000-0000-00002D610000}"/>
    <cellStyle name="40% - Accent2 2 4 2 4 2 3" xfId="13444" xr:uid="{00000000-0005-0000-0000-00002E610000}"/>
    <cellStyle name="40% - Accent2 2 4 2 4 2 4" xfId="18920" xr:uid="{00000000-0005-0000-0000-00002F610000}"/>
    <cellStyle name="40% - Accent2 2 4 2 4 2 5" xfId="24396" xr:uid="{00000000-0005-0000-0000-000030610000}"/>
    <cellStyle name="40% - Accent2 2 4 2 4 2 6" xfId="36192" xr:uid="{00000000-0005-0000-0000-000031610000}"/>
    <cellStyle name="40% - Accent2 2 4 2 4 2 7" xfId="41669" xr:uid="{00000000-0005-0000-0000-000032610000}"/>
    <cellStyle name="40% - Accent2 2 4 2 4 2 8" xfId="47146" xr:uid="{00000000-0005-0000-0000-000033610000}"/>
    <cellStyle name="40% - Accent2 2 4 2 4 2 9" xfId="52664" xr:uid="{00000000-0005-0000-0000-000034610000}"/>
    <cellStyle name="40% - Accent2 2 4 2 4 3" xfId="4260" xr:uid="{00000000-0005-0000-0000-000035610000}"/>
    <cellStyle name="40% - Accent2 2 4 2 4 3 2" xfId="9740" xr:uid="{00000000-0005-0000-0000-000036610000}"/>
    <cellStyle name="40% - Accent2 2 4 2 4 3 3" xfId="15216" xr:uid="{00000000-0005-0000-0000-000037610000}"/>
    <cellStyle name="40% - Accent2 2 4 2 4 3 4" xfId="20692" xr:uid="{00000000-0005-0000-0000-000038610000}"/>
    <cellStyle name="40% - Accent2 2 4 2 4 3 5" xfId="26168" xr:uid="{00000000-0005-0000-0000-000039610000}"/>
    <cellStyle name="40% - Accent2 2 4 2 4 3 6" xfId="37964" xr:uid="{00000000-0005-0000-0000-00003A610000}"/>
    <cellStyle name="40% - Accent2 2 4 2 4 3 7" xfId="43441" xr:uid="{00000000-0005-0000-0000-00003B610000}"/>
    <cellStyle name="40% - Accent2 2 4 2 4 3 8" xfId="48918" xr:uid="{00000000-0005-0000-0000-00003C610000}"/>
    <cellStyle name="40% - Accent2 2 4 2 4 3 9" xfId="54436" xr:uid="{00000000-0005-0000-0000-00003D610000}"/>
    <cellStyle name="40% - Accent2 2 4 2 4 4" xfId="6382" xr:uid="{00000000-0005-0000-0000-00003E610000}"/>
    <cellStyle name="40% - Accent2 2 4 2 4 5" xfId="11862" xr:uid="{00000000-0005-0000-0000-00003F610000}"/>
    <cellStyle name="40% - Accent2 2 4 2 4 6" xfId="17338" xr:uid="{00000000-0005-0000-0000-000040610000}"/>
    <cellStyle name="40% - Accent2 2 4 2 4 7" xfId="22814" xr:uid="{00000000-0005-0000-0000-000041610000}"/>
    <cellStyle name="40% - Accent2 2 4 2 4 8" xfId="34609" xr:uid="{00000000-0005-0000-0000-000042610000}"/>
    <cellStyle name="40% - Accent2 2 4 2 4 9" xfId="40086" xr:uid="{00000000-0005-0000-0000-000043610000}"/>
    <cellStyle name="40% - Accent2 2 4 2 5" xfId="899" xr:uid="{00000000-0005-0000-0000-000044610000}"/>
    <cellStyle name="40% - Accent2 2 4 2 5 10" xfId="45564" xr:uid="{00000000-0005-0000-0000-000045610000}"/>
    <cellStyle name="40% - Accent2 2 4 2 5 11" xfId="51042" xr:uid="{00000000-0005-0000-0000-000046610000}"/>
    <cellStyle name="40% - Accent2 2 4 2 5 2" xfId="2660" xr:uid="{00000000-0005-0000-0000-000047610000}"/>
    <cellStyle name="40% - Accent2 2 4 2 5 2 2" xfId="8140" xr:uid="{00000000-0005-0000-0000-000048610000}"/>
    <cellStyle name="40% - Accent2 2 4 2 5 2 3" xfId="13616" xr:uid="{00000000-0005-0000-0000-000049610000}"/>
    <cellStyle name="40% - Accent2 2 4 2 5 2 4" xfId="19092" xr:uid="{00000000-0005-0000-0000-00004A610000}"/>
    <cellStyle name="40% - Accent2 2 4 2 5 2 5" xfId="24568" xr:uid="{00000000-0005-0000-0000-00004B610000}"/>
    <cellStyle name="40% - Accent2 2 4 2 5 2 6" xfId="36364" xr:uid="{00000000-0005-0000-0000-00004C610000}"/>
    <cellStyle name="40% - Accent2 2 4 2 5 2 7" xfId="41841" xr:uid="{00000000-0005-0000-0000-00004D610000}"/>
    <cellStyle name="40% - Accent2 2 4 2 5 2 8" xfId="47318" xr:uid="{00000000-0005-0000-0000-00004E610000}"/>
    <cellStyle name="40% - Accent2 2 4 2 5 2 9" xfId="52836" xr:uid="{00000000-0005-0000-0000-00004F610000}"/>
    <cellStyle name="40% - Accent2 2 4 2 5 3" xfId="4432" xr:uid="{00000000-0005-0000-0000-000050610000}"/>
    <cellStyle name="40% - Accent2 2 4 2 5 3 2" xfId="9912" xr:uid="{00000000-0005-0000-0000-000051610000}"/>
    <cellStyle name="40% - Accent2 2 4 2 5 3 3" xfId="15388" xr:uid="{00000000-0005-0000-0000-000052610000}"/>
    <cellStyle name="40% - Accent2 2 4 2 5 3 4" xfId="20864" xr:uid="{00000000-0005-0000-0000-000053610000}"/>
    <cellStyle name="40% - Accent2 2 4 2 5 3 5" xfId="26340" xr:uid="{00000000-0005-0000-0000-000054610000}"/>
    <cellStyle name="40% - Accent2 2 4 2 5 3 6" xfId="38136" xr:uid="{00000000-0005-0000-0000-000055610000}"/>
    <cellStyle name="40% - Accent2 2 4 2 5 3 7" xfId="43613" xr:uid="{00000000-0005-0000-0000-000056610000}"/>
    <cellStyle name="40% - Accent2 2 4 2 5 3 8" xfId="49090" xr:uid="{00000000-0005-0000-0000-000057610000}"/>
    <cellStyle name="40% - Accent2 2 4 2 5 3 9" xfId="54608" xr:uid="{00000000-0005-0000-0000-000058610000}"/>
    <cellStyle name="40% - Accent2 2 4 2 5 4" xfId="6383" xr:uid="{00000000-0005-0000-0000-000059610000}"/>
    <cellStyle name="40% - Accent2 2 4 2 5 5" xfId="11863" xr:uid="{00000000-0005-0000-0000-00005A610000}"/>
    <cellStyle name="40% - Accent2 2 4 2 5 6" xfId="17339" xr:uid="{00000000-0005-0000-0000-00005B610000}"/>
    <cellStyle name="40% - Accent2 2 4 2 5 7" xfId="22815" xr:uid="{00000000-0005-0000-0000-00005C610000}"/>
    <cellStyle name="40% - Accent2 2 4 2 5 8" xfId="34610" xr:uid="{00000000-0005-0000-0000-00005D610000}"/>
    <cellStyle name="40% - Accent2 2 4 2 5 9" xfId="40087" xr:uid="{00000000-0005-0000-0000-00005E610000}"/>
    <cellStyle name="40% - Accent2 2 4 2 6" xfId="1105" xr:uid="{00000000-0005-0000-0000-00005F610000}"/>
    <cellStyle name="40% - Accent2 2 4 2 6 10" xfId="45565" xr:uid="{00000000-0005-0000-0000-000060610000}"/>
    <cellStyle name="40% - Accent2 2 4 2 6 11" xfId="51043" xr:uid="{00000000-0005-0000-0000-000061610000}"/>
    <cellStyle name="40% - Accent2 2 4 2 6 2" xfId="2866" xr:uid="{00000000-0005-0000-0000-000062610000}"/>
    <cellStyle name="40% - Accent2 2 4 2 6 2 2" xfId="8346" xr:uid="{00000000-0005-0000-0000-000063610000}"/>
    <cellStyle name="40% - Accent2 2 4 2 6 2 3" xfId="13822" xr:uid="{00000000-0005-0000-0000-000064610000}"/>
    <cellStyle name="40% - Accent2 2 4 2 6 2 4" xfId="19298" xr:uid="{00000000-0005-0000-0000-000065610000}"/>
    <cellStyle name="40% - Accent2 2 4 2 6 2 5" xfId="24774" xr:uid="{00000000-0005-0000-0000-000066610000}"/>
    <cellStyle name="40% - Accent2 2 4 2 6 2 6" xfId="36570" xr:uid="{00000000-0005-0000-0000-000067610000}"/>
    <cellStyle name="40% - Accent2 2 4 2 6 2 7" xfId="42047" xr:uid="{00000000-0005-0000-0000-000068610000}"/>
    <cellStyle name="40% - Accent2 2 4 2 6 2 8" xfId="47524" xr:uid="{00000000-0005-0000-0000-000069610000}"/>
    <cellStyle name="40% - Accent2 2 4 2 6 2 9" xfId="53042" xr:uid="{00000000-0005-0000-0000-00006A610000}"/>
    <cellStyle name="40% - Accent2 2 4 2 6 3" xfId="4638" xr:uid="{00000000-0005-0000-0000-00006B610000}"/>
    <cellStyle name="40% - Accent2 2 4 2 6 3 2" xfId="10118" xr:uid="{00000000-0005-0000-0000-00006C610000}"/>
    <cellStyle name="40% - Accent2 2 4 2 6 3 3" xfId="15594" xr:uid="{00000000-0005-0000-0000-00006D610000}"/>
    <cellStyle name="40% - Accent2 2 4 2 6 3 4" xfId="21070" xr:uid="{00000000-0005-0000-0000-00006E610000}"/>
    <cellStyle name="40% - Accent2 2 4 2 6 3 5" xfId="26546" xr:uid="{00000000-0005-0000-0000-00006F610000}"/>
    <cellStyle name="40% - Accent2 2 4 2 6 3 6" xfId="38342" xr:uid="{00000000-0005-0000-0000-000070610000}"/>
    <cellStyle name="40% - Accent2 2 4 2 6 3 7" xfId="43819" xr:uid="{00000000-0005-0000-0000-000071610000}"/>
    <cellStyle name="40% - Accent2 2 4 2 6 3 8" xfId="49296" xr:uid="{00000000-0005-0000-0000-000072610000}"/>
    <cellStyle name="40% - Accent2 2 4 2 6 3 9" xfId="54814" xr:uid="{00000000-0005-0000-0000-000073610000}"/>
    <cellStyle name="40% - Accent2 2 4 2 6 4" xfId="6384" xr:uid="{00000000-0005-0000-0000-000074610000}"/>
    <cellStyle name="40% - Accent2 2 4 2 6 5" xfId="11864" xr:uid="{00000000-0005-0000-0000-000075610000}"/>
    <cellStyle name="40% - Accent2 2 4 2 6 6" xfId="17340" xr:uid="{00000000-0005-0000-0000-000076610000}"/>
    <cellStyle name="40% - Accent2 2 4 2 6 7" xfId="22816" xr:uid="{00000000-0005-0000-0000-000077610000}"/>
    <cellStyle name="40% - Accent2 2 4 2 6 8" xfId="34611" xr:uid="{00000000-0005-0000-0000-000078610000}"/>
    <cellStyle name="40% - Accent2 2 4 2 6 9" xfId="40088" xr:uid="{00000000-0005-0000-0000-000079610000}"/>
    <cellStyle name="40% - Accent2 2 4 2 7" xfId="1277" xr:uid="{00000000-0005-0000-0000-00007A610000}"/>
    <cellStyle name="40% - Accent2 2 4 2 7 10" xfId="45566" xr:uid="{00000000-0005-0000-0000-00007B610000}"/>
    <cellStyle name="40% - Accent2 2 4 2 7 11" xfId="51044" xr:uid="{00000000-0005-0000-0000-00007C610000}"/>
    <cellStyle name="40% - Accent2 2 4 2 7 2" xfId="3038" xr:uid="{00000000-0005-0000-0000-00007D610000}"/>
    <cellStyle name="40% - Accent2 2 4 2 7 2 2" xfId="8518" xr:uid="{00000000-0005-0000-0000-00007E610000}"/>
    <cellStyle name="40% - Accent2 2 4 2 7 2 3" xfId="13994" xr:uid="{00000000-0005-0000-0000-00007F610000}"/>
    <cellStyle name="40% - Accent2 2 4 2 7 2 4" xfId="19470" xr:uid="{00000000-0005-0000-0000-000080610000}"/>
    <cellStyle name="40% - Accent2 2 4 2 7 2 5" xfId="24946" xr:uid="{00000000-0005-0000-0000-000081610000}"/>
    <cellStyle name="40% - Accent2 2 4 2 7 2 6" xfId="36742" xr:uid="{00000000-0005-0000-0000-000082610000}"/>
    <cellStyle name="40% - Accent2 2 4 2 7 2 7" xfId="42219" xr:uid="{00000000-0005-0000-0000-000083610000}"/>
    <cellStyle name="40% - Accent2 2 4 2 7 2 8" xfId="47696" xr:uid="{00000000-0005-0000-0000-000084610000}"/>
    <cellStyle name="40% - Accent2 2 4 2 7 2 9" xfId="53214" xr:uid="{00000000-0005-0000-0000-000085610000}"/>
    <cellStyle name="40% - Accent2 2 4 2 7 3" xfId="4810" xr:uid="{00000000-0005-0000-0000-000086610000}"/>
    <cellStyle name="40% - Accent2 2 4 2 7 3 2" xfId="10290" xr:uid="{00000000-0005-0000-0000-000087610000}"/>
    <cellStyle name="40% - Accent2 2 4 2 7 3 3" xfId="15766" xr:uid="{00000000-0005-0000-0000-000088610000}"/>
    <cellStyle name="40% - Accent2 2 4 2 7 3 4" xfId="21242" xr:uid="{00000000-0005-0000-0000-000089610000}"/>
    <cellStyle name="40% - Accent2 2 4 2 7 3 5" xfId="26718" xr:uid="{00000000-0005-0000-0000-00008A610000}"/>
    <cellStyle name="40% - Accent2 2 4 2 7 3 6" xfId="38514" xr:uid="{00000000-0005-0000-0000-00008B610000}"/>
    <cellStyle name="40% - Accent2 2 4 2 7 3 7" xfId="43991" xr:uid="{00000000-0005-0000-0000-00008C610000}"/>
    <cellStyle name="40% - Accent2 2 4 2 7 3 8" xfId="49468" xr:uid="{00000000-0005-0000-0000-00008D610000}"/>
    <cellStyle name="40% - Accent2 2 4 2 7 3 9" xfId="54986" xr:uid="{00000000-0005-0000-0000-00008E610000}"/>
    <cellStyle name="40% - Accent2 2 4 2 7 4" xfId="6385" xr:uid="{00000000-0005-0000-0000-00008F610000}"/>
    <cellStyle name="40% - Accent2 2 4 2 7 5" xfId="11865" xr:uid="{00000000-0005-0000-0000-000090610000}"/>
    <cellStyle name="40% - Accent2 2 4 2 7 6" xfId="17341" xr:uid="{00000000-0005-0000-0000-000091610000}"/>
    <cellStyle name="40% - Accent2 2 4 2 7 7" xfId="22817" xr:uid="{00000000-0005-0000-0000-000092610000}"/>
    <cellStyle name="40% - Accent2 2 4 2 7 8" xfId="34612" xr:uid="{00000000-0005-0000-0000-000093610000}"/>
    <cellStyle name="40% - Accent2 2 4 2 7 9" xfId="40089" xr:uid="{00000000-0005-0000-0000-000094610000}"/>
    <cellStyle name="40% - Accent2 2 4 2 8" xfId="1449" xr:uid="{00000000-0005-0000-0000-000095610000}"/>
    <cellStyle name="40% - Accent2 2 4 2 8 10" xfId="45567" xr:uid="{00000000-0005-0000-0000-000096610000}"/>
    <cellStyle name="40% - Accent2 2 4 2 8 11" xfId="51045" xr:uid="{00000000-0005-0000-0000-000097610000}"/>
    <cellStyle name="40% - Accent2 2 4 2 8 2" xfId="3210" xr:uid="{00000000-0005-0000-0000-000098610000}"/>
    <cellStyle name="40% - Accent2 2 4 2 8 2 2" xfId="8690" xr:uid="{00000000-0005-0000-0000-000099610000}"/>
    <cellStyle name="40% - Accent2 2 4 2 8 2 3" xfId="14166" xr:uid="{00000000-0005-0000-0000-00009A610000}"/>
    <cellStyle name="40% - Accent2 2 4 2 8 2 4" xfId="19642" xr:uid="{00000000-0005-0000-0000-00009B610000}"/>
    <cellStyle name="40% - Accent2 2 4 2 8 2 5" xfId="25118" xr:uid="{00000000-0005-0000-0000-00009C610000}"/>
    <cellStyle name="40% - Accent2 2 4 2 8 2 6" xfId="36914" xr:uid="{00000000-0005-0000-0000-00009D610000}"/>
    <cellStyle name="40% - Accent2 2 4 2 8 2 7" xfId="42391" xr:uid="{00000000-0005-0000-0000-00009E610000}"/>
    <cellStyle name="40% - Accent2 2 4 2 8 2 8" xfId="47868" xr:uid="{00000000-0005-0000-0000-00009F610000}"/>
    <cellStyle name="40% - Accent2 2 4 2 8 2 9" xfId="53386" xr:uid="{00000000-0005-0000-0000-0000A0610000}"/>
    <cellStyle name="40% - Accent2 2 4 2 8 3" xfId="4982" xr:uid="{00000000-0005-0000-0000-0000A1610000}"/>
    <cellStyle name="40% - Accent2 2 4 2 8 3 2" xfId="10462" xr:uid="{00000000-0005-0000-0000-0000A2610000}"/>
    <cellStyle name="40% - Accent2 2 4 2 8 3 3" xfId="15938" xr:uid="{00000000-0005-0000-0000-0000A3610000}"/>
    <cellStyle name="40% - Accent2 2 4 2 8 3 4" xfId="21414" xr:uid="{00000000-0005-0000-0000-0000A4610000}"/>
    <cellStyle name="40% - Accent2 2 4 2 8 3 5" xfId="26890" xr:uid="{00000000-0005-0000-0000-0000A5610000}"/>
    <cellStyle name="40% - Accent2 2 4 2 8 3 6" xfId="38686" xr:uid="{00000000-0005-0000-0000-0000A6610000}"/>
    <cellStyle name="40% - Accent2 2 4 2 8 3 7" xfId="44163" xr:uid="{00000000-0005-0000-0000-0000A7610000}"/>
    <cellStyle name="40% - Accent2 2 4 2 8 3 8" xfId="49640" xr:uid="{00000000-0005-0000-0000-0000A8610000}"/>
    <cellStyle name="40% - Accent2 2 4 2 8 3 9" xfId="55158" xr:uid="{00000000-0005-0000-0000-0000A9610000}"/>
    <cellStyle name="40% - Accent2 2 4 2 8 4" xfId="6386" xr:uid="{00000000-0005-0000-0000-0000AA610000}"/>
    <cellStyle name="40% - Accent2 2 4 2 8 5" xfId="11866" xr:uid="{00000000-0005-0000-0000-0000AB610000}"/>
    <cellStyle name="40% - Accent2 2 4 2 8 6" xfId="17342" xr:uid="{00000000-0005-0000-0000-0000AC610000}"/>
    <cellStyle name="40% - Accent2 2 4 2 8 7" xfId="22818" xr:uid="{00000000-0005-0000-0000-0000AD610000}"/>
    <cellStyle name="40% - Accent2 2 4 2 8 8" xfId="34613" xr:uid="{00000000-0005-0000-0000-0000AE610000}"/>
    <cellStyle name="40% - Accent2 2 4 2 8 9" xfId="40090" xr:uid="{00000000-0005-0000-0000-0000AF610000}"/>
    <cellStyle name="40% - Accent2 2 4 2 9" xfId="1621" xr:uid="{00000000-0005-0000-0000-0000B0610000}"/>
    <cellStyle name="40% - Accent2 2 4 2 9 10" xfId="45568" xr:uid="{00000000-0005-0000-0000-0000B1610000}"/>
    <cellStyle name="40% - Accent2 2 4 2 9 11" xfId="51046" xr:uid="{00000000-0005-0000-0000-0000B2610000}"/>
    <cellStyle name="40% - Accent2 2 4 2 9 2" xfId="3382" xr:uid="{00000000-0005-0000-0000-0000B3610000}"/>
    <cellStyle name="40% - Accent2 2 4 2 9 2 2" xfId="8862" xr:uid="{00000000-0005-0000-0000-0000B4610000}"/>
    <cellStyle name="40% - Accent2 2 4 2 9 2 3" xfId="14338" xr:uid="{00000000-0005-0000-0000-0000B5610000}"/>
    <cellStyle name="40% - Accent2 2 4 2 9 2 4" xfId="19814" xr:uid="{00000000-0005-0000-0000-0000B6610000}"/>
    <cellStyle name="40% - Accent2 2 4 2 9 2 5" xfId="25290" xr:uid="{00000000-0005-0000-0000-0000B7610000}"/>
    <cellStyle name="40% - Accent2 2 4 2 9 2 6" xfId="37086" xr:uid="{00000000-0005-0000-0000-0000B8610000}"/>
    <cellStyle name="40% - Accent2 2 4 2 9 2 7" xfId="42563" xr:uid="{00000000-0005-0000-0000-0000B9610000}"/>
    <cellStyle name="40% - Accent2 2 4 2 9 2 8" xfId="48040" xr:uid="{00000000-0005-0000-0000-0000BA610000}"/>
    <cellStyle name="40% - Accent2 2 4 2 9 2 9" xfId="53558" xr:uid="{00000000-0005-0000-0000-0000BB610000}"/>
    <cellStyle name="40% - Accent2 2 4 2 9 3" xfId="5154" xr:uid="{00000000-0005-0000-0000-0000BC610000}"/>
    <cellStyle name="40% - Accent2 2 4 2 9 3 2" xfId="10634" xr:uid="{00000000-0005-0000-0000-0000BD610000}"/>
    <cellStyle name="40% - Accent2 2 4 2 9 3 3" xfId="16110" xr:uid="{00000000-0005-0000-0000-0000BE610000}"/>
    <cellStyle name="40% - Accent2 2 4 2 9 3 4" xfId="21586" xr:uid="{00000000-0005-0000-0000-0000BF610000}"/>
    <cellStyle name="40% - Accent2 2 4 2 9 3 5" xfId="27062" xr:uid="{00000000-0005-0000-0000-0000C0610000}"/>
    <cellStyle name="40% - Accent2 2 4 2 9 3 6" xfId="38858" xr:uid="{00000000-0005-0000-0000-0000C1610000}"/>
    <cellStyle name="40% - Accent2 2 4 2 9 3 7" xfId="44335" xr:uid="{00000000-0005-0000-0000-0000C2610000}"/>
    <cellStyle name="40% - Accent2 2 4 2 9 3 8" xfId="49812" xr:uid="{00000000-0005-0000-0000-0000C3610000}"/>
    <cellStyle name="40% - Accent2 2 4 2 9 3 9" xfId="55330" xr:uid="{00000000-0005-0000-0000-0000C4610000}"/>
    <cellStyle name="40% - Accent2 2 4 2 9 4" xfId="6387" xr:uid="{00000000-0005-0000-0000-0000C5610000}"/>
    <cellStyle name="40% - Accent2 2 4 2 9 5" xfId="11867" xr:uid="{00000000-0005-0000-0000-0000C6610000}"/>
    <cellStyle name="40% - Accent2 2 4 2 9 6" xfId="17343" xr:uid="{00000000-0005-0000-0000-0000C7610000}"/>
    <cellStyle name="40% - Accent2 2 4 2 9 7" xfId="22819" xr:uid="{00000000-0005-0000-0000-0000C8610000}"/>
    <cellStyle name="40% - Accent2 2 4 2 9 8" xfId="34614" xr:uid="{00000000-0005-0000-0000-0000C9610000}"/>
    <cellStyle name="40% - Accent2 2 4 2 9 9" xfId="40091" xr:uid="{00000000-0005-0000-0000-0000CA610000}"/>
    <cellStyle name="40% - Accent2 2 4 20" xfId="40079" xr:uid="{00000000-0005-0000-0000-0000CB610000}"/>
    <cellStyle name="40% - Accent2 2 4 21" xfId="45556" xr:uid="{00000000-0005-0000-0000-0000CC610000}"/>
    <cellStyle name="40% - Accent2 2 4 22" xfId="51034" xr:uid="{00000000-0005-0000-0000-0000CD610000}"/>
    <cellStyle name="40% - Accent2 2 4 3" xfId="353" xr:uid="{00000000-0005-0000-0000-0000CE610000}"/>
    <cellStyle name="40% - Accent2 2 4 3 10" xfId="40092" xr:uid="{00000000-0005-0000-0000-0000CF610000}"/>
    <cellStyle name="40% - Accent2 2 4 3 11" xfId="45569" xr:uid="{00000000-0005-0000-0000-0000D0610000}"/>
    <cellStyle name="40% - Accent2 2 4 3 12" xfId="51047" xr:uid="{00000000-0005-0000-0000-0000D1610000}"/>
    <cellStyle name="40% - Accent2 2 4 3 2" xfId="2148" xr:uid="{00000000-0005-0000-0000-0000D2610000}"/>
    <cellStyle name="40% - Accent2 2 4 3 2 2" xfId="7628" xr:uid="{00000000-0005-0000-0000-0000D3610000}"/>
    <cellStyle name="40% - Accent2 2 4 3 2 3" xfId="13104" xr:uid="{00000000-0005-0000-0000-0000D4610000}"/>
    <cellStyle name="40% - Accent2 2 4 3 2 4" xfId="18580" xr:uid="{00000000-0005-0000-0000-0000D5610000}"/>
    <cellStyle name="40% - Accent2 2 4 3 2 5" xfId="24056" xr:uid="{00000000-0005-0000-0000-0000D6610000}"/>
    <cellStyle name="40% - Accent2 2 4 3 2 6" xfId="35852" xr:uid="{00000000-0005-0000-0000-0000D7610000}"/>
    <cellStyle name="40% - Accent2 2 4 3 2 7" xfId="41329" xr:uid="{00000000-0005-0000-0000-0000D8610000}"/>
    <cellStyle name="40% - Accent2 2 4 3 2 8" xfId="46806" xr:uid="{00000000-0005-0000-0000-0000D9610000}"/>
    <cellStyle name="40% - Accent2 2 4 3 2 9" xfId="52324" xr:uid="{00000000-0005-0000-0000-0000DA610000}"/>
    <cellStyle name="40% - Accent2 2 4 3 3" xfId="3915" xr:uid="{00000000-0005-0000-0000-0000DB610000}"/>
    <cellStyle name="40% - Accent2 2 4 3 3 2" xfId="9395" xr:uid="{00000000-0005-0000-0000-0000DC610000}"/>
    <cellStyle name="40% - Accent2 2 4 3 3 3" xfId="14871" xr:uid="{00000000-0005-0000-0000-0000DD610000}"/>
    <cellStyle name="40% - Accent2 2 4 3 3 4" xfId="20347" xr:uid="{00000000-0005-0000-0000-0000DE610000}"/>
    <cellStyle name="40% - Accent2 2 4 3 3 5" xfId="25823" xr:uid="{00000000-0005-0000-0000-0000DF610000}"/>
    <cellStyle name="40% - Accent2 2 4 3 3 6" xfId="37619" xr:uid="{00000000-0005-0000-0000-0000E0610000}"/>
    <cellStyle name="40% - Accent2 2 4 3 3 7" xfId="43096" xr:uid="{00000000-0005-0000-0000-0000E1610000}"/>
    <cellStyle name="40% - Accent2 2 4 3 3 8" xfId="48573" xr:uid="{00000000-0005-0000-0000-0000E2610000}"/>
    <cellStyle name="40% - Accent2 2 4 3 3 9" xfId="54091" xr:uid="{00000000-0005-0000-0000-0000E3610000}"/>
    <cellStyle name="40% - Accent2 2 4 3 4" xfId="6388" xr:uid="{00000000-0005-0000-0000-0000E4610000}"/>
    <cellStyle name="40% - Accent2 2 4 3 5" xfId="11868" xr:uid="{00000000-0005-0000-0000-0000E5610000}"/>
    <cellStyle name="40% - Accent2 2 4 3 6" xfId="17344" xr:uid="{00000000-0005-0000-0000-0000E6610000}"/>
    <cellStyle name="40% - Accent2 2 4 3 7" xfId="22820" xr:uid="{00000000-0005-0000-0000-0000E7610000}"/>
    <cellStyle name="40% - Accent2 2 4 3 8" xfId="30824" xr:uid="{00000000-0005-0000-0000-0000E8610000}"/>
    <cellStyle name="40% - Accent2 2 4 3 9" xfId="34615" xr:uid="{00000000-0005-0000-0000-0000E9610000}"/>
    <cellStyle name="40% - Accent2 2 4 4" xfId="554" xr:uid="{00000000-0005-0000-0000-0000EA610000}"/>
    <cellStyle name="40% - Accent2 2 4 4 10" xfId="45570" xr:uid="{00000000-0005-0000-0000-0000EB610000}"/>
    <cellStyle name="40% - Accent2 2 4 4 11" xfId="51048" xr:uid="{00000000-0005-0000-0000-0000EC610000}"/>
    <cellStyle name="40% - Accent2 2 4 4 2" xfId="2315" xr:uid="{00000000-0005-0000-0000-0000ED610000}"/>
    <cellStyle name="40% - Accent2 2 4 4 2 2" xfId="7795" xr:uid="{00000000-0005-0000-0000-0000EE610000}"/>
    <cellStyle name="40% - Accent2 2 4 4 2 3" xfId="13271" xr:uid="{00000000-0005-0000-0000-0000EF610000}"/>
    <cellStyle name="40% - Accent2 2 4 4 2 4" xfId="18747" xr:uid="{00000000-0005-0000-0000-0000F0610000}"/>
    <cellStyle name="40% - Accent2 2 4 4 2 5" xfId="24223" xr:uid="{00000000-0005-0000-0000-0000F1610000}"/>
    <cellStyle name="40% - Accent2 2 4 4 2 6" xfId="36019" xr:uid="{00000000-0005-0000-0000-0000F2610000}"/>
    <cellStyle name="40% - Accent2 2 4 4 2 7" xfId="41496" xr:uid="{00000000-0005-0000-0000-0000F3610000}"/>
    <cellStyle name="40% - Accent2 2 4 4 2 8" xfId="46973" xr:uid="{00000000-0005-0000-0000-0000F4610000}"/>
    <cellStyle name="40% - Accent2 2 4 4 2 9" xfId="52491" xr:uid="{00000000-0005-0000-0000-0000F5610000}"/>
    <cellStyle name="40% - Accent2 2 4 4 3" xfId="4087" xr:uid="{00000000-0005-0000-0000-0000F6610000}"/>
    <cellStyle name="40% - Accent2 2 4 4 3 2" xfId="9567" xr:uid="{00000000-0005-0000-0000-0000F7610000}"/>
    <cellStyle name="40% - Accent2 2 4 4 3 3" xfId="15043" xr:uid="{00000000-0005-0000-0000-0000F8610000}"/>
    <cellStyle name="40% - Accent2 2 4 4 3 4" xfId="20519" xr:uid="{00000000-0005-0000-0000-0000F9610000}"/>
    <cellStyle name="40% - Accent2 2 4 4 3 5" xfId="25995" xr:uid="{00000000-0005-0000-0000-0000FA610000}"/>
    <cellStyle name="40% - Accent2 2 4 4 3 6" xfId="37791" xr:uid="{00000000-0005-0000-0000-0000FB610000}"/>
    <cellStyle name="40% - Accent2 2 4 4 3 7" xfId="43268" xr:uid="{00000000-0005-0000-0000-0000FC610000}"/>
    <cellStyle name="40% - Accent2 2 4 4 3 8" xfId="48745" xr:uid="{00000000-0005-0000-0000-0000FD610000}"/>
    <cellStyle name="40% - Accent2 2 4 4 3 9" xfId="54263" xr:uid="{00000000-0005-0000-0000-0000FE610000}"/>
    <cellStyle name="40% - Accent2 2 4 4 4" xfId="6389" xr:uid="{00000000-0005-0000-0000-0000FF610000}"/>
    <cellStyle name="40% - Accent2 2 4 4 5" xfId="11869" xr:uid="{00000000-0005-0000-0000-000000620000}"/>
    <cellStyle name="40% - Accent2 2 4 4 6" xfId="17345" xr:uid="{00000000-0005-0000-0000-000001620000}"/>
    <cellStyle name="40% - Accent2 2 4 4 7" xfId="22821" xr:uid="{00000000-0005-0000-0000-000002620000}"/>
    <cellStyle name="40% - Accent2 2 4 4 8" xfId="34616" xr:uid="{00000000-0005-0000-0000-000003620000}"/>
    <cellStyle name="40% - Accent2 2 4 4 9" xfId="40093" xr:uid="{00000000-0005-0000-0000-000004620000}"/>
    <cellStyle name="40% - Accent2 2 4 5" xfId="726" xr:uid="{00000000-0005-0000-0000-000005620000}"/>
    <cellStyle name="40% - Accent2 2 4 5 10" xfId="45571" xr:uid="{00000000-0005-0000-0000-000006620000}"/>
    <cellStyle name="40% - Accent2 2 4 5 11" xfId="51049" xr:uid="{00000000-0005-0000-0000-000007620000}"/>
    <cellStyle name="40% - Accent2 2 4 5 2" xfId="2487" xr:uid="{00000000-0005-0000-0000-000008620000}"/>
    <cellStyle name="40% - Accent2 2 4 5 2 2" xfId="7967" xr:uid="{00000000-0005-0000-0000-000009620000}"/>
    <cellStyle name="40% - Accent2 2 4 5 2 3" xfId="13443" xr:uid="{00000000-0005-0000-0000-00000A620000}"/>
    <cellStyle name="40% - Accent2 2 4 5 2 4" xfId="18919" xr:uid="{00000000-0005-0000-0000-00000B620000}"/>
    <cellStyle name="40% - Accent2 2 4 5 2 5" xfId="24395" xr:uid="{00000000-0005-0000-0000-00000C620000}"/>
    <cellStyle name="40% - Accent2 2 4 5 2 6" xfId="36191" xr:uid="{00000000-0005-0000-0000-00000D620000}"/>
    <cellStyle name="40% - Accent2 2 4 5 2 7" xfId="41668" xr:uid="{00000000-0005-0000-0000-00000E620000}"/>
    <cellStyle name="40% - Accent2 2 4 5 2 8" xfId="47145" xr:uid="{00000000-0005-0000-0000-00000F620000}"/>
    <cellStyle name="40% - Accent2 2 4 5 2 9" xfId="52663" xr:uid="{00000000-0005-0000-0000-000010620000}"/>
    <cellStyle name="40% - Accent2 2 4 5 3" xfId="4259" xr:uid="{00000000-0005-0000-0000-000011620000}"/>
    <cellStyle name="40% - Accent2 2 4 5 3 2" xfId="9739" xr:uid="{00000000-0005-0000-0000-000012620000}"/>
    <cellStyle name="40% - Accent2 2 4 5 3 3" xfId="15215" xr:uid="{00000000-0005-0000-0000-000013620000}"/>
    <cellStyle name="40% - Accent2 2 4 5 3 4" xfId="20691" xr:uid="{00000000-0005-0000-0000-000014620000}"/>
    <cellStyle name="40% - Accent2 2 4 5 3 5" xfId="26167" xr:uid="{00000000-0005-0000-0000-000015620000}"/>
    <cellStyle name="40% - Accent2 2 4 5 3 6" xfId="37963" xr:uid="{00000000-0005-0000-0000-000016620000}"/>
    <cellStyle name="40% - Accent2 2 4 5 3 7" xfId="43440" xr:uid="{00000000-0005-0000-0000-000017620000}"/>
    <cellStyle name="40% - Accent2 2 4 5 3 8" xfId="48917" xr:uid="{00000000-0005-0000-0000-000018620000}"/>
    <cellStyle name="40% - Accent2 2 4 5 3 9" xfId="54435" xr:uid="{00000000-0005-0000-0000-000019620000}"/>
    <cellStyle name="40% - Accent2 2 4 5 4" xfId="6390" xr:uid="{00000000-0005-0000-0000-00001A620000}"/>
    <cellStyle name="40% - Accent2 2 4 5 5" xfId="11870" xr:uid="{00000000-0005-0000-0000-00001B620000}"/>
    <cellStyle name="40% - Accent2 2 4 5 6" xfId="17346" xr:uid="{00000000-0005-0000-0000-00001C620000}"/>
    <cellStyle name="40% - Accent2 2 4 5 7" xfId="22822" xr:uid="{00000000-0005-0000-0000-00001D620000}"/>
    <cellStyle name="40% - Accent2 2 4 5 8" xfId="34617" xr:uid="{00000000-0005-0000-0000-00001E620000}"/>
    <cellStyle name="40% - Accent2 2 4 5 9" xfId="40094" xr:uid="{00000000-0005-0000-0000-00001F620000}"/>
    <cellStyle name="40% - Accent2 2 4 6" xfId="898" xr:uid="{00000000-0005-0000-0000-000020620000}"/>
    <cellStyle name="40% - Accent2 2 4 6 10" xfId="45572" xr:uid="{00000000-0005-0000-0000-000021620000}"/>
    <cellStyle name="40% - Accent2 2 4 6 11" xfId="51050" xr:uid="{00000000-0005-0000-0000-000022620000}"/>
    <cellStyle name="40% - Accent2 2 4 6 2" xfId="2659" xr:uid="{00000000-0005-0000-0000-000023620000}"/>
    <cellStyle name="40% - Accent2 2 4 6 2 2" xfId="8139" xr:uid="{00000000-0005-0000-0000-000024620000}"/>
    <cellStyle name="40% - Accent2 2 4 6 2 3" xfId="13615" xr:uid="{00000000-0005-0000-0000-000025620000}"/>
    <cellStyle name="40% - Accent2 2 4 6 2 4" xfId="19091" xr:uid="{00000000-0005-0000-0000-000026620000}"/>
    <cellStyle name="40% - Accent2 2 4 6 2 5" xfId="24567" xr:uid="{00000000-0005-0000-0000-000027620000}"/>
    <cellStyle name="40% - Accent2 2 4 6 2 6" xfId="36363" xr:uid="{00000000-0005-0000-0000-000028620000}"/>
    <cellStyle name="40% - Accent2 2 4 6 2 7" xfId="41840" xr:uid="{00000000-0005-0000-0000-000029620000}"/>
    <cellStyle name="40% - Accent2 2 4 6 2 8" xfId="47317" xr:uid="{00000000-0005-0000-0000-00002A620000}"/>
    <cellStyle name="40% - Accent2 2 4 6 2 9" xfId="52835" xr:uid="{00000000-0005-0000-0000-00002B620000}"/>
    <cellStyle name="40% - Accent2 2 4 6 3" xfId="4431" xr:uid="{00000000-0005-0000-0000-00002C620000}"/>
    <cellStyle name="40% - Accent2 2 4 6 3 2" xfId="9911" xr:uid="{00000000-0005-0000-0000-00002D620000}"/>
    <cellStyle name="40% - Accent2 2 4 6 3 3" xfId="15387" xr:uid="{00000000-0005-0000-0000-00002E620000}"/>
    <cellStyle name="40% - Accent2 2 4 6 3 4" xfId="20863" xr:uid="{00000000-0005-0000-0000-00002F620000}"/>
    <cellStyle name="40% - Accent2 2 4 6 3 5" xfId="26339" xr:uid="{00000000-0005-0000-0000-000030620000}"/>
    <cellStyle name="40% - Accent2 2 4 6 3 6" xfId="38135" xr:uid="{00000000-0005-0000-0000-000031620000}"/>
    <cellStyle name="40% - Accent2 2 4 6 3 7" xfId="43612" xr:uid="{00000000-0005-0000-0000-000032620000}"/>
    <cellStyle name="40% - Accent2 2 4 6 3 8" xfId="49089" xr:uid="{00000000-0005-0000-0000-000033620000}"/>
    <cellStyle name="40% - Accent2 2 4 6 3 9" xfId="54607" xr:uid="{00000000-0005-0000-0000-000034620000}"/>
    <cellStyle name="40% - Accent2 2 4 6 4" xfId="6391" xr:uid="{00000000-0005-0000-0000-000035620000}"/>
    <cellStyle name="40% - Accent2 2 4 6 5" xfId="11871" xr:uid="{00000000-0005-0000-0000-000036620000}"/>
    <cellStyle name="40% - Accent2 2 4 6 6" xfId="17347" xr:uid="{00000000-0005-0000-0000-000037620000}"/>
    <cellStyle name="40% - Accent2 2 4 6 7" xfId="22823" xr:uid="{00000000-0005-0000-0000-000038620000}"/>
    <cellStyle name="40% - Accent2 2 4 6 8" xfId="34618" xr:uid="{00000000-0005-0000-0000-000039620000}"/>
    <cellStyle name="40% - Accent2 2 4 6 9" xfId="40095" xr:uid="{00000000-0005-0000-0000-00003A620000}"/>
    <cellStyle name="40% - Accent2 2 4 7" xfId="1104" xr:uid="{00000000-0005-0000-0000-00003B620000}"/>
    <cellStyle name="40% - Accent2 2 4 7 10" xfId="45573" xr:uid="{00000000-0005-0000-0000-00003C620000}"/>
    <cellStyle name="40% - Accent2 2 4 7 11" xfId="51051" xr:uid="{00000000-0005-0000-0000-00003D620000}"/>
    <cellStyle name="40% - Accent2 2 4 7 2" xfId="2865" xr:uid="{00000000-0005-0000-0000-00003E620000}"/>
    <cellStyle name="40% - Accent2 2 4 7 2 2" xfId="8345" xr:uid="{00000000-0005-0000-0000-00003F620000}"/>
    <cellStyle name="40% - Accent2 2 4 7 2 3" xfId="13821" xr:uid="{00000000-0005-0000-0000-000040620000}"/>
    <cellStyle name="40% - Accent2 2 4 7 2 4" xfId="19297" xr:uid="{00000000-0005-0000-0000-000041620000}"/>
    <cellStyle name="40% - Accent2 2 4 7 2 5" xfId="24773" xr:uid="{00000000-0005-0000-0000-000042620000}"/>
    <cellStyle name="40% - Accent2 2 4 7 2 6" xfId="36569" xr:uid="{00000000-0005-0000-0000-000043620000}"/>
    <cellStyle name="40% - Accent2 2 4 7 2 7" xfId="42046" xr:uid="{00000000-0005-0000-0000-000044620000}"/>
    <cellStyle name="40% - Accent2 2 4 7 2 8" xfId="47523" xr:uid="{00000000-0005-0000-0000-000045620000}"/>
    <cellStyle name="40% - Accent2 2 4 7 2 9" xfId="53041" xr:uid="{00000000-0005-0000-0000-000046620000}"/>
    <cellStyle name="40% - Accent2 2 4 7 3" xfId="4637" xr:uid="{00000000-0005-0000-0000-000047620000}"/>
    <cellStyle name="40% - Accent2 2 4 7 3 2" xfId="10117" xr:uid="{00000000-0005-0000-0000-000048620000}"/>
    <cellStyle name="40% - Accent2 2 4 7 3 3" xfId="15593" xr:uid="{00000000-0005-0000-0000-000049620000}"/>
    <cellStyle name="40% - Accent2 2 4 7 3 4" xfId="21069" xr:uid="{00000000-0005-0000-0000-00004A620000}"/>
    <cellStyle name="40% - Accent2 2 4 7 3 5" xfId="26545" xr:uid="{00000000-0005-0000-0000-00004B620000}"/>
    <cellStyle name="40% - Accent2 2 4 7 3 6" xfId="38341" xr:uid="{00000000-0005-0000-0000-00004C620000}"/>
    <cellStyle name="40% - Accent2 2 4 7 3 7" xfId="43818" xr:uid="{00000000-0005-0000-0000-00004D620000}"/>
    <cellStyle name="40% - Accent2 2 4 7 3 8" xfId="49295" xr:uid="{00000000-0005-0000-0000-00004E620000}"/>
    <cellStyle name="40% - Accent2 2 4 7 3 9" xfId="54813" xr:uid="{00000000-0005-0000-0000-00004F620000}"/>
    <cellStyle name="40% - Accent2 2 4 7 4" xfId="6392" xr:uid="{00000000-0005-0000-0000-000050620000}"/>
    <cellStyle name="40% - Accent2 2 4 7 5" xfId="11872" xr:uid="{00000000-0005-0000-0000-000051620000}"/>
    <cellStyle name="40% - Accent2 2 4 7 6" xfId="17348" xr:uid="{00000000-0005-0000-0000-000052620000}"/>
    <cellStyle name="40% - Accent2 2 4 7 7" xfId="22824" xr:uid="{00000000-0005-0000-0000-000053620000}"/>
    <cellStyle name="40% - Accent2 2 4 7 8" xfId="34619" xr:uid="{00000000-0005-0000-0000-000054620000}"/>
    <cellStyle name="40% - Accent2 2 4 7 9" xfId="40096" xr:uid="{00000000-0005-0000-0000-000055620000}"/>
    <cellStyle name="40% - Accent2 2 4 8" xfId="1276" xr:uid="{00000000-0005-0000-0000-000056620000}"/>
    <cellStyle name="40% - Accent2 2 4 8 10" xfId="45574" xr:uid="{00000000-0005-0000-0000-000057620000}"/>
    <cellStyle name="40% - Accent2 2 4 8 11" xfId="51052" xr:uid="{00000000-0005-0000-0000-000058620000}"/>
    <cellStyle name="40% - Accent2 2 4 8 2" xfId="3037" xr:uid="{00000000-0005-0000-0000-000059620000}"/>
    <cellStyle name="40% - Accent2 2 4 8 2 2" xfId="8517" xr:uid="{00000000-0005-0000-0000-00005A620000}"/>
    <cellStyle name="40% - Accent2 2 4 8 2 3" xfId="13993" xr:uid="{00000000-0005-0000-0000-00005B620000}"/>
    <cellStyle name="40% - Accent2 2 4 8 2 4" xfId="19469" xr:uid="{00000000-0005-0000-0000-00005C620000}"/>
    <cellStyle name="40% - Accent2 2 4 8 2 5" xfId="24945" xr:uid="{00000000-0005-0000-0000-00005D620000}"/>
    <cellStyle name="40% - Accent2 2 4 8 2 6" xfId="36741" xr:uid="{00000000-0005-0000-0000-00005E620000}"/>
    <cellStyle name="40% - Accent2 2 4 8 2 7" xfId="42218" xr:uid="{00000000-0005-0000-0000-00005F620000}"/>
    <cellStyle name="40% - Accent2 2 4 8 2 8" xfId="47695" xr:uid="{00000000-0005-0000-0000-000060620000}"/>
    <cellStyle name="40% - Accent2 2 4 8 2 9" xfId="53213" xr:uid="{00000000-0005-0000-0000-000061620000}"/>
    <cellStyle name="40% - Accent2 2 4 8 3" xfId="4809" xr:uid="{00000000-0005-0000-0000-000062620000}"/>
    <cellStyle name="40% - Accent2 2 4 8 3 2" xfId="10289" xr:uid="{00000000-0005-0000-0000-000063620000}"/>
    <cellStyle name="40% - Accent2 2 4 8 3 3" xfId="15765" xr:uid="{00000000-0005-0000-0000-000064620000}"/>
    <cellStyle name="40% - Accent2 2 4 8 3 4" xfId="21241" xr:uid="{00000000-0005-0000-0000-000065620000}"/>
    <cellStyle name="40% - Accent2 2 4 8 3 5" xfId="26717" xr:uid="{00000000-0005-0000-0000-000066620000}"/>
    <cellStyle name="40% - Accent2 2 4 8 3 6" xfId="38513" xr:uid="{00000000-0005-0000-0000-000067620000}"/>
    <cellStyle name="40% - Accent2 2 4 8 3 7" xfId="43990" xr:uid="{00000000-0005-0000-0000-000068620000}"/>
    <cellStyle name="40% - Accent2 2 4 8 3 8" xfId="49467" xr:uid="{00000000-0005-0000-0000-000069620000}"/>
    <cellStyle name="40% - Accent2 2 4 8 3 9" xfId="54985" xr:uid="{00000000-0005-0000-0000-00006A620000}"/>
    <cellStyle name="40% - Accent2 2 4 8 4" xfId="6393" xr:uid="{00000000-0005-0000-0000-00006B620000}"/>
    <cellStyle name="40% - Accent2 2 4 8 5" xfId="11873" xr:uid="{00000000-0005-0000-0000-00006C620000}"/>
    <cellStyle name="40% - Accent2 2 4 8 6" xfId="17349" xr:uid="{00000000-0005-0000-0000-00006D620000}"/>
    <cellStyle name="40% - Accent2 2 4 8 7" xfId="22825" xr:uid="{00000000-0005-0000-0000-00006E620000}"/>
    <cellStyle name="40% - Accent2 2 4 8 8" xfId="34620" xr:uid="{00000000-0005-0000-0000-00006F620000}"/>
    <cellStyle name="40% - Accent2 2 4 8 9" xfId="40097" xr:uid="{00000000-0005-0000-0000-000070620000}"/>
    <cellStyle name="40% - Accent2 2 4 9" xfId="1448" xr:uid="{00000000-0005-0000-0000-000071620000}"/>
    <cellStyle name="40% - Accent2 2 4 9 10" xfId="45575" xr:uid="{00000000-0005-0000-0000-000072620000}"/>
    <cellStyle name="40% - Accent2 2 4 9 11" xfId="51053" xr:uid="{00000000-0005-0000-0000-000073620000}"/>
    <cellStyle name="40% - Accent2 2 4 9 2" xfId="3209" xr:uid="{00000000-0005-0000-0000-000074620000}"/>
    <cellStyle name="40% - Accent2 2 4 9 2 2" xfId="8689" xr:uid="{00000000-0005-0000-0000-000075620000}"/>
    <cellStyle name="40% - Accent2 2 4 9 2 3" xfId="14165" xr:uid="{00000000-0005-0000-0000-000076620000}"/>
    <cellStyle name="40% - Accent2 2 4 9 2 4" xfId="19641" xr:uid="{00000000-0005-0000-0000-000077620000}"/>
    <cellStyle name="40% - Accent2 2 4 9 2 5" xfId="25117" xr:uid="{00000000-0005-0000-0000-000078620000}"/>
    <cellStyle name="40% - Accent2 2 4 9 2 6" xfId="36913" xr:uid="{00000000-0005-0000-0000-000079620000}"/>
    <cellStyle name="40% - Accent2 2 4 9 2 7" xfId="42390" xr:uid="{00000000-0005-0000-0000-00007A620000}"/>
    <cellStyle name="40% - Accent2 2 4 9 2 8" xfId="47867" xr:uid="{00000000-0005-0000-0000-00007B620000}"/>
    <cellStyle name="40% - Accent2 2 4 9 2 9" xfId="53385" xr:uid="{00000000-0005-0000-0000-00007C620000}"/>
    <cellStyle name="40% - Accent2 2 4 9 3" xfId="4981" xr:uid="{00000000-0005-0000-0000-00007D620000}"/>
    <cellStyle name="40% - Accent2 2 4 9 3 2" xfId="10461" xr:uid="{00000000-0005-0000-0000-00007E620000}"/>
    <cellStyle name="40% - Accent2 2 4 9 3 3" xfId="15937" xr:uid="{00000000-0005-0000-0000-00007F620000}"/>
    <cellStyle name="40% - Accent2 2 4 9 3 4" xfId="21413" xr:uid="{00000000-0005-0000-0000-000080620000}"/>
    <cellStyle name="40% - Accent2 2 4 9 3 5" xfId="26889" xr:uid="{00000000-0005-0000-0000-000081620000}"/>
    <cellStyle name="40% - Accent2 2 4 9 3 6" xfId="38685" xr:uid="{00000000-0005-0000-0000-000082620000}"/>
    <cellStyle name="40% - Accent2 2 4 9 3 7" xfId="44162" xr:uid="{00000000-0005-0000-0000-000083620000}"/>
    <cellStyle name="40% - Accent2 2 4 9 3 8" xfId="49639" xr:uid="{00000000-0005-0000-0000-000084620000}"/>
    <cellStyle name="40% - Accent2 2 4 9 3 9" xfId="55157" xr:uid="{00000000-0005-0000-0000-000085620000}"/>
    <cellStyle name="40% - Accent2 2 4 9 4" xfId="6394" xr:uid="{00000000-0005-0000-0000-000086620000}"/>
    <cellStyle name="40% - Accent2 2 4 9 5" xfId="11874" xr:uid="{00000000-0005-0000-0000-000087620000}"/>
    <cellStyle name="40% - Accent2 2 4 9 6" xfId="17350" xr:uid="{00000000-0005-0000-0000-000088620000}"/>
    <cellStyle name="40% - Accent2 2 4 9 7" xfId="22826" xr:uid="{00000000-0005-0000-0000-000089620000}"/>
    <cellStyle name="40% - Accent2 2 4 9 8" xfId="34621" xr:uid="{00000000-0005-0000-0000-00008A620000}"/>
    <cellStyle name="40% - Accent2 2 4 9 9" xfId="40098" xr:uid="{00000000-0005-0000-0000-00008B620000}"/>
    <cellStyle name="40% - Accent2 2 5" xfId="212" xr:uid="{00000000-0005-0000-0000-00008C620000}"/>
    <cellStyle name="40% - Accent2 2 5 10" xfId="1819" xr:uid="{00000000-0005-0000-0000-00008D620000}"/>
    <cellStyle name="40% - Accent2 2 5 10 10" xfId="45577" xr:uid="{00000000-0005-0000-0000-00008E620000}"/>
    <cellStyle name="40% - Accent2 2 5 10 11" xfId="51055" xr:uid="{00000000-0005-0000-0000-00008F620000}"/>
    <cellStyle name="40% - Accent2 2 5 10 2" xfId="3580" xr:uid="{00000000-0005-0000-0000-000090620000}"/>
    <cellStyle name="40% - Accent2 2 5 10 2 2" xfId="9060" xr:uid="{00000000-0005-0000-0000-000091620000}"/>
    <cellStyle name="40% - Accent2 2 5 10 2 3" xfId="14536" xr:uid="{00000000-0005-0000-0000-000092620000}"/>
    <cellStyle name="40% - Accent2 2 5 10 2 4" xfId="20012" xr:uid="{00000000-0005-0000-0000-000093620000}"/>
    <cellStyle name="40% - Accent2 2 5 10 2 5" xfId="25488" xr:uid="{00000000-0005-0000-0000-000094620000}"/>
    <cellStyle name="40% - Accent2 2 5 10 2 6" xfId="37284" xr:uid="{00000000-0005-0000-0000-000095620000}"/>
    <cellStyle name="40% - Accent2 2 5 10 2 7" xfId="42761" xr:uid="{00000000-0005-0000-0000-000096620000}"/>
    <cellStyle name="40% - Accent2 2 5 10 2 8" xfId="48238" xr:uid="{00000000-0005-0000-0000-000097620000}"/>
    <cellStyle name="40% - Accent2 2 5 10 2 9" xfId="53756" xr:uid="{00000000-0005-0000-0000-000098620000}"/>
    <cellStyle name="40% - Accent2 2 5 10 3" xfId="5352" xr:uid="{00000000-0005-0000-0000-000099620000}"/>
    <cellStyle name="40% - Accent2 2 5 10 3 2" xfId="10832" xr:uid="{00000000-0005-0000-0000-00009A620000}"/>
    <cellStyle name="40% - Accent2 2 5 10 3 3" xfId="16308" xr:uid="{00000000-0005-0000-0000-00009B620000}"/>
    <cellStyle name="40% - Accent2 2 5 10 3 4" xfId="21784" xr:uid="{00000000-0005-0000-0000-00009C620000}"/>
    <cellStyle name="40% - Accent2 2 5 10 3 5" xfId="27260" xr:uid="{00000000-0005-0000-0000-00009D620000}"/>
    <cellStyle name="40% - Accent2 2 5 10 3 6" xfId="39056" xr:uid="{00000000-0005-0000-0000-00009E620000}"/>
    <cellStyle name="40% - Accent2 2 5 10 3 7" xfId="44533" xr:uid="{00000000-0005-0000-0000-00009F620000}"/>
    <cellStyle name="40% - Accent2 2 5 10 3 8" xfId="50010" xr:uid="{00000000-0005-0000-0000-0000A0620000}"/>
    <cellStyle name="40% - Accent2 2 5 10 3 9" xfId="55528" xr:uid="{00000000-0005-0000-0000-0000A1620000}"/>
    <cellStyle name="40% - Accent2 2 5 10 4" xfId="6396" xr:uid="{00000000-0005-0000-0000-0000A2620000}"/>
    <cellStyle name="40% - Accent2 2 5 10 5" xfId="11876" xr:uid="{00000000-0005-0000-0000-0000A3620000}"/>
    <cellStyle name="40% - Accent2 2 5 10 6" xfId="17352" xr:uid="{00000000-0005-0000-0000-0000A4620000}"/>
    <cellStyle name="40% - Accent2 2 5 10 7" xfId="22828" xr:uid="{00000000-0005-0000-0000-0000A5620000}"/>
    <cellStyle name="40% - Accent2 2 5 10 8" xfId="34623" xr:uid="{00000000-0005-0000-0000-0000A6620000}"/>
    <cellStyle name="40% - Accent2 2 5 10 9" xfId="40100" xr:uid="{00000000-0005-0000-0000-0000A7620000}"/>
    <cellStyle name="40% - Accent2 2 5 11" xfId="1984" xr:uid="{00000000-0005-0000-0000-0000A8620000}"/>
    <cellStyle name="40% - Accent2 2 5 11 10" xfId="52161" xr:uid="{00000000-0005-0000-0000-0000A9620000}"/>
    <cellStyle name="40% - Accent2 2 5 11 2" xfId="5516" xr:uid="{00000000-0005-0000-0000-0000AA620000}"/>
    <cellStyle name="40% - Accent2 2 5 11 2 2" xfId="10996" xr:uid="{00000000-0005-0000-0000-0000AB620000}"/>
    <cellStyle name="40% - Accent2 2 5 11 2 3" xfId="16472" xr:uid="{00000000-0005-0000-0000-0000AC620000}"/>
    <cellStyle name="40% - Accent2 2 5 11 2 4" xfId="21948" xr:uid="{00000000-0005-0000-0000-0000AD620000}"/>
    <cellStyle name="40% - Accent2 2 5 11 2 5" xfId="27424" xr:uid="{00000000-0005-0000-0000-0000AE620000}"/>
    <cellStyle name="40% - Accent2 2 5 11 2 6" xfId="39220" xr:uid="{00000000-0005-0000-0000-0000AF620000}"/>
    <cellStyle name="40% - Accent2 2 5 11 2 7" xfId="44697" xr:uid="{00000000-0005-0000-0000-0000B0620000}"/>
    <cellStyle name="40% - Accent2 2 5 11 2 8" xfId="50174" xr:uid="{00000000-0005-0000-0000-0000B1620000}"/>
    <cellStyle name="40% - Accent2 2 5 11 2 9" xfId="55692" xr:uid="{00000000-0005-0000-0000-0000B2620000}"/>
    <cellStyle name="40% - Accent2 2 5 11 3" xfId="7465" xr:uid="{00000000-0005-0000-0000-0000B3620000}"/>
    <cellStyle name="40% - Accent2 2 5 11 4" xfId="12941" xr:uid="{00000000-0005-0000-0000-0000B4620000}"/>
    <cellStyle name="40% - Accent2 2 5 11 5" xfId="18417" xr:uid="{00000000-0005-0000-0000-0000B5620000}"/>
    <cellStyle name="40% - Accent2 2 5 11 6" xfId="23893" xr:uid="{00000000-0005-0000-0000-0000B6620000}"/>
    <cellStyle name="40% - Accent2 2 5 11 7" xfId="35689" xr:uid="{00000000-0005-0000-0000-0000B7620000}"/>
    <cellStyle name="40% - Accent2 2 5 11 8" xfId="41166" xr:uid="{00000000-0005-0000-0000-0000B8620000}"/>
    <cellStyle name="40% - Accent2 2 5 11 9" xfId="46643" xr:uid="{00000000-0005-0000-0000-0000B9620000}"/>
    <cellStyle name="40% - Accent2 2 5 12" xfId="3778" xr:uid="{00000000-0005-0000-0000-0000BA620000}"/>
    <cellStyle name="40% - Accent2 2 5 12 2" xfId="9258" xr:uid="{00000000-0005-0000-0000-0000BB620000}"/>
    <cellStyle name="40% - Accent2 2 5 12 3" xfId="14734" xr:uid="{00000000-0005-0000-0000-0000BC620000}"/>
    <cellStyle name="40% - Accent2 2 5 12 4" xfId="20210" xr:uid="{00000000-0005-0000-0000-0000BD620000}"/>
    <cellStyle name="40% - Accent2 2 5 12 5" xfId="25686" xr:uid="{00000000-0005-0000-0000-0000BE620000}"/>
    <cellStyle name="40% - Accent2 2 5 12 6" xfId="37482" xr:uid="{00000000-0005-0000-0000-0000BF620000}"/>
    <cellStyle name="40% - Accent2 2 5 12 7" xfId="42959" xr:uid="{00000000-0005-0000-0000-0000C0620000}"/>
    <cellStyle name="40% - Accent2 2 5 12 8" xfId="48436" xr:uid="{00000000-0005-0000-0000-0000C1620000}"/>
    <cellStyle name="40% - Accent2 2 5 12 9" xfId="53954" xr:uid="{00000000-0005-0000-0000-0000C2620000}"/>
    <cellStyle name="40% - Accent2 2 5 13" xfId="6395" xr:uid="{00000000-0005-0000-0000-0000C3620000}"/>
    <cellStyle name="40% - Accent2 2 5 14" xfId="11875" xr:uid="{00000000-0005-0000-0000-0000C4620000}"/>
    <cellStyle name="40% - Accent2 2 5 15" xfId="17351" xr:uid="{00000000-0005-0000-0000-0000C5620000}"/>
    <cellStyle name="40% - Accent2 2 5 16" xfId="22827" xr:uid="{00000000-0005-0000-0000-0000C6620000}"/>
    <cellStyle name="40% - Accent2 2 5 17" xfId="30825" xr:uid="{00000000-0005-0000-0000-0000C7620000}"/>
    <cellStyle name="40% - Accent2 2 5 18" xfId="34622" xr:uid="{00000000-0005-0000-0000-0000C8620000}"/>
    <cellStyle name="40% - Accent2 2 5 19" xfId="40099" xr:uid="{00000000-0005-0000-0000-0000C9620000}"/>
    <cellStyle name="40% - Accent2 2 5 2" xfId="355" xr:uid="{00000000-0005-0000-0000-0000CA620000}"/>
    <cellStyle name="40% - Accent2 2 5 2 10" xfId="40101" xr:uid="{00000000-0005-0000-0000-0000CB620000}"/>
    <cellStyle name="40% - Accent2 2 5 2 11" xfId="45578" xr:uid="{00000000-0005-0000-0000-0000CC620000}"/>
    <cellStyle name="40% - Accent2 2 5 2 12" xfId="51056" xr:uid="{00000000-0005-0000-0000-0000CD620000}"/>
    <cellStyle name="40% - Accent2 2 5 2 2" xfId="2150" xr:uid="{00000000-0005-0000-0000-0000CE620000}"/>
    <cellStyle name="40% - Accent2 2 5 2 2 10" xfId="52326" xr:uid="{00000000-0005-0000-0000-0000CF620000}"/>
    <cellStyle name="40% - Accent2 2 5 2 2 2" xfId="7630" xr:uid="{00000000-0005-0000-0000-0000D0620000}"/>
    <cellStyle name="40% - Accent2 2 5 2 2 3" xfId="13106" xr:uid="{00000000-0005-0000-0000-0000D1620000}"/>
    <cellStyle name="40% - Accent2 2 5 2 2 4" xfId="18582" xr:uid="{00000000-0005-0000-0000-0000D2620000}"/>
    <cellStyle name="40% - Accent2 2 5 2 2 5" xfId="24058" xr:uid="{00000000-0005-0000-0000-0000D3620000}"/>
    <cellStyle name="40% - Accent2 2 5 2 2 6" xfId="30827" xr:uid="{00000000-0005-0000-0000-0000D4620000}"/>
    <cellStyle name="40% - Accent2 2 5 2 2 7" xfId="35854" xr:uid="{00000000-0005-0000-0000-0000D5620000}"/>
    <cellStyle name="40% - Accent2 2 5 2 2 8" xfId="41331" xr:uid="{00000000-0005-0000-0000-0000D6620000}"/>
    <cellStyle name="40% - Accent2 2 5 2 2 9" xfId="46808" xr:uid="{00000000-0005-0000-0000-0000D7620000}"/>
    <cellStyle name="40% - Accent2 2 5 2 3" xfId="3917" xr:uid="{00000000-0005-0000-0000-0000D8620000}"/>
    <cellStyle name="40% - Accent2 2 5 2 3 2" xfId="9397" xr:uid="{00000000-0005-0000-0000-0000D9620000}"/>
    <cellStyle name="40% - Accent2 2 5 2 3 3" xfId="14873" xr:uid="{00000000-0005-0000-0000-0000DA620000}"/>
    <cellStyle name="40% - Accent2 2 5 2 3 4" xfId="20349" xr:uid="{00000000-0005-0000-0000-0000DB620000}"/>
    <cellStyle name="40% - Accent2 2 5 2 3 5" xfId="25825" xr:uid="{00000000-0005-0000-0000-0000DC620000}"/>
    <cellStyle name="40% - Accent2 2 5 2 3 6" xfId="37621" xr:uid="{00000000-0005-0000-0000-0000DD620000}"/>
    <cellStyle name="40% - Accent2 2 5 2 3 7" xfId="43098" xr:uid="{00000000-0005-0000-0000-0000DE620000}"/>
    <cellStyle name="40% - Accent2 2 5 2 3 8" xfId="48575" xr:uid="{00000000-0005-0000-0000-0000DF620000}"/>
    <cellStyle name="40% - Accent2 2 5 2 3 9" xfId="54093" xr:uid="{00000000-0005-0000-0000-0000E0620000}"/>
    <cellStyle name="40% - Accent2 2 5 2 4" xfId="6397" xr:uid="{00000000-0005-0000-0000-0000E1620000}"/>
    <cellStyle name="40% - Accent2 2 5 2 5" xfId="11877" xr:uid="{00000000-0005-0000-0000-0000E2620000}"/>
    <cellStyle name="40% - Accent2 2 5 2 6" xfId="17353" xr:uid="{00000000-0005-0000-0000-0000E3620000}"/>
    <cellStyle name="40% - Accent2 2 5 2 7" xfId="22829" xr:uid="{00000000-0005-0000-0000-0000E4620000}"/>
    <cellStyle name="40% - Accent2 2 5 2 8" xfId="30826" xr:uid="{00000000-0005-0000-0000-0000E5620000}"/>
    <cellStyle name="40% - Accent2 2 5 2 9" xfId="34624" xr:uid="{00000000-0005-0000-0000-0000E6620000}"/>
    <cellStyle name="40% - Accent2 2 5 20" xfId="45576" xr:uid="{00000000-0005-0000-0000-0000E7620000}"/>
    <cellStyle name="40% - Accent2 2 5 21" xfId="51054" xr:uid="{00000000-0005-0000-0000-0000E8620000}"/>
    <cellStyle name="40% - Accent2 2 5 3" xfId="556" xr:uid="{00000000-0005-0000-0000-0000E9620000}"/>
    <cellStyle name="40% - Accent2 2 5 3 10" xfId="40102" xr:uid="{00000000-0005-0000-0000-0000EA620000}"/>
    <cellStyle name="40% - Accent2 2 5 3 11" xfId="45579" xr:uid="{00000000-0005-0000-0000-0000EB620000}"/>
    <cellStyle name="40% - Accent2 2 5 3 12" xfId="51057" xr:uid="{00000000-0005-0000-0000-0000EC620000}"/>
    <cellStyle name="40% - Accent2 2 5 3 2" xfId="2317" xr:uid="{00000000-0005-0000-0000-0000ED620000}"/>
    <cellStyle name="40% - Accent2 2 5 3 2 2" xfId="7797" xr:uid="{00000000-0005-0000-0000-0000EE620000}"/>
    <cellStyle name="40% - Accent2 2 5 3 2 3" xfId="13273" xr:uid="{00000000-0005-0000-0000-0000EF620000}"/>
    <cellStyle name="40% - Accent2 2 5 3 2 4" xfId="18749" xr:uid="{00000000-0005-0000-0000-0000F0620000}"/>
    <cellStyle name="40% - Accent2 2 5 3 2 5" xfId="24225" xr:uid="{00000000-0005-0000-0000-0000F1620000}"/>
    <cellStyle name="40% - Accent2 2 5 3 2 6" xfId="36021" xr:uid="{00000000-0005-0000-0000-0000F2620000}"/>
    <cellStyle name="40% - Accent2 2 5 3 2 7" xfId="41498" xr:uid="{00000000-0005-0000-0000-0000F3620000}"/>
    <cellStyle name="40% - Accent2 2 5 3 2 8" xfId="46975" xr:uid="{00000000-0005-0000-0000-0000F4620000}"/>
    <cellStyle name="40% - Accent2 2 5 3 2 9" xfId="52493" xr:uid="{00000000-0005-0000-0000-0000F5620000}"/>
    <cellStyle name="40% - Accent2 2 5 3 3" xfId="4089" xr:uid="{00000000-0005-0000-0000-0000F6620000}"/>
    <cellStyle name="40% - Accent2 2 5 3 3 2" xfId="9569" xr:uid="{00000000-0005-0000-0000-0000F7620000}"/>
    <cellStyle name="40% - Accent2 2 5 3 3 3" xfId="15045" xr:uid="{00000000-0005-0000-0000-0000F8620000}"/>
    <cellStyle name="40% - Accent2 2 5 3 3 4" xfId="20521" xr:uid="{00000000-0005-0000-0000-0000F9620000}"/>
    <cellStyle name="40% - Accent2 2 5 3 3 5" xfId="25997" xr:uid="{00000000-0005-0000-0000-0000FA620000}"/>
    <cellStyle name="40% - Accent2 2 5 3 3 6" xfId="37793" xr:uid="{00000000-0005-0000-0000-0000FB620000}"/>
    <cellStyle name="40% - Accent2 2 5 3 3 7" xfId="43270" xr:uid="{00000000-0005-0000-0000-0000FC620000}"/>
    <cellStyle name="40% - Accent2 2 5 3 3 8" xfId="48747" xr:uid="{00000000-0005-0000-0000-0000FD620000}"/>
    <cellStyle name="40% - Accent2 2 5 3 3 9" xfId="54265" xr:uid="{00000000-0005-0000-0000-0000FE620000}"/>
    <cellStyle name="40% - Accent2 2 5 3 4" xfId="6398" xr:uid="{00000000-0005-0000-0000-0000FF620000}"/>
    <cellStyle name="40% - Accent2 2 5 3 5" xfId="11878" xr:uid="{00000000-0005-0000-0000-000000630000}"/>
    <cellStyle name="40% - Accent2 2 5 3 6" xfId="17354" xr:uid="{00000000-0005-0000-0000-000001630000}"/>
    <cellStyle name="40% - Accent2 2 5 3 7" xfId="22830" xr:uid="{00000000-0005-0000-0000-000002630000}"/>
    <cellStyle name="40% - Accent2 2 5 3 8" xfId="30828" xr:uid="{00000000-0005-0000-0000-000003630000}"/>
    <cellStyle name="40% - Accent2 2 5 3 9" xfId="34625" xr:uid="{00000000-0005-0000-0000-000004630000}"/>
    <cellStyle name="40% - Accent2 2 5 4" xfId="728" xr:uid="{00000000-0005-0000-0000-000005630000}"/>
    <cellStyle name="40% - Accent2 2 5 4 10" xfId="45580" xr:uid="{00000000-0005-0000-0000-000006630000}"/>
    <cellStyle name="40% - Accent2 2 5 4 11" xfId="51058" xr:uid="{00000000-0005-0000-0000-000007630000}"/>
    <cellStyle name="40% - Accent2 2 5 4 2" xfId="2489" xr:uid="{00000000-0005-0000-0000-000008630000}"/>
    <cellStyle name="40% - Accent2 2 5 4 2 2" xfId="7969" xr:uid="{00000000-0005-0000-0000-000009630000}"/>
    <cellStyle name="40% - Accent2 2 5 4 2 3" xfId="13445" xr:uid="{00000000-0005-0000-0000-00000A630000}"/>
    <cellStyle name="40% - Accent2 2 5 4 2 4" xfId="18921" xr:uid="{00000000-0005-0000-0000-00000B630000}"/>
    <cellStyle name="40% - Accent2 2 5 4 2 5" xfId="24397" xr:uid="{00000000-0005-0000-0000-00000C630000}"/>
    <cellStyle name="40% - Accent2 2 5 4 2 6" xfId="36193" xr:uid="{00000000-0005-0000-0000-00000D630000}"/>
    <cellStyle name="40% - Accent2 2 5 4 2 7" xfId="41670" xr:uid="{00000000-0005-0000-0000-00000E630000}"/>
    <cellStyle name="40% - Accent2 2 5 4 2 8" xfId="47147" xr:uid="{00000000-0005-0000-0000-00000F630000}"/>
    <cellStyle name="40% - Accent2 2 5 4 2 9" xfId="52665" xr:uid="{00000000-0005-0000-0000-000010630000}"/>
    <cellStyle name="40% - Accent2 2 5 4 3" xfId="4261" xr:uid="{00000000-0005-0000-0000-000011630000}"/>
    <cellStyle name="40% - Accent2 2 5 4 3 2" xfId="9741" xr:uid="{00000000-0005-0000-0000-000012630000}"/>
    <cellStyle name="40% - Accent2 2 5 4 3 3" xfId="15217" xr:uid="{00000000-0005-0000-0000-000013630000}"/>
    <cellStyle name="40% - Accent2 2 5 4 3 4" xfId="20693" xr:uid="{00000000-0005-0000-0000-000014630000}"/>
    <cellStyle name="40% - Accent2 2 5 4 3 5" xfId="26169" xr:uid="{00000000-0005-0000-0000-000015630000}"/>
    <cellStyle name="40% - Accent2 2 5 4 3 6" xfId="37965" xr:uid="{00000000-0005-0000-0000-000016630000}"/>
    <cellStyle name="40% - Accent2 2 5 4 3 7" xfId="43442" xr:uid="{00000000-0005-0000-0000-000017630000}"/>
    <cellStyle name="40% - Accent2 2 5 4 3 8" xfId="48919" xr:uid="{00000000-0005-0000-0000-000018630000}"/>
    <cellStyle name="40% - Accent2 2 5 4 3 9" xfId="54437" xr:uid="{00000000-0005-0000-0000-000019630000}"/>
    <cellStyle name="40% - Accent2 2 5 4 4" xfId="6399" xr:uid="{00000000-0005-0000-0000-00001A630000}"/>
    <cellStyle name="40% - Accent2 2 5 4 5" xfId="11879" xr:uid="{00000000-0005-0000-0000-00001B630000}"/>
    <cellStyle name="40% - Accent2 2 5 4 6" xfId="17355" xr:uid="{00000000-0005-0000-0000-00001C630000}"/>
    <cellStyle name="40% - Accent2 2 5 4 7" xfId="22831" xr:uid="{00000000-0005-0000-0000-00001D630000}"/>
    <cellStyle name="40% - Accent2 2 5 4 8" xfId="34626" xr:uid="{00000000-0005-0000-0000-00001E630000}"/>
    <cellStyle name="40% - Accent2 2 5 4 9" xfId="40103" xr:uid="{00000000-0005-0000-0000-00001F630000}"/>
    <cellStyle name="40% - Accent2 2 5 5" xfId="900" xr:uid="{00000000-0005-0000-0000-000020630000}"/>
    <cellStyle name="40% - Accent2 2 5 5 10" xfId="45581" xr:uid="{00000000-0005-0000-0000-000021630000}"/>
    <cellStyle name="40% - Accent2 2 5 5 11" xfId="51059" xr:uid="{00000000-0005-0000-0000-000022630000}"/>
    <cellStyle name="40% - Accent2 2 5 5 2" xfId="2661" xr:uid="{00000000-0005-0000-0000-000023630000}"/>
    <cellStyle name="40% - Accent2 2 5 5 2 2" xfId="8141" xr:uid="{00000000-0005-0000-0000-000024630000}"/>
    <cellStyle name="40% - Accent2 2 5 5 2 3" xfId="13617" xr:uid="{00000000-0005-0000-0000-000025630000}"/>
    <cellStyle name="40% - Accent2 2 5 5 2 4" xfId="19093" xr:uid="{00000000-0005-0000-0000-000026630000}"/>
    <cellStyle name="40% - Accent2 2 5 5 2 5" xfId="24569" xr:uid="{00000000-0005-0000-0000-000027630000}"/>
    <cellStyle name="40% - Accent2 2 5 5 2 6" xfId="36365" xr:uid="{00000000-0005-0000-0000-000028630000}"/>
    <cellStyle name="40% - Accent2 2 5 5 2 7" xfId="41842" xr:uid="{00000000-0005-0000-0000-000029630000}"/>
    <cellStyle name="40% - Accent2 2 5 5 2 8" xfId="47319" xr:uid="{00000000-0005-0000-0000-00002A630000}"/>
    <cellStyle name="40% - Accent2 2 5 5 2 9" xfId="52837" xr:uid="{00000000-0005-0000-0000-00002B630000}"/>
    <cellStyle name="40% - Accent2 2 5 5 3" xfId="4433" xr:uid="{00000000-0005-0000-0000-00002C630000}"/>
    <cellStyle name="40% - Accent2 2 5 5 3 2" xfId="9913" xr:uid="{00000000-0005-0000-0000-00002D630000}"/>
    <cellStyle name="40% - Accent2 2 5 5 3 3" xfId="15389" xr:uid="{00000000-0005-0000-0000-00002E630000}"/>
    <cellStyle name="40% - Accent2 2 5 5 3 4" xfId="20865" xr:uid="{00000000-0005-0000-0000-00002F630000}"/>
    <cellStyle name="40% - Accent2 2 5 5 3 5" xfId="26341" xr:uid="{00000000-0005-0000-0000-000030630000}"/>
    <cellStyle name="40% - Accent2 2 5 5 3 6" xfId="38137" xr:uid="{00000000-0005-0000-0000-000031630000}"/>
    <cellStyle name="40% - Accent2 2 5 5 3 7" xfId="43614" xr:uid="{00000000-0005-0000-0000-000032630000}"/>
    <cellStyle name="40% - Accent2 2 5 5 3 8" xfId="49091" xr:uid="{00000000-0005-0000-0000-000033630000}"/>
    <cellStyle name="40% - Accent2 2 5 5 3 9" xfId="54609" xr:uid="{00000000-0005-0000-0000-000034630000}"/>
    <cellStyle name="40% - Accent2 2 5 5 4" xfId="6400" xr:uid="{00000000-0005-0000-0000-000035630000}"/>
    <cellStyle name="40% - Accent2 2 5 5 5" xfId="11880" xr:uid="{00000000-0005-0000-0000-000036630000}"/>
    <cellStyle name="40% - Accent2 2 5 5 6" xfId="17356" xr:uid="{00000000-0005-0000-0000-000037630000}"/>
    <cellStyle name="40% - Accent2 2 5 5 7" xfId="22832" xr:uid="{00000000-0005-0000-0000-000038630000}"/>
    <cellStyle name="40% - Accent2 2 5 5 8" xfId="34627" xr:uid="{00000000-0005-0000-0000-000039630000}"/>
    <cellStyle name="40% - Accent2 2 5 5 9" xfId="40104" xr:uid="{00000000-0005-0000-0000-00003A630000}"/>
    <cellStyle name="40% - Accent2 2 5 6" xfId="1106" xr:uid="{00000000-0005-0000-0000-00003B630000}"/>
    <cellStyle name="40% - Accent2 2 5 6 10" xfId="45582" xr:uid="{00000000-0005-0000-0000-00003C630000}"/>
    <cellStyle name="40% - Accent2 2 5 6 11" xfId="51060" xr:uid="{00000000-0005-0000-0000-00003D630000}"/>
    <cellStyle name="40% - Accent2 2 5 6 2" xfId="2867" xr:uid="{00000000-0005-0000-0000-00003E630000}"/>
    <cellStyle name="40% - Accent2 2 5 6 2 2" xfId="8347" xr:uid="{00000000-0005-0000-0000-00003F630000}"/>
    <cellStyle name="40% - Accent2 2 5 6 2 3" xfId="13823" xr:uid="{00000000-0005-0000-0000-000040630000}"/>
    <cellStyle name="40% - Accent2 2 5 6 2 4" xfId="19299" xr:uid="{00000000-0005-0000-0000-000041630000}"/>
    <cellStyle name="40% - Accent2 2 5 6 2 5" xfId="24775" xr:uid="{00000000-0005-0000-0000-000042630000}"/>
    <cellStyle name="40% - Accent2 2 5 6 2 6" xfId="36571" xr:uid="{00000000-0005-0000-0000-000043630000}"/>
    <cellStyle name="40% - Accent2 2 5 6 2 7" xfId="42048" xr:uid="{00000000-0005-0000-0000-000044630000}"/>
    <cellStyle name="40% - Accent2 2 5 6 2 8" xfId="47525" xr:uid="{00000000-0005-0000-0000-000045630000}"/>
    <cellStyle name="40% - Accent2 2 5 6 2 9" xfId="53043" xr:uid="{00000000-0005-0000-0000-000046630000}"/>
    <cellStyle name="40% - Accent2 2 5 6 3" xfId="4639" xr:uid="{00000000-0005-0000-0000-000047630000}"/>
    <cellStyle name="40% - Accent2 2 5 6 3 2" xfId="10119" xr:uid="{00000000-0005-0000-0000-000048630000}"/>
    <cellStyle name="40% - Accent2 2 5 6 3 3" xfId="15595" xr:uid="{00000000-0005-0000-0000-000049630000}"/>
    <cellStyle name="40% - Accent2 2 5 6 3 4" xfId="21071" xr:uid="{00000000-0005-0000-0000-00004A630000}"/>
    <cellStyle name="40% - Accent2 2 5 6 3 5" xfId="26547" xr:uid="{00000000-0005-0000-0000-00004B630000}"/>
    <cellStyle name="40% - Accent2 2 5 6 3 6" xfId="38343" xr:uid="{00000000-0005-0000-0000-00004C630000}"/>
    <cellStyle name="40% - Accent2 2 5 6 3 7" xfId="43820" xr:uid="{00000000-0005-0000-0000-00004D630000}"/>
    <cellStyle name="40% - Accent2 2 5 6 3 8" xfId="49297" xr:uid="{00000000-0005-0000-0000-00004E630000}"/>
    <cellStyle name="40% - Accent2 2 5 6 3 9" xfId="54815" xr:uid="{00000000-0005-0000-0000-00004F630000}"/>
    <cellStyle name="40% - Accent2 2 5 6 4" xfId="6401" xr:uid="{00000000-0005-0000-0000-000050630000}"/>
    <cellStyle name="40% - Accent2 2 5 6 5" xfId="11881" xr:uid="{00000000-0005-0000-0000-000051630000}"/>
    <cellStyle name="40% - Accent2 2 5 6 6" xfId="17357" xr:uid="{00000000-0005-0000-0000-000052630000}"/>
    <cellStyle name="40% - Accent2 2 5 6 7" xfId="22833" xr:uid="{00000000-0005-0000-0000-000053630000}"/>
    <cellStyle name="40% - Accent2 2 5 6 8" xfId="34628" xr:uid="{00000000-0005-0000-0000-000054630000}"/>
    <cellStyle name="40% - Accent2 2 5 6 9" xfId="40105" xr:uid="{00000000-0005-0000-0000-000055630000}"/>
    <cellStyle name="40% - Accent2 2 5 7" xfId="1278" xr:uid="{00000000-0005-0000-0000-000056630000}"/>
    <cellStyle name="40% - Accent2 2 5 7 10" xfId="45583" xr:uid="{00000000-0005-0000-0000-000057630000}"/>
    <cellStyle name="40% - Accent2 2 5 7 11" xfId="51061" xr:uid="{00000000-0005-0000-0000-000058630000}"/>
    <cellStyle name="40% - Accent2 2 5 7 2" xfId="3039" xr:uid="{00000000-0005-0000-0000-000059630000}"/>
    <cellStyle name="40% - Accent2 2 5 7 2 2" xfId="8519" xr:uid="{00000000-0005-0000-0000-00005A630000}"/>
    <cellStyle name="40% - Accent2 2 5 7 2 3" xfId="13995" xr:uid="{00000000-0005-0000-0000-00005B630000}"/>
    <cellStyle name="40% - Accent2 2 5 7 2 4" xfId="19471" xr:uid="{00000000-0005-0000-0000-00005C630000}"/>
    <cellStyle name="40% - Accent2 2 5 7 2 5" xfId="24947" xr:uid="{00000000-0005-0000-0000-00005D630000}"/>
    <cellStyle name="40% - Accent2 2 5 7 2 6" xfId="36743" xr:uid="{00000000-0005-0000-0000-00005E630000}"/>
    <cellStyle name="40% - Accent2 2 5 7 2 7" xfId="42220" xr:uid="{00000000-0005-0000-0000-00005F630000}"/>
    <cellStyle name="40% - Accent2 2 5 7 2 8" xfId="47697" xr:uid="{00000000-0005-0000-0000-000060630000}"/>
    <cellStyle name="40% - Accent2 2 5 7 2 9" xfId="53215" xr:uid="{00000000-0005-0000-0000-000061630000}"/>
    <cellStyle name="40% - Accent2 2 5 7 3" xfId="4811" xr:uid="{00000000-0005-0000-0000-000062630000}"/>
    <cellStyle name="40% - Accent2 2 5 7 3 2" xfId="10291" xr:uid="{00000000-0005-0000-0000-000063630000}"/>
    <cellStyle name="40% - Accent2 2 5 7 3 3" xfId="15767" xr:uid="{00000000-0005-0000-0000-000064630000}"/>
    <cellStyle name="40% - Accent2 2 5 7 3 4" xfId="21243" xr:uid="{00000000-0005-0000-0000-000065630000}"/>
    <cellStyle name="40% - Accent2 2 5 7 3 5" xfId="26719" xr:uid="{00000000-0005-0000-0000-000066630000}"/>
    <cellStyle name="40% - Accent2 2 5 7 3 6" xfId="38515" xr:uid="{00000000-0005-0000-0000-000067630000}"/>
    <cellStyle name="40% - Accent2 2 5 7 3 7" xfId="43992" xr:uid="{00000000-0005-0000-0000-000068630000}"/>
    <cellStyle name="40% - Accent2 2 5 7 3 8" xfId="49469" xr:uid="{00000000-0005-0000-0000-000069630000}"/>
    <cellStyle name="40% - Accent2 2 5 7 3 9" xfId="54987" xr:uid="{00000000-0005-0000-0000-00006A630000}"/>
    <cellStyle name="40% - Accent2 2 5 7 4" xfId="6402" xr:uid="{00000000-0005-0000-0000-00006B630000}"/>
    <cellStyle name="40% - Accent2 2 5 7 5" xfId="11882" xr:uid="{00000000-0005-0000-0000-00006C630000}"/>
    <cellStyle name="40% - Accent2 2 5 7 6" xfId="17358" xr:uid="{00000000-0005-0000-0000-00006D630000}"/>
    <cellStyle name="40% - Accent2 2 5 7 7" xfId="22834" xr:uid="{00000000-0005-0000-0000-00006E630000}"/>
    <cellStyle name="40% - Accent2 2 5 7 8" xfId="34629" xr:uid="{00000000-0005-0000-0000-00006F630000}"/>
    <cellStyle name="40% - Accent2 2 5 7 9" xfId="40106" xr:uid="{00000000-0005-0000-0000-000070630000}"/>
    <cellStyle name="40% - Accent2 2 5 8" xfId="1450" xr:uid="{00000000-0005-0000-0000-000071630000}"/>
    <cellStyle name="40% - Accent2 2 5 8 10" xfId="45584" xr:uid="{00000000-0005-0000-0000-000072630000}"/>
    <cellStyle name="40% - Accent2 2 5 8 11" xfId="51062" xr:uid="{00000000-0005-0000-0000-000073630000}"/>
    <cellStyle name="40% - Accent2 2 5 8 2" xfId="3211" xr:uid="{00000000-0005-0000-0000-000074630000}"/>
    <cellStyle name="40% - Accent2 2 5 8 2 2" xfId="8691" xr:uid="{00000000-0005-0000-0000-000075630000}"/>
    <cellStyle name="40% - Accent2 2 5 8 2 3" xfId="14167" xr:uid="{00000000-0005-0000-0000-000076630000}"/>
    <cellStyle name="40% - Accent2 2 5 8 2 4" xfId="19643" xr:uid="{00000000-0005-0000-0000-000077630000}"/>
    <cellStyle name="40% - Accent2 2 5 8 2 5" xfId="25119" xr:uid="{00000000-0005-0000-0000-000078630000}"/>
    <cellStyle name="40% - Accent2 2 5 8 2 6" xfId="36915" xr:uid="{00000000-0005-0000-0000-000079630000}"/>
    <cellStyle name="40% - Accent2 2 5 8 2 7" xfId="42392" xr:uid="{00000000-0005-0000-0000-00007A630000}"/>
    <cellStyle name="40% - Accent2 2 5 8 2 8" xfId="47869" xr:uid="{00000000-0005-0000-0000-00007B630000}"/>
    <cellStyle name="40% - Accent2 2 5 8 2 9" xfId="53387" xr:uid="{00000000-0005-0000-0000-00007C630000}"/>
    <cellStyle name="40% - Accent2 2 5 8 3" xfId="4983" xr:uid="{00000000-0005-0000-0000-00007D630000}"/>
    <cellStyle name="40% - Accent2 2 5 8 3 2" xfId="10463" xr:uid="{00000000-0005-0000-0000-00007E630000}"/>
    <cellStyle name="40% - Accent2 2 5 8 3 3" xfId="15939" xr:uid="{00000000-0005-0000-0000-00007F630000}"/>
    <cellStyle name="40% - Accent2 2 5 8 3 4" xfId="21415" xr:uid="{00000000-0005-0000-0000-000080630000}"/>
    <cellStyle name="40% - Accent2 2 5 8 3 5" xfId="26891" xr:uid="{00000000-0005-0000-0000-000081630000}"/>
    <cellStyle name="40% - Accent2 2 5 8 3 6" xfId="38687" xr:uid="{00000000-0005-0000-0000-000082630000}"/>
    <cellStyle name="40% - Accent2 2 5 8 3 7" xfId="44164" xr:uid="{00000000-0005-0000-0000-000083630000}"/>
    <cellStyle name="40% - Accent2 2 5 8 3 8" xfId="49641" xr:uid="{00000000-0005-0000-0000-000084630000}"/>
    <cellStyle name="40% - Accent2 2 5 8 3 9" xfId="55159" xr:uid="{00000000-0005-0000-0000-000085630000}"/>
    <cellStyle name="40% - Accent2 2 5 8 4" xfId="6403" xr:uid="{00000000-0005-0000-0000-000086630000}"/>
    <cellStyle name="40% - Accent2 2 5 8 5" xfId="11883" xr:uid="{00000000-0005-0000-0000-000087630000}"/>
    <cellStyle name="40% - Accent2 2 5 8 6" xfId="17359" xr:uid="{00000000-0005-0000-0000-000088630000}"/>
    <cellStyle name="40% - Accent2 2 5 8 7" xfId="22835" xr:uid="{00000000-0005-0000-0000-000089630000}"/>
    <cellStyle name="40% - Accent2 2 5 8 8" xfId="34630" xr:uid="{00000000-0005-0000-0000-00008A630000}"/>
    <cellStyle name="40% - Accent2 2 5 8 9" xfId="40107" xr:uid="{00000000-0005-0000-0000-00008B630000}"/>
    <cellStyle name="40% - Accent2 2 5 9" xfId="1622" xr:uid="{00000000-0005-0000-0000-00008C630000}"/>
    <cellStyle name="40% - Accent2 2 5 9 10" xfId="45585" xr:uid="{00000000-0005-0000-0000-00008D630000}"/>
    <cellStyle name="40% - Accent2 2 5 9 11" xfId="51063" xr:uid="{00000000-0005-0000-0000-00008E630000}"/>
    <cellStyle name="40% - Accent2 2 5 9 2" xfId="3383" xr:uid="{00000000-0005-0000-0000-00008F630000}"/>
    <cellStyle name="40% - Accent2 2 5 9 2 2" xfId="8863" xr:uid="{00000000-0005-0000-0000-000090630000}"/>
    <cellStyle name="40% - Accent2 2 5 9 2 3" xfId="14339" xr:uid="{00000000-0005-0000-0000-000091630000}"/>
    <cellStyle name="40% - Accent2 2 5 9 2 4" xfId="19815" xr:uid="{00000000-0005-0000-0000-000092630000}"/>
    <cellStyle name="40% - Accent2 2 5 9 2 5" xfId="25291" xr:uid="{00000000-0005-0000-0000-000093630000}"/>
    <cellStyle name="40% - Accent2 2 5 9 2 6" xfId="37087" xr:uid="{00000000-0005-0000-0000-000094630000}"/>
    <cellStyle name="40% - Accent2 2 5 9 2 7" xfId="42564" xr:uid="{00000000-0005-0000-0000-000095630000}"/>
    <cellStyle name="40% - Accent2 2 5 9 2 8" xfId="48041" xr:uid="{00000000-0005-0000-0000-000096630000}"/>
    <cellStyle name="40% - Accent2 2 5 9 2 9" xfId="53559" xr:uid="{00000000-0005-0000-0000-000097630000}"/>
    <cellStyle name="40% - Accent2 2 5 9 3" xfId="5155" xr:uid="{00000000-0005-0000-0000-000098630000}"/>
    <cellStyle name="40% - Accent2 2 5 9 3 2" xfId="10635" xr:uid="{00000000-0005-0000-0000-000099630000}"/>
    <cellStyle name="40% - Accent2 2 5 9 3 3" xfId="16111" xr:uid="{00000000-0005-0000-0000-00009A630000}"/>
    <cellStyle name="40% - Accent2 2 5 9 3 4" xfId="21587" xr:uid="{00000000-0005-0000-0000-00009B630000}"/>
    <cellStyle name="40% - Accent2 2 5 9 3 5" xfId="27063" xr:uid="{00000000-0005-0000-0000-00009C630000}"/>
    <cellStyle name="40% - Accent2 2 5 9 3 6" xfId="38859" xr:uid="{00000000-0005-0000-0000-00009D630000}"/>
    <cellStyle name="40% - Accent2 2 5 9 3 7" xfId="44336" xr:uid="{00000000-0005-0000-0000-00009E630000}"/>
    <cellStyle name="40% - Accent2 2 5 9 3 8" xfId="49813" xr:uid="{00000000-0005-0000-0000-00009F630000}"/>
    <cellStyle name="40% - Accent2 2 5 9 3 9" xfId="55331" xr:uid="{00000000-0005-0000-0000-0000A0630000}"/>
    <cellStyle name="40% - Accent2 2 5 9 4" xfId="6404" xr:uid="{00000000-0005-0000-0000-0000A1630000}"/>
    <cellStyle name="40% - Accent2 2 5 9 5" xfId="11884" xr:uid="{00000000-0005-0000-0000-0000A2630000}"/>
    <cellStyle name="40% - Accent2 2 5 9 6" xfId="17360" xr:uid="{00000000-0005-0000-0000-0000A3630000}"/>
    <cellStyle name="40% - Accent2 2 5 9 7" xfId="22836" xr:uid="{00000000-0005-0000-0000-0000A4630000}"/>
    <cellStyle name="40% - Accent2 2 5 9 8" xfId="34631" xr:uid="{00000000-0005-0000-0000-0000A5630000}"/>
    <cellStyle name="40% - Accent2 2 5 9 9" xfId="40108" xr:uid="{00000000-0005-0000-0000-0000A6630000}"/>
    <cellStyle name="40% - Accent2 2 6" xfId="348" xr:uid="{00000000-0005-0000-0000-0000A7630000}"/>
    <cellStyle name="40% - Accent2 2 6 10" xfId="40109" xr:uid="{00000000-0005-0000-0000-0000A8630000}"/>
    <cellStyle name="40% - Accent2 2 6 11" xfId="45586" xr:uid="{00000000-0005-0000-0000-0000A9630000}"/>
    <cellStyle name="40% - Accent2 2 6 12" xfId="51064" xr:uid="{00000000-0005-0000-0000-0000AA630000}"/>
    <cellStyle name="40% - Accent2 2 6 2" xfId="2143" xr:uid="{00000000-0005-0000-0000-0000AB630000}"/>
    <cellStyle name="40% - Accent2 2 6 2 10" xfId="52319" xr:uid="{00000000-0005-0000-0000-0000AC630000}"/>
    <cellStyle name="40% - Accent2 2 6 2 2" xfId="7623" xr:uid="{00000000-0005-0000-0000-0000AD630000}"/>
    <cellStyle name="40% - Accent2 2 6 2 2 2" xfId="30831" xr:uid="{00000000-0005-0000-0000-0000AE630000}"/>
    <cellStyle name="40% - Accent2 2 6 2 3" xfId="13099" xr:uid="{00000000-0005-0000-0000-0000AF630000}"/>
    <cellStyle name="40% - Accent2 2 6 2 4" xfId="18575" xr:uid="{00000000-0005-0000-0000-0000B0630000}"/>
    <cellStyle name="40% - Accent2 2 6 2 5" xfId="24051" xr:uid="{00000000-0005-0000-0000-0000B1630000}"/>
    <cellStyle name="40% - Accent2 2 6 2 6" xfId="30830" xr:uid="{00000000-0005-0000-0000-0000B2630000}"/>
    <cellStyle name="40% - Accent2 2 6 2 7" xfId="35847" xr:uid="{00000000-0005-0000-0000-0000B3630000}"/>
    <cellStyle name="40% - Accent2 2 6 2 8" xfId="41324" xr:uid="{00000000-0005-0000-0000-0000B4630000}"/>
    <cellStyle name="40% - Accent2 2 6 2 9" xfId="46801" xr:uid="{00000000-0005-0000-0000-0000B5630000}"/>
    <cellStyle name="40% - Accent2 2 6 3" xfId="3910" xr:uid="{00000000-0005-0000-0000-0000B6630000}"/>
    <cellStyle name="40% - Accent2 2 6 3 10" xfId="54086" xr:uid="{00000000-0005-0000-0000-0000B7630000}"/>
    <cellStyle name="40% - Accent2 2 6 3 2" xfId="9390" xr:uid="{00000000-0005-0000-0000-0000B8630000}"/>
    <cellStyle name="40% - Accent2 2 6 3 3" xfId="14866" xr:uid="{00000000-0005-0000-0000-0000B9630000}"/>
    <cellStyle name="40% - Accent2 2 6 3 4" xfId="20342" xr:uid="{00000000-0005-0000-0000-0000BA630000}"/>
    <cellStyle name="40% - Accent2 2 6 3 5" xfId="25818" xr:uid="{00000000-0005-0000-0000-0000BB630000}"/>
    <cellStyle name="40% - Accent2 2 6 3 6" xfId="30832" xr:uid="{00000000-0005-0000-0000-0000BC630000}"/>
    <cellStyle name="40% - Accent2 2 6 3 7" xfId="37614" xr:uid="{00000000-0005-0000-0000-0000BD630000}"/>
    <cellStyle name="40% - Accent2 2 6 3 8" xfId="43091" xr:uid="{00000000-0005-0000-0000-0000BE630000}"/>
    <cellStyle name="40% - Accent2 2 6 3 9" xfId="48568" xr:uid="{00000000-0005-0000-0000-0000BF630000}"/>
    <cellStyle name="40% - Accent2 2 6 4" xfId="6405" xr:uid="{00000000-0005-0000-0000-0000C0630000}"/>
    <cellStyle name="40% - Accent2 2 6 5" xfId="11885" xr:uid="{00000000-0005-0000-0000-0000C1630000}"/>
    <cellStyle name="40% - Accent2 2 6 6" xfId="17361" xr:uid="{00000000-0005-0000-0000-0000C2630000}"/>
    <cellStyle name="40% - Accent2 2 6 7" xfId="22837" xr:uid="{00000000-0005-0000-0000-0000C3630000}"/>
    <cellStyle name="40% - Accent2 2 6 8" xfId="30829" xr:uid="{00000000-0005-0000-0000-0000C4630000}"/>
    <cellStyle name="40% - Accent2 2 6 9" xfId="34632" xr:uid="{00000000-0005-0000-0000-0000C5630000}"/>
    <cellStyle name="40% - Accent2 2 7" xfId="549" xr:uid="{00000000-0005-0000-0000-0000C6630000}"/>
    <cellStyle name="40% - Accent2 2 7 10" xfId="40110" xr:uid="{00000000-0005-0000-0000-0000C7630000}"/>
    <cellStyle name="40% - Accent2 2 7 11" xfId="45587" xr:uid="{00000000-0005-0000-0000-0000C8630000}"/>
    <cellStyle name="40% - Accent2 2 7 12" xfId="51065" xr:uid="{00000000-0005-0000-0000-0000C9630000}"/>
    <cellStyle name="40% - Accent2 2 7 2" xfId="2310" xr:uid="{00000000-0005-0000-0000-0000CA630000}"/>
    <cellStyle name="40% - Accent2 2 7 2 10" xfId="52486" xr:uid="{00000000-0005-0000-0000-0000CB630000}"/>
    <cellStyle name="40% - Accent2 2 7 2 2" xfId="7790" xr:uid="{00000000-0005-0000-0000-0000CC630000}"/>
    <cellStyle name="40% - Accent2 2 7 2 2 2" xfId="30835" xr:uid="{00000000-0005-0000-0000-0000CD630000}"/>
    <cellStyle name="40% - Accent2 2 7 2 3" xfId="13266" xr:uid="{00000000-0005-0000-0000-0000CE630000}"/>
    <cellStyle name="40% - Accent2 2 7 2 4" xfId="18742" xr:uid="{00000000-0005-0000-0000-0000CF630000}"/>
    <cellStyle name="40% - Accent2 2 7 2 5" xfId="24218" xr:uid="{00000000-0005-0000-0000-0000D0630000}"/>
    <cellStyle name="40% - Accent2 2 7 2 6" xfId="30834" xr:uid="{00000000-0005-0000-0000-0000D1630000}"/>
    <cellStyle name="40% - Accent2 2 7 2 7" xfId="36014" xr:uid="{00000000-0005-0000-0000-0000D2630000}"/>
    <cellStyle name="40% - Accent2 2 7 2 8" xfId="41491" xr:uid="{00000000-0005-0000-0000-0000D3630000}"/>
    <cellStyle name="40% - Accent2 2 7 2 9" xfId="46968" xr:uid="{00000000-0005-0000-0000-0000D4630000}"/>
    <cellStyle name="40% - Accent2 2 7 3" xfId="4082" xr:uid="{00000000-0005-0000-0000-0000D5630000}"/>
    <cellStyle name="40% - Accent2 2 7 3 10" xfId="54258" xr:uid="{00000000-0005-0000-0000-0000D6630000}"/>
    <cellStyle name="40% - Accent2 2 7 3 2" xfId="9562" xr:uid="{00000000-0005-0000-0000-0000D7630000}"/>
    <cellStyle name="40% - Accent2 2 7 3 3" xfId="15038" xr:uid="{00000000-0005-0000-0000-0000D8630000}"/>
    <cellStyle name="40% - Accent2 2 7 3 4" xfId="20514" xr:uid="{00000000-0005-0000-0000-0000D9630000}"/>
    <cellStyle name="40% - Accent2 2 7 3 5" xfId="25990" xr:uid="{00000000-0005-0000-0000-0000DA630000}"/>
    <cellStyle name="40% - Accent2 2 7 3 6" xfId="30836" xr:uid="{00000000-0005-0000-0000-0000DB630000}"/>
    <cellStyle name="40% - Accent2 2 7 3 7" xfId="37786" xr:uid="{00000000-0005-0000-0000-0000DC630000}"/>
    <cellStyle name="40% - Accent2 2 7 3 8" xfId="43263" xr:uid="{00000000-0005-0000-0000-0000DD630000}"/>
    <cellStyle name="40% - Accent2 2 7 3 9" xfId="48740" xr:uid="{00000000-0005-0000-0000-0000DE630000}"/>
    <cellStyle name="40% - Accent2 2 7 4" xfId="6406" xr:uid="{00000000-0005-0000-0000-0000DF630000}"/>
    <cellStyle name="40% - Accent2 2 7 5" xfId="11886" xr:uid="{00000000-0005-0000-0000-0000E0630000}"/>
    <cellStyle name="40% - Accent2 2 7 6" xfId="17362" xr:uid="{00000000-0005-0000-0000-0000E1630000}"/>
    <cellStyle name="40% - Accent2 2 7 7" xfId="22838" xr:uid="{00000000-0005-0000-0000-0000E2630000}"/>
    <cellStyle name="40% - Accent2 2 7 8" xfId="30833" xr:uid="{00000000-0005-0000-0000-0000E3630000}"/>
    <cellStyle name="40% - Accent2 2 7 9" xfId="34633" xr:uid="{00000000-0005-0000-0000-0000E4630000}"/>
    <cellStyle name="40% - Accent2 2 8" xfId="721" xr:uid="{00000000-0005-0000-0000-0000E5630000}"/>
    <cellStyle name="40% - Accent2 2 8 10" xfId="40111" xr:uid="{00000000-0005-0000-0000-0000E6630000}"/>
    <cellStyle name="40% - Accent2 2 8 11" xfId="45588" xr:uid="{00000000-0005-0000-0000-0000E7630000}"/>
    <cellStyle name="40% - Accent2 2 8 12" xfId="51066" xr:uid="{00000000-0005-0000-0000-0000E8630000}"/>
    <cellStyle name="40% - Accent2 2 8 2" xfId="2482" xr:uid="{00000000-0005-0000-0000-0000E9630000}"/>
    <cellStyle name="40% - Accent2 2 8 2 10" xfId="52658" xr:uid="{00000000-0005-0000-0000-0000EA630000}"/>
    <cellStyle name="40% - Accent2 2 8 2 2" xfId="7962" xr:uid="{00000000-0005-0000-0000-0000EB630000}"/>
    <cellStyle name="40% - Accent2 2 8 2 3" xfId="13438" xr:uid="{00000000-0005-0000-0000-0000EC630000}"/>
    <cellStyle name="40% - Accent2 2 8 2 4" xfId="18914" xr:uid="{00000000-0005-0000-0000-0000ED630000}"/>
    <cellStyle name="40% - Accent2 2 8 2 5" xfId="24390" xr:uid="{00000000-0005-0000-0000-0000EE630000}"/>
    <cellStyle name="40% - Accent2 2 8 2 6" xfId="30838" xr:uid="{00000000-0005-0000-0000-0000EF630000}"/>
    <cellStyle name="40% - Accent2 2 8 2 7" xfId="36186" xr:uid="{00000000-0005-0000-0000-0000F0630000}"/>
    <cellStyle name="40% - Accent2 2 8 2 8" xfId="41663" xr:uid="{00000000-0005-0000-0000-0000F1630000}"/>
    <cellStyle name="40% - Accent2 2 8 2 9" xfId="47140" xr:uid="{00000000-0005-0000-0000-0000F2630000}"/>
    <cellStyle name="40% - Accent2 2 8 3" xfId="4254" xr:uid="{00000000-0005-0000-0000-0000F3630000}"/>
    <cellStyle name="40% - Accent2 2 8 3 2" xfId="9734" xr:uid="{00000000-0005-0000-0000-0000F4630000}"/>
    <cellStyle name="40% - Accent2 2 8 3 3" xfId="15210" xr:uid="{00000000-0005-0000-0000-0000F5630000}"/>
    <cellStyle name="40% - Accent2 2 8 3 4" xfId="20686" xr:uid="{00000000-0005-0000-0000-0000F6630000}"/>
    <cellStyle name="40% - Accent2 2 8 3 5" xfId="26162" xr:uid="{00000000-0005-0000-0000-0000F7630000}"/>
    <cellStyle name="40% - Accent2 2 8 3 6" xfId="37958" xr:uid="{00000000-0005-0000-0000-0000F8630000}"/>
    <cellStyle name="40% - Accent2 2 8 3 7" xfId="43435" xr:uid="{00000000-0005-0000-0000-0000F9630000}"/>
    <cellStyle name="40% - Accent2 2 8 3 8" xfId="48912" xr:uid="{00000000-0005-0000-0000-0000FA630000}"/>
    <cellStyle name="40% - Accent2 2 8 3 9" xfId="54430" xr:uid="{00000000-0005-0000-0000-0000FB630000}"/>
    <cellStyle name="40% - Accent2 2 8 4" xfId="6407" xr:uid="{00000000-0005-0000-0000-0000FC630000}"/>
    <cellStyle name="40% - Accent2 2 8 5" xfId="11887" xr:uid="{00000000-0005-0000-0000-0000FD630000}"/>
    <cellStyle name="40% - Accent2 2 8 6" xfId="17363" xr:uid="{00000000-0005-0000-0000-0000FE630000}"/>
    <cellStyle name="40% - Accent2 2 8 7" xfId="22839" xr:uid="{00000000-0005-0000-0000-0000FF630000}"/>
    <cellStyle name="40% - Accent2 2 8 8" xfId="30837" xr:uid="{00000000-0005-0000-0000-000000640000}"/>
    <cellStyle name="40% - Accent2 2 8 9" xfId="34634" xr:uid="{00000000-0005-0000-0000-000001640000}"/>
    <cellStyle name="40% - Accent2 2 9" xfId="893" xr:uid="{00000000-0005-0000-0000-000002640000}"/>
    <cellStyle name="40% - Accent2 2 9 10" xfId="40112" xr:uid="{00000000-0005-0000-0000-000003640000}"/>
    <cellStyle name="40% - Accent2 2 9 11" xfId="45589" xr:uid="{00000000-0005-0000-0000-000004640000}"/>
    <cellStyle name="40% - Accent2 2 9 12" xfId="51067" xr:uid="{00000000-0005-0000-0000-000005640000}"/>
    <cellStyle name="40% - Accent2 2 9 2" xfId="2654" xr:uid="{00000000-0005-0000-0000-000006640000}"/>
    <cellStyle name="40% - Accent2 2 9 2 2" xfId="8134" xr:uid="{00000000-0005-0000-0000-000007640000}"/>
    <cellStyle name="40% - Accent2 2 9 2 3" xfId="13610" xr:uid="{00000000-0005-0000-0000-000008640000}"/>
    <cellStyle name="40% - Accent2 2 9 2 4" xfId="19086" xr:uid="{00000000-0005-0000-0000-000009640000}"/>
    <cellStyle name="40% - Accent2 2 9 2 5" xfId="24562" xr:uid="{00000000-0005-0000-0000-00000A640000}"/>
    <cellStyle name="40% - Accent2 2 9 2 6" xfId="36358" xr:uid="{00000000-0005-0000-0000-00000B640000}"/>
    <cellStyle name="40% - Accent2 2 9 2 7" xfId="41835" xr:uid="{00000000-0005-0000-0000-00000C640000}"/>
    <cellStyle name="40% - Accent2 2 9 2 8" xfId="47312" xr:uid="{00000000-0005-0000-0000-00000D640000}"/>
    <cellStyle name="40% - Accent2 2 9 2 9" xfId="52830" xr:uid="{00000000-0005-0000-0000-00000E640000}"/>
    <cellStyle name="40% - Accent2 2 9 3" xfId="4426" xr:uid="{00000000-0005-0000-0000-00000F640000}"/>
    <cellStyle name="40% - Accent2 2 9 3 2" xfId="9906" xr:uid="{00000000-0005-0000-0000-000010640000}"/>
    <cellStyle name="40% - Accent2 2 9 3 3" xfId="15382" xr:uid="{00000000-0005-0000-0000-000011640000}"/>
    <cellStyle name="40% - Accent2 2 9 3 4" xfId="20858" xr:uid="{00000000-0005-0000-0000-000012640000}"/>
    <cellStyle name="40% - Accent2 2 9 3 5" xfId="26334" xr:uid="{00000000-0005-0000-0000-000013640000}"/>
    <cellStyle name="40% - Accent2 2 9 3 6" xfId="38130" xr:uid="{00000000-0005-0000-0000-000014640000}"/>
    <cellStyle name="40% - Accent2 2 9 3 7" xfId="43607" xr:uid="{00000000-0005-0000-0000-000015640000}"/>
    <cellStyle name="40% - Accent2 2 9 3 8" xfId="49084" xr:uid="{00000000-0005-0000-0000-000016640000}"/>
    <cellStyle name="40% - Accent2 2 9 3 9" xfId="54602" xr:uid="{00000000-0005-0000-0000-000017640000}"/>
    <cellStyle name="40% - Accent2 2 9 4" xfId="6408" xr:uid="{00000000-0005-0000-0000-000018640000}"/>
    <cellStyle name="40% - Accent2 2 9 5" xfId="11888" xr:uid="{00000000-0005-0000-0000-000019640000}"/>
    <cellStyle name="40% - Accent2 2 9 6" xfId="17364" xr:uid="{00000000-0005-0000-0000-00001A640000}"/>
    <cellStyle name="40% - Accent2 2 9 7" xfId="22840" xr:uid="{00000000-0005-0000-0000-00001B640000}"/>
    <cellStyle name="40% - Accent2 2 9 8" xfId="30839" xr:uid="{00000000-0005-0000-0000-00001C640000}"/>
    <cellStyle name="40% - Accent2 2 9 9" xfId="34635" xr:uid="{00000000-0005-0000-0000-00001D640000}"/>
    <cellStyle name="40% - Accent2 20" xfId="30840" xr:uid="{00000000-0005-0000-0000-00001E640000}"/>
    <cellStyle name="40% - Accent2 20 2" xfId="30841" xr:uid="{00000000-0005-0000-0000-00001F640000}"/>
    <cellStyle name="40% - Accent2 20 2 2" xfId="30842" xr:uid="{00000000-0005-0000-0000-000020640000}"/>
    <cellStyle name="40% - Accent2 20 3" xfId="30843" xr:uid="{00000000-0005-0000-0000-000021640000}"/>
    <cellStyle name="40% - Accent2 21" xfId="30844" xr:uid="{00000000-0005-0000-0000-000022640000}"/>
    <cellStyle name="40% - Accent2 21 2" xfId="30845" xr:uid="{00000000-0005-0000-0000-000023640000}"/>
    <cellStyle name="40% - Accent2 22" xfId="30846" xr:uid="{00000000-0005-0000-0000-000024640000}"/>
    <cellStyle name="40% - Accent2 23" xfId="30847" xr:uid="{00000000-0005-0000-0000-000025640000}"/>
    <cellStyle name="40% - Accent2 23 2" xfId="30848" xr:uid="{00000000-0005-0000-0000-000026640000}"/>
    <cellStyle name="40% - Accent2 24" xfId="30849" xr:uid="{00000000-0005-0000-0000-000027640000}"/>
    <cellStyle name="40% - Accent2 24 2" xfId="30850" xr:uid="{00000000-0005-0000-0000-000028640000}"/>
    <cellStyle name="40% - Accent2 25" xfId="30851" xr:uid="{00000000-0005-0000-0000-000029640000}"/>
    <cellStyle name="40% - Accent2 26" xfId="27558" xr:uid="{00000000-0005-0000-0000-00002A640000}"/>
    <cellStyle name="40% - Accent2 27" xfId="35603" xr:uid="{00000000-0005-0000-0000-00002B640000}"/>
    <cellStyle name="40% - Accent2 28" xfId="41080" xr:uid="{00000000-0005-0000-0000-00002C640000}"/>
    <cellStyle name="40% - Accent2 29" xfId="46557" xr:uid="{00000000-0005-0000-0000-00002D640000}"/>
    <cellStyle name="40% - Accent2 3" xfId="187" xr:uid="{00000000-0005-0000-0000-00002E640000}"/>
    <cellStyle name="40% - Accent2 3 10" xfId="1820" xr:uid="{00000000-0005-0000-0000-00002F640000}"/>
    <cellStyle name="40% - Accent2 3 10 10" xfId="45591" xr:uid="{00000000-0005-0000-0000-000030640000}"/>
    <cellStyle name="40% - Accent2 3 10 11" xfId="51069" xr:uid="{00000000-0005-0000-0000-000031640000}"/>
    <cellStyle name="40% - Accent2 3 10 2" xfId="3581" xr:uid="{00000000-0005-0000-0000-000032640000}"/>
    <cellStyle name="40% - Accent2 3 10 2 2" xfId="9061" xr:uid="{00000000-0005-0000-0000-000033640000}"/>
    <cellStyle name="40% - Accent2 3 10 2 3" xfId="14537" xr:uid="{00000000-0005-0000-0000-000034640000}"/>
    <cellStyle name="40% - Accent2 3 10 2 4" xfId="20013" xr:uid="{00000000-0005-0000-0000-000035640000}"/>
    <cellStyle name="40% - Accent2 3 10 2 5" xfId="25489" xr:uid="{00000000-0005-0000-0000-000036640000}"/>
    <cellStyle name="40% - Accent2 3 10 2 6" xfId="37285" xr:uid="{00000000-0005-0000-0000-000037640000}"/>
    <cellStyle name="40% - Accent2 3 10 2 7" xfId="42762" xr:uid="{00000000-0005-0000-0000-000038640000}"/>
    <cellStyle name="40% - Accent2 3 10 2 8" xfId="48239" xr:uid="{00000000-0005-0000-0000-000039640000}"/>
    <cellStyle name="40% - Accent2 3 10 2 9" xfId="53757" xr:uid="{00000000-0005-0000-0000-00003A640000}"/>
    <cellStyle name="40% - Accent2 3 10 3" xfId="5353" xr:uid="{00000000-0005-0000-0000-00003B640000}"/>
    <cellStyle name="40% - Accent2 3 10 3 2" xfId="10833" xr:uid="{00000000-0005-0000-0000-00003C640000}"/>
    <cellStyle name="40% - Accent2 3 10 3 3" xfId="16309" xr:uid="{00000000-0005-0000-0000-00003D640000}"/>
    <cellStyle name="40% - Accent2 3 10 3 4" xfId="21785" xr:uid="{00000000-0005-0000-0000-00003E640000}"/>
    <cellStyle name="40% - Accent2 3 10 3 5" xfId="27261" xr:uid="{00000000-0005-0000-0000-00003F640000}"/>
    <cellStyle name="40% - Accent2 3 10 3 6" xfId="39057" xr:uid="{00000000-0005-0000-0000-000040640000}"/>
    <cellStyle name="40% - Accent2 3 10 3 7" xfId="44534" xr:uid="{00000000-0005-0000-0000-000041640000}"/>
    <cellStyle name="40% - Accent2 3 10 3 8" xfId="50011" xr:uid="{00000000-0005-0000-0000-000042640000}"/>
    <cellStyle name="40% - Accent2 3 10 3 9" xfId="55529" xr:uid="{00000000-0005-0000-0000-000043640000}"/>
    <cellStyle name="40% - Accent2 3 10 4" xfId="6410" xr:uid="{00000000-0005-0000-0000-000044640000}"/>
    <cellStyle name="40% - Accent2 3 10 5" xfId="11890" xr:uid="{00000000-0005-0000-0000-000045640000}"/>
    <cellStyle name="40% - Accent2 3 10 6" xfId="17366" xr:uid="{00000000-0005-0000-0000-000046640000}"/>
    <cellStyle name="40% - Accent2 3 10 7" xfId="22842" xr:uid="{00000000-0005-0000-0000-000047640000}"/>
    <cellStyle name="40% - Accent2 3 10 8" xfId="34637" xr:uid="{00000000-0005-0000-0000-000048640000}"/>
    <cellStyle name="40% - Accent2 3 10 9" xfId="40114" xr:uid="{00000000-0005-0000-0000-000049640000}"/>
    <cellStyle name="40% - Accent2 3 11" xfId="1985" xr:uid="{00000000-0005-0000-0000-00004A640000}"/>
    <cellStyle name="40% - Accent2 3 11 10" xfId="52162" xr:uid="{00000000-0005-0000-0000-00004B640000}"/>
    <cellStyle name="40% - Accent2 3 11 2" xfId="5517" xr:uid="{00000000-0005-0000-0000-00004C640000}"/>
    <cellStyle name="40% - Accent2 3 11 2 2" xfId="10997" xr:uid="{00000000-0005-0000-0000-00004D640000}"/>
    <cellStyle name="40% - Accent2 3 11 2 3" xfId="16473" xr:uid="{00000000-0005-0000-0000-00004E640000}"/>
    <cellStyle name="40% - Accent2 3 11 2 4" xfId="21949" xr:uid="{00000000-0005-0000-0000-00004F640000}"/>
    <cellStyle name="40% - Accent2 3 11 2 5" xfId="27425" xr:uid="{00000000-0005-0000-0000-000050640000}"/>
    <cellStyle name="40% - Accent2 3 11 2 6" xfId="39221" xr:uid="{00000000-0005-0000-0000-000051640000}"/>
    <cellStyle name="40% - Accent2 3 11 2 7" xfId="44698" xr:uid="{00000000-0005-0000-0000-000052640000}"/>
    <cellStyle name="40% - Accent2 3 11 2 8" xfId="50175" xr:uid="{00000000-0005-0000-0000-000053640000}"/>
    <cellStyle name="40% - Accent2 3 11 2 9" xfId="55693" xr:uid="{00000000-0005-0000-0000-000054640000}"/>
    <cellStyle name="40% - Accent2 3 11 3" xfId="7466" xr:uid="{00000000-0005-0000-0000-000055640000}"/>
    <cellStyle name="40% - Accent2 3 11 4" xfId="12942" xr:uid="{00000000-0005-0000-0000-000056640000}"/>
    <cellStyle name="40% - Accent2 3 11 5" xfId="18418" xr:uid="{00000000-0005-0000-0000-000057640000}"/>
    <cellStyle name="40% - Accent2 3 11 6" xfId="23894" xr:uid="{00000000-0005-0000-0000-000058640000}"/>
    <cellStyle name="40% - Accent2 3 11 7" xfId="35690" xr:uid="{00000000-0005-0000-0000-000059640000}"/>
    <cellStyle name="40% - Accent2 3 11 8" xfId="41167" xr:uid="{00000000-0005-0000-0000-00005A640000}"/>
    <cellStyle name="40% - Accent2 3 11 9" xfId="46644" xr:uid="{00000000-0005-0000-0000-00005B640000}"/>
    <cellStyle name="40% - Accent2 3 12" xfId="3757" xr:uid="{00000000-0005-0000-0000-00005C640000}"/>
    <cellStyle name="40% - Accent2 3 12 2" xfId="9237" xr:uid="{00000000-0005-0000-0000-00005D640000}"/>
    <cellStyle name="40% - Accent2 3 12 3" xfId="14713" xr:uid="{00000000-0005-0000-0000-00005E640000}"/>
    <cellStyle name="40% - Accent2 3 12 4" xfId="20189" xr:uid="{00000000-0005-0000-0000-00005F640000}"/>
    <cellStyle name="40% - Accent2 3 12 5" xfId="25665" xr:uid="{00000000-0005-0000-0000-000060640000}"/>
    <cellStyle name="40% - Accent2 3 12 6" xfId="37461" xr:uid="{00000000-0005-0000-0000-000061640000}"/>
    <cellStyle name="40% - Accent2 3 12 7" xfId="42938" xr:uid="{00000000-0005-0000-0000-000062640000}"/>
    <cellStyle name="40% - Accent2 3 12 8" xfId="48415" xr:uid="{00000000-0005-0000-0000-000063640000}"/>
    <cellStyle name="40% - Accent2 3 12 9" xfId="53933" xr:uid="{00000000-0005-0000-0000-000064640000}"/>
    <cellStyle name="40% - Accent2 3 13" xfId="6409" xr:uid="{00000000-0005-0000-0000-000065640000}"/>
    <cellStyle name="40% - Accent2 3 14" xfId="11889" xr:uid="{00000000-0005-0000-0000-000066640000}"/>
    <cellStyle name="40% - Accent2 3 15" xfId="17365" xr:uid="{00000000-0005-0000-0000-000067640000}"/>
    <cellStyle name="40% - Accent2 3 16" xfId="22841" xr:uid="{00000000-0005-0000-0000-000068640000}"/>
    <cellStyle name="40% - Accent2 3 17" xfId="30852" xr:uid="{00000000-0005-0000-0000-000069640000}"/>
    <cellStyle name="40% - Accent2 3 18" xfId="34636" xr:uid="{00000000-0005-0000-0000-00006A640000}"/>
    <cellStyle name="40% - Accent2 3 19" xfId="40113" xr:uid="{00000000-0005-0000-0000-00006B640000}"/>
    <cellStyle name="40% - Accent2 3 2" xfId="356" xr:uid="{00000000-0005-0000-0000-00006C640000}"/>
    <cellStyle name="40% - Accent2 3 2 10" xfId="40115" xr:uid="{00000000-0005-0000-0000-00006D640000}"/>
    <cellStyle name="40% - Accent2 3 2 11" xfId="45592" xr:uid="{00000000-0005-0000-0000-00006E640000}"/>
    <cellStyle name="40% - Accent2 3 2 12" xfId="51070" xr:uid="{00000000-0005-0000-0000-00006F640000}"/>
    <cellStyle name="40% - Accent2 3 2 2" xfId="2151" xr:uid="{00000000-0005-0000-0000-000070640000}"/>
    <cellStyle name="40% - Accent2 3 2 2 10" xfId="52327" xr:uid="{00000000-0005-0000-0000-000071640000}"/>
    <cellStyle name="40% - Accent2 3 2 2 2" xfId="7631" xr:uid="{00000000-0005-0000-0000-000072640000}"/>
    <cellStyle name="40% - Accent2 3 2 2 2 2" xfId="30855" xr:uid="{00000000-0005-0000-0000-000073640000}"/>
    <cellStyle name="40% - Accent2 3 2 2 3" xfId="13107" xr:uid="{00000000-0005-0000-0000-000074640000}"/>
    <cellStyle name="40% - Accent2 3 2 2 4" xfId="18583" xr:uid="{00000000-0005-0000-0000-000075640000}"/>
    <cellStyle name="40% - Accent2 3 2 2 5" xfId="24059" xr:uid="{00000000-0005-0000-0000-000076640000}"/>
    <cellStyle name="40% - Accent2 3 2 2 6" xfId="30854" xr:uid="{00000000-0005-0000-0000-000077640000}"/>
    <cellStyle name="40% - Accent2 3 2 2 7" xfId="35855" xr:uid="{00000000-0005-0000-0000-000078640000}"/>
    <cellStyle name="40% - Accent2 3 2 2 8" xfId="41332" xr:uid="{00000000-0005-0000-0000-000079640000}"/>
    <cellStyle name="40% - Accent2 3 2 2 9" xfId="46809" xr:uid="{00000000-0005-0000-0000-00007A640000}"/>
    <cellStyle name="40% - Accent2 3 2 3" xfId="3918" xr:uid="{00000000-0005-0000-0000-00007B640000}"/>
    <cellStyle name="40% - Accent2 3 2 3 10" xfId="54094" xr:uid="{00000000-0005-0000-0000-00007C640000}"/>
    <cellStyle name="40% - Accent2 3 2 3 2" xfId="9398" xr:uid="{00000000-0005-0000-0000-00007D640000}"/>
    <cellStyle name="40% - Accent2 3 2 3 3" xfId="14874" xr:uid="{00000000-0005-0000-0000-00007E640000}"/>
    <cellStyle name="40% - Accent2 3 2 3 4" xfId="20350" xr:uid="{00000000-0005-0000-0000-00007F640000}"/>
    <cellStyle name="40% - Accent2 3 2 3 5" xfId="25826" xr:uid="{00000000-0005-0000-0000-000080640000}"/>
    <cellStyle name="40% - Accent2 3 2 3 6" xfId="30856" xr:uid="{00000000-0005-0000-0000-000081640000}"/>
    <cellStyle name="40% - Accent2 3 2 3 7" xfId="37622" xr:uid="{00000000-0005-0000-0000-000082640000}"/>
    <cellStyle name="40% - Accent2 3 2 3 8" xfId="43099" xr:uid="{00000000-0005-0000-0000-000083640000}"/>
    <cellStyle name="40% - Accent2 3 2 3 9" xfId="48576" xr:uid="{00000000-0005-0000-0000-000084640000}"/>
    <cellStyle name="40% - Accent2 3 2 4" xfId="6411" xr:uid="{00000000-0005-0000-0000-000085640000}"/>
    <cellStyle name="40% - Accent2 3 2 5" xfId="11891" xr:uid="{00000000-0005-0000-0000-000086640000}"/>
    <cellStyle name="40% - Accent2 3 2 6" xfId="17367" xr:uid="{00000000-0005-0000-0000-000087640000}"/>
    <cellStyle name="40% - Accent2 3 2 7" xfId="22843" xr:uid="{00000000-0005-0000-0000-000088640000}"/>
    <cellStyle name="40% - Accent2 3 2 8" xfId="30853" xr:uid="{00000000-0005-0000-0000-000089640000}"/>
    <cellStyle name="40% - Accent2 3 2 9" xfId="34638" xr:uid="{00000000-0005-0000-0000-00008A640000}"/>
    <cellStyle name="40% - Accent2 3 20" xfId="45590" xr:uid="{00000000-0005-0000-0000-00008B640000}"/>
    <cellStyle name="40% - Accent2 3 21" xfId="51068" xr:uid="{00000000-0005-0000-0000-00008C640000}"/>
    <cellStyle name="40% - Accent2 3 3" xfId="557" xr:uid="{00000000-0005-0000-0000-00008D640000}"/>
    <cellStyle name="40% - Accent2 3 3 10" xfId="40116" xr:uid="{00000000-0005-0000-0000-00008E640000}"/>
    <cellStyle name="40% - Accent2 3 3 11" xfId="45593" xr:uid="{00000000-0005-0000-0000-00008F640000}"/>
    <cellStyle name="40% - Accent2 3 3 12" xfId="51071" xr:uid="{00000000-0005-0000-0000-000090640000}"/>
    <cellStyle name="40% - Accent2 3 3 2" xfId="2318" xr:uid="{00000000-0005-0000-0000-000091640000}"/>
    <cellStyle name="40% - Accent2 3 3 2 10" xfId="52494" xr:uid="{00000000-0005-0000-0000-000092640000}"/>
    <cellStyle name="40% - Accent2 3 3 2 2" xfId="7798" xr:uid="{00000000-0005-0000-0000-000093640000}"/>
    <cellStyle name="40% - Accent2 3 3 2 2 2" xfId="30859" xr:uid="{00000000-0005-0000-0000-000094640000}"/>
    <cellStyle name="40% - Accent2 3 3 2 3" xfId="13274" xr:uid="{00000000-0005-0000-0000-000095640000}"/>
    <cellStyle name="40% - Accent2 3 3 2 4" xfId="18750" xr:uid="{00000000-0005-0000-0000-000096640000}"/>
    <cellStyle name="40% - Accent2 3 3 2 5" xfId="24226" xr:uid="{00000000-0005-0000-0000-000097640000}"/>
    <cellStyle name="40% - Accent2 3 3 2 6" xfId="30858" xr:uid="{00000000-0005-0000-0000-000098640000}"/>
    <cellStyle name="40% - Accent2 3 3 2 7" xfId="36022" xr:uid="{00000000-0005-0000-0000-000099640000}"/>
    <cellStyle name="40% - Accent2 3 3 2 8" xfId="41499" xr:uid="{00000000-0005-0000-0000-00009A640000}"/>
    <cellStyle name="40% - Accent2 3 3 2 9" xfId="46976" xr:uid="{00000000-0005-0000-0000-00009B640000}"/>
    <cellStyle name="40% - Accent2 3 3 3" xfId="4090" xr:uid="{00000000-0005-0000-0000-00009C640000}"/>
    <cellStyle name="40% - Accent2 3 3 3 10" xfId="54266" xr:uid="{00000000-0005-0000-0000-00009D640000}"/>
    <cellStyle name="40% - Accent2 3 3 3 2" xfId="9570" xr:uid="{00000000-0005-0000-0000-00009E640000}"/>
    <cellStyle name="40% - Accent2 3 3 3 3" xfId="15046" xr:uid="{00000000-0005-0000-0000-00009F640000}"/>
    <cellStyle name="40% - Accent2 3 3 3 4" xfId="20522" xr:uid="{00000000-0005-0000-0000-0000A0640000}"/>
    <cellStyle name="40% - Accent2 3 3 3 5" xfId="25998" xr:uid="{00000000-0005-0000-0000-0000A1640000}"/>
    <cellStyle name="40% - Accent2 3 3 3 6" xfId="30860" xr:uid="{00000000-0005-0000-0000-0000A2640000}"/>
    <cellStyle name="40% - Accent2 3 3 3 7" xfId="37794" xr:uid="{00000000-0005-0000-0000-0000A3640000}"/>
    <cellStyle name="40% - Accent2 3 3 3 8" xfId="43271" xr:uid="{00000000-0005-0000-0000-0000A4640000}"/>
    <cellStyle name="40% - Accent2 3 3 3 9" xfId="48748" xr:uid="{00000000-0005-0000-0000-0000A5640000}"/>
    <cellStyle name="40% - Accent2 3 3 4" xfId="6412" xr:uid="{00000000-0005-0000-0000-0000A6640000}"/>
    <cellStyle name="40% - Accent2 3 3 5" xfId="11892" xr:uid="{00000000-0005-0000-0000-0000A7640000}"/>
    <cellStyle name="40% - Accent2 3 3 6" xfId="17368" xr:uid="{00000000-0005-0000-0000-0000A8640000}"/>
    <cellStyle name="40% - Accent2 3 3 7" xfId="22844" xr:uid="{00000000-0005-0000-0000-0000A9640000}"/>
    <cellStyle name="40% - Accent2 3 3 8" xfId="30857" xr:uid="{00000000-0005-0000-0000-0000AA640000}"/>
    <cellStyle name="40% - Accent2 3 3 9" xfId="34639" xr:uid="{00000000-0005-0000-0000-0000AB640000}"/>
    <cellStyle name="40% - Accent2 3 4" xfId="729" xr:uid="{00000000-0005-0000-0000-0000AC640000}"/>
    <cellStyle name="40% - Accent2 3 4 10" xfId="40117" xr:uid="{00000000-0005-0000-0000-0000AD640000}"/>
    <cellStyle name="40% - Accent2 3 4 11" xfId="45594" xr:uid="{00000000-0005-0000-0000-0000AE640000}"/>
    <cellStyle name="40% - Accent2 3 4 12" xfId="51072" xr:uid="{00000000-0005-0000-0000-0000AF640000}"/>
    <cellStyle name="40% - Accent2 3 4 2" xfId="2490" xr:uid="{00000000-0005-0000-0000-0000B0640000}"/>
    <cellStyle name="40% - Accent2 3 4 2 10" xfId="52666" xr:uid="{00000000-0005-0000-0000-0000B1640000}"/>
    <cellStyle name="40% - Accent2 3 4 2 2" xfId="7970" xr:uid="{00000000-0005-0000-0000-0000B2640000}"/>
    <cellStyle name="40% - Accent2 3 4 2 2 2" xfId="30863" xr:uid="{00000000-0005-0000-0000-0000B3640000}"/>
    <cellStyle name="40% - Accent2 3 4 2 3" xfId="13446" xr:uid="{00000000-0005-0000-0000-0000B4640000}"/>
    <cellStyle name="40% - Accent2 3 4 2 4" xfId="18922" xr:uid="{00000000-0005-0000-0000-0000B5640000}"/>
    <cellStyle name="40% - Accent2 3 4 2 5" xfId="24398" xr:uid="{00000000-0005-0000-0000-0000B6640000}"/>
    <cellStyle name="40% - Accent2 3 4 2 6" xfId="30862" xr:uid="{00000000-0005-0000-0000-0000B7640000}"/>
    <cellStyle name="40% - Accent2 3 4 2 7" xfId="36194" xr:uid="{00000000-0005-0000-0000-0000B8640000}"/>
    <cellStyle name="40% - Accent2 3 4 2 8" xfId="41671" xr:uid="{00000000-0005-0000-0000-0000B9640000}"/>
    <cellStyle name="40% - Accent2 3 4 2 9" xfId="47148" xr:uid="{00000000-0005-0000-0000-0000BA640000}"/>
    <cellStyle name="40% - Accent2 3 4 3" xfId="4262" xr:uid="{00000000-0005-0000-0000-0000BB640000}"/>
    <cellStyle name="40% - Accent2 3 4 3 10" xfId="54438" xr:uid="{00000000-0005-0000-0000-0000BC640000}"/>
    <cellStyle name="40% - Accent2 3 4 3 2" xfId="9742" xr:uid="{00000000-0005-0000-0000-0000BD640000}"/>
    <cellStyle name="40% - Accent2 3 4 3 3" xfId="15218" xr:uid="{00000000-0005-0000-0000-0000BE640000}"/>
    <cellStyle name="40% - Accent2 3 4 3 4" xfId="20694" xr:uid="{00000000-0005-0000-0000-0000BF640000}"/>
    <cellStyle name="40% - Accent2 3 4 3 5" xfId="26170" xr:uid="{00000000-0005-0000-0000-0000C0640000}"/>
    <cellStyle name="40% - Accent2 3 4 3 6" xfId="30864" xr:uid="{00000000-0005-0000-0000-0000C1640000}"/>
    <cellStyle name="40% - Accent2 3 4 3 7" xfId="37966" xr:uid="{00000000-0005-0000-0000-0000C2640000}"/>
    <cellStyle name="40% - Accent2 3 4 3 8" xfId="43443" xr:uid="{00000000-0005-0000-0000-0000C3640000}"/>
    <cellStyle name="40% - Accent2 3 4 3 9" xfId="48920" xr:uid="{00000000-0005-0000-0000-0000C4640000}"/>
    <cellStyle name="40% - Accent2 3 4 4" xfId="6413" xr:uid="{00000000-0005-0000-0000-0000C5640000}"/>
    <cellStyle name="40% - Accent2 3 4 5" xfId="11893" xr:uid="{00000000-0005-0000-0000-0000C6640000}"/>
    <cellStyle name="40% - Accent2 3 4 6" xfId="17369" xr:uid="{00000000-0005-0000-0000-0000C7640000}"/>
    <cellStyle name="40% - Accent2 3 4 7" xfId="22845" xr:uid="{00000000-0005-0000-0000-0000C8640000}"/>
    <cellStyle name="40% - Accent2 3 4 8" xfId="30861" xr:uid="{00000000-0005-0000-0000-0000C9640000}"/>
    <cellStyle name="40% - Accent2 3 4 9" xfId="34640" xr:uid="{00000000-0005-0000-0000-0000CA640000}"/>
    <cellStyle name="40% - Accent2 3 5" xfId="901" xr:uid="{00000000-0005-0000-0000-0000CB640000}"/>
    <cellStyle name="40% - Accent2 3 5 10" xfId="40118" xr:uid="{00000000-0005-0000-0000-0000CC640000}"/>
    <cellStyle name="40% - Accent2 3 5 11" xfId="45595" xr:uid="{00000000-0005-0000-0000-0000CD640000}"/>
    <cellStyle name="40% - Accent2 3 5 12" xfId="51073" xr:uid="{00000000-0005-0000-0000-0000CE640000}"/>
    <cellStyle name="40% - Accent2 3 5 2" xfId="2662" xr:uid="{00000000-0005-0000-0000-0000CF640000}"/>
    <cellStyle name="40% - Accent2 3 5 2 10" xfId="52838" xr:uid="{00000000-0005-0000-0000-0000D0640000}"/>
    <cellStyle name="40% - Accent2 3 5 2 2" xfId="8142" xr:uid="{00000000-0005-0000-0000-0000D1640000}"/>
    <cellStyle name="40% - Accent2 3 5 2 2 2" xfId="30867" xr:uid="{00000000-0005-0000-0000-0000D2640000}"/>
    <cellStyle name="40% - Accent2 3 5 2 3" xfId="13618" xr:uid="{00000000-0005-0000-0000-0000D3640000}"/>
    <cellStyle name="40% - Accent2 3 5 2 4" xfId="19094" xr:uid="{00000000-0005-0000-0000-0000D4640000}"/>
    <cellStyle name="40% - Accent2 3 5 2 5" xfId="24570" xr:uid="{00000000-0005-0000-0000-0000D5640000}"/>
    <cellStyle name="40% - Accent2 3 5 2 6" xfId="30866" xr:uid="{00000000-0005-0000-0000-0000D6640000}"/>
    <cellStyle name="40% - Accent2 3 5 2 7" xfId="36366" xr:uid="{00000000-0005-0000-0000-0000D7640000}"/>
    <cellStyle name="40% - Accent2 3 5 2 8" xfId="41843" xr:uid="{00000000-0005-0000-0000-0000D8640000}"/>
    <cellStyle name="40% - Accent2 3 5 2 9" xfId="47320" xr:uid="{00000000-0005-0000-0000-0000D9640000}"/>
    <cellStyle name="40% - Accent2 3 5 3" xfId="4434" xr:uid="{00000000-0005-0000-0000-0000DA640000}"/>
    <cellStyle name="40% - Accent2 3 5 3 10" xfId="54610" xr:uid="{00000000-0005-0000-0000-0000DB640000}"/>
    <cellStyle name="40% - Accent2 3 5 3 2" xfId="9914" xr:uid="{00000000-0005-0000-0000-0000DC640000}"/>
    <cellStyle name="40% - Accent2 3 5 3 3" xfId="15390" xr:uid="{00000000-0005-0000-0000-0000DD640000}"/>
    <cellStyle name="40% - Accent2 3 5 3 4" xfId="20866" xr:uid="{00000000-0005-0000-0000-0000DE640000}"/>
    <cellStyle name="40% - Accent2 3 5 3 5" xfId="26342" xr:uid="{00000000-0005-0000-0000-0000DF640000}"/>
    <cellStyle name="40% - Accent2 3 5 3 6" xfId="30868" xr:uid="{00000000-0005-0000-0000-0000E0640000}"/>
    <cellStyle name="40% - Accent2 3 5 3 7" xfId="38138" xr:uid="{00000000-0005-0000-0000-0000E1640000}"/>
    <cellStyle name="40% - Accent2 3 5 3 8" xfId="43615" xr:uid="{00000000-0005-0000-0000-0000E2640000}"/>
    <cellStyle name="40% - Accent2 3 5 3 9" xfId="49092" xr:uid="{00000000-0005-0000-0000-0000E3640000}"/>
    <cellStyle name="40% - Accent2 3 5 4" xfId="6414" xr:uid="{00000000-0005-0000-0000-0000E4640000}"/>
    <cellStyle name="40% - Accent2 3 5 5" xfId="11894" xr:uid="{00000000-0005-0000-0000-0000E5640000}"/>
    <cellStyle name="40% - Accent2 3 5 6" xfId="17370" xr:uid="{00000000-0005-0000-0000-0000E6640000}"/>
    <cellStyle name="40% - Accent2 3 5 7" xfId="22846" xr:uid="{00000000-0005-0000-0000-0000E7640000}"/>
    <cellStyle name="40% - Accent2 3 5 8" xfId="30865" xr:uid="{00000000-0005-0000-0000-0000E8640000}"/>
    <cellStyle name="40% - Accent2 3 5 9" xfId="34641" xr:uid="{00000000-0005-0000-0000-0000E9640000}"/>
    <cellStyle name="40% - Accent2 3 6" xfId="1107" xr:uid="{00000000-0005-0000-0000-0000EA640000}"/>
    <cellStyle name="40% - Accent2 3 6 10" xfId="40119" xr:uid="{00000000-0005-0000-0000-0000EB640000}"/>
    <cellStyle name="40% - Accent2 3 6 11" xfId="45596" xr:uid="{00000000-0005-0000-0000-0000EC640000}"/>
    <cellStyle name="40% - Accent2 3 6 12" xfId="51074" xr:uid="{00000000-0005-0000-0000-0000ED640000}"/>
    <cellStyle name="40% - Accent2 3 6 2" xfId="2868" xr:uid="{00000000-0005-0000-0000-0000EE640000}"/>
    <cellStyle name="40% - Accent2 3 6 2 10" xfId="53044" xr:uid="{00000000-0005-0000-0000-0000EF640000}"/>
    <cellStyle name="40% - Accent2 3 6 2 2" xfId="8348" xr:uid="{00000000-0005-0000-0000-0000F0640000}"/>
    <cellStyle name="40% - Accent2 3 6 2 2 2" xfId="30871" xr:uid="{00000000-0005-0000-0000-0000F1640000}"/>
    <cellStyle name="40% - Accent2 3 6 2 3" xfId="13824" xr:uid="{00000000-0005-0000-0000-0000F2640000}"/>
    <cellStyle name="40% - Accent2 3 6 2 4" xfId="19300" xr:uid="{00000000-0005-0000-0000-0000F3640000}"/>
    <cellStyle name="40% - Accent2 3 6 2 5" xfId="24776" xr:uid="{00000000-0005-0000-0000-0000F4640000}"/>
    <cellStyle name="40% - Accent2 3 6 2 6" xfId="30870" xr:uid="{00000000-0005-0000-0000-0000F5640000}"/>
    <cellStyle name="40% - Accent2 3 6 2 7" xfId="36572" xr:uid="{00000000-0005-0000-0000-0000F6640000}"/>
    <cellStyle name="40% - Accent2 3 6 2 8" xfId="42049" xr:uid="{00000000-0005-0000-0000-0000F7640000}"/>
    <cellStyle name="40% - Accent2 3 6 2 9" xfId="47526" xr:uid="{00000000-0005-0000-0000-0000F8640000}"/>
    <cellStyle name="40% - Accent2 3 6 3" xfId="4640" xr:uid="{00000000-0005-0000-0000-0000F9640000}"/>
    <cellStyle name="40% - Accent2 3 6 3 10" xfId="54816" xr:uid="{00000000-0005-0000-0000-0000FA640000}"/>
    <cellStyle name="40% - Accent2 3 6 3 2" xfId="10120" xr:uid="{00000000-0005-0000-0000-0000FB640000}"/>
    <cellStyle name="40% - Accent2 3 6 3 3" xfId="15596" xr:uid="{00000000-0005-0000-0000-0000FC640000}"/>
    <cellStyle name="40% - Accent2 3 6 3 4" xfId="21072" xr:uid="{00000000-0005-0000-0000-0000FD640000}"/>
    <cellStyle name="40% - Accent2 3 6 3 5" xfId="26548" xr:uid="{00000000-0005-0000-0000-0000FE640000}"/>
    <cellStyle name="40% - Accent2 3 6 3 6" xfId="30872" xr:uid="{00000000-0005-0000-0000-0000FF640000}"/>
    <cellStyle name="40% - Accent2 3 6 3 7" xfId="38344" xr:uid="{00000000-0005-0000-0000-000000650000}"/>
    <cellStyle name="40% - Accent2 3 6 3 8" xfId="43821" xr:uid="{00000000-0005-0000-0000-000001650000}"/>
    <cellStyle name="40% - Accent2 3 6 3 9" xfId="49298" xr:uid="{00000000-0005-0000-0000-000002650000}"/>
    <cellStyle name="40% - Accent2 3 6 4" xfId="6415" xr:uid="{00000000-0005-0000-0000-000003650000}"/>
    <cellStyle name="40% - Accent2 3 6 5" xfId="11895" xr:uid="{00000000-0005-0000-0000-000004650000}"/>
    <cellStyle name="40% - Accent2 3 6 6" xfId="17371" xr:uid="{00000000-0005-0000-0000-000005650000}"/>
    <cellStyle name="40% - Accent2 3 6 7" xfId="22847" xr:uid="{00000000-0005-0000-0000-000006650000}"/>
    <cellStyle name="40% - Accent2 3 6 8" xfId="30869" xr:uid="{00000000-0005-0000-0000-000007650000}"/>
    <cellStyle name="40% - Accent2 3 6 9" xfId="34642" xr:uid="{00000000-0005-0000-0000-000008650000}"/>
    <cellStyle name="40% - Accent2 3 7" xfId="1279" xr:uid="{00000000-0005-0000-0000-000009650000}"/>
    <cellStyle name="40% - Accent2 3 7 10" xfId="40120" xr:uid="{00000000-0005-0000-0000-00000A650000}"/>
    <cellStyle name="40% - Accent2 3 7 11" xfId="45597" xr:uid="{00000000-0005-0000-0000-00000B650000}"/>
    <cellStyle name="40% - Accent2 3 7 12" xfId="51075" xr:uid="{00000000-0005-0000-0000-00000C650000}"/>
    <cellStyle name="40% - Accent2 3 7 2" xfId="3040" xr:uid="{00000000-0005-0000-0000-00000D650000}"/>
    <cellStyle name="40% - Accent2 3 7 2 10" xfId="53216" xr:uid="{00000000-0005-0000-0000-00000E650000}"/>
    <cellStyle name="40% - Accent2 3 7 2 2" xfId="8520" xr:uid="{00000000-0005-0000-0000-00000F650000}"/>
    <cellStyle name="40% - Accent2 3 7 2 2 2" xfId="30875" xr:uid="{00000000-0005-0000-0000-000010650000}"/>
    <cellStyle name="40% - Accent2 3 7 2 3" xfId="13996" xr:uid="{00000000-0005-0000-0000-000011650000}"/>
    <cellStyle name="40% - Accent2 3 7 2 4" xfId="19472" xr:uid="{00000000-0005-0000-0000-000012650000}"/>
    <cellStyle name="40% - Accent2 3 7 2 5" xfId="24948" xr:uid="{00000000-0005-0000-0000-000013650000}"/>
    <cellStyle name="40% - Accent2 3 7 2 6" xfId="30874" xr:uid="{00000000-0005-0000-0000-000014650000}"/>
    <cellStyle name="40% - Accent2 3 7 2 7" xfId="36744" xr:uid="{00000000-0005-0000-0000-000015650000}"/>
    <cellStyle name="40% - Accent2 3 7 2 8" xfId="42221" xr:uid="{00000000-0005-0000-0000-000016650000}"/>
    <cellStyle name="40% - Accent2 3 7 2 9" xfId="47698" xr:uid="{00000000-0005-0000-0000-000017650000}"/>
    <cellStyle name="40% - Accent2 3 7 3" xfId="4812" xr:uid="{00000000-0005-0000-0000-000018650000}"/>
    <cellStyle name="40% - Accent2 3 7 3 10" xfId="54988" xr:uid="{00000000-0005-0000-0000-000019650000}"/>
    <cellStyle name="40% - Accent2 3 7 3 2" xfId="10292" xr:uid="{00000000-0005-0000-0000-00001A650000}"/>
    <cellStyle name="40% - Accent2 3 7 3 3" xfId="15768" xr:uid="{00000000-0005-0000-0000-00001B650000}"/>
    <cellStyle name="40% - Accent2 3 7 3 4" xfId="21244" xr:uid="{00000000-0005-0000-0000-00001C650000}"/>
    <cellStyle name="40% - Accent2 3 7 3 5" xfId="26720" xr:uid="{00000000-0005-0000-0000-00001D650000}"/>
    <cellStyle name="40% - Accent2 3 7 3 6" xfId="30876" xr:uid="{00000000-0005-0000-0000-00001E650000}"/>
    <cellStyle name="40% - Accent2 3 7 3 7" xfId="38516" xr:uid="{00000000-0005-0000-0000-00001F650000}"/>
    <cellStyle name="40% - Accent2 3 7 3 8" xfId="43993" xr:uid="{00000000-0005-0000-0000-000020650000}"/>
    <cellStyle name="40% - Accent2 3 7 3 9" xfId="49470" xr:uid="{00000000-0005-0000-0000-000021650000}"/>
    <cellStyle name="40% - Accent2 3 7 4" xfId="6416" xr:uid="{00000000-0005-0000-0000-000022650000}"/>
    <cellStyle name="40% - Accent2 3 7 5" xfId="11896" xr:uid="{00000000-0005-0000-0000-000023650000}"/>
    <cellStyle name="40% - Accent2 3 7 6" xfId="17372" xr:uid="{00000000-0005-0000-0000-000024650000}"/>
    <cellStyle name="40% - Accent2 3 7 7" xfId="22848" xr:uid="{00000000-0005-0000-0000-000025650000}"/>
    <cellStyle name="40% - Accent2 3 7 8" xfId="30873" xr:uid="{00000000-0005-0000-0000-000026650000}"/>
    <cellStyle name="40% - Accent2 3 7 9" xfId="34643" xr:uid="{00000000-0005-0000-0000-000027650000}"/>
    <cellStyle name="40% - Accent2 3 8" xfId="1451" xr:uid="{00000000-0005-0000-0000-000028650000}"/>
    <cellStyle name="40% - Accent2 3 8 10" xfId="40121" xr:uid="{00000000-0005-0000-0000-000029650000}"/>
    <cellStyle name="40% - Accent2 3 8 11" xfId="45598" xr:uid="{00000000-0005-0000-0000-00002A650000}"/>
    <cellStyle name="40% - Accent2 3 8 12" xfId="51076" xr:uid="{00000000-0005-0000-0000-00002B650000}"/>
    <cellStyle name="40% - Accent2 3 8 2" xfId="3212" xr:uid="{00000000-0005-0000-0000-00002C650000}"/>
    <cellStyle name="40% - Accent2 3 8 2 10" xfId="53388" xr:uid="{00000000-0005-0000-0000-00002D650000}"/>
    <cellStyle name="40% - Accent2 3 8 2 2" xfId="8692" xr:uid="{00000000-0005-0000-0000-00002E650000}"/>
    <cellStyle name="40% - Accent2 3 8 2 3" xfId="14168" xr:uid="{00000000-0005-0000-0000-00002F650000}"/>
    <cellStyle name="40% - Accent2 3 8 2 4" xfId="19644" xr:uid="{00000000-0005-0000-0000-000030650000}"/>
    <cellStyle name="40% - Accent2 3 8 2 5" xfId="25120" xr:uid="{00000000-0005-0000-0000-000031650000}"/>
    <cellStyle name="40% - Accent2 3 8 2 6" xfId="30878" xr:uid="{00000000-0005-0000-0000-000032650000}"/>
    <cellStyle name="40% - Accent2 3 8 2 7" xfId="36916" xr:uid="{00000000-0005-0000-0000-000033650000}"/>
    <cellStyle name="40% - Accent2 3 8 2 8" xfId="42393" xr:uid="{00000000-0005-0000-0000-000034650000}"/>
    <cellStyle name="40% - Accent2 3 8 2 9" xfId="47870" xr:uid="{00000000-0005-0000-0000-000035650000}"/>
    <cellStyle name="40% - Accent2 3 8 3" xfId="4984" xr:uid="{00000000-0005-0000-0000-000036650000}"/>
    <cellStyle name="40% - Accent2 3 8 3 2" xfId="10464" xr:uid="{00000000-0005-0000-0000-000037650000}"/>
    <cellStyle name="40% - Accent2 3 8 3 3" xfId="15940" xr:uid="{00000000-0005-0000-0000-000038650000}"/>
    <cellStyle name="40% - Accent2 3 8 3 4" xfId="21416" xr:uid="{00000000-0005-0000-0000-000039650000}"/>
    <cellStyle name="40% - Accent2 3 8 3 5" xfId="26892" xr:uid="{00000000-0005-0000-0000-00003A650000}"/>
    <cellStyle name="40% - Accent2 3 8 3 6" xfId="38688" xr:uid="{00000000-0005-0000-0000-00003B650000}"/>
    <cellStyle name="40% - Accent2 3 8 3 7" xfId="44165" xr:uid="{00000000-0005-0000-0000-00003C650000}"/>
    <cellStyle name="40% - Accent2 3 8 3 8" xfId="49642" xr:uid="{00000000-0005-0000-0000-00003D650000}"/>
    <cellStyle name="40% - Accent2 3 8 3 9" xfId="55160" xr:uid="{00000000-0005-0000-0000-00003E650000}"/>
    <cellStyle name="40% - Accent2 3 8 4" xfId="6417" xr:uid="{00000000-0005-0000-0000-00003F650000}"/>
    <cellStyle name="40% - Accent2 3 8 5" xfId="11897" xr:uid="{00000000-0005-0000-0000-000040650000}"/>
    <cellStyle name="40% - Accent2 3 8 6" xfId="17373" xr:uid="{00000000-0005-0000-0000-000041650000}"/>
    <cellStyle name="40% - Accent2 3 8 7" xfId="22849" xr:uid="{00000000-0005-0000-0000-000042650000}"/>
    <cellStyle name="40% - Accent2 3 8 8" xfId="30877" xr:uid="{00000000-0005-0000-0000-000043650000}"/>
    <cellStyle name="40% - Accent2 3 8 9" xfId="34644" xr:uid="{00000000-0005-0000-0000-000044650000}"/>
    <cellStyle name="40% - Accent2 3 9" xfId="1623" xr:uid="{00000000-0005-0000-0000-000045650000}"/>
    <cellStyle name="40% - Accent2 3 9 10" xfId="40122" xr:uid="{00000000-0005-0000-0000-000046650000}"/>
    <cellStyle name="40% - Accent2 3 9 11" xfId="45599" xr:uid="{00000000-0005-0000-0000-000047650000}"/>
    <cellStyle name="40% - Accent2 3 9 12" xfId="51077" xr:uid="{00000000-0005-0000-0000-000048650000}"/>
    <cellStyle name="40% - Accent2 3 9 2" xfId="3384" xr:uid="{00000000-0005-0000-0000-000049650000}"/>
    <cellStyle name="40% - Accent2 3 9 2 2" xfId="8864" xr:uid="{00000000-0005-0000-0000-00004A650000}"/>
    <cellStyle name="40% - Accent2 3 9 2 3" xfId="14340" xr:uid="{00000000-0005-0000-0000-00004B650000}"/>
    <cellStyle name="40% - Accent2 3 9 2 4" xfId="19816" xr:uid="{00000000-0005-0000-0000-00004C650000}"/>
    <cellStyle name="40% - Accent2 3 9 2 5" xfId="25292" xr:uid="{00000000-0005-0000-0000-00004D650000}"/>
    <cellStyle name="40% - Accent2 3 9 2 6" xfId="37088" xr:uid="{00000000-0005-0000-0000-00004E650000}"/>
    <cellStyle name="40% - Accent2 3 9 2 7" xfId="42565" xr:uid="{00000000-0005-0000-0000-00004F650000}"/>
    <cellStyle name="40% - Accent2 3 9 2 8" xfId="48042" xr:uid="{00000000-0005-0000-0000-000050650000}"/>
    <cellStyle name="40% - Accent2 3 9 2 9" xfId="53560" xr:uid="{00000000-0005-0000-0000-000051650000}"/>
    <cellStyle name="40% - Accent2 3 9 3" xfId="5156" xr:uid="{00000000-0005-0000-0000-000052650000}"/>
    <cellStyle name="40% - Accent2 3 9 3 2" xfId="10636" xr:uid="{00000000-0005-0000-0000-000053650000}"/>
    <cellStyle name="40% - Accent2 3 9 3 3" xfId="16112" xr:uid="{00000000-0005-0000-0000-000054650000}"/>
    <cellStyle name="40% - Accent2 3 9 3 4" xfId="21588" xr:uid="{00000000-0005-0000-0000-000055650000}"/>
    <cellStyle name="40% - Accent2 3 9 3 5" xfId="27064" xr:uid="{00000000-0005-0000-0000-000056650000}"/>
    <cellStyle name="40% - Accent2 3 9 3 6" xfId="38860" xr:uid="{00000000-0005-0000-0000-000057650000}"/>
    <cellStyle name="40% - Accent2 3 9 3 7" xfId="44337" xr:uid="{00000000-0005-0000-0000-000058650000}"/>
    <cellStyle name="40% - Accent2 3 9 3 8" xfId="49814" xr:uid="{00000000-0005-0000-0000-000059650000}"/>
    <cellStyle name="40% - Accent2 3 9 3 9" xfId="55332" xr:uid="{00000000-0005-0000-0000-00005A650000}"/>
    <cellStyle name="40% - Accent2 3 9 4" xfId="6418" xr:uid="{00000000-0005-0000-0000-00005B650000}"/>
    <cellStyle name="40% - Accent2 3 9 5" xfId="11898" xr:uid="{00000000-0005-0000-0000-00005C650000}"/>
    <cellStyle name="40% - Accent2 3 9 6" xfId="17374" xr:uid="{00000000-0005-0000-0000-00005D650000}"/>
    <cellStyle name="40% - Accent2 3 9 7" xfId="22850" xr:uid="{00000000-0005-0000-0000-00005E650000}"/>
    <cellStyle name="40% - Accent2 3 9 8" xfId="30879" xr:uid="{00000000-0005-0000-0000-00005F650000}"/>
    <cellStyle name="40% - Accent2 3 9 9" xfId="34645" xr:uid="{00000000-0005-0000-0000-000060650000}"/>
    <cellStyle name="40% - Accent2 4" xfId="357" xr:uid="{00000000-0005-0000-0000-000061650000}"/>
    <cellStyle name="40% - Accent2 4 10" xfId="1986" xr:uid="{00000000-0005-0000-0000-000062650000}"/>
    <cellStyle name="40% - Accent2 4 10 10" xfId="52163" xr:uid="{00000000-0005-0000-0000-000063650000}"/>
    <cellStyle name="40% - Accent2 4 10 2" xfId="5518" xr:uid="{00000000-0005-0000-0000-000064650000}"/>
    <cellStyle name="40% - Accent2 4 10 2 2" xfId="10998" xr:uid="{00000000-0005-0000-0000-000065650000}"/>
    <cellStyle name="40% - Accent2 4 10 2 3" xfId="16474" xr:uid="{00000000-0005-0000-0000-000066650000}"/>
    <cellStyle name="40% - Accent2 4 10 2 4" xfId="21950" xr:uid="{00000000-0005-0000-0000-000067650000}"/>
    <cellStyle name="40% - Accent2 4 10 2 5" xfId="27426" xr:uid="{00000000-0005-0000-0000-000068650000}"/>
    <cellStyle name="40% - Accent2 4 10 2 6" xfId="39222" xr:uid="{00000000-0005-0000-0000-000069650000}"/>
    <cellStyle name="40% - Accent2 4 10 2 7" xfId="44699" xr:uid="{00000000-0005-0000-0000-00006A650000}"/>
    <cellStyle name="40% - Accent2 4 10 2 8" xfId="50176" xr:uid="{00000000-0005-0000-0000-00006B650000}"/>
    <cellStyle name="40% - Accent2 4 10 2 9" xfId="55694" xr:uid="{00000000-0005-0000-0000-00006C650000}"/>
    <cellStyle name="40% - Accent2 4 10 3" xfId="7467" xr:uid="{00000000-0005-0000-0000-00006D650000}"/>
    <cellStyle name="40% - Accent2 4 10 4" xfId="12943" xr:uid="{00000000-0005-0000-0000-00006E650000}"/>
    <cellStyle name="40% - Accent2 4 10 5" xfId="18419" xr:uid="{00000000-0005-0000-0000-00006F650000}"/>
    <cellStyle name="40% - Accent2 4 10 6" xfId="23895" xr:uid="{00000000-0005-0000-0000-000070650000}"/>
    <cellStyle name="40% - Accent2 4 10 7" xfId="35691" xr:uid="{00000000-0005-0000-0000-000071650000}"/>
    <cellStyle name="40% - Accent2 4 10 8" xfId="41168" xr:uid="{00000000-0005-0000-0000-000072650000}"/>
    <cellStyle name="40% - Accent2 4 10 9" xfId="46645" xr:uid="{00000000-0005-0000-0000-000073650000}"/>
    <cellStyle name="40% - Accent2 4 11" xfId="3919" xr:uid="{00000000-0005-0000-0000-000074650000}"/>
    <cellStyle name="40% - Accent2 4 11 2" xfId="9399" xr:uid="{00000000-0005-0000-0000-000075650000}"/>
    <cellStyle name="40% - Accent2 4 11 3" xfId="14875" xr:uid="{00000000-0005-0000-0000-000076650000}"/>
    <cellStyle name="40% - Accent2 4 11 4" xfId="20351" xr:uid="{00000000-0005-0000-0000-000077650000}"/>
    <cellStyle name="40% - Accent2 4 11 5" xfId="25827" xr:uid="{00000000-0005-0000-0000-000078650000}"/>
    <cellStyle name="40% - Accent2 4 11 6" xfId="37623" xr:uid="{00000000-0005-0000-0000-000079650000}"/>
    <cellStyle name="40% - Accent2 4 11 7" xfId="43100" xr:uid="{00000000-0005-0000-0000-00007A650000}"/>
    <cellStyle name="40% - Accent2 4 11 8" xfId="48577" xr:uid="{00000000-0005-0000-0000-00007B650000}"/>
    <cellStyle name="40% - Accent2 4 11 9" xfId="54095" xr:uid="{00000000-0005-0000-0000-00007C650000}"/>
    <cellStyle name="40% - Accent2 4 12" xfId="6419" xr:uid="{00000000-0005-0000-0000-00007D650000}"/>
    <cellStyle name="40% - Accent2 4 13" xfId="11899" xr:uid="{00000000-0005-0000-0000-00007E650000}"/>
    <cellStyle name="40% - Accent2 4 14" xfId="17375" xr:uid="{00000000-0005-0000-0000-00007F650000}"/>
    <cellStyle name="40% - Accent2 4 15" xfId="22851" xr:uid="{00000000-0005-0000-0000-000080650000}"/>
    <cellStyle name="40% - Accent2 4 16" xfId="30880" xr:uid="{00000000-0005-0000-0000-000081650000}"/>
    <cellStyle name="40% - Accent2 4 17" xfId="34646" xr:uid="{00000000-0005-0000-0000-000082650000}"/>
    <cellStyle name="40% - Accent2 4 18" xfId="40123" xr:uid="{00000000-0005-0000-0000-000083650000}"/>
    <cellStyle name="40% - Accent2 4 19" xfId="45600" xr:uid="{00000000-0005-0000-0000-000084650000}"/>
    <cellStyle name="40% - Accent2 4 2" xfId="558" xr:uid="{00000000-0005-0000-0000-000085650000}"/>
    <cellStyle name="40% - Accent2 4 2 10" xfId="40124" xr:uid="{00000000-0005-0000-0000-000086650000}"/>
    <cellStyle name="40% - Accent2 4 2 11" xfId="45601" xr:uid="{00000000-0005-0000-0000-000087650000}"/>
    <cellStyle name="40% - Accent2 4 2 12" xfId="51079" xr:uid="{00000000-0005-0000-0000-000088650000}"/>
    <cellStyle name="40% - Accent2 4 2 2" xfId="2319" xr:uid="{00000000-0005-0000-0000-000089650000}"/>
    <cellStyle name="40% - Accent2 4 2 2 10" xfId="52495" xr:uid="{00000000-0005-0000-0000-00008A650000}"/>
    <cellStyle name="40% - Accent2 4 2 2 2" xfId="7799" xr:uid="{00000000-0005-0000-0000-00008B650000}"/>
    <cellStyle name="40% - Accent2 4 2 2 2 2" xfId="30883" xr:uid="{00000000-0005-0000-0000-00008C650000}"/>
    <cellStyle name="40% - Accent2 4 2 2 3" xfId="13275" xr:uid="{00000000-0005-0000-0000-00008D650000}"/>
    <cellStyle name="40% - Accent2 4 2 2 4" xfId="18751" xr:uid="{00000000-0005-0000-0000-00008E650000}"/>
    <cellStyle name="40% - Accent2 4 2 2 5" xfId="24227" xr:uid="{00000000-0005-0000-0000-00008F650000}"/>
    <cellStyle name="40% - Accent2 4 2 2 6" xfId="30882" xr:uid="{00000000-0005-0000-0000-000090650000}"/>
    <cellStyle name="40% - Accent2 4 2 2 7" xfId="36023" xr:uid="{00000000-0005-0000-0000-000091650000}"/>
    <cellStyle name="40% - Accent2 4 2 2 8" xfId="41500" xr:uid="{00000000-0005-0000-0000-000092650000}"/>
    <cellStyle name="40% - Accent2 4 2 2 9" xfId="46977" xr:uid="{00000000-0005-0000-0000-000093650000}"/>
    <cellStyle name="40% - Accent2 4 2 3" xfId="4091" xr:uid="{00000000-0005-0000-0000-000094650000}"/>
    <cellStyle name="40% - Accent2 4 2 3 10" xfId="54267" xr:uid="{00000000-0005-0000-0000-000095650000}"/>
    <cellStyle name="40% - Accent2 4 2 3 2" xfId="9571" xr:uid="{00000000-0005-0000-0000-000096650000}"/>
    <cellStyle name="40% - Accent2 4 2 3 3" xfId="15047" xr:uid="{00000000-0005-0000-0000-000097650000}"/>
    <cellStyle name="40% - Accent2 4 2 3 4" xfId="20523" xr:uid="{00000000-0005-0000-0000-000098650000}"/>
    <cellStyle name="40% - Accent2 4 2 3 5" xfId="25999" xr:uid="{00000000-0005-0000-0000-000099650000}"/>
    <cellStyle name="40% - Accent2 4 2 3 6" xfId="30884" xr:uid="{00000000-0005-0000-0000-00009A650000}"/>
    <cellStyle name="40% - Accent2 4 2 3 7" xfId="37795" xr:uid="{00000000-0005-0000-0000-00009B650000}"/>
    <cellStyle name="40% - Accent2 4 2 3 8" xfId="43272" xr:uid="{00000000-0005-0000-0000-00009C650000}"/>
    <cellStyle name="40% - Accent2 4 2 3 9" xfId="48749" xr:uid="{00000000-0005-0000-0000-00009D650000}"/>
    <cellStyle name="40% - Accent2 4 2 4" xfId="6420" xr:uid="{00000000-0005-0000-0000-00009E650000}"/>
    <cellStyle name="40% - Accent2 4 2 5" xfId="11900" xr:uid="{00000000-0005-0000-0000-00009F650000}"/>
    <cellStyle name="40% - Accent2 4 2 6" xfId="17376" xr:uid="{00000000-0005-0000-0000-0000A0650000}"/>
    <cellStyle name="40% - Accent2 4 2 7" xfId="22852" xr:uid="{00000000-0005-0000-0000-0000A1650000}"/>
    <cellStyle name="40% - Accent2 4 2 8" xfId="30881" xr:uid="{00000000-0005-0000-0000-0000A2650000}"/>
    <cellStyle name="40% - Accent2 4 2 9" xfId="34647" xr:uid="{00000000-0005-0000-0000-0000A3650000}"/>
    <cellStyle name="40% - Accent2 4 20" xfId="51078" xr:uid="{00000000-0005-0000-0000-0000A4650000}"/>
    <cellStyle name="40% - Accent2 4 3" xfId="730" xr:uid="{00000000-0005-0000-0000-0000A5650000}"/>
    <cellStyle name="40% - Accent2 4 3 10" xfId="40125" xr:uid="{00000000-0005-0000-0000-0000A6650000}"/>
    <cellStyle name="40% - Accent2 4 3 11" xfId="45602" xr:uid="{00000000-0005-0000-0000-0000A7650000}"/>
    <cellStyle name="40% - Accent2 4 3 12" xfId="51080" xr:uid="{00000000-0005-0000-0000-0000A8650000}"/>
    <cellStyle name="40% - Accent2 4 3 2" xfId="2491" xr:uid="{00000000-0005-0000-0000-0000A9650000}"/>
    <cellStyle name="40% - Accent2 4 3 2 10" xfId="52667" xr:uid="{00000000-0005-0000-0000-0000AA650000}"/>
    <cellStyle name="40% - Accent2 4 3 2 2" xfId="7971" xr:uid="{00000000-0005-0000-0000-0000AB650000}"/>
    <cellStyle name="40% - Accent2 4 3 2 2 2" xfId="30887" xr:uid="{00000000-0005-0000-0000-0000AC650000}"/>
    <cellStyle name="40% - Accent2 4 3 2 3" xfId="13447" xr:uid="{00000000-0005-0000-0000-0000AD650000}"/>
    <cellStyle name="40% - Accent2 4 3 2 4" xfId="18923" xr:uid="{00000000-0005-0000-0000-0000AE650000}"/>
    <cellStyle name="40% - Accent2 4 3 2 5" xfId="24399" xr:uid="{00000000-0005-0000-0000-0000AF650000}"/>
    <cellStyle name="40% - Accent2 4 3 2 6" xfId="30886" xr:uid="{00000000-0005-0000-0000-0000B0650000}"/>
    <cellStyle name="40% - Accent2 4 3 2 7" xfId="36195" xr:uid="{00000000-0005-0000-0000-0000B1650000}"/>
    <cellStyle name="40% - Accent2 4 3 2 8" xfId="41672" xr:uid="{00000000-0005-0000-0000-0000B2650000}"/>
    <cellStyle name="40% - Accent2 4 3 2 9" xfId="47149" xr:uid="{00000000-0005-0000-0000-0000B3650000}"/>
    <cellStyle name="40% - Accent2 4 3 3" xfId="4263" xr:uid="{00000000-0005-0000-0000-0000B4650000}"/>
    <cellStyle name="40% - Accent2 4 3 3 10" xfId="54439" xr:uid="{00000000-0005-0000-0000-0000B5650000}"/>
    <cellStyle name="40% - Accent2 4 3 3 2" xfId="9743" xr:uid="{00000000-0005-0000-0000-0000B6650000}"/>
    <cellStyle name="40% - Accent2 4 3 3 3" xfId="15219" xr:uid="{00000000-0005-0000-0000-0000B7650000}"/>
    <cellStyle name="40% - Accent2 4 3 3 4" xfId="20695" xr:uid="{00000000-0005-0000-0000-0000B8650000}"/>
    <cellStyle name="40% - Accent2 4 3 3 5" xfId="26171" xr:uid="{00000000-0005-0000-0000-0000B9650000}"/>
    <cellStyle name="40% - Accent2 4 3 3 6" xfId="30888" xr:uid="{00000000-0005-0000-0000-0000BA650000}"/>
    <cellStyle name="40% - Accent2 4 3 3 7" xfId="37967" xr:uid="{00000000-0005-0000-0000-0000BB650000}"/>
    <cellStyle name="40% - Accent2 4 3 3 8" xfId="43444" xr:uid="{00000000-0005-0000-0000-0000BC650000}"/>
    <cellStyle name="40% - Accent2 4 3 3 9" xfId="48921" xr:uid="{00000000-0005-0000-0000-0000BD650000}"/>
    <cellStyle name="40% - Accent2 4 3 4" xfId="6421" xr:uid="{00000000-0005-0000-0000-0000BE650000}"/>
    <cellStyle name="40% - Accent2 4 3 5" xfId="11901" xr:uid="{00000000-0005-0000-0000-0000BF650000}"/>
    <cellStyle name="40% - Accent2 4 3 6" xfId="17377" xr:uid="{00000000-0005-0000-0000-0000C0650000}"/>
    <cellStyle name="40% - Accent2 4 3 7" xfId="22853" xr:uid="{00000000-0005-0000-0000-0000C1650000}"/>
    <cellStyle name="40% - Accent2 4 3 8" xfId="30885" xr:uid="{00000000-0005-0000-0000-0000C2650000}"/>
    <cellStyle name="40% - Accent2 4 3 9" xfId="34648" xr:uid="{00000000-0005-0000-0000-0000C3650000}"/>
    <cellStyle name="40% - Accent2 4 4" xfId="902" xr:uid="{00000000-0005-0000-0000-0000C4650000}"/>
    <cellStyle name="40% - Accent2 4 4 10" xfId="40126" xr:uid="{00000000-0005-0000-0000-0000C5650000}"/>
    <cellStyle name="40% - Accent2 4 4 11" xfId="45603" xr:uid="{00000000-0005-0000-0000-0000C6650000}"/>
    <cellStyle name="40% - Accent2 4 4 12" xfId="51081" xr:uid="{00000000-0005-0000-0000-0000C7650000}"/>
    <cellStyle name="40% - Accent2 4 4 2" xfId="2663" xr:uid="{00000000-0005-0000-0000-0000C8650000}"/>
    <cellStyle name="40% - Accent2 4 4 2 10" xfId="52839" xr:uid="{00000000-0005-0000-0000-0000C9650000}"/>
    <cellStyle name="40% - Accent2 4 4 2 2" xfId="8143" xr:uid="{00000000-0005-0000-0000-0000CA650000}"/>
    <cellStyle name="40% - Accent2 4 4 2 2 2" xfId="30891" xr:uid="{00000000-0005-0000-0000-0000CB650000}"/>
    <cellStyle name="40% - Accent2 4 4 2 3" xfId="13619" xr:uid="{00000000-0005-0000-0000-0000CC650000}"/>
    <cellStyle name="40% - Accent2 4 4 2 4" xfId="19095" xr:uid="{00000000-0005-0000-0000-0000CD650000}"/>
    <cellStyle name="40% - Accent2 4 4 2 5" xfId="24571" xr:uid="{00000000-0005-0000-0000-0000CE650000}"/>
    <cellStyle name="40% - Accent2 4 4 2 6" xfId="30890" xr:uid="{00000000-0005-0000-0000-0000CF650000}"/>
    <cellStyle name="40% - Accent2 4 4 2 7" xfId="36367" xr:uid="{00000000-0005-0000-0000-0000D0650000}"/>
    <cellStyle name="40% - Accent2 4 4 2 8" xfId="41844" xr:uid="{00000000-0005-0000-0000-0000D1650000}"/>
    <cellStyle name="40% - Accent2 4 4 2 9" xfId="47321" xr:uid="{00000000-0005-0000-0000-0000D2650000}"/>
    <cellStyle name="40% - Accent2 4 4 3" xfId="4435" xr:uid="{00000000-0005-0000-0000-0000D3650000}"/>
    <cellStyle name="40% - Accent2 4 4 3 10" xfId="54611" xr:uid="{00000000-0005-0000-0000-0000D4650000}"/>
    <cellStyle name="40% - Accent2 4 4 3 2" xfId="9915" xr:uid="{00000000-0005-0000-0000-0000D5650000}"/>
    <cellStyle name="40% - Accent2 4 4 3 3" xfId="15391" xr:uid="{00000000-0005-0000-0000-0000D6650000}"/>
    <cellStyle name="40% - Accent2 4 4 3 4" xfId="20867" xr:uid="{00000000-0005-0000-0000-0000D7650000}"/>
    <cellStyle name="40% - Accent2 4 4 3 5" xfId="26343" xr:uid="{00000000-0005-0000-0000-0000D8650000}"/>
    <cellStyle name="40% - Accent2 4 4 3 6" xfId="30892" xr:uid="{00000000-0005-0000-0000-0000D9650000}"/>
    <cellStyle name="40% - Accent2 4 4 3 7" xfId="38139" xr:uid="{00000000-0005-0000-0000-0000DA650000}"/>
    <cellStyle name="40% - Accent2 4 4 3 8" xfId="43616" xr:uid="{00000000-0005-0000-0000-0000DB650000}"/>
    <cellStyle name="40% - Accent2 4 4 3 9" xfId="49093" xr:uid="{00000000-0005-0000-0000-0000DC650000}"/>
    <cellStyle name="40% - Accent2 4 4 4" xfId="6422" xr:uid="{00000000-0005-0000-0000-0000DD650000}"/>
    <cellStyle name="40% - Accent2 4 4 5" xfId="11902" xr:uid="{00000000-0005-0000-0000-0000DE650000}"/>
    <cellStyle name="40% - Accent2 4 4 6" xfId="17378" xr:uid="{00000000-0005-0000-0000-0000DF650000}"/>
    <cellStyle name="40% - Accent2 4 4 7" xfId="22854" xr:uid="{00000000-0005-0000-0000-0000E0650000}"/>
    <cellStyle name="40% - Accent2 4 4 8" xfId="30889" xr:uid="{00000000-0005-0000-0000-0000E1650000}"/>
    <cellStyle name="40% - Accent2 4 4 9" xfId="34649" xr:uid="{00000000-0005-0000-0000-0000E2650000}"/>
    <cellStyle name="40% - Accent2 4 5" xfId="1108" xr:uid="{00000000-0005-0000-0000-0000E3650000}"/>
    <cellStyle name="40% - Accent2 4 5 10" xfId="40127" xr:uid="{00000000-0005-0000-0000-0000E4650000}"/>
    <cellStyle name="40% - Accent2 4 5 11" xfId="45604" xr:uid="{00000000-0005-0000-0000-0000E5650000}"/>
    <cellStyle name="40% - Accent2 4 5 12" xfId="51082" xr:uid="{00000000-0005-0000-0000-0000E6650000}"/>
    <cellStyle name="40% - Accent2 4 5 2" xfId="2869" xr:uid="{00000000-0005-0000-0000-0000E7650000}"/>
    <cellStyle name="40% - Accent2 4 5 2 10" xfId="53045" xr:uid="{00000000-0005-0000-0000-0000E8650000}"/>
    <cellStyle name="40% - Accent2 4 5 2 2" xfId="8349" xr:uid="{00000000-0005-0000-0000-0000E9650000}"/>
    <cellStyle name="40% - Accent2 4 5 2 2 2" xfId="30895" xr:uid="{00000000-0005-0000-0000-0000EA650000}"/>
    <cellStyle name="40% - Accent2 4 5 2 3" xfId="13825" xr:uid="{00000000-0005-0000-0000-0000EB650000}"/>
    <cellStyle name="40% - Accent2 4 5 2 4" xfId="19301" xr:uid="{00000000-0005-0000-0000-0000EC650000}"/>
    <cellStyle name="40% - Accent2 4 5 2 5" xfId="24777" xr:uid="{00000000-0005-0000-0000-0000ED650000}"/>
    <cellStyle name="40% - Accent2 4 5 2 6" xfId="30894" xr:uid="{00000000-0005-0000-0000-0000EE650000}"/>
    <cellStyle name="40% - Accent2 4 5 2 7" xfId="36573" xr:uid="{00000000-0005-0000-0000-0000EF650000}"/>
    <cellStyle name="40% - Accent2 4 5 2 8" xfId="42050" xr:uid="{00000000-0005-0000-0000-0000F0650000}"/>
    <cellStyle name="40% - Accent2 4 5 2 9" xfId="47527" xr:uid="{00000000-0005-0000-0000-0000F1650000}"/>
    <cellStyle name="40% - Accent2 4 5 3" xfId="4641" xr:uid="{00000000-0005-0000-0000-0000F2650000}"/>
    <cellStyle name="40% - Accent2 4 5 3 10" xfId="54817" xr:uid="{00000000-0005-0000-0000-0000F3650000}"/>
    <cellStyle name="40% - Accent2 4 5 3 2" xfId="10121" xr:uid="{00000000-0005-0000-0000-0000F4650000}"/>
    <cellStyle name="40% - Accent2 4 5 3 3" xfId="15597" xr:uid="{00000000-0005-0000-0000-0000F5650000}"/>
    <cellStyle name="40% - Accent2 4 5 3 4" xfId="21073" xr:uid="{00000000-0005-0000-0000-0000F6650000}"/>
    <cellStyle name="40% - Accent2 4 5 3 5" xfId="26549" xr:uid="{00000000-0005-0000-0000-0000F7650000}"/>
    <cellStyle name="40% - Accent2 4 5 3 6" xfId="30896" xr:uid="{00000000-0005-0000-0000-0000F8650000}"/>
    <cellStyle name="40% - Accent2 4 5 3 7" xfId="38345" xr:uid="{00000000-0005-0000-0000-0000F9650000}"/>
    <cellStyle name="40% - Accent2 4 5 3 8" xfId="43822" xr:uid="{00000000-0005-0000-0000-0000FA650000}"/>
    <cellStyle name="40% - Accent2 4 5 3 9" xfId="49299" xr:uid="{00000000-0005-0000-0000-0000FB650000}"/>
    <cellStyle name="40% - Accent2 4 5 4" xfId="6423" xr:uid="{00000000-0005-0000-0000-0000FC650000}"/>
    <cellStyle name="40% - Accent2 4 5 5" xfId="11903" xr:uid="{00000000-0005-0000-0000-0000FD650000}"/>
    <cellStyle name="40% - Accent2 4 5 6" xfId="17379" xr:uid="{00000000-0005-0000-0000-0000FE650000}"/>
    <cellStyle name="40% - Accent2 4 5 7" xfId="22855" xr:uid="{00000000-0005-0000-0000-0000FF650000}"/>
    <cellStyle name="40% - Accent2 4 5 8" xfId="30893" xr:uid="{00000000-0005-0000-0000-000000660000}"/>
    <cellStyle name="40% - Accent2 4 5 9" xfId="34650" xr:uid="{00000000-0005-0000-0000-000001660000}"/>
    <cellStyle name="40% - Accent2 4 6" xfId="1280" xr:uid="{00000000-0005-0000-0000-000002660000}"/>
    <cellStyle name="40% - Accent2 4 6 10" xfId="40128" xr:uid="{00000000-0005-0000-0000-000003660000}"/>
    <cellStyle name="40% - Accent2 4 6 11" xfId="45605" xr:uid="{00000000-0005-0000-0000-000004660000}"/>
    <cellStyle name="40% - Accent2 4 6 12" xfId="51083" xr:uid="{00000000-0005-0000-0000-000005660000}"/>
    <cellStyle name="40% - Accent2 4 6 2" xfId="3041" xr:uid="{00000000-0005-0000-0000-000006660000}"/>
    <cellStyle name="40% - Accent2 4 6 2 10" xfId="53217" xr:uid="{00000000-0005-0000-0000-000007660000}"/>
    <cellStyle name="40% - Accent2 4 6 2 2" xfId="8521" xr:uid="{00000000-0005-0000-0000-000008660000}"/>
    <cellStyle name="40% - Accent2 4 6 2 2 2" xfId="30899" xr:uid="{00000000-0005-0000-0000-000009660000}"/>
    <cellStyle name="40% - Accent2 4 6 2 3" xfId="13997" xr:uid="{00000000-0005-0000-0000-00000A660000}"/>
    <cellStyle name="40% - Accent2 4 6 2 4" xfId="19473" xr:uid="{00000000-0005-0000-0000-00000B660000}"/>
    <cellStyle name="40% - Accent2 4 6 2 5" xfId="24949" xr:uid="{00000000-0005-0000-0000-00000C660000}"/>
    <cellStyle name="40% - Accent2 4 6 2 6" xfId="30898" xr:uid="{00000000-0005-0000-0000-00000D660000}"/>
    <cellStyle name="40% - Accent2 4 6 2 7" xfId="36745" xr:uid="{00000000-0005-0000-0000-00000E660000}"/>
    <cellStyle name="40% - Accent2 4 6 2 8" xfId="42222" xr:uid="{00000000-0005-0000-0000-00000F660000}"/>
    <cellStyle name="40% - Accent2 4 6 2 9" xfId="47699" xr:uid="{00000000-0005-0000-0000-000010660000}"/>
    <cellStyle name="40% - Accent2 4 6 3" xfId="4813" xr:uid="{00000000-0005-0000-0000-000011660000}"/>
    <cellStyle name="40% - Accent2 4 6 3 10" xfId="54989" xr:uid="{00000000-0005-0000-0000-000012660000}"/>
    <cellStyle name="40% - Accent2 4 6 3 2" xfId="10293" xr:uid="{00000000-0005-0000-0000-000013660000}"/>
    <cellStyle name="40% - Accent2 4 6 3 3" xfId="15769" xr:uid="{00000000-0005-0000-0000-000014660000}"/>
    <cellStyle name="40% - Accent2 4 6 3 4" xfId="21245" xr:uid="{00000000-0005-0000-0000-000015660000}"/>
    <cellStyle name="40% - Accent2 4 6 3 5" xfId="26721" xr:uid="{00000000-0005-0000-0000-000016660000}"/>
    <cellStyle name="40% - Accent2 4 6 3 6" xfId="30900" xr:uid="{00000000-0005-0000-0000-000017660000}"/>
    <cellStyle name="40% - Accent2 4 6 3 7" xfId="38517" xr:uid="{00000000-0005-0000-0000-000018660000}"/>
    <cellStyle name="40% - Accent2 4 6 3 8" xfId="43994" xr:uid="{00000000-0005-0000-0000-000019660000}"/>
    <cellStyle name="40% - Accent2 4 6 3 9" xfId="49471" xr:uid="{00000000-0005-0000-0000-00001A660000}"/>
    <cellStyle name="40% - Accent2 4 6 4" xfId="6424" xr:uid="{00000000-0005-0000-0000-00001B660000}"/>
    <cellStyle name="40% - Accent2 4 6 5" xfId="11904" xr:uid="{00000000-0005-0000-0000-00001C660000}"/>
    <cellStyle name="40% - Accent2 4 6 6" xfId="17380" xr:uid="{00000000-0005-0000-0000-00001D660000}"/>
    <cellStyle name="40% - Accent2 4 6 7" xfId="22856" xr:uid="{00000000-0005-0000-0000-00001E660000}"/>
    <cellStyle name="40% - Accent2 4 6 8" xfId="30897" xr:uid="{00000000-0005-0000-0000-00001F660000}"/>
    <cellStyle name="40% - Accent2 4 6 9" xfId="34651" xr:uid="{00000000-0005-0000-0000-000020660000}"/>
    <cellStyle name="40% - Accent2 4 7" xfId="1452" xr:uid="{00000000-0005-0000-0000-000021660000}"/>
    <cellStyle name="40% - Accent2 4 7 10" xfId="40129" xr:uid="{00000000-0005-0000-0000-000022660000}"/>
    <cellStyle name="40% - Accent2 4 7 11" xfId="45606" xr:uid="{00000000-0005-0000-0000-000023660000}"/>
    <cellStyle name="40% - Accent2 4 7 12" xfId="51084" xr:uid="{00000000-0005-0000-0000-000024660000}"/>
    <cellStyle name="40% - Accent2 4 7 2" xfId="3213" xr:uid="{00000000-0005-0000-0000-000025660000}"/>
    <cellStyle name="40% - Accent2 4 7 2 10" xfId="53389" xr:uid="{00000000-0005-0000-0000-000026660000}"/>
    <cellStyle name="40% - Accent2 4 7 2 2" xfId="8693" xr:uid="{00000000-0005-0000-0000-000027660000}"/>
    <cellStyle name="40% - Accent2 4 7 2 2 2" xfId="30903" xr:uid="{00000000-0005-0000-0000-000028660000}"/>
    <cellStyle name="40% - Accent2 4 7 2 3" xfId="14169" xr:uid="{00000000-0005-0000-0000-000029660000}"/>
    <cellStyle name="40% - Accent2 4 7 2 4" xfId="19645" xr:uid="{00000000-0005-0000-0000-00002A660000}"/>
    <cellStyle name="40% - Accent2 4 7 2 5" xfId="25121" xr:uid="{00000000-0005-0000-0000-00002B660000}"/>
    <cellStyle name="40% - Accent2 4 7 2 6" xfId="30902" xr:uid="{00000000-0005-0000-0000-00002C660000}"/>
    <cellStyle name="40% - Accent2 4 7 2 7" xfId="36917" xr:uid="{00000000-0005-0000-0000-00002D660000}"/>
    <cellStyle name="40% - Accent2 4 7 2 8" xfId="42394" xr:uid="{00000000-0005-0000-0000-00002E660000}"/>
    <cellStyle name="40% - Accent2 4 7 2 9" xfId="47871" xr:uid="{00000000-0005-0000-0000-00002F660000}"/>
    <cellStyle name="40% - Accent2 4 7 3" xfId="4985" xr:uid="{00000000-0005-0000-0000-000030660000}"/>
    <cellStyle name="40% - Accent2 4 7 3 10" xfId="55161" xr:uid="{00000000-0005-0000-0000-000031660000}"/>
    <cellStyle name="40% - Accent2 4 7 3 2" xfId="10465" xr:uid="{00000000-0005-0000-0000-000032660000}"/>
    <cellStyle name="40% - Accent2 4 7 3 3" xfId="15941" xr:uid="{00000000-0005-0000-0000-000033660000}"/>
    <cellStyle name="40% - Accent2 4 7 3 4" xfId="21417" xr:uid="{00000000-0005-0000-0000-000034660000}"/>
    <cellStyle name="40% - Accent2 4 7 3 5" xfId="26893" xr:uid="{00000000-0005-0000-0000-000035660000}"/>
    <cellStyle name="40% - Accent2 4 7 3 6" xfId="30904" xr:uid="{00000000-0005-0000-0000-000036660000}"/>
    <cellStyle name="40% - Accent2 4 7 3 7" xfId="38689" xr:uid="{00000000-0005-0000-0000-000037660000}"/>
    <cellStyle name="40% - Accent2 4 7 3 8" xfId="44166" xr:uid="{00000000-0005-0000-0000-000038660000}"/>
    <cellStyle name="40% - Accent2 4 7 3 9" xfId="49643" xr:uid="{00000000-0005-0000-0000-000039660000}"/>
    <cellStyle name="40% - Accent2 4 7 4" xfId="6425" xr:uid="{00000000-0005-0000-0000-00003A660000}"/>
    <cellStyle name="40% - Accent2 4 7 5" xfId="11905" xr:uid="{00000000-0005-0000-0000-00003B660000}"/>
    <cellStyle name="40% - Accent2 4 7 6" xfId="17381" xr:uid="{00000000-0005-0000-0000-00003C660000}"/>
    <cellStyle name="40% - Accent2 4 7 7" xfId="22857" xr:uid="{00000000-0005-0000-0000-00003D660000}"/>
    <cellStyle name="40% - Accent2 4 7 8" xfId="30901" xr:uid="{00000000-0005-0000-0000-00003E660000}"/>
    <cellStyle name="40% - Accent2 4 7 9" xfId="34652" xr:uid="{00000000-0005-0000-0000-00003F660000}"/>
    <cellStyle name="40% - Accent2 4 8" xfId="1624" xr:uid="{00000000-0005-0000-0000-000040660000}"/>
    <cellStyle name="40% - Accent2 4 8 10" xfId="40130" xr:uid="{00000000-0005-0000-0000-000041660000}"/>
    <cellStyle name="40% - Accent2 4 8 11" xfId="45607" xr:uid="{00000000-0005-0000-0000-000042660000}"/>
    <cellStyle name="40% - Accent2 4 8 12" xfId="51085" xr:uid="{00000000-0005-0000-0000-000043660000}"/>
    <cellStyle name="40% - Accent2 4 8 2" xfId="3385" xr:uid="{00000000-0005-0000-0000-000044660000}"/>
    <cellStyle name="40% - Accent2 4 8 2 10" xfId="53561" xr:uid="{00000000-0005-0000-0000-000045660000}"/>
    <cellStyle name="40% - Accent2 4 8 2 2" xfId="8865" xr:uid="{00000000-0005-0000-0000-000046660000}"/>
    <cellStyle name="40% - Accent2 4 8 2 3" xfId="14341" xr:uid="{00000000-0005-0000-0000-000047660000}"/>
    <cellStyle name="40% - Accent2 4 8 2 4" xfId="19817" xr:uid="{00000000-0005-0000-0000-000048660000}"/>
    <cellStyle name="40% - Accent2 4 8 2 5" xfId="25293" xr:uid="{00000000-0005-0000-0000-000049660000}"/>
    <cellStyle name="40% - Accent2 4 8 2 6" xfId="30906" xr:uid="{00000000-0005-0000-0000-00004A660000}"/>
    <cellStyle name="40% - Accent2 4 8 2 7" xfId="37089" xr:uid="{00000000-0005-0000-0000-00004B660000}"/>
    <cellStyle name="40% - Accent2 4 8 2 8" xfId="42566" xr:uid="{00000000-0005-0000-0000-00004C660000}"/>
    <cellStyle name="40% - Accent2 4 8 2 9" xfId="48043" xr:uid="{00000000-0005-0000-0000-00004D660000}"/>
    <cellStyle name="40% - Accent2 4 8 3" xfId="5157" xr:uid="{00000000-0005-0000-0000-00004E660000}"/>
    <cellStyle name="40% - Accent2 4 8 3 2" xfId="10637" xr:uid="{00000000-0005-0000-0000-00004F660000}"/>
    <cellStyle name="40% - Accent2 4 8 3 3" xfId="16113" xr:uid="{00000000-0005-0000-0000-000050660000}"/>
    <cellStyle name="40% - Accent2 4 8 3 4" xfId="21589" xr:uid="{00000000-0005-0000-0000-000051660000}"/>
    <cellStyle name="40% - Accent2 4 8 3 5" xfId="27065" xr:uid="{00000000-0005-0000-0000-000052660000}"/>
    <cellStyle name="40% - Accent2 4 8 3 6" xfId="38861" xr:uid="{00000000-0005-0000-0000-000053660000}"/>
    <cellStyle name="40% - Accent2 4 8 3 7" xfId="44338" xr:uid="{00000000-0005-0000-0000-000054660000}"/>
    <cellStyle name="40% - Accent2 4 8 3 8" xfId="49815" xr:uid="{00000000-0005-0000-0000-000055660000}"/>
    <cellStyle name="40% - Accent2 4 8 3 9" xfId="55333" xr:uid="{00000000-0005-0000-0000-000056660000}"/>
    <cellStyle name="40% - Accent2 4 8 4" xfId="6426" xr:uid="{00000000-0005-0000-0000-000057660000}"/>
    <cellStyle name="40% - Accent2 4 8 5" xfId="11906" xr:uid="{00000000-0005-0000-0000-000058660000}"/>
    <cellStyle name="40% - Accent2 4 8 6" xfId="17382" xr:uid="{00000000-0005-0000-0000-000059660000}"/>
    <cellStyle name="40% - Accent2 4 8 7" xfId="22858" xr:uid="{00000000-0005-0000-0000-00005A660000}"/>
    <cellStyle name="40% - Accent2 4 8 8" xfId="30905" xr:uid="{00000000-0005-0000-0000-00005B660000}"/>
    <cellStyle name="40% - Accent2 4 8 9" xfId="34653" xr:uid="{00000000-0005-0000-0000-00005C660000}"/>
    <cellStyle name="40% - Accent2 4 9" xfId="1821" xr:uid="{00000000-0005-0000-0000-00005D660000}"/>
    <cellStyle name="40% - Accent2 4 9 10" xfId="40131" xr:uid="{00000000-0005-0000-0000-00005E660000}"/>
    <cellStyle name="40% - Accent2 4 9 11" xfId="45608" xr:uid="{00000000-0005-0000-0000-00005F660000}"/>
    <cellStyle name="40% - Accent2 4 9 12" xfId="51086" xr:uid="{00000000-0005-0000-0000-000060660000}"/>
    <cellStyle name="40% - Accent2 4 9 2" xfId="3582" xr:uid="{00000000-0005-0000-0000-000061660000}"/>
    <cellStyle name="40% - Accent2 4 9 2 2" xfId="9062" xr:uid="{00000000-0005-0000-0000-000062660000}"/>
    <cellStyle name="40% - Accent2 4 9 2 3" xfId="14538" xr:uid="{00000000-0005-0000-0000-000063660000}"/>
    <cellStyle name="40% - Accent2 4 9 2 4" xfId="20014" xr:uid="{00000000-0005-0000-0000-000064660000}"/>
    <cellStyle name="40% - Accent2 4 9 2 5" xfId="25490" xr:uid="{00000000-0005-0000-0000-000065660000}"/>
    <cellStyle name="40% - Accent2 4 9 2 6" xfId="37286" xr:uid="{00000000-0005-0000-0000-000066660000}"/>
    <cellStyle name="40% - Accent2 4 9 2 7" xfId="42763" xr:uid="{00000000-0005-0000-0000-000067660000}"/>
    <cellStyle name="40% - Accent2 4 9 2 8" xfId="48240" xr:uid="{00000000-0005-0000-0000-000068660000}"/>
    <cellStyle name="40% - Accent2 4 9 2 9" xfId="53758" xr:uid="{00000000-0005-0000-0000-000069660000}"/>
    <cellStyle name="40% - Accent2 4 9 3" xfId="5354" xr:uid="{00000000-0005-0000-0000-00006A660000}"/>
    <cellStyle name="40% - Accent2 4 9 3 2" xfId="10834" xr:uid="{00000000-0005-0000-0000-00006B660000}"/>
    <cellStyle name="40% - Accent2 4 9 3 3" xfId="16310" xr:uid="{00000000-0005-0000-0000-00006C660000}"/>
    <cellStyle name="40% - Accent2 4 9 3 4" xfId="21786" xr:uid="{00000000-0005-0000-0000-00006D660000}"/>
    <cellStyle name="40% - Accent2 4 9 3 5" xfId="27262" xr:uid="{00000000-0005-0000-0000-00006E660000}"/>
    <cellStyle name="40% - Accent2 4 9 3 6" xfId="39058" xr:uid="{00000000-0005-0000-0000-00006F660000}"/>
    <cellStyle name="40% - Accent2 4 9 3 7" xfId="44535" xr:uid="{00000000-0005-0000-0000-000070660000}"/>
    <cellStyle name="40% - Accent2 4 9 3 8" xfId="50012" xr:uid="{00000000-0005-0000-0000-000071660000}"/>
    <cellStyle name="40% - Accent2 4 9 3 9" xfId="55530" xr:uid="{00000000-0005-0000-0000-000072660000}"/>
    <cellStyle name="40% - Accent2 4 9 4" xfId="6427" xr:uid="{00000000-0005-0000-0000-000073660000}"/>
    <cellStyle name="40% - Accent2 4 9 5" xfId="11907" xr:uid="{00000000-0005-0000-0000-000074660000}"/>
    <cellStyle name="40% - Accent2 4 9 6" xfId="17383" xr:uid="{00000000-0005-0000-0000-000075660000}"/>
    <cellStyle name="40% - Accent2 4 9 7" xfId="22859" xr:uid="{00000000-0005-0000-0000-000076660000}"/>
    <cellStyle name="40% - Accent2 4 9 8" xfId="30907" xr:uid="{00000000-0005-0000-0000-000077660000}"/>
    <cellStyle name="40% - Accent2 4 9 9" xfId="34654" xr:uid="{00000000-0005-0000-0000-000078660000}"/>
    <cellStyle name="40% - Accent2 5" xfId="3673" xr:uid="{00000000-0005-0000-0000-000079660000}"/>
    <cellStyle name="40% - Accent2 5 10" xfId="30908" xr:uid="{00000000-0005-0000-0000-00007A660000}"/>
    <cellStyle name="40% - Accent2 5 11" xfId="37377" xr:uid="{00000000-0005-0000-0000-00007B660000}"/>
    <cellStyle name="40% - Accent2 5 12" xfId="42854" xr:uid="{00000000-0005-0000-0000-00007C660000}"/>
    <cellStyle name="40% - Accent2 5 13" xfId="48331" xr:uid="{00000000-0005-0000-0000-00007D660000}"/>
    <cellStyle name="40% - Accent2 5 14" xfId="52039" xr:uid="{00000000-0005-0000-0000-00007E660000}"/>
    <cellStyle name="40% - Accent2 5 2" xfId="9153" xr:uid="{00000000-0005-0000-0000-00007F660000}"/>
    <cellStyle name="40% - Accent2 5 2 2" xfId="30910" xr:uid="{00000000-0005-0000-0000-000080660000}"/>
    <cellStyle name="40% - Accent2 5 2 2 2" xfId="30911" xr:uid="{00000000-0005-0000-0000-000081660000}"/>
    <cellStyle name="40% - Accent2 5 2 3" xfId="30912" xr:uid="{00000000-0005-0000-0000-000082660000}"/>
    <cellStyle name="40% - Accent2 5 2 4" xfId="30909" xr:uid="{00000000-0005-0000-0000-000083660000}"/>
    <cellStyle name="40% - Accent2 5 2 5" xfId="53849" xr:uid="{00000000-0005-0000-0000-000084660000}"/>
    <cellStyle name="40% - Accent2 5 3" xfId="14629" xr:uid="{00000000-0005-0000-0000-000085660000}"/>
    <cellStyle name="40% - Accent2 5 3 2" xfId="30914" xr:uid="{00000000-0005-0000-0000-000086660000}"/>
    <cellStyle name="40% - Accent2 5 3 2 2" xfId="30915" xr:uid="{00000000-0005-0000-0000-000087660000}"/>
    <cellStyle name="40% - Accent2 5 3 3" xfId="30916" xr:uid="{00000000-0005-0000-0000-000088660000}"/>
    <cellStyle name="40% - Accent2 5 3 4" xfId="30913" xr:uid="{00000000-0005-0000-0000-000089660000}"/>
    <cellStyle name="40% - Accent2 5 4" xfId="20105" xr:uid="{00000000-0005-0000-0000-00008A660000}"/>
    <cellStyle name="40% - Accent2 5 4 2" xfId="30918" xr:uid="{00000000-0005-0000-0000-00008B660000}"/>
    <cellStyle name="40% - Accent2 5 4 2 2" xfId="30919" xr:uid="{00000000-0005-0000-0000-00008C660000}"/>
    <cellStyle name="40% - Accent2 5 4 3" xfId="30920" xr:uid="{00000000-0005-0000-0000-00008D660000}"/>
    <cellStyle name="40% - Accent2 5 4 4" xfId="30917" xr:uid="{00000000-0005-0000-0000-00008E660000}"/>
    <cellStyle name="40% - Accent2 5 5" xfId="25581" xr:uid="{00000000-0005-0000-0000-00008F660000}"/>
    <cellStyle name="40% - Accent2 5 5 2" xfId="30922" xr:uid="{00000000-0005-0000-0000-000090660000}"/>
    <cellStyle name="40% - Accent2 5 5 2 2" xfId="30923" xr:uid="{00000000-0005-0000-0000-000091660000}"/>
    <cellStyle name="40% - Accent2 5 5 3" xfId="30924" xr:uid="{00000000-0005-0000-0000-000092660000}"/>
    <cellStyle name="40% - Accent2 5 5 4" xfId="30921" xr:uid="{00000000-0005-0000-0000-000093660000}"/>
    <cellStyle name="40% - Accent2 5 6" xfId="30925" xr:uid="{00000000-0005-0000-0000-000094660000}"/>
    <cellStyle name="40% - Accent2 5 6 2" xfId="30926" xr:uid="{00000000-0005-0000-0000-000095660000}"/>
    <cellStyle name="40% - Accent2 5 6 2 2" xfId="30927" xr:uid="{00000000-0005-0000-0000-000096660000}"/>
    <cellStyle name="40% - Accent2 5 6 3" xfId="30928" xr:uid="{00000000-0005-0000-0000-000097660000}"/>
    <cellStyle name="40% - Accent2 5 7" xfId="30929" xr:uid="{00000000-0005-0000-0000-000098660000}"/>
    <cellStyle name="40% - Accent2 5 7 2" xfId="30930" xr:uid="{00000000-0005-0000-0000-000099660000}"/>
    <cellStyle name="40% - Accent2 5 7 2 2" xfId="30931" xr:uid="{00000000-0005-0000-0000-00009A660000}"/>
    <cellStyle name="40% - Accent2 5 7 3" xfId="30932" xr:uid="{00000000-0005-0000-0000-00009B660000}"/>
    <cellStyle name="40% - Accent2 5 8" xfId="30933" xr:uid="{00000000-0005-0000-0000-00009C660000}"/>
    <cellStyle name="40% - Accent2 5 8 2" xfId="30934" xr:uid="{00000000-0005-0000-0000-00009D660000}"/>
    <cellStyle name="40% - Accent2 5 9" xfId="30935" xr:uid="{00000000-0005-0000-0000-00009E660000}"/>
    <cellStyle name="40% - Accent2 6" xfId="7378" xr:uid="{00000000-0005-0000-0000-00009F660000}"/>
    <cellStyle name="40% - Accent2 6 10" xfId="30936" xr:uid="{00000000-0005-0000-0000-0000A0660000}"/>
    <cellStyle name="40% - Accent2 6 2" xfId="30937" xr:uid="{00000000-0005-0000-0000-0000A1660000}"/>
    <cellStyle name="40% - Accent2 6 2 2" xfId="30938" xr:uid="{00000000-0005-0000-0000-0000A2660000}"/>
    <cellStyle name="40% - Accent2 6 2 2 2" xfId="30939" xr:uid="{00000000-0005-0000-0000-0000A3660000}"/>
    <cellStyle name="40% - Accent2 6 2 3" xfId="30940" xr:uid="{00000000-0005-0000-0000-0000A4660000}"/>
    <cellStyle name="40% - Accent2 6 3" xfId="30941" xr:uid="{00000000-0005-0000-0000-0000A5660000}"/>
    <cellStyle name="40% - Accent2 6 3 2" xfId="30942" xr:uid="{00000000-0005-0000-0000-0000A6660000}"/>
    <cellStyle name="40% - Accent2 6 3 2 2" xfId="30943" xr:uid="{00000000-0005-0000-0000-0000A7660000}"/>
    <cellStyle name="40% - Accent2 6 3 3" xfId="30944" xr:uid="{00000000-0005-0000-0000-0000A8660000}"/>
    <cellStyle name="40% - Accent2 6 4" xfId="30945" xr:uid="{00000000-0005-0000-0000-0000A9660000}"/>
    <cellStyle name="40% - Accent2 6 4 2" xfId="30946" xr:uid="{00000000-0005-0000-0000-0000AA660000}"/>
    <cellStyle name="40% - Accent2 6 4 2 2" xfId="30947" xr:uid="{00000000-0005-0000-0000-0000AB660000}"/>
    <cellStyle name="40% - Accent2 6 4 3" xfId="30948" xr:uid="{00000000-0005-0000-0000-0000AC660000}"/>
    <cellStyle name="40% - Accent2 6 5" xfId="30949" xr:uid="{00000000-0005-0000-0000-0000AD660000}"/>
    <cellStyle name="40% - Accent2 6 5 2" xfId="30950" xr:uid="{00000000-0005-0000-0000-0000AE660000}"/>
    <cellStyle name="40% - Accent2 6 5 2 2" xfId="30951" xr:uid="{00000000-0005-0000-0000-0000AF660000}"/>
    <cellStyle name="40% - Accent2 6 5 3" xfId="30952" xr:uid="{00000000-0005-0000-0000-0000B0660000}"/>
    <cellStyle name="40% - Accent2 6 6" xfId="30953" xr:uid="{00000000-0005-0000-0000-0000B1660000}"/>
    <cellStyle name="40% - Accent2 6 6 2" xfId="30954" xr:uid="{00000000-0005-0000-0000-0000B2660000}"/>
    <cellStyle name="40% - Accent2 6 6 2 2" xfId="30955" xr:uid="{00000000-0005-0000-0000-0000B3660000}"/>
    <cellStyle name="40% - Accent2 6 6 3" xfId="30956" xr:uid="{00000000-0005-0000-0000-0000B4660000}"/>
    <cellStyle name="40% - Accent2 6 7" xfId="30957" xr:uid="{00000000-0005-0000-0000-0000B5660000}"/>
    <cellStyle name="40% - Accent2 6 7 2" xfId="30958" xr:uid="{00000000-0005-0000-0000-0000B6660000}"/>
    <cellStyle name="40% - Accent2 6 7 2 2" xfId="30959" xr:uid="{00000000-0005-0000-0000-0000B7660000}"/>
    <cellStyle name="40% - Accent2 6 7 3" xfId="30960" xr:uid="{00000000-0005-0000-0000-0000B8660000}"/>
    <cellStyle name="40% - Accent2 6 8" xfId="30961" xr:uid="{00000000-0005-0000-0000-0000B9660000}"/>
    <cellStyle name="40% - Accent2 6 8 2" xfId="30962" xr:uid="{00000000-0005-0000-0000-0000BA660000}"/>
    <cellStyle name="40% - Accent2 6 9" xfId="30963" xr:uid="{00000000-0005-0000-0000-0000BB660000}"/>
    <cellStyle name="40% - Accent2 7" xfId="12855" xr:uid="{00000000-0005-0000-0000-0000BC660000}"/>
    <cellStyle name="40% - Accent2 7 10" xfId="30964" xr:uid="{00000000-0005-0000-0000-0000BD660000}"/>
    <cellStyle name="40% - Accent2 7 2" xfId="30965" xr:uid="{00000000-0005-0000-0000-0000BE660000}"/>
    <cellStyle name="40% - Accent2 7 2 2" xfId="30966" xr:uid="{00000000-0005-0000-0000-0000BF660000}"/>
    <cellStyle name="40% - Accent2 7 2 2 2" xfId="30967" xr:uid="{00000000-0005-0000-0000-0000C0660000}"/>
    <cellStyle name="40% - Accent2 7 2 3" xfId="30968" xr:uid="{00000000-0005-0000-0000-0000C1660000}"/>
    <cellStyle name="40% - Accent2 7 3" xfId="30969" xr:uid="{00000000-0005-0000-0000-0000C2660000}"/>
    <cellStyle name="40% - Accent2 7 3 2" xfId="30970" xr:uid="{00000000-0005-0000-0000-0000C3660000}"/>
    <cellStyle name="40% - Accent2 7 3 2 2" xfId="30971" xr:uid="{00000000-0005-0000-0000-0000C4660000}"/>
    <cellStyle name="40% - Accent2 7 3 3" xfId="30972" xr:uid="{00000000-0005-0000-0000-0000C5660000}"/>
    <cellStyle name="40% - Accent2 7 4" xfId="30973" xr:uid="{00000000-0005-0000-0000-0000C6660000}"/>
    <cellStyle name="40% - Accent2 7 4 2" xfId="30974" xr:uid="{00000000-0005-0000-0000-0000C7660000}"/>
    <cellStyle name="40% - Accent2 7 4 2 2" xfId="30975" xr:uid="{00000000-0005-0000-0000-0000C8660000}"/>
    <cellStyle name="40% - Accent2 7 4 3" xfId="30976" xr:uid="{00000000-0005-0000-0000-0000C9660000}"/>
    <cellStyle name="40% - Accent2 7 5" xfId="30977" xr:uid="{00000000-0005-0000-0000-0000CA660000}"/>
    <cellStyle name="40% - Accent2 7 5 2" xfId="30978" xr:uid="{00000000-0005-0000-0000-0000CB660000}"/>
    <cellStyle name="40% - Accent2 7 5 2 2" xfId="30979" xr:uid="{00000000-0005-0000-0000-0000CC660000}"/>
    <cellStyle name="40% - Accent2 7 5 3" xfId="30980" xr:uid="{00000000-0005-0000-0000-0000CD660000}"/>
    <cellStyle name="40% - Accent2 7 6" xfId="30981" xr:uid="{00000000-0005-0000-0000-0000CE660000}"/>
    <cellStyle name="40% - Accent2 7 6 2" xfId="30982" xr:uid="{00000000-0005-0000-0000-0000CF660000}"/>
    <cellStyle name="40% - Accent2 7 6 2 2" xfId="30983" xr:uid="{00000000-0005-0000-0000-0000D0660000}"/>
    <cellStyle name="40% - Accent2 7 6 3" xfId="30984" xr:uid="{00000000-0005-0000-0000-0000D1660000}"/>
    <cellStyle name="40% - Accent2 7 7" xfId="30985" xr:uid="{00000000-0005-0000-0000-0000D2660000}"/>
    <cellStyle name="40% - Accent2 7 7 2" xfId="30986" xr:uid="{00000000-0005-0000-0000-0000D3660000}"/>
    <cellStyle name="40% - Accent2 7 7 2 2" xfId="30987" xr:uid="{00000000-0005-0000-0000-0000D4660000}"/>
    <cellStyle name="40% - Accent2 7 7 3" xfId="30988" xr:uid="{00000000-0005-0000-0000-0000D5660000}"/>
    <cellStyle name="40% - Accent2 7 8" xfId="30989" xr:uid="{00000000-0005-0000-0000-0000D6660000}"/>
    <cellStyle name="40% - Accent2 7 8 2" xfId="30990" xr:uid="{00000000-0005-0000-0000-0000D7660000}"/>
    <cellStyle name="40% - Accent2 7 9" xfId="30991" xr:uid="{00000000-0005-0000-0000-0000D8660000}"/>
    <cellStyle name="40% - Accent2 8" xfId="18331" xr:uid="{00000000-0005-0000-0000-0000D9660000}"/>
    <cellStyle name="40% - Accent2 8 2" xfId="30993" xr:uid="{00000000-0005-0000-0000-0000DA660000}"/>
    <cellStyle name="40% - Accent2 8 2 2" xfId="30994" xr:uid="{00000000-0005-0000-0000-0000DB660000}"/>
    <cellStyle name="40% - Accent2 8 3" xfId="30995" xr:uid="{00000000-0005-0000-0000-0000DC660000}"/>
    <cellStyle name="40% - Accent2 8 4" xfId="30992" xr:uid="{00000000-0005-0000-0000-0000DD660000}"/>
    <cellStyle name="40% - Accent2 9" xfId="23807" xr:uid="{00000000-0005-0000-0000-0000DE660000}"/>
    <cellStyle name="40% - Accent2 9 10" xfId="30996" xr:uid="{00000000-0005-0000-0000-0000DF660000}"/>
    <cellStyle name="40% - Accent2 9 2" xfId="30997" xr:uid="{00000000-0005-0000-0000-0000E0660000}"/>
    <cellStyle name="40% - Accent2 9 2 2" xfId="30998" xr:uid="{00000000-0005-0000-0000-0000E1660000}"/>
    <cellStyle name="40% - Accent2 9 2 2 2" xfId="30999" xr:uid="{00000000-0005-0000-0000-0000E2660000}"/>
    <cellStyle name="40% - Accent2 9 2 3" xfId="31000" xr:uid="{00000000-0005-0000-0000-0000E3660000}"/>
    <cellStyle name="40% - Accent2 9 3" xfId="31001" xr:uid="{00000000-0005-0000-0000-0000E4660000}"/>
    <cellStyle name="40% - Accent2 9 3 2" xfId="31002" xr:uid="{00000000-0005-0000-0000-0000E5660000}"/>
    <cellStyle name="40% - Accent2 9 3 2 2" xfId="31003" xr:uid="{00000000-0005-0000-0000-0000E6660000}"/>
    <cellStyle name="40% - Accent2 9 3 3" xfId="31004" xr:uid="{00000000-0005-0000-0000-0000E7660000}"/>
    <cellStyle name="40% - Accent2 9 4" xfId="31005" xr:uid="{00000000-0005-0000-0000-0000E8660000}"/>
    <cellStyle name="40% - Accent2 9 4 2" xfId="31006" xr:uid="{00000000-0005-0000-0000-0000E9660000}"/>
    <cellStyle name="40% - Accent2 9 4 2 2" xfId="31007" xr:uid="{00000000-0005-0000-0000-0000EA660000}"/>
    <cellStyle name="40% - Accent2 9 4 3" xfId="31008" xr:uid="{00000000-0005-0000-0000-0000EB660000}"/>
    <cellStyle name="40% - Accent2 9 5" xfId="31009" xr:uid="{00000000-0005-0000-0000-0000EC660000}"/>
    <cellStyle name="40% - Accent2 9 5 2" xfId="31010" xr:uid="{00000000-0005-0000-0000-0000ED660000}"/>
    <cellStyle name="40% - Accent2 9 5 2 2" xfId="31011" xr:uid="{00000000-0005-0000-0000-0000EE660000}"/>
    <cellStyle name="40% - Accent2 9 5 3" xfId="31012" xr:uid="{00000000-0005-0000-0000-0000EF660000}"/>
    <cellStyle name="40% - Accent2 9 6" xfId="31013" xr:uid="{00000000-0005-0000-0000-0000F0660000}"/>
    <cellStyle name="40% - Accent2 9 6 2" xfId="31014" xr:uid="{00000000-0005-0000-0000-0000F1660000}"/>
    <cellStyle name="40% - Accent2 9 6 2 2" xfId="31015" xr:uid="{00000000-0005-0000-0000-0000F2660000}"/>
    <cellStyle name="40% - Accent2 9 6 3" xfId="31016" xr:uid="{00000000-0005-0000-0000-0000F3660000}"/>
    <cellStyle name="40% - Accent2 9 7" xfId="31017" xr:uid="{00000000-0005-0000-0000-0000F4660000}"/>
    <cellStyle name="40% - Accent2 9 7 2" xfId="31018" xr:uid="{00000000-0005-0000-0000-0000F5660000}"/>
    <cellStyle name="40% - Accent2 9 7 2 2" xfId="31019" xr:uid="{00000000-0005-0000-0000-0000F6660000}"/>
    <cellStyle name="40% - Accent2 9 7 3" xfId="31020" xr:uid="{00000000-0005-0000-0000-0000F7660000}"/>
    <cellStyle name="40% - Accent2 9 8" xfId="31021" xr:uid="{00000000-0005-0000-0000-0000F8660000}"/>
    <cellStyle name="40% - Accent2 9 8 2" xfId="31022" xr:uid="{00000000-0005-0000-0000-0000F9660000}"/>
    <cellStyle name="40% - Accent2 9 9" xfId="31023" xr:uid="{00000000-0005-0000-0000-0000FA660000}"/>
    <cellStyle name="40% - Accent3" xfId="66" builtinId="39" customBuiltin="1"/>
    <cellStyle name="40% - Accent3 10" xfId="31024" xr:uid="{00000000-0005-0000-0000-0000FC660000}"/>
    <cellStyle name="40% - Accent3 10 2" xfId="31025" xr:uid="{00000000-0005-0000-0000-0000FD660000}"/>
    <cellStyle name="40% - Accent3 10 2 2" xfId="31026" xr:uid="{00000000-0005-0000-0000-0000FE660000}"/>
    <cellStyle name="40% - Accent3 10 2 2 2" xfId="31027" xr:uid="{00000000-0005-0000-0000-0000FF660000}"/>
    <cellStyle name="40% - Accent3 10 2 3" xfId="31028" xr:uid="{00000000-0005-0000-0000-000000670000}"/>
    <cellStyle name="40% - Accent3 10 3" xfId="31029" xr:uid="{00000000-0005-0000-0000-000001670000}"/>
    <cellStyle name="40% - Accent3 10 3 2" xfId="31030" xr:uid="{00000000-0005-0000-0000-000002670000}"/>
    <cellStyle name="40% - Accent3 10 3 2 2" xfId="31031" xr:uid="{00000000-0005-0000-0000-000003670000}"/>
    <cellStyle name="40% - Accent3 10 3 3" xfId="31032" xr:uid="{00000000-0005-0000-0000-000004670000}"/>
    <cellStyle name="40% - Accent3 10 4" xfId="31033" xr:uid="{00000000-0005-0000-0000-000005670000}"/>
    <cellStyle name="40% - Accent3 10 4 2" xfId="31034" xr:uid="{00000000-0005-0000-0000-000006670000}"/>
    <cellStyle name="40% - Accent3 10 5" xfId="31035" xr:uid="{00000000-0005-0000-0000-000007670000}"/>
    <cellStyle name="40% - Accent3 11" xfId="31036" xr:uid="{00000000-0005-0000-0000-000008670000}"/>
    <cellStyle name="40% - Accent3 11 2" xfId="31037" xr:uid="{00000000-0005-0000-0000-000009670000}"/>
    <cellStyle name="40% - Accent3 11 2 2" xfId="31038" xr:uid="{00000000-0005-0000-0000-00000A670000}"/>
    <cellStyle name="40% - Accent3 11 3" xfId="31039" xr:uid="{00000000-0005-0000-0000-00000B670000}"/>
    <cellStyle name="40% - Accent3 12" xfId="31040" xr:uid="{00000000-0005-0000-0000-00000C670000}"/>
    <cellStyle name="40% - Accent3 12 2" xfId="31041" xr:uid="{00000000-0005-0000-0000-00000D670000}"/>
    <cellStyle name="40% - Accent3 12 2 2" xfId="31042" xr:uid="{00000000-0005-0000-0000-00000E670000}"/>
    <cellStyle name="40% - Accent3 12 3" xfId="31043" xr:uid="{00000000-0005-0000-0000-00000F670000}"/>
    <cellStyle name="40% - Accent3 13" xfId="31044" xr:uid="{00000000-0005-0000-0000-000010670000}"/>
    <cellStyle name="40% - Accent3 13 2" xfId="31045" xr:uid="{00000000-0005-0000-0000-000011670000}"/>
    <cellStyle name="40% - Accent3 13 2 2" xfId="31046" xr:uid="{00000000-0005-0000-0000-000012670000}"/>
    <cellStyle name="40% - Accent3 13 3" xfId="31047" xr:uid="{00000000-0005-0000-0000-000013670000}"/>
    <cellStyle name="40% - Accent3 14" xfId="31048" xr:uid="{00000000-0005-0000-0000-000014670000}"/>
    <cellStyle name="40% - Accent3 14 2" xfId="31049" xr:uid="{00000000-0005-0000-0000-000015670000}"/>
    <cellStyle name="40% - Accent3 14 2 2" xfId="31050" xr:uid="{00000000-0005-0000-0000-000016670000}"/>
    <cellStyle name="40% - Accent3 14 3" xfId="31051" xr:uid="{00000000-0005-0000-0000-000017670000}"/>
    <cellStyle name="40% - Accent3 15" xfId="31052" xr:uid="{00000000-0005-0000-0000-000018670000}"/>
    <cellStyle name="40% - Accent3 15 2" xfId="31053" xr:uid="{00000000-0005-0000-0000-000019670000}"/>
    <cellStyle name="40% - Accent3 15 2 2" xfId="31054" xr:uid="{00000000-0005-0000-0000-00001A670000}"/>
    <cellStyle name="40% - Accent3 15 3" xfId="31055" xr:uid="{00000000-0005-0000-0000-00001B670000}"/>
    <cellStyle name="40% - Accent3 16" xfId="31056" xr:uid="{00000000-0005-0000-0000-00001C670000}"/>
    <cellStyle name="40% - Accent3 16 2" xfId="31057" xr:uid="{00000000-0005-0000-0000-00001D670000}"/>
    <cellStyle name="40% - Accent3 16 2 2" xfId="31058" xr:uid="{00000000-0005-0000-0000-00001E670000}"/>
    <cellStyle name="40% - Accent3 16 2 2 2" xfId="31059" xr:uid="{00000000-0005-0000-0000-00001F670000}"/>
    <cellStyle name="40% - Accent3 16 2 2 2 2" xfId="31060" xr:uid="{00000000-0005-0000-0000-000020670000}"/>
    <cellStyle name="40% - Accent3 16 2 2 2 2 2" xfId="31061" xr:uid="{00000000-0005-0000-0000-000021670000}"/>
    <cellStyle name="40% - Accent3 16 2 2 2 3" xfId="31062" xr:uid="{00000000-0005-0000-0000-000022670000}"/>
    <cellStyle name="40% - Accent3 16 2 2 3" xfId="31063" xr:uid="{00000000-0005-0000-0000-000023670000}"/>
    <cellStyle name="40% - Accent3 16 2 2 3 2" xfId="31064" xr:uid="{00000000-0005-0000-0000-000024670000}"/>
    <cellStyle name="40% - Accent3 16 2 2 3 2 2" xfId="31065" xr:uid="{00000000-0005-0000-0000-000025670000}"/>
    <cellStyle name="40% - Accent3 16 2 2 3 3" xfId="31066" xr:uid="{00000000-0005-0000-0000-000026670000}"/>
    <cellStyle name="40% - Accent3 16 2 2 4" xfId="31067" xr:uid="{00000000-0005-0000-0000-000027670000}"/>
    <cellStyle name="40% - Accent3 16 2 2 4 2" xfId="31068" xr:uid="{00000000-0005-0000-0000-000028670000}"/>
    <cellStyle name="40% - Accent3 16 2 2 5" xfId="31069" xr:uid="{00000000-0005-0000-0000-000029670000}"/>
    <cellStyle name="40% - Accent3 16 2 3" xfId="31070" xr:uid="{00000000-0005-0000-0000-00002A670000}"/>
    <cellStyle name="40% - Accent3 16 2 3 2" xfId="31071" xr:uid="{00000000-0005-0000-0000-00002B670000}"/>
    <cellStyle name="40% - Accent3 16 2 3 2 2" xfId="31072" xr:uid="{00000000-0005-0000-0000-00002C670000}"/>
    <cellStyle name="40% - Accent3 16 2 3 2 2 2" xfId="31073" xr:uid="{00000000-0005-0000-0000-00002D670000}"/>
    <cellStyle name="40% - Accent3 16 2 3 2 3" xfId="31074" xr:uid="{00000000-0005-0000-0000-00002E670000}"/>
    <cellStyle name="40% - Accent3 16 2 3 3" xfId="31075" xr:uid="{00000000-0005-0000-0000-00002F670000}"/>
    <cellStyle name="40% - Accent3 16 2 3 3 2" xfId="31076" xr:uid="{00000000-0005-0000-0000-000030670000}"/>
    <cellStyle name="40% - Accent3 16 2 3 3 2 2" xfId="31077" xr:uid="{00000000-0005-0000-0000-000031670000}"/>
    <cellStyle name="40% - Accent3 16 2 3 3 3" xfId="31078" xr:uid="{00000000-0005-0000-0000-000032670000}"/>
    <cellStyle name="40% - Accent3 16 2 3 4" xfId="31079" xr:uid="{00000000-0005-0000-0000-000033670000}"/>
    <cellStyle name="40% - Accent3 16 2 3 4 2" xfId="31080" xr:uid="{00000000-0005-0000-0000-000034670000}"/>
    <cellStyle name="40% - Accent3 16 2 3 5" xfId="31081" xr:uid="{00000000-0005-0000-0000-000035670000}"/>
    <cellStyle name="40% - Accent3 16 2 4" xfId="31082" xr:uid="{00000000-0005-0000-0000-000036670000}"/>
    <cellStyle name="40% - Accent3 16 2 4 2" xfId="31083" xr:uid="{00000000-0005-0000-0000-000037670000}"/>
    <cellStyle name="40% - Accent3 16 2 4 2 2" xfId="31084" xr:uid="{00000000-0005-0000-0000-000038670000}"/>
    <cellStyle name="40% - Accent3 16 2 4 2 2 2" xfId="31085" xr:uid="{00000000-0005-0000-0000-000039670000}"/>
    <cellStyle name="40% - Accent3 16 2 4 2 3" xfId="31086" xr:uid="{00000000-0005-0000-0000-00003A670000}"/>
    <cellStyle name="40% - Accent3 16 2 4 3" xfId="31087" xr:uid="{00000000-0005-0000-0000-00003B670000}"/>
    <cellStyle name="40% - Accent3 16 2 4 3 2" xfId="31088" xr:uid="{00000000-0005-0000-0000-00003C670000}"/>
    <cellStyle name="40% - Accent3 16 2 4 3 2 2" xfId="31089" xr:uid="{00000000-0005-0000-0000-00003D670000}"/>
    <cellStyle name="40% - Accent3 16 2 4 3 3" xfId="31090" xr:uid="{00000000-0005-0000-0000-00003E670000}"/>
    <cellStyle name="40% - Accent3 16 2 4 4" xfId="31091" xr:uid="{00000000-0005-0000-0000-00003F670000}"/>
    <cellStyle name="40% - Accent3 16 2 4 4 2" xfId="31092" xr:uid="{00000000-0005-0000-0000-000040670000}"/>
    <cellStyle name="40% - Accent3 16 2 4 5" xfId="31093" xr:uid="{00000000-0005-0000-0000-000041670000}"/>
    <cellStyle name="40% - Accent3 16 2 5" xfId="31094" xr:uid="{00000000-0005-0000-0000-000042670000}"/>
    <cellStyle name="40% - Accent3 16 2 5 2" xfId="31095" xr:uid="{00000000-0005-0000-0000-000043670000}"/>
    <cellStyle name="40% - Accent3 16 2 5 2 2" xfId="31096" xr:uid="{00000000-0005-0000-0000-000044670000}"/>
    <cellStyle name="40% - Accent3 16 2 5 2 2 2" xfId="31097" xr:uid="{00000000-0005-0000-0000-000045670000}"/>
    <cellStyle name="40% - Accent3 16 2 5 2 3" xfId="31098" xr:uid="{00000000-0005-0000-0000-000046670000}"/>
    <cellStyle name="40% - Accent3 16 2 5 3" xfId="31099" xr:uid="{00000000-0005-0000-0000-000047670000}"/>
    <cellStyle name="40% - Accent3 16 2 5 3 2" xfId="31100" xr:uid="{00000000-0005-0000-0000-000048670000}"/>
    <cellStyle name="40% - Accent3 16 2 5 4" xfId="31101" xr:uid="{00000000-0005-0000-0000-000049670000}"/>
    <cellStyle name="40% - Accent3 16 2 6" xfId="31102" xr:uid="{00000000-0005-0000-0000-00004A670000}"/>
    <cellStyle name="40% - Accent3 16 2 6 2" xfId="31103" xr:uid="{00000000-0005-0000-0000-00004B670000}"/>
    <cellStyle name="40% - Accent3 16 2 6 2 2" xfId="31104" xr:uid="{00000000-0005-0000-0000-00004C670000}"/>
    <cellStyle name="40% - Accent3 16 2 6 3" xfId="31105" xr:uid="{00000000-0005-0000-0000-00004D670000}"/>
    <cellStyle name="40% - Accent3 16 2 7" xfId="31106" xr:uid="{00000000-0005-0000-0000-00004E670000}"/>
    <cellStyle name="40% - Accent3 16 2 7 2" xfId="31107" xr:uid="{00000000-0005-0000-0000-00004F670000}"/>
    <cellStyle name="40% - Accent3 16 2 8" xfId="31108" xr:uid="{00000000-0005-0000-0000-000050670000}"/>
    <cellStyle name="40% - Accent3 16 3" xfId="31109" xr:uid="{00000000-0005-0000-0000-000051670000}"/>
    <cellStyle name="40% - Accent3 16 3 2" xfId="31110" xr:uid="{00000000-0005-0000-0000-000052670000}"/>
    <cellStyle name="40% - Accent3 16 3 2 2" xfId="31111" xr:uid="{00000000-0005-0000-0000-000053670000}"/>
    <cellStyle name="40% - Accent3 16 3 2 2 2" xfId="31112" xr:uid="{00000000-0005-0000-0000-000054670000}"/>
    <cellStyle name="40% - Accent3 16 3 2 3" xfId="31113" xr:uid="{00000000-0005-0000-0000-000055670000}"/>
    <cellStyle name="40% - Accent3 16 3 3" xfId="31114" xr:uid="{00000000-0005-0000-0000-000056670000}"/>
    <cellStyle name="40% - Accent3 16 3 3 2" xfId="31115" xr:uid="{00000000-0005-0000-0000-000057670000}"/>
    <cellStyle name="40% - Accent3 16 3 3 2 2" xfId="31116" xr:uid="{00000000-0005-0000-0000-000058670000}"/>
    <cellStyle name="40% - Accent3 16 3 3 3" xfId="31117" xr:uid="{00000000-0005-0000-0000-000059670000}"/>
    <cellStyle name="40% - Accent3 16 3 4" xfId="31118" xr:uid="{00000000-0005-0000-0000-00005A670000}"/>
    <cellStyle name="40% - Accent3 16 3 4 2" xfId="31119" xr:uid="{00000000-0005-0000-0000-00005B670000}"/>
    <cellStyle name="40% - Accent3 16 3 4 2 2" xfId="31120" xr:uid="{00000000-0005-0000-0000-00005C670000}"/>
    <cellStyle name="40% - Accent3 16 3 4 3" xfId="31121" xr:uid="{00000000-0005-0000-0000-00005D670000}"/>
    <cellStyle name="40% - Accent3 16 3 5" xfId="31122" xr:uid="{00000000-0005-0000-0000-00005E670000}"/>
    <cellStyle name="40% - Accent3 16 3 5 2" xfId="31123" xr:uid="{00000000-0005-0000-0000-00005F670000}"/>
    <cellStyle name="40% - Accent3 16 3 6" xfId="31124" xr:uid="{00000000-0005-0000-0000-000060670000}"/>
    <cellStyle name="40% - Accent3 16 4" xfId="31125" xr:uid="{00000000-0005-0000-0000-000061670000}"/>
    <cellStyle name="40% - Accent3 16 4 2" xfId="31126" xr:uid="{00000000-0005-0000-0000-000062670000}"/>
    <cellStyle name="40% - Accent3 16 4 2 2" xfId="31127" xr:uid="{00000000-0005-0000-0000-000063670000}"/>
    <cellStyle name="40% - Accent3 16 4 2 2 2" xfId="31128" xr:uid="{00000000-0005-0000-0000-000064670000}"/>
    <cellStyle name="40% - Accent3 16 4 2 3" xfId="31129" xr:uid="{00000000-0005-0000-0000-000065670000}"/>
    <cellStyle name="40% - Accent3 16 4 3" xfId="31130" xr:uid="{00000000-0005-0000-0000-000066670000}"/>
    <cellStyle name="40% - Accent3 16 4 3 2" xfId="31131" xr:uid="{00000000-0005-0000-0000-000067670000}"/>
    <cellStyle name="40% - Accent3 16 4 3 2 2" xfId="31132" xr:uid="{00000000-0005-0000-0000-000068670000}"/>
    <cellStyle name="40% - Accent3 16 4 3 3" xfId="31133" xr:uid="{00000000-0005-0000-0000-000069670000}"/>
    <cellStyle name="40% - Accent3 16 4 4" xfId="31134" xr:uid="{00000000-0005-0000-0000-00006A670000}"/>
    <cellStyle name="40% - Accent3 16 4 4 2" xfId="31135" xr:uid="{00000000-0005-0000-0000-00006B670000}"/>
    <cellStyle name="40% - Accent3 16 4 5" xfId="31136" xr:uid="{00000000-0005-0000-0000-00006C670000}"/>
    <cellStyle name="40% - Accent3 16 5" xfId="31137" xr:uid="{00000000-0005-0000-0000-00006D670000}"/>
    <cellStyle name="40% - Accent3 16 5 2" xfId="31138" xr:uid="{00000000-0005-0000-0000-00006E670000}"/>
    <cellStyle name="40% - Accent3 16 5 2 2" xfId="31139" xr:uid="{00000000-0005-0000-0000-00006F670000}"/>
    <cellStyle name="40% - Accent3 16 5 2 2 2" xfId="31140" xr:uid="{00000000-0005-0000-0000-000070670000}"/>
    <cellStyle name="40% - Accent3 16 5 2 3" xfId="31141" xr:uid="{00000000-0005-0000-0000-000071670000}"/>
    <cellStyle name="40% - Accent3 16 5 3" xfId="31142" xr:uid="{00000000-0005-0000-0000-000072670000}"/>
    <cellStyle name="40% - Accent3 16 5 3 2" xfId="31143" xr:uid="{00000000-0005-0000-0000-000073670000}"/>
    <cellStyle name="40% - Accent3 16 5 3 2 2" xfId="31144" xr:uid="{00000000-0005-0000-0000-000074670000}"/>
    <cellStyle name="40% - Accent3 16 5 3 3" xfId="31145" xr:uid="{00000000-0005-0000-0000-000075670000}"/>
    <cellStyle name="40% - Accent3 16 5 4" xfId="31146" xr:uid="{00000000-0005-0000-0000-000076670000}"/>
    <cellStyle name="40% - Accent3 16 5 4 2" xfId="31147" xr:uid="{00000000-0005-0000-0000-000077670000}"/>
    <cellStyle name="40% - Accent3 16 5 5" xfId="31148" xr:uid="{00000000-0005-0000-0000-000078670000}"/>
    <cellStyle name="40% - Accent3 16 6" xfId="31149" xr:uid="{00000000-0005-0000-0000-000079670000}"/>
    <cellStyle name="40% - Accent3 16 6 2" xfId="31150" xr:uid="{00000000-0005-0000-0000-00007A670000}"/>
    <cellStyle name="40% - Accent3 16 6 2 2" xfId="31151" xr:uid="{00000000-0005-0000-0000-00007B670000}"/>
    <cellStyle name="40% - Accent3 16 6 2 2 2" xfId="31152" xr:uid="{00000000-0005-0000-0000-00007C670000}"/>
    <cellStyle name="40% - Accent3 16 6 2 3" xfId="31153" xr:uid="{00000000-0005-0000-0000-00007D670000}"/>
    <cellStyle name="40% - Accent3 16 6 3" xfId="31154" xr:uid="{00000000-0005-0000-0000-00007E670000}"/>
    <cellStyle name="40% - Accent3 16 6 3 2" xfId="31155" xr:uid="{00000000-0005-0000-0000-00007F670000}"/>
    <cellStyle name="40% - Accent3 16 6 4" xfId="31156" xr:uid="{00000000-0005-0000-0000-000080670000}"/>
    <cellStyle name="40% - Accent3 16 7" xfId="31157" xr:uid="{00000000-0005-0000-0000-000081670000}"/>
    <cellStyle name="40% - Accent3 16 7 2" xfId="31158" xr:uid="{00000000-0005-0000-0000-000082670000}"/>
    <cellStyle name="40% - Accent3 16 7 2 2" xfId="31159" xr:uid="{00000000-0005-0000-0000-000083670000}"/>
    <cellStyle name="40% - Accent3 16 7 3" xfId="31160" xr:uid="{00000000-0005-0000-0000-000084670000}"/>
    <cellStyle name="40% - Accent3 16 8" xfId="31161" xr:uid="{00000000-0005-0000-0000-000085670000}"/>
    <cellStyle name="40% - Accent3 16 8 2" xfId="31162" xr:uid="{00000000-0005-0000-0000-000086670000}"/>
    <cellStyle name="40% - Accent3 16 9" xfId="31163" xr:uid="{00000000-0005-0000-0000-000087670000}"/>
    <cellStyle name="40% - Accent3 17" xfId="31164" xr:uid="{00000000-0005-0000-0000-000088670000}"/>
    <cellStyle name="40% - Accent3 17 2" xfId="31165" xr:uid="{00000000-0005-0000-0000-000089670000}"/>
    <cellStyle name="40% - Accent3 17 2 2" xfId="31166" xr:uid="{00000000-0005-0000-0000-00008A670000}"/>
    <cellStyle name="40% - Accent3 17 2 2 2" xfId="31167" xr:uid="{00000000-0005-0000-0000-00008B670000}"/>
    <cellStyle name="40% - Accent3 17 2 2 2 2" xfId="31168" xr:uid="{00000000-0005-0000-0000-00008C670000}"/>
    <cellStyle name="40% - Accent3 17 2 2 3" xfId="31169" xr:uid="{00000000-0005-0000-0000-00008D670000}"/>
    <cellStyle name="40% - Accent3 17 2 3" xfId="31170" xr:uid="{00000000-0005-0000-0000-00008E670000}"/>
    <cellStyle name="40% - Accent3 17 2 3 2" xfId="31171" xr:uid="{00000000-0005-0000-0000-00008F670000}"/>
    <cellStyle name="40% - Accent3 17 2 3 2 2" xfId="31172" xr:uid="{00000000-0005-0000-0000-000090670000}"/>
    <cellStyle name="40% - Accent3 17 2 3 3" xfId="31173" xr:uid="{00000000-0005-0000-0000-000091670000}"/>
    <cellStyle name="40% - Accent3 17 2 4" xfId="31174" xr:uid="{00000000-0005-0000-0000-000092670000}"/>
    <cellStyle name="40% - Accent3 17 2 4 2" xfId="31175" xr:uid="{00000000-0005-0000-0000-000093670000}"/>
    <cellStyle name="40% - Accent3 17 2 5" xfId="31176" xr:uid="{00000000-0005-0000-0000-000094670000}"/>
    <cellStyle name="40% - Accent3 17 3" xfId="31177" xr:uid="{00000000-0005-0000-0000-000095670000}"/>
    <cellStyle name="40% - Accent3 17 3 2" xfId="31178" xr:uid="{00000000-0005-0000-0000-000096670000}"/>
    <cellStyle name="40% - Accent3 17 3 2 2" xfId="31179" xr:uid="{00000000-0005-0000-0000-000097670000}"/>
    <cellStyle name="40% - Accent3 17 3 2 2 2" xfId="31180" xr:uid="{00000000-0005-0000-0000-000098670000}"/>
    <cellStyle name="40% - Accent3 17 3 2 3" xfId="31181" xr:uid="{00000000-0005-0000-0000-000099670000}"/>
    <cellStyle name="40% - Accent3 17 3 3" xfId="31182" xr:uid="{00000000-0005-0000-0000-00009A670000}"/>
    <cellStyle name="40% - Accent3 17 3 3 2" xfId="31183" xr:uid="{00000000-0005-0000-0000-00009B670000}"/>
    <cellStyle name="40% - Accent3 17 3 3 2 2" xfId="31184" xr:uid="{00000000-0005-0000-0000-00009C670000}"/>
    <cellStyle name="40% - Accent3 17 3 3 3" xfId="31185" xr:uid="{00000000-0005-0000-0000-00009D670000}"/>
    <cellStyle name="40% - Accent3 17 3 4" xfId="31186" xr:uid="{00000000-0005-0000-0000-00009E670000}"/>
    <cellStyle name="40% - Accent3 17 3 4 2" xfId="31187" xr:uid="{00000000-0005-0000-0000-00009F670000}"/>
    <cellStyle name="40% - Accent3 17 3 5" xfId="31188" xr:uid="{00000000-0005-0000-0000-0000A0670000}"/>
    <cellStyle name="40% - Accent3 17 4" xfId="31189" xr:uid="{00000000-0005-0000-0000-0000A1670000}"/>
    <cellStyle name="40% - Accent3 17 4 2" xfId="31190" xr:uid="{00000000-0005-0000-0000-0000A2670000}"/>
    <cellStyle name="40% - Accent3 17 4 2 2" xfId="31191" xr:uid="{00000000-0005-0000-0000-0000A3670000}"/>
    <cellStyle name="40% - Accent3 17 4 2 2 2" xfId="31192" xr:uid="{00000000-0005-0000-0000-0000A4670000}"/>
    <cellStyle name="40% - Accent3 17 4 2 3" xfId="31193" xr:uid="{00000000-0005-0000-0000-0000A5670000}"/>
    <cellStyle name="40% - Accent3 17 4 3" xfId="31194" xr:uid="{00000000-0005-0000-0000-0000A6670000}"/>
    <cellStyle name="40% - Accent3 17 4 3 2" xfId="31195" xr:uid="{00000000-0005-0000-0000-0000A7670000}"/>
    <cellStyle name="40% - Accent3 17 4 3 2 2" xfId="31196" xr:uid="{00000000-0005-0000-0000-0000A8670000}"/>
    <cellStyle name="40% - Accent3 17 4 3 3" xfId="31197" xr:uid="{00000000-0005-0000-0000-0000A9670000}"/>
    <cellStyle name="40% - Accent3 17 4 4" xfId="31198" xr:uid="{00000000-0005-0000-0000-0000AA670000}"/>
    <cellStyle name="40% - Accent3 17 4 4 2" xfId="31199" xr:uid="{00000000-0005-0000-0000-0000AB670000}"/>
    <cellStyle name="40% - Accent3 17 4 5" xfId="31200" xr:uid="{00000000-0005-0000-0000-0000AC670000}"/>
    <cellStyle name="40% - Accent3 17 5" xfId="31201" xr:uid="{00000000-0005-0000-0000-0000AD670000}"/>
    <cellStyle name="40% - Accent3 17 5 2" xfId="31202" xr:uid="{00000000-0005-0000-0000-0000AE670000}"/>
    <cellStyle name="40% - Accent3 17 5 2 2" xfId="31203" xr:uid="{00000000-0005-0000-0000-0000AF670000}"/>
    <cellStyle name="40% - Accent3 17 5 2 2 2" xfId="31204" xr:uid="{00000000-0005-0000-0000-0000B0670000}"/>
    <cellStyle name="40% - Accent3 17 5 2 3" xfId="31205" xr:uid="{00000000-0005-0000-0000-0000B1670000}"/>
    <cellStyle name="40% - Accent3 17 5 3" xfId="31206" xr:uid="{00000000-0005-0000-0000-0000B2670000}"/>
    <cellStyle name="40% - Accent3 17 5 3 2" xfId="31207" xr:uid="{00000000-0005-0000-0000-0000B3670000}"/>
    <cellStyle name="40% - Accent3 17 5 4" xfId="31208" xr:uid="{00000000-0005-0000-0000-0000B4670000}"/>
    <cellStyle name="40% - Accent3 17 6" xfId="31209" xr:uid="{00000000-0005-0000-0000-0000B5670000}"/>
    <cellStyle name="40% - Accent3 17 6 2" xfId="31210" xr:uid="{00000000-0005-0000-0000-0000B6670000}"/>
    <cellStyle name="40% - Accent3 17 6 2 2" xfId="31211" xr:uid="{00000000-0005-0000-0000-0000B7670000}"/>
    <cellStyle name="40% - Accent3 17 6 3" xfId="31212" xr:uid="{00000000-0005-0000-0000-0000B8670000}"/>
    <cellStyle name="40% - Accent3 17 7" xfId="31213" xr:uid="{00000000-0005-0000-0000-0000B9670000}"/>
    <cellStyle name="40% - Accent3 17 7 2" xfId="31214" xr:uid="{00000000-0005-0000-0000-0000BA670000}"/>
    <cellStyle name="40% - Accent3 17 8" xfId="31215" xr:uid="{00000000-0005-0000-0000-0000BB670000}"/>
    <cellStyle name="40% - Accent3 18" xfId="31216" xr:uid="{00000000-0005-0000-0000-0000BC670000}"/>
    <cellStyle name="40% - Accent3 18 2" xfId="31217" xr:uid="{00000000-0005-0000-0000-0000BD670000}"/>
    <cellStyle name="40% - Accent3 18 2 2" xfId="31218" xr:uid="{00000000-0005-0000-0000-0000BE670000}"/>
    <cellStyle name="40% - Accent3 18 2 2 2" xfId="31219" xr:uid="{00000000-0005-0000-0000-0000BF670000}"/>
    <cellStyle name="40% - Accent3 18 2 2 2 2" xfId="31220" xr:uid="{00000000-0005-0000-0000-0000C0670000}"/>
    <cellStyle name="40% - Accent3 18 2 2 3" xfId="31221" xr:uid="{00000000-0005-0000-0000-0000C1670000}"/>
    <cellStyle name="40% - Accent3 18 2 3" xfId="31222" xr:uid="{00000000-0005-0000-0000-0000C2670000}"/>
    <cellStyle name="40% - Accent3 18 2 3 2" xfId="31223" xr:uid="{00000000-0005-0000-0000-0000C3670000}"/>
    <cellStyle name="40% - Accent3 18 2 4" xfId="31224" xr:uid="{00000000-0005-0000-0000-0000C4670000}"/>
    <cellStyle name="40% - Accent3 18 3" xfId="31225" xr:uid="{00000000-0005-0000-0000-0000C5670000}"/>
    <cellStyle name="40% - Accent3 18 3 2" xfId="31226" xr:uid="{00000000-0005-0000-0000-0000C6670000}"/>
    <cellStyle name="40% - Accent3 18 3 2 2" xfId="31227" xr:uid="{00000000-0005-0000-0000-0000C7670000}"/>
    <cellStyle name="40% - Accent3 18 3 2 2 2" xfId="31228" xr:uid="{00000000-0005-0000-0000-0000C8670000}"/>
    <cellStyle name="40% - Accent3 18 3 2 3" xfId="31229" xr:uid="{00000000-0005-0000-0000-0000C9670000}"/>
    <cellStyle name="40% - Accent3 18 3 3" xfId="31230" xr:uid="{00000000-0005-0000-0000-0000CA670000}"/>
    <cellStyle name="40% - Accent3 18 3 3 2" xfId="31231" xr:uid="{00000000-0005-0000-0000-0000CB670000}"/>
    <cellStyle name="40% - Accent3 18 3 4" xfId="31232" xr:uid="{00000000-0005-0000-0000-0000CC670000}"/>
    <cellStyle name="40% - Accent3 18 4" xfId="31233" xr:uid="{00000000-0005-0000-0000-0000CD670000}"/>
    <cellStyle name="40% - Accent3 18 4 2" xfId="31234" xr:uid="{00000000-0005-0000-0000-0000CE670000}"/>
    <cellStyle name="40% - Accent3 18 4 2 2" xfId="31235" xr:uid="{00000000-0005-0000-0000-0000CF670000}"/>
    <cellStyle name="40% - Accent3 18 4 3" xfId="31236" xr:uid="{00000000-0005-0000-0000-0000D0670000}"/>
    <cellStyle name="40% - Accent3 18 5" xfId="31237" xr:uid="{00000000-0005-0000-0000-0000D1670000}"/>
    <cellStyle name="40% - Accent3 18 5 2" xfId="31238" xr:uid="{00000000-0005-0000-0000-0000D2670000}"/>
    <cellStyle name="40% - Accent3 18 6" xfId="31239" xr:uid="{00000000-0005-0000-0000-0000D3670000}"/>
    <cellStyle name="40% - Accent3 19" xfId="31240" xr:uid="{00000000-0005-0000-0000-0000D4670000}"/>
    <cellStyle name="40% - Accent3 19 2" xfId="31241" xr:uid="{00000000-0005-0000-0000-0000D5670000}"/>
    <cellStyle name="40% - Accent3 19 2 2" xfId="31242" xr:uid="{00000000-0005-0000-0000-0000D6670000}"/>
    <cellStyle name="40% - Accent3 19 3" xfId="31243" xr:uid="{00000000-0005-0000-0000-0000D7670000}"/>
    <cellStyle name="40% - Accent3 2" xfId="91" xr:uid="{00000000-0005-0000-0000-0000D8670000}"/>
    <cellStyle name="40% - Accent3 2 10" xfId="1003" xr:uid="{00000000-0005-0000-0000-0000D9670000}"/>
    <cellStyle name="40% - Accent3 2 10 10" xfId="45610" xr:uid="{00000000-0005-0000-0000-0000DA670000}"/>
    <cellStyle name="40% - Accent3 2 10 11" xfId="51088" xr:uid="{00000000-0005-0000-0000-0000DB670000}"/>
    <cellStyle name="40% - Accent3 2 10 2" xfId="2764" xr:uid="{00000000-0005-0000-0000-0000DC670000}"/>
    <cellStyle name="40% - Accent3 2 10 2 2" xfId="8244" xr:uid="{00000000-0005-0000-0000-0000DD670000}"/>
    <cellStyle name="40% - Accent3 2 10 2 3" xfId="13720" xr:uid="{00000000-0005-0000-0000-0000DE670000}"/>
    <cellStyle name="40% - Accent3 2 10 2 4" xfId="19196" xr:uid="{00000000-0005-0000-0000-0000DF670000}"/>
    <cellStyle name="40% - Accent3 2 10 2 5" xfId="24672" xr:uid="{00000000-0005-0000-0000-0000E0670000}"/>
    <cellStyle name="40% - Accent3 2 10 2 6" xfId="36468" xr:uid="{00000000-0005-0000-0000-0000E1670000}"/>
    <cellStyle name="40% - Accent3 2 10 2 7" xfId="41945" xr:uid="{00000000-0005-0000-0000-0000E2670000}"/>
    <cellStyle name="40% - Accent3 2 10 2 8" xfId="47422" xr:uid="{00000000-0005-0000-0000-0000E3670000}"/>
    <cellStyle name="40% - Accent3 2 10 2 9" xfId="52940" xr:uid="{00000000-0005-0000-0000-0000E4670000}"/>
    <cellStyle name="40% - Accent3 2 10 3" xfId="4536" xr:uid="{00000000-0005-0000-0000-0000E5670000}"/>
    <cellStyle name="40% - Accent3 2 10 3 2" xfId="10016" xr:uid="{00000000-0005-0000-0000-0000E6670000}"/>
    <cellStyle name="40% - Accent3 2 10 3 3" xfId="15492" xr:uid="{00000000-0005-0000-0000-0000E7670000}"/>
    <cellStyle name="40% - Accent3 2 10 3 4" xfId="20968" xr:uid="{00000000-0005-0000-0000-0000E8670000}"/>
    <cellStyle name="40% - Accent3 2 10 3 5" xfId="26444" xr:uid="{00000000-0005-0000-0000-0000E9670000}"/>
    <cellStyle name="40% - Accent3 2 10 3 6" xfId="38240" xr:uid="{00000000-0005-0000-0000-0000EA670000}"/>
    <cellStyle name="40% - Accent3 2 10 3 7" xfId="43717" xr:uid="{00000000-0005-0000-0000-0000EB670000}"/>
    <cellStyle name="40% - Accent3 2 10 3 8" xfId="49194" xr:uid="{00000000-0005-0000-0000-0000EC670000}"/>
    <cellStyle name="40% - Accent3 2 10 3 9" xfId="54712" xr:uid="{00000000-0005-0000-0000-0000ED670000}"/>
    <cellStyle name="40% - Accent3 2 10 4" xfId="6429" xr:uid="{00000000-0005-0000-0000-0000EE670000}"/>
    <cellStyle name="40% - Accent3 2 10 5" xfId="11909" xr:uid="{00000000-0005-0000-0000-0000EF670000}"/>
    <cellStyle name="40% - Accent3 2 10 6" xfId="17385" xr:uid="{00000000-0005-0000-0000-0000F0670000}"/>
    <cellStyle name="40% - Accent3 2 10 7" xfId="22861" xr:uid="{00000000-0005-0000-0000-0000F1670000}"/>
    <cellStyle name="40% - Accent3 2 10 8" xfId="34656" xr:uid="{00000000-0005-0000-0000-0000F2670000}"/>
    <cellStyle name="40% - Accent3 2 10 9" xfId="40133" xr:uid="{00000000-0005-0000-0000-0000F3670000}"/>
    <cellStyle name="40% - Accent3 2 11" xfId="1020" xr:uid="{00000000-0005-0000-0000-0000F4670000}"/>
    <cellStyle name="40% - Accent3 2 11 10" xfId="45611" xr:uid="{00000000-0005-0000-0000-0000F5670000}"/>
    <cellStyle name="40% - Accent3 2 11 11" xfId="51089" xr:uid="{00000000-0005-0000-0000-0000F6670000}"/>
    <cellStyle name="40% - Accent3 2 11 2" xfId="2781" xr:uid="{00000000-0005-0000-0000-0000F7670000}"/>
    <cellStyle name="40% - Accent3 2 11 2 2" xfId="8261" xr:uid="{00000000-0005-0000-0000-0000F8670000}"/>
    <cellStyle name="40% - Accent3 2 11 2 3" xfId="13737" xr:uid="{00000000-0005-0000-0000-0000F9670000}"/>
    <cellStyle name="40% - Accent3 2 11 2 4" xfId="19213" xr:uid="{00000000-0005-0000-0000-0000FA670000}"/>
    <cellStyle name="40% - Accent3 2 11 2 5" xfId="24689" xr:uid="{00000000-0005-0000-0000-0000FB670000}"/>
    <cellStyle name="40% - Accent3 2 11 2 6" xfId="36485" xr:uid="{00000000-0005-0000-0000-0000FC670000}"/>
    <cellStyle name="40% - Accent3 2 11 2 7" xfId="41962" xr:uid="{00000000-0005-0000-0000-0000FD670000}"/>
    <cellStyle name="40% - Accent3 2 11 2 8" xfId="47439" xr:uid="{00000000-0005-0000-0000-0000FE670000}"/>
    <cellStyle name="40% - Accent3 2 11 2 9" xfId="52957" xr:uid="{00000000-0005-0000-0000-0000FF670000}"/>
    <cellStyle name="40% - Accent3 2 11 3" xfId="4553" xr:uid="{00000000-0005-0000-0000-000000680000}"/>
    <cellStyle name="40% - Accent3 2 11 3 2" xfId="10033" xr:uid="{00000000-0005-0000-0000-000001680000}"/>
    <cellStyle name="40% - Accent3 2 11 3 3" xfId="15509" xr:uid="{00000000-0005-0000-0000-000002680000}"/>
    <cellStyle name="40% - Accent3 2 11 3 4" xfId="20985" xr:uid="{00000000-0005-0000-0000-000003680000}"/>
    <cellStyle name="40% - Accent3 2 11 3 5" xfId="26461" xr:uid="{00000000-0005-0000-0000-000004680000}"/>
    <cellStyle name="40% - Accent3 2 11 3 6" xfId="38257" xr:uid="{00000000-0005-0000-0000-000005680000}"/>
    <cellStyle name="40% - Accent3 2 11 3 7" xfId="43734" xr:uid="{00000000-0005-0000-0000-000006680000}"/>
    <cellStyle name="40% - Accent3 2 11 3 8" xfId="49211" xr:uid="{00000000-0005-0000-0000-000007680000}"/>
    <cellStyle name="40% - Accent3 2 11 3 9" xfId="54729" xr:uid="{00000000-0005-0000-0000-000008680000}"/>
    <cellStyle name="40% - Accent3 2 11 4" xfId="6430" xr:uid="{00000000-0005-0000-0000-000009680000}"/>
    <cellStyle name="40% - Accent3 2 11 5" xfId="11910" xr:uid="{00000000-0005-0000-0000-00000A680000}"/>
    <cellStyle name="40% - Accent3 2 11 6" xfId="17386" xr:uid="{00000000-0005-0000-0000-00000B680000}"/>
    <cellStyle name="40% - Accent3 2 11 7" xfId="22862" xr:uid="{00000000-0005-0000-0000-00000C680000}"/>
    <cellStyle name="40% - Accent3 2 11 8" xfId="34657" xr:uid="{00000000-0005-0000-0000-00000D680000}"/>
    <cellStyle name="40% - Accent3 2 11 9" xfId="40134" xr:uid="{00000000-0005-0000-0000-00000E680000}"/>
    <cellStyle name="40% - Accent3 2 12" xfId="1109" xr:uid="{00000000-0005-0000-0000-00000F680000}"/>
    <cellStyle name="40% - Accent3 2 12 10" xfId="45612" xr:uid="{00000000-0005-0000-0000-000010680000}"/>
    <cellStyle name="40% - Accent3 2 12 11" xfId="51090" xr:uid="{00000000-0005-0000-0000-000011680000}"/>
    <cellStyle name="40% - Accent3 2 12 2" xfId="2870" xr:uid="{00000000-0005-0000-0000-000012680000}"/>
    <cellStyle name="40% - Accent3 2 12 2 2" xfId="8350" xr:uid="{00000000-0005-0000-0000-000013680000}"/>
    <cellStyle name="40% - Accent3 2 12 2 3" xfId="13826" xr:uid="{00000000-0005-0000-0000-000014680000}"/>
    <cellStyle name="40% - Accent3 2 12 2 4" xfId="19302" xr:uid="{00000000-0005-0000-0000-000015680000}"/>
    <cellStyle name="40% - Accent3 2 12 2 5" xfId="24778" xr:uid="{00000000-0005-0000-0000-000016680000}"/>
    <cellStyle name="40% - Accent3 2 12 2 6" xfId="36574" xr:uid="{00000000-0005-0000-0000-000017680000}"/>
    <cellStyle name="40% - Accent3 2 12 2 7" xfId="42051" xr:uid="{00000000-0005-0000-0000-000018680000}"/>
    <cellStyle name="40% - Accent3 2 12 2 8" xfId="47528" xr:uid="{00000000-0005-0000-0000-000019680000}"/>
    <cellStyle name="40% - Accent3 2 12 2 9" xfId="53046" xr:uid="{00000000-0005-0000-0000-00001A680000}"/>
    <cellStyle name="40% - Accent3 2 12 3" xfId="4642" xr:uid="{00000000-0005-0000-0000-00001B680000}"/>
    <cellStyle name="40% - Accent3 2 12 3 2" xfId="10122" xr:uid="{00000000-0005-0000-0000-00001C680000}"/>
    <cellStyle name="40% - Accent3 2 12 3 3" xfId="15598" xr:uid="{00000000-0005-0000-0000-00001D680000}"/>
    <cellStyle name="40% - Accent3 2 12 3 4" xfId="21074" xr:uid="{00000000-0005-0000-0000-00001E680000}"/>
    <cellStyle name="40% - Accent3 2 12 3 5" xfId="26550" xr:uid="{00000000-0005-0000-0000-00001F680000}"/>
    <cellStyle name="40% - Accent3 2 12 3 6" xfId="38346" xr:uid="{00000000-0005-0000-0000-000020680000}"/>
    <cellStyle name="40% - Accent3 2 12 3 7" xfId="43823" xr:uid="{00000000-0005-0000-0000-000021680000}"/>
    <cellStyle name="40% - Accent3 2 12 3 8" xfId="49300" xr:uid="{00000000-0005-0000-0000-000022680000}"/>
    <cellStyle name="40% - Accent3 2 12 3 9" xfId="54818" xr:uid="{00000000-0005-0000-0000-000023680000}"/>
    <cellStyle name="40% - Accent3 2 12 4" xfId="6431" xr:uid="{00000000-0005-0000-0000-000024680000}"/>
    <cellStyle name="40% - Accent3 2 12 5" xfId="11911" xr:uid="{00000000-0005-0000-0000-000025680000}"/>
    <cellStyle name="40% - Accent3 2 12 6" xfId="17387" xr:uid="{00000000-0005-0000-0000-000026680000}"/>
    <cellStyle name="40% - Accent3 2 12 7" xfId="22863" xr:uid="{00000000-0005-0000-0000-000027680000}"/>
    <cellStyle name="40% - Accent3 2 12 8" xfId="34658" xr:uid="{00000000-0005-0000-0000-000028680000}"/>
    <cellStyle name="40% - Accent3 2 12 9" xfId="40135" xr:uid="{00000000-0005-0000-0000-000029680000}"/>
    <cellStyle name="40% - Accent3 2 13" xfId="1281" xr:uid="{00000000-0005-0000-0000-00002A680000}"/>
    <cellStyle name="40% - Accent3 2 13 10" xfId="45613" xr:uid="{00000000-0005-0000-0000-00002B680000}"/>
    <cellStyle name="40% - Accent3 2 13 11" xfId="51091" xr:uid="{00000000-0005-0000-0000-00002C680000}"/>
    <cellStyle name="40% - Accent3 2 13 2" xfId="3042" xr:uid="{00000000-0005-0000-0000-00002D680000}"/>
    <cellStyle name="40% - Accent3 2 13 2 2" xfId="8522" xr:uid="{00000000-0005-0000-0000-00002E680000}"/>
    <cellStyle name="40% - Accent3 2 13 2 3" xfId="13998" xr:uid="{00000000-0005-0000-0000-00002F680000}"/>
    <cellStyle name="40% - Accent3 2 13 2 4" xfId="19474" xr:uid="{00000000-0005-0000-0000-000030680000}"/>
    <cellStyle name="40% - Accent3 2 13 2 5" xfId="24950" xr:uid="{00000000-0005-0000-0000-000031680000}"/>
    <cellStyle name="40% - Accent3 2 13 2 6" xfId="36746" xr:uid="{00000000-0005-0000-0000-000032680000}"/>
    <cellStyle name="40% - Accent3 2 13 2 7" xfId="42223" xr:uid="{00000000-0005-0000-0000-000033680000}"/>
    <cellStyle name="40% - Accent3 2 13 2 8" xfId="47700" xr:uid="{00000000-0005-0000-0000-000034680000}"/>
    <cellStyle name="40% - Accent3 2 13 2 9" xfId="53218" xr:uid="{00000000-0005-0000-0000-000035680000}"/>
    <cellStyle name="40% - Accent3 2 13 3" xfId="4814" xr:uid="{00000000-0005-0000-0000-000036680000}"/>
    <cellStyle name="40% - Accent3 2 13 3 2" xfId="10294" xr:uid="{00000000-0005-0000-0000-000037680000}"/>
    <cellStyle name="40% - Accent3 2 13 3 3" xfId="15770" xr:uid="{00000000-0005-0000-0000-000038680000}"/>
    <cellStyle name="40% - Accent3 2 13 3 4" xfId="21246" xr:uid="{00000000-0005-0000-0000-000039680000}"/>
    <cellStyle name="40% - Accent3 2 13 3 5" xfId="26722" xr:uid="{00000000-0005-0000-0000-00003A680000}"/>
    <cellStyle name="40% - Accent3 2 13 3 6" xfId="38518" xr:uid="{00000000-0005-0000-0000-00003B680000}"/>
    <cellStyle name="40% - Accent3 2 13 3 7" xfId="43995" xr:uid="{00000000-0005-0000-0000-00003C680000}"/>
    <cellStyle name="40% - Accent3 2 13 3 8" xfId="49472" xr:uid="{00000000-0005-0000-0000-00003D680000}"/>
    <cellStyle name="40% - Accent3 2 13 3 9" xfId="54990" xr:uid="{00000000-0005-0000-0000-00003E680000}"/>
    <cellStyle name="40% - Accent3 2 13 4" xfId="6432" xr:uid="{00000000-0005-0000-0000-00003F680000}"/>
    <cellStyle name="40% - Accent3 2 13 5" xfId="11912" xr:uid="{00000000-0005-0000-0000-000040680000}"/>
    <cellStyle name="40% - Accent3 2 13 6" xfId="17388" xr:uid="{00000000-0005-0000-0000-000041680000}"/>
    <cellStyle name="40% - Accent3 2 13 7" xfId="22864" xr:uid="{00000000-0005-0000-0000-000042680000}"/>
    <cellStyle name="40% - Accent3 2 13 8" xfId="34659" xr:uid="{00000000-0005-0000-0000-000043680000}"/>
    <cellStyle name="40% - Accent3 2 13 9" xfId="40136" xr:uid="{00000000-0005-0000-0000-000044680000}"/>
    <cellStyle name="40% - Accent3 2 14" xfId="1453" xr:uid="{00000000-0005-0000-0000-000045680000}"/>
    <cellStyle name="40% - Accent3 2 14 10" xfId="45614" xr:uid="{00000000-0005-0000-0000-000046680000}"/>
    <cellStyle name="40% - Accent3 2 14 11" xfId="51092" xr:uid="{00000000-0005-0000-0000-000047680000}"/>
    <cellStyle name="40% - Accent3 2 14 2" xfId="3214" xr:uid="{00000000-0005-0000-0000-000048680000}"/>
    <cellStyle name="40% - Accent3 2 14 2 2" xfId="8694" xr:uid="{00000000-0005-0000-0000-000049680000}"/>
    <cellStyle name="40% - Accent3 2 14 2 3" xfId="14170" xr:uid="{00000000-0005-0000-0000-00004A680000}"/>
    <cellStyle name="40% - Accent3 2 14 2 4" xfId="19646" xr:uid="{00000000-0005-0000-0000-00004B680000}"/>
    <cellStyle name="40% - Accent3 2 14 2 5" xfId="25122" xr:uid="{00000000-0005-0000-0000-00004C680000}"/>
    <cellStyle name="40% - Accent3 2 14 2 6" xfId="36918" xr:uid="{00000000-0005-0000-0000-00004D680000}"/>
    <cellStyle name="40% - Accent3 2 14 2 7" xfId="42395" xr:uid="{00000000-0005-0000-0000-00004E680000}"/>
    <cellStyle name="40% - Accent3 2 14 2 8" xfId="47872" xr:uid="{00000000-0005-0000-0000-00004F680000}"/>
    <cellStyle name="40% - Accent3 2 14 2 9" xfId="53390" xr:uid="{00000000-0005-0000-0000-000050680000}"/>
    <cellStyle name="40% - Accent3 2 14 3" xfId="4986" xr:uid="{00000000-0005-0000-0000-000051680000}"/>
    <cellStyle name="40% - Accent3 2 14 3 2" xfId="10466" xr:uid="{00000000-0005-0000-0000-000052680000}"/>
    <cellStyle name="40% - Accent3 2 14 3 3" xfId="15942" xr:uid="{00000000-0005-0000-0000-000053680000}"/>
    <cellStyle name="40% - Accent3 2 14 3 4" xfId="21418" xr:uid="{00000000-0005-0000-0000-000054680000}"/>
    <cellStyle name="40% - Accent3 2 14 3 5" xfId="26894" xr:uid="{00000000-0005-0000-0000-000055680000}"/>
    <cellStyle name="40% - Accent3 2 14 3 6" xfId="38690" xr:uid="{00000000-0005-0000-0000-000056680000}"/>
    <cellStyle name="40% - Accent3 2 14 3 7" xfId="44167" xr:uid="{00000000-0005-0000-0000-000057680000}"/>
    <cellStyle name="40% - Accent3 2 14 3 8" xfId="49644" xr:uid="{00000000-0005-0000-0000-000058680000}"/>
    <cellStyle name="40% - Accent3 2 14 3 9" xfId="55162" xr:uid="{00000000-0005-0000-0000-000059680000}"/>
    <cellStyle name="40% - Accent3 2 14 4" xfId="6433" xr:uid="{00000000-0005-0000-0000-00005A680000}"/>
    <cellStyle name="40% - Accent3 2 14 5" xfId="11913" xr:uid="{00000000-0005-0000-0000-00005B680000}"/>
    <cellStyle name="40% - Accent3 2 14 6" xfId="17389" xr:uid="{00000000-0005-0000-0000-00005C680000}"/>
    <cellStyle name="40% - Accent3 2 14 7" xfId="22865" xr:uid="{00000000-0005-0000-0000-00005D680000}"/>
    <cellStyle name="40% - Accent3 2 14 8" xfId="34660" xr:uid="{00000000-0005-0000-0000-00005E680000}"/>
    <cellStyle name="40% - Accent3 2 14 9" xfId="40137" xr:uid="{00000000-0005-0000-0000-00005F680000}"/>
    <cellStyle name="40% - Accent3 2 15" xfId="1625" xr:uid="{00000000-0005-0000-0000-000060680000}"/>
    <cellStyle name="40% - Accent3 2 15 10" xfId="45615" xr:uid="{00000000-0005-0000-0000-000061680000}"/>
    <cellStyle name="40% - Accent3 2 15 11" xfId="51093" xr:uid="{00000000-0005-0000-0000-000062680000}"/>
    <cellStyle name="40% - Accent3 2 15 2" xfId="3386" xr:uid="{00000000-0005-0000-0000-000063680000}"/>
    <cellStyle name="40% - Accent3 2 15 2 2" xfId="8866" xr:uid="{00000000-0005-0000-0000-000064680000}"/>
    <cellStyle name="40% - Accent3 2 15 2 3" xfId="14342" xr:uid="{00000000-0005-0000-0000-000065680000}"/>
    <cellStyle name="40% - Accent3 2 15 2 4" xfId="19818" xr:uid="{00000000-0005-0000-0000-000066680000}"/>
    <cellStyle name="40% - Accent3 2 15 2 5" xfId="25294" xr:uid="{00000000-0005-0000-0000-000067680000}"/>
    <cellStyle name="40% - Accent3 2 15 2 6" xfId="37090" xr:uid="{00000000-0005-0000-0000-000068680000}"/>
    <cellStyle name="40% - Accent3 2 15 2 7" xfId="42567" xr:uid="{00000000-0005-0000-0000-000069680000}"/>
    <cellStyle name="40% - Accent3 2 15 2 8" xfId="48044" xr:uid="{00000000-0005-0000-0000-00006A680000}"/>
    <cellStyle name="40% - Accent3 2 15 2 9" xfId="53562" xr:uid="{00000000-0005-0000-0000-00006B680000}"/>
    <cellStyle name="40% - Accent3 2 15 3" xfId="5158" xr:uid="{00000000-0005-0000-0000-00006C680000}"/>
    <cellStyle name="40% - Accent3 2 15 3 2" xfId="10638" xr:uid="{00000000-0005-0000-0000-00006D680000}"/>
    <cellStyle name="40% - Accent3 2 15 3 3" xfId="16114" xr:uid="{00000000-0005-0000-0000-00006E680000}"/>
    <cellStyle name="40% - Accent3 2 15 3 4" xfId="21590" xr:uid="{00000000-0005-0000-0000-00006F680000}"/>
    <cellStyle name="40% - Accent3 2 15 3 5" xfId="27066" xr:uid="{00000000-0005-0000-0000-000070680000}"/>
    <cellStyle name="40% - Accent3 2 15 3 6" xfId="38862" xr:uid="{00000000-0005-0000-0000-000071680000}"/>
    <cellStyle name="40% - Accent3 2 15 3 7" xfId="44339" xr:uid="{00000000-0005-0000-0000-000072680000}"/>
    <cellStyle name="40% - Accent3 2 15 3 8" xfId="49816" xr:uid="{00000000-0005-0000-0000-000073680000}"/>
    <cellStyle name="40% - Accent3 2 15 3 9" xfId="55334" xr:uid="{00000000-0005-0000-0000-000074680000}"/>
    <cellStyle name="40% - Accent3 2 15 4" xfId="6434" xr:uid="{00000000-0005-0000-0000-000075680000}"/>
    <cellStyle name="40% - Accent3 2 15 5" xfId="11914" xr:uid="{00000000-0005-0000-0000-000076680000}"/>
    <cellStyle name="40% - Accent3 2 15 6" xfId="17390" xr:uid="{00000000-0005-0000-0000-000077680000}"/>
    <cellStyle name="40% - Accent3 2 15 7" xfId="22866" xr:uid="{00000000-0005-0000-0000-000078680000}"/>
    <cellStyle name="40% - Accent3 2 15 8" xfId="34661" xr:uid="{00000000-0005-0000-0000-000079680000}"/>
    <cellStyle name="40% - Accent3 2 15 9" xfId="40138" xr:uid="{00000000-0005-0000-0000-00007A680000}"/>
    <cellStyle name="40% - Accent3 2 16" xfId="1725" xr:uid="{00000000-0005-0000-0000-00007B680000}"/>
    <cellStyle name="40% - Accent3 2 16 10" xfId="45616" xr:uid="{00000000-0005-0000-0000-00007C680000}"/>
    <cellStyle name="40% - Accent3 2 16 11" xfId="51094" xr:uid="{00000000-0005-0000-0000-00007D680000}"/>
    <cellStyle name="40% - Accent3 2 16 2" xfId="3486" xr:uid="{00000000-0005-0000-0000-00007E680000}"/>
    <cellStyle name="40% - Accent3 2 16 2 2" xfId="8966" xr:uid="{00000000-0005-0000-0000-00007F680000}"/>
    <cellStyle name="40% - Accent3 2 16 2 3" xfId="14442" xr:uid="{00000000-0005-0000-0000-000080680000}"/>
    <cellStyle name="40% - Accent3 2 16 2 4" xfId="19918" xr:uid="{00000000-0005-0000-0000-000081680000}"/>
    <cellStyle name="40% - Accent3 2 16 2 5" xfId="25394" xr:uid="{00000000-0005-0000-0000-000082680000}"/>
    <cellStyle name="40% - Accent3 2 16 2 6" xfId="37190" xr:uid="{00000000-0005-0000-0000-000083680000}"/>
    <cellStyle name="40% - Accent3 2 16 2 7" xfId="42667" xr:uid="{00000000-0005-0000-0000-000084680000}"/>
    <cellStyle name="40% - Accent3 2 16 2 8" xfId="48144" xr:uid="{00000000-0005-0000-0000-000085680000}"/>
    <cellStyle name="40% - Accent3 2 16 2 9" xfId="53662" xr:uid="{00000000-0005-0000-0000-000086680000}"/>
    <cellStyle name="40% - Accent3 2 16 3" xfId="5258" xr:uid="{00000000-0005-0000-0000-000087680000}"/>
    <cellStyle name="40% - Accent3 2 16 3 2" xfId="10738" xr:uid="{00000000-0005-0000-0000-000088680000}"/>
    <cellStyle name="40% - Accent3 2 16 3 3" xfId="16214" xr:uid="{00000000-0005-0000-0000-000089680000}"/>
    <cellStyle name="40% - Accent3 2 16 3 4" xfId="21690" xr:uid="{00000000-0005-0000-0000-00008A680000}"/>
    <cellStyle name="40% - Accent3 2 16 3 5" xfId="27166" xr:uid="{00000000-0005-0000-0000-00008B680000}"/>
    <cellStyle name="40% - Accent3 2 16 3 6" xfId="38962" xr:uid="{00000000-0005-0000-0000-00008C680000}"/>
    <cellStyle name="40% - Accent3 2 16 3 7" xfId="44439" xr:uid="{00000000-0005-0000-0000-00008D680000}"/>
    <cellStyle name="40% - Accent3 2 16 3 8" xfId="49916" xr:uid="{00000000-0005-0000-0000-00008E680000}"/>
    <cellStyle name="40% - Accent3 2 16 3 9" xfId="55434" xr:uid="{00000000-0005-0000-0000-00008F680000}"/>
    <cellStyle name="40% - Accent3 2 16 4" xfId="6435" xr:uid="{00000000-0005-0000-0000-000090680000}"/>
    <cellStyle name="40% - Accent3 2 16 5" xfId="11915" xr:uid="{00000000-0005-0000-0000-000091680000}"/>
    <cellStyle name="40% - Accent3 2 16 6" xfId="17391" xr:uid="{00000000-0005-0000-0000-000092680000}"/>
    <cellStyle name="40% - Accent3 2 16 7" xfId="22867" xr:uid="{00000000-0005-0000-0000-000093680000}"/>
    <cellStyle name="40% - Accent3 2 16 8" xfId="34662" xr:uid="{00000000-0005-0000-0000-000094680000}"/>
    <cellStyle name="40% - Accent3 2 16 9" xfId="40139" xr:uid="{00000000-0005-0000-0000-000095680000}"/>
    <cellStyle name="40% - Accent3 2 17" xfId="1743" xr:uid="{00000000-0005-0000-0000-000096680000}"/>
    <cellStyle name="40% - Accent3 2 17 10" xfId="45617" xr:uid="{00000000-0005-0000-0000-000097680000}"/>
    <cellStyle name="40% - Accent3 2 17 11" xfId="51095" xr:uid="{00000000-0005-0000-0000-000098680000}"/>
    <cellStyle name="40% - Accent3 2 17 2" xfId="3504" xr:uid="{00000000-0005-0000-0000-000099680000}"/>
    <cellStyle name="40% - Accent3 2 17 2 2" xfId="8984" xr:uid="{00000000-0005-0000-0000-00009A680000}"/>
    <cellStyle name="40% - Accent3 2 17 2 3" xfId="14460" xr:uid="{00000000-0005-0000-0000-00009B680000}"/>
    <cellStyle name="40% - Accent3 2 17 2 4" xfId="19936" xr:uid="{00000000-0005-0000-0000-00009C680000}"/>
    <cellStyle name="40% - Accent3 2 17 2 5" xfId="25412" xr:uid="{00000000-0005-0000-0000-00009D680000}"/>
    <cellStyle name="40% - Accent3 2 17 2 6" xfId="37208" xr:uid="{00000000-0005-0000-0000-00009E680000}"/>
    <cellStyle name="40% - Accent3 2 17 2 7" xfId="42685" xr:uid="{00000000-0005-0000-0000-00009F680000}"/>
    <cellStyle name="40% - Accent3 2 17 2 8" xfId="48162" xr:uid="{00000000-0005-0000-0000-0000A0680000}"/>
    <cellStyle name="40% - Accent3 2 17 2 9" xfId="53680" xr:uid="{00000000-0005-0000-0000-0000A1680000}"/>
    <cellStyle name="40% - Accent3 2 17 3" xfId="5276" xr:uid="{00000000-0005-0000-0000-0000A2680000}"/>
    <cellStyle name="40% - Accent3 2 17 3 2" xfId="10756" xr:uid="{00000000-0005-0000-0000-0000A3680000}"/>
    <cellStyle name="40% - Accent3 2 17 3 3" xfId="16232" xr:uid="{00000000-0005-0000-0000-0000A4680000}"/>
    <cellStyle name="40% - Accent3 2 17 3 4" xfId="21708" xr:uid="{00000000-0005-0000-0000-0000A5680000}"/>
    <cellStyle name="40% - Accent3 2 17 3 5" xfId="27184" xr:uid="{00000000-0005-0000-0000-0000A6680000}"/>
    <cellStyle name="40% - Accent3 2 17 3 6" xfId="38980" xr:uid="{00000000-0005-0000-0000-0000A7680000}"/>
    <cellStyle name="40% - Accent3 2 17 3 7" xfId="44457" xr:uid="{00000000-0005-0000-0000-0000A8680000}"/>
    <cellStyle name="40% - Accent3 2 17 3 8" xfId="49934" xr:uid="{00000000-0005-0000-0000-0000A9680000}"/>
    <cellStyle name="40% - Accent3 2 17 3 9" xfId="55452" xr:uid="{00000000-0005-0000-0000-0000AA680000}"/>
    <cellStyle name="40% - Accent3 2 17 4" xfId="6436" xr:uid="{00000000-0005-0000-0000-0000AB680000}"/>
    <cellStyle name="40% - Accent3 2 17 5" xfId="11916" xr:uid="{00000000-0005-0000-0000-0000AC680000}"/>
    <cellStyle name="40% - Accent3 2 17 6" xfId="17392" xr:uid="{00000000-0005-0000-0000-0000AD680000}"/>
    <cellStyle name="40% - Accent3 2 17 7" xfId="22868" xr:uid="{00000000-0005-0000-0000-0000AE680000}"/>
    <cellStyle name="40% - Accent3 2 17 8" xfId="34663" xr:uid="{00000000-0005-0000-0000-0000AF680000}"/>
    <cellStyle name="40% - Accent3 2 17 9" xfId="40140" xr:uid="{00000000-0005-0000-0000-0000B0680000}"/>
    <cellStyle name="40% - Accent3 2 18" xfId="1987" xr:uid="{00000000-0005-0000-0000-0000B1680000}"/>
    <cellStyle name="40% - Accent3 2 18 10" xfId="52164" xr:uid="{00000000-0005-0000-0000-0000B2680000}"/>
    <cellStyle name="40% - Accent3 2 18 2" xfId="5519" xr:uid="{00000000-0005-0000-0000-0000B3680000}"/>
    <cellStyle name="40% - Accent3 2 18 2 2" xfId="10999" xr:uid="{00000000-0005-0000-0000-0000B4680000}"/>
    <cellStyle name="40% - Accent3 2 18 2 3" xfId="16475" xr:uid="{00000000-0005-0000-0000-0000B5680000}"/>
    <cellStyle name="40% - Accent3 2 18 2 4" xfId="21951" xr:uid="{00000000-0005-0000-0000-0000B6680000}"/>
    <cellStyle name="40% - Accent3 2 18 2 5" xfId="27427" xr:uid="{00000000-0005-0000-0000-0000B7680000}"/>
    <cellStyle name="40% - Accent3 2 18 2 6" xfId="39223" xr:uid="{00000000-0005-0000-0000-0000B8680000}"/>
    <cellStyle name="40% - Accent3 2 18 2 7" xfId="44700" xr:uid="{00000000-0005-0000-0000-0000B9680000}"/>
    <cellStyle name="40% - Accent3 2 18 2 8" xfId="50177" xr:uid="{00000000-0005-0000-0000-0000BA680000}"/>
    <cellStyle name="40% - Accent3 2 18 2 9" xfId="55695" xr:uid="{00000000-0005-0000-0000-0000BB680000}"/>
    <cellStyle name="40% - Accent3 2 18 3" xfId="7468" xr:uid="{00000000-0005-0000-0000-0000BC680000}"/>
    <cellStyle name="40% - Accent3 2 18 4" xfId="12944" xr:uid="{00000000-0005-0000-0000-0000BD680000}"/>
    <cellStyle name="40% - Accent3 2 18 5" xfId="18420" xr:uid="{00000000-0005-0000-0000-0000BE680000}"/>
    <cellStyle name="40% - Accent3 2 18 6" xfId="23896" xr:uid="{00000000-0005-0000-0000-0000BF680000}"/>
    <cellStyle name="40% - Accent3 2 18 7" xfId="35692" xr:uid="{00000000-0005-0000-0000-0000C0680000}"/>
    <cellStyle name="40% - Accent3 2 18 8" xfId="41169" xr:uid="{00000000-0005-0000-0000-0000C1680000}"/>
    <cellStyle name="40% - Accent3 2 18 9" xfId="46646" xr:uid="{00000000-0005-0000-0000-0000C2680000}"/>
    <cellStyle name="40% - Accent3 2 19" xfId="3693" xr:uid="{00000000-0005-0000-0000-0000C3680000}"/>
    <cellStyle name="40% - Accent3 2 19 2" xfId="9173" xr:uid="{00000000-0005-0000-0000-0000C4680000}"/>
    <cellStyle name="40% - Accent3 2 19 3" xfId="14649" xr:uid="{00000000-0005-0000-0000-0000C5680000}"/>
    <cellStyle name="40% - Accent3 2 19 4" xfId="20125" xr:uid="{00000000-0005-0000-0000-0000C6680000}"/>
    <cellStyle name="40% - Accent3 2 19 5" xfId="25601" xr:uid="{00000000-0005-0000-0000-0000C7680000}"/>
    <cellStyle name="40% - Accent3 2 19 6" xfId="37397" xr:uid="{00000000-0005-0000-0000-0000C8680000}"/>
    <cellStyle name="40% - Accent3 2 19 7" xfId="42874" xr:uid="{00000000-0005-0000-0000-0000C9680000}"/>
    <cellStyle name="40% - Accent3 2 19 8" xfId="48351" xr:uid="{00000000-0005-0000-0000-0000CA680000}"/>
    <cellStyle name="40% - Accent3 2 19 9" xfId="53869" xr:uid="{00000000-0005-0000-0000-0000CB680000}"/>
    <cellStyle name="40% - Accent3 2 2" xfId="138" xr:uid="{00000000-0005-0000-0000-0000CC680000}"/>
    <cellStyle name="40% - Accent3 2 2 10" xfId="1626" xr:uid="{00000000-0005-0000-0000-0000CD680000}"/>
    <cellStyle name="40% - Accent3 2 2 10 10" xfId="45619" xr:uid="{00000000-0005-0000-0000-0000CE680000}"/>
    <cellStyle name="40% - Accent3 2 2 10 11" xfId="51097" xr:uid="{00000000-0005-0000-0000-0000CF680000}"/>
    <cellStyle name="40% - Accent3 2 2 10 2" xfId="3387" xr:uid="{00000000-0005-0000-0000-0000D0680000}"/>
    <cellStyle name="40% - Accent3 2 2 10 2 2" xfId="8867" xr:uid="{00000000-0005-0000-0000-0000D1680000}"/>
    <cellStyle name="40% - Accent3 2 2 10 2 3" xfId="14343" xr:uid="{00000000-0005-0000-0000-0000D2680000}"/>
    <cellStyle name="40% - Accent3 2 2 10 2 4" xfId="19819" xr:uid="{00000000-0005-0000-0000-0000D3680000}"/>
    <cellStyle name="40% - Accent3 2 2 10 2 5" xfId="25295" xr:uid="{00000000-0005-0000-0000-0000D4680000}"/>
    <cellStyle name="40% - Accent3 2 2 10 2 6" xfId="37091" xr:uid="{00000000-0005-0000-0000-0000D5680000}"/>
    <cellStyle name="40% - Accent3 2 2 10 2 7" xfId="42568" xr:uid="{00000000-0005-0000-0000-0000D6680000}"/>
    <cellStyle name="40% - Accent3 2 2 10 2 8" xfId="48045" xr:uid="{00000000-0005-0000-0000-0000D7680000}"/>
    <cellStyle name="40% - Accent3 2 2 10 2 9" xfId="53563" xr:uid="{00000000-0005-0000-0000-0000D8680000}"/>
    <cellStyle name="40% - Accent3 2 2 10 3" xfId="5159" xr:uid="{00000000-0005-0000-0000-0000D9680000}"/>
    <cellStyle name="40% - Accent3 2 2 10 3 2" xfId="10639" xr:uid="{00000000-0005-0000-0000-0000DA680000}"/>
    <cellStyle name="40% - Accent3 2 2 10 3 3" xfId="16115" xr:uid="{00000000-0005-0000-0000-0000DB680000}"/>
    <cellStyle name="40% - Accent3 2 2 10 3 4" xfId="21591" xr:uid="{00000000-0005-0000-0000-0000DC680000}"/>
    <cellStyle name="40% - Accent3 2 2 10 3 5" xfId="27067" xr:uid="{00000000-0005-0000-0000-0000DD680000}"/>
    <cellStyle name="40% - Accent3 2 2 10 3 6" xfId="38863" xr:uid="{00000000-0005-0000-0000-0000DE680000}"/>
    <cellStyle name="40% - Accent3 2 2 10 3 7" xfId="44340" xr:uid="{00000000-0005-0000-0000-0000DF680000}"/>
    <cellStyle name="40% - Accent3 2 2 10 3 8" xfId="49817" xr:uid="{00000000-0005-0000-0000-0000E0680000}"/>
    <cellStyle name="40% - Accent3 2 2 10 3 9" xfId="55335" xr:uid="{00000000-0005-0000-0000-0000E1680000}"/>
    <cellStyle name="40% - Accent3 2 2 10 4" xfId="6438" xr:uid="{00000000-0005-0000-0000-0000E2680000}"/>
    <cellStyle name="40% - Accent3 2 2 10 5" xfId="11918" xr:uid="{00000000-0005-0000-0000-0000E3680000}"/>
    <cellStyle name="40% - Accent3 2 2 10 6" xfId="17394" xr:uid="{00000000-0005-0000-0000-0000E4680000}"/>
    <cellStyle name="40% - Accent3 2 2 10 7" xfId="22870" xr:uid="{00000000-0005-0000-0000-0000E5680000}"/>
    <cellStyle name="40% - Accent3 2 2 10 8" xfId="34665" xr:uid="{00000000-0005-0000-0000-0000E6680000}"/>
    <cellStyle name="40% - Accent3 2 2 10 9" xfId="40142" xr:uid="{00000000-0005-0000-0000-0000E7680000}"/>
    <cellStyle name="40% - Accent3 2 2 11" xfId="1822" xr:uid="{00000000-0005-0000-0000-0000E8680000}"/>
    <cellStyle name="40% - Accent3 2 2 11 10" xfId="45620" xr:uid="{00000000-0005-0000-0000-0000E9680000}"/>
    <cellStyle name="40% - Accent3 2 2 11 11" xfId="51098" xr:uid="{00000000-0005-0000-0000-0000EA680000}"/>
    <cellStyle name="40% - Accent3 2 2 11 2" xfId="3583" xr:uid="{00000000-0005-0000-0000-0000EB680000}"/>
    <cellStyle name="40% - Accent3 2 2 11 2 2" xfId="9063" xr:uid="{00000000-0005-0000-0000-0000EC680000}"/>
    <cellStyle name="40% - Accent3 2 2 11 2 3" xfId="14539" xr:uid="{00000000-0005-0000-0000-0000ED680000}"/>
    <cellStyle name="40% - Accent3 2 2 11 2 4" xfId="20015" xr:uid="{00000000-0005-0000-0000-0000EE680000}"/>
    <cellStyle name="40% - Accent3 2 2 11 2 5" xfId="25491" xr:uid="{00000000-0005-0000-0000-0000EF680000}"/>
    <cellStyle name="40% - Accent3 2 2 11 2 6" xfId="37287" xr:uid="{00000000-0005-0000-0000-0000F0680000}"/>
    <cellStyle name="40% - Accent3 2 2 11 2 7" xfId="42764" xr:uid="{00000000-0005-0000-0000-0000F1680000}"/>
    <cellStyle name="40% - Accent3 2 2 11 2 8" xfId="48241" xr:uid="{00000000-0005-0000-0000-0000F2680000}"/>
    <cellStyle name="40% - Accent3 2 2 11 2 9" xfId="53759" xr:uid="{00000000-0005-0000-0000-0000F3680000}"/>
    <cellStyle name="40% - Accent3 2 2 11 3" xfId="5355" xr:uid="{00000000-0005-0000-0000-0000F4680000}"/>
    <cellStyle name="40% - Accent3 2 2 11 3 2" xfId="10835" xr:uid="{00000000-0005-0000-0000-0000F5680000}"/>
    <cellStyle name="40% - Accent3 2 2 11 3 3" xfId="16311" xr:uid="{00000000-0005-0000-0000-0000F6680000}"/>
    <cellStyle name="40% - Accent3 2 2 11 3 4" xfId="21787" xr:uid="{00000000-0005-0000-0000-0000F7680000}"/>
    <cellStyle name="40% - Accent3 2 2 11 3 5" xfId="27263" xr:uid="{00000000-0005-0000-0000-0000F8680000}"/>
    <cellStyle name="40% - Accent3 2 2 11 3 6" xfId="39059" xr:uid="{00000000-0005-0000-0000-0000F9680000}"/>
    <cellStyle name="40% - Accent3 2 2 11 3 7" xfId="44536" xr:uid="{00000000-0005-0000-0000-0000FA680000}"/>
    <cellStyle name="40% - Accent3 2 2 11 3 8" xfId="50013" xr:uid="{00000000-0005-0000-0000-0000FB680000}"/>
    <cellStyle name="40% - Accent3 2 2 11 3 9" xfId="55531" xr:uid="{00000000-0005-0000-0000-0000FC680000}"/>
    <cellStyle name="40% - Accent3 2 2 11 4" xfId="6439" xr:uid="{00000000-0005-0000-0000-0000FD680000}"/>
    <cellStyle name="40% - Accent3 2 2 11 5" xfId="11919" xr:uid="{00000000-0005-0000-0000-0000FE680000}"/>
    <cellStyle name="40% - Accent3 2 2 11 6" xfId="17395" xr:uid="{00000000-0005-0000-0000-0000FF680000}"/>
    <cellStyle name="40% - Accent3 2 2 11 7" xfId="22871" xr:uid="{00000000-0005-0000-0000-000000690000}"/>
    <cellStyle name="40% - Accent3 2 2 11 8" xfId="34666" xr:uid="{00000000-0005-0000-0000-000001690000}"/>
    <cellStyle name="40% - Accent3 2 2 11 9" xfId="40143" xr:uid="{00000000-0005-0000-0000-000002690000}"/>
    <cellStyle name="40% - Accent3 2 2 12" xfId="1988" xr:uid="{00000000-0005-0000-0000-000003690000}"/>
    <cellStyle name="40% - Accent3 2 2 12 10" xfId="52165" xr:uid="{00000000-0005-0000-0000-000004690000}"/>
    <cellStyle name="40% - Accent3 2 2 12 2" xfId="5520" xr:uid="{00000000-0005-0000-0000-000005690000}"/>
    <cellStyle name="40% - Accent3 2 2 12 2 2" xfId="11000" xr:uid="{00000000-0005-0000-0000-000006690000}"/>
    <cellStyle name="40% - Accent3 2 2 12 2 3" xfId="16476" xr:uid="{00000000-0005-0000-0000-000007690000}"/>
    <cellStyle name="40% - Accent3 2 2 12 2 4" xfId="21952" xr:uid="{00000000-0005-0000-0000-000008690000}"/>
    <cellStyle name="40% - Accent3 2 2 12 2 5" xfId="27428" xr:uid="{00000000-0005-0000-0000-000009690000}"/>
    <cellStyle name="40% - Accent3 2 2 12 2 6" xfId="39224" xr:uid="{00000000-0005-0000-0000-00000A690000}"/>
    <cellStyle name="40% - Accent3 2 2 12 2 7" xfId="44701" xr:uid="{00000000-0005-0000-0000-00000B690000}"/>
    <cellStyle name="40% - Accent3 2 2 12 2 8" xfId="50178" xr:uid="{00000000-0005-0000-0000-00000C690000}"/>
    <cellStyle name="40% - Accent3 2 2 12 2 9" xfId="55696" xr:uid="{00000000-0005-0000-0000-00000D690000}"/>
    <cellStyle name="40% - Accent3 2 2 12 3" xfId="7469" xr:uid="{00000000-0005-0000-0000-00000E690000}"/>
    <cellStyle name="40% - Accent3 2 2 12 4" xfId="12945" xr:uid="{00000000-0005-0000-0000-00000F690000}"/>
    <cellStyle name="40% - Accent3 2 2 12 5" xfId="18421" xr:uid="{00000000-0005-0000-0000-000010690000}"/>
    <cellStyle name="40% - Accent3 2 2 12 6" xfId="23897" xr:uid="{00000000-0005-0000-0000-000011690000}"/>
    <cellStyle name="40% - Accent3 2 2 12 7" xfId="35693" xr:uid="{00000000-0005-0000-0000-000012690000}"/>
    <cellStyle name="40% - Accent3 2 2 12 8" xfId="41170" xr:uid="{00000000-0005-0000-0000-000013690000}"/>
    <cellStyle name="40% - Accent3 2 2 12 9" xfId="46647" xr:uid="{00000000-0005-0000-0000-000014690000}"/>
    <cellStyle name="40% - Accent3 2 2 13" xfId="3710" xr:uid="{00000000-0005-0000-0000-000015690000}"/>
    <cellStyle name="40% - Accent3 2 2 13 2" xfId="9190" xr:uid="{00000000-0005-0000-0000-000016690000}"/>
    <cellStyle name="40% - Accent3 2 2 13 3" xfId="14666" xr:uid="{00000000-0005-0000-0000-000017690000}"/>
    <cellStyle name="40% - Accent3 2 2 13 4" xfId="20142" xr:uid="{00000000-0005-0000-0000-000018690000}"/>
    <cellStyle name="40% - Accent3 2 2 13 5" xfId="25618" xr:uid="{00000000-0005-0000-0000-000019690000}"/>
    <cellStyle name="40% - Accent3 2 2 13 6" xfId="37414" xr:uid="{00000000-0005-0000-0000-00001A690000}"/>
    <cellStyle name="40% - Accent3 2 2 13 7" xfId="42891" xr:uid="{00000000-0005-0000-0000-00001B690000}"/>
    <cellStyle name="40% - Accent3 2 2 13 8" xfId="48368" xr:uid="{00000000-0005-0000-0000-00001C690000}"/>
    <cellStyle name="40% - Accent3 2 2 13 9" xfId="53886" xr:uid="{00000000-0005-0000-0000-00001D690000}"/>
    <cellStyle name="40% - Accent3 2 2 14" xfId="6437" xr:uid="{00000000-0005-0000-0000-00001E690000}"/>
    <cellStyle name="40% - Accent3 2 2 15" xfId="11917" xr:uid="{00000000-0005-0000-0000-00001F690000}"/>
    <cellStyle name="40% - Accent3 2 2 16" xfId="17393" xr:uid="{00000000-0005-0000-0000-000020690000}"/>
    <cellStyle name="40% - Accent3 2 2 17" xfId="22869" xr:uid="{00000000-0005-0000-0000-000021690000}"/>
    <cellStyle name="40% - Accent3 2 2 18" xfId="31245" xr:uid="{00000000-0005-0000-0000-000022690000}"/>
    <cellStyle name="40% - Accent3 2 2 19" xfId="34664" xr:uid="{00000000-0005-0000-0000-000023690000}"/>
    <cellStyle name="40% - Accent3 2 2 2" xfId="230" xr:uid="{00000000-0005-0000-0000-000024690000}"/>
    <cellStyle name="40% - Accent3 2 2 2 10" xfId="1823" xr:uid="{00000000-0005-0000-0000-000025690000}"/>
    <cellStyle name="40% - Accent3 2 2 2 10 10" xfId="45622" xr:uid="{00000000-0005-0000-0000-000026690000}"/>
    <cellStyle name="40% - Accent3 2 2 2 10 11" xfId="51100" xr:uid="{00000000-0005-0000-0000-000027690000}"/>
    <cellStyle name="40% - Accent3 2 2 2 10 2" xfId="3584" xr:uid="{00000000-0005-0000-0000-000028690000}"/>
    <cellStyle name="40% - Accent3 2 2 2 10 2 2" xfId="9064" xr:uid="{00000000-0005-0000-0000-000029690000}"/>
    <cellStyle name="40% - Accent3 2 2 2 10 2 3" xfId="14540" xr:uid="{00000000-0005-0000-0000-00002A690000}"/>
    <cellStyle name="40% - Accent3 2 2 2 10 2 4" xfId="20016" xr:uid="{00000000-0005-0000-0000-00002B690000}"/>
    <cellStyle name="40% - Accent3 2 2 2 10 2 5" xfId="25492" xr:uid="{00000000-0005-0000-0000-00002C690000}"/>
    <cellStyle name="40% - Accent3 2 2 2 10 2 6" xfId="37288" xr:uid="{00000000-0005-0000-0000-00002D690000}"/>
    <cellStyle name="40% - Accent3 2 2 2 10 2 7" xfId="42765" xr:uid="{00000000-0005-0000-0000-00002E690000}"/>
    <cellStyle name="40% - Accent3 2 2 2 10 2 8" xfId="48242" xr:uid="{00000000-0005-0000-0000-00002F690000}"/>
    <cellStyle name="40% - Accent3 2 2 2 10 2 9" xfId="53760" xr:uid="{00000000-0005-0000-0000-000030690000}"/>
    <cellStyle name="40% - Accent3 2 2 2 10 3" xfId="5356" xr:uid="{00000000-0005-0000-0000-000031690000}"/>
    <cellStyle name="40% - Accent3 2 2 2 10 3 2" xfId="10836" xr:uid="{00000000-0005-0000-0000-000032690000}"/>
    <cellStyle name="40% - Accent3 2 2 2 10 3 3" xfId="16312" xr:uid="{00000000-0005-0000-0000-000033690000}"/>
    <cellStyle name="40% - Accent3 2 2 2 10 3 4" xfId="21788" xr:uid="{00000000-0005-0000-0000-000034690000}"/>
    <cellStyle name="40% - Accent3 2 2 2 10 3 5" xfId="27264" xr:uid="{00000000-0005-0000-0000-000035690000}"/>
    <cellStyle name="40% - Accent3 2 2 2 10 3 6" xfId="39060" xr:uid="{00000000-0005-0000-0000-000036690000}"/>
    <cellStyle name="40% - Accent3 2 2 2 10 3 7" xfId="44537" xr:uid="{00000000-0005-0000-0000-000037690000}"/>
    <cellStyle name="40% - Accent3 2 2 2 10 3 8" xfId="50014" xr:uid="{00000000-0005-0000-0000-000038690000}"/>
    <cellStyle name="40% - Accent3 2 2 2 10 3 9" xfId="55532" xr:uid="{00000000-0005-0000-0000-000039690000}"/>
    <cellStyle name="40% - Accent3 2 2 2 10 4" xfId="6441" xr:uid="{00000000-0005-0000-0000-00003A690000}"/>
    <cellStyle name="40% - Accent3 2 2 2 10 5" xfId="11921" xr:uid="{00000000-0005-0000-0000-00003B690000}"/>
    <cellStyle name="40% - Accent3 2 2 2 10 6" xfId="17397" xr:uid="{00000000-0005-0000-0000-00003C690000}"/>
    <cellStyle name="40% - Accent3 2 2 2 10 7" xfId="22873" xr:uid="{00000000-0005-0000-0000-00003D690000}"/>
    <cellStyle name="40% - Accent3 2 2 2 10 8" xfId="34668" xr:uid="{00000000-0005-0000-0000-00003E690000}"/>
    <cellStyle name="40% - Accent3 2 2 2 10 9" xfId="40145" xr:uid="{00000000-0005-0000-0000-00003F690000}"/>
    <cellStyle name="40% - Accent3 2 2 2 11" xfId="1989" xr:uid="{00000000-0005-0000-0000-000040690000}"/>
    <cellStyle name="40% - Accent3 2 2 2 11 10" xfId="52166" xr:uid="{00000000-0005-0000-0000-000041690000}"/>
    <cellStyle name="40% - Accent3 2 2 2 11 2" xfId="5521" xr:uid="{00000000-0005-0000-0000-000042690000}"/>
    <cellStyle name="40% - Accent3 2 2 2 11 2 2" xfId="11001" xr:uid="{00000000-0005-0000-0000-000043690000}"/>
    <cellStyle name="40% - Accent3 2 2 2 11 2 3" xfId="16477" xr:uid="{00000000-0005-0000-0000-000044690000}"/>
    <cellStyle name="40% - Accent3 2 2 2 11 2 4" xfId="21953" xr:uid="{00000000-0005-0000-0000-000045690000}"/>
    <cellStyle name="40% - Accent3 2 2 2 11 2 5" xfId="27429" xr:uid="{00000000-0005-0000-0000-000046690000}"/>
    <cellStyle name="40% - Accent3 2 2 2 11 2 6" xfId="39225" xr:uid="{00000000-0005-0000-0000-000047690000}"/>
    <cellStyle name="40% - Accent3 2 2 2 11 2 7" xfId="44702" xr:uid="{00000000-0005-0000-0000-000048690000}"/>
    <cellStyle name="40% - Accent3 2 2 2 11 2 8" xfId="50179" xr:uid="{00000000-0005-0000-0000-000049690000}"/>
    <cellStyle name="40% - Accent3 2 2 2 11 2 9" xfId="55697" xr:uid="{00000000-0005-0000-0000-00004A690000}"/>
    <cellStyle name="40% - Accent3 2 2 2 11 3" xfId="7470" xr:uid="{00000000-0005-0000-0000-00004B690000}"/>
    <cellStyle name="40% - Accent3 2 2 2 11 4" xfId="12946" xr:uid="{00000000-0005-0000-0000-00004C690000}"/>
    <cellStyle name="40% - Accent3 2 2 2 11 5" xfId="18422" xr:uid="{00000000-0005-0000-0000-00004D690000}"/>
    <cellStyle name="40% - Accent3 2 2 2 11 6" xfId="23898" xr:uid="{00000000-0005-0000-0000-00004E690000}"/>
    <cellStyle name="40% - Accent3 2 2 2 11 7" xfId="35694" xr:uid="{00000000-0005-0000-0000-00004F690000}"/>
    <cellStyle name="40% - Accent3 2 2 2 11 8" xfId="41171" xr:uid="{00000000-0005-0000-0000-000050690000}"/>
    <cellStyle name="40% - Accent3 2 2 2 11 9" xfId="46648" xr:uid="{00000000-0005-0000-0000-000051690000}"/>
    <cellStyle name="40% - Accent3 2 2 2 12" xfId="3796" xr:uid="{00000000-0005-0000-0000-000052690000}"/>
    <cellStyle name="40% - Accent3 2 2 2 12 2" xfId="9276" xr:uid="{00000000-0005-0000-0000-000053690000}"/>
    <cellStyle name="40% - Accent3 2 2 2 12 3" xfId="14752" xr:uid="{00000000-0005-0000-0000-000054690000}"/>
    <cellStyle name="40% - Accent3 2 2 2 12 4" xfId="20228" xr:uid="{00000000-0005-0000-0000-000055690000}"/>
    <cellStyle name="40% - Accent3 2 2 2 12 5" xfId="25704" xr:uid="{00000000-0005-0000-0000-000056690000}"/>
    <cellStyle name="40% - Accent3 2 2 2 12 6" xfId="37500" xr:uid="{00000000-0005-0000-0000-000057690000}"/>
    <cellStyle name="40% - Accent3 2 2 2 12 7" xfId="42977" xr:uid="{00000000-0005-0000-0000-000058690000}"/>
    <cellStyle name="40% - Accent3 2 2 2 12 8" xfId="48454" xr:uid="{00000000-0005-0000-0000-000059690000}"/>
    <cellStyle name="40% - Accent3 2 2 2 12 9" xfId="53972" xr:uid="{00000000-0005-0000-0000-00005A690000}"/>
    <cellStyle name="40% - Accent3 2 2 2 13" xfId="6440" xr:uid="{00000000-0005-0000-0000-00005B690000}"/>
    <cellStyle name="40% - Accent3 2 2 2 14" xfId="11920" xr:uid="{00000000-0005-0000-0000-00005C690000}"/>
    <cellStyle name="40% - Accent3 2 2 2 15" xfId="17396" xr:uid="{00000000-0005-0000-0000-00005D690000}"/>
    <cellStyle name="40% - Accent3 2 2 2 16" xfId="22872" xr:uid="{00000000-0005-0000-0000-00005E690000}"/>
    <cellStyle name="40% - Accent3 2 2 2 17" xfId="31246" xr:uid="{00000000-0005-0000-0000-00005F690000}"/>
    <cellStyle name="40% - Accent3 2 2 2 18" xfId="34667" xr:uid="{00000000-0005-0000-0000-000060690000}"/>
    <cellStyle name="40% - Accent3 2 2 2 19" xfId="40144" xr:uid="{00000000-0005-0000-0000-000061690000}"/>
    <cellStyle name="40% - Accent3 2 2 2 2" xfId="360" xr:uid="{00000000-0005-0000-0000-000062690000}"/>
    <cellStyle name="40% - Accent3 2 2 2 2 10" xfId="40146" xr:uid="{00000000-0005-0000-0000-000063690000}"/>
    <cellStyle name="40% - Accent3 2 2 2 2 11" xfId="45623" xr:uid="{00000000-0005-0000-0000-000064690000}"/>
    <cellStyle name="40% - Accent3 2 2 2 2 12" xfId="51101" xr:uid="{00000000-0005-0000-0000-000065690000}"/>
    <cellStyle name="40% - Accent3 2 2 2 2 2" xfId="2154" xr:uid="{00000000-0005-0000-0000-000066690000}"/>
    <cellStyle name="40% - Accent3 2 2 2 2 2 2" xfId="7634" xr:uid="{00000000-0005-0000-0000-000067690000}"/>
    <cellStyle name="40% - Accent3 2 2 2 2 2 3" xfId="13110" xr:uid="{00000000-0005-0000-0000-000068690000}"/>
    <cellStyle name="40% - Accent3 2 2 2 2 2 4" xfId="18586" xr:uid="{00000000-0005-0000-0000-000069690000}"/>
    <cellStyle name="40% - Accent3 2 2 2 2 2 5" xfId="24062" xr:uid="{00000000-0005-0000-0000-00006A690000}"/>
    <cellStyle name="40% - Accent3 2 2 2 2 2 6" xfId="35858" xr:uid="{00000000-0005-0000-0000-00006B690000}"/>
    <cellStyle name="40% - Accent3 2 2 2 2 2 7" xfId="41335" xr:uid="{00000000-0005-0000-0000-00006C690000}"/>
    <cellStyle name="40% - Accent3 2 2 2 2 2 8" xfId="46812" xr:uid="{00000000-0005-0000-0000-00006D690000}"/>
    <cellStyle name="40% - Accent3 2 2 2 2 2 9" xfId="52330" xr:uid="{00000000-0005-0000-0000-00006E690000}"/>
    <cellStyle name="40% - Accent3 2 2 2 2 3" xfId="3922" xr:uid="{00000000-0005-0000-0000-00006F690000}"/>
    <cellStyle name="40% - Accent3 2 2 2 2 3 2" xfId="9402" xr:uid="{00000000-0005-0000-0000-000070690000}"/>
    <cellStyle name="40% - Accent3 2 2 2 2 3 3" xfId="14878" xr:uid="{00000000-0005-0000-0000-000071690000}"/>
    <cellStyle name="40% - Accent3 2 2 2 2 3 4" xfId="20354" xr:uid="{00000000-0005-0000-0000-000072690000}"/>
    <cellStyle name="40% - Accent3 2 2 2 2 3 5" xfId="25830" xr:uid="{00000000-0005-0000-0000-000073690000}"/>
    <cellStyle name="40% - Accent3 2 2 2 2 3 6" xfId="37626" xr:uid="{00000000-0005-0000-0000-000074690000}"/>
    <cellStyle name="40% - Accent3 2 2 2 2 3 7" xfId="43103" xr:uid="{00000000-0005-0000-0000-000075690000}"/>
    <cellStyle name="40% - Accent3 2 2 2 2 3 8" xfId="48580" xr:uid="{00000000-0005-0000-0000-000076690000}"/>
    <cellStyle name="40% - Accent3 2 2 2 2 3 9" xfId="54098" xr:uid="{00000000-0005-0000-0000-000077690000}"/>
    <cellStyle name="40% - Accent3 2 2 2 2 4" xfId="6442" xr:uid="{00000000-0005-0000-0000-000078690000}"/>
    <cellStyle name="40% - Accent3 2 2 2 2 5" xfId="11922" xr:uid="{00000000-0005-0000-0000-000079690000}"/>
    <cellStyle name="40% - Accent3 2 2 2 2 6" xfId="17398" xr:uid="{00000000-0005-0000-0000-00007A690000}"/>
    <cellStyle name="40% - Accent3 2 2 2 2 7" xfId="22874" xr:uid="{00000000-0005-0000-0000-00007B690000}"/>
    <cellStyle name="40% - Accent3 2 2 2 2 8" xfId="31247" xr:uid="{00000000-0005-0000-0000-00007C690000}"/>
    <cellStyle name="40% - Accent3 2 2 2 2 9" xfId="34669" xr:uid="{00000000-0005-0000-0000-00007D690000}"/>
    <cellStyle name="40% - Accent3 2 2 2 20" xfId="45621" xr:uid="{00000000-0005-0000-0000-00007E690000}"/>
    <cellStyle name="40% - Accent3 2 2 2 21" xfId="51099" xr:uid="{00000000-0005-0000-0000-00007F690000}"/>
    <cellStyle name="40% - Accent3 2 2 2 3" xfId="561" xr:uid="{00000000-0005-0000-0000-000080690000}"/>
    <cellStyle name="40% - Accent3 2 2 2 3 10" xfId="45624" xr:uid="{00000000-0005-0000-0000-000081690000}"/>
    <cellStyle name="40% - Accent3 2 2 2 3 11" xfId="51102" xr:uid="{00000000-0005-0000-0000-000082690000}"/>
    <cellStyle name="40% - Accent3 2 2 2 3 2" xfId="2322" xr:uid="{00000000-0005-0000-0000-000083690000}"/>
    <cellStyle name="40% - Accent3 2 2 2 3 2 2" xfId="7802" xr:uid="{00000000-0005-0000-0000-000084690000}"/>
    <cellStyle name="40% - Accent3 2 2 2 3 2 3" xfId="13278" xr:uid="{00000000-0005-0000-0000-000085690000}"/>
    <cellStyle name="40% - Accent3 2 2 2 3 2 4" xfId="18754" xr:uid="{00000000-0005-0000-0000-000086690000}"/>
    <cellStyle name="40% - Accent3 2 2 2 3 2 5" xfId="24230" xr:uid="{00000000-0005-0000-0000-000087690000}"/>
    <cellStyle name="40% - Accent3 2 2 2 3 2 6" xfId="36026" xr:uid="{00000000-0005-0000-0000-000088690000}"/>
    <cellStyle name="40% - Accent3 2 2 2 3 2 7" xfId="41503" xr:uid="{00000000-0005-0000-0000-000089690000}"/>
    <cellStyle name="40% - Accent3 2 2 2 3 2 8" xfId="46980" xr:uid="{00000000-0005-0000-0000-00008A690000}"/>
    <cellStyle name="40% - Accent3 2 2 2 3 2 9" xfId="52498" xr:uid="{00000000-0005-0000-0000-00008B690000}"/>
    <cellStyle name="40% - Accent3 2 2 2 3 3" xfId="4094" xr:uid="{00000000-0005-0000-0000-00008C690000}"/>
    <cellStyle name="40% - Accent3 2 2 2 3 3 2" xfId="9574" xr:uid="{00000000-0005-0000-0000-00008D690000}"/>
    <cellStyle name="40% - Accent3 2 2 2 3 3 3" xfId="15050" xr:uid="{00000000-0005-0000-0000-00008E690000}"/>
    <cellStyle name="40% - Accent3 2 2 2 3 3 4" xfId="20526" xr:uid="{00000000-0005-0000-0000-00008F690000}"/>
    <cellStyle name="40% - Accent3 2 2 2 3 3 5" xfId="26002" xr:uid="{00000000-0005-0000-0000-000090690000}"/>
    <cellStyle name="40% - Accent3 2 2 2 3 3 6" xfId="37798" xr:uid="{00000000-0005-0000-0000-000091690000}"/>
    <cellStyle name="40% - Accent3 2 2 2 3 3 7" xfId="43275" xr:uid="{00000000-0005-0000-0000-000092690000}"/>
    <cellStyle name="40% - Accent3 2 2 2 3 3 8" xfId="48752" xr:uid="{00000000-0005-0000-0000-000093690000}"/>
    <cellStyle name="40% - Accent3 2 2 2 3 3 9" xfId="54270" xr:uid="{00000000-0005-0000-0000-000094690000}"/>
    <cellStyle name="40% - Accent3 2 2 2 3 4" xfId="6443" xr:uid="{00000000-0005-0000-0000-000095690000}"/>
    <cellStyle name="40% - Accent3 2 2 2 3 5" xfId="11923" xr:uid="{00000000-0005-0000-0000-000096690000}"/>
    <cellStyle name="40% - Accent3 2 2 2 3 6" xfId="17399" xr:uid="{00000000-0005-0000-0000-000097690000}"/>
    <cellStyle name="40% - Accent3 2 2 2 3 7" xfId="22875" xr:uid="{00000000-0005-0000-0000-000098690000}"/>
    <cellStyle name="40% - Accent3 2 2 2 3 8" xfId="34670" xr:uid="{00000000-0005-0000-0000-000099690000}"/>
    <cellStyle name="40% - Accent3 2 2 2 3 9" xfId="40147" xr:uid="{00000000-0005-0000-0000-00009A690000}"/>
    <cellStyle name="40% - Accent3 2 2 2 4" xfId="733" xr:uid="{00000000-0005-0000-0000-00009B690000}"/>
    <cellStyle name="40% - Accent3 2 2 2 4 10" xfId="45625" xr:uid="{00000000-0005-0000-0000-00009C690000}"/>
    <cellStyle name="40% - Accent3 2 2 2 4 11" xfId="51103" xr:uid="{00000000-0005-0000-0000-00009D690000}"/>
    <cellStyle name="40% - Accent3 2 2 2 4 2" xfId="2494" xr:uid="{00000000-0005-0000-0000-00009E690000}"/>
    <cellStyle name="40% - Accent3 2 2 2 4 2 2" xfId="7974" xr:uid="{00000000-0005-0000-0000-00009F690000}"/>
    <cellStyle name="40% - Accent3 2 2 2 4 2 3" xfId="13450" xr:uid="{00000000-0005-0000-0000-0000A0690000}"/>
    <cellStyle name="40% - Accent3 2 2 2 4 2 4" xfId="18926" xr:uid="{00000000-0005-0000-0000-0000A1690000}"/>
    <cellStyle name="40% - Accent3 2 2 2 4 2 5" xfId="24402" xr:uid="{00000000-0005-0000-0000-0000A2690000}"/>
    <cellStyle name="40% - Accent3 2 2 2 4 2 6" xfId="36198" xr:uid="{00000000-0005-0000-0000-0000A3690000}"/>
    <cellStyle name="40% - Accent3 2 2 2 4 2 7" xfId="41675" xr:uid="{00000000-0005-0000-0000-0000A4690000}"/>
    <cellStyle name="40% - Accent3 2 2 2 4 2 8" xfId="47152" xr:uid="{00000000-0005-0000-0000-0000A5690000}"/>
    <cellStyle name="40% - Accent3 2 2 2 4 2 9" xfId="52670" xr:uid="{00000000-0005-0000-0000-0000A6690000}"/>
    <cellStyle name="40% - Accent3 2 2 2 4 3" xfId="4266" xr:uid="{00000000-0005-0000-0000-0000A7690000}"/>
    <cellStyle name="40% - Accent3 2 2 2 4 3 2" xfId="9746" xr:uid="{00000000-0005-0000-0000-0000A8690000}"/>
    <cellStyle name="40% - Accent3 2 2 2 4 3 3" xfId="15222" xr:uid="{00000000-0005-0000-0000-0000A9690000}"/>
    <cellStyle name="40% - Accent3 2 2 2 4 3 4" xfId="20698" xr:uid="{00000000-0005-0000-0000-0000AA690000}"/>
    <cellStyle name="40% - Accent3 2 2 2 4 3 5" xfId="26174" xr:uid="{00000000-0005-0000-0000-0000AB690000}"/>
    <cellStyle name="40% - Accent3 2 2 2 4 3 6" xfId="37970" xr:uid="{00000000-0005-0000-0000-0000AC690000}"/>
    <cellStyle name="40% - Accent3 2 2 2 4 3 7" xfId="43447" xr:uid="{00000000-0005-0000-0000-0000AD690000}"/>
    <cellStyle name="40% - Accent3 2 2 2 4 3 8" xfId="48924" xr:uid="{00000000-0005-0000-0000-0000AE690000}"/>
    <cellStyle name="40% - Accent3 2 2 2 4 3 9" xfId="54442" xr:uid="{00000000-0005-0000-0000-0000AF690000}"/>
    <cellStyle name="40% - Accent3 2 2 2 4 4" xfId="6444" xr:uid="{00000000-0005-0000-0000-0000B0690000}"/>
    <cellStyle name="40% - Accent3 2 2 2 4 5" xfId="11924" xr:uid="{00000000-0005-0000-0000-0000B1690000}"/>
    <cellStyle name="40% - Accent3 2 2 2 4 6" xfId="17400" xr:uid="{00000000-0005-0000-0000-0000B2690000}"/>
    <cellStyle name="40% - Accent3 2 2 2 4 7" xfId="22876" xr:uid="{00000000-0005-0000-0000-0000B3690000}"/>
    <cellStyle name="40% - Accent3 2 2 2 4 8" xfId="34671" xr:uid="{00000000-0005-0000-0000-0000B4690000}"/>
    <cellStyle name="40% - Accent3 2 2 2 4 9" xfId="40148" xr:uid="{00000000-0005-0000-0000-0000B5690000}"/>
    <cellStyle name="40% - Accent3 2 2 2 5" xfId="905" xr:uid="{00000000-0005-0000-0000-0000B6690000}"/>
    <cellStyle name="40% - Accent3 2 2 2 5 10" xfId="45626" xr:uid="{00000000-0005-0000-0000-0000B7690000}"/>
    <cellStyle name="40% - Accent3 2 2 2 5 11" xfId="51104" xr:uid="{00000000-0005-0000-0000-0000B8690000}"/>
    <cellStyle name="40% - Accent3 2 2 2 5 2" xfId="2666" xr:uid="{00000000-0005-0000-0000-0000B9690000}"/>
    <cellStyle name="40% - Accent3 2 2 2 5 2 2" xfId="8146" xr:uid="{00000000-0005-0000-0000-0000BA690000}"/>
    <cellStyle name="40% - Accent3 2 2 2 5 2 3" xfId="13622" xr:uid="{00000000-0005-0000-0000-0000BB690000}"/>
    <cellStyle name="40% - Accent3 2 2 2 5 2 4" xfId="19098" xr:uid="{00000000-0005-0000-0000-0000BC690000}"/>
    <cellStyle name="40% - Accent3 2 2 2 5 2 5" xfId="24574" xr:uid="{00000000-0005-0000-0000-0000BD690000}"/>
    <cellStyle name="40% - Accent3 2 2 2 5 2 6" xfId="36370" xr:uid="{00000000-0005-0000-0000-0000BE690000}"/>
    <cellStyle name="40% - Accent3 2 2 2 5 2 7" xfId="41847" xr:uid="{00000000-0005-0000-0000-0000BF690000}"/>
    <cellStyle name="40% - Accent3 2 2 2 5 2 8" xfId="47324" xr:uid="{00000000-0005-0000-0000-0000C0690000}"/>
    <cellStyle name="40% - Accent3 2 2 2 5 2 9" xfId="52842" xr:uid="{00000000-0005-0000-0000-0000C1690000}"/>
    <cellStyle name="40% - Accent3 2 2 2 5 3" xfId="4438" xr:uid="{00000000-0005-0000-0000-0000C2690000}"/>
    <cellStyle name="40% - Accent3 2 2 2 5 3 2" xfId="9918" xr:uid="{00000000-0005-0000-0000-0000C3690000}"/>
    <cellStyle name="40% - Accent3 2 2 2 5 3 3" xfId="15394" xr:uid="{00000000-0005-0000-0000-0000C4690000}"/>
    <cellStyle name="40% - Accent3 2 2 2 5 3 4" xfId="20870" xr:uid="{00000000-0005-0000-0000-0000C5690000}"/>
    <cellStyle name="40% - Accent3 2 2 2 5 3 5" xfId="26346" xr:uid="{00000000-0005-0000-0000-0000C6690000}"/>
    <cellStyle name="40% - Accent3 2 2 2 5 3 6" xfId="38142" xr:uid="{00000000-0005-0000-0000-0000C7690000}"/>
    <cellStyle name="40% - Accent3 2 2 2 5 3 7" xfId="43619" xr:uid="{00000000-0005-0000-0000-0000C8690000}"/>
    <cellStyle name="40% - Accent3 2 2 2 5 3 8" xfId="49096" xr:uid="{00000000-0005-0000-0000-0000C9690000}"/>
    <cellStyle name="40% - Accent3 2 2 2 5 3 9" xfId="54614" xr:uid="{00000000-0005-0000-0000-0000CA690000}"/>
    <cellStyle name="40% - Accent3 2 2 2 5 4" xfId="6445" xr:uid="{00000000-0005-0000-0000-0000CB690000}"/>
    <cellStyle name="40% - Accent3 2 2 2 5 5" xfId="11925" xr:uid="{00000000-0005-0000-0000-0000CC690000}"/>
    <cellStyle name="40% - Accent3 2 2 2 5 6" xfId="17401" xr:uid="{00000000-0005-0000-0000-0000CD690000}"/>
    <cellStyle name="40% - Accent3 2 2 2 5 7" xfId="22877" xr:uid="{00000000-0005-0000-0000-0000CE690000}"/>
    <cellStyle name="40% - Accent3 2 2 2 5 8" xfId="34672" xr:uid="{00000000-0005-0000-0000-0000CF690000}"/>
    <cellStyle name="40% - Accent3 2 2 2 5 9" xfId="40149" xr:uid="{00000000-0005-0000-0000-0000D0690000}"/>
    <cellStyle name="40% - Accent3 2 2 2 6" xfId="1111" xr:uid="{00000000-0005-0000-0000-0000D1690000}"/>
    <cellStyle name="40% - Accent3 2 2 2 6 10" xfId="45627" xr:uid="{00000000-0005-0000-0000-0000D2690000}"/>
    <cellStyle name="40% - Accent3 2 2 2 6 11" xfId="51105" xr:uid="{00000000-0005-0000-0000-0000D3690000}"/>
    <cellStyle name="40% - Accent3 2 2 2 6 2" xfId="2872" xr:uid="{00000000-0005-0000-0000-0000D4690000}"/>
    <cellStyle name="40% - Accent3 2 2 2 6 2 2" xfId="8352" xr:uid="{00000000-0005-0000-0000-0000D5690000}"/>
    <cellStyle name="40% - Accent3 2 2 2 6 2 3" xfId="13828" xr:uid="{00000000-0005-0000-0000-0000D6690000}"/>
    <cellStyle name="40% - Accent3 2 2 2 6 2 4" xfId="19304" xr:uid="{00000000-0005-0000-0000-0000D7690000}"/>
    <cellStyle name="40% - Accent3 2 2 2 6 2 5" xfId="24780" xr:uid="{00000000-0005-0000-0000-0000D8690000}"/>
    <cellStyle name="40% - Accent3 2 2 2 6 2 6" xfId="36576" xr:uid="{00000000-0005-0000-0000-0000D9690000}"/>
    <cellStyle name="40% - Accent3 2 2 2 6 2 7" xfId="42053" xr:uid="{00000000-0005-0000-0000-0000DA690000}"/>
    <cellStyle name="40% - Accent3 2 2 2 6 2 8" xfId="47530" xr:uid="{00000000-0005-0000-0000-0000DB690000}"/>
    <cellStyle name="40% - Accent3 2 2 2 6 2 9" xfId="53048" xr:uid="{00000000-0005-0000-0000-0000DC690000}"/>
    <cellStyle name="40% - Accent3 2 2 2 6 3" xfId="4644" xr:uid="{00000000-0005-0000-0000-0000DD690000}"/>
    <cellStyle name="40% - Accent3 2 2 2 6 3 2" xfId="10124" xr:uid="{00000000-0005-0000-0000-0000DE690000}"/>
    <cellStyle name="40% - Accent3 2 2 2 6 3 3" xfId="15600" xr:uid="{00000000-0005-0000-0000-0000DF690000}"/>
    <cellStyle name="40% - Accent3 2 2 2 6 3 4" xfId="21076" xr:uid="{00000000-0005-0000-0000-0000E0690000}"/>
    <cellStyle name="40% - Accent3 2 2 2 6 3 5" xfId="26552" xr:uid="{00000000-0005-0000-0000-0000E1690000}"/>
    <cellStyle name="40% - Accent3 2 2 2 6 3 6" xfId="38348" xr:uid="{00000000-0005-0000-0000-0000E2690000}"/>
    <cellStyle name="40% - Accent3 2 2 2 6 3 7" xfId="43825" xr:uid="{00000000-0005-0000-0000-0000E3690000}"/>
    <cellStyle name="40% - Accent3 2 2 2 6 3 8" xfId="49302" xr:uid="{00000000-0005-0000-0000-0000E4690000}"/>
    <cellStyle name="40% - Accent3 2 2 2 6 3 9" xfId="54820" xr:uid="{00000000-0005-0000-0000-0000E5690000}"/>
    <cellStyle name="40% - Accent3 2 2 2 6 4" xfId="6446" xr:uid="{00000000-0005-0000-0000-0000E6690000}"/>
    <cellStyle name="40% - Accent3 2 2 2 6 5" xfId="11926" xr:uid="{00000000-0005-0000-0000-0000E7690000}"/>
    <cellStyle name="40% - Accent3 2 2 2 6 6" xfId="17402" xr:uid="{00000000-0005-0000-0000-0000E8690000}"/>
    <cellStyle name="40% - Accent3 2 2 2 6 7" xfId="22878" xr:uid="{00000000-0005-0000-0000-0000E9690000}"/>
    <cellStyle name="40% - Accent3 2 2 2 6 8" xfId="34673" xr:uid="{00000000-0005-0000-0000-0000EA690000}"/>
    <cellStyle name="40% - Accent3 2 2 2 6 9" xfId="40150" xr:uid="{00000000-0005-0000-0000-0000EB690000}"/>
    <cellStyle name="40% - Accent3 2 2 2 7" xfId="1283" xr:uid="{00000000-0005-0000-0000-0000EC690000}"/>
    <cellStyle name="40% - Accent3 2 2 2 7 10" xfId="45628" xr:uid="{00000000-0005-0000-0000-0000ED690000}"/>
    <cellStyle name="40% - Accent3 2 2 2 7 11" xfId="51106" xr:uid="{00000000-0005-0000-0000-0000EE690000}"/>
    <cellStyle name="40% - Accent3 2 2 2 7 2" xfId="3044" xr:uid="{00000000-0005-0000-0000-0000EF690000}"/>
    <cellStyle name="40% - Accent3 2 2 2 7 2 2" xfId="8524" xr:uid="{00000000-0005-0000-0000-0000F0690000}"/>
    <cellStyle name="40% - Accent3 2 2 2 7 2 3" xfId="14000" xr:uid="{00000000-0005-0000-0000-0000F1690000}"/>
    <cellStyle name="40% - Accent3 2 2 2 7 2 4" xfId="19476" xr:uid="{00000000-0005-0000-0000-0000F2690000}"/>
    <cellStyle name="40% - Accent3 2 2 2 7 2 5" xfId="24952" xr:uid="{00000000-0005-0000-0000-0000F3690000}"/>
    <cellStyle name="40% - Accent3 2 2 2 7 2 6" xfId="36748" xr:uid="{00000000-0005-0000-0000-0000F4690000}"/>
    <cellStyle name="40% - Accent3 2 2 2 7 2 7" xfId="42225" xr:uid="{00000000-0005-0000-0000-0000F5690000}"/>
    <cellStyle name="40% - Accent3 2 2 2 7 2 8" xfId="47702" xr:uid="{00000000-0005-0000-0000-0000F6690000}"/>
    <cellStyle name="40% - Accent3 2 2 2 7 2 9" xfId="53220" xr:uid="{00000000-0005-0000-0000-0000F7690000}"/>
    <cellStyle name="40% - Accent3 2 2 2 7 3" xfId="4816" xr:uid="{00000000-0005-0000-0000-0000F8690000}"/>
    <cellStyle name="40% - Accent3 2 2 2 7 3 2" xfId="10296" xr:uid="{00000000-0005-0000-0000-0000F9690000}"/>
    <cellStyle name="40% - Accent3 2 2 2 7 3 3" xfId="15772" xr:uid="{00000000-0005-0000-0000-0000FA690000}"/>
    <cellStyle name="40% - Accent3 2 2 2 7 3 4" xfId="21248" xr:uid="{00000000-0005-0000-0000-0000FB690000}"/>
    <cellStyle name="40% - Accent3 2 2 2 7 3 5" xfId="26724" xr:uid="{00000000-0005-0000-0000-0000FC690000}"/>
    <cellStyle name="40% - Accent3 2 2 2 7 3 6" xfId="38520" xr:uid="{00000000-0005-0000-0000-0000FD690000}"/>
    <cellStyle name="40% - Accent3 2 2 2 7 3 7" xfId="43997" xr:uid="{00000000-0005-0000-0000-0000FE690000}"/>
    <cellStyle name="40% - Accent3 2 2 2 7 3 8" xfId="49474" xr:uid="{00000000-0005-0000-0000-0000FF690000}"/>
    <cellStyle name="40% - Accent3 2 2 2 7 3 9" xfId="54992" xr:uid="{00000000-0005-0000-0000-0000006A0000}"/>
    <cellStyle name="40% - Accent3 2 2 2 7 4" xfId="6447" xr:uid="{00000000-0005-0000-0000-0000016A0000}"/>
    <cellStyle name="40% - Accent3 2 2 2 7 5" xfId="11927" xr:uid="{00000000-0005-0000-0000-0000026A0000}"/>
    <cellStyle name="40% - Accent3 2 2 2 7 6" xfId="17403" xr:uid="{00000000-0005-0000-0000-0000036A0000}"/>
    <cellStyle name="40% - Accent3 2 2 2 7 7" xfId="22879" xr:uid="{00000000-0005-0000-0000-0000046A0000}"/>
    <cellStyle name="40% - Accent3 2 2 2 7 8" xfId="34674" xr:uid="{00000000-0005-0000-0000-0000056A0000}"/>
    <cellStyle name="40% - Accent3 2 2 2 7 9" xfId="40151" xr:uid="{00000000-0005-0000-0000-0000066A0000}"/>
    <cellStyle name="40% - Accent3 2 2 2 8" xfId="1455" xr:uid="{00000000-0005-0000-0000-0000076A0000}"/>
    <cellStyle name="40% - Accent3 2 2 2 8 10" xfId="45629" xr:uid="{00000000-0005-0000-0000-0000086A0000}"/>
    <cellStyle name="40% - Accent3 2 2 2 8 11" xfId="51107" xr:uid="{00000000-0005-0000-0000-0000096A0000}"/>
    <cellStyle name="40% - Accent3 2 2 2 8 2" xfId="3216" xr:uid="{00000000-0005-0000-0000-00000A6A0000}"/>
    <cellStyle name="40% - Accent3 2 2 2 8 2 2" xfId="8696" xr:uid="{00000000-0005-0000-0000-00000B6A0000}"/>
    <cellStyle name="40% - Accent3 2 2 2 8 2 3" xfId="14172" xr:uid="{00000000-0005-0000-0000-00000C6A0000}"/>
    <cellStyle name="40% - Accent3 2 2 2 8 2 4" xfId="19648" xr:uid="{00000000-0005-0000-0000-00000D6A0000}"/>
    <cellStyle name="40% - Accent3 2 2 2 8 2 5" xfId="25124" xr:uid="{00000000-0005-0000-0000-00000E6A0000}"/>
    <cellStyle name="40% - Accent3 2 2 2 8 2 6" xfId="36920" xr:uid="{00000000-0005-0000-0000-00000F6A0000}"/>
    <cellStyle name="40% - Accent3 2 2 2 8 2 7" xfId="42397" xr:uid="{00000000-0005-0000-0000-0000106A0000}"/>
    <cellStyle name="40% - Accent3 2 2 2 8 2 8" xfId="47874" xr:uid="{00000000-0005-0000-0000-0000116A0000}"/>
    <cellStyle name="40% - Accent3 2 2 2 8 2 9" xfId="53392" xr:uid="{00000000-0005-0000-0000-0000126A0000}"/>
    <cellStyle name="40% - Accent3 2 2 2 8 3" xfId="4988" xr:uid="{00000000-0005-0000-0000-0000136A0000}"/>
    <cellStyle name="40% - Accent3 2 2 2 8 3 2" xfId="10468" xr:uid="{00000000-0005-0000-0000-0000146A0000}"/>
    <cellStyle name="40% - Accent3 2 2 2 8 3 3" xfId="15944" xr:uid="{00000000-0005-0000-0000-0000156A0000}"/>
    <cellStyle name="40% - Accent3 2 2 2 8 3 4" xfId="21420" xr:uid="{00000000-0005-0000-0000-0000166A0000}"/>
    <cellStyle name="40% - Accent3 2 2 2 8 3 5" xfId="26896" xr:uid="{00000000-0005-0000-0000-0000176A0000}"/>
    <cellStyle name="40% - Accent3 2 2 2 8 3 6" xfId="38692" xr:uid="{00000000-0005-0000-0000-0000186A0000}"/>
    <cellStyle name="40% - Accent3 2 2 2 8 3 7" xfId="44169" xr:uid="{00000000-0005-0000-0000-0000196A0000}"/>
    <cellStyle name="40% - Accent3 2 2 2 8 3 8" xfId="49646" xr:uid="{00000000-0005-0000-0000-00001A6A0000}"/>
    <cellStyle name="40% - Accent3 2 2 2 8 3 9" xfId="55164" xr:uid="{00000000-0005-0000-0000-00001B6A0000}"/>
    <cellStyle name="40% - Accent3 2 2 2 8 4" xfId="6448" xr:uid="{00000000-0005-0000-0000-00001C6A0000}"/>
    <cellStyle name="40% - Accent3 2 2 2 8 5" xfId="11928" xr:uid="{00000000-0005-0000-0000-00001D6A0000}"/>
    <cellStyle name="40% - Accent3 2 2 2 8 6" xfId="17404" xr:uid="{00000000-0005-0000-0000-00001E6A0000}"/>
    <cellStyle name="40% - Accent3 2 2 2 8 7" xfId="22880" xr:uid="{00000000-0005-0000-0000-00001F6A0000}"/>
    <cellStyle name="40% - Accent3 2 2 2 8 8" xfId="34675" xr:uid="{00000000-0005-0000-0000-0000206A0000}"/>
    <cellStyle name="40% - Accent3 2 2 2 8 9" xfId="40152" xr:uid="{00000000-0005-0000-0000-0000216A0000}"/>
    <cellStyle name="40% - Accent3 2 2 2 9" xfId="1627" xr:uid="{00000000-0005-0000-0000-0000226A0000}"/>
    <cellStyle name="40% - Accent3 2 2 2 9 10" xfId="45630" xr:uid="{00000000-0005-0000-0000-0000236A0000}"/>
    <cellStyle name="40% - Accent3 2 2 2 9 11" xfId="51108" xr:uid="{00000000-0005-0000-0000-0000246A0000}"/>
    <cellStyle name="40% - Accent3 2 2 2 9 2" xfId="3388" xr:uid="{00000000-0005-0000-0000-0000256A0000}"/>
    <cellStyle name="40% - Accent3 2 2 2 9 2 2" xfId="8868" xr:uid="{00000000-0005-0000-0000-0000266A0000}"/>
    <cellStyle name="40% - Accent3 2 2 2 9 2 3" xfId="14344" xr:uid="{00000000-0005-0000-0000-0000276A0000}"/>
    <cellStyle name="40% - Accent3 2 2 2 9 2 4" xfId="19820" xr:uid="{00000000-0005-0000-0000-0000286A0000}"/>
    <cellStyle name="40% - Accent3 2 2 2 9 2 5" xfId="25296" xr:uid="{00000000-0005-0000-0000-0000296A0000}"/>
    <cellStyle name="40% - Accent3 2 2 2 9 2 6" xfId="37092" xr:uid="{00000000-0005-0000-0000-00002A6A0000}"/>
    <cellStyle name="40% - Accent3 2 2 2 9 2 7" xfId="42569" xr:uid="{00000000-0005-0000-0000-00002B6A0000}"/>
    <cellStyle name="40% - Accent3 2 2 2 9 2 8" xfId="48046" xr:uid="{00000000-0005-0000-0000-00002C6A0000}"/>
    <cellStyle name="40% - Accent3 2 2 2 9 2 9" xfId="53564" xr:uid="{00000000-0005-0000-0000-00002D6A0000}"/>
    <cellStyle name="40% - Accent3 2 2 2 9 3" xfId="5160" xr:uid="{00000000-0005-0000-0000-00002E6A0000}"/>
    <cellStyle name="40% - Accent3 2 2 2 9 3 2" xfId="10640" xr:uid="{00000000-0005-0000-0000-00002F6A0000}"/>
    <cellStyle name="40% - Accent3 2 2 2 9 3 3" xfId="16116" xr:uid="{00000000-0005-0000-0000-0000306A0000}"/>
    <cellStyle name="40% - Accent3 2 2 2 9 3 4" xfId="21592" xr:uid="{00000000-0005-0000-0000-0000316A0000}"/>
    <cellStyle name="40% - Accent3 2 2 2 9 3 5" xfId="27068" xr:uid="{00000000-0005-0000-0000-0000326A0000}"/>
    <cellStyle name="40% - Accent3 2 2 2 9 3 6" xfId="38864" xr:uid="{00000000-0005-0000-0000-0000336A0000}"/>
    <cellStyle name="40% - Accent3 2 2 2 9 3 7" xfId="44341" xr:uid="{00000000-0005-0000-0000-0000346A0000}"/>
    <cellStyle name="40% - Accent3 2 2 2 9 3 8" xfId="49818" xr:uid="{00000000-0005-0000-0000-0000356A0000}"/>
    <cellStyle name="40% - Accent3 2 2 2 9 3 9" xfId="55336" xr:uid="{00000000-0005-0000-0000-0000366A0000}"/>
    <cellStyle name="40% - Accent3 2 2 2 9 4" xfId="6449" xr:uid="{00000000-0005-0000-0000-0000376A0000}"/>
    <cellStyle name="40% - Accent3 2 2 2 9 5" xfId="11929" xr:uid="{00000000-0005-0000-0000-0000386A0000}"/>
    <cellStyle name="40% - Accent3 2 2 2 9 6" xfId="17405" xr:uid="{00000000-0005-0000-0000-0000396A0000}"/>
    <cellStyle name="40% - Accent3 2 2 2 9 7" xfId="22881" xr:uid="{00000000-0005-0000-0000-00003A6A0000}"/>
    <cellStyle name="40% - Accent3 2 2 2 9 8" xfId="34676" xr:uid="{00000000-0005-0000-0000-00003B6A0000}"/>
    <cellStyle name="40% - Accent3 2 2 2 9 9" xfId="40153" xr:uid="{00000000-0005-0000-0000-00003C6A0000}"/>
    <cellStyle name="40% - Accent3 2 2 20" xfId="40141" xr:uid="{00000000-0005-0000-0000-00003D6A0000}"/>
    <cellStyle name="40% - Accent3 2 2 21" xfId="45618" xr:uid="{00000000-0005-0000-0000-00003E6A0000}"/>
    <cellStyle name="40% - Accent3 2 2 22" xfId="51096" xr:uid="{00000000-0005-0000-0000-00003F6A0000}"/>
    <cellStyle name="40% - Accent3 2 2 3" xfId="359" xr:uid="{00000000-0005-0000-0000-0000406A0000}"/>
    <cellStyle name="40% - Accent3 2 2 3 10" xfId="40154" xr:uid="{00000000-0005-0000-0000-0000416A0000}"/>
    <cellStyle name="40% - Accent3 2 2 3 11" xfId="45631" xr:uid="{00000000-0005-0000-0000-0000426A0000}"/>
    <cellStyle name="40% - Accent3 2 2 3 12" xfId="51109" xr:uid="{00000000-0005-0000-0000-0000436A0000}"/>
    <cellStyle name="40% - Accent3 2 2 3 2" xfId="2153" xr:uid="{00000000-0005-0000-0000-0000446A0000}"/>
    <cellStyle name="40% - Accent3 2 2 3 2 2" xfId="7633" xr:uid="{00000000-0005-0000-0000-0000456A0000}"/>
    <cellStyle name="40% - Accent3 2 2 3 2 3" xfId="13109" xr:uid="{00000000-0005-0000-0000-0000466A0000}"/>
    <cellStyle name="40% - Accent3 2 2 3 2 4" xfId="18585" xr:uid="{00000000-0005-0000-0000-0000476A0000}"/>
    <cellStyle name="40% - Accent3 2 2 3 2 5" xfId="24061" xr:uid="{00000000-0005-0000-0000-0000486A0000}"/>
    <cellStyle name="40% - Accent3 2 2 3 2 6" xfId="35857" xr:uid="{00000000-0005-0000-0000-0000496A0000}"/>
    <cellStyle name="40% - Accent3 2 2 3 2 7" xfId="41334" xr:uid="{00000000-0005-0000-0000-00004A6A0000}"/>
    <cellStyle name="40% - Accent3 2 2 3 2 8" xfId="46811" xr:uid="{00000000-0005-0000-0000-00004B6A0000}"/>
    <cellStyle name="40% - Accent3 2 2 3 2 9" xfId="52329" xr:uid="{00000000-0005-0000-0000-00004C6A0000}"/>
    <cellStyle name="40% - Accent3 2 2 3 3" xfId="3921" xr:uid="{00000000-0005-0000-0000-00004D6A0000}"/>
    <cellStyle name="40% - Accent3 2 2 3 3 2" xfId="9401" xr:uid="{00000000-0005-0000-0000-00004E6A0000}"/>
    <cellStyle name="40% - Accent3 2 2 3 3 3" xfId="14877" xr:uid="{00000000-0005-0000-0000-00004F6A0000}"/>
    <cellStyle name="40% - Accent3 2 2 3 3 4" xfId="20353" xr:uid="{00000000-0005-0000-0000-0000506A0000}"/>
    <cellStyle name="40% - Accent3 2 2 3 3 5" xfId="25829" xr:uid="{00000000-0005-0000-0000-0000516A0000}"/>
    <cellStyle name="40% - Accent3 2 2 3 3 6" xfId="37625" xr:uid="{00000000-0005-0000-0000-0000526A0000}"/>
    <cellStyle name="40% - Accent3 2 2 3 3 7" xfId="43102" xr:uid="{00000000-0005-0000-0000-0000536A0000}"/>
    <cellStyle name="40% - Accent3 2 2 3 3 8" xfId="48579" xr:uid="{00000000-0005-0000-0000-0000546A0000}"/>
    <cellStyle name="40% - Accent3 2 2 3 3 9" xfId="54097" xr:uid="{00000000-0005-0000-0000-0000556A0000}"/>
    <cellStyle name="40% - Accent3 2 2 3 4" xfId="6450" xr:uid="{00000000-0005-0000-0000-0000566A0000}"/>
    <cellStyle name="40% - Accent3 2 2 3 5" xfId="11930" xr:uid="{00000000-0005-0000-0000-0000576A0000}"/>
    <cellStyle name="40% - Accent3 2 2 3 6" xfId="17406" xr:uid="{00000000-0005-0000-0000-0000586A0000}"/>
    <cellStyle name="40% - Accent3 2 2 3 7" xfId="22882" xr:uid="{00000000-0005-0000-0000-0000596A0000}"/>
    <cellStyle name="40% - Accent3 2 2 3 8" xfId="31248" xr:uid="{00000000-0005-0000-0000-00005A6A0000}"/>
    <cellStyle name="40% - Accent3 2 2 3 9" xfId="34677" xr:uid="{00000000-0005-0000-0000-00005B6A0000}"/>
    <cellStyle name="40% - Accent3 2 2 4" xfId="560" xr:uid="{00000000-0005-0000-0000-00005C6A0000}"/>
    <cellStyle name="40% - Accent3 2 2 4 10" xfId="45632" xr:uid="{00000000-0005-0000-0000-00005D6A0000}"/>
    <cellStyle name="40% - Accent3 2 2 4 11" xfId="51110" xr:uid="{00000000-0005-0000-0000-00005E6A0000}"/>
    <cellStyle name="40% - Accent3 2 2 4 2" xfId="2321" xr:uid="{00000000-0005-0000-0000-00005F6A0000}"/>
    <cellStyle name="40% - Accent3 2 2 4 2 2" xfId="7801" xr:uid="{00000000-0005-0000-0000-0000606A0000}"/>
    <cellStyle name="40% - Accent3 2 2 4 2 3" xfId="13277" xr:uid="{00000000-0005-0000-0000-0000616A0000}"/>
    <cellStyle name="40% - Accent3 2 2 4 2 4" xfId="18753" xr:uid="{00000000-0005-0000-0000-0000626A0000}"/>
    <cellStyle name="40% - Accent3 2 2 4 2 5" xfId="24229" xr:uid="{00000000-0005-0000-0000-0000636A0000}"/>
    <cellStyle name="40% - Accent3 2 2 4 2 6" xfId="36025" xr:uid="{00000000-0005-0000-0000-0000646A0000}"/>
    <cellStyle name="40% - Accent3 2 2 4 2 7" xfId="41502" xr:uid="{00000000-0005-0000-0000-0000656A0000}"/>
    <cellStyle name="40% - Accent3 2 2 4 2 8" xfId="46979" xr:uid="{00000000-0005-0000-0000-0000666A0000}"/>
    <cellStyle name="40% - Accent3 2 2 4 2 9" xfId="52497" xr:uid="{00000000-0005-0000-0000-0000676A0000}"/>
    <cellStyle name="40% - Accent3 2 2 4 3" xfId="4093" xr:uid="{00000000-0005-0000-0000-0000686A0000}"/>
    <cellStyle name="40% - Accent3 2 2 4 3 2" xfId="9573" xr:uid="{00000000-0005-0000-0000-0000696A0000}"/>
    <cellStyle name="40% - Accent3 2 2 4 3 3" xfId="15049" xr:uid="{00000000-0005-0000-0000-00006A6A0000}"/>
    <cellStyle name="40% - Accent3 2 2 4 3 4" xfId="20525" xr:uid="{00000000-0005-0000-0000-00006B6A0000}"/>
    <cellStyle name="40% - Accent3 2 2 4 3 5" xfId="26001" xr:uid="{00000000-0005-0000-0000-00006C6A0000}"/>
    <cellStyle name="40% - Accent3 2 2 4 3 6" xfId="37797" xr:uid="{00000000-0005-0000-0000-00006D6A0000}"/>
    <cellStyle name="40% - Accent3 2 2 4 3 7" xfId="43274" xr:uid="{00000000-0005-0000-0000-00006E6A0000}"/>
    <cellStyle name="40% - Accent3 2 2 4 3 8" xfId="48751" xr:uid="{00000000-0005-0000-0000-00006F6A0000}"/>
    <cellStyle name="40% - Accent3 2 2 4 3 9" xfId="54269" xr:uid="{00000000-0005-0000-0000-0000706A0000}"/>
    <cellStyle name="40% - Accent3 2 2 4 4" xfId="6451" xr:uid="{00000000-0005-0000-0000-0000716A0000}"/>
    <cellStyle name="40% - Accent3 2 2 4 5" xfId="11931" xr:uid="{00000000-0005-0000-0000-0000726A0000}"/>
    <cellStyle name="40% - Accent3 2 2 4 6" xfId="17407" xr:uid="{00000000-0005-0000-0000-0000736A0000}"/>
    <cellStyle name="40% - Accent3 2 2 4 7" xfId="22883" xr:uid="{00000000-0005-0000-0000-0000746A0000}"/>
    <cellStyle name="40% - Accent3 2 2 4 8" xfId="34678" xr:uid="{00000000-0005-0000-0000-0000756A0000}"/>
    <cellStyle name="40% - Accent3 2 2 4 9" xfId="40155" xr:uid="{00000000-0005-0000-0000-0000766A0000}"/>
    <cellStyle name="40% - Accent3 2 2 5" xfId="732" xr:uid="{00000000-0005-0000-0000-0000776A0000}"/>
    <cellStyle name="40% - Accent3 2 2 5 10" xfId="45633" xr:uid="{00000000-0005-0000-0000-0000786A0000}"/>
    <cellStyle name="40% - Accent3 2 2 5 11" xfId="51111" xr:uid="{00000000-0005-0000-0000-0000796A0000}"/>
    <cellStyle name="40% - Accent3 2 2 5 2" xfId="2493" xr:uid="{00000000-0005-0000-0000-00007A6A0000}"/>
    <cellStyle name="40% - Accent3 2 2 5 2 2" xfId="7973" xr:uid="{00000000-0005-0000-0000-00007B6A0000}"/>
    <cellStyle name="40% - Accent3 2 2 5 2 3" xfId="13449" xr:uid="{00000000-0005-0000-0000-00007C6A0000}"/>
    <cellStyle name="40% - Accent3 2 2 5 2 4" xfId="18925" xr:uid="{00000000-0005-0000-0000-00007D6A0000}"/>
    <cellStyle name="40% - Accent3 2 2 5 2 5" xfId="24401" xr:uid="{00000000-0005-0000-0000-00007E6A0000}"/>
    <cellStyle name="40% - Accent3 2 2 5 2 6" xfId="36197" xr:uid="{00000000-0005-0000-0000-00007F6A0000}"/>
    <cellStyle name="40% - Accent3 2 2 5 2 7" xfId="41674" xr:uid="{00000000-0005-0000-0000-0000806A0000}"/>
    <cellStyle name="40% - Accent3 2 2 5 2 8" xfId="47151" xr:uid="{00000000-0005-0000-0000-0000816A0000}"/>
    <cellStyle name="40% - Accent3 2 2 5 2 9" xfId="52669" xr:uid="{00000000-0005-0000-0000-0000826A0000}"/>
    <cellStyle name="40% - Accent3 2 2 5 3" xfId="4265" xr:uid="{00000000-0005-0000-0000-0000836A0000}"/>
    <cellStyle name="40% - Accent3 2 2 5 3 2" xfId="9745" xr:uid="{00000000-0005-0000-0000-0000846A0000}"/>
    <cellStyle name="40% - Accent3 2 2 5 3 3" xfId="15221" xr:uid="{00000000-0005-0000-0000-0000856A0000}"/>
    <cellStyle name="40% - Accent3 2 2 5 3 4" xfId="20697" xr:uid="{00000000-0005-0000-0000-0000866A0000}"/>
    <cellStyle name="40% - Accent3 2 2 5 3 5" xfId="26173" xr:uid="{00000000-0005-0000-0000-0000876A0000}"/>
    <cellStyle name="40% - Accent3 2 2 5 3 6" xfId="37969" xr:uid="{00000000-0005-0000-0000-0000886A0000}"/>
    <cellStyle name="40% - Accent3 2 2 5 3 7" xfId="43446" xr:uid="{00000000-0005-0000-0000-0000896A0000}"/>
    <cellStyle name="40% - Accent3 2 2 5 3 8" xfId="48923" xr:uid="{00000000-0005-0000-0000-00008A6A0000}"/>
    <cellStyle name="40% - Accent3 2 2 5 3 9" xfId="54441" xr:uid="{00000000-0005-0000-0000-00008B6A0000}"/>
    <cellStyle name="40% - Accent3 2 2 5 4" xfId="6452" xr:uid="{00000000-0005-0000-0000-00008C6A0000}"/>
    <cellStyle name="40% - Accent3 2 2 5 5" xfId="11932" xr:uid="{00000000-0005-0000-0000-00008D6A0000}"/>
    <cellStyle name="40% - Accent3 2 2 5 6" xfId="17408" xr:uid="{00000000-0005-0000-0000-00008E6A0000}"/>
    <cellStyle name="40% - Accent3 2 2 5 7" xfId="22884" xr:uid="{00000000-0005-0000-0000-00008F6A0000}"/>
    <cellStyle name="40% - Accent3 2 2 5 8" xfId="34679" xr:uid="{00000000-0005-0000-0000-0000906A0000}"/>
    <cellStyle name="40% - Accent3 2 2 5 9" xfId="40156" xr:uid="{00000000-0005-0000-0000-0000916A0000}"/>
    <cellStyle name="40% - Accent3 2 2 6" xfId="904" xr:uid="{00000000-0005-0000-0000-0000926A0000}"/>
    <cellStyle name="40% - Accent3 2 2 6 10" xfId="45634" xr:uid="{00000000-0005-0000-0000-0000936A0000}"/>
    <cellStyle name="40% - Accent3 2 2 6 11" xfId="51112" xr:uid="{00000000-0005-0000-0000-0000946A0000}"/>
    <cellStyle name="40% - Accent3 2 2 6 2" xfId="2665" xr:uid="{00000000-0005-0000-0000-0000956A0000}"/>
    <cellStyle name="40% - Accent3 2 2 6 2 2" xfId="8145" xr:uid="{00000000-0005-0000-0000-0000966A0000}"/>
    <cellStyle name="40% - Accent3 2 2 6 2 3" xfId="13621" xr:uid="{00000000-0005-0000-0000-0000976A0000}"/>
    <cellStyle name="40% - Accent3 2 2 6 2 4" xfId="19097" xr:uid="{00000000-0005-0000-0000-0000986A0000}"/>
    <cellStyle name="40% - Accent3 2 2 6 2 5" xfId="24573" xr:uid="{00000000-0005-0000-0000-0000996A0000}"/>
    <cellStyle name="40% - Accent3 2 2 6 2 6" xfId="36369" xr:uid="{00000000-0005-0000-0000-00009A6A0000}"/>
    <cellStyle name="40% - Accent3 2 2 6 2 7" xfId="41846" xr:uid="{00000000-0005-0000-0000-00009B6A0000}"/>
    <cellStyle name="40% - Accent3 2 2 6 2 8" xfId="47323" xr:uid="{00000000-0005-0000-0000-00009C6A0000}"/>
    <cellStyle name="40% - Accent3 2 2 6 2 9" xfId="52841" xr:uid="{00000000-0005-0000-0000-00009D6A0000}"/>
    <cellStyle name="40% - Accent3 2 2 6 3" xfId="4437" xr:uid="{00000000-0005-0000-0000-00009E6A0000}"/>
    <cellStyle name="40% - Accent3 2 2 6 3 2" xfId="9917" xr:uid="{00000000-0005-0000-0000-00009F6A0000}"/>
    <cellStyle name="40% - Accent3 2 2 6 3 3" xfId="15393" xr:uid="{00000000-0005-0000-0000-0000A06A0000}"/>
    <cellStyle name="40% - Accent3 2 2 6 3 4" xfId="20869" xr:uid="{00000000-0005-0000-0000-0000A16A0000}"/>
    <cellStyle name="40% - Accent3 2 2 6 3 5" xfId="26345" xr:uid="{00000000-0005-0000-0000-0000A26A0000}"/>
    <cellStyle name="40% - Accent3 2 2 6 3 6" xfId="38141" xr:uid="{00000000-0005-0000-0000-0000A36A0000}"/>
    <cellStyle name="40% - Accent3 2 2 6 3 7" xfId="43618" xr:uid="{00000000-0005-0000-0000-0000A46A0000}"/>
    <cellStyle name="40% - Accent3 2 2 6 3 8" xfId="49095" xr:uid="{00000000-0005-0000-0000-0000A56A0000}"/>
    <cellStyle name="40% - Accent3 2 2 6 3 9" xfId="54613" xr:uid="{00000000-0005-0000-0000-0000A66A0000}"/>
    <cellStyle name="40% - Accent3 2 2 6 4" xfId="6453" xr:uid="{00000000-0005-0000-0000-0000A76A0000}"/>
    <cellStyle name="40% - Accent3 2 2 6 5" xfId="11933" xr:uid="{00000000-0005-0000-0000-0000A86A0000}"/>
    <cellStyle name="40% - Accent3 2 2 6 6" xfId="17409" xr:uid="{00000000-0005-0000-0000-0000A96A0000}"/>
    <cellStyle name="40% - Accent3 2 2 6 7" xfId="22885" xr:uid="{00000000-0005-0000-0000-0000AA6A0000}"/>
    <cellStyle name="40% - Accent3 2 2 6 8" xfId="34680" xr:uid="{00000000-0005-0000-0000-0000AB6A0000}"/>
    <cellStyle name="40% - Accent3 2 2 6 9" xfId="40157" xr:uid="{00000000-0005-0000-0000-0000AC6A0000}"/>
    <cellStyle name="40% - Accent3 2 2 7" xfId="1110" xr:uid="{00000000-0005-0000-0000-0000AD6A0000}"/>
    <cellStyle name="40% - Accent3 2 2 7 10" xfId="45635" xr:uid="{00000000-0005-0000-0000-0000AE6A0000}"/>
    <cellStyle name="40% - Accent3 2 2 7 11" xfId="51113" xr:uid="{00000000-0005-0000-0000-0000AF6A0000}"/>
    <cellStyle name="40% - Accent3 2 2 7 2" xfId="2871" xr:uid="{00000000-0005-0000-0000-0000B06A0000}"/>
    <cellStyle name="40% - Accent3 2 2 7 2 2" xfId="8351" xr:uid="{00000000-0005-0000-0000-0000B16A0000}"/>
    <cellStyle name="40% - Accent3 2 2 7 2 3" xfId="13827" xr:uid="{00000000-0005-0000-0000-0000B26A0000}"/>
    <cellStyle name="40% - Accent3 2 2 7 2 4" xfId="19303" xr:uid="{00000000-0005-0000-0000-0000B36A0000}"/>
    <cellStyle name="40% - Accent3 2 2 7 2 5" xfId="24779" xr:uid="{00000000-0005-0000-0000-0000B46A0000}"/>
    <cellStyle name="40% - Accent3 2 2 7 2 6" xfId="36575" xr:uid="{00000000-0005-0000-0000-0000B56A0000}"/>
    <cellStyle name="40% - Accent3 2 2 7 2 7" xfId="42052" xr:uid="{00000000-0005-0000-0000-0000B66A0000}"/>
    <cellStyle name="40% - Accent3 2 2 7 2 8" xfId="47529" xr:uid="{00000000-0005-0000-0000-0000B76A0000}"/>
    <cellStyle name="40% - Accent3 2 2 7 2 9" xfId="53047" xr:uid="{00000000-0005-0000-0000-0000B86A0000}"/>
    <cellStyle name="40% - Accent3 2 2 7 3" xfId="4643" xr:uid="{00000000-0005-0000-0000-0000B96A0000}"/>
    <cellStyle name="40% - Accent3 2 2 7 3 2" xfId="10123" xr:uid="{00000000-0005-0000-0000-0000BA6A0000}"/>
    <cellStyle name="40% - Accent3 2 2 7 3 3" xfId="15599" xr:uid="{00000000-0005-0000-0000-0000BB6A0000}"/>
    <cellStyle name="40% - Accent3 2 2 7 3 4" xfId="21075" xr:uid="{00000000-0005-0000-0000-0000BC6A0000}"/>
    <cellStyle name="40% - Accent3 2 2 7 3 5" xfId="26551" xr:uid="{00000000-0005-0000-0000-0000BD6A0000}"/>
    <cellStyle name="40% - Accent3 2 2 7 3 6" xfId="38347" xr:uid="{00000000-0005-0000-0000-0000BE6A0000}"/>
    <cellStyle name="40% - Accent3 2 2 7 3 7" xfId="43824" xr:uid="{00000000-0005-0000-0000-0000BF6A0000}"/>
    <cellStyle name="40% - Accent3 2 2 7 3 8" xfId="49301" xr:uid="{00000000-0005-0000-0000-0000C06A0000}"/>
    <cellStyle name="40% - Accent3 2 2 7 3 9" xfId="54819" xr:uid="{00000000-0005-0000-0000-0000C16A0000}"/>
    <cellStyle name="40% - Accent3 2 2 7 4" xfId="6454" xr:uid="{00000000-0005-0000-0000-0000C26A0000}"/>
    <cellStyle name="40% - Accent3 2 2 7 5" xfId="11934" xr:uid="{00000000-0005-0000-0000-0000C36A0000}"/>
    <cellStyle name="40% - Accent3 2 2 7 6" xfId="17410" xr:uid="{00000000-0005-0000-0000-0000C46A0000}"/>
    <cellStyle name="40% - Accent3 2 2 7 7" xfId="22886" xr:uid="{00000000-0005-0000-0000-0000C56A0000}"/>
    <cellStyle name="40% - Accent3 2 2 7 8" xfId="34681" xr:uid="{00000000-0005-0000-0000-0000C66A0000}"/>
    <cellStyle name="40% - Accent3 2 2 7 9" xfId="40158" xr:uid="{00000000-0005-0000-0000-0000C76A0000}"/>
    <cellStyle name="40% - Accent3 2 2 8" xfId="1282" xr:uid="{00000000-0005-0000-0000-0000C86A0000}"/>
    <cellStyle name="40% - Accent3 2 2 8 10" xfId="45636" xr:uid="{00000000-0005-0000-0000-0000C96A0000}"/>
    <cellStyle name="40% - Accent3 2 2 8 11" xfId="51114" xr:uid="{00000000-0005-0000-0000-0000CA6A0000}"/>
    <cellStyle name="40% - Accent3 2 2 8 2" xfId="3043" xr:uid="{00000000-0005-0000-0000-0000CB6A0000}"/>
    <cellStyle name="40% - Accent3 2 2 8 2 2" xfId="8523" xr:uid="{00000000-0005-0000-0000-0000CC6A0000}"/>
    <cellStyle name="40% - Accent3 2 2 8 2 3" xfId="13999" xr:uid="{00000000-0005-0000-0000-0000CD6A0000}"/>
    <cellStyle name="40% - Accent3 2 2 8 2 4" xfId="19475" xr:uid="{00000000-0005-0000-0000-0000CE6A0000}"/>
    <cellStyle name="40% - Accent3 2 2 8 2 5" xfId="24951" xr:uid="{00000000-0005-0000-0000-0000CF6A0000}"/>
    <cellStyle name="40% - Accent3 2 2 8 2 6" xfId="36747" xr:uid="{00000000-0005-0000-0000-0000D06A0000}"/>
    <cellStyle name="40% - Accent3 2 2 8 2 7" xfId="42224" xr:uid="{00000000-0005-0000-0000-0000D16A0000}"/>
    <cellStyle name="40% - Accent3 2 2 8 2 8" xfId="47701" xr:uid="{00000000-0005-0000-0000-0000D26A0000}"/>
    <cellStyle name="40% - Accent3 2 2 8 2 9" xfId="53219" xr:uid="{00000000-0005-0000-0000-0000D36A0000}"/>
    <cellStyle name="40% - Accent3 2 2 8 3" xfId="4815" xr:uid="{00000000-0005-0000-0000-0000D46A0000}"/>
    <cellStyle name="40% - Accent3 2 2 8 3 2" xfId="10295" xr:uid="{00000000-0005-0000-0000-0000D56A0000}"/>
    <cellStyle name="40% - Accent3 2 2 8 3 3" xfId="15771" xr:uid="{00000000-0005-0000-0000-0000D66A0000}"/>
    <cellStyle name="40% - Accent3 2 2 8 3 4" xfId="21247" xr:uid="{00000000-0005-0000-0000-0000D76A0000}"/>
    <cellStyle name="40% - Accent3 2 2 8 3 5" xfId="26723" xr:uid="{00000000-0005-0000-0000-0000D86A0000}"/>
    <cellStyle name="40% - Accent3 2 2 8 3 6" xfId="38519" xr:uid="{00000000-0005-0000-0000-0000D96A0000}"/>
    <cellStyle name="40% - Accent3 2 2 8 3 7" xfId="43996" xr:uid="{00000000-0005-0000-0000-0000DA6A0000}"/>
    <cellStyle name="40% - Accent3 2 2 8 3 8" xfId="49473" xr:uid="{00000000-0005-0000-0000-0000DB6A0000}"/>
    <cellStyle name="40% - Accent3 2 2 8 3 9" xfId="54991" xr:uid="{00000000-0005-0000-0000-0000DC6A0000}"/>
    <cellStyle name="40% - Accent3 2 2 8 4" xfId="6455" xr:uid="{00000000-0005-0000-0000-0000DD6A0000}"/>
    <cellStyle name="40% - Accent3 2 2 8 5" xfId="11935" xr:uid="{00000000-0005-0000-0000-0000DE6A0000}"/>
    <cellStyle name="40% - Accent3 2 2 8 6" xfId="17411" xr:uid="{00000000-0005-0000-0000-0000DF6A0000}"/>
    <cellStyle name="40% - Accent3 2 2 8 7" xfId="22887" xr:uid="{00000000-0005-0000-0000-0000E06A0000}"/>
    <cellStyle name="40% - Accent3 2 2 8 8" xfId="34682" xr:uid="{00000000-0005-0000-0000-0000E16A0000}"/>
    <cellStyle name="40% - Accent3 2 2 8 9" xfId="40159" xr:uid="{00000000-0005-0000-0000-0000E26A0000}"/>
    <cellStyle name="40% - Accent3 2 2 9" xfId="1454" xr:uid="{00000000-0005-0000-0000-0000E36A0000}"/>
    <cellStyle name="40% - Accent3 2 2 9 10" xfId="45637" xr:uid="{00000000-0005-0000-0000-0000E46A0000}"/>
    <cellStyle name="40% - Accent3 2 2 9 11" xfId="51115" xr:uid="{00000000-0005-0000-0000-0000E56A0000}"/>
    <cellStyle name="40% - Accent3 2 2 9 2" xfId="3215" xr:uid="{00000000-0005-0000-0000-0000E66A0000}"/>
    <cellStyle name="40% - Accent3 2 2 9 2 2" xfId="8695" xr:uid="{00000000-0005-0000-0000-0000E76A0000}"/>
    <cellStyle name="40% - Accent3 2 2 9 2 3" xfId="14171" xr:uid="{00000000-0005-0000-0000-0000E86A0000}"/>
    <cellStyle name="40% - Accent3 2 2 9 2 4" xfId="19647" xr:uid="{00000000-0005-0000-0000-0000E96A0000}"/>
    <cellStyle name="40% - Accent3 2 2 9 2 5" xfId="25123" xr:uid="{00000000-0005-0000-0000-0000EA6A0000}"/>
    <cellStyle name="40% - Accent3 2 2 9 2 6" xfId="36919" xr:uid="{00000000-0005-0000-0000-0000EB6A0000}"/>
    <cellStyle name="40% - Accent3 2 2 9 2 7" xfId="42396" xr:uid="{00000000-0005-0000-0000-0000EC6A0000}"/>
    <cellStyle name="40% - Accent3 2 2 9 2 8" xfId="47873" xr:uid="{00000000-0005-0000-0000-0000ED6A0000}"/>
    <cellStyle name="40% - Accent3 2 2 9 2 9" xfId="53391" xr:uid="{00000000-0005-0000-0000-0000EE6A0000}"/>
    <cellStyle name="40% - Accent3 2 2 9 3" xfId="4987" xr:uid="{00000000-0005-0000-0000-0000EF6A0000}"/>
    <cellStyle name="40% - Accent3 2 2 9 3 2" xfId="10467" xr:uid="{00000000-0005-0000-0000-0000F06A0000}"/>
    <cellStyle name="40% - Accent3 2 2 9 3 3" xfId="15943" xr:uid="{00000000-0005-0000-0000-0000F16A0000}"/>
    <cellStyle name="40% - Accent3 2 2 9 3 4" xfId="21419" xr:uid="{00000000-0005-0000-0000-0000F26A0000}"/>
    <cellStyle name="40% - Accent3 2 2 9 3 5" xfId="26895" xr:uid="{00000000-0005-0000-0000-0000F36A0000}"/>
    <cellStyle name="40% - Accent3 2 2 9 3 6" xfId="38691" xr:uid="{00000000-0005-0000-0000-0000F46A0000}"/>
    <cellStyle name="40% - Accent3 2 2 9 3 7" xfId="44168" xr:uid="{00000000-0005-0000-0000-0000F56A0000}"/>
    <cellStyle name="40% - Accent3 2 2 9 3 8" xfId="49645" xr:uid="{00000000-0005-0000-0000-0000F66A0000}"/>
    <cellStyle name="40% - Accent3 2 2 9 3 9" xfId="55163" xr:uid="{00000000-0005-0000-0000-0000F76A0000}"/>
    <cellStyle name="40% - Accent3 2 2 9 4" xfId="6456" xr:uid="{00000000-0005-0000-0000-0000F86A0000}"/>
    <cellStyle name="40% - Accent3 2 2 9 5" xfId="11936" xr:uid="{00000000-0005-0000-0000-0000F96A0000}"/>
    <cellStyle name="40% - Accent3 2 2 9 6" xfId="17412" xr:uid="{00000000-0005-0000-0000-0000FA6A0000}"/>
    <cellStyle name="40% - Accent3 2 2 9 7" xfId="22888" xr:uid="{00000000-0005-0000-0000-0000FB6A0000}"/>
    <cellStyle name="40% - Accent3 2 2 9 8" xfId="34683" xr:uid="{00000000-0005-0000-0000-0000FC6A0000}"/>
    <cellStyle name="40% - Accent3 2 2 9 9" xfId="40160" xr:uid="{00000000-0005-0000-0000-0000FD6A0000}"/>
    <cellStyle name="40% - Accent3 2 20" xfId="6428" xr:uid="{00000000-0005-0000-0000-0000FE6A0000}"/>
    <cellStyle name="40% - Accent3 2 21" xfId="11908" xr:uid="{00000000-0005-0000-0000-0000FF6A0000}"/>
    <cellStyle name="40% - Accent3 2 22" xfId="17384" xr:uid="{00000000-0005-0000-0000-0000006B0000}"/>
    <cellStyle name="40% - Accent3 2 23" xfId="22860" xr:uid="{00000000-0005-0000-0000-0000016B0000}"/>
    <cellStyle name="40% - Accent3 2 24" xfId="31244" xr:uid="{00000000-0005-0000-0000-0000026B0000}"/>
    <cellStyle name="40% - Accent3 2 25" xfId="34655" xr:uid="{00000000-0005-0000-0000-0000036B0000}"/>
    <cellStyle name="40% - Accent3 2 26" xfId="40132" xr:uid="{00000000-0005-0000-0000-0000046B0000}"/>
    <cellStyle name="40% - Accent3 2 27" xfId="45609" xr:uid="{00000000-0005-0000-0000-0000056B0000}"/>
    <cellStyle name="40% - Accent3 2 28" xfId="51087" xr:uid="{00000000-0005-0000-0000-0000066B0000}"/>
    <cellStyle name="40% - Accent3 2 3" xfId="155" xr:uid="{00000000-0005-0000-0000-0000076B0000}"/>
    <cellStyle name="40% - Accent3 2 3 10" xfId="1628" xr:uid="{00000000-0005-0000-0000-0000086B0000}"/>
    <cellStyle name="40% - Accent3 2 3 10 10" xfId="45639" xr:uid="{00000000-0005-0000-0000-0000096B0000}"/>
    <cellStyle name="40% - Accent3 2 3 10 11" xfId="51117" xr:uid="{00000000-0005-0000-0000-00000A6B0000}"/>
    <cellStyle name="40% - Accent3 2 3 10 2" xfId="3389" xr:uid="{00000000-0005-0000-0000-00000B6B0000}"/>
    <cellStyle name="40% - Accent3 2 3 10 2 2" xfId="8869" xr:uid="{00000000-0005-0000-0000-00000C6B0000}"/>
    <cellStyle name="40% - Accent3 2 3 10 2 3" xfId="14345" xr:uid="{00000000-0005-0000-0000-00000D6B0000}"/>
    <cellStyle name="40% - Accent3 2 3 10 2 4" xfId="19821" xr:uid="{00000000-0005-0000-0000-00000E6B0000}"/>
    <cellStyle name="40% - Accent3 2 3 10 2 5" xfId="25297" xr:uid="{00000000-0005-0000-0000-00000F6B0000}"/>
    <cellStyle name="40% - Accent3 2 3 10 2 6" xfId="37093" xr:uid="{00000000-0005-0000-0000-0000106B0000}"/>
    <cellStyle name="40% - Accent3 2 3 10 2 7" xfId="42570" xr:uid="{00000000-0005-0000-0000-0000116B0000}"/>
    <cellStyle name="40% - Accent3 2 3 10 2 8" xfId="48047" xr:uid="{00000000-0005-0000-0000-0000126B0000}"/>
    <cellStyle name="40% - Accent3 2 3 10 2 9" xfId="53565" xr:uid="{00000000-0005-0000-0000-0000136B0000}"/>
    <cellStyle name="40% - Accent3 2 3 10 3" xfId="5161" xr:uid="{00000000-0005-0000-0000-0000146B0000}"/>
    <cellStyle name="40% - Accent3 2 3 10 3 2" xfId="10641" xr:uid="{00000000-0005-0000-0000-0000156B0000}"/>
    <cellStyle name="40% - Accent3 2 3 10 3 3" xfId="16117" xr:uid="{00000000-0005-0000-0000-0000166B0000}"/>
    <cellStyle name="40% - Accent3 2 3 10 3 4" xfId="21593" xr:uid="{00000000-0005-0000-0000-0000176B0000}"/>
    <cellStyle name="40% - Accent3 2 3 10 3 5" xfId="27069" xr:uid="{00000000-0005-0000-0000-0000186B0000}"/>
    <cellStyle name="40% - Accent3 2 3 10 3 6" xfId="38865" xr:uid="{00000000-0005-0000-0000-0000196B0000}"/>
    <cellStyle name="40% - Accent3 2 3 10 3 7" xfId="44342" xr:uid="{00000000-0005-0000-0000-00001A6B0000}"/>
    <cellStyle name="40% - Accent3 2 3 10 3 8" xfId="49819" xr:uid="{00000000-0005-0000-0000-00001B6B0000}"/>
    <cellStyle name="40% - Accent3 2 3 10 3 9" xfId="55337" xr:uid="{00000000-0005-0000-0000-00001C6B0000}"/>
    <cellStyle name="40% - Accent3 2 3 10 4" xfId="6458" xr:uid="{00000000-0005-0000-0000-00001D6B0000}"/>
    <cellStyle name="40% - Accent3 2 3 10 5" xfId="11938" xr:uid="{00000000-0005-0000-0000-00001E6B0000}"/>
    <cellStyle name="40% - Accent3 2 3 10 6" xfId="17414" xr:uid="{00000000-0005-0000-0000-00001F6B0000}"/>
    <cellStyle name="40% - Accent3 2 3 10 7" xfId="22890" xr:uid="{00000000-0005-0000-0000-0000206B0000}"/>
    <cellStyle name="40% - Accent3 2 3 10 8" xfId="34685" xr:uid="{00000000-0005-0000-0000-0000216B0000}"/>
    <cellStyle name="40% - Accent3 2 3 10 9" xfId="40162" xr:uid="{00000000-0005-0000-0000-0000226B0000}"/>
    <cellStyle name="40% - Accent3 2 3 11" xfId="1825" xr:uid="{00000000-0005-0000-0000-0000236B0000}"/>
    <cellStyle name="40% - Accent3 2 3 11 10" xfId="45640" xr:uid="{00000000-0005-0000-0000-0000246B0000}"/>
    <cellStyle name="40% - Accent3 2 3 11 11" xfId="51118" xr:uid="{00000000-0005-0000-0000-0000256B0000}"/>
    <cellStyle name="40% - Accent3 2 3 11 2" xfId="3586" xr:uid="{00000000-0005-0000-0000-0000266B0000}"/>
    <cellStyle name="40% - Accent3 2 3 11 2 2" xfId="9066" xr:uid="{00000000-0005-0000-0000-0000276B0000}"/>
    <cellStyle name="40% - Accent3 2 3 11 2 3" xfId="14542" xr:uid="{00000000-0005-0000-0000-0000286B0000}"/>
    <cellStyle name="40% - Accent3 2 3 11 2 4" xfId="20018" xr:uid="{00000000-0005-0000-0000-0000296B0000}"/>
    <cellStyle name="40% - Accent3 2 3 11 2 5" xfId="25494" xr:uid="{00000000-0005-0000-0000-00002A6B0000}"/>
    <cellStyle name="40% - Accent3 2 3 11 2 6" xfId="37290" xr:uid="{00000000-0005-0000-0000-00002B6B0000}"/>
    <cellStyle name="40% - Accent3 2 3 11 2 7" xfId="42767" xr:uid="{00000000-0005-0000-0000-00002C6B0000}"/>
    <cellStyle name="40% - Accent3 2 3 11 2 8" xfId="48244" xr:uid="{00000000-0005-0000-0000-00002D6B0000}"/>
    <cellStyle name="40% - Accent3 2 3 11 2 9" xfId="53762" xr:uid="{00000000-0005-0000-0000-00002E6B0000}"/>
    <cellStyle name="40% - Accent3 2 3 11 3" xfId="5358" xr:uid="{00000000-0005-0000-0000-00002F6B0000}"/>
    <cellStyle name="40% - Accent3 2 3 11 3 2" xfId="10838" xr:uid="{00000000-0005-0000-0000-0000306B0000}"/>
    <cellStyle name="40% - Accent3 2 3 11 3 3" xfId="16314" xr:uid="{00000000-0005-0000-0000-0000316B0000}"/>
    <cellStyle name="40% - Accent3 2 3 11 3 4" xfId="21790" xr:uid="{00000000-0005-0000-0000-0000326B0000}"/>
    <cellStyle name="40% - Accent3 2 3 11 3 5" xfId="27266" xr:uid="{00000000-0005-0000-0000-0000336B0000}"/>
    <cellStyle name="40% - Accent3 2 3 11 3 6" xfId="39062" xr:uid="{00000000-0005-0000-0000-0000346B0000}"/>
    <cellStyle name="40% - Accent3 2 3 11 3 7" xfId="44539" xr:uid="{00000000-0005-0000-0000-0000356B0000}"/>
    <cellStyle name="40% - Accent3 2 3 11 3 8" xfId="50016" xr:uid="{00000000-0005-0000-0000-0000366B0000}"/>
    <cellStyle name="40% - Accent3 2 3 11 3 9" xfId="55534" xr:uid="{00000000-0005-0000-0000-0000376B0000}"/>
    <cellStyle name="40% - Accent3 2 3 11 4" xfId="6459" xr:uid="{00000000-0005-0000-0000-0000386B0000}"/>
    <cellStyle name="40% - Accent3 2 3 11 5" xfId="11939" xr:uid="{00000000-0005-0000-0000-0000396B0000}"/>
    <cellStyle name="40% - Accent3 2 3 11 6" xfId="17415" xr:uid="{00000000-0005-0000-0000-00003A6B0000}"/>
    <cellStyle name="40% - Accent3 2 3 11 7" xfId="22891" xr:uid="{00000000-0005-0000-0000-00003B6B0000}"/>
    <cellStyle name="40% - Accent3 2 3 11 8" xfId="34686" xr:uid="{00000000-0005-0000-0000-00003C6B0000}"/>
    <cellStyle name="40% - Accent3 2 3 11 9" xfId="40163" xr:uid="{00000000-0005-0000-0000-00003D6B0000}"/>
    <cellStyle name="40% - Accent3 2 3 12" xfId="1990" xr:uid="{00000000-0005-0000-0000-00003E6B0000}"/>
    <cellStyle name="40% - Accent3 2 3 12 10" xfId="52167" xr:uid="{00000000-0005-0000-0000-00003F6B0000}"/>
    <cellStyle name="40% - Accent3 2 3 12 2" xfId="5522" xr:uid="{00000000-0005-0000-0000-0000406B0000}"/>
    <cellStyle name="40% - Accent3 2 3 12 2 2" xfId="11002" xr:uid="{00000000-0005-0000-0000-0000416B0000}"/>
    <cellStyle name="40% - Accent3 2 3 12 2 3" xfId="16478" xr:uid="{00000000-0005-0000-0000-0000426B0000}"/>
    <cellStyle name="40% - Accent3 2 3 12 2 4" xfId="21954" xr:uid="{00000000-0005-0000-0000-0000436B0000}"/>
    <cellStyle name="40% - Accent3 2 3 12 2 5" xfId="27430" xr:uid="{00000000-0005-0000-0000-0000446B0000}"/>
    <cellStyle name="40% - Accent3 2 3 12 2 6" xfId="39226" xr:uid="{00000000-0005-0000-0000-0000456B0000}"/>
    <cellStyle name="40% - Accent3 2 3 12 2 7" xfId="44703" xr:uid="{00000000-0005-0000-0000-0000466B0000}"/>
    <cellStyle name="40% - Accent3 2 3 12 2 8" xfId="50180" xr:uid="{00000000-0005-0000-0000-0000476B0000}"/>
    <cellStyle name="40% - Accent3 2 3 12 2 9" xfId="55698" xr:uid="{00000000-0005-0000-0000-0000486B0000}"/>
    <cellStyle name="40% - Accent3 2 3 12 3" xfId="7471" xr:uid="{00000000-0005-0000-0000-0000496B0000}"/>
    <cellStyle name="40% - Accent3 2 3 12 4" xfId="12947" xr:uid="{00000000-0005-0000-0000-00004A6B0000}"/>
    <cellStyle name="40% - Accent3 2 3 12 5" xfId="18423" xr:uid="{00000000-0005-0000-0000-00004B6B0000}"/>
    <cellStyle name="40% - Accent3 2 3 12 6" xfId="23899" xr:uid="{00000000-0005-0000-0000-00004C6B0000}"/>
    <cellStyle name="40% - Accent3 2 3 12 7" xfId="35695" xr:uid="{00000000-0005-0000-0000-00004D6B0000}"/>
    <cellStyle name="40% - Accent3 2 3 12 8" xfId="41172" xr:uid="{00000000-0005-0000-0000-00004E6B0000}"/>
    <cellStyle name="40% - Accent3 2 3 12 9" xfId="46649" xr:uid="{00000000-0005-0000-0000-00004F6B0000}"/>
    <cellStyle name="40% - Accent3 2 3 13" xfId="3727" xr:uid="{00000000-0005-0000-0000-0000506B0000}"/>
    <cellStyle name="40% - Accent3 2 3 13 2" xfId="9207" xr:uid="{00000000-0005-0000-0000-0000516B0000}"/>
    <cellStyle name="40% - Accent3 2 3 13 3" xfId="14683" xr:uid="{00000000-0005-0000-0000-0000526B0000}"/>
    <cellStyle name="40% - Accent3 2 3 13 4" xfId="20159" xr:uid="{00000000-0005-0000-0000-0000536B0000}"/>
    <cellStyle name="40% - Accent3 2 3 13 5" xfId="25635" xr:uid="{00000000-0005-0000-0000-0000546B0000}"/>
    <cellStyle name="40% - Accent3 2 3 13 6" xfId="37431" xr:uid="{00000000-0005-0000-0000-0000556B0000}"/>
    <cellStyle name="40% - Accent3 2 3 13 7" xfId="42908" xr:uid="{00000000-0005-0000-0000-0000566B0000}"/>
    <cellStyle name="40% - Accent3 2 3 13 8" xfId="48385" xr:uid="{00000000-0005-0000-0000-0000576B0000}"/>
    <cellStyle name="40% - Accent3 2 3 13 9" xfId="53903" xr:uid="{00000000-0005-0000-0000-0000586B0000}"/>
    <cellStyle name="40% - Accent3 2 3 14" xfId="6457" xr:uid="{00000000-0005-0000-0000-0000596B0000}"/>
    <cellStyle name="40% - Accent3 2 3 15" xfId="11937" xr:uid="{00000000-0005-0000-0000-00005A6B0000}"/>
    <cellStyle name="40% - Accent3 2 3 16" xfId="17413" xr:uid="{00000000-0005-0000-0000-00005B6B0000}"/>
    <cellStyle name="40% - Accent3 2 3 17" xfId="22889" xr:uid="{00000000-0005-0000-0000-00005C6B0000}"/>
    <cellStyle name="40% - Accent3 2 3 18" xfId="31249" xr:uid="{00000000-0005-0000-0000-00005D6B0000}"/>
    <cellStyle name="40% - Accent3 2 3 19" xfId="34684" xr:uid="{00000000-0005-0000-0000-00005E6B0000}"/>
    <cellStyle name="40% - Accent3 2 3 2" xfId="247" xr:uid="{00000000-0005-0000-0000-00005F6B0000}"/>
    <cellStyle name="40% - Accent3 2 3 2 10" xfId="1826" xr:uid="{00000000-0005-0000-0000-0000606B0000}"/>
    <cellStyle name="40% - Accent3 2 3 2 10 10" xfId="45642" xr:uid="{00000000-0005-0000-0000-0000616B0000}"/>
    <cellStyle name="40% - Accent3 2 3 2 10 11" xfId="51120" xr:uid="{00000000-0005-0000-0000-0000626B0000}"/>
    <cellStyle name="40% - Accent3 2 3 2 10 2" xfId="3587" xr:uid="{00000000-0005-0000-0000-0000636B0000}"/>
    <cellStyle name="40% - Accent3 2 3 2 10 2 2" xfId="9067" xr:uid="{00000000-0005-0000-0000-0000646B0000}"/>
    <cellStyle name="40% - Accent3 2 3 2 10 2 3" xfId="14543" xr:uid="{00000000-0005-0000-0000-0000656B0000}"/>
    <cellStyle name="40% - Accent3 2 3 2 10 2 4" xfId="20019" xr:uid="{00000000-0005-0000-0000-0000666B0000}"/>
    <cellStyle name="40% - Accent3 2 3 2 10 2 5" xfId="25495" xr:uid="{00000000-0005-0000-0000-0000676B0000}"/>
    <cellStyle name="40% - Accent3 2 3 2 10 2 6" xfId="37291" xr:uid="{00000000-0005-0000-0000-0000686B0000}"/>
    <cellStyle name="40% - Accent3 2 3 2 10 2 7" xfId="42768" xr:uid="{00000000-0005-0000-0000-0000696B0000}"/>
    <cellStyle name="40% - Accent3 2 3 2 10 2 8" xfId="48245" xr:uid="{00000000-0005-0000-0000-00006A6B0000}"/>
    <cellStyle name="40% - Accent3 2 3 2 10 2 9" xfId="53763" xr:uid="{00000000-0005-0000-0000-00006B6B0000}"/>
    <cellStyle name="40% - Accent3 2 3 2 10 3" xfId="5359" xr:uid="{00000000-0005-0000-0000-00006C6B0000}"/>
    <cellStyle name="40% - Accent3 2 3 2 10 3 2" xfId="10839" xr:uid="{00000000-0005-0000-0000-00006D6B0000}"/>
    <cellStyle name="40% - Accent3 2 3 2 10 3 3" xfId="16315" xr:uid="{00000000-0005-0000-0000-00006E6B0000}"/>
    <cellStyle name="40% - Accent3 2 3 2 10 3 4" xfId="21791" xr:uid="{00000000-0005-0000-0000-00006F6B0000}"/>
    <cellStyle name="40% - Accent3 2 3 2 10 3 5" xfId="27267" xr:uid="{00000000-0005-0000-0000-0000706B0000}"/>
    <cellStyle name="40% - Accent3 2 3 2 10 3 6" xfId="39063" xr:uid="{00000000-0005-0000-0000-0000716B0000}"/>
    <cellStyle name="40% - Accent3 2 3 2 10 3 7" xfId="44540" xr:uid="{00000000-0005-0000-0000-0000726B0000}"/>
    <cellStyle name="40% - Accent3 2 3 2 10 3 8" xfId="50017" xr:uid="{00000000-0005-0000-0000-0000736B0000}"/>
    <cellStyle name="40% - Accent3 2 3 2 10 3 9" xfId="55535" xr:uid="{00000000-0005-0000-0000-0000746B0000}"/>
    <cellStyle name="40% - Accent3 2 3 2 10 4" xfId="6461" xr:uid="{00000000-0005-0000-0000-0000756B0000}"/>
    <cellStyle name="40% - Accent3 2 3 2 10 5" xfId="11941" xr:uid="{00000000-0005-0000-0000-0000766B0000}"/>
    <cellStyle name="40% - Accent3 2 3 2 10 6" xfId="17417" xr:uid="{00000000-0005-0000-0000-0000776B0000}"/>
    <cellStyle name="40% - Accent3 2 3 2 10 7" xfId="22893" xr:uid="{00000000-0005-0000-0000-0000786B0000}"/>
    <cellStyle name="40% - Accent3 2 3 2 10 8" xfId="34688" xr:uid="{00000000-0005-0000-0000-0000796B0000}"/>
    <cellStyle name="40% - Accent3 2 3 2 10 9" xfId="40165" xr:uid="{00000000-0005-0000-0000-00007A6B0000}"/>
    <cellStyle name="40% - Accent3 2 3 2 11" xfId="1991" xr:uid="{00000000-0005-0000-0000-00007B6B0000}"/>
    <cellStyle name="40% - Accent3 2 3 2 11 10" xfId="52168" xr:uid="{00000000-0005-0000-0000-00007C6B0000}"/>
    <cellStyle name="40% - Accent3 2 3 2 11 2" xfId="5523" xr:uid="{00000000-0005-0000-0000-00007D6B0000}"/>
    <cellStyle name="40% - Accent3 2 3 2 11 2 2" xfId="11003" xr:uid="{00000000-0005-0000-0000-00007E6B0000}"/>
    <cellStyle name="40% - Accent3 2 3 2 11 2 3" xfId="16479" xr:uid="{00000000-0005-0000-0000-00007F6B0000}"/>
    <cellStyle name="40% - Accent3 2 3 2 11 2 4" xfId="21955" xr:uid="{00000000-0005-0000-0000-0000806B0000}"/>
    <cellStyle name="40% - Accent3 2 3 2 11 2 5" xfId="27431" xr:uid="{00000000-0005-0000-0000-0000816B0000}"/>
    <cellStyle name="40% - Accent3 2 3 2 11 2 6" xfId="39227" xr:uid="{00000000-0005-0000-0000-0000826B0000}"/>
    <cellStyle name="40% - Accent3 2 3 2 11 2 7" xfId="44704" xr:uid="{00000000-0005-0000-0000-0000836B0000}"/>
    <cellStyle name="40% - Accent3 2 3 2 11 2 8" xfId="50181" xr:uid="{00000000-0005-0000-0000-0000846B0000}"/>
    <cellStyle name="40% - Accent3 2 3 2 11 2 9" xfId="55699" xr:uid="{00000000-0005-0000-0000-0000856B0000}"/>
    <cellStyle name="40% - Accent3 2 3 2 11 3" xfId="7472" xr:uid="{00000000-0005-0000-0000-0000866B0000}"/>
    <cellStyle name="40% - Accent3 2 3 2 11 4" xfId="12948" xr:uid="{00000000-0005-0000-0000-0000876B0000}"/>
    <cellStyle name="40% - Accent3 2 3 2 11 5" xfId="18424" xr:uid="{00000000-0005-0000-0000-0000886B0000}"/>
    <cellStyle name="40% - Accent3 2 3 2 11 6" xfId="23900" xr:uid="{00000000-0005-0000-0000-0000896B0000}"/>
    <cellStyle name="40% - Accent3 2 3 2 11 7" xfId="35696" xr:uid="{00000000-0005-0000-0000-00008A6B0000}"/>
    <cellStyle name="40% - Accent3 2 3 2 11 8" xfId="41173" xr:uid="{00000000-0005-0000-0000-00008B6B0000}"/>
    <cellStyle name="40% - Accent3 2 3 2 11 9" xfId="46650" xr:uid="{00000000-0005-0000-0000-00008C6B0000}"/>
    <cellStyle name="40% - Accent3 2 3 2 12" xfId="3813" xr:uid="{00000000-0005-0000-0000-00008D6B0000}"/>
    <cellStyle name="40% - Accent3 2 3 2 12 2" xfId="9293" xr:uid="{00000000-0005-0000-0000-00008E6B0000}"/>
    <cellStyle name="40% - Accent3 2 3 2 12 3" xfId="14769" xr:uid="{00000000-0005-0000-0000-00008F6B0000}"/>
    <cellStyle name="40% - Accent3 2 3 2 12 4" xfId="20245" xr:uid="{00000000-0005-0000-0000-0000906B0000}"/>
    <cellStyle name="40% - Accent3 2 3 2 12 5" xfId="25721" xr:uid="{00000000-0005-0000-0000-0000916B0000}"/>
    <cellStyle name="40% - Accent3 2 3 2 12 6" xfId="37517" xr:uid="{00000000-0005-0000-0000-0000926B0000}"/>
    <cellStyle name="40% - Accent3 2 3 2 12 7" xfId="42994" xr:uid="{00000000-0005-0000-0000-0000936B0000}"/>
    <cellStyle name="40% - Accent3 2 3 2 12 8" xfId="48471" xr:uid="{00000000-0005-0000-0000-0000946B0000}"/>
    <cellStyle name="40% - Accent3 2 3 2 12 9" xfId="53989" xr:uid="{00000000-0005-0000-0000-0000956B0000}"/>
    <cellStyle name="40% - Accent3 2 3 2 13" xfId="6460" xr:uid="{00000000-0005-0000-0000-0000966B0000}"/>
    <cellStyle name="40% - Accent3 2 3 2 14" xfId="11940" xr:uid="{00000000-0005-0000-0000-0000976B0000}"/>
    <cellStyle name="40% - Accent3 2 3 2 15" xfId="17416" xr:uid="{00000000-0005-0000-0000-0000986B0000}"/>
    <cellStyle name="40% - Accent3 2 3 2 16" xfId="22892" xr:uid="{00000000-0005-0000-0000-0000996B0000}"/>
    <cellStyle name="40% - Accent3 2 3 2 17" xfId="31250" xr:uid="{00000000-0005-0000-0000-00009A6B0000}"/>
    <cellStyle name="40% - Accent3 2 3 2 18" xfId="34687" xr:uid="{00000000-0005-0000-0000-00009B6B0000}"/>
    <cellStyle name="40% - Accent3 2 3 2 19" xfId="40164" xr:uid="{00000000-0005-0000-0000-00009C6B0000}"/>
    <cellStyle name="40% - Accent3 2 3 2 2" xfId="362" xr:uid="{00000000-0005-0000-0000-00009D6B0000}"/>
    <cellStyle name="40% - Accent3 2 3 2 2 10" xfId="40166" xr:uid="{00000000-0005-0000-0000-00009E6B0000}"/>
    <cellStyle name="40% - Accent3 2 3 2 2 11" xfId="45643" xr:uid="{00000000-0005-0000-0000-00009F6B0000}"/>
    <cellStyle name="40% - Accent3 2 3 2 2 12" xfId="51121" xr:uid="{00000000-0005-0000-0000-0000A06B0000}"/>
    <cellStyle name="40% - Accent3 2 3 2 2 2" xfId="2156" xr:uid="{00000000-0005-0000-0000-0000A16B0000}"/>
    <cellStyle name="40% - Accent3 2 3 2 2 2 2" xfId="7636" xr:uid="{00000000-0005-0000-0000-0000A26B0000}"/>
    <cellStyle name="40% - Accent3 2 3 2 2 2 3" xfId="13112" xr:uid="{00000000-0005-0000-0000-0000A36B0000}"/>
    <cellStyle name="40% - Accent3 2 3 2 2 2 4" xfId="18588" xr:uid="{00000000-0005-0000-0000-0000A46B0000}"/>
    <cellStyle name="40% - Accent3 2 3 2 2 2 5" xfId="24064" xr:uid="{00000000-0005-0000-0000-0000A56B0000}"/>
    <cellStyle name="40% - Accent3 2 3 2 2 2 6" xfId="35860" xr:uid="{00000000-0005-0000-0000-0000A66B0000}"/>
    <cellStyle name="40% - Accent3 2 3 2 2 2 7" xfId="41337" xr:uid="{00000000-0005-0000-0000-0000A76B0000}"/>
    <cellStyle name="40% - Accent3 2 3 2 2 2 8" xfId="46814" xr:uid="{00000000-0005-0000-0000-0000A86B0000}"/>
    <cellStyle name="40% - Accent3 2 3 2 2 2 9" xfId="52332" xr:uid="{00000000-0005-0000-0000-0000A96B0000}"/>
    <cellStyle name="40% - Accent3 2 3 2 2 3" xfId="3924" xr:uid="{00000000-0005-0000-0000-0000AA6B0000}"/>
    <cellStyle name="40% - Accent3 2 3 2 2 3 2" xfId="9404" xr:uid="{00000000-0005-0000-0000-0000AB6B0000}"/>
    <cellStyle name="40% - Accent3 2 3 2 2 3 3" xfId="14880" xr:uid="{00000000-0005-0000-0000-0000AC6B0000}"/>
    <cellStyle name="40% - Accent3 2 3 2 2 3 4" xfId="20356" xr:uid="{00000000-0005-0000-0000-0000AD6B0000}"/>
    <cellStyle name="40% - Accent3 2 3 2 2 3 5" xfId="25832" xr:uid="{00000000-0005-0000-0000-0000AE6B0000}"/>
    <cellStyle name="40% - Accent3 2 3 2 2 3 6" xfId="37628" xr:uid="{00000000-0005-0000-0000-0000AF6B0000}"/>
    <cellStyle name="40% - Accent3 2 3 2 2 3 7" xfId="43105" xr:uid="{00000000-0005-0000-0000-0000B06B0000}"/>
    <cellStyle name="40% - Accent3 2 3 2 2 3 8" xfId="48582" xr:uid="{00000000-0005-0000-0000-0000B16B0000}"/>
    <cellStyle name="40% - Accent3 2 3 2 2 3 9" xfId="54100" xr:uid="{00000000-0005-0000-0000-0000B26B0000}"/>
    <cellStyle name="40% - Accent3 2 3 2 2 4" xfId="6462" xr:uid="{00000000-0005-0000-0000-0000B36B0000}"/>
    <cellStyle name="40% - Accent3 2 3 2 2 5" xfId="11942" xr:uid="{00000000-0005-0000-0000-0000B46B0000}"/>
    <cellStyle name="40% - Accent3 2 3 2 2 6" xfId="17418" xr:uid="{00000000-0005-0000-0000-0000B56B0000}"/>
    <cellStyle name="40% - Accent3 2 3 2 2 7" xfId="22894" xr:uid="{00000000-0005-0000-0000-0000B66B0000}"/>
    <cellStyle name="40% - Accent3 2 3 2 2 8" xfId="31251" xr:uid="{00000000-0005-0000-0000-0000B76B0000}"/>
    <cellStyle name="40% - Accent3 2 3 2 2 9" xfId="34689" xr:uid="{00000000-0005-0000-0000-0000B86B0000}"/>
    <cellStyle name="40% - Accent3 2 3 2 20" xfId="45641" xr:uid="{00000000-0005-0000-0000-0000B96B0000}"/>
    <cellStyle name="40% - Accent3 2 3 2 21" xfId="51119" xr:uid="{00000000-0005-0000-0000-0000BA6B0000}"/>
    <cellStyle name="40% - Accent3 2 3 2 3" xfId="563" xr:uid="{00000000-0005-0000-0000-0000BB6B0000}"/>
    <cellStyle name="40% - Accent3 2 3 2 3 10" xfId="45644" xr:uid="{00000000-0005-0000-0000-0000BC6B0000}"/>
    <cellStyle name="40% - Accent3 2 3 2 3 11" xfId="51122" xr:uid="{00000000-0005-0000-0000-0000BD6B0000}"/>
    <cellStyle name="40% - Accent3 2 3 2 3 2" xfId="2324" xr:uid="{00000000-0005-0000-0000-0000BE6B0000}"/>
    <cellStyle name="40% - Accent3 2 3 2 3 2 2" xfId="7804" xr:uid="{00000000-0005-0000-0000-0000BF6B0000}"/>
    <cellStyle name="40% - Accent3 2 3 2 3 2 3" xfId="13280" xr:uid="{00000000-0005-0000-0000-0000C06B0000}"/>
    <cellStyle name="40% - Accent3 2 3 2 3 2 4" xfId="18756" xr:uid="{00000000-0005-0000-0000-0000C16B0000}"/>
    <cellStyle name="40% - Accent3 2 3 2 3 2 5" xfId="24232" xr:uid="{00000000-0005-0000-0000-0000C26B0000}"/>
    <cellStyle name="40% - Accent3 2 3 2 3 2 6" xfId="36028" xr:uid="{00000000-0005-0000-0000-0000C36B0000}"/>
    <cellStyle name="40% - Accent3 2 3 2 3 2 7" xfId="41505" xr:uid="{00000000-0005-0000-0000-0000C46B0000}"/>
    <cellStyle name="40% - Accent3 2 3 2 3 2 8" xfId="46982" xr:uid="{00000000-0005-0000-0000-0000C56B0000}"/>
    <cellStyle name="40% - Accent3 2 3 2 3 2 9" xfId="52500" xr:uid="{00000000-0005-0000-0000-0000C66B0000}"/>
    <cellStyle name="40% - Accent3 2 3 2 3 3" xfId="4096" xr:uid="{00000000-0005-0000-0000-0000C76B0000}"/>
    <cellStyle name="40% - Accent3 2 3 2 3 3 2" xfId="9576" xr:uid="{00000000-0005-0000-0000-0000C86B0000}"/>
    <cellStyle name="40% - Accent3 2 3 2 3 3 3" xfId="15052" xr:uid="{00000000-0005-0000-0000-0000C96B0000}"/>
    <cellStyle name="40% - Accent3 2 3 2 3 3 4" xfId="20528" xr:uid="{00000000-0005-0000-0000-0000CA6B0000}"/>
    <cellStyle name="40% - Accent3 2 3 2 3 3 5" xfId="26004" xr:uid="{00000000-0005-0000-0000-0000CB6B0000}"/>
    <cellStyle name="40% - Accent3 2 3 2 3 3 6" xfId="37800" xr:uid="{00000000-0005-0000-0000-0000CC6B0000}"/>
    <cellStyle name="40% - Accent3 2 3 2 3 3 7" xfId="43277" xr:uid="{00000000-0005-0000-0000-0000CD6B0000}"/>
    <cellStyle name="40% - Accent3 2 3 2 3 3 8" xfId="48754" xr:uid="{00000000-0005-0000-0000-0000CE6B0000}"/>
    <cellStyle name="40% - Accent3 2 3 2 3 3 9" xfId="54272" xr:uid="{00000000-0005-0000-0000-0000CF6B0000}"/>
    <cellStyle name="40% - Accent3 2 3 2 3 4" xfId="6463" xr:uid="{00000000-0005-0000-0000-0000D06B0000}"/>
    <cellStyle name="40% - Accent3 2 3 2 3 5" xfId="11943" xr:uid="{00000000-0005-0000-0000-0000D16B0000}"/>
    <cellStyle name="40% - Accent3 2 3 2 3 6" xfId="17419" xr:uid="{00000000-0005-0000-0000-0000D26B0000}"/>
    <cellStyle name="40% - Accent3 2 3 2 3 7" xfId="22895" xr:uid="{00000000-0005-0000-0000-0000D36B0000}"/>
    <cellStyle name="40% - Accent3 2 3 2 3 8" xfId="34690" xr:uid="{00000000-0005-0000-0000-0000D46B0000}"/>
    <cellStyle name="40% - Accent3 2 3 2 3 9" xfId="40167" xr:uid="{00000000-0005-0000-0000-0000D56B0000}"/>
    <cellStyle name="40% - Accent3 2 3 2 4" xfId="735" xr:uid="{00000000-0005-0000-0000-0000D66B0000}"/>
    <cellStyle name="40% - Accent3 2 3 2 4 10" xfId="45645" xr:uid="{00000000-0005-0000-0000-0000D76B0000}"/>
    <cellStyle name="40% - Accent3 2 3 2 4 11" xfId="51123" xr:uid="{00000000-0005-0000-0000-0000D86B0000}"/>
    <cellStyle name="40% - Accent3 2 3 2 4 2" xfId="2496" xr:uid="{00000000-0005-0000-0000-0000D96B0000}"/>
    <cellStyle name="40% - Accent3 2 3 2 4 2 2" xfId="7976" xr:uid="{00000000-0005-0000-0000-0000DA6B0000}"/>
    <cellStyle name="40% - Accent3 2 3 2 4 2 3" xfId="13452" xr:uid="{00000000-0005-0000-0000-0000DB6B0000}"/>
    <cellStyle name="40% - Accent3 2 3 2 4 2 4" xfId="18928" xr:uid="{00000000-0005-0000-0000-0000DC6B0000}"/>
    <cellStyle name="40% - Accent3 2 3 2 4 2 5" xfId="24404" xr:uid="{00000000-0005-0000-0000-0000DD6B0000}"/>
    <cellStyle name="40% - Accent3 2 3 2 4 2 6" xfId="36200" xr:uid="{00000000-0005-0000-0000-0000DE6B0000}"/>
    <cellStyle name="40% - Accent3 2 3 2 4 2 7" xfId="41677" xr:uid="{00000000-0005-0000-0000-0000DF6B0000}"/>
    <cellStyle name="40% - Accent3 2 3 2 4 2 8" xfId="47154" xr:uid="{00000000-0005-0000-0000-0000E06B0000}"/>
    <cellStyle name="40% - Accent3 2 3 2 4 2 9" xfId="52672" xr:uid="{00000000-0005-0000-0000-0000E16B0000}"/>
    <cellStyle name="40% - Accent3 2 3 2 4 3" xfId="4268" xr:uid="{00000000-0005-0000-0000-0000E26B0000}"/>
    <cellStyle name="40% - Accent3 2 3 2 4 3 2" xfId="9748" xr:uid="{00000000-0005-0000-0000-0000E36B0000}"/>
    <cellStyle name="40% - Accent3 2 3 2 4 3 3" xfId="15224" xr:uid="{00000000-0005-0000-0000-0000E46B0000}"/>
    <cellStyle name="40% - Accent3 2 3 2 4 3 4" xfId="20700" xr:uid="{00000000-0005-0000-0000-0000E56B0000}"/>
    <cellStyle name="40% - Accent3 2 3 2 4 3 5" xfId="26176" xr:uid="{00000000-0005-0000-0000-0000E66B0000}"/>
    <cellStyle name="40% - Accent3 2 3 2 4 3 6" xfId="37972" xr:uid="{00000000-0005-0000-0000-0000E76B0000}"/>
    <cellStyle name="40% - Accent3 2 3 2 4 3 7" xfId="43449" xr:uid="{00000000-0005-0000-0000-0000E86B0000}"/>
    <cellStyle name="40% - Accent3 2 3 2 4 3 8" xfId="48926" xr:uid="{00000000-0005-0000-0000-0000E96B0000}"/>
    <cellStyle name="40% - Accent3 2 3 2 4 3 9" xfId="54444" xr:uid="{00000000-0005-0000-0000-0000EA6B0000}"/>
    <cellStyle name="40% - Accent3 2 3 2 4 4" xfId="6464" xr:uid="{00000000-0005-0000-0000-0000EB6B0000}"/>
    <cellStyle name="40% - Accent3 2 3 2 4 5" xfId="11944" xr:uid="{00000000-0005-0000-0000-0000EC6B0000}"/>
    <cellStyle name="40% - Accent3 2 3 2 4 6" xfId="17420" xr:uid="{00000000-0005-0000-0000-0000ED6B0000}"/>
    <cellStyle name="40% - Accent3 2 3 2 4 7" xfId="22896" xr:uid="{00000000-0005-0000-0000-0000EE6B0000}"/>
    <cellStyle name="40% - Accent3 2 3 2 4 8" xfId="34691" xr:uid="{00000000-0005-0000-0000-0000EF6B0000}"/>
    <cellStyle name="40% - Accent3 2 3 2 4 9" xfId="40168" xr:uid="{00000000-0005-0000-0000-0000F06B0000}"/>
    <cellStyle name="40% - Accent3 2 3 2 5" xfId="907" xr:uid="{00000000-0005-0000-0000-0000F16B0000}"/>
    <cellStyle name="40% - Accent3 2 3 2 5 10" xfId="45646" xr:uid="{00000000-0005-0000-0000-0000F26B0000}"/>
    <cellStyle name="40% - Accent3 2 3 2 5 11" xfId="51124" xr:uid="{00000000-0005-0000-0000-0000F36B0000}"/>
    <cellStyle name="40% - Accent3 2 3 2 5 2" xfId="2668" xr:uid="{00000000-0005-0000-0000-0000F46B0000}"/>
    <cellStyle name="40% - Accent3 2 3 2 5 2 2" xfId="8148" xr:uid="{00000000-0005-0000-0000-0000F56B0000}"/>
    <cellStyle name="40% - Accent3 2 3 2 5 2 3" xfId="13624" xr:uid="{00000000-0005-0000-0000-0000F66B0000}"/>
    <cellStyle name="40% - Accent3 2 3 2 5 2 4" xfId="19100" xr:uid="{00000000-0005-0000-0000-0000F76B0000}"/>
    <cellStyle name="40% - Accent3 2 3 2 5 2 5" xfId="24576" xr:uid="{00000000-0005-0000-0000-0000F86B0000}"/>
    <cellStyle name="40% - Accent3 2 3 2 5 2 6" xfId="36372" xr:uid="{00000000-0005-0000-0000-0000F96B0000}"/>
    <cellStyle name="40% - Accent3 2 3 2 5 2 7" xfId="41849" xr:uid="{00000000-0005-0000-0000-0000FA6B0000}"/>
    <cellStyle name="40% - Accent3 2 3 2 5 2 8" xfId="47326" xr:uid="{00000000-0005-0000-0000-0000FB6B0000}"/>
    <cellStyle name="40% - Accent3 2 3 2 5 2 9" xfId="52844" xr:uid="{00000000-0005-0000-0000-0000FC6B0000}"/>
    <cellStyle name="40% - Accent3 2 3 2 5 3" xfId="4440" xr:uid="{00000000-0005-0000-0000-0000FD6B0000}"/>
    <cellStyle name="40% - Accent3 2 3 2 5 3 2" xfId="9920" xr:uid="{00000000-0005-0000-0000-0000FE6B0000}"/>
    <cellStyle name="40% - Accent3 2 3 2 5 3 3" xfId="15396" xr:uid="{00000000-0005-0000-0000-0000FF6B0000}"/>
    <cellStyle name="40% - Accent3 2 3 2 5 3 4" xfId="20872" xr:uid="{00000000-0005-0000-0000-0000006C0000}"/>
    <cellStyle name="40% - Accent3 2 3 2 5 3 5" xfId="26348" xr:uid="{00000000-0005-0000-0000-0000016C0000}"/>
    <cellStyle name="40% - Accent3 2 3 2 5 3 6" xfId="38144" xr:uid="{00000000-0005-0000-0000-0000026C0000}"/>
    <cellStyle name="40% - Accent3 2 3 2 5 3 7" xfId="43621" xr:uid="{00000000-0005-0000-0000-0000036C0000}"/>
    <cellStyle name="40% - Accent3 2 3 2 5 3 8" xfId="49098" xr:uid="{00000000-0005-0000-0000-0000046C0000}"/>
    <cellStyle name="40% - Accent3 2 3 2 5 3 9" xfId="54616" xr:uid="{00000000-0005-0000-0000-0000056C0000}"/>
    <cellStyle name="40% - Accent3 2 3 2 5 4" xfId="6465" xr:uid="{00000000-0005-0000-0000-0000066C0000}"/>
    <cellStyle name="40% - Accent3 2 3 2 5 5" xfId="11945" xr:uid="{00000000-0005-0000-0000-0000076C0000}"/>
    <cellStyle name="40% - Accent3 2 3 2 5 6" xfId="17421" xr:uid="{00000000-0005-0000-0000-0000086C0000}"/>
    <cellStyle name="40% - Accent3 2 3 2 5 7" xfId="22897" xr:uid="{00000000-0005-0000-0000-0000096C0000}"/>
    <cellStyle name="40% - Accent3 2 3 2 5 8" xfId="34692" xr:uid="{00000000-0005-0000-0000-00000A6C0000}"/>
    <cellStyle name="40% - Accent3 2 3 2 5 9" xfId="40169" xr:uid="{00000000-0005-0000-0000-00000B6C0000}"/>
    <cellStyle name="40% - Accent3 2 3 2 6" xfId="1113" xr:uid="{00000000-0005-0000-0000-00000C6C0000}"/>
    <cellStyle name="40% - Accent3 2 3 2 6 10" xfId="45647" xr:uid="{00000000-0005-0000-0000-00000D6C0000}"/>
    <cellStyle name="40% - Accent3 2 3 2 6 11" xfId="51125" xr:uid="{00000000-0005-0000-0000-00000E6C0000}"/>
    <cellStyle name="40% - Accent3 2 3 2 6 2" xfId="2874" xr:uid="{00000000-0005-0000-0000-00000F6C0000}"/>
    <cellStyle name="40% - Accent3 2 3 2 6 2 2" xfId="8354" xr:uid="{00000000-0005-0000-0000-0000106C0000}"/>
    <cellStyle name="40% - Accent3 2 3 2 6 2 3" xfId="13830" xr:uid="{00000000-0005-0000-0000-0000116C0000}"/>
    <cellStyle name="40% - Accent3 2 3 2 6 2 4" xfId="19306" xr:uid="{00000000-0005-0000-0000-0000126C0000}"/>
    <cellStyle name="40% - Accent3 2 3 2 6 2 5" xfId="24782" xr:uid="{00000000-0005-0000-0000-0000136C0000}"/>
    <cellStyle name="40% - Accent3 2 3 2 6 2 6" xfId="36578" xr:uid="{00000000-0005-0000-0000-0000146C0000}"/>
    <cellStyle name="40% - Accent3 2 3 2 6 2 7" xfId="42055" xr:uid="{00000000-0005-0000-0000-0000156C0000}"/>
    <cellStyle name="40% - Accent3 2 3 2 6 2 8" xfId="47532" xr:uid="{00000000-0005-0000-0000-0000166C0000}"/>
    <cellStyle name="40% - Accent3 2 3 2 6 2 9" xfId="53050" xr:uid="{00000000-0005-0000-0000-0000176C0000}"/>
    <cellStyle name="40% - Accent3 2 3 2 6 3" xfId="4646" xr:uid="{00000000-0005-0000-0000-0000186C0000}"/>
    <cellStyle name="40% - Accent3 2 3 2 6 3 2" xfId="10126" xr:uid="{00000000-0005-0000-0000-0000196C0000}"/>
    <cellStyle name="40% - Accent3 2 3 2 6 3 3" xfId="15602" xr:uid="{00000000-0005-0000-0000-00001A6C0000}"/>
    <cellStyle name="40% - Accent3 2 3 2 6 3 4" xfId="21078" xr:uid="{00000000-0005-0000-0000-00001B6C0000}"/>
    <cellStyle name="40% - Accent3 2 3 2 6 3 5" xfId="26554" xr:uid="{00000000-0005-0000-0000-00001C6C0000}"/>
    <cellStyle name="40% - Accent3 2 3 2 6 3 6" xfId="38350" xr:uid="{00000000-0005-0000-0000-00001D6C0000}"/>
    <cellStyle name="40% - Accent3 2 3 2 6 3 7" xfId="43827" xr:uid="{00000000-0005-0000-0000-00001E6C0000}"/>
    <cellStyle name="40% - Accent3 2 3 2 6 3 8" xfId="49304" xr:uid="{00000000-0005-0000-0000-00001F6C0000}"/>
    <cellStyle name="40% - Accent3 2 3 2 6 3 9" xfId="54822" xr:uid="{00000000-0005-0000-0000-0000206C0000}"/>
    <cellStyle name="40% - Accent3 2 3 2 6 4" xfId="6466" xr:uid="{00000000-0005-0000-0000-0000216C0000}"/>
    <cellStyle name="40% - Accent3 2 3 2 6 5" xfId="11946" xr:uid="{00000000-0005-0000-0000-0000226C0000}"/>
    <cellStyle name="40% - Accent3 2 3 2 6 6" xfId="17422" xr:uid="{00000000-0005-0000-0000-0000236C0000}"/>
    <cellStyle name="40% - Accent3 2 3 2 6 7" xfId="22898" xr:uid="{00000000-0005-0000-0000-0000246C0000}"/>
    <cellStyle name="40% - Accent3 2 3 2 6 8" xfId="34693" xr:uid="{00000000-0005-0000-0000-0000256C0000}"/>
    <cellStyle name="40% - Accent3 2 3 2 6 9" xfId="40170" xr:uid="{00000000-0005-0000-0000-0000266C0000}"/>
    <cellStyle name="40% - Accent3 2 3 2 7" xfId="1285" xr:uid="{00000000-0005-0000-0000-0000276C0000}"/>
    <cellStyle name="40% - Accent3 2 3 2 7 10" xfId="45648" xr:uid="{00000000-0005-0000-0000-0000286C0000}"/>
    <cellStyle name="40% - Accent3 2 3 2 7 11" xfId="51126" xr:uid="{00000000-0005-0000-0000-0000296C0000}"/>
    <cellStyle name="40% - Accent3 2 3 2 7 2" xfId="3046" xr:uid="{00000000-0005-0000-0000-00002A6C0000}"/>
    <cellStyle name="40% - Accent3 2 3 2 7 2 2" xfId="8526" xr:uid="{00000000-0005-0000-0000-00002B6C0000}"/>
    <cellStyle name="40% - Accent3 2 3 2 7 2 3" xfId="14002" xr:uid="{00000000-0005-0000-0000-00002C6C0000}"/>
    <cellStyle name="40% - Accent3 2 3 2 7 2 4" xfId="19478" xr:uid="{00000000-0005-0000-0000-00002D6C0000}"/>
    <cellStyle name="40% - Accent3 2 3 2 7 2 5" xfId="24954" xr:uid="{00000000-0005-0000-0000-00002E6C0000}"/>
    <cellStyle name="40% - Accent3 2 3 2 7 2 6" xfId="36750" xr:uid="{00000000-0005-0000-0000-00002F6C0000}"/>
    <cellStyle name="40% - Accent3 2 3 2 7 2 7" xfId="42227" xr:uid="{00000000-0005-0000-0000-0000306C0000}"/>
    <cellStyle name="40% - Accent3 2 3 2 7 2 8" xfId="47704" xr:uid="{00000000-0005-0000-0000-0000316C0000}"/>
    <cellStyle name="40% - Accent3 2 3 2 7 2 9" xfId="53222" xr:uid="{00000000-0005-0000-0000-0000326C0000}"/>
    <cellStyle name="40% - Accent3 2 3 2 7 3" xfId="4818" xr:uid="{00000000-0005-0000-0000-0000336C0000}"/>
    <cellStyle name="40% - Accent3 2 3 2 7 3 2" xfId="10298" xr:uid="{00000000-0005-0000-0000-0000346C0000}"/>
    <cellStyle name="40% - Accent3 2 3 2 7 3 3" xfId="15774" xr:uid="{00000000-0005-0000-0000-0000356C0000}"/>
    <cellStyle name="40% - Accent3 2 3 2 7 3 4" xfId="21250" xr:uid="{00000000-0005-0000-0000-0000366C0000}"/>
    <cellStyle name="40% - Accent3 2 3 2 7 3 5" xfId="26726" xr:uid="{00000000-0005-0000-0000-0000376C0000}"/>
    <cellStyle name="40% - Accent3 2 3 2 7 3 6" xfId="38522" xr:uid="{00000000-0005-0000-0000-0000386C0000}"/>
    <cellStyle name="40% - Accent3 2 3 2 7 3 7" xfId="43999" xr:uid="{00000000-0005-0000-0000-0000396C0000}"/>
    <cellStyle name="40% - Accent3 2 3 2 7 3 8" xfId="49476" xr:uid="{00000000-0005-0000-0000-00003A6C0000}"/>
    <cellStyle name="40% - Accent3 2 3 2 7 3 9" xfId="54994" xr:uid="{00000000-0005-0000-0000-00003B6C0000}"/>
    <cellStyle name="40% - Accent3 2 3 2 7 4" xfId="6467" xr:uid="{00000000-0005-0000-0000-00003C6C0000}"/>
    <cellStyle name="40% - Accent3 2 3 2 7 5" xfId="11947" xr:uid="{00000000-0005-0000-0000-00003D6C0000}"/>
    <cellStyle name="40% - Accent3 2 3 2 7 6" xfId="17423" xr:uid="{00000000-0005-0000-0000-00003E6C0000}"/>
    <cellStyle name="40% - Accent3 2 3 2 7 7" xfId="22899" xr:uid="{00000000-0005-0000-0000-00003F6C0000}"/>
    <cellStyle name="40% - Accent3 2 3 2 7 8" xfId="34694" xr:uid="{00000000-0005-0000-0000-0000406C0000}"/>
    <cellStyle name="40% - Accent3 2 3 2 7 9" xfId="40171" xr:uid="{00000000-0005-0000-0000-0000416C0000}"/>
    <cellStyle name="40% - Accent3 2 3 2 8" xfId="1457" xr:uid="{00000000-0005-0000-0000-0000426C0000}"/>
    <cellStyle name="40% - Accent3 2 3 2 8 10" xfId="45649" xr:uid="{00000000-0005-0000-0000-0000436C0000}"/>
    <cellStyle name="40% - Accent3 2 3 2 8 11" xfId="51127" xr:uid="{00000000-0005-0000-0000-0000446C0000}"/>
    <cellStyle name="40% - Accent3 2 3 2 8 2" xfId="3218" xr:uid="{00000000-0005-0000-0000-0000456C0000}"/>
    <cellStyle name="40% - Accent3 2 3 2 8 2 2" xfId="8698" xr:uid="{00000000-0005-0000-0000-0000466C0000}"/>
    <cellStyle name="40% - Accent3 2 3 2 8 2 3" xfId="14174" xr:uid="{00000000-0005-0000-0000-0000476C0000}"/>
    <cellStyle name="40% - Accent3 2 3 2 8 2 4" xfId="19650" xr:uid="{00000000-0005-0000-0000-0000486C0000}"/>
    <cellStyle name="40% - Accent3 2 3 2 8 2 5" xfId="25126" xr:uid="{00000000-0005-0000-0000-0000496C0000}"/>
    <cellStyle name="40% - Accent3 2 3 2 8 2 6" xfId="36922" xr:uid="{00000000-0005-0000-0000-00004A6C0000}"/>
    <cellStyle name="40% - Accent3 2 3 2 8 2 7" xfId="42399" xr:uid="{00000000-0005-0000-0000-00004B6C0000}"/>
    <cellStyle name="40% - Accent3 2 3 2 8 2 8" xfId="47876" xr:uid="{00000000-0005-0000-0000-00004C6C0000}"/>
    <cellStyle name="40% - Accent3 2 3 2 8 2 9" xfId="53394" xr:uid="{00000000-0005-0000-0000-00004D6C0000}"/>
    <cellStyle name="40% - Accent3 2 3 2 8 3" xfId="4990" xr:uid="{00000000-0005-0000-0000-00004E6C0000}"/>
    <cellStyle name="40% - Accent3 2 3 2 8 3 2" xfId="10470" xr:uid="{00000000-0005-0000-0000-00004F6C0000}"/>
    <cellStyle name="40% - Accent3 2 3 2 8 3 3" xfId="15946" xr:uid="{00000000-0005-0000-0000-0000506C0000}"/>
    <cellStyle name="40% - Accent3 2 3 2 8 3 4" xfId="21422" xr:uid="{00000000-0005-0000-0000-0000516C0000}"/>
    <cellStyle name="40% - Accent3 2 3 2 8 3 5" xfId="26898" xr:uid="{00000000-0005-0000-0000-0000526C0000}"/>
    <cellStyle name="40% - Accent3 2 3 2 8 3 6" xfId="38694" xr:uid="{00000000-0005-0000-0000-0000536C0000}"/>
    <cellStyle name="40% - Accent3 2 3 2 8 3 7" xfId="44171" xr:uid="{00000000-0005-0000-0000-0000546C0000}"/>
    <cellStyle name="40% - Accent3 2 3 2 8 3 8" xfId="49648" xr:uid="{00000000-0005-0000-0000-0000556C0000}"/>
    <cellStyle name="40% - Accent3 2 3 2 8 3 9" xfId="55166" xr:uid="{00000000-0005-0000-0000-0000566C0000}"/>
    <cellStyle name="40% - Accent3 2 3 2 8 4" xfId="6468" xr:uid="{00000000-0005-0000-0000-0000576C0000}"/>
    <cellStyle name="40% - Accent3 2 3 2 8 5" xfId="11948" xr:uid="{00000000-0005-0000-0000-0000586C0000}"/>
    <cellStyle name="40% - Accent3 2 3 2 8 6" xfId="17424" xr:uid="{00000000-0005-0000-0000-0000596C0000}"/>
    <cellStyle name="40% - Accent3 2 3 2 8 7" xfId="22900" xr:uid="{00000000-0005-0000-0000-00005A6C0000}"/>
    <cellStyle name="40% - Accent3 2 3 2 8 8" xfId="34695" xr:uid="{00000000-0005-0000-0000-00005B6C0000}"/>
    <cellStyle name="40% - Accent3 2 3 2 8 9" xfId="40172" xr:uid="{00000000-0005-0000-0000-00005C6C0000}"/>
    <cellStyle name="40% - Accent3 2 3 2 9" xfId="1629" xr:uid="{00000000-0005-0000-0000-00005D6C0000}"/>
    <cellStyle name="40% - Accent3 2 3 2 9 10" xfId="45650" xr:uid="{00000000-0005-0000-0000-00005E6C0000}"/>
    <cellStyle name="40% - Accent3 2 3 2 9 11" xfId="51128" xr:uid="{00000000-0005-0000-0000-00005F6C0000}"/>
    <cellStyle name="40% - Accent3 2 3 2 9 2" xfId="3390" xr:uid="{00000000-0005-0000-0000-0000606C0000}"/>
    <cellStyle name="40% - Accent3 2 3 2 9 2 2" xfId="8870" xr:uid="{00000000-0005-0000-0000-0000616C0000}"/>
    <cellStyle name="40% - Accent3 2 3 2 9 2 3" xfId="14346" xr:uid="{00000000-0005-0000-0000-0000626C0000}"/>
    <cellStyle name="40% - Accent3 2 3 2 9 2 4" xfId="19822" xr:uid="{00000000-0005-0000-0000-0000636C0000}"/>
    <cellStyle name="40% - Accent3 2 3 2 9 2 5" xfId="25298" xr:uid="{00000000-0005-0000-0000-0000646C0000}"/>
    <cellStyle name="40% - Accent3 2 3 2 9 2 6" xfId="37094" xr:uid="{00000000-0005-0000-0000-0000656C0000}"/>
    <cellStyle name="40% - Accent3 2 3 2 9 2 7" xfId="42571" xr:uid="{00000000-0005-0000-0000-0000666C0000}"/>
    <cellStyle name="40% - Accent3 2 3 2 9 2 8" xfId="48048" xr:uid="{00000000-0005-0000-0000-0000676C0000}"/>
    <cellStyle name="40% - Accent3 2 3 2 9 2 9" xfId="53566" xr:uid="{00000000-0005-0000-0000-0000686C0000}"/>
    <cellStyle name="40% - Accent3 2 3 2 9 3" xfId="5162" xr:uid="{00000000-0005-0000-0000-0000696C0000}"/>
    <cellStyle name="40% - Accent3 2 3 2 9 3 2" xfId="10642" xr:uid="{00000000-0005-0000-0000-00006A6C0000}"/>
    <cellStyle name="40% - Accent3 2 3 2 9 3 3" xfId="16118" xr:uid="{00000000-0005-0000-0000-00006B6C0000}"/>
    <cellStyle name="40% - Accent3 2 3 2 9 3 4" xfId="21594" xr:uid="{00000000-0005-0000-0000-00006C6C0000}"/>
    <cellStyle name="40% - Accent3 2 3 2 9 3 5" xfId="27070" xr:uid="{00000000-0005-0000-0000-00006D6C0000}"/>
    <cellStyle name="40% - Accent3 2 3 2 9 3 6" xfId="38866" xr:uid="{00000000-0005-0000-0000-00006E6C0000}"/>
    <cellStyle name="40% - Accent3 2 3 2 9 3 7" xfId="44343" xr:uid="{00000000-0005-0000-0000-00006F6C0000}"/>
    <cellStyle name="40% - Accent3 2 3 2 9 3 8" xfId="49820" xr:uid="{00000000-0005-0000-0000-0000706C0000}"/>
    <cellStyle name="40% - Accent3 2 3 2 9 3 9" xfId="55338" xr:uid="{00000000-0005-0000-0000-0000716C0000}"/>
    <cellStyle name="40% - Accent3 2 3 2 9 4" xfId="6469" xr:uid="{00000000-0005-0000-0000-0000726C0000}"/>
    <cellStyle name="40% - Accent3 2 3 2 9 5" xfId="11949" xr:uid="{00000000-0005-0000-0000-0000736C0000}"/>
    <cellStyle name="40% - Accent3 2 3 2 9 6" xfId="17425" xr:uid="{00000000-0005-0000-0000-0000746C0000}"/>
    <cellStyle name="40% - Accent3 2 3 2 9 7" xfId="22901" xr:uid="{00000000-0005-0000-0000-0000756C0000}"/>
    <cellStyle name="40% - Accent3 2 3 2 9 8" xfId="34696" xr:uid="{00000000-0005-0000-0000-0000766C0000}"/>
    <cellStyle name="40% - Accent3 2 3 2 9 9" xfId="40173" xr:uid="{00000000-0005-0000-0000-0000776C0000}"/>
    <cellStyle name="40% - Accent3 2 3 20" xfId="40161" xr:uid="{00000000-0005-0000-0000-0000786C0000}"/>
    <cellStyle name="40% - Accent3 2 3 21" xfId="45638" xr:uid="{00000000-0005-0000-0000-0000796C0000}"/>
    <cellStyle name="40% - Accent3 2 3 22" xfId="51116" xr:uid="{00000000-0005-0000-0000-00007A6C0000}"/>
    <cellStyle name="40% - Accent3 2 3 3" xfId="361" xr:uid="{00000000-0005-0000-0000-00007B6C0000}"/>
    <cellStyle name="40% - Accent3 2 3 3 10" xfId="40174" xr:uid="{00000000-0005-0000-0000-00007C6C0000}"/>
    <cellStyle name="40% - Accent3 2 3 3 11" xfId="45651" xr:uid="{00000000-0005-0000-0000-00007D6C0000}"/>
    <cellStyle name="40% - Accent3 2 3 3 12" xfId="51129" xr:uid="{00000000-0005-0000-0000-00007E6C0000}"/>
    <cellStyle name="40% - Accent3 2 3 3 2" xfId="2155" xr:uid="{00000000-0005-0000-0000-00007F6C0000}"/>
    <cellStyle name="40% - Accent3 2 3 3 2 2" xfId="7635" xr:uid="{00000000-0005-0000-0000-0000806C0000}"/>
    <cellStyle name="40% - Accent3 2 3 3 2 3" xfId="13111" xr:uid="{00000000-0005-0000-0000-0000816C0000}"/>
    <cellStyle name="40% - Accent3 2 3 3 2 4" xfId="18587" xr:uid="{00000000-0005-0000-0000-0000826C0000}"/>
    <cellStyle name="40% - Accent3 2 3 3 2 5" xfId="24063" xr:uid="{00000000-0005-0000-0000-0000836C0000}"/>
    <cellStyle name="40% - Accent3 2 3 3 2 6" xfId="35859" xr:uid="{00000000-0005-0000-0000-0000846C0000}"/>
    <cellStyle name="40% - Accent3 2 3 3 2 7" xfId="41336" xr:uid="{00000000-0005-0000-0000-0000856C0000}"/>
    <cellStyle name="40% - Accent3 2 3 3 2 8" xfId="46813" xr:uid="{00000000-0005-0000-0000-0000866C0000}"/>
    <cellStyle name="40% - Accent3 2 3 3 2 9" xfId="52331" xr:uid="{00000000-0005-0000-0000-0000876C0000}"/>
    <cellStyle name="40% - Accent3 2 3 3 3" xfId="3923" xr:uid="{00000000-0005-0000-0000-0000886C0000}"/>
    <cellStyle name="40% - Accent3 2 3 3 3 2" xfId="9403" xr:uid="{00000000-0005-0000-0000-0000896C0000}"/>
    <cellStyle name="40% - Accent3 2 3 3 3 3" xfId="14879" xr:uid="{00000000-0005-0000-0000-00008A6C0000}"/>
    <cellStyle name="40% - Accent3 2 3 3 3 4" xfId="20355" xr:uid="{00000000-0005-0000-0000-00008B6C0000}"/>
    <cellStyle name="40% - Accent3 2 3 3 3 5" xfId="25831" xr:uid="{00000000-0005-0000-0000-00008C6C0000}"/>
    <cellStyle name="40% - Accent3 2 3 3 3 6" xfId="37627" xr:uid="{00000000-0005-0000-0000-00008D6C0000}"/>
    <cellStyle name="40% - Accent3 2 3 3 3 7" xfId="43104" xr:uid="{00000000-0005-0000-0000-00008E6C0000}"/>
    <cellStyle name="40% - Accent3 2 3 3 3 8" xfId="48581" xr:uid="{00000000-0005-0000-0000-00008F6C0000}"/>
    <cellStyle name="40% - Accent3 2 3 3 3 9" xfId="54099" xr:uid="{00000000-0005-0000-0000-0000906C0000}"/>
    <cellStyle name="40% - Accent3 2 3 3 4" xfId="6470" xr:uid="{00000000-0005-0000-0000-0000916C0000}"/>
    <cellStyle name="40% - Accent3 2 3 3 5" xfId="11950" xr:uid="{00000000-0005-0000-0000-0000926C0000}"/>
    <cellStyle name="40% - Accent3 2 3 3 6" xfId="17426" xr:uid="{00000000-0005-0000-0000-0000936C0000}"/>
    <cellStyle name="40% - Accent3 2 3 3 7" xfId="22902" xr:uid="{00000000-0005-0000-0000-0000946C0000}"/>
    <cellStyle name="40% - Accent3 2 3 3 8" xfId="31252" xr:uid="{00000000-0005-0000-0000-0000956C0000}"/>
    <cellStyle name="40% - Accent3 2 3 3 9" xfId="34697" xr:uid="{00000000-0005-0000-0000-0000966C0000}"/>
    <cellStyle name="40% - Accent3 2 3 4" xfId="562" xr:uid="{00000000-0005-0000-0000-0000976C0000}"/>
    <cellStyle name="40% - Accent3 2 3 4 10" xfId="45652" xr:uid="{00000000-0005-0000-0000-0000986C0000}"/>
    <cellStyle name="40% - Accent3 2 3 4 11" xfId="51130" xr:uid="{00000000-0005-0000-0000-0000996C0000}"/>
    <cellStyle name="40% - Accent3 2 3 4 2" xfId="2323" xr:uid="{00000000-0005-0000-0000-00009A6C0000}"/>
    <cellStyle name="40% - Accent3 2 3 4 2 2" xfId="7803" xr:uid="{00000000-0005-0000-0000-00009B6C0000}"/>
    <cellStyle name="40% - Accent3 2 3 4 2 3" xfId="13279" xr:uid="{00000000-0005-0000-0000-00009C6C0000}"/>
    <cellStyle name="40% - Accent3 2 3 4 2 4" xfId="18755" xr:uid="{00000000-0005-0000-0000-00009D6C0000}"/>
    <cellStyle name="40% - Accent3 2 3 4 2 5" xfId="24231" xr:uid="{00000000-0005-0000-0000-00009E6C0000}"/>
    <cellStyle name="40% - Accent3 2 3 4 2 6" xfId="36027" xr:uid="{00000000-0005-0000-0000-00009F6C0000}"/>
    <cellStyle name="40% - Accent3 2 3 4 2 7" xfId="41504" xr:uid="{00000000-0005-0000-0000-0000A06C0000}"/>
    <cellStyle name="40% - Accent3 2 3 4 2 8" xfId="46981" xr:uid="{00000000-0005-0000-0000-0000A16C0000}"/>
    <cellStyle name="40% - Accent3 2 3 4 2 9" xfId="52499" xr:uid="{00000000-0005-0000-0000-0000A26C0000}"/>
    <cellStyle name="40% - Accent3 2 3 4 3" xfId="4095" xr:uid="{00000000-0005-0000-0000-0000A36C0000}"/>
    <cellStyle name="40% - Accent3 2 3 4 3 2" xfId="9575" xr:uid="{00000000-0005-0000-0000-0000A46C0000}"/>
    <cellStyle name="40% - Accent3 2 3 4 3 3" xfId="15051" xr:uid="{00000000-0005-0000-0000-0000A56C0000}"/>
    <cellStyle name="40% - Accent3 2 3 4 3 4" xfId="20527" xr:uid="{00000000-0005-0000-0000-0000A66C0000}"/>
    <cellStyle name="40% - Accent3 2 3 4 3 5" xfId="26003" xr:uid="{00000000-0005-0000-0000-0000A76C0000}"/>
    <cellStyle name="40% - Accent3 2 3 4 3 6" xfId="37799" xr:uid="{00000000-0005-0000-0000-0000A86C0000}"/>
    <cellStyle name="40% - Accent3 2 3 4 3 7" xfId="43276" xr:uid="{00000000-0005-0000-0000-0000A96C0000}"/>
    <cellStyle name="40% - Accent3 2 3 4 3 8" xfId="48753" xr:uid="{00000000-0005-0000-0000-0000AA6C0000}"/>
    <cellStyle name="40% - Accent3 2 3 4 3 9" xfId="54271" xr:uid="{00000000-0005-0000-0000-0000AB6C0000}"/>
    <cellStyle name="40% - Accent3 2 3 4 4" xfId="6471" xr:uid="{00000000-0005-0000-0000-0000AC6C0000}"/>
    <cellStyle name="40% - Accent3 2 3 4 5" xfId="11951" xr:uid="{00000000-0005-0000-0000-0000AD6C0000}"/>
    <cellStyle name="40% - Accent3 2 3 4 6" xfId="17427" xr:uid="{00000000-0005-0000-0000-0000AE6C0000}"/>
    <cellStyle name="40% - Accent3 2 3 4 7" xfId="22903" xr:uid="{00000000-0005-0000-0000-0000AF6C0000}"/>
    <cellStyle name="40% - Accent3 2 3 4 8" xfId="34698" xr:uid="{00000000-0005-0000-0000-0000B06C0000}"/>
    <cellStyle name="40% - Accent3 2 3 4 9" xfId="40175" xr:uid="{00000000-0005-0000-0000-0000B16C0000}"/>
    <cellStyle name="40% - Accent3 2 3 5" xfId="734" xr:uid="{00000000-0005-0000-0000-0000B26C0000}"/>
    <cellStyle name="40% - Accent3 2 3 5 10" xfId="45653" xr:uid="{00000000-0005-0000-0000-0000B36C0000}"/>
    <cellStyle name="40% - Accent3 2 3 5 11" xfId="51131" xr:uid="{00000000-0005-0000-0000-0000B46C0000}"/>
    <cellStyle name="40% - Accent3 2 3 5 2" xfId="2495" xr:uid="{00000000-0005-0000-0000-0000B56C0000}"/>
    <cellStyle name="40% - Accent3 2 3 5 2 2" xfId="7975" xr:uid="{00000000-0005-0000-0000-0000B66C0000}"/>
    <cellStyle name="40% - Accent3 2 3 5 2 3" xfId="13451" xr:uid="{00000000-0005-0000-0000-0000B76C0000}"/>
    <cellStyle name="40% - Accent3 2 3 5 2 4" xfId="18927" xr:uid="{00000000-0005-0000-0000-0000B86C0000}"/>
    <cellStyle name="40% - Accent3 2 3 5 2 5" xfId="24403" xr:uid="{00000000-0005-0000-0000-0000B96C0000}"/>
    <cellStyle name="40% - Accent3 2 3 5 2 6" xfId="36199" xr:uid="{00000000-0005-0000-0000-0000BA6C0000}"/>
    <cellStyle name="40% - Accent3 2 3 5 2 7" xfId="41676" xr:uid="{00000000-0005-0000-0000-0000BB6C0000}"/>
    <cellStyle name="40% - Accent3 2 3 5 2 8" xfId="47153" xr:uid="{00000000-0005-0000-0000-0000BC6C0000}"/>
    <cellStyle name="40% - Accent3 2 3 5 2 9" xfId="52671" xr:uid="{00000000-0005-0000-0000-0000BD6C0000}"/>
    <cellStyle name="40% - Accent3 2 3 5 3" xfId="4267" xr:uid="{00000000-0005-0000-0000-0000BE6C0000}"/>
    <cellStyle name="40% - Accent3 2 3 5 3 2" xfId="9747" xr:uid="{00000000-0005-0000-0000-0000BF6C0000}"/>
    <cellStyle name="40% - Accent3 2 3 5 3 3" xfId="15223" xr:uid="{00000000-0005-0000-0000-0000C06C0000}"/>
    <cellStyle name="40% - Accent3 2 3 5 3 4" xfId="20699" xr:uid="{00000000-0005-0000-0000-0000C16C0000}"/>
    <cellStyle name="40% - Accent3 2 3 5 3 5" xfId="26175" xr:uid="{00000000-0005-0000-0000-0000C26C0000}"/>
    <cellStyle name="40% - Accent3 2 3 5 3 6" xfId="37971" xr:uid="{00000000-0005-0000-0000-0000C36C0000}"/>
    <cellStyle name="40% - Accent3 2 3 5 3 7" xfId="43448" xr:uid="{00000000-0005-0000-0000-0000C46C0000}"/>
    <cellStyle name="40% - Accent3 2 3 5 3 8" xfId="48925" xr:uid="{00000000-0005-0000-0000-0000C56C0000}"/>
    <cellStyle name="40% - Accent3 2 3 5 3 9" xfId="54443" xr:uid="{00000000-0005-0000-0000-0000C66C0000}"/>
    <cellStyle name="40% - Accent3 2 3 5 4" xfId="6472" xr:uid="{00000000-0005-0000-0000-0000C76C0000}"/>
    <cellStyle name="40% - Accent3 2 3 5 5" xfId="11952" xr:uid="{00000000-0005-0000-0000-0000C86C0000}"/>
    <cellStyle name="40% - Accent3 2 3 5 6" xfId="17428" xr:uid="{00000000-0005-0000-0000-0000C96C0000}"/>
    <cellStyle name="40% - Accent3 2 3 5 7" xfId="22904" xr:uid="{00000000-0005-0000-0000-0000CA6C0000}"/>
    <cellStyle name="40% - Accent3 2 3 5 8" xfId="34699" xr:uid="{00000000-0005-0000-0000-0000CB6C0000}"/>
    <cellStyle name="40% - Accent3 2 3 5 9" xfId="40176" xr:uid="{00000000-0005-0000-0000-0000CC6C0000}"/>
    <cellStyle name="40% - Accent3 2 3 6" xfId="906" xr:uid="{00000000-0005-0000-0000-0000CD6C0000}"/>
    <cellStyle name="40% - Accent3 2 3 6 10" xfId="45654" xr:uid="{00000000-0005-0000-0000-0000CE6C0000}"/>
    <cellStyle name="40% - Accent3 2 3 6 11" xfId="51132" xr:uid="{00000000-0005-0000-0000-0000CF6C0000}"/>
    <cellStyle name="40% - Accent3 2 3 6 2" xfId="2667" xr:uid="{00000000-0005-0000-0000-0000D06C0000}"/>
    <cellStyle name="40% - Accent3 2 3 6 2 2" xfId="8147" xr:uid="{00000000-0005-0000-0000-0000D16C0000}"/>
    <cellStyle name="40% - Accent3 2 3 6 2 3" xfId="13623" xr:uid="{00000000-0005-0000-0000-0000D26C0000}"/>
    <cellStyle name="40% - Accent3 2 3 6 2 4" xfId="19099" xr:uid="{00000000-0005-0000-0000-0000D36C0000}"/>
    <cellStyle name="40% - Accent3 2 3 6 2 5" xfId="24575" xr:uid="{00000000-0005-0000-0000-0000D46C0000}"/>
    <cellStyle name="40% - Accent3 2 3 6 2 6" xfId="36371" xr:uid="{00000000-0005-0000-0000-0000D56C0000}"/>
    <cellStyle name="40% - Accent3 2 3 6 2 7" xfId="41848" xr:uid="{00000000-0005-0000-0000-0000D66C0000}"/>
    <cellStyle name="40% - Accent3 2 3 6 2 8" xfId="47325" xr:uid="{00000000-0005-0000-0000-0000D76C0000}"/>
    <cellStyle name="40% - Accent3 2 3 6 2 9" xfId="52843" xr:uid="{00000000-0005-0000-0000-0000D86C0000}"/>
    <cellStyle name="40% - Accent3 2 3 6 3" xfId="4439" xr:uid="{00000000-0005-0000-0000-0000D96C0000}"/>
    <cellStyle name="40% - Accent3 2 3 6 3 2" xfId="9919" xr:uid="{00000000-0005-0000-0000-0000DA6C0000}"/>
    <cellStyle name="40% - Accent3 2 3 6 3 3" xfId="15395" xr:uid="{00000000-0005-0000-0000-0000DB6C0000}"/>
    <cellStyle name="40% - Accent3 2 3 6 3 4" xfId="20871" xr:uid="{00000000-0005-0000-0000-0000DC6C0000}"/>
    <cellStyle name="40% - Accent3 2 3 6 3 5" xfId="26347" xr:uid="{00000000-0005-0000-0000-0000DD6C0000}"/>
    <cellStyle name="40% - Accent3 2 3 6 3 6" xfId="38143" xr:uid="{00000000-0005-0000-0000-0000DE6C0000}"/>
    <cellStyle name="40% - Accent3 2 3 6 3 7" xfId="43620" xr:uid="{00000000-0005-0000-0000-0000DF6C0000}"/>
    <cellStyle name="40% - Accent3 2 3 6 3 8" xfId="49097" xr:uid="{00000000-0005-0000-0000-0000E06C0000}"/>
    <cellStyle name="40% - Accent3 2 3 6 3 9" xfId="54615" xr:uid="{00000000-0005-0000-0000-0000E16C0000}"/>
    <cellStyle name="40% - Accent3 2 3 6 4" xfId="6473" xr:uid="{00000000-0005-0000-0000-0000E26C0000}"/>
    <cellStyle name="40% - Accent3 2 3 6 5" xfId="11953" xr:uid="{00000000-0005-0000-0000-0000E36C0000}"/>
    <cellStyle name="40% - Accent3 2 3 6 6" xfId="17429" xr:uid="{00000000-0005-0000-0000-0000E46C0000}"/>
    <cellStyle name="40% - Accent3 2 3 6 7" xfId="22905" xr:uid="{00000000-0005-0000-0000-0000E56C0000}"/>
    <cellStyle name="40% - Accent3 2 3 6 8" xfId="34700" xr:uid="{00000000-0005-0000-0000-0000E66C0000}"/>
    <cellStyle name="40% - Accent3 2 3 6 9" xfId="40177" xr:uid="{00000000-0005-0000-0000-0000E76C0000}"/>
    <cellStyle name="40% - Accent3 2 3 7" xfId="1112" xr:uid="{00000000-0005-0000-0000-0000E86C0000}"/>
    <cellStyle name="40% - Accent3 2 3 7 10" xfId="45655" xr:uid="{00000000-0005-0000-0000-0000E96C0000}"/>
    <cellStyle name="40% - Accent3 2 3 7 11" xfId="51133" xr:uid="{00000000-0005-0000-0000-0000EA6C0000}"/>
    <cellStyle name="40% - Accent3 2 3 7 2" xfId="2873" xr:uid="{00000000-0005-0000-0000-0000EB6C0000}"/>
    <cellStyle name="40% - Accent3 2 3 7 2 2" xfId="8353" xr:uid="{00000000-0005-0000-0000-0000EC6C0000}"/>
    <cellStyle name="40% - Accent3 2 3 7 2 3" xfId="13829" xr:uid="{00000000-0005-0000-0000-0000ED6C0000}"/>
    <cellStyle name="40% - Accent3 2 3 7 2 4" xfId="19305" xr:uid="{00000000-0005-0000-0000-0000EE6C0000}"/>
    <cellStyle name="40% - Accent3 2 3 7 2 5" xfId="24781" xr:uid="{00000000-0005-0000-0000-0000EF6C0000}"/>
    <cellStyle name="40% - Accent3 2 3 7 2 6" xfId="36577" xr:uid="{00000000-0005-0000-0000-0000F06C0000}"/>
    <cellStyle name="40% - Accent3 2 3 7 2 7" xfId="42054" xr:uid="{00000000-0005-0000-0000-0000F16C0000}"/>
    <cellStyle name="40% - Accent3 2 3 7 2 8" xfId="47531" xr:uid="{00000000-0005-0000-0000-0000F26C0000}"/>
    <cellStyle name="40% - Accent3 2 3 7 2 9" xfId="53049" xr:uid="{00000000-0005-0000-0000-0000F36C0000}"/>
    <cellStyle name="40% - Accent3 2 3 7 3" xfId="4645" xr:uid="{00000000-0005-0000-0000-0000F46C0000}"/>
    <cellStyle name="40% - Accent3 2 3 7 3 2" xfId="10125" xr:uid="{00000000-0005-0000-0000-0000F56C0000}"/>
    <cellStyle name="40% - Accent3 2 3 7 3 3" xfId="15601" xr:uid="{00000000-0005-0000-0000-0000F66C0000}"/>
    <cellStyle name="40% - Accent3 2 3 7 3 4" xfId="21077" xr:uid="{00000000-0005-0000-0000-0000F76C0000}"/>
    <cellStyle name="40% - Accent3 2 3 7 3 5" xfId="26553" xr:uid="{00000000-0005-0000-0000-0000F86C0000}"/>
    <cellStyle name="40% - Accent3 2 3 7 3 6" xfId="38349" xr:uid="{00000000-0005-0000-0000-0000F96C0000}"/>
    <cellStyle name="40% - Accent3 2 3 7 3 7" xfId="43826" xr:uid="{00000000-0005-0000-0000-0000FA6C0000}"/>
    <cellStyle name="40% - Accent3 2 3 7 3 8" xfId="49303" xr:uid="{00000000-0005-0000-0000-0000FB6C0000}"/>
    <cellStyle name="40% - Accent3 2 3 7 3 9" xfId="54821" xr:uid="{00000000-0005-0000-0000-0000FC6C0000}"/>
    <cellStyle name="40% - Accent3 2 3 7 4" xfId="6474" xr:uid="{00000000-0005-0000-0000-0000FD6C0000}"/>
    <cellStyle name="40% - Accent3 2 3 7 5" xfId="11954" xr:uid="{00000000-0005-0000-0000-0000FE6C0000}"/>
    <cellStyle name="40% - Accent3 2 3 7 6" xfId="17430" xr:uid="{00000000-0005-0000-0000-0000FF6C0000}"/>
    <cellStyle name="40% - Accent3 2 3 7 7" xfId="22906" xr:uid="{00000000-0005-0000-0000-0000006D0000}"/>
    <cellStyle name="40% - Accent3 2 3 7 8" xfId="34701" xr:uid="{00000000-0005-0000-0000-0000016D0000}"/>
    <cellStyle name="40% - Accent3 2 3 7 9" xfId="40178" xr:uid="{00000000-0005-0000-0000-0000026D0000}"/>
    <cellStyle name="40% - Accent3 2 3 8" xfId="1284" xr:uid="{00000000-0005-0000-0000-0000036D0000}"/>
    <cellStyle name="40% - Accent3 2 3 8 10" xfId="45656" xr:uid="{00000000-0005-0000-0000-0000046D0000}"/>
    <cellStyle name="40% - Accent3 2 3 8 11" xfId="51134" xr:uid="{00000000-0005-0000-0000-0000056D0000}"/>
    <cellStyle name="40% - Accent3 2 3 8 2" xfId="3045" xr:uid="{00000000-0005-0000-0000-0000066D0000}"/>
    <cellStyle name="40% - Accent3 2 3 8 2 2" xfId="8525" xr:uid="{00000000-0005-0000-0000-0000076D0000}"/>
    <cellStyle name="40% - Accent3 2 3 8 2 3" xfId="14001" xr:uid="{00000000-0005-0000-0000-0000086D0000}"/>
    <cellStyle name="40% - Accent3 2 3 8 2 4" xfId="19477" xr:uid="{00000000-0005-0000-0000-0000096D0000}"/>
    <cellStyle name="40% - Accent3 2 3 8 2 5" xfId="24953" xr:uid="{00000000-0005-0000-0000-00000A6D0000}"/>
    <cellStyle name="40% - Accent3 2 3 8 2 6" xfId="36749" xr:uid="{00000000-0005-0000-0000-00000B6D0000}"/>
    <cellStyle name="40% - Accent3 2 3 8 2 7" xfId="42226" xr:uid="{00000000-0005-0000-0000-00000C6D0000}"/>
    <cellStyle name="40% - Accent3 2 3 8 2 8" xfId="47703" xr:uid="{00000000-0005-0000-0000-00000D6D0000}"/>
    <cellStyle name="40% - Accent3 2 3 8 2 9" xfId="53221" xr:uid="{00000000-0005-0000-0000-00000E6D0000}"/>
    <cellStyle name="40% - Accent3 2 3 8 3" xfId="4817" xr:uid="{00000000-0005-0000-0000-00000F6D0000}"/>
    <cellStyle name="40% - Accent3 2 3 8 3 2" xfId="10297" xr:uid="{00000000-0005-0000-0000-0000106D0000}"/>
    <cellStyle name="40% - Accent3 2 3 8 3 3" xfId="15773" xr:uid="{00000000-0005-0000-0000-0000116D0000}"/>
    <cellStyle name="40% - Accent3 2 3 8 3 4" xfId="21249" xr:uid="{00000000-0005-0000-0000-0000126D0000}"/>
    <cellStyle name="40% - Accent3 2 3 8 3 5" xfId="26725" xr:uid="{00000000-0005-0000-0000-0000136D0000}"/>
    <cellStyle name="40% - Accent3 2 3 8 3 6" xfId="38521" xr:uid="{00000000-0005-0000-0000-0000146D0000}"/>
    <cellStyle name="40% - Accent3 2 3 8 3 7" xfId="43998" xr:uid="{00000000-0005-0000-0000-0000156D0000}"/>
    <cellStyle name="40% - Accent3 2 3 8 3 8" xfId="49475" xr:uid="{00000000-0005-0000-0000-0000166D0000}"/>
    <cellStyle name="40% - Accent3 2 3 8 3 9" xfId="54993" xr:uid="{00000000-0005-0000-0000-0000176D0000}"/>
    <cellStyle name="40% - Accent3 2 3 8 4" xfId="6475" xr:uid="{00000000-0005-0000-0000-0000186D0000}"/>
    <cellStyle name="40% - Accent3 2 3 8 5" xfId="11955" xr:uid="{00000000-0005-0000-0000-0000196D0000}"/>
    <cellStyle name="40% - Accent3 2 3 8 6" xfId="17431" xr:uid="{00000000-0005-0000-0000-00001A6D0000}"/>
    <cellStyle name="40% - Accent3 2 3 8 7" xfId="22907" xr:uid="{00000000-0005-0000-0000-00001B6D0000}"/>
    <cellStyle name="40% - Accent3 2 3 8 8" xfId="34702" xr:uid="{00000000-0005-0000-0000-00001C6D0000}"/>
    <cellStyle name="40% - Accent3 2 3 8 9" xfId="40179" xr:uid="{00000000-0005-0000-0000-00001D6D0000}"/>
    <cellStyle name="40% - Accent3 2 3 9" xfId="1456" xr:uid="{00000000-0005-0000-0000-00001E6D0000}"/>
    <cellStyle name="40% - Accent3 2 3 9 10" xfId="45657" xr:uid="{00000000-0005-0000-0000-00001F6D0000}"/>
    <cellStyle name="40% - Accent3 2 3 9 11" xfId="51135" xr:uid="{00000000-0005-0000-0000-0000206D0000}"/>
    <cellStyle name="40% - Accent3 2 3 9 2" xfId="3217" xr:uid="{00000000-0005-0000-0000-0000216D0000}"/>
    <cellStyle name="40% - Accent3 2 3 9 2 2" xfId="8697" xr:uid="{00000000-0005-0000-0000-0000226D0000}"/>
    <cellStyle name="40% - Accent3 2 3 9 2 3" xfId="14173" xr:uid="{00000000-0005-0000-0000-0000236D0000}"/>
    <cellStyle name="40% - Accent3 2 3 9 2 4" xfId="19649" xr:uid="{00000000-0005-0000-0000-0000246D0000}"/>
    <cellStyle name="40% - Accent3 2 3 9 2 5" xfId="25125" xr:uid="{00000000-0005-0000-0000-0000256D0000}"/>
    <cellStyle name="40% - Accent3 2 3 9 2 6" xfId="36921" xr:uid="{00000000-0005-0000-0000-0000266D0000}"/>
    <cellStyle name="40% - Accent3 2 3 9 2 7" xfId="42398" xr:uid="{00000000-0005-0000-0000-0000276D0000}"/>
    <cellStyle name="40% - Accent3 2 3 9 2 8" xfId="47875" xr:uid="{00000000-0005-0000-0000-0000286D0000}"/>
    <cellStyle name="40% - Accent3 2 3 9 2 9" xfId="53393" xr:uid="{00000000-0005-0000-0000-0000296D0000}"/>
    <cellStyle name="40% - Accent3 2 3 9 3" xfId="4989" xr:uid="{00000000-0005-0000-0000-00002A6D0000}"/>
    <cellStyle name="40% - Accent3 2 3 9 3 2" xfId="10469" xr:uid="{00000000-0005-0000-0000-00002B6D0000}"/>
    <cellStyle name="40% - Accent3 2 3 9 3 3" xfId="15945" xr:uid="{00000000-0005-0000-0000-00002C6D0000}"/>
    <cellStyle name="40% - Accent3 2 3 9 3 4" xfId="21421" xr:uid="{00000000-0005-0000-0000-00002D6D0000}"/>
    <cellStyle name="40% - Accent3 2 3 9 3 5" xfId="26897" xr:uid="{00000000-0005-0000-0000-00002E6D0000}"/>
    <cellStyle name="40% - Accent3 2 3 9 3 6" xfId="38693" xr:uid="{00000000-0005-0000-0000-00002F6D0000}"/>
    <cellStyle name="40% - Accent3 2 3 9 3 7" xfId="44170" xr:uid="{00000000-0005-0000-0000-0000306D0000}"/>
    <cellStyle name="40% - Accent3 2 3 9 3 8" xfId="49647" xr:uid="{00000000-0005-0000-0000-0000316D0000}"/>
    <cellStyle name="40% - Accent3 2 3 9 3 9" xfId="55165" xr:uid="{00000000-0005-0000-0000-0000326D0000}"/>
    <cellStyle name="40% - Accent3 2 3 9 4" xfId="6476" xr:uid="{00000000-0005-0000-0000-0000336D0000}"/>
    <cellStyle name="40% - Accent3 2 3 9 5" xfId="11956" xr:uid="{00000000-0005-0000-0000-0000346D0000}"/>
    <cellStyle name="40% - Accent3 2 3 9 6" xfId="17432" xr:uid="{00000000-0005-0000-0000-0000356D0000}"/>
    <cellStyle name="40% - Accent3 2 3 9 7" xfId="22908" xr:uid="{00000000-0005-0000-0000-0000366D0000}"/>
    <cellStyle name="40% - Accent3 2 3 9 8" xfId="34703" xr:uid="{00000000-0005-0000-0000-0000376D0000}"/>
    <cellStyle name="40% - Accent3 2 3 9 9" xfId="40180" xr:uid="{00000000-0005-0000-0000-0000386D0000}"/>
    <cellStyle name="40% - Accent3 2 4" xfId="172" xr:uid="{00000000-0005-0000-0000-0000396D0000}"/>
    <cellStyle name="40% - Accent3 2 4 10" xfId="1630" xr:uid="{00000000-0005-0000-0000-00003A6D0000}"/>
    <cellStyle name="40% - Accent3 2 4 10 10" xfId="45659" xr:uid="{00000000-0005-0000-0000-00003B6D0000}"/>
    <cellStyle name="40% - Accent3 2 4 10 11" xfId="51137" xr:uid="{00000000-0005-0000-0000-00003C6D0000}"/>
    <cellStyle name="40% - Accent3 2 4 10 2" xfId="3391" xr:uid="{00000000-0005-0000-0000-00003D6D0000}"/>
    <cellStyle name="40% - Accent3 2 4 10 2 2" xfId="8871" xr:uid="{00000000-0005-0000-0000-00003E6D0000}"/>
    <cellStyle name="40% - Accent3 2 4 10 2 3" xfId="14347" xr:uid="{00000000-0005-0000-0000-00003F6D0000}"/>
    <cellStyle name="40% - Accent3 2 4 10 2 4" xfId="19823" xr:uid="{00000000-0005-0000-0000-0000406D0000}"/>
    <cellStyle name="40% - Accent3 2 4 10 2 5" xfId="25299" xr:uid="{00000000-0005-0000-0000-0000416D0000}"/>
    <cellStyle name="40% - Accent3 2 4 10 2 6" xfId="37095" xr:uid="{00000000-0005-0000-0000-0000426D0000}"/>
    <cellStyle name="40% - Accent3 2 4 10 2 7" xfId="42572" xr:uid="{00000000-0005-0000-0000-0000436D0000}"/>
    <cellStyle name="40% - Accent3 2 4 10 2 8" xfId="48049" xr:uid="{00000000-0005-0000-0000-0000446D0000}"/>
    <cellStyle name="40% - Accent3 2 4 10 2 9" xfId="53567" xr:uid="{00000000-0005-0000-0000-0000456D0000}"/>
    <cellStyle name="40% - Accent3 2 4 10 3" xfId="5163" xr:uid="{00000000-0005-0000-0000-0000466D0000}"/>
    <cellStyle name="40% - Accent3 2 4 10 3 2" xfId="10643" xr:uid="{00000000-0005-0000-0000-0000476D0000}"/>
    <cellStyle name="40% - Accent3 2 4 10 3 3" xfId="16119" xr:uid="{00000000-0005-0000-0000-0000486D0000}"/>
    <cellStyle name="40% - Accent3 2 4 10 3 4" xfId="21595" xr:uid="{00000000-0005-0000-0000-0000496D0000}"/>
    <cellStyle name="40% - Accent3 2 4 10 3 5" xfId="27071" xr:uid="{00000000-0005-0000-0000-00004A6D0000}"/>
    <cellStyle name="40% - Accent3 2 4 10 3 6" xfId="38867" xr:uid="{00000000-0005-0000-0000-00004B6D0000}"/>
    <cellStyle name="40% - Accent3 2 4 10 3 7" xfId="44344" xr:uid="{00000000-0005-0000-0000-00004C6D0000}"/>
    <cellStyle name="40% - Accent3 2 4 10 3 8" xfId="49821" xr:uid="{00000000-0005-0000-0000-00004D6D0000}"/>
    <cellStyle name="40% - Accent3 2 4 10 3 9" xfId="55339" xr:uid="{00000000-0005-0000-0000-00004E6D0000}"/>
    <cellStyle name="40% - Accent3 2 4 10 4" xfId="6478" xr:uid="{00000000-0005-0000-0000-00004F6D0000}"/>
    <cellStyle name="40% - Accent3 2 4 10 5" xfId="11958" xr:uid="{00000000-0005-0000-0000-0000506D0000}"/>
    <cellStyle name="40% - Accent3 2 4 10 6" xfId="17434" xr:uid="{00000000-0005-0000-0000-0000516D0000}"/>
    <cellStyle name="40% - Accent3 2 4 10 7" xfId="22910" xr:uid="{00000000-0005-0000-0000-0000526D0000}"/>
    <cellStyle name="40% - Accent3 2 4 10 8" xfId="34705" xr:uid="{00000000-0005-0000-0000-0000536D0000}"/>
    <cellStyle name="40% - Accent3 2 4 10 9" xfId="40182" xr:uid="{00000000-0005-0000-0000-0000546D0000}"/>
    <cellStyle name="40% - Accent3 2 4 11" xfId="1827" xr:uid="{00000000-0005-0000-0000-0000556D0000}"/>
    <cellStyle name="40% - Accent3 2 4 11 10" xfId="45660" xr:uid="{00000000-0005-0000-0000-0000566D0000}"/>
    <cellStyle name="40% - Accent3 2 4 11 11" xfId="51138" xr:uid="{00000000-0005-0000-0000-0000576D0000}"/>
    <cellStyle name="40% - Accent3 2 4 11 2" xfId="3588" xr:uid="{00000000-0005-0000-0000-0000586D0000}"/>
    <cellStyle name="40% - Accent3 2 4 11 2 2" xfId="9068" xr:uid="{00000000-0005-0000-0000-0000596D0000}"/>
    <cellStyle name="40% - Accent3 2 4 11 2 3" xfId="14544" xr:uid="{00000000-0005-0000-0000-00005A6D0000}"/>
    <cellStyle name="40% - Accent3 2 4 11 2 4" xfId="20020" xr:uid="{00000000-0005-0000-0000-00005B6D0000}"/>
    <cellStyle name="40% - Accent3 2 4 11 2 5" xfId="25496" xr:uid="{00000000-0005-0000-0000-00005C6D0000}"/>
    <cellStyle name="40% - Accent3 2 4 11 2 6" xfId="37292" xr:uid="{00000000-0005-0000-0000-00005D6D0000}"/>
    <cellStyle name="40% - Accent3 2 4 11 2 7" xfId="42769" xr:uid="{00000000-0005-0000-0000-00005E6D0000}"/>
    <cellStyle name="40% - Accent3 2 4 11 2 8" xfId="48246" xr:uid="{00000000-0005-0000-0000-00005F6D0000}"/>
    <cellStyle name="40% - Accent3 2 4 11 2 9" xfId="53764" xr:uid="{00000000-0005-0000-0000-0000606D0000}"/>
    <cellStyle name="40% - Accent3 2 4 11 3" xfId="5360" xr:uid="{00000000-0005-0000-0000-0000616D0000}"/>
    <cellStyle name="40% - Accent3 2 4 11 3 2" xfId="10840" xr:uid="{00000000-0005-0000-0000-0000626D0000}"/>
    <cellStyle name="40% - Accent3 2 4 11 3 3" xfId="16316" xr:uid="{00000000-0005-0000-0000-0000636D0000}"/>
    <cellStyle name="40% - Accent3 2 4 11 3 4" xfId="21792" xr:uid="{00000000-0005-0000-0000-0000646D0000}"/>
    <cellStyle name="40% - Accent3 2 4 11 3 5" xfId="27268" xr:uid="{00000000-0005-0000-0000-0000656D0000}"/>
    <cellStyle name="40% - Accent3 2 4 11 3 6" xfId="39064" xr:uid="{00000000-0005-0000-0000-0000666D0000}"/>
    <cellStyle name="40% - Accent3 2 4 11 3 7" xfId="44541" xr:uid="{00000000-0005-0000-0000-0000676D0000}"/>
    <cellStyle name="40% - Accent3 2 4 11 3 8" xfId="50018" xr:uid="{00000000-0005-0000-0000-0000686D0000}"/>
    <cellStyle name="40% - Accent3 2 4 11 3 9" xfId="55536" xr:uid="{00000000-0005-0000-0000-0000696D0000}"/>
    <cellStyle name="40% - Accent3 2 4 11 4" xfId="6479" xr:uid="{00000000-0005-0000-0000-00006A6D0000}"/>
    <cellStyle name="40% - Accent3 2 4 11 5" xfId="11959" xr:uid="{00000000-0005-0000-0000-00006B6D0000}"/>
    <cellStyle name="40% - Accent3 2 4 11 6" xfId="17435" xr:uid="{00000000-0005-0000-0000-00006C6D0000}"/>
    <cellStyle name="40% - Accent3 2 4 11 7" xfId="22911" xr:uid="{00000000-0005-0000-0000-00006D6D0000}"/>
    <cellStyle name="40% - Accent3 2 4 11 8" xfId="34706" xr:uid="{00000000-0005-0000-0000-00006E6D0000}"/>
    <cellStyle name="40% - Accent3 2 4 11 9" xfId="40183" xr:uid="{00000000-0005-0000-0000-00006F6D0000}"/>
    <cellStyle name="40% - Accent3 2 4 12" xfId="1992" xr:uid="{00000000-0005-0000-0000-0000706D0000}"/>
    <cellStyle name="40% - Accent3 2 4 12 10" xfId="52169" xr:uid="{00000000-0005-0000-0000-0000716D0000}"/>
    <cellStyle name="40% - Accent3 2 4 12 2" xfId="5524" xr:uid="{00000000-0005-0000-0000-0000726D0000}"/>
    <cellStyle name="40% - Accent3 2 4 12 2 2" xfId="11004" xr:uid="{00000000-0005-0000-0000-0000736D0000}"/>
    <cellStyle name="40% - Accent3 2 4 12 2 3" xfId="16480" xr:uid="{00000000-0005-0000-0000-0000746D0000}"/>
    <cellStyle name="40% - Accent3 2 4 12 2 4" xfId="21956" xr:uid="{00000000-0005-0000-0000-0000756D0000}"/>
    <cellStyle name="40% - Accent3 2 4 12 2 5" xfId="27432" xr:uid="{00000000-0005-0000-0000-0000766D0000}"/>
    <cellStyle name="40% - Accent3 2 4 12 2 6" xfId="39228" xr:uid="{00000000-0005-0000-0000-0000776D0000}"/>
    <cellStyle name="40% - Accent3 2 4 12 2 7" xfId="44705" xr:uid="{00000000-0005-0000-0000-0000786D0000}"/>
    <cellStyle name="40% - Accent3 2 4 12 2 8" xfId="50182" xr:uid="{00000000-0005-0000-0000-0000796D0000}"/>
    <cellStyle name="40% - Accent3 2 4 12 2 9" xfId="55700" xr:uid="{00000000-0005-0000-0000-00007A6D0000}"/>
    <cellStyle name="40% - Accent3 2 4 12 3" xfId="7473" xr:uid="{00000000-0005-0000-0000-00007B6D0000}"/>
    <cellStyle name="40% - Accent3 2 4 12 4" xfId="12949" xr:uid="{00000000-0005-0000-0000-00007C6D0000}"/>
    <cellStyle name="40% - Accent3 2 4 12 5" xfId="18425" xr:uid="{00000000-0005-0000-0000-00007D6D0000}"/>
    <cellStyle name="40% - Accent3 2 4 12 6" xfId="23901" xr:uid="{00000000-0005-0000-0000-00007E6D0000}"/>
    <cellStyle name="40% - Accent3 2 4 12 7" xfId="35697" xr:uid="{00000000-0005-0000-0000-00007F6D0000}"/>
    <cellStyle name="40% - Accent3 2 4 12 8" xfId="41174" xr:uid="{00000000-0005-0000-0000-0000806D0000}"/>
    <cellStyle name="40% - Accent3 2 4 12 9" xfId="46651" xr:uid="{00000000-0005-0000-0000-0000816D0000}"/>
    <cellStyle name="40% - Accent3 2 4 13" xfId="3744" xr:uid="{00000000-0005-0000-0000-0000826D0000}"/>
    <cellStyle name="40% - Accent3 2 4 13 2" xfId="9224" xr:uid="{00000000-0005-0000-0000-0000836D0000}"/>
    <cellStyle name="40% - Accent3 2 4 13 3" xfId="14700" xr:uid="{00000000-0005-0000-0000-0000846D0000}"/>
    <cellStyle name="40% - Accent3 2 4 13 4" xfId="20176" xr:uid="{00000000-0005-0000-0000-0000856D0000}"/>
    <cellStyle name="40% - Accent3 2 4 13 5" xfId="25652" xr:uid="{00000000-0005-0000-0000-0000866D0000}"/>
    <cellStyle name="40% - Accent3 2 4 13 6" xfId="37448" xr:uid="{00000000-0005-0000-0000-0000876D0000}"/>
    <cellStyle name="40% - Accent3 2 4 13 7" xfId="42925" xr:uid="{00000000-0005-0000-0000-0000886D0000}"/>
    <cellStyle name="40% - Accent3 2 4 13 8" xfId="48402" xr:uid="{00000000-0005-0000-0000-0000896D0000}"/>
    <cellStyle name="40% - Accent3 2 4 13 9" xfId="53920" xr:uid="{00000000-0005-0000-0000-00008A6D0000}"/>
    <cellStyle name="40% - Accent3 2 4 14" xfId="6477" xr:uid="{00000000-0005-0000-0000-00008B6D0000}"/>
    <cellStyle name="40% - Accent3 2 4 15" xfId="11957" xr:uid="{00000000-0005-0000-0000-00008C6D0000}"/>
    <cellStyle name="40% - Accent3 2 4 16" xfId="17433" xr:uid="{00000000-0005-0000-0000-00008D6D0000}"/>
    <cellStyle name="40% - Accent3 2 4 17" xfId="22909" xr:uid="{00000000-0005-0000-0000-00008E6D0000}"/>
    <cellStyle name="40% - Accent3 2 4 18" xfId="31253" xr:uid="{00000000-0005-0000-0000-00008F6D0000}"/>
    <cellStyle name="40% - Accent3 2 4 19" xfId="34704" xr:uid="{00000000-0005-0000-0000-0000906D0000}"/>
    <cellStyle name="40% - Accent3 2 4 2" xfId="264" xr:uid="{00000000-0005-0000-0000-0000916D0000}"/>
    <cellStyle name="40% - Accent3 2 4 2 10" xfId="1828" xr:uid="{00000000-0005-0000-0000-0000926D0000}"/>
    <cellStyle name="40% - Accent3 2 4 2 10 10" xfId="45662" xr:uid="{00000000-0005-0000-0000-0000936D0000}"/>
    <cellStyle name="40% - Accent3 2 4 2 10 11" xfId="51140" xr:uid="{00000000-0005-0000-0000-0000946D0000}"/>
    <cellStyle name="40% - Accent3 2 4 2 10 2" xfId="3589" xr:uid="{00000000-0005-0000-0000-0000956D0000}"/>
    <cellStyle name="40% - Accent3 2 4 2 10 2 2" xfId="9069" xr:uid="{00000000-0005-0000-0000-0000966D0000}"/>
    <cellStyle name="40% - Accent3 2 4 2 10 2 3" xfId="14545" xr:uid="{00000000-0005-0000-0000-0000976D0000}"/>
    <cellStyle name="40% - Accent3 2 4 2 10 2 4" xfId="20021" xr:uid="{00000000-0005-0000-0000-0000986D0000}"/>
    <cellStyle name="40% - Accent3 2 4 2 10 2 5" xfId="25497" xr:uid="{00000000-0005-0000-0000-0000996D0000}"/>
    <cellStyle name="40% - Accent3 2 4 2 10 2 6" xfId="37293" xr:uid="{00000000-0005-0000-0000-00009A6D0000}"/>
    <cellStyle name="40% - Accent3 2 4 2 10 2 7" xfId="42770" xr:uid="{00000000-0005-0000-0000-00009B6D0000}"/>
    <cellStyle name="40% - Accent3 2 4 2 10 2 8" xfId="48247" xr:uid="{00000000-0005-0000-0000-00009C6D0000}"/>
    <cellStyle name="40% - Accent3 2 4 2 10 2 9" xfId="53765" xr:uid="{00000000-0005-0000-0000-00009D6D0000}"/>
    <cellStyle name="40% - Accent3 2 4 2 10 3" xfId="5361" xr:uid="{00000000-0005-0000-0000-00009E6D0000}"/>
    <cellStyle name="40% - Accent3 2 4 2 10 3 2" xfId="10841" xr:uid="{00000000-0005-0000-0000-00009F6D0000}"/>
    <cellStyle name="40% - Accent3 2 4 2 10 3 3" xfId="16317" xr:uid="{00000000-0005-0000-0000-0000A06D0000}"/>
    <cellStyle name="40% - Accent3 2 4 2 10 3 4" xfId="21793" xr:uid="{00000000-0005-0000-0000-0000A16D0000}"/>
    <cellStyle name="40% - Accent3 2 4 2 10 3 5" xfId="27269" xr:uid="{00000000-0005-0000-0000-0000A26D0000}"/>
    <cellStyle name="40% - Accent3 2 4 2 10 3 6" xfId="39065" xr:uid="{00000000-0005-0000-0000-0000A36D0000}"/>
    <cellStyle name="40% - Accent3 2 4 2 10 3 7" xfId="44542" xr:uid="{00000000-0005-0000-0000-0000A46D0000}"/>
    <cellStyle name="40% - Accent3 2 4 2 10 3 8" xfId="50019" xr:uid="{00000000-0005-0000-0000-0000A56D0000}"/>
    <cellStyle name="40% - Accent3 2 4 2 10 3 9" xfId="55537" xr:uid="{00000000-0005-0000-0000-0000A66D0000}"/>
    <cellStyle name="40% - Accent3 2 4 2 10 4" xfId="6481" xr:uid="{00000000-0005-0000-0000-0000A76D0000}"/>
    <cellStyle name="40% - Accent3 2 4 2 10 5" xfId="11961" xr:uid="{00000000-0005-0000-0000-0000A86D0000}"/>
    <cellStyle name="40% - Accent3 2 4 2 10 6" xfId="17437" xr:uid="{00000000-0005-0000-0000-0000A96D0000}"/>
    <cellStyle name="40% - Accent3 2 4 2 10 7" xfId="22913" xr:uid="{00000000-0005-0000-0000-0000AA6D0000}"/>
    <cellStyle name="40% - Accent3 2 4 2 10 8" xfId="34708" xr:uid="{00000000-0005-0000-0000-0000AB6D0000}"/>
    <cellStyle name="40% - Accent3 2 4 2 10 9" xfId="40185" xr:uid="{00000000-0005-0000-0000-0000AC6D0000}"/>
    <cellStyle name="40% - Accent3 2 4 2 11" xfId="1993" xr:uid="{00000000-0005-0000-0000-0000AD6D0000}"/>
    <cellStyle name="40% - Accent3 2 4 2 11 10" xfId="52170" xr:uid="{00000000-0005-0000-0000-0000AE6D0000}"/>
    <cellStyle name="40% - Accent3 2 4 2 11 2" xfId="5525" xr:uid="{00000000-0005-0000-0000-0000AF6D0000}"/>
    <cellStyle name="40% - Accent3 2 4 2 11 2 2" xfId="11005" xr:uid="{00000000-0005-0000-0000-0000B06D0000}"/>
    <cellStyle name="40% - Accent3 2 4 2 11 2 3" xfId="16481" xr:uid="{00000000-0005-0000-0000-0000B16D0000}"/>
    <cellStyle name="40% - Accent3 2 4 2 11 2 4" xfId="21957" xr:uid="{00000000-0005-0000-0000-0000B26D0000}"/>
    <cellStyle name="40% - Accent3 2 4 2 11 2 5" xfId="27433" xr:uid="{00000000-0005-0000-0000-0000B36D0000}"/>
    <cellStyle name="40% - Accent3 2 4 2 11 2 6" xfId="39229" xr:uid="{00000000-0005-0000-0000-0000B46D0000}"/>
    <cellStyle name="40% - Accent3 2 4 2 11 2 7" xfId="44706" xr:uid="{00000000-0005-0000-0000-0000B56D0000}"/>
    <cellStyle name="40% - Accent3 2 4 2 11 2 8" xfId="50183" xr:uid="{00000000-0005-0000-0000-0000B66D0000}"/>
    <cellStyle name="40% - Accent3 2 4 2 11 2 9" xfId="55701" xr:uid="{00000000-0005-0000-0000-0000B76D0000}"/>
    <cellStyle name="40% - Accent3 2 4 2 11 3" xfId="7474" xr:uid="{00000000-0005-0000-0000-0000B86D0000}"/>
    <cellStyle name="40% - Accent3 2 4 2 11 4" xfId="12950" xr:uid="{00000000-0005-0000-0000-0000B96D0000}"/>
    <cellStyle name="40% - Accent3 2 4 2 11 5" xfId="18426" xr:uid="{00000000-0005-0000-0000-0000BA6D0000}"/>
    <cellStyle name="40% - Accent3 2 4 2 11 6" xfId="23902" xr:uid="{00000000-0005-0000-0000-0000BB6D0000}"/>
    <cellStyle name="40% - Accent3 2 4 2 11 7" xfId="35698" xr:uid="{00000000-0005-0000-0000-0000BC6D0000}"/>
    <cellStyle name="40% - Accent3 2 4 2 11 8" xfId="41175" xr:uid="{00000000-0005-0000-0000-0000BD6D0000}"/>
    <cellStyle name="40% - Accent3 2 4 2 11 9" xfId="46652" xr:uid="{00000000-0005-0000-0000-0000BE6D0000}"/>
    <cellStyle name="40% - Accent3 2 4 2 12" xfId="3830" xr:uid="{00000000-0005-0000-0000-0000BF6D0000}"/>
    <cellStyle name="40% - Accent3 2 4 2 12 2" xfId="9310" xr:uid="{00000000-0005-0000-0000-0000C06D0000}"/>
    <cellStyle name="40% - Accent3 2 4 2 12 3" xfId="14786" xr:uid="{00000000-0005-0000-0000-0000C16D0000}"/>
    <cellStyle name="40% - Accent3 2 4 2 12 4" xfId="20262" xr:uid="{00000000-0005-0000-0000-0000C26D0000}"/>
    <cellStyle name="40% - Accent3 2 4 2 12 5" xfId="25738" xr:uid="{00000000-0005-0000-0000-0000C36D0000}"/>
    <cellStyle name="40% - Accent3 2 4 2 12 6" xfId="37534" xr:uid="{00000000-0005-0000-0000-0000C46D0000}"/>
    <cellStyle name="40% - Accent3 2 4 2 12 7" xfId="43011" xr:uid="{00000000-0005-0000-0000-0000C56D0000}"/>
    <cellStyle name="40% - Accent3 2 4 2 12 8" xfId="48488" xr:uid="{00000000-0005-0000-0000-0000C66D0000}"/>
    <cellStyle name="40% - Accent3 2 4 2 12 9" xfId="54006" xr:uid="{00000000-0005-0000-0000-0000C76D0000}"/>
    <cellStyle name="40% - Accent3 2 4 2 13" xfId="6480" xr:uid="{00000000-0005-0000-0000-0000C86D0000}"/>
    <cellStyle name="40% - Accent3 2 4 2 14" xfId="11960" xr:uid="{00000000-0005-0000-0000-0000C96D0000}"/>
    <cellStyle name="40% - Accent3 2 4 2 15" xfId="17436" xr:uid="{00000000-0005-0000-0000-0000CA6D0000}"/>
    <cellStyle name="40% - Accent3 2 4 2 16" xfId="22912" xr:uid="{00000000-0005-0000-0000-0000CB6D0000}"/>
    <cellStyle name="40% - Accent3 2 4 2 17" xfId="31254" xr:uid="{00000000-0005-0000-0000-0000CC6D0000}"/>
    <cellStyle name="40% - Accent3 2 4 2 18" xfId="34707" xr:uid="{00000000-0005-0000-0000-0000CD6D0000}"/>
    <cellStyle name="40% - Accent3 2 4 2 19" xfId="40184" xr:uid="{00000000-0005-0000-0000-0000CE6D0000}"/>
    <cellStyle name="40% - Accent3 2 4 2 2" xfId="364" xr:uid="{00000000-0005-0000-0000-0000CF6D0000}"/>
    <cellStyle name="40% - Accent3 2 4 2 2 10" xfId="40186" xr:uid="{00000000-0005-0000-0000-0000D06D0000}"/>
    <cellStyle name="40% - Accent3 2 4 2 2 11" xfId="45663" xr:uid="{00000000-0005-0000-0000-0000D16D0000}"/>
    <cellStyle name="40% - Accent3 2 4 2 2 12" xfId="51141" xr:uid="{00000000-0005-0000-0000-0000D26D0000}"/>
    <cellStyle name="40% - Accent3 2 4 2 2 2" xfId="2158" xr:uid="{00000000-0005-0000-0000-0000D36D0000}"/>
    <cellStyle name="40% - Accent3 2 4 2 2 2 2" xfId="7638" xr:uid="{00000000-0005-0000-0000-0000D46D0000}"/>
    <cellStyle name="40% - Accent3 2 4 2 2 2 3" xfId="13114" xr:uid="{00000000-0005-0000-0000-0000D56D0000}"/>
    <cellStyle name="40% - Accent3 2 4 2 2 2 4" xfId="18590" xr:uid="{00000000-0005-0000-0000-0000D66D0000}"/>
    <cellStyle name="40% - Accent3 2 4 2 2 2 5" xfId="24066" xr:uid="{00000000-0005-0000-0000-0000D76D0000}"/>
    <cellStyle name="40% - Accent3 2 4 2 2 2 6" xfId="35862" xr:uid="{00000000-0005-0000-0000-0000D86D0000}"/>
    <cellStyle name="40% - Accent3 2 4 2 2 2 7" xfId="41339" xr:uid="{00000000-0005-0000-0000-0000D96D0000}"/>
    <cellStyle name="40% - Accent3 2 4 2 2 2 8" xfId="46816" xr:uid="{00000000-0005-0000-0000-0000DA6D0000}"/>
    <cellStyle name="40% - Accent3 2 4 2 2 2 9" xfId="52334" xr:uid="{00000000-0005-0000-0000-0000DB6D0000}"/>
    <cellStyle name="40% - Accent3 2 4 2 2 3" xfId="3926" xr:uid="{00000000-0005-0000-0000-0000DC6D0000}"/>
    <cellStyle name="40% - Accent3 2 4 2 2 3 2" xfId="9406" xr:uid="{00000000-0005-0000-0000-0000DD6D0000}"/>
    <cellStyle name="40% - Accent3 2 4 2 2 3 3" xfId="14882" xr:uid="{00000000-0005-0000-0000-0000DE6D0000}"/>
    <cellStyle name="40% - Accent3 2 4 2 2 3 4" xfId="20358" xr:uid="{00000000-0005-0000-0000-0000DF6D0000}"/>
    <cellStyle name="40% - Accent3 2 4 2 2 3 5" xfId="25834" xr:uid="{00000000-0005-0000-0000-0000E06D0000}"/>
    <cellStyle name="40% - Accent3 2 4 2 2 3 6" xfId="37630" xr:uid="{00000000-0005-0000-0000-0000E16D0000}"/>
    <cellStyle name="40% - Accent3 2 4 2 2 3 7" xfId="43107" xr:uid="{00000000-0005-0000-0000-0000E26D0000}"/>
    <cellStyle name="40% - Accent3 2 4 2 2 3 8" xfId="48584" xr:uid="{00000000-0005-0000-0000-0000E36D0000}"/>
    <cellStyle name="40% - Accent3 2 4 2 2 3 9" xfId="54102" xr:uid="{00000000-0005-0000-0000-0000E46D0000}"/>
    <cellStyle name="40% - Accent3 2 4 2 2 4" xfId="6482" xr:uid="{00000000-0005-0000-0000-0000E56D0000}"/>
    <cellStyle name="40% - Accent3 2 4 2 2 5" xfId="11962" xr:uid="{00000000-0005-0000-0000-0000E66D0000}"/>
    <cellStyle name="40% - Accent3 2 4 2 2 6" xfId="17438" xr:uid="{00000000-0005-0000-0000-0000E76D0000}"/>
    <cellStyle name="40% - Accent3 2 4 2 2 7" xfId="22914" xr:uid="{00000000-0005-0000-0000-0000E86D0000}"/>
    <cellStyle name="40% - Accent3 2 4 2 2 8" xfId="31255" xr:uid="{00000000-0005-0000-0000-0000E96D0000}"/>
    <cellStyle name="40% - Accent3 2 4 2 2 9" xfId="34709" xr:uid="{00000000-0005-0000-0000-0000EA6D0000}"/>
    <cellStyle name="40% - Accent3 2 4 2 20" xfId="45661" xr:uid="{00000000-0005-0000-0000-0000EB6D0000}"/>
    <cellStyle name="40% - Accent3 2 4 2 21" xfId="51139" xr:uid="{00000000-0005-0000-0000-0000EC6D0000}"/>
    <cellStyle name="40% - Accent3 2 4 2 3" xfId="565" xr:uid="{00000000-0005-0000-0000-0000ED6D0000}"/>
    <cellStyle name="40% - Accent3 2 4 2 3 10" xfId="45664" xr:uid="{00000000-0005-0000-0000-0000EE6D0000}"/>
    <cellStyle name="40% - Accent3 2 4 2 3 11" xfId="51142" xr:uid="{00000000-0005-0000-0000-0000EF6D0000}"/>
    <cellStyle name="40% - Accent3 2 4 2 3 2" xfId="2326" xr:uid="{00000000-0005-0000-0000-0000F06D0000}"/>
    <cellStyle name="40% - Accent3 2 4 2 3 2 2" xfId="7806" xr:uid="{00000000-0005-0000-0000-0000F16D0000}"/>
    <cellStyle name="40% - Accent3 2 4 2 3 2 3" xfId="13282" xr:uid="{00000000-0005-0000-0000-0000F26D0000}"/>
    <cellStyle name="40% - Accent3 2 4 2 3 2 4" xfId="18758" xr:uid="{00000000-0005-0000-0000-0000F36D0000}"/>
    <cellStyle name="40% - Accent3 2 4 2 3 2 5" xfId="24234" xr:uid="{00000000-0005-0000-0000-0000F46D0000}"/>
    <cellStyle name="40% - Accent3 2 4 2 3 2 6" xfId="36030" xr:uid="{00000000-0005-0000-0000-0000F56D0000}"/>
    <cellStyle name="40% - Accent3 2 4 2 3 2 7" xfId="41507" xr:uid="{00000000-0005-0000-0000-0000F66D0000}"/>
    <cellStyle name="40% - Accent3 2 4 2 3 2 8" xfId="46984" xr:uid="{00000000-0005-0000-0000-0000F76D0000}"/>
    <cellStyle name="40% - Accent3 2 4 2 3 2 9" xfId="52502" xr:uid="{00000000-0005-0000-0000-0000F86D0000}"/>
    <cellStyle name="40% - Accent3 2 4 2 3 3" xfId="4098" xr:uid="{00000000-0005-0000-0000-0000F96D0000}"/>
    <cellStyle name="40% - Accent3 2 4 2 3 3 2" xfId="9578" xr:uid="{00000000-0005-0000-0000-0000FA6D0000}"/>
    <cellStyle name="40% - Accent3 2 4 2 3 3 3" xfId="15054" xr:uid="{00000000-0005-0000-0000-0000FB6D0000}"/>
    <cellStyle name="40% - Accent3 2 4 2 3 3 4" xfId="20530" xr:uid="{00000000-0005-0000-0000-0000FC6D0000}"/>
    <cellStyle name="40% - Accent3 2 4 2 3 3 5" xfId="26006" xr:uid="{00000000-0005-0000-0000-0000FD6D0000}"/>
    <cellStyle name="40% - Accent3 2 4 2 3 3 6" xfId="37802" xr:uid="{00000000-0005-0000-0000-0000FE6D0000}"/>
    <cellStyle name="40% - Accent3 2 4 2 3 3 7" xfId="43279" xr:uid="{00000000-0005-0000-0000-0000FF6D0000}"/>
    <cellStyle name="40% - Accent3 2 4 2 3 3 8" xfId="48756" xr:uid="{00000000-0005-0000-0000-0000006E0000}"/>
    <cellStyle name="40% - Accent3 2 4 2 3 3 9" xfId="54274" xr:uid="{00000000-0005-0000-0000-0000016E0000}"/>
    <cellStyle name="40% - Accent3 2 4 2 3 4" xfId="6483" xr:uid="{00000000-0005-0000-0000-0000026E0000}"/>
    <cellStyle name="40% - Accent3 2 4 2 3 5" xfId="11963" xr:uid="{00000000-0005-0000-0000-0000036E0000}"/>
    <cellStyle name="40% - Accent3 2 4 2 3 6" xfId="17439" xr:uid="{00000000-0005-0000-0000-0000046E0000}"/>
    <cellStyle name="40% - Accent3 2 4 2 3 7" xfId="22915" xr:uid="{00000000-0005-0000-0000-0000056E0000}"/>
    <cellStyle name="40% - Accent3 2 4 2 3 8" xfId="34710" xr:uid="{00000000-0005-0000-0000-0000066E0000}"/>
    <cellStyle name="40% - Accent3 2 4 2 3 9" xfId="40187" xr:uid="{00000000-0005-0000-0000-0000076E0000}"/>
    <cellStyle name="40% - Accent3 2 4 2 4" xfId="737" xr:uid="{00000000-0005-0000-0000-0000086E0000}"/>
    <cellStyle name="40% - Accent3 2 4 2 4 10" xfId="45665" xr:uid="{00000000-0005-0000-0000-0000096E0000}"/>
    <cellStyle name="40% - Accent3 2 4 2 4 11" xfId="51143" xr:uid="{00000000-0005-0000-0000-00000A6E0000}"/>
    <cellStyle name="40% - Accent3 2 4 2 4 2" xfId="2498" xr:uid="{00000000-0005-0000-0000-00000B6E0000}"/>
    <cellStyle name="40% - Accent3 2 4 2 4 2 2" xfId="7978" xr:uid="{00000000-0005-0000-0000-00000C6E0000}"/>
    <cellStyle name="40% - Accent3 2 4 2 4 2 3" xfId="13454" xr:uid="{00000000-0005-0000-0000-00000D6E0000}"/>
    <cellStyle name="40% - Accent3 2 4 2 4 2 4" xfId="18930" xr:uid="{00000000-0005-0000-0000-00000E6E0000}"/>
    <cellStyle name="40% - Accent3 2 4 2 4 2 5" xfId="24406" xr:uid="{00000000-0005-0000-0000-00000F6E0000}"/>
    <cellStyle name="40% - Accent3 2 4 2 4 2 6" xfId="36202" xr:uid="{00000000-0005-0000-0000-0000106E0000}"/>
    <cellStyle name="40% - Accent3 2 4 2 4 2 7" xfId="41679" xr:uid="{00000000-0005-0000-0000-0000116E0000}"/>
    <cellStyle name="40% - Accent3 2 4 2 4 2 8" xfId="47156" xr:uid="{00000000-0005-0000-0000-0000126E0000}"/>
    <cellStyle name="40% - Accent3 2 4 2 4 2 9" xfId="52674" xr:uid="{00000000-0005-0000-0000-0000136E0000}"/>
    <cellStyle name="40% - Accent3 2 4 2 4 3" xfId="4270" xr:uid="{00000000-0005-0000-0000-0000146E0000}"/>
    <cellStyle name="40% - Accent3 2 4 2 4 3 2" xfId="9750" xr:uid="{00000000-0005-0000-0000-0000156E0000}"/>
    <cellStyle name="40% - Accent3 2 4 2 4 3 3" xfId="15226" xr:uid="{00000000-0005-0000-0000-0000166E0000}"/>
    <cellStyle name="40% - Accent3 2 4 2 4 3 4" xfId="20702" xr:uid="{00000000-0005-0000-0000-0000176E0000}"/>
    <cellStyle name="40% - Accent3 2 4 2 4 3 5" xfId="26178" xr:uid="{00000000-0005-0000-0000-0000186E0000}"/>
    <cellStyle name="40% - Accent3 2 4 2 4 3 6" xfId="37974" xr:uid="{00000000-0005-0000-0000-0000196E0000}"/>
    <cellStyle name="40% - Accent3 2 4 2 4 3 7" xfId="43451" xr:uid="{00000000-0005-0000-0000-00001A6E0000}"/>
    <cellStyle name="40% - Accent3 2 4 2 4 3 8" xfId="48928" xr:uid="{00000000-0005-0000-0000-00001B6E0000}"/>
    <cellStyle name="40% - Accent3 2 4 2 4 3 9" xfId="54446" xr:uid="{00000000-0005-0000-0000-00001C6E0000}"/>
    <cellStyle name="40% - Accent3 2 4 2 4 4" xfId="6484" xr:uid="{00000000-0005-0000-0000-00001D6E0000}"/>
    <cellStyle name="40% - Accent3 2 4 2 4 5" xfId="11964" xr:uid="{00000000-0005-0000-0000-00001E6E0000}"/>
    <cellStyle name="40% - Accent3 2 4 2 4 6" xfId="17440" xr:uid="{00000000-0005-0000-0000-00001F6E0000}"/>
    <cellStyle name="40% - Accent3 2 4 2 4 7" xfId="22916" xr:uid="{00000000-0005-0000-0000-0000206E0000}"/>
    <cellStyle name="40% - Accent3 2 4 2 4 8" xfId="34711" xr:uid="{00000000-0005-0000-0000-0000216E0000}"/>
    <cellStyle name="40% - Accent3 2 4 2 4 9" xfId="40188" xr:uid="{00000000-0005-0000-0000-0000226E0000}"/>
    <cellStyle name="40% - Accent3 2 4 2 5" xfId="909" xr:uid="{00000000-0005-0000-0000-0000236E0000}"/>
    <cellStyle name="40% - Accent3 2 4 2 5 10" xfId="45666" xr:uid="{00000000-0005-0000-0000-0000246E0000}"/>
    <cellStyle name="40% - Accent3 2 4 2 5 11" xfId="51144" xr:uid="{00000000-0005-0000-0000-0000256E0000}"/>
    <cellStyle name="40% - Accent3 2 4 2 5 2" xfId="2670" xr:uid="{00000000-0005-0000-0000-0000266E0000}"/>
    <cellStyle name="40% - Accent3 2 4 2 5 2 2" xfId="8150" xr:uid="{00000000-0005-0000-0000-0000276E0000}"/>
    <cellStyle name="40% - Accent3 2 4 2 5 2 3" xfId="13626" xr:uid="{00000000-0005-0000-0000-0000286E0000}"/>
    <cellStyle name="40% - Accent3 2 4 2 5 2 4" xfId="19102" xr:uid="{00000000-0005-0000-0000-0000296E0000}"/>
    <cellStyle name="40% - Accent3 2 4 2 5 2 5" xfId="24578" xr:uid="{00000000-0005-0000-0000-00002A6E0000}"/>
    <cellStyle name="40% - Accent3 2 4 2 5 2 6" xfId="36374" xr:uid="{00000000-0005-0000-0000-00002B6E0000}"/>
    <cellStyle name="40% - Accent3 2 4 2 5 2 7" xfId="41851" xr:uid="{00000000-0005-0000-0000-00002C6E0000}"/>
    <cellStyle name="40% - Accent3 2 4 2 5 2 8" xfId="47328" xr:uid="{00000000-0005-0000-0000-00002D6E0000}"/>
    <cellStyle name="40% - Accent3 2 4 2 5 2 9" xfId="52846" xr:uid="{00000000-0005-0000-0000-00002E6E0000}"/>
    <cellStyle name="40% - Accent3 2 4 2 5 3" xfId="4442" xr:uid="{00000000-0005-0000-0000-00002F6E0000}"/>
    <cellStyle name="40% - Accent3 2 4 2 5 3 2" xfId="9922" xr:uid="{00000000-0005-0000-0000-0000306E0000}"/>
    <cellStyle name="40% - Accent3 2 4 2 5 3 3" xfId="15398" xr:uid="{00000000-0005-0000-0000-0000316E0000}"/>
    <cellStyle name="40% - Accent3 2 4 2 5 3 4" xfId="20874" xr:uid="{00000000-0005-0000-0000-0000326E0000}"/>
    <cellStyle name="40% - Accent3 2 4 2 5 3 5" xfId="26350" xr:uid="{00000000-0005-0000-0000-0000336E0000}"/>
    <cellStyle name="40% - Accent3 2 4 2 5 3 6" xfId="38146" xr:uid="{00000000-0005-0000-0000-0000346E0000}"/>
    <cellStyle name="40% - Accent3 2 4 2 5 3 7" xfId="43623" xr:uid="{00000000-0005-0000-0000-0000356E0000}"/>
    <cellStyle name="40% - Accent3 2 4 2 5 3 8" xfId="49100" xr:uid="{00000000-0005-0000-0000-0000366E0000}"/>
    <cellStyle name="40% - Accent3 2 4 2 5 3 9" xfId="54618" xr:uid="{00000000-0005-0000-0000-0000376E0000}"/>
    <cellStyle name="40% - Accent3 2 4 2 5 4" xfId="6485" xr:uid="{00000000-0005-0000-0000-0000386E0000}"/>
    <cellStyle name="40% - Accent3 2 4 2 5 5" xfId="11965" xr:uid="{00000000-0005-0000-0000-0000396E0000}"/>
    <cellStyle name="40% - Accent3 2 4 2 5 6" xfId="17441" xr:uid="{00000000-0005-0000-0000-00003A6E0000}"/>
    <cellStyle name="40% - Accent3 2 4 2 5 7" xfId="22917" xr:uid="{00000000-0005-0000-0000-00003B6E0000}"/>
    <cellStyle name="40% - Accent3 2 4 2 5 8" xfId="34712" xr:uid="{00000000-0005-0000-0000-00003C6E0000}"/>
    <cellStyle name="40% - Accent3 2 4 2 5 9" xfId="40189" xr:uid="{00000000-0005-0000-0000-00003D6E0000}"/>
    <cellStyle name="40% - Accent3 2 4 2 6" xfId="1115" xr:uid="{00000000-0005-0000-0000-00003E6E0000}"/>
    <cellStyle name="40% - Accent3 2 4 2 6 10" xfId="45667" xr:uid="{00000000-0005-0000-0000-00003F6E0000}"/>
    <cellStyle name="40% - Accent3 2 4 2 6 11" xfId="51145" xr:uid="{00000000-0005-0000-0000-0000406E0000}"/>
    <cellStyle name="40% - Accent3 2 4 2 6 2" xfId="2876" xr:uid="{00000000-0005-0000-0000-0000416E0000}"/>
    <cellStyle name="40% - Accent3 2 4 2 6 2 2" xfId="8356" xr:uid="{00000000-0005-0000-0000-0000426E0000}"/>
    <cellStyle name="40% - Accent3 2 4 2 6 2 3" xfId="13832" xr:uid="{00000000-0005-0000-0000-0000436E0000}"/>
    <cellStyle name="40% - Accent3 2 4 2 6 2 4" xfId="19308" xr:uid="{00000000-0005-0000-0000-0000446E0000}"/>
    <cellStyle name="40% - Accent3 2 4 2 6 2 5" xfId="24784" xr:uid="{00000000-0005-0000-0000-0000456E0000}"/>
    <cellStyle name="40% - Accent3 2 4 2 6 2 6" xfId="36580" xr:uid="{00000000-0005-0000-0000-0000466E0000}"/>
    <cellStyle name="40% - Accent3 2 4 2 6 2 7" xfId="42057" xr:uid="{00000000-0005-0000-0000-0000476E0000}"/>
    <cellStyle name="40% - Accent3 2 4 2 6 2 8" xfId="47534" xr:uid="{00000000-0005-0000-0000-0000486E0000}"/>
    <cellStyle name="40% - Accent3 2 4 2 6 2 9" xfId="53052" xr:uid="{00000000-0005-0000-0000-0000496E0000}"/>
    <cellStyle name="40% - Accent3 2 4 2 6 3" xfId="4648" xr:uid="{00000000-0005-0000-0000-00004A6E0000}"/>
    <cellStyle name="40% - Accent3 2 4 2 6 3 2" xfId="10128" xr:uid="{00000000-0005-0000-0000-00004B6E0000}"/>
    <cellStyle name="40% - Accent3 2 4 2 6 3 3" xfId="15604" xr:uid="{00000000-0005-0000-0000-00004C6E0000}"/>
    <cellStyle name="40% - Accent3 2 4 2 6 3 4" xfId="21080" xr:uid="{00000000-0005-0000-0000-00004D6E0000}"/>
    <cellStyle name="40% - Accent3 2 4 2 6 3 5" xfId="26556" xr:uid="{00000000-0005-0000-0000-00004E6E0000}"/>
    <cellStyle name="40% - Accent3 2 4 2 6 3 6" xfId="38352" xr:uid="{00000000-0005-0000-0000-00004F6E0000}"/>
    <cellStyle name="40% - Accent3 2 4 2 6 3 7" xfId="43829" xr:uid="{00000000-0005-0000-0000-0000506E0000}"/>
    <cellStyle name="40% - Accent3 2 4 2 6 3 8" xfId="49306" xr:uid="{00000000-0005-0000-0000-0000516E0000}"/>
    <cellStyle name="40% - Accent3 2 4 2 6 3 9" xfId="54824" xr:uid="{00000000-0005-0000-0000-0000526E0000}"/>
    <cellStyle name="40% - Accent3 2 4 2 6 4" xfId="6486" xr:uid="{00000000-0005-0000-0000-0000536E0000}"/>
    <cellStyle name="40% - Accent3 2 4 2 6 5" xfId="11966" xr:uid="{00000000-0005-0000-0000-0000546E0000}"/>
    <cellStyle name="40% - Accent3 2 4 2 6 6" xfId="17442" xr:uid="{00000000-0005-0000-0000-0000556E0000}"/>
    <cellStyle name="40% - Accent3 2 4 2 6 7" xfId="22918" xr:uid="{00000000-0005-0000-0000-0000566E0000}"/>
    <cellStyle name="40% - Accent3 2 4 2 6 8" xfId="34713" xr:uid="{00000000-0005-0000-0000-0000576E0000}"/>
    <cellStyle name="40% - Accent3 2 4 2 6 9" xfId="40190" xr:uid="{00000000-0005-0000-0000-0000586E0000}"/>
    <cellStyle name="40% - Accent3 2 4 2 7" xfId="1287" xr:uid="{00000000-0005-0000-0000-0000596E0000}"/>
    <cellStyle name="40% - Accent3 2 4 2 7 10" xfId="45668" xr:uid="{00000000-0005-0000-0000-00005A6E0000}"/>
    <cellStyle name="40% - Accent3 2 4 2 7 11" xfId="51146" xr:uid="{00000000-0005-0000-0000-00005B6E0000}"/>
    <cellStyle name="40% - Accent3 2 4 2 7 2" xfId="3048" xr:uid="{00000000-0005-0000-0000-00005C6E0000}"/>
    <cellStyle name="40% - Accent3 2 4 2 7 2 2" xfId="8528" xr:uid="{00000000-0005-0000-0000-00005D6E0000}"/>
    <cellStyle name="40% - Accent3 2 4 2 7 2 3" xfId="14004" xr:uid="{00000000-0005-0000-0000-00005E6E0000}"/>
    <cellStyle name="40% - Accent3 2 4 2 7 2 4" xfId="19480" xr:uid="{00000000-0005-0000-0000-00005F6E0000}"/>
    <cellStyle name="40% - Accent3 2 4 2 7 2 5" xfId="24956" xr:uid="{00000000-0005-0000-0000-0000606E0000}"/>
    <cellStyle name="40% - Accent3 2 4 2 7 2 6" xfId="36752" xr:uid="{00000000-0005-0000-0000-0000616E0000}"/>
    <cellStyle name="40% - Accent3 2 4 2 7 2 7" xfId="42229" xr:uid="{00000000-0005-0000-0000-0000626E0000}"/>
    <cellStyle name="40% - Accent3 2 4 2 7 2 8" xfId="47706" xr:uid="{00000000-0005-0000-0000-0000636E0000}"/>
    <cellStyle name="40% - Accent3 2 4 2 7 2 9" xfId="53224" xr:uid="{00000000-0005-0000-0000-0000646E0000}"/>
    <cellStyle name="40% - Accent3 2 4 2 7 3" xfId="4820" xr:uid="{00000000-0005-0000-0000-0000656E0000}"/>
    <cellStyle name="40% - Accent3 2 4 2 7 3 2" xfId="10300" xr:uid="{00000000-0005-0000-0000-0000666E0000}"/>
    <cellStyle name="40% - Accent3 2 4 2 7 3 3" xfId="15776" xr:uid="{00000000-0005-0000-0000-0000676E0000}"/>
    <cellStyle name="40% - Accent3 2 4 2 7 3 4" xfId="21252" xr:uid="{00000000-0005-0000-0000-0000686E0000}"/>
    <cellStyle name="40% - Accent3 2 4 2 7 3 5" xfId="26728" xr:uid="{00000000-0005-0000-0000-0000696E0000}"/>
    <cellStyle name="40% - Accent3 2 4 2 7 3 6" xfId="38524" xr:uid="{00000000-0005-0000-0000-00006A6E0000}"/>
    <cellStyle name="40% - Accent3 2 4 2 7 3 7" xfId="44001" xr:uid="{00000000-0005-0000-0000-00006B6E0000}"/>
    <cellStyle name="40% - Accent3 2 4 2 7 3 8" xfId="49478" xr:uid="{00000000-0005-0000-0000-00006C6E0000}"/>
    <cellStyle name="40% - Accent3 2 4 2 7 3 9" xfId="54996" xr:uid="{00000000-0005-0000-0000-00006D6E0000}"/>
    <cellStyle name="40% - Accent3 2 4 2 7 4" xfId="6487" xr:uid="{00000000-0005-0000-0000-00006E6E0000}"/>
    <cellStyle name="40% - Accent3 2 4 2 7 5" xfId="11967" xr:uid="{00000000-0005-0000-0000-00006F6E0000}"/>
    <cellStyle name="40% - Accent3 2 4 2 7 6" xfId="17443" xr:uid="{00000000-0005-0000-0000-0000706E0000}"/>
    <cellStyle name="40% - Accent3 2 4 2 7 7" xfId="22919" xr:uid="{00000000-0005-0000-0000-0000716E0000}"/>
    <cellStyle name="40% - Accent3 2 4 2 7 8" xfId="34714" xr:uid="{00000000-0005-0000-0000-0000726E0000}"/>
    <cellStyle name="40% - Accent3 2 4 2 7 9" xfId="40191" xr:uid="{00000000-0005-0000-0000-0000736E0000}"/>
    <cellStyle name="40% - Accent3 2 4 2 8" xfId="1459" xr:uid="{00000000-0005-0000-0000-0000746E0000}"/>
    <cellStyle name="40% - Accent3 2 4 2 8 10" xfId="45669" xr:uid="{00000000-0005-0000-0000-0000756E0000}"/>
    <cellStyle name="40% - Accent3 2 4 2 8 11" xfId="51147" xr:uid="{00000000-0005-0000-0000-0000766E0000}"/>
    <cellStyle name="40% - Accent3 2 4 2 8 2" xfId="3220" xr:uid="{00000000-0005-0000-0000-0000776E0000}"/>
    <cellStyle name="40% - Accent3 2 4 2 8 2 2" xfId="8700" xr:uid="{00000000-0005-0000-0000-0000786E0000}"/>
    <cellStyle name="40% - Accent3 2 4 2 8 2 3" xfId="14176" xr:uid="{00000000-0005-0000-0000-0000796E0000}"/>
    <cellStyle name="40% - Accent3 2 4 2 8 2 4" xfId="19652" xr:uid="{00000000-0005-0000-0000-00007A6E0000}"/>
    <cellStyle name="40% - Accent3 2 4 2 8 2 5" xfId="25128" xr:uid="{00000000-0005-0000-0000-00007B6E0000}"/>
    <cellStyle name="40% - Accent3 2 4 2 8 2 6" xfId="36924" xr:uid="{00000000-0005-0000-0000-00007C6E0000}"/>
    <cellStyle name="40% - Accent3 2 4 2 8 2 7" xfId="42401" xr:uid="{00000000-0005-0000-0000-00007D6E0000}"/>
    <cellStyle name="40% - Accent3 2 4 2 8 2 8" xfId="47878" xr:uid="{00000000-0005-0000-0000-00007E6E0000}"/>
    <cellStyle name="40% - Accent3 2 4 2 8 2 9" xfId="53396" xr:uid="{00000000-0005-0000-0000-00007F6E0000}"/>
    <cellStyle name="40% - Accent3 2 4 2 8 3" xfId="4992" xr:uid="{00000000-0005-0000-0000-0000806E0000}"/>
    <cellStyle name="40% - Accent3 2 4 2 8 3 2" xfId="10472" xr:uid="{00000000-0005-0000-0000-0000816E0000}"/>
    <cellStyle name="40% - Accent3 2 4 2 8 3 3" xfId="15948" xr:uid="{00000000-0005-0000-0000-0000826E0000}"/>
    <cellStyle name="40% - Accent3 2 4 2 8 3 4" xfId="21424" xr:uid="{00000000-0005-0000-0000-0000836E0000}"/>
    <cellStyle name="40% - Accent3 2 4 2 8 3 5" xfId="26900" xr:uid="{00000000-0005-0000-0000-0000846E0000}"/>
    <cellStyle name="40% - Accent3 2 4 2 8 3 6" xfId="38696" xr:uid="{00000000-0005-0000-0000-0000856E0000}"/>
    <cellStyle name="40% - Accent3 2 4 2 8 3 7" xfId="44173" xr:uid="{00000000-0005-0000-0000-0000866E0000}"/>
    <cellStyle name="40% - Accent3 2 4 2 8 3 8" xfId="49650" xr:uid="{00000000-0005-0000-0000-0000876E0000}"/>
    <cellStyle name="40% - Accent3 2 4 2 8 3 9" xfId="55168" xr:uid="{00000000-0005-0000-0000-0000886E0000}"/>
    <cellStyle name="40% - Accent3 2 4 2 8 4" xfId="6488" xr:uid="{00000000-0005-0000-0000-0000896E0000}"/>
    <cellStyle name="40% - Accent3 2 4 2 8 5" xfId="11968" xr:uid="{00000000-0005-0000-0000-00008A6E0000}"/>
    <cellStyle name="40% - Accent3 2 4 2 8 6" xfId="17444" xr:uid="{00000000-0005-0000-0000-00008B6E0000}"/>
    <cellStyle name="40% - Accent3 2 4 2 8 7" xfId="22920" xr:uid="{00000000-0005-0000-0000-00008C6E0000}"/>
    <cellStyle name="40% - Accent3 2 4 2 8 8" xfId="34715" xr:uid="{00000000-0005-0000-0000-00008D6E0000}"/>
    <cellStyle name="40% - Accent3 2 4 2 8 9" xfId="40192" xr:uid="{00000000-0005-0000-0000-00008E6E0000}"/>
    <cellStyle name="40% - Accent3 2 4 2 9" xfId="1631" xr:uid="{00000000-0005-0000-0000-00008F6E0000}"/>
    <cellStyle name="40% - Accent3 2 4 2 9 10" xfId="45670" xr:uid="{00000000-0005-0000-0000-0000906E0000}"/>
    <cellStyle name="40% - Accent3 2 4 2 9 11" xfId="51148" xr:uid="{00000000-0005-0000-0000-0000916E0000}"/>
    <cellStyle name="40% - Accent3 2 4 2 9 2" xfId="3392" xr:uid="{00000000-0005-0000-0000-0000926E0000}"/>
    <cellStyle name="40% - Accent3 2 4 2 9 2 2" xfId="8872" xr:uid="{00000000-0005-0000-0000-0000936E0000}"/>
    <cellStyle name="40% - Accent3 2 4 2 9 2 3" xfId="14348" xr:uid="{00000000-0005-0000-0000-0000946E0000}"/>
    <cellStyle name="40% - Accent3 2 4 2 9 2 4" xfId="19824" xr:uid="{00000000-0005-0000-0000-0000956E0000}"/>
    <cellStyle name="40% - Accent3 2 4 2 9 2 5" xfId="25300" xr:uid="{00000000-0005-0000-0000-0000966E0000}"/>
    <cellStyle name="40% - Accent3 2 4 2 9 2 6" xfId="37096" xr:uid="{00000000-0005-0000-0000-0000976E0000}"/>
    <cellStyle name="40% - Accent3 2 4 2 9 2 7" xfId="42573" xr:uid="{00000000-0005-0000-0000-0000986E0000}"/>
    <cellStyle name="40% - Accent3 2 4 2 9 2 8" xfId="48050" xr:uid="{00000000-0005-0000-0000-0000996E0000}"/>
    <cellStyle name="40% - Accent3 2 4 2 9 2 9" xfId="53568" xr:uid="{00000000-0005-0000-0000-00009A6E0000}"/>
    <cellStyle name="40% - Accent3 2 4 2 9 3" xfId="5164" xr:uid="{00000000-0005-0000-0000-00009B6E0000}"/>
    <cellStyle name="40% - Accent3 2 4 2 9 3 2" xfId="10644" xr:uid="{00000000-0005-0000-0000-00009C6E0000}"/>
    <cellStyle name="40% - Accent3 2 4 2 9 3 3" xfId="16120" xr:uid="{00000000-0005-0000-0000-00009D6E0000}"/>
    <cellStyle name="40% - Accent3 2 4 2 9 3 4" xfId="21596" xr:uid="{00000000-0005-0000-0000-00009E6E0000}"/>
    <cellStyle name="40% - Accent3 2 4 2 9 3 5" xfId="27072" xr:uid="{00000000-0005-0000-0000-00009F6E0000}"/>
    <cellStyle name="40% - Accent3 2 4 2 9 3 6" xfId="38868" xr:uid="{00000000-0005-0000-0000-0000A06E0000}"/>
    <cellStyle name="40% - Accent3 2 4 2 9 3 7" xfId="44345" xr:uid="{00000000-0005-0000-0000-0000A16E0000}"/>
    <cellStyle name="40% - Accent3 2 4 2 9 3 8" xfId="49822" xr:uid="{00000000-0005-0000-0000-0000A26E0000}"/>
    <cellStyle name="40% - Accent3 2 4 2 9 3 9" xfId="55340" xr:uid="{00000000-0005-0000-0000-0000A36E0000}"/>
    <cellStyle name="40% - Accent3 2 4 2 9 4" xfId="6489" xr:uid="{00000000-0005-0000-0000-0000A46E0000}"/>
    <cellStyle name="40% - Accent3 2 4 2 9 5" xfId="11969" xr:uid="{00000000-0005-0000-0000-0000A56E0000}"/>
    <cellStyle name="40% - Accent3 2 4 2 9 6" xfId="17445" xr:uid="{00000000-0005-0000-0000-0000A66E0000}"/>
    <cellStyle name="40% - Accent3 2 4 2 9 7" xfId="22921" xr:uid="{00000000-0005-0000-0000-0000A76E0000}"/>
    <cellStyle name="40% - Accent3 2 4 2 9 8" xfId="34716" xr:uid="{00000000-0005-0000-0000-0000A86E0000}"/>
    <cellStyle name="40% - Accent3 2 4 2 9 9" xfId="40193" xr:uid="{00000000-0005-0000-0000-0000A96E0000}"/>
    <cellStyle name="40% - Accent3 2 4 20" xfId="40181" xr:uid="{00000000-0005-0000-0000-0000AA6E0000}"/>
    <cellStyle name="40% - Accent3 2 4 21" xfId="45658" xr:uid="{00000000-0005-0000-0000-0000AB6E0000}"/>
    <cellStyle name="40% - Accent3 2 4 22" xfId="51136" xr:uid="{00000000-0005-0000-0000-0000AC6E0000}"/>
    <cellStyle name="40% - Accent3 2 4 3" xfId="363" xr:uid="{00000000-0005-0000-0000-0000AD6E0000}"/>
    <cellStyle name="40% - Accent3 2 4 3 10" xfId="40194" xr:uid="{00000000-0005-0000-0000-0000AE6E0000}"/>
    <cellStyle name="40% - Accent3 2 4 3 11" xfId="45671" xr:uid="{00000000-0005-0000-0000-0000AF6E0000}"/>
    <cellStyle name="40% - Accent3 2 4 3 12" xfId="51149" xr:uid="{00000000-0005-0000-0000-0000B06E0000}"/>
    <cellStyle name="40% - Accent3 2 4 3 2" xfId="2157" xr:uid="{00000000-0005-0000-0000-0000B16E0000}"/>
    <cellStyle name="40% - Accent3 2 4 3 2 2" xfId="7637" xr:uid="{00000000-0005-0000-0000-0000B26E0000}"/>
    <cellStyle name="40% - Accent3 2 4 3 2 3" xfId="13113" xr:uid="{00000000-0005-0000-0000-0000B36E0000}"/>
    <cellStyle name="40% - Accent3 2 4 3 2 4" xfId="18589" xr:uid="{00000000-0005-0000-0000-0000B46E0000}"/>
    <cellStyle name="40% - Accent3 2 4 3 2 5" xfId="24065" xr:uid="{00000000-0005-0000-0000-0000B56E0000}"/>
    <cellStyle name="40% - Accent3 2 4 3 2 6" xfId="35861" xr:uid="{00000000-0005-0000-0000-0000B66E0000}"/>
    <cellStyle name="40% - Accent3 2 4 3 2 7" xfId="41338" xr:uid="{00000000-0005-0000-0000-0000B76E0000}"/>
    <cellStyle name="40% - Accent3 2 4 3 2 8" xfId="46815" xr:uid="{00000000-0005-0000-0000-0000B86E0000}"/>
    <cellStyle name="40% - Accent3 2 4 3 2 9" xfId="52333" xr:uid="{00000000-0005-0000-0000-0000B96E0000}"/>
    <cellStyle name="40% - Accent3 2 4 3 3" xfId="3925" xr:uid="{00000000-0005-0000-0000-0000BA6E0000}"/>
    <cellStyle name="40% - Accent3 2 4 3 3 2" xfId="9405" xr:uid="{00000000-0005-0000-0000-0000BB6E0000}"/>
    <cellStyle name="40% - Accent3 2 4 3 3 3" xfId="14881" xr:uid="{00000000-0005-0000-0000-0000BC6E0000}"/>
    <cellStyle name="40% - Accent3 2 4 3 3 4" xfId="20357" xr:uid="{00000000-0005-0000-0000-0000BD6E0000}"/>
    <cellStyle name="40% - Accent3 2 4 3 3 5" xfId="25833" xr:uid="{00000000-0005-0000-0000-0000BE6E0000}"/>
    <cellStyle name="40% - Accent3 2 4 3 3 6" xfId="37629" xr:uid="{00000000-0005-0000-0000-0000BF6E0000}"/>
    <cellStyle name="40% - Accent3 2 4 3 3 7" xfId="43106" xr:uid="{00000000-0005-0000-0000-0000C06E0000}"/>
    <cellStyle name="40% - Accent3 2 4 3 3 8" xfId="48583" xr:uid="{00000000-0005-0000-0000-0000C16E0000}"/>
    <cellStyle name="40% - Accent3 2 4 3 3 9" xfId="54101" xr:uid="{00000000-0005-0000-0000-0000C26E0000}"/>
    <cellStyle name="40% - Accent3 2 4 3 4" xfId="6490" xr:uid="{00000000-0005-0000-0000-0000C36E0000}"/>
    <cellStyle name="40% - Accent3 2 4 3 5" xfId="11970" xr:uid="{00000000-0005-0000-0000-0000C46E0000}"/>
    <cellStyle name="40% - Accent3 2 4 3 6" xfId="17446" xr:uid="{00000000-0005-0000-0000-0000C56E0000}"/>
    <cellStyle name="40% - Accent3 2 4 3 7" xfId="22922" xr:uid="{00000000-0005-0000-0000-0000C66E0000}"/>
    <cellStyle name="40% - Accent3 2 4 3 8" xfId="31256" xr:uid="{00000000-0005-0000-0000-0000C76E0000}"/>
    <cellStyle name="40% - Accent3 2 4 3 9" xfId="34717" xr:uid="{00000000-0005-0000-0000-0000C86E0000}"/>
    <cellStyle name="40% - Accent3 2 4 4" xfId="564" xr:uid="{00000000-0005-0000-0000-0000C96E0000}"/>
    <cellStyle name="40% - Accent3 2 4 4 10" xfId="45672" xr:uid="{00000000-0005-0000-0000-0000CA6E0000}"/>
    <cellStyle name="40% - Accent3 2 4 4 11" xfId="51150" xr:uid="{00000000-0005-0000-0000-0000CB6E0000}"/>
    <cellStyle name="40% - Accent3 2 4 4 2" xfId="2325" xr:uid="{00000000-0005-0000-0000-0000CC6E0000}"/>
    <cellStyle name="40% - Accent3 2 4 4 2 2" xfId="7805" xr:uid="{00000000-0005-0000-0000-0000CD6E0000}"/>
    <cellStyle name="40% - Accent3 2 4 4 2 3" xfId="13281" xr:uid="{00000000-0005-0000-0000-0000CE6E0000}"/>
    <cellStyle name="40% - Accent3 2 4 4 2 4" xfId="18757" xr:uid="{00000000-0005-0000-0000-0000CF6E0000}"/>
    <cellStyle name="40% - Accent3 2 4 4 2 5" xfId="24233" xr:uid="{00000000-0005-0000-0000-0000D06E0000}"/>
    <cellStyle name="40% - Accent3 2 4 4 2 6" xfId="36029" xr:uid="{00000000-0005-0000-0000-0000D16E0000}"/>
    <cellStyle name="40% - Accent3 2 4 4 2 7" xfId="41506" xr:uid="{00000000-0005-0000-0000-0000D26E0000}"/>
    <cellStyle name="40% - Accent3 2 4 4 2 8" xfId="46983" xr:uid="{00000000-0005-0000-0000-0000D36E0000}"/>
    <cellStyle name="40% - Accent3 2 4 4 2 9" xfId="52501" xr:uid="{00000000-0005-0000-0000-0000D46E0000}"/>
    <cellStyle name="40% - Accent3 2 4 4 3" xfId="4097" xr:uid="{00000000-0005-0000-0000-0000D56E0000}"/>
    <cellStyle name="40% - Accent3 2 4 4 3 2" xfId="9577" xr:uid="{00000000-0005-0000-0000-0000D66E0000}"/>
    <cellStyle name="40% - Accent3 2 4 4 3 3" xfId="15053" xr:uid="{00000000-0005-0000-0000-0000D76E0000}"/>
    <cellStyle name="40% - Accent3 2 4 4 3 4" xfId="20529" xr:uid="{00000000-0005-0000-0000-0000D86E0000}"/>
    <cellStyle name="40% - Accent3 2 4 4 3 5" xfId="26005" xr:uid="{00000000-0005-0000-0000-0000D96E0000}"/>
    <cellStyle name="40% - Accent3 2 4 4 3 6" xfId="37801" xr:uid="{00000000-0005-0000-0000-0000DA6E0000}"/>
    <cellStyle name="40% - Accent3 2 4 4 3 7" xfId="43278" xr:uid="{00000000-0005-0000-0000-0000DB6E0000}"/>
    <cellStyle name="40% - Accent3 2 4 4 3 8" xfId="48755" xr:uid="{00000000-0005-0000-0000-0000DC6E0000}"/>
    <cellStyle name="40% - Accent3 2 4 4 3 9" xfId="54273" xr:uid="{00000000-0005-0000-0000-0000DD6E0000}"/>
    <cellStyle name="40% - Accent3 2 4 4 4" xfId="6491" xr:uid="{00000000-0005-0000-0000-0000DE6E0000}"/>
    <cellStyle name="40% - Accent3 2 4 4 5" xfId="11971" xr:uid="{00000000-0005-0000-0000-0000DF6E0000}"/>
    <cellStyle name="40% - Accent3 2 4 4 6" xfId="17447" xr:uid="{00000000-0005-0000-0000-0000E06E0000}"/>
    <cellStyle name="40% - Accent3 2 4 4 7" xfId="22923" xr:uid="{00000000-0005-0000-0000-0000E16E0000}"/>
    <cellStyle name="40% - Accent3 2 4 4 8" xfId="34718" xr:uid="{00000000-0005-0000-0000-0000E26E0000}"/>
    <cellStyle name="40% - Accent3 2 4 4 9" xfId="40195" xr:uid="{00000000-0005-0000-0000-0000E36E0000}"/>
    <cellStyle name="40% - Accent3 2 4 5" xfId="736" xr:uid="{00000000-0005-0000-0000-0000E46E0000}"/>
    <cellStyle name="40% - Accent3 2 4 5 10" xfId="45673" xr:uid="{00000000-0005-0000-0000-0000E56E0000}"/>
    <cellStyle name="40% - Accent3 2 4 5 11" xfId="51151" xr:uid="{00000000-0005-0000-0000-0000E66E0000}"/>
    <cellStyle name="40% - Accent3 2 4 5 2" xfId="2497" xr:uid="{00000000-0005-0000-0000-0000E76E0000}"/>
    <cellStyle name="40% - Accent3 2 4 5 2 2" xfId="7977" xr:uid="{00000000-0005-0000-0000-0000E86E0000}"/>
    <cellStyle name="40% - Accent3 2 4 5 2 3" xfId="13453" xr:uid="{00000000-0005-0000-0000-0000E96E0000}"/>
    <cellStyle name="40% - Accent3 2 4 5 2 4" xfId="18929" xr:uid="{00000000-0005-0000-0000-0000EA6E0000}"/>
    <cellStyle name="40% - Accent3 2 4 5 2 5" xfId="24405" xr:uid="{00000000-0005-0000-0000-0000EB6E0000}"/>
    <cellStyle name="40% - Accent3 2 4 5 2 6" xfId="36201" xr:uid="{00000000-0005-0000-0000-0000EC6E0000}"/>
    <cellStyle name="40% - Accent3 2 4 5 2 7" xfId="41678" xr:uid="{00000000-0005-0000-0000-0000ED6E0000}"/>
    <cellStyle name="40% - Accent3 2 4 5 2 8" xfId="47155" xr:uid="{00000000-0005-0000-0000-0000EE6E0000}"/>
    <cellStyle name="40% - Accent3 2 4 5 2 9" xfId="52673" xr:uid="{00000000-0005-0000-0000-0000EF6E0000}"/>
    <cellStyle name="40% - Accent3 2 4 5 3" xfId="4269" xr:uid="{00000000-0005-0000-0000-0000F06E0000}"/>
    <cellStyle name="40% - Accent3 2 4 5 3 2" xfId="9749" xr:uid="{00000000-0005-0000-0000-0000F16E0000}"/>
    <cellStyle name="40% - Accent3 2 4 5 3 3" xfId="15225" xr:uid="{00000000-0005-0000-0000-0000F26E0000}"/>
    <cellStyle name="40% - Accent3 2 4 5 3 4" xfId="20701" xr:uid="{00000000-0005-0000-0000-0000F36E0000}"/>
    <cellStyle name="40% - Accent3 2 4 5 3 5" xfId="26177" xr:uid="{00000000-0005-0000-0000-0000F46E0000}"/>
    <cellStyle name="40% - Accent3 2 4 5 3 6" xfId="37973" xr:uid="{00000000-0005-0000-0000-0000F56E0000}"/>
    <cellStyle name="40% - Accent3 2 4 5 3 7" xfId="43450" xr:uid="{00000000-0005-0000-0000-0000F66E0000}"/>
    <cellStyle name="40% - Accent3 2 4 5 3 8" xfId="48927" xr:uid="{00000000-0005-0000-0000-0000F76E0000}"/>
    <cellStyle name="40% - Accent3 2 4 5 3 9" xfId="54445" xr:uid="{00000000-0005-0000-0000-0000F86E0000}"/>
    <cellStyle name="40% - Accent3 2 4 5 4" xfId="6492" xr:uid="{00000000-0005-0000-0000-0000F96E0000}"/>
    <cellStyle name="40% - Accent3 2 4 5 5" xfId="11972" xr:uid="{00000000-0005-0000-0000-0000FA6E0000}"/>
    <cellStyle name="40% - Accent3 2 4 5 6" xfId="17448" xr:uid="{00000000-0005-0000-0000-0000FB6E0000}"/>
    <cellStyle name="40% - Accent3 2 4 5 7" xfId="22924" xr:uid="{00000000-0005-0000-0000-0000FC6E0000}"/>
    <cellStyle name="40% - Accent3 2 4 5 8" xfId="34719" xr:uid="{00000000-0005-0000-0000-0000FD6E0000}"/>
    <cellStyle name="40% - Accent3 2 4 5 9" xfId="40196" xr:uid="{00000000-0005-0000-0000-0000FE6E0000}"/>
    <cellStyle name="40% - Accent3 2 4 6" xfId="908" xr:uid="{00000000-0005-0000-0000-0000FF6E0000}"/>
    <cellStyle name="40% - Accent3 2 4 6 10" xfId="45674" xr:uid="{00000000-0005-0000-0000-0000006F0000}"/>
    <cellStyle name="40% - Accent3 2 4 6 11" xfId="51152" xr:uid="{00000000-0005-0000-0000-0000016F0000}"/>
    <cellStyle name="40% - Accent3 2 4 6 2" xfId="2669" xr:uid="{00000000-0005-0000-0000-0000026F0000}"/>
    <cellStyle name="40% - Accent3 2 4 6 2 2" xfId="8149" xr:uid="{00000000-0005-0000-0000-0000036F0000}"/>
    <cellStyle name="40% - Accent3 2 4 6 2 3" xfId="13625" xr:uid="{00000000-0005-0000-0000-0000046F0000}"/>
    <cellStyle name="40% - Accent3 2 4 6 2 4" xfId="19101" xr:uid="{00000000-0005-0000-0000-0000056F0000}"/>
    <cellStyle name="40% - Accent3 2 4 6 2 5" xfId="24577" xr:uid="{00000000-0005-0000-0000-0000066F0000}"/>
    <cellStyle name="40% - Accent3 2 4 6 2 6" xfId="36373" xr:uid="{00000000-0005-0000-0000-0000076F0000}"/>
    <cellStyle name="40% - Accent3 2 4 6 2 7" xfId="41850" xr:uid="{00000000-0005-0000-0000-0000086F0000}"/>
    <cellStyle name="40% - Accent3 2 4 6 2 8" xfId="47327" xr:uid="{00000000-0005-0000-0000-0000096F0000}"/>
    <cellStyle name="40% - Accent3 2 4 6 2 9" xfId="52845" xr:uid="{00000000-0005-0000-0000-00000A6F0000}"/>
    <cellStyle name="40% - Accent3 2 4 6 3" xfId="4441" xr:uid="{00000000-0005-0000-0000-00000B6F0000}"/>
    <cellStyle name="40% - Accent3 2 4 6 3 2" xfId="9921" xr:uid="{00000000-0005-0000-0000-00000C6F0000}"/>
    <cellStyle name="40% - Accent3 2 4 6 3 3" xfId="15397" xr:uid="{00000000-0005-0000-0000-00000D6F0000}"/>
    <cellStyle name="40% - Accent3 2 4 6 3 4" xfId="20873" xr:uid="{00000000-0005-0000-0000-00000E6F0000}"/>
    <cellStyle name="40% - Accent3 2 4 6 3 5" xfId="26349" xr:uid="{00000000-0005-0000-0000-00000F6F0000}"/>
    <cellStyle name="40% - Accent3 2 4 6 3 6" xfId="38145" xr:uid="{00000000-0005-0000-0000-0000106F0000}"/>
    <cellStyle name="40% - Accent3 2 4 6 3 7" xfId="43622" xr:uid="{00000000-0005-0000-0000-0000116F0000}"/>
    <cellStyle name="40% - Accent3 2 4 6 3 8" xfId="49099" xr:uid="{00000000-0005-0000-0000-0000126F0000}"/>
    <cellStyle name="40% - Accent3 2 4 6 3 9" xfId="54617" xr:uid="{00000000-0005-0000-0000-0000136F0000}"/>
    <cellStyle name="40% - Accent3 2 4 6 4" xfId="6493" xr:uid="{00000000-0005-0000-0000-0000146F0000}"/>
    <cellStyle name="40% - Accent3 2 4 6 5" xfId="11973" xr:uid="{00000000-0005-0000-0000-0000156F0000}"/>
    <cellStyle name="40% - Accent3 2 4 6 6" xfId="17449" xr:uid="{00000000-0005-0000-0000-0000166F0000}"/>
    <cellStyle name="40% - Accent3 2 4 6 7" xfId="22925" xr:uid="{00000000-0005-0000-0000-0000176F0000}"/>
    <cellStyle name="40% - Accent3 2 4 6 8" xfId="34720" xr:uid="{00000000-0005-0000-0000-0000186F0000}"/>
    <cellStyle name="40% - Accent3 2 4 6 9" xfId="40197" xr:uid="{00000000-0005-0000-0000-0000196F0000}"/>
    <cellStyle name="40% - Accent3 2 4 7" xfId="1114" xr:uid="{00000000-0005-0000-0000-00001A6F0000}"/>
    <cellStyle name="40% - Accent3 2 4 7 10" xfId="45675" xr:uid="{00000000-0005-0000-0000-00001B6F0000}"/>
    <cellStyle name="40% - Accent3 2 4 7 11" xfId="51153" xr:uid="{00000000-0005-0000-0000-00001C6F0000}"/>
    <cellStyle name="40% - Accent3 2 4 7 2" xfId="2875" xr:uid="{00000000-0005-0000-0000-00001D6F0000}"/>
    <cellStyle name="40% - Accent3 2 4 7 2 2" xfId="8355" xr:uid="{00000000-0005-0000-0000-00001E6F0000}"/>
    <cellStyle name="40% - Accent3 2 4 7 2 3" xfId="13831" xr:uid="{00000000-0005-0000-0000-00001F6F0000}"/>
    <cellStyle name="40% - Accent3 2 4 7 2 4" xfId="19307" xr:uid="{00000000-0005-0000-0000-0000206F0000}"/>
    <cellStyle name="40% - Accent3 2 4 7 2 5" xfId="24783" xr:uid="{00000000-0005-0000-0000-0000216F0000}"/>
    <cellStyle name="40% - Accent3 2 4 7 2 6" xfId="36579" xr:uid="{00000000-0005-0000-0000-0000226F0000}"/>
    <cellStyle name="40% - Accent3 2 4 7 2 7" xfId="42056" xr:uid="{00000000-0005-0000-0000-0000236F0000}"/>
    <cellStyle name="40% - Accent3 2 4 7 2 8" xfId="47533" xr:uid="{00000000-0005-0000-0000-0000246F0000}"/>
    <cellStyle name="40% - Accent3 2 4 7 2 9" xfId="53051" xr:uid="{00000000-0005-0000-0000-0000256F0000}"/>
    <cellStyle name="40% - Accent3 2 4 7 3" xfId="4647" xr:uid="{00000000-0005-0000-0000-0000266F0000}"/>
    <cellStyle name="40% - Accent3 2 4 7 3 2" xfId="10127" xr:uid="{00000000-0005-0000-0000-0000276F0000}"/>
    <cellStyle name="40% - Accent3 2 4 7 3 3" xfId="15603" xr:uid="{00000000-0005-0000-0000-0000286F0000}"/>
    <cellStyle name="40% - Accent3 2 4 7 3 4" xfId="21079" xr:uid="{00000000-0005-0000-0000-0000296F0000}"/>
    <cellStyle name="40% - Accent3 2 4 7 3 5" xfId="26555" xr:uid="{00000000-0005-0000-0000-00002A6F0000}"/>
    <cellStyle name="40% - Accent3 2 4 7 3 6" xfId="38351" xr:uid="{00000000-0005-0000-0000-00002B6F0000}"/>
    <cellStyle name="40% - Accent3 2 4 7 3 7" xfId="43828" xr:uid="{00000000-0005-0000-0000-00002C6F0000}"/>
    <cellStyle name="40% - Accent3 2 4 7 3 8" xfId="49305" xr:uid="{00000000-0005-0000-0000-00002D6F0000}"/>
    <cellStyle name="40% - Accent3 2 4 7 3 9" xfId="54823" xr:uid="{00000000-0005-0000-0000-00002E6F0000}"/>
    <cellStyle name="40% - Accent3 2 4 7 4" xfId="6494" xr:uid="{00000000-0005-0000-0000-00002F6F0000}"/>
    <cellStyle name="40% - Accent3 2 4 7 5" xfId="11974" xr:uid="{00000000-0005-0000-0000-0000306F0000}"/>
    <cellStyle name="40% - Accent3 2 4 7 6" xfId="17450" xr:uid="{00000000-0005-0000-0000-0000316F0000}"/>
    <cellStyle name="40% - Accent3 2 4 7 7" xfId="22926" xr:uid="{00000000-0005-0000-0000-0000326F0000}"/>
    <cellStyle name="40% - Accent3 2 4 7 8" xfId="34721" xr:uid="{00000000-0005-0000-0000-0000336F0000}"/>
    <cellStyle name="40% - Accent3 2 4 7 9" xfId="40198" xr:uid="{00000000-0005-0000-0000-0000346F0000}"/>
    <cellStyle name="40% - Accent3 2 4 8" xfId="1286" xr:uid="{00000000-0005-0000-0000-0000356F0000}"/>
    <cellStyle name="40% - Accent3 2 4 8 10" xfId="45676" xr:uid="{00000000-0005-0000-0000-0000366F0000}"/>
    <cellStyle name="40% - Accent3 2 4 8 11" xfId="51154" xr:uid="{00000000-0005-0000-0000-0000376F0000}"/>
    <cellStyle name="40% - Accent3 2 4 8 2" xfId="3047" xr:uid="{00000000-0005-0000-0000-0000386F0000}"/>
    <cellStyle name="40% - Accent3 2 4 8 2 2" xfId="8527" xr:uid="{00000000-0005-0000-0000-0000396F0000}"/>
    <cellStyle name="40% - Accent3 2 4 8 2 3" xfId="14003" xr:uid="{00000000-0005-0000-0000-00003A6F0000}"/>
    <cellStyle name="40% - Accent3 2 4 8 2 4" xfId="19479" xr:uid="{00000000-0005-0000-0000-00003B6F0000}"/>
    <cellStyle name="40% - Accent3 2 4 8 2 5" xfId="24955" xr:uid="{00000000-0005-0000-0000-00003C6F0000}"/>
    <cellStyle name="40% - Accent3 2 4 8 2 6" xfId="36751" xr:uid="{00000000-0005-0000-0000-00003D6F0000}"/>
    <cellStyle name="40% - Accent3 2 4 8 2 7" xfId="42228" xr:uid="{00000000-0005-0000-0000-00003E6F0000}"/>
    <cellStyle name="40% - Accent3 2 4 8 2 8" xfId="47705" xr:uid="{00000000-0005-0000-0000-00003F6F0000}"/>
    <cellStyle name="40% - Accent3 2 4 8 2 9" xfId="53223" xr:uid="{00000000-0005-0000-0000-0000406F0000}"/>
    <cellStyle name="40% - Accent3 2 4 8 3" xfId="4819" xr:uid="{00000000-0005-0000-0000-0000416F0000}"/>
    <cellStyle name="40% - Accent3 2 4 8 3 2" xfId="10299" xr:uid="{00000000-0005-0000-0000-0000426F0000}"/>
    <cellStyle name="40% - Accent3 2 4 8 3 3" xfId="15775" xr:uid="{00000000-0005-0000-0000-0000436F0000}"/>
    <cellStyle name="40% - Accent3 2 4 8 3 4" xfId="21251" xr:uid="{00000000-0005-0000-0000-0000446F0000}"/>
    <cellStyle name="40% - Accent3 2 4 8 3 5" xfId="26727" xr:uid="{00000000-0005-0000-0000-0000456F0000}"/>
    <cellStyle name="40% - Accent3 2 4 8 3 6" xfId="38523" xr:uid="{00000000-0005-0000-0000-0000466F0000}"/>
    <cellStyle name="40% - Accent3 2 4 8 3 7" xfId="44000" xr:uid="{00000000-0005-0000-0000-0000476F0000}"/>
    <cellStyle name="40% - Accent3 2 4 8 3 8" xfId="49477" xr:uid="{00000000-0005-0000-0000-0000486F0000}"/>
    <cellStyle name="40% - Accent3 2 4 8 3 9" xfId="54995" xr:uid="{00000000-0005-0000-0000-0000496F0000}"/>
    <cellStyle name="40% - Accent3 2 4 8 4" xfId="6495" xr:uid="{00000000-0005-0000-0000-00004A6F0000}"/>
    <cellStyle name="40% - Accent3 2 4 8 5" xfId="11975" xr:uid="{00000000-0005-0000-0000-00004B6F0000}"/>
    <cellStyle name="40% - Accent3 2 4 8 6" xfId="17451" xr:uid="{00000000-0005-0000-0000-00004C6F0000}"/>
    <cellStyle name="40% - Accent3 2 4 8 7" xfId="22927" xr:uid="{00000000-0005-0000-0000-00004D6F0000}"/>
    <cellStyle name="40% - Accent3 2 4 8 8" xfId="34722" xr:uid="{00000000-0005-0000-0000-00004E6F0000}"/>
    <cellStyle name="40% - Accent3 2 4 8 9" xfId="40199" xr:uid="{00000000-0005-0000-0000-00004F6F0000}"/>
    <cellStyle name="40% - Accent3 2 4 9" xfId="1458" xr:uid="{00000000-0005-0000-0000-0000506F0000}"/>
    <cellStyle name="40% - Accent3 2 4 9 10" xfId="45677" xr:uid="{00000000-0005-0000-0000-0000516F0000}"/>
    <cellStyle name="40% - Accent3 2 4 9 11" xfId="51155" xr:uid="{00000000-0005-0000-0000-0000526F0000}"/>
    <cellStyle name="40% - Accent3 2 4 9 2" xfId="3219" xr:uid="{00000000-0005-0000-0000-0000536F0000}"/>
    <cellStyle name="40% - Accent3 2 4 9 2 2" xfId="8699" xr:uid="{00000000-0005-0000-0000-0000546F0000}"/>
    <cellStyle name="40% - Accent3 2 4 9 2 3" xfId="14175" xr:uid="{00000000-0005-0000-0000-0000556F0000}"/>
    <cellStyle name="40% - Accent3 2 4 9 2 4" xfId="19651" xr:uid="{00000000-0005-0000-0000-0000566F0000}"/>
    <cellStyle name="40% - Accent3 2 4 9 2 5" xfId="25127" xr:uid="{00000000-0005-0000-0000-0000576F0000}"/>
    <cellStyle name="40% - Accent3 2 4 9 2 6" xfId="36923" xr:uid="{00000000-0005-0000-0000-0000586F0000}"/>
    <cellStyle name="40% - Accent3 2 4 9 2 7" xfId="42400" xr:uid="{00000000-0005-0000-0000-0000596F0000}"/>
    <cellStyle name="40% - Accent3 2 4 9 2 8" xfId="47877" xr:uid="{00000000-0005-0000-0000-00005A6F0000}"/>
    <cellStyle name="40% - Accent3 2 4 9 2 9" xfId="53395" xr:uid="{00000000-0005-0000-0000-00005B6F0000}"/>
    <cellStyle name="40% - Accent3 2 4 9 3" xfId="4991" xr:uid="{00000000-0005-0000-0000-00005C6F0000}"/>
    <cellStyle name="40% - Accent3 2 4 9 3 2" xfId="10471" xr:uid="{00000000-0005-0000-0000-00005D6F0000}"/>
    <cellStyle name="40% - Accent3 2 4 9 3 3" xfId="15947" xr:uid="{00000000-0005-0000-0000-00005E6F0000}"/>
    <cellStyle name="40% - Accent3 2 4 9 3 4" xfId="21423" xr:uid="{00000000-0005-0000-0000-00005F6F0000}"/>
    <cellStyle name="40% - Accent3 2 4 9 3 5" xfId="26899" xr:uid="{00000000-0005-0000-0000-0000606F0000}"/>
    <cellStyle name="40% - Accent3 2 4 9 3 6" xfId="38695" xr:uid="{00000000-0005-0000-0000-0000616F0000}"/>
    <cellStyle name="40% - Accent3 2 4 9 3 7" xfId="44172" xr:uid="{00000000-0005-0000-0000-0000626F0000}"/>
    <cellStyle name="40% - Accent3 2 4 9 3 8" xfId="49649" xr:uid="{00000000-0005-0000-0000-0000636F0000}"/>
    <cellStyle name="40% - Accent3 2 4 9 3 9" xfId="55167" xr:uid="{00000000-0005-0000-0000-0000646F0000}"/>
    <cellStyle name="40% - Accent3 2 4 9 4" xfId="6496" xr:uid="{00000000-0005-0000-0000-0000656F0000}"/>
    <cellStyle name="40% - Accent3 2 4 9 5" xfId="11976" xr:uid="{00000000-0005-0000-0000-0000666F0000}"/>
    <cellStyle name="40% - Accent3 2 4 9 6" xfId="17452" xr:uid="{00000000-0005-0000-0000-0000676F0000}"/>
    <cellStyle name="40% - Accent3 2 4 9 7" xfId="22928" xr:uid="{00000000-0005-0000-0000-0000686F0000}"/>
    <cellStyle name="40% - Accent3 2 4 9 8" xfId="34723" xr:uid="{00000000-0005-0000-0000-0000696F0000}"/>
    <cellStyle name="40% - Accent3 2 4 9 9" xfId="40200" xr:uid="{00000000-0005-0000-0000-00006A6F0000}"/>
    <cellStyle name="40% - Accent3 2 5" xfId="213" xr:uid="{00000000-0005-0000-0000-00006B6F0000}"/>
    <cellStyle name="40% - Accent3 2 5 10" xfId="1829" xr:uid="{00000000-0005-0000-0000-00006C6F0000}"/>
    <cellStyle name="40% - Accent3 2 5 10 10" xfId="45679" xr:uid="{00000000-0005-0000-0000-00006D6F0000}"/>
    <cellStyle name="40% - Accent3 2 5 10 11" xfId="51157" xr:uid="{00000000-0005-0000-0000-00006E6F0000}"/>
    <cellStyle name="40% - Accent3 2 5 10 2" xfId="3590" xr:uid="{00000000-0005-0000-0000-00006F6F0000}"/>
    <cellStyle name="40% - Accent3 2 5 10 2 2" xfId="9070" xr:uid="{00000000-0005-0000-0000-0000706F0000}"/>
    <cellStyle name="40% - Accent3 2 5 10 2 3" xfId="14546" xr:uid="{00000000-0005-0000-0000-0000716F0000}"/>
    <cellStyle name="40% - Accent3 2 5 10 2 4" xfId="20022" xr:uid="{00000000-0005-0000-0000-0000726F0000}"/>
    <cellStyle name="40% - Accent3 2 5 10 2 5" xfId="25498" xr:uid="{00000000-0005-0000-0000-0000736F0000}"/>
    <cellStyle name="40% - Accent3 2 5 10 2 6" xfId="37294" xr:uid="{00000000-0005-0000-0000-0000746F0000}"/>
    <cellStyle name="40% - Accent3 2 5 10 2 7" xfId="42771" xr:uid="{00000000-0005-0000-0000-0000756F0000}"/>
    <cellStyle name="40% - Accent3 2 5 10 2 8" xfId="48248" xr:uid="{00000000-0005-0000-0000-0000766F0000}"/>
    <cellStyle name="40% - Accent3 2 5 10 2 9" xfId="53766" xr:uid="{00000000-0005-0000-0000-0000776F0000}"/>
    <cellStyle name="40% - Accent3 2 5 10 3" xfId="5362" xr:uid="{00000000-0005-0000-0000-0000786F0000}"/>
    <cellStyle name="40% - Accent3 2 5 10 3 2" xfId="10842" xr:uid="{00000000-0005-0000-0000-0000796F0000}"/>
    <cellStyle name="40% - Accent3 2 5 10 3 3" xfId="16318" xr:uid="{00000000-0005-0000-0000-00007A6F0000}"/>
    <cellStyle name="40% - Accent3 2 5 10 3 4" xfId="21794" xr:uid="{00000000-0005-0000-0000-00007B6F0000}"/>
    <cellStyle name="40% - Accent3 2 5 10 3 5" xfId="27270" xr:uid="{00000000-0005-0000-0000-00007C6F0000}"/>
    <cellStyle name="40% - Accent3 2 5 10 3 6" xfId="39066" xr:uid="{00000000-0005-0000-0000-00007D6F0000}"/>
    <cellStyle name="40% - Accent3 2 5 10 3 7" xfId="44543" xr:uid="{00000000-0005-0000-0000-00007E6F0000}"/>
    <cellStyle name="40% - Accent3 2 5 10 3 8" xfId="50020" xr:uid="{00000000-0005-0000-0000-00007F6F0000}"/>
    <cellStyle name="40% - Accent3 2 5 10 3 9" xfId="55538" xr:uid="{00000000-0005-0000-0000-0000806F0000}"/>
    <cellStyle name="40% - Accent3 2 5 10 4" xfId="6498" xr:uid="{00000000-0005-0000-0000-0000816F0000}"/>
    <cellStyle name="40% - Accent3 2 5 10 5" xfId="11978" xr:uid="{00000000-0005-0000-0000-0000826F0000}"/>
    <cellStyle name="40% - Accent3 2 5 10 6" xfId="17454" xr:uid="{00000000-0005-0000-0000-0000836F0000}"/>
    <cellStyle name="40% - Accent3 2 5 10 7" xfId="22930" xr:uid="{00000000-0005-0000-0000-0000846F0000}"/>
    <cellStyle name="40% - Accent3 2 5 10 8" xfId="34725" xr:uid="{00000000-0005-0000-0000-0000856F0000}"/>
    <cellStyle name="40% - Accent3 2 5 10 9" xfId="40202" xr:uid="{00000000-0005-0000-0000-0000866F0000}"/>
    <cellStyle name="40% - Accent3 2 5 11" xfId="1994" xr:uid="{00000000-0005-0000-0000-0000876F0000}"/>
    <cellStyle name="40% - Accent3 2 5 11 10" xfId="52171" xr:uid="{00000000-0005-0000-0000-0000886F0000}"/>
    <cellStyle name="40% - Accent3 2 5 11 2" xfId="5526" xr:uid="{00000000-0005-0000-0000-0000896F0000}"/>
    <cellStyle name="40% - Accent3 2 5 11 2 2" xfId="11006" xr:uid="{00000000-0005-0000-0000-00008A6F0000}"/>
    <cellStyle name="40% - Accent3 2 5 11 2 3" xfId="16482" xr:uid="{00000000-0005-0000-0000-00008B6F0000}"/>
    <cellStyle name="40% - Accent3 2 5 11 2 4" xfId="21958" xr:uid="{00000000-0005-0000-0000-00008C6F0000}"/>
    <cellStyle name="40% - Accent3 2 5 11 2 5" xfId="27434" xr:uid="{00000000-0005-0000-0000-00008D6F0000}"/>
    <cellStyle name="40% - Accent3 2 5 11 2 6" xfId="39230" xr:uid="{00000000-0005-0000-0000-00008E6F0000}"/>
    <cellStyle name="40% - Accent3 2 5 11 2 7" xfId="44707" xr:uid="{00000000-0005-0000-0000-00008F6F0000}"/>
    <cellStyle name="40% - Accent3 2 5 11 2 8" xfId="50184" xr:uid="{00000000-0005-0000-0000-0000906F0000}"/>
    <cellStyle name="40% - Accent3 2 5 11 2 9" xfId="55702" xr:uid="{00000000-0005-0000-0000-0000916F0000}"/>
    <cellStyle name="40% - Accent3 2 5 11 3" xfId="7475" xr:uid="{00000000-0005-0000-0000-0000926F0000}"/>
    <cellStyle name="40% - Accent3 2 5 11 4" xfId="12951" xr:uid="{00000000-0005-0000-0000-0000936F0000}"/>
    <cellStyle name="40% - Accent3 2 5 11 5" xfId="18427" xr:uid="{00000000-0005-0000-0000-0000946F0000}"/>
    <cellStyle name="40% - Accent3 2 5 11 6" xfId="23903" xr:uid="{00000000-0005-0000-0000-0000956F0000}"/>
    <cellStyle name="40% - Accent3 2 5 11 7" xfId="35699" xr:uid="{00000000-0005-0000-0000-0000966F0000}"/>
    <cellStyle name="40% - Accent3 2 5 11 8" xfId="41176" xr:uid="{00000000-0005-0000-0000-0000976F0000}"/>
    <cellStyle name="40% - Accent3 2 5 11 9" xfId="46653" xr:uid="{00000000-0005-0000-0000-0000986F0000}"/>
    <cellStyle name="40% - Accent3 2 5 12" xfId="3779" xr:uid="{00000000-0005-0000-0000-0000996F0000}"/>
    <cellStyle name="40% - Accent3 2 5 12 2" xfId="9259" xr:uid="{00000000-0005-0000-0000-00009A6F0000}"/>
    <cellStyle name="40% - Accent3 2 5 12 3" xfId="14735" xr:uid="{00000000-0005-0000-0000-00009B6F0000}"/>
    <cellStyle name="40% - Accent3 2 5 12 4" xfId="20211" xr:uid="{00000000-0005-0000-0000-00009C6F0000}"/>
    <cellStyle name="40% - Accent3 2 5 12 5" xfId="25687" xr:uid="{00000000-0005-0000-0000-00009D6F0000}"/>
    <cellStyle name="40% - Accent3 2 5 12 6" xfId="37483" xr:uid="{00000000-0005-0000-0000-00009E6F0000}"/>
    <cellStyle name="40% - Accent3 2 5 12 7" xfId="42960" xr:uid="{00000000-0005-0000-0000-00009F6F0000}"/>
    <cellStyle name="40% - Accent3 2 5 12 8" xfId="48437" xr:uid="{00000000-0005-0000-0000-0000A06F0000}"/>
    <cellStyle name="40% - Accent3 2 5 12 9" xfId="53955" xr:uid="{00000000-0005-0000-0000-0000A16F0000}"/>
    <cellStyle name="40% - Accent3 2 5 13" xfId="6497" xr:uid="{00000000-0005-0000-0000-0000A26F0000}"/>
    <cellStyle name="40% - Accent3 2 5 14" xfId="11977" xr:uid="{00000000-0005-0000-0000-0000A36F0000}"/>
    <cellStyle name="40% - Accent3 2 5 15" xfId="17453" xr:uid="{00000000-0005-0000-0000-0000A46F0000}"/>
    <cellStyle name="40% - Accent3 2 5 16" xfId="22929" xr:uid="{00000000-0005-0000-0000-0000A56F0000}"/>
    <cellStyle name="40% - Accent3 2 5 17" xfId="31257" xr:uid="{00000000-0005-0000-0000-0000A66F0000}"/>
    <cellStyle name="40% - Accent3 2 5 18" xfId="34724" xr:uid="{00000000-0005-0000-0000-0000A76F0000}"/>
    <cellStyle name="40% - Accent3 2 5 19" xfId="40201" xr:uid="{00000000-0005-0000-0000-0000A86F0000}"/>
    <cellStyle name="40% - Accent3 2 5 2" xfId="365" xr:uid="{00000000-0005-0000-0000-0000A96F0000}"/>
    <cellStyle name="40% - Accent3 2 5 2 10" xfId="40203" xr:uid="{00000000-0005-0000-0000-0000AA6F0000}"/>
    <cellStyle name="40% - Accent3 2 5 2 11" xfId="45680" xr:uid="{00000000-0005-0000-0000-0000AB6F0000}"/>
    <cellStyle name="40% - Accent3 2 5 2 12" xfId="51158" xr:uid="{00000000-0005-0000-0000-0000AC6F0000}"/>
    <cellStyle name="40% - Accent3 2 5 2 2" xfId="2159" xr:uid="{00000000-0005-0000-0000-0000AD6F0000}"/>
    <cellStyle name="40% - Accent3 2 5 2 2 10" xfId="52335" xr:uid="{00000000-0005-0000-0000-0000AE6F0000}"/>
    <cellStyle name="40% - Accent3 2 5 2 2 2" xfId="7639" xr:uid="{00000000-0005-0000-0000-0000AF6F0000}"/>
    <cellStyle name="40% - Accent3 2 5 2 2 3" xfId="13115" xr:uid="{00000000-0005-0000-0000-0000B06F0000}"/>
    <cellStyle name="40% - Accent3 2 5 2 2 4" xfId="18591" xr:uid="{00000000-0005-0000-0000-0000B16F0000}"/>
    <cellStyle name="40% - Accent3 2 5 2 2 5" xfId="24067" xr:uid="{00000000-0005-0000-0000-0000B26F0000}"/>
    <cellStyle name="40% - Accent3 2 5 2 2 6" xfId="31259" xr:uid="{00000000-0005-0000-0000-0000B36F0000}"/>
    <cellStyle name="40% - Accent3 2 5 2 2 7" xfId="35863" xr:uid="{00000000-0005-0000-0000-0000B46F0000}"/>
    <cellStyle name="40% - Accent3 2 5 2 2 8" xfId="41340" xr:uid="{00000000-0005-0000-0000-0000B56F0000}"/>
    <cellStyle name="40% - Accent3 2 5 2 2 9" xfId="46817" xr:uid="{00000000-0005-0000-0000-0000B66F0000}"/>
    <cellStyle name="40% - Accent3 2 5 2 3" xfId="3927" xr:uid="{00000000-0005-0000-0000-0000B76F0000}"/>
    <cellStyle name="40% - Accent3 2 5 2 3 2" xfId="9407" xr:uid="{00000000-0005-0000-0000-0000B86F0000}"/>
    <cellStyle name="40% - Accent3 2 5 2 3 3" xfId="14883" xr:uid="{00000000-0005-0000-0000-0000B96F0000}"/>
    <cellStyle name="40% - Accent3 2 5 2 3 4" xfId="20359" xr:uid="{00000000-0005-0000-0000-0000BA6F0000}"/>
    <cellStyle name="40% - Accent3 2 5 2 3 5" xfId="25835" xr:uid="{00000000-0005-0000-0000-0000BB6F0000}"/>
    <cellStyle name="40% - Accent3 2 5 2 3 6" xfId="37631" xr:uid="{00000000-0005-0000-0000-0000BC6F0000}"/>
    <cellStyle name="40% - Accent3 2 5 2 3 7" xfId="43108" xr:uid="{00000000-0005-0000-0000-0000BD6F0000}"/>
    <cellStyle name="40% - Accent3 2 5 2 3 8" xfId="48585" xr:uid="{00000000-0005-0000-0000-0000BE6F0000}"/>
    <cellStyle name="40% - Accent3 2 5 2 3 9" xfId="54103" xr:uid="{00000000-0005-0000-0000-0000BF6F0000}"/>
    <cellStyle name="40% - Accent3 2 5 2 4" xfId="6499" xr:uid="{00000000-0005-0000-0000-0000C06F0000}"/>
    <cellStyle name="40% - Accent3 2 5 2 5" xfId="11979" xr:uid="{00000000-0005-0000-0000-0000C16F0000}"/>
    <cellStyle name="40% - Accent3 2 5 2 6" xfId="17455" xr:uid="{00000000-0005-0000-0000-0000C26F0000}"/>
    <cellStyle name="40% - Accent3 2 5 2 7" xfId="22931" xr:uid="{00000000-0005-0000-0000-0000C36F0000}"/>
    <cellStyle name="40% - Accent3 2 5 2 8" xfId="31258" xr:uid="{00000000-0005-0000-0000-0000C46F0000}"/>
    <cellStyle name="40% - Accent3 2 5 2 9" xfId="34726" xr:uid="{00000000-0005-0000-0000-0000C56F0000}"/>
    <cellStyle name="40% - Accent3 2 5 20" xfId="45678" xr:uid="{00000000-0005-0000-0000-0000C66F0000}"/>
    <cellStyle name="40% - Accent3 2 5 21" xfId="51156" xr:uid="{00000000-0005-0000-0000-0000C76F0000}"/>
    <cellStyle name="40% - Accent3 2 5 3" xfId="566" xr:uid="{00000000-0005-0000-0000-0000C86F0000}"/>
    <cellStyle name="40% - Accent3 2 5 3 10" xfId="40204" xr:uid="{00000000-0005-0000-0000-0000C96F0000}"/>
    <cellStyle name="40% - Accent3 2 5 3 11" xfId="45681" xr:uid="{00000000-0005-0000-0000-0000CA6F0000}"/>
    <cellStyle name="40% - Accent3 2 5 3 12" xfId="51159" xr:uid="{00000000-0005-0000-0000-0000CB6F0000}"/>
    <cellStyle name="40% - Accent3 2 5 3 2" xfId="2327" xr:uid="{00000000-0005-0000-0000-0000CC6F0000}"/>
    <cellStyle name="40% - Accent3 2 5 3 2 2" xfId="7807" xr:uid="{00000000-0005-0000-0000-0000CD6F0000}"/>
    <cellStyle name="40% - Accent3 2 5 3 2 3" xfId="13283" xr:uid="{00000000-0005-0000-0000-0000CE6F0000}"/>
    <cellStyle name="40% - Accent3 2 5 3 2 4" xfId="18759" xr:uid="{00000000-0005-0000-0000-0000CF6F0000}"/>
    <cellStyle name="40% - Accent3 2 5 3 2 5" xfId="24235" xr:uid="{00000000-0005-0000-0000-0000D06F0000}"/>
    <cellStyle name="40% - Accent3 2 5 3 2 6" xfId="36031" xr:uid="{00000000-0005-0000-0000-0000D16F0000}"/>
    <cellStyle name="40% - Accent3 2 5 3 2 7" xfId="41508" xr:uid="{00000000-0005-0000-0000-0000D26F0000}"/>
    <cellStyle name="40% - Accent3 2 5 3 2 8" xfId="46985" xr:uid="{00000000-0005-0000-0000-0000D36F0000}"/>
    <cellStyle name="40% - Accent3 2 5 3 2 9" xfId="52503" xr:uid="{00000000-0005-0000-0000-0000D46F0000}"/>
    <cellStyle name="40% - Accent3 2 5 3 3" xfId="4099" xr:uid="{00000000-0005-0000-0000-0000D56F0000}"/>
    <cellStyle name="40% - Accent3 2 5 3 3 2" xfId="9579" xr:uid="{00000000-0005-0000-0000-0000D66F0000}"/>
    <cellStyle name="40% - Accent3 2 5 3 3 3" xfId="15055" xr:uid="{00000000-0005-0000-0000-0000D76F0000}"/>
    <cellStyle name="40% - Accent3 2 5 3 3 4" xfId="20531" xr:uid="{00000000-0005-0000-0000-0000D86F0000}"/>
    <cellStyle name="40% - Accent3 2 5 3 3 5" xfId="26007" xr:uid="{00000000-0005-0000-0000-0000D96F0000}"/>
    <cellStyle name="40% - Accent3 2 5 3 3 6" xfId="37803" xr:uid="{00000000-0005-0000-0000-0000DA6F0000}"/>
    <cellStyle name="40% - Accent3 2 5 3 3 7" xfId="43280" xr:uid="{00000000-0005-0000-0000-0000DB6F0000}"/>
    <cellStyle name="40% - Accent3 2 5 3 3 8" xfId="48757" xr:uid="{00000000-0005-0000-0000-0000DC6F0000}"/>
    <cellStyle name="40% - Accent3 2 5 3 3 9" xfId="54275" xr:uid="{00000000-0005-0000-0000-0000DD6F0000}"/>
    <cellStyle name="40% - Accent3 2 5 3 4" xfId="6500" xr:uid="{00000000-0005-0000-0000-0000DE6F0000}"/>
    <cellStyle name="40% - Accent3 2 5 3 5" xfId="11980" xr:uid="{00000000-0005-0000-0000-0000DF6F0000}"/>
    <cellStyle name="40% - Accent3 2 5 3 6" xfId="17456" xr:uid="{00000000-0005-0000-0000-0000E06F0000}"/>
    <cellStyle name="40% - Accent3 2 5 3 7" xfId="22932" xr:uid="{00000000-0005-0000-0000-0000E16F0000}"/>
    <cellStyle name="40% - Accent3 2 5 3 8" xfId="31260" xr:uid="{00000000-0005-0000-0000-0000E26F0000}"/>
    <cellStyle name="40% - Accent3 2 5 3 9" xfId="34727" xr:uid="{00000000-0005-0000-0000-0000E36F0000}"/>
    <cellStyle name="40% - Accent3 2 5 4" xfId="738" xr:uid="{00000000-0005-0000-0000-0000E46F0000}"/>
    <cellStyle name="40% - Accent3 2 5 4 10" xfId="45682" xr:uid="{00000000-0005-0000-0000-0000E56F0000}"/>
    <cellStyle name="40% - Accent3 2 5 4 11" xfId="51160" xr:uid="{00000000-0005-0000-0000-0000E66F0000}"/>
    <cellStyle name="40% - Accent3 2 5 4 2" xfId="2499" xr:uid="{00000000-0005-0000-0000-0000E76F0000}"/>
    <cellStyle name="40% - Accent3 2 5 4 2 2" xfId="7979" xr:uid="{00000000-0005-0000-0000-0000E86F0000}"/>
    <cellStyle name="40% - Accent3 2 5 4 2 3" xfId="13455" xr:uid="{00000000-0005-0000-0000-0000E96F0000}"/>
    <cellStyle name="40% - Accent3 2 5 4 2 4" xfId="18931" xr:uid="{00000000-0005-0000-0000-0000EA6F0000}"/>
    <cellStyle name="40% - Accent3 2 5 4 2 5" xfId="24407" xr:uid="{00000000-0005-0000-0000-0000EB6F0000}"/>
    <cellStyle name="40% - Accent3 2 5 4 2 6" xfId="36203" xr:uid="{00000000-0005-0000-0000-0000EC6F0000}"/>
    <cellStyle name="40% - Accent3 2 5 4 2 7" xfId="41680" xr:uid="{00000000-0005-0000-0000-0000ED6F0000}"/>
    <cellStyle name="40% - Accent3 2 5 4 2 8" xfId="47157" xr:uid="{00000000-0005-0000-0000-0000EE6F0000}"/>
    <cellStyle name="40% - Accent3 2 5 4 2 9" xfId="52675" xr:uid="{00000000-0005-0000-0000-0000EF6F0000}"/>
    <cellStyle name="40% - Accent3 2 5 4 3" xfId="4271" xr:uid="{00000000-0005-0000-0000-0000F06F0000}"/>
    <cellStyle name="40% - Accent3 2 5 4 3 2" xfId="9751" xr:uid="{00000000-0005-0000-0000-0000F16F0000}"/>
    <cellStyle name="40% - Accent3 2 5 4 3 3" xfId="15227" xr:uid="{00000000-0005-0000-0000-0000F26F0000}"/>
    <cellStyle name="40% - Accent3 2 5 4 3 4" xfId="20703" xr:uid="{00000000-0005-0000-0000-0000F36F0000}"/>
    <cellStyle name="40% - Accent3 2 5 4 3 5" xfId="26179" xr:uid="{00000000-0005-0000-0000-0000F46F0000}"/>
    <cellStyle name="40% - Accent3 2 5 4 3 6" xfId="37975" xr:uid="{00000000-0005-0000-0000-0000F56F0000}"/>
    <cellStyle name="40% - Accent3 2 5 4 3 7" xfId="43452" xr:uid="{00000000-0005-0000-0000-0000F66F0000}"/>
    <cellStyle name="40% - Accent3 2 5 4 3 8" xfId="48929" xr:uid="{00000000-0005-0000-0000-0000F76F0000}"/>
    <cellStyle name="40% - Accent3 2 5 4 3 9" xfId="54447" xr:uid="{00000000-0005-0000-0000-0000F86F0000}"/>
    <cellStyle name="40% - Accent3 2 5 4 4" xfId="6501" xr:uid="{00000000-0005-0000-0000-0000F96F0000}"/>
    <cellStyle name="40% - Accent3 2 5 4 5" xfId="11981" xr:uid="{00000000-0005-0000-0000-0000FA6F0000}"/>
    <cellStyle name="40% - Accent3 2 5 4 6" xfId="17457" xr:uid="{00000000-0005-0000-0000-0000FB6F0000}"/>
    <cellStyle name="40% - Accent3 2 5 4 7" xfId="22933" xr:uid="{00000000-0005-0000-0000-0000FC6F0000}"/>
    <cellStyle name="40% - Accent3 2 5 4 8" xfId="34728" xr:uid="{00000000-0005-0000-0000-0000FD6F0000}"/>
    <cellStyle name="40% - Accent3 2 5 4 9" xfId="40205" xr:uid="{00000000-0005-0000-0000-0000FE6F0000}"/>
    <cellStyle name="40% - Accent3 2 5 5" xfId="910" xr:uid="{00000000-0005-0000-0000-0000FF6F0000}"/>
    <cellStyle name="40% - Accent3 2 5 5 10" xfId="45683" xr:uid="{00000000-0005-0000-0000-000000700000}"/>
    <cellStyle name="40% - Accent3 2 5 5 11" xfId="51161" xr:uid="{00000000-0005-0000-0000-000001700000}"/>
    <cellStyle name="40% - Accent3 2 5 5 2" xfId="2671" xr:uid="{00000000-0005-0000-0000-000002700000}"/>
    <cellStyle name="40% - Accent3 2 5 5 2 2" xfId="8151" xr:uid="{00000000-0005-0000-0000-000003700000}"/>
    <cellStyle name="40% - Accent3 2 5 5 2 3" xfId="13627" xr:uid="{00000000-0005-0000-0000-000004700000}"/>
    <cellStyle name="40% - Accent3 2 5 5 2 4" xfId="19103" xr:uid="{00000000-0005-0000-0000-000005700000}"/>
    <cellStyle name="40% - Accent3 2 5 5 2 5" xfId="24579" xr:uid="{00000000-0005-0000-0000-000006700000}"/>
    <cellStyle name="40% - Accent3 2 5 5 2 6" xfId="36375" xr:uid="{00000000-0005-0000-0000-000007700000}"/>
    <cellStyle name="40% - Accent3 2 5 5 2 7" xfId="41852" xr:uid="{00000000-0005-0000-0000-000008700000}"/>
    <cellStyle name="40% - Accent3 2 5 5 2 8" xfId="47329" xr:uid="{00000000-0005-0000-0000-000009700000}"/>
    <cellStyle name="40% - Accent3 2 5 5 2 9" xfId="52847" xr:uid="{00000000-0005-0000-0000-00000A700000}"/>
    <cellStyle name="40% - Accent3 2 5 5 3" xfId="4443" xr:uid="{00000000-0005-0000-0000-00000B700000}"/>
    <cellStyle name="40% - Accent3 2 5 5 3 2" xfId="9923" xr:uid="{00000000-0005-0000-0000-00000C700000}"/>
    <cellStyle name="40% - Accent3 2 5 5 3 3" xfId="15399" xr:uid="{00000000-0005-0000-0000-00000D700000}"/>
    <cellStyle name="40% - Accent3 2 5 5 3 4" xfId="20875" xr:uid="{00000000-0005-0000-0000-00000E700000}"/>
    <cellStyle name="40% - Accent3 2 5 5 3 5" xfId="26351" xr:uid="{00000000-0005-0000-0000-00000F700000}"/>
    <cellStyle name="40% - Accent3 2 5 5 3 6" xfId="38147" xr:uid="{00000000-0005-0000-0000-000010700000}"/>
    <cellStyle name="40% - Accent3 2 5 5 3 7" xfId="43624" xr:uid="{00000000-0005-0000-0000-000011700000}"/>
    <cellStyle name="40% - Accent3 2 5 5 3 8" xfId="49101" xr:uid="{00000000-0005-0000-0000-000012700000}"/>
    <cellStyle name="40% - Accent3 2 5 5 3 9" xfId="54619" xr:uid="{00000000-0005-0000-0000-000013700000}"/>
    <cellStyle name="40% - Accent3 2 5 5 4" xfId="6502" xr:uid="{00000000-0005-0000-0000-000014700000}"/>
    <cellStyle name="40% - Accent3 2 5 5 5" xfId="11982" xr:uid="{00000000-0005-0000-0000-000015700000}"/>
    <cellStyle name="40% - Accent3 2 5 5 6" xfId="17458" xr:uid="{00000000-0005-0000-0000-000016700000}"/>
    <cellStyle name="40% - Accent3 2 5 5 7" xfId="22934" xr:uid="{00000000-0005-0000-0000-000017700000}"/>
    <cellStyle name="40% - Accent3 2 5 5 8" xfId="34729" xr:uid="{00000000-0005-0000-0000-000018700000}"/>
    <cellStyle name="40% - Accent3 2 5 5 9" xfId="40206" xr:uid="{00000000-0005-0000-0000-000019700000}"/>
    <cellStyle name="40% - Accent3 2 5 6" xfId="1116" xr:uid="{00000000-0005-0000-0000-00001A700000}"/>
    <cellStyle name="40% - Accent3 2 5 6 10" xfId="45684" xr:uid="{00000000-0005-0000-0000-00001B700000}"/>
    <cellStyle name="40% - Accent3 2 5 6 11" xfId="51162" xr:uid="{00000000-0005-0000-0000-00001C700000}"/>
    <cellStyle name="40% - Accent3 2 5 6 2" xfId="2877" xr:uid="{00000000-0005-0000-0000-00001D700000}"/>
    <cellStyle name="40% - Accent3 2 5 6 2 2" xfId="8357" xr:uid="{00000000-0005-0000-0000-00001E700000}"/>
    <cellStyle name="40% - Accent3 2 5 6 2 3" xfId="13833" xr:uid="{00000000-0005-0000-0000-00001F700000}"/>
    <cellStyle name="40% - Accent3 2 5 6 2 4" xfId="19309" xr:uid="{00000000-0005-0000-0000-000020700000}"/>
    <cellStyle name="40% - Accent3 2 5 6 2 5" xfId="24785" xr:uid="{00000000-0005-0000-0000-000021700000}"/>
    <cellStyle name="40% - Accent3 2 5 6 2 6" xfId="36581" xr:uid="{00000000-0005-0000-0000-000022700000}"/>
    <cellStyle name="40% - Accent3 2 5 6 2 7" xfId="42058" xr:uid="{00000000-0005-0000-0000-000023700000}"/>
    <cellStyle name="40% - Accent3 2 5 6 2 8" xfId="47535" xr:uid="{00000000-0005-0000-0000-000024700000}"/>
    <cellStyle name="40% - Accent3 2 5 6 2 9" xfId="53053" xr:uid="{00000000-0005-0000-0000-000025700000}"/>
    <cellStyle name="40% - Accent3 2 5 6 3" xfId="4649" xr:uid="{00000000-0005-0000-0000-000026700000}"/>
    <cellStyle name="40% - Accent3 2 5 6 3 2" xfId="10129" xr:uid="{00000000-0005-0000-0000-000027700000}"/>
    <cellStyle name="40% - Accent3 2 5 6 3 3" xfId="15605" xr:uid="{00000000-0005-0000-0000-000028700000}"/>
    <cellStyle name="40% - Accent3 2 5 6 3 4" xfId="21081" xr:uid="{00000000-0005-0000-0000-000029700000}"/>
    <cellStyle name="40% - Accent3 2 5 6 3 5" xfId="26557" xr:uid="{00000000-0005-0000-0000-00002A700000}"/>
    <cellStyle name="40% - Accent3 2 5 6 3 6" xfId="38353" xr:uid="{00000000-0005-0000-0000-00002B700000}"/>
    <cellStyle name="40% - Accent3 2 5 6 3 7" xfId="43830" xr:uid="{00000000-0005-0000-0000-00002C700000}"/>
    <cellStyle name="40% - Accent3 2 5 6 3 8" xfId="49307" xr:uid="{00000000-0005-0000-0000-00002D700000}"/>
    <cellStyle name="40% - Accent3 2 5 6 3 9" xfId="54825" xr:uid="{00000000-0005-0000-0000-00002E700000}"/>
    <cellStyle name="40% - Accent3 2 5 6 4" xfId="6503" xr:uid="{00000000-0005-0000-0000-00002F700000}"/>
    <cellStyle name="40% - Accent3 2 5 6 5" xfId="11983" xr:uid="{00000000-0005-0000-0000-000030700000}"/>
    <cellStyle name="40% - Accent3 2 5 6 6" xfId="17459" xr:uid="{00000000-0005-0000-0000-000031700000}"/>
    <cellStyle name="40% - Accent3 2 5 6 7" xfId="22935" xr:uid="{00000000-0005-0000-0000-000032700000}"/>
    <cellStyle name="40% - Accent3 2 5 6 8" xfId="34730" xr:uid="{00000000-0005-0000-0000-000033700000}"/>
    <cellStyle name="40% - Accent3 2 5 6 9" xfId="40207" xr:uid="{00000000-0005-0000-0000-000034700000}"/>
    <cellStyle name="40% - Accent3 2 5 7" xfId="1288" xr:uid="{00000000-0005-0000-0000-000035700000}"/>
    <cellStyle name="40% - Accent3 2 5 7 10" xfId="45685" xr:uid="{00000000-0005-0000-0000-000036700000}"/>
    <cellStyle name="40% - Accent3 2 5 7 11" xfId="51163" xr:uid="{00000000-0005-0000-0000-000037700000}"/>
    <cellStyle name="40% - Accent3 2 5 7 2" xfId="3049" xr:uid="{00000000-0005-0000-0000-000038700000}"/>
    <cellStyle name="40% - Accent3 2 5 7 2 2" xfId="8529" xr:uid="{00000000-0005-0000-0000-000039700000}"/>
    <cellStyle name="40% - Accent3 2 5 7 2 3" xfId="14005" xr:uid="{00000000-0005-0000-0000-00003A700000}"/>
    <cellStyle name="40% - Accent3 2 5 7 2 4" xfId="19481" xr:uid="{00000000-0005-0000-0000-00003B700000}"/>
    <cellStyle name="40% - Accent3 2 5 7 2 5" xfId="24957" xr:uid="{00000000-0005-0000-0000-00003C700000}"/>
    <cellStyle name="40% - Accent3 2 5 7 2 6" xfId="36753" xr:uid="{00000000-0005-0000-0000-00003D700000}"/>
    <cellStyle name="40% - Accent3 2 5 7 2 7" xfId="42230" xr:uid="{00000000-0005-0000-0000-00003E700000}"/>
    <cellStyle name="40% - Accent3 2 5 7 2 8" xfId="47707" xr:uid="{00000000-0005-0000-0000-00003F700000}"/>
    <cellStyle name="40% - Accent3 2 5 7 2 9" xfId="53225" xr:uid="{00000000-0005-0000-0000-000040700000}"/>
    <cellStyle name="40% - Accent3 2 5 7 3" xfId="4821" xr:uid="{00000000-0005-0000-0000-000041700000}"/>
    <cellStyle name="40% - Accent3 2 5 7 3 2" xfId="10301" xr:uid="{00000000-0005-0000-0000-000042700000}"/>
    <cellStyle name="40% - Accent3 2 5 7 3 3" xfId="15777" xr:uid="{00000000-0005-0000-0000-000043700000}"/>
    <cellStyle name="40% - Accent3 2 5 7 3 4" xfId="21253" xr:uid="{00000000-0005-0000-0000-000044700000}"/>
    <cellStyle name="40% - Accent3 2 5 7 3 5" xfId="26729" xr:uid="{00000000-0005-0000-0000-000045700000}"/>
    <cellStyle name="40% - Accent3 2 5 7 3 6" xfId="38525" xr:uid="{00000000-0005-0000-0000-000046700000}"/>
    <cellStyle name="40% - Accent3 2 5 7 3 7" xfId="44002" xr:uid="{00000000-0005-0000-0000-000047700000}"/>
    <cellStyle name="40% - Accent3 2 5 7 3 8" xfId="49479" xr:uid="{00000000-0005-0000-0000-000048700000}"/>
    <cellStyle name="40% - Accent3 2 5 7 3 9" xfId="54997" xr:uid="{00000000-0005-0000-0000-000049700000}"/>
    <cellStyle name="40% - Accent3 2 5 7 4" xfId="6504" xr:uid="{00000000-0005-0000-0000-00004A700000}"/>
    <cellStyle name="40% - Accent3 2 5 7 5" xfId="11984" xr:uid="{00000000-0005-0000-0000-00004B700000}"/>
    <cellStyle name="40% - Accent3 2 5 7 6" xfId="17460" xr:uid="{00000000-0005-0000-0000-00004C700000}"/>
    <cellStyle name="40% - Accent3 2 5 7 7" xfId="22936" xr:uid="{00000000-0005-0000-0000-00004D700000}"/>
    <cellStyle name="40% - Accent3 2 5 7 8" xfId="34731" xr:uid="{00000000-0005-0000-0000-00004E700000}"/>
    <cellStyle name="40% - Accent3 2 5 7 9" xfId="40208" xr:uid="{00000000-0005-0000-0000-00004F700000}"/>
    <cellStyle name="40% - Accent3 2 5 8" xfId="1460" xr:uid="{00000000-0005-0000-0000-000050700000}"/>
    <cellStyle name="40% - Accent3 2 5 8 10" xfId="45686" xr:uid="{00000000-0005-0000-0000-000051700000}"/>
    <cellStyle name="40% - Accent3 2 5 8 11" xfId="51164" xr:uid="{00000000-0005-0000-0000-000052700000}"/>
    <cellStyle name="40% - Accent3 2 5 8 2" xfId="3221" xr:uid="{00000000-0005-0000-0000-000053700000}"/>
    <cellStyle name="40% - Accent3 2 5 8 2 2" xfId="8701" xr:uid="{00000000-0005-0000-0000-000054700000}"/>
    <cellStyle name="40% - Accent3 2 5 8 2 3" xfId="14177" xr:uid="{00000000-0005-0000-0000-000055700000}"/>
    <cellStyle name="40% - Accent3 2 5 8 2 4" xfId="19653" xr:uid="{00000000-0005-0000-0000-000056700000}"/>
    <cellStyle name="40% - Accent3 2 5 8 2 5" xfId="25129" xr:uid="{00000000-0005-0000-0000-000057700000}"/>
    <cellStyle name="40% - Accent3 2 5 8 2 6" xfId="36925" xr:uid="{00000000-0005-0000-0000-000058700000}"/>
    <cellStyle name="40% - Accent3 2 5 8 2 7" xfId="42402" xr:uid="{00000000-0005-0000-0000-000059700000}"/>
    <cellStyle name="40% - Accent3 2 5 8 2 8" xfId="47879" xr:uid="{00000000-0005-0000-0000-00005A700000}"/>
    <cellStyle name="40% - Accent3 2 5 8 2 9" xfId="53397" xr:uid="{00000000-0005-0000-0000-00005B700000}"/>
    <cellStyle name="40% - Accent3 2 5 8 3" xfId="4993" xr:uid="{00000000-0005-0000-0000-00005C700000}"/>
    <cellStyle name="40% - Accent3 2 5 8 3 2" xfId="10473" xr:uid="{00000000-0005-0000-0000-00005D700000}"/>
    <cellStyle name="40% - Accent3 2 5 8 3 3" xfId="15949" xr:uid="{00000000-0005-0000-0000-00005E700000}"/>
    <cellStyle name="40% - Accent3 2 5 8 3 4" xfId="21425" xr:uid="{00000000-0005-0000-0000-00005F700000}"/>
    <cellStyle name="40% - Accent3 2 5 8 3 5" xfId="26901" xr:uid="{00000000-0005-0000-0000-000060700000}"/>
    <cellStyle name="40% - Accent3 2 5 8 3 6" xfId="38697" xr:uid="{00000000-0005-0000-0000-000061700000}"/>
    <cellStyle name="40% - Accent3 2 5 8 3 7" xfId="44174" xr:uid="{00000000-0005-0000-0000-000062700000}"/>
    <cellStyle name="40% - Accent3 2 5 8 3 8" xfId="49651" xr:uid="{00000000-0005-0000-0000-000063700000}"/>
    <cellStyle name="40% - Accent3 2 5 8 3 9" xfId="55169" xr:uid="{00000000-0005-0000-0000-000064700000}"/>
    <cellStyle name="40% - Accent3 2 5 8 4" xfId="6505" xr:uid="{00000000-0005-0000-0000-000065700000}"/>
    <cellStyle name="40% - Accent3 2 5 8 5" xfId="11985" xr:uid="{00000000-0005-0000-0000-000066700000}"/>
    <cellStyle name="40% - Accent3 2 5 8 6" xfId="17461" xr:uid="{00000000-0005-0000-0000-000067700000}"/>
    <cellStyle name="40% - Accent3 2 5 8 7" xfId="22937" xr:uid="{00000000-0005-0000-0000-000068700000}"/>
    <cellStyle name="40% - Accent3 2 5 8 8" xfId="34732" xr:uid="{00000000-0005-0000-0000-000069700000}"/>
    <cellStyle name="40% - Accent3 2 5 8 9" xfId="40209" xr:uid="{00000000-0005-0000-0000-00006A700000}"/>
    <cellStyle name="40% - Accent3 2 5 9" xfId="1632" xr:uid="{00000000-0005-0000-0000-00006B700000}"/>
    <cellStyle name="40% - Accent3 2 5 9 10" xfId="45687" xr:uid="{00000000-0005-0000-0000-00006C700000}"/>
    <cellStyle name="40% - Accent3 2 5 9 11" xfId="51165" xr:uid="{00000000-0005-0000-0000-00006D700000}"/>
    <cellStyle name="40% - Accent3 2 5 9 2" xfId="3393" xr:uid="{00000000-0005-0000-0000-00006E700000}"/>
    <cellStyle name="40% - Accent3 2 5 9 2 2" xfId="8873" xr:uid="{00000000-0005-0000-0000-00006F700000}"/>
    <cellStyle name="40% - Accent3 2 5 9 2 3" xfId="14349" xr:uid="{00000000-0005-0000-0000-000070700000}"/>
    <cellStyle name="40% - Accent3 2 5 9 2 4" xfId="19825" xr:uid="{00000000-0005-0000-0000-000071700000}"/>
    <cellStyle name="40% - Accent3 2 5 9 2 5" xfId="25301" xr:uid="{00000000-0005-0000-0000-000072700000}"/>
    <cellStyle name="40% - Accent3 2 5 9 2 6" xfId="37097" xr:uid="{00000000-0005-0000-0000-000073700000}"/>
    <cellStyle name="40% - Accent3 2 5 9 2 7" xfId="42574" xr:uid="{00000000-0005-0000-0000-000074700000}"/>
    <cellStyle name="40% - Accent3 2 5 9 2 8" xfId="48051" xr:uid="{00000000-0005-0000-0000-000075700000}"/>
    <cellStyle name="40% - Accent3 2 5 9 2 9" xfId="53569" xr:uid="{00000000-0005-0000-0000-000076700000}"/>
    <cellStyle name="40% - Accent3 2 5 9 3" xfId="5165" xr:uid="{00000000-0005-0000-0000-000077700000}"/>
    <cellStyle name="40% - Accent3 2 5 9 3 2" xfId="10645" xr:uid="{00000000-0005-0000-0000-000078700000}"/>
    <cellStyle name="40% - Accent3 2 5 9 3 3" xfId="16121" xr:uid="{00000000-0005-0000-0000-000079700000}"/>
    <cellStyle name="40% - Accent3 2 5 9 3 4" xfId="21597" xr:uid="{00000000-0005-0000-0000-00007A700000}"/>
    <cellStyle name="40% - Accent3 2 5 9 3 5" xfId="27073" xr:uid="{00000000-0005-0000-0000-00007B700000}"/>
    <cellStyle name="40% - Accent3 2 5 9 3 6" xfId="38869" xr:uid="{00000000-0005-0000-0000-00007C700000}"/>
    <cellStyle name="40% - Accent3 2 5 9 3 7" xfId="44346" xr:uid="{00000000-0005-0000-0000-00007D700000}"/>
    <cellStyle name="40% - Accent3 2 5 9 3 8" xfId="49823" xr:uid="{00000000-0005-0000-0000-00007E700000}"/>
    <cellStyle name="40% - Accent3 2 5 9 3 9" xfId="55341" xr:uid="{00000000-0005-0000-0000-00007F700000}"/>
    <cellStyle name="40% - Accent3 2 5 9 4" xfId="6506" xr:uid="{00000000-0005-0000-0000-000080700000}"/>
    <cellStyle name="40% - Accent3 2 5 9 5" xfId="11986" xr:uid="{00000000-0005-0000-0000-000081700000}"/>
    <cellStyle name="40% - Accent3 2 5 9 6" xfId="17462" xr:uid="{00000000-0005-0000-0000-000082700000}"/>
    <cellStyle name="40% - Accent3 2 5 9 7" xfId="22938" xr:uid="{00000000-0005-0000-0000-000083700000}"/>
    <cellStyle name="40% - Accent3 2 5 9 8" xfId="34733" xr:uid="{00000000-0005-0000-0000-000084700000}"/>
    <cellStyle name="40% - Accent3 2 5 9 9" xfId="40210" xr:uid="{00000000-0005-0000-0000-000085700000}"/>
    <cellStyle name="40% - Accent3 2 6" xfId="358" xr:uid="{00000000-0005-0000-0000-000086700000}"/>
    <cellStyle name="40% - Accent3 2 6 10" xfId="40211" xr:uid="{00000000-0005-0000-0000-000087700000}"/>
    <cellStyle name="40% - Accent3 2 6 11" xfId="45688" xr:uid="{00000000-0005-0000-0000-000088700000}"/>
    <cellStyle name="40% - Accent3 2 6 12" xfId="51166" xr:uid="{00000000-0005-0000-0000-000089700000}"/>
    <cellStyle name="40% - Accent3 2 6 2" xfId="2152" xr:uid="{00000000-0005-0000-0000-00008A700000}"/>
    <cellStyle name="40% - Accent3 2 6 2 10" xfId="52328" xr:uid="{00000000-0005-0000-0000-00008B700000}"/>
    <cellStyle name="40% - Accent3 2 6 2 2" xfId="7632" xr:uid="{00000000-0005-0000-0000-00008C700000}"/>
    <cellStyle name="40% - Accent3 2 6 2 2 2" xfId="31263" xr:uid="{00000000-0005-0000-0000-00008D700000}"/>
    <cellStyle name="40% - Accent3 2 6 2 3" xfId="13108" xr:uid="{00000000-0005-0000-0000-00008E700000}"/>
    <cellStyle name="40% - Accent3 2 6 2 4" xfId="18584" xr:uid="{00000000-0005-0000-0000-00008F700000}"/>
    <cellStyle name="40% - Accent3 2 6 2 5" xfId="24060" xr:uid="{00000000-0005-0000-0000-000090700000}"/>
    <cellStyle name="40% - Accent3 2 6 2 6" xfId="31262" xr:uid="{00000000-0005-0000-0000-000091700000}"/>
    <cellStyle name="40% - Accent3 2 6 2 7" xfId="35856" xr:uid="{00000000-0005-0000-0000-000092700000}"/>
    <cellStyle name="40% - Accent3 2 6 2 8" xfId="41333" xr:uid="{00000000-0005-0000-0000-000093700000}"/>
    <cellStyle name="40% - Accent3 2 6 2 9" xfId="46810" xr:uid="{00000000-0005-0000-0000-000094700000}"/>
    <cellStyle name="40% - Accent3 2 6 3" xfId="3920" xr:uid="{00000000-0005-0000-0000-000095700000}"/>
    <cellStyle name="40% - Accent3 2 6 3 10" xfId="54096" xr:uid="{00000000-0005-0000-0000-000096700000}"/>
    <cellStyle name="40% - Accent3 2 6 3 2" xfId="9400" xr:uid="{00000000-0005-0000-0000-000097700000}"/>
    <cellStyle name="40% - Accent3 2 6 3 3" xfId="14876" xr:uid="{00000000-0005-0000-0000-000098700000}"/>
    <cellStyle name="40% - Accent3 2 6 3 4" xfId="20352" xr:uid="{00000000-0005-0000-0000-000099700000}"/>
    <cellStyle name="40% - Accent3 2 6 3 5" xfId="25828" xr:uid="{00000000-0005-0000-0000-00009A700000}"/>
    <cellStyle name="40% - Accent3 2 6 3 6" xfId="31264" xr:uid="{00000000-0005-0000-0000-00009B700000}"/>
    <cellStyle name="40% - Accent3 2 6 3 7" xfId="37624" xr:uid="{00000000-0005-0000-0000-00009C700000}"/>
    <cellStyle name="40% - Accent3 2 6 3 8" xfId="43101" xr:uid="{00000000-0005-0000-0000-00009D700000}"/>
    <cellStyle name="40% - Accent3 2 6 3 9" xfId="48578" xr:uid="{00000000-0005-0000-0000-00009E700000}"/>
    <cellStyle name="40% - Accent3 2 6 4" xfId="6507" xr:uid="{00000000-0005-0000-0000-00009F700000}"/>
    <cellStyle name="40% - Accent3 2 6 5" xfId="11987" xr:uid="{00000000-0005-0000-0000-0000A0700000}"/>
    <cellStyle name="40% - Accent3 2 6 6" xfId="17463" xr:uid="{00000000-0005-0000-0000-0000A1700000}"/>
    <cellStyle name="40% - Accent3 2 6 7" xfId="22939" xr:uid="{00000000-0005-0000-0000-0000A2700000}"/>
    <cellStyle name="40% - Accent3 2 6 8" xfId="31261" xr:uid="{00000000-0005-0000-0000-0000A3700000}"/>
    <cellStyle name="40% - Accent3 2 6 9" xfId="34734" xr:uid="{00000000-0005-0000-0000-0000A4700000}"/>
    <cellStyle name="40% - Accent3 2 7" xfId="559" xr:uid="{00000000-0005-0000-0000-0000A5700000}"/>
    <cellStyle name="40% - Accent3 2 7 10" xfId="40212" xr:uid="{00000000-0005-0000-0000-0000A6700000}"/>
    <cellStyle name="40% - Accent3 2 7 11" xfId="45689" xr:uid="{00000000-0005-0000-0000-0000A7700000}"/>
    <cellStyle name="40% - Accent3 2 7 12" xfId="51167" xr:uid="{00000000-0005-0000-0000-0000A8700000}"/>
    <cellStyle name="40% - Accent3 2 7 2" xfId="2320" xr:uid="{00000000-0005-0000-0000-0000A9700000}"/>
    <cellStyle name="40% - Accent3 2 7 2 10" xfId="52496" xr:uid="{00000000-0005-0000-0000-0000AA700000}"/>
    <cellStyle name="40% - Accent3 2 7 2 2" xfId="7800" xr:uid="{00000000-0005-0000-0000-0000AB700000}"/>
    <cellStyle name="40% - Accent3 2 7 2 2 2" xfId="31267" xr:uid="{00000000-0005-0000-0000-0000AC700000}"/>
    <cellStyle name="40% - Accent3 2 7 2 3" xfId="13276" xr:uid="{00000000-0005-0000-0000-0000AD700000}"/>
    <cellStyle name="40% - Accent3 2 7 2 4" xfId="18752" xr:uid="{00000000-0005-0000-0000-0000AE700000}"/>
    <cellStyle name="40% - Accent3 2 7 2 5" xfId="24228" xr:uid="{00000000-0005-0000-0000-0000AF700000}"/>
    <cellStyle name="40% - Accent3 2 7 2 6" xfId="31266" xr:uid="{00000000-0005-0000-0000-0000B0700000}"/>
    <cellStyle name="40% - Accent3 2 7 2 7" xfId="36024" xr:uid="{00000000-0005-0000-0000-0000B1700000}"/>
    <cellStyle name="40% - Accent3 2 7 2 8" xfId="41501" xr:uid="{00000000-0005-0000-0000-0000B2700000}"/>
    <cellStyle name="40% - Accent3 2 7 2 9" xfId="46978" xr:uid="{00000000-0005-0000-0000-0000B3700000}"/>
    <cellStyle name="40% - Accent3 2 7 3" xfId="4092" xr:uid="{00000000-0005-0000-0000-0000B4700000}"/>
    <cellStyle name="40% - Accent3 2 7 3 10" xfId="54268" xr:uid="{00000000-0005-0000-0000-0000B5700000}"/>
    <cellStyle name="40% - Accent3 2 7 3 2" xfId="9572" xr:uid="{00000000-0005-0000-0000-0000B6700000}"/>
    <cellStyle name="40% - Accent3 2 7 3 3" xfId="15048" xr:uid="{00000000-0005-0000-0000-0000B7700000}"/>
    <cellStyle name="40% - Accent3 2 7 3 4" xfId="20524" xr:uid="{00000000-0005-0000-0000-0000B8700000}"/>
    <cellStyle name="40% - Accent3 2 7 3 5" xfId="26000" xr:uid="{00000000-0005-0000-0000-0000B9700000}"/>
    <cellStyle name="40% - Accent3 2 7 3 6" xfId="31268" xr:uid="{00000000-0005-0000-0000-0000BA700000}"/>
    <cellStyle name="40% - Accent3 2 7 3 7" xfId="37796" xr:uid="{00000000-0005-0000-0000-0000BB700000}"/>
    <cellStyle name="40% - Accent3 2 7 3 8" xfId="43273" xr:uid="{00000000-0005-0000-0000-0000BC700000}"/>
    <cellStyle name="40% - Accent3 2 7 3 9" xfId="48750" xr:uid="{00000000-0005-0000-0000-0000BD700000}"/>
    <cellStyle name="40% - Accent3 2 7 4" xfId="6508" xr:uid="{00000000-0005-0000-0000-0000BE700000}"/>
    <cellStyle name="40% - Accent3 2 7 5" xfId="11988" xr:uid="{00000000-0005-0000-0000-0000BF700000}"/>
    <cellStyle name="40% - Accent3 2 7 6" xfId="17464" xr:uid="{00000000-0005-0000-0000-0000C0700000}"/>
    <cellStyle name="40% - Accent3 2 7 7" xfId="22940" xr:uid="{00000000-0005-0000-0000-0000C1700000}"/>
    <cellStyle name="40% - Accent3 2 7 8" xfId="31265" xr:uid="{00000000-0005-0000-0000-0000C2700000}"/>
    <cellStyle name="40% - Accent3 2 7 9" xfId="34735" xr:uid="{00000000-0005-0000-0000-0000C3700000}"/>
    <cellStyle name="40% - Accent3 2 8" xfId="731" xr:uid="{00000000-0005-0000-0000-0000C4700000}"/>
    <cellStyle name="40% - Accent3 2 8 10" xfId="40213" xr:uid="{00000000-0005-0000-0000-0000C5700000}"/>
    <cellStyle name="40% - Accent3 2 8 11" xfId="45690" xr:uid="{00000000-0005-0000-0000-0000C6700000}"/>
    <cellStyle name="40% - Accent3 2 8 12" xfId="51168" xr:uid="{00000000-0005-0000-0000-0000C7700000}"/>
    <cellStyle name="40% - Accent3 2 8 2" xfId="2492" xr:uid="{00000000-0005-0000-0000-0000C8700000}"/>
    <cellStyle name="40% - Accent3 2 8 2 10" xfId="52668" xr:uid="{00000000-0005-0000-0000-0000C9700000}"/>
    <cellStyle name="40% - Accent3 2 8 2 2" xfId="7972" xr:uid="{00000000-0005-0000-0000-0000CA700000}"/>
    <cellStyle name="40% - Accent3 2 8 2 3" xfId="13448" xr:uid="{00000000-0005-0000-0000-0000CB700000}"/>
    <cellStyle name="40% - Accent3 2 8 2 4" xfId="18924" xr:uid="{00000000-0005-0000-0000-0000CC700000}"/>
    <cellStyle name="40% - Accent3 2 8 2 5" xfId="24400" xr:uid="{00000000-0005-0000-0000-0000CD700000}"/>
    <cellStyle name="40% - Accent3 2 8 2 6" xfId="31270" xr:uid="{00000000-0005-0000-0000-0000CE700000}"/>
    <cellStyle name="40% - Accent3 2 8 2 7" xfId="36196" xr:uid="{00000000-0005-0000-0000-0000CF700000}"/>
    <cellStyle name="40% - Accent3 2 8 2 8" xfId="41673" xr:uid="{00000000-0005-0000-0000-0000D0700000}"/>
    <cellStyle name="40% - Accent3 2 8 2 9" xfId="47150" xr:uid="{00000000-0005-0000-0000-0000D1700000}"/>
    <cellStyle name="40% - Accent3 2 8 3" xfId="4264" xr:uid="{00000000-0005-0000-0000-0000D2700000}"/>
    <cellStyle name="40% - Accent3 2 8 3 2" xfId="9744" xr:uid="{00000000-0005-0000-0000-0000D3700000}"/>
    <cellStyle name="40% - Accent3 2 8 3 3" xfId="15220" xr:uid="{00000000-0005-0000-0000-0000D4700000}"/>
    <cellStyle name="40% - Accent3 2 8 3 4" xfId="20696" xr:uid="{00000000-0005-0000-0000-0000D5700000}"/>
    <cellStyle name="40% - Accent3 2 8 3 5" xfId="26172" xr:uid="{00000000-0005-0000-0000-0000D6700000}"/>
    <cellStyle name="40% - Accent3 2 8 3 6" xfId="37968" xr:uid="{00000000-0005-0000-0000-0000D7700000}"/>
    <cellStyle name="40% - Accent3 2 8 3 7" xfId="43445" xr:uid="{00000000-0005-0000-0000-0000D8700000}"/>
    <cellStyle name="40% - Accent3 2 8 3 8" xfId="48922" xr:uid="{00000000-0005-0000-0000-0000D9700000}"/>
    <cellStyle name="40% - Accent3 2 8 3 9" xfId="54440" xr:uid="{00000000-0005-0000-0000-0000DA700000}"/>
    <cellStyle name="40% - Accent3 2 8 4" xfId="6509" xr:uid="{00000000-0005-0000-0000-0000DB700000}"/>
    <cellStyle name="40% - Accent3 2 8 5" xfId="11989" xr:uid="{00000000-0005-0000-0000-0000DC700000}"/>
    <cellStyle name="40% - Accent3 2 8 6" xfId="17465" xr:uid="{00000000-0005-0000-0000-0000DD700000}"/>
    <cellStyle name="40% - Accent3 2 8 7" xfId="22941" xr:uid="{00000000-0005-0000-0000-0000DE700000}"/>
    <cellStyle name="40% - Accent3 2 8 8" xfId="31269" xr:uid="{00000000-0005-0000-0000-0000DF700000}"/>
    <cellStyle name="40% - Accent3 2 8 9" xfId="34736" xr:uid="{00000000-0005-0000-0000-0000E0700000}"/>
    <cellStyle name="40% - Accent3 2 9" xfId="903" xr:uid="{00000000-0005-0000-0000-0000E1700000}"/>
    <cellStyle name="40% - Accent3 2 9 10" xfId="40214" xr:uid="{00000000-0005-0000-0000-0000E2700000}"/>
    <cellStyle name="40% - Accent3 2 9 11" xfId="45691" xr:uid="{00000000-0005-0000-0000-0000E3700000}"/>
    <cellStyle name="40% - Accent3 2 9 12" xfId="51169" xr:uid="{00000000-0005-0000-0000-0000E4700000}"/>
    <cellStyle name="40% - Accent3 2 9 2" xfId="2664" xr:uid="{00000000-0005-0000-0000-0000E5700000}"/>
    <cellStyle name="40% - Accent3 2 9 2 2" xfId="8144" xr:uid="{00000000-0005-0000-0000-0000E6700000}"/>
    <cellStyle name="40% - Accent3 2 9 2 3" xfId="13620" xr:uid="{00000000-0005-0000-0000-0000E7700000}"/>
    <cellStyle name="40% - Accent3 2 9 2 4" xfId="19096" xr:uid="{00000000-0005-0000-0000-0000E8700000}"/>
    <cellStyle name="40% - Accent3 2 9 2 5" xfId="24572" xr:uid="{00000000-0005-0000-0000-0000E9700000}"/>
    <cellStyle name="40% - Accent3 2 9 2 6" xfId="36368" xr:uid="{00000000-0005-0000-0000-0000EA700000}"/>
    <cellStyle name="40% - Accent3 2 9 2 7" xfId="41845" xr:uid="{00000000-0005-0000-0000-0000EB700000}"/>
    <cellStyle name="40% - Accent3 2 9 2 8" xfId="47322" xr:uid="{00000000-0005-0000-0000-0000EC700000}"/>
    <cellStyle name="40% - Accent3 2 9 2 9" xfId="52840" xr:uid="{00000000-0005-0000-0000-0000ED700000}"/>
    <cellStyle name="40% - Accent3 2 9 3" xfId="4436" xr:uid="{00000000-0005-0000-0000-0000EE700000}"/>
    <cellStyle name="40% - Accent3 2 9 3 2" xfId="9916" xr:uid="{00000000-0005-0000-0000-0000EF700000}"/>
    <cellStyle name="40% - Accent3 2 9 3 3" xfId="15392" xr:uid="{00000000-0005-0000-0000-0000F0700000}"/>
    <cellStyle name="40% - Accent3 2 9 3 4" xfId="20868" xr:uid="{00000000-0005-0000-0000-0000F1700000}"/>
    <cellStyle name="40% - Accent3 2 9 3 5" xfId="26344" xr:uid="{00000000-0005-0000-0000-0000F2700000}"/>
    <cellStyle name="40% - Accent3 2 9 3 6" xfId="38140" xr:uid="{00000000-0005-0000-0000-0000F3700000}"/>
    <cellStyle name="40% - Accent3 2 9 3 7" xfId="43617" xr:uid="{00000000-0005-0000-0000-0000F4700000}"/>
    <cellStyle name="40% - Accent3 2 9 3 8" xfId="49094" xr:uid="{00000000-0005-0000-0000-0000F5700000}"/>
    <cellStyle name="40% - Accent3 2 9 3 9" xfId="54612" xr:uid="{00000000-0005-0000-0000-0000F6700000}"/>
    <cellStyle name="40% - Accent3 2 9 4" xfId="6510" xr:uid="{00000000-0005-0000-0000-0000F7700000}"/>
    <cellStyle name="40% - Accent3 2 9 5" xfId="11990" xr:uid="{00000000-0005-0000-0000-0000F8700000}"/>
    <cellStyle name="40% - Accent3 2 9 6" xfId="17466" xr:uid="{00000000-0005-0000-0000-0000F9700000}"/>
    <cellStyle name="40% - Accent3 2 9 7" xfId="22942" xr:uid="{00000000-0005-0000-0000-0000FA700000}"/>
    <cellStyle name="40% - Accent3 2 9 8" xfId="31271" xr:uid="{00000000-0005-0000-0000-0000FB700000}"/>
    <cellStyle name="40% - Accent3 2 9 9" xfId="34737" xr:uid="{00000000-0005-0000-0000-0000FC700000}"/>
    <cellStyle name="40% - Accent3 20" xfId="31272" xr:uid="{00000000-0005-0000-0000-0000FD700000}"/>
    <cellStyle name="40% - Accent3 20 2" xfId="31273" xr:uid="{00000000-0005-0000-0000-0000FE700000}"/>
    <cellStyle name="40% - Accent3 20 2 2" xfId="31274" xr:uid="{00000000-0005-0000-0000-0000FF700000}"/>
    <cellStyle name="40% - Accent3 20 3" xfId="31275" xr:uid="{00000000-0005-0000-0000-000000710000}"/>
    <cellStyle name="40% - Accent3 21" xfId="31276" xr:uid="{00000000-0005-0000-0000-000001710000}"/>
    <cellStyle name="40% - Accent3 21 2" xfId="31277" xr:uid="{00000000-0005-0000-0000-000002710000}"/>
    <cellStyle name="40% - Accent3 22" xfId="31278" xr:uid="{00000000-0005-0000-0000-000003710000}"/>
    <cellStyle name="40% - Accent3 23" xfId="31279" xr:uid="{00000000-0005-0000-0000-000004710000}"/>
    <cellStyle name="40% - Accent3 23 2" xfId="31280" xr:uid="{00000000-0005-0000-0000-000005710000}"/>
    <cellStyle name="40% - Accent3 24" xfId="31281" xr:uid="{00000000-0005-0000-0000-000006710000}"/>
    <cellStyle name="40% - Accent3 24 2" xfId="31282" xr:uid="{00000000-0005-0000-0000-000007710000}"/>
    <cellStyle name="40% - Accent3 25" xfId="31283" xr:uid="{00000000-0005-0000-0000-000008710000}"/>
    <cellStyle name="40% - Accent3 26" xfId="27560" xr:uid="{00000000-0005-0000-0000-000009710000}"/>
    <cellStyle name="40% - Accent3 27" xfId="35605" xr:uid="{00000000-0005-0000-0000-00000A710000}"/>
    <cellStyle name="40% - Accent3 28" xfId="41082" xr:uid="{00000000-0005-0000-0000-00000B710000}"/>
    <cellStyle name="40% - Accent3 29" xfId="46559" xr:uid="{00000000-0005-0000-0000-00000C710000}"/>
    <cellStyle name="40% - Accent3 3" xfId="189" xr:uid="{00000000-0005-0000-0000-00000D710000}"/>
    <cellStyle name="40% - Accent3 3 10" xfId="1830" xr:uid="{00000000-0005-0000-0000-00000E710000}"/>
    <cellStyle name="40% - Accent3 3 10 10" xfId="45693" xr:uid="{00000000-0005-0000-0000-00000F710000}"/>
    <cellStyle name="40% - Accent3 3 10 11" xfId="51171" xr:uid="{00000000-0005-0000-0000-000010710000}"/>
    <cellStyle name="40% - Accent3 3 10 2" xfId="3591" xr:uid="{00000000-0005-0000-0000-000011710000}"/>
    <cellStyle name="40% - Accent3 3 10 2 2" xfId="9071" xr:uid="{00000000-0005-0000-0000-000012710000}"/>
    <cellStyle name="40% - Accent3 3 10 2 3" xfId="14547" xr:uid="{00000000-0005-0000-0000-000013710000}"/>
    <cellStyle name="40% - Accent3 3 10 2 4" xfId="20023" xr:uid="{00000000-0005-0000-0000-000014710000}"/>
    <cellStyle name="40% - Accent3 3 10 2 5" xfId="25499" xr:uid="{00000000-0005-0000-0000-000015710000}"/>
    <cellStyle name="40% - Accent3 3 10 2 6" xfId="37295" xr:uid="{00000000-0005-0000-0000-000016710000}"/>
    <cellStyle name="40% - Accent3 3 10 2 7" xfId="42772" xr:uid="{00000000-0005-0000-0000-000017710000}"/>
    <cellStyle name="40% - Accent3 3 10 2 8" xfId="48249" xr:uid="{00000000-0005-0000-0000-000018710000}"/>
    <cellStyle name="40% - Accent3 3 10 2 9" xfId="53767" xr:uid="{00000000-0005-0000-0000-000019710000}"/>
    <cellStyle name="40% - Accent3 3 10 3" xfId="5363" xr:uid="{00000000-0005-0000-0000-00001A710000}"/>
    <cellStyle name="40% - Accent3 3 10 3 2" xfId="10843" xr:uid="{00000000-0005-0000-0000-00001B710000}"/>
    <cellStyle name="40% - Accent3 3 10 3 3" xfId="16319" xr:uid="{00000000-0005-0000-0000-00001C710000}"/>
    <cellStyle name="40% - Accent3 3 10 3 4" xfId="21795" xr:uid="{00000000-0005-0000-0000-00001D710000}"/>
    <cellStyle name="40% - Accent3 3 10 3 5" xfId="27271" xr:uid="{00000000-0005-0000-0000-00001E710000}"/>
    <cellStyle name="40% - Accent3 3 10 3 6" xfId="39067" xr:uid="{00000000-0005-0000-0000-00001F710000}"/>
    <cellStyle name="40% - Accent3 3 10 3 7" xfId="44544" xr:uid="{00000000-0005-0000-0000-000020710000}"/>
    <cellStyle name="40% - Accent3 3 10 3 8" xfId="50021" xr:uid="{00000000-0005-0000-0000-000021710000}"/>
    <cellStyle name="40% - Accent3 3 10 3 9" xfId="55539" xr:uid="{00000000-0005-0000-0000-000022710000}"/>
    <cellStyle name="40% - Accent3 3 10 4" xfId="6512" xr:uid="{00000000-0005-0000-0000-000023710000}"/>
    <cellStyle name="40% - Accent3 3 10 5" xfId="11992" xr:uid="{00000000-0005-0000-0000-000024710000}"/>
    <cellStyle name="40% - Accent3 3 10 6" xfId="17468" xr:uid="{00000000-0005-0000-0000-000025710000}"/>
    <cellStyle name="40% - Accent3 3 10 7" xfId="22944" xr:uid="{00000000-0005-0000-0000-000026710000}"/>
    <cellStyle name="40% - Accent3 3 10 8" xfId="34739" xr:uid="{00000000-0005-0000-0000-000027710000}"/>
    <cellStyle name="40% - Accent3 3 10 9" xfId="40216" xr:uid="{00000000-0005-0000-0000-000028710000}"/>
    <cellStyle name="40% - Accent3 3 11" xfId="1995" xr:uid="{00000000-0005-0000-0000-000029710000}"/>
    <cellStyle name="40% - Accent3 3 11 10" xfId="52172" xr:uid="{00000000-0005-0000-0000-00002A710000}"/>
    <cellStyle name="40% - Accent3 3 11 2" xfId="5527" xr:uid="{00000000-0005-0000-0000-00002B710000}"/>
    <cellStyle name="40% - Accent3 3 11 2 2" xfId="11007" xr:uid="{00000000-0005-0000-0000-00002C710000}"/>
    <cellStyle name="40% - Accent3 3 11 2 3" xfId="16483" xr:uid="{00000000-0005-0000-0000-00002D710000}"/>
    <cellStyle name="40% - Accent3 3 11 2 4" xfId="21959" xr:uid="{00000000-0005-0000-0000-00002E710000}"/>
    <cellStyle name="40% - Accent3 3 11 2 5" xfId="27435" xr:uid="{00000000-0005-0000-0000-00002F710000}"/>
    <cellStyle name="40% - Accent3 3 11 2 6" xfId="39231" xr:uid="{00000000-0005-0000-0000-000030710000}"/>
    <cellStyle name="40% - Accent3 3 11 2 7" xfId="44708" xr:uid="{00000000-0005-0000-0000-000031710000}"/>
    <cellStyle name="40% - Accent3 3 11 2 8" xfId="50185" xr:uid="{00000000-0005-0000-0000-000032710000}"/>
    <cellStyle name="40% - Accent3 3 11 2 9" xfId="55703" xr:uid="{00000000-0005-0000-0000-000033710000}"/>
    <cellStyle name="40% - Accent3 3 11 3" xfId="7476" xr:uid="{00000000-0005-0000-0000-000034710000}"/>
    <cellStyle name="40% - Accent3 3 11 4" xfId="12952" xr:uid="{00000000-0005-0000-0000-000035710000}"/>
    <cellStyle name="40% - Accent3 3 11 5" xfId="18428" xr:uid="{00000000-0005-0000-0000-000036710000}"/>
    <cellStyle name="40% - Accent3 3 11 6" xfId="23904" xr:uid="{00000000-0005-0000-0000-000037710000}"/>
    <cellStyle name="40% - Accent3 3 11 7" xfId="35700" xr:uid="{00000000-0005-0000-0000-000038710000}"/>
    <cellStyle name="40% - Accent3 3 11 8" xfId="41177" xr:uid="{00000000-0005-0000-0000-000039710000}"/>
    <cellStyle name="40% - Accent3 3 11 9" xfId="46654" xr:uid="{00000000-0005-0000-0000-00003A710000}"/>
    <cellStyle name="40% - Accent3 3 12" xfId="3759" xr:uid="{00000000-0005-0000-0000-00003B710000}"/>
    <cellStyle name="40% - Accent3 3 12 2" xfId="9239" xr:uid="{00000000-0005-0000-0000-00003C710000}"/>
    <cellStyle name="40% - Accent3 3 12 3" xfId="14715" xr:uid="{00000000-0005-0000-0000-00003D710000}"/>
    <cellStyle name="40% - Accent3 3 12 4" xfId="20191" xr:uid="{00000000-0005-0000-0000-00003E710000}"/>
    <cellStyle name="40% - Accent3 3 12 5" xfId="25667" xr:uid="{00000000-0005-0000-0000-00003F710000}"/>
    <cellStyle name="40% - Accent3 3 12 6" xfId="37463" xr:uid="{00000000-0005-0000-0000-000040710000}"/>
    <cellStyle name="40% - Accent3 3 12 7" xfId="42940" xr:uid="{00000000-0005-0000-0000-000041710000}"/>
    <cellStyle name="40% - Accent3 3 12 8" xfId="48417" xr:uid="{00000000-0005-0000-0000-000042710000}"/>
    <cellStyle name="40% - Accent3 3 12 9" xfId="53935" xr:uid="{00000000-0005-0000-0000-000043710000}"/>
    <cellStyle name="40% - Accent3 3 13" xfId="6511" xr:uid="{00000000-0005-0000-0000-000044710000}"/>
    <cellStyle name="40% - Accent3 3 14" xfId="11991" xr:uid="{00000000-0005-0000-0000-000045710000}"/>
    <cellStyle name="40% - Accent3 3 15" xfId="17467" xr:uid="{00000000-0005-0000-0000-000046710000}"/>
    <cellStyle name="40% - Accent3 3 16" xfId="22943" xr:uid="{00000000-0005-0000-0000-000047710000}"/>
    <cellStyle name="40% - Accent3 3 17" xfId="31284" xr:uid="{00000000-0005-0000-0000-000048710000}"/>
    <cellStyle name="40% - Accent3 3 18" xfId="34738" xr:uid="{00000000-0005-0000-0000-000049710000}"/>
    <cellStyle name="40% - Accent3 3 19" xfId="40215" xr:uid="{00000000-0005-0000-0000-00004A710000}"/>
    <cellStyle name="40% - Accent3 3 2" xfId="366" xr:uid="{00000000-0005-0000-0000-00004B710000}"/>
    <cellStyle name="40% - Accent3 3 2 10" xfId="40217" xr:uid="{00000000-0005-0000-0000-00004C710000}"/>
    <cellStyle name="40% - Accent3 3 2 11" xfId="45694" xr:uid="{00000000-0005-0000-0000-00004D710000}"/>
    <cellStyle name="40% - Accent3 3 2 12" xfId="51172" xr:uid="{00000000-0005-0000-0000-00004E710000}"/>
    <cellStyle name="40% - Accent3 3 2 2" xfId="2160" xr:uid="{00000000-0005-0000-0000-00004F710000}"/>
    <cellStyle name="40% - Accent3 3 2 2 10" xfId="52336" xr:uid="{00000000-0005-0000-0000-000050710000}"/>
    <cellStyle name="40% - Accent3 3 2 2 2" xfId="7640" xr:uid="{00000000-0005-0000-0000-000051710000}"/>
    <cellStyle name="40% - Accent3 3 2 2 2 2" xfId="31287" xr:uid="{00000000-0005-0000-0000-000052710000}"/>
    <cellStyle name="40% - Accent3 3 2 2 3" xfId="13116" xr:uid="{00000000-0005-0000-0000-000053710000}"/>
    <cellStyle name="40% - Accent3 3 2 2 4" xfId="18592" xr:uid="{00000000-0005-0000-0000-000054710000}"/>
    <cellStyle name="40% - Accent3 3 2 2 5" xfId="24068" xr:uid="{00000000-0005-0000-0000-000055710000}"/>
    <cellStyle name="40% - Accent3 3 2 2 6" xfId="31286" xr:uid="{00000000-0005-0000-0000-000056710000}"/>
    <cellStyle name="40% - Accent3 3 2 2 7" xfId="35864" xr:uid="{00000000-0005-0000-0000-000057710000}"/>
    <cellStyle name="40% - Accent3 3 2 2 8" xfId="41341" xr:uid="{00000000-0005-0000-0000-000058710000}"/>
    <cellStyle name="40% - Accent3 3 2 2 9" xfId="46818" xr:uid="{00000000-0005-0000-0000-000059710000}"/>
    <cellStyle name="40% - Accent3 3 2 3" xfId="3928" xr:uid="{00000000-0005-0000-0000-00005A710000}"/>
    <cellStyle name="40% - Accent3 3 2 3 10" xfId="54104" xr:uid="{00000000-0005-0000-0000-00005B710000}"/>
    <cellStyle name="40% - Accent3 3 2 3 2" xfId="9408" xr:uid="{00000000-0005-0000-0000-00005C710000}"/>
    <cellStyle name="40% - Accent3 3 2 3 3" xfId="14884" xr:uid="{00000000-0005-0000-0000-00005D710000}"/>
    <cellStyle name="40% - Accent3 3 2 3 4" xfId="20360" xr:uid="{00000000-0005-0000-0000-00005E710000}"/>
    <cellStyle name="40% - Accent3 3 2 3 5" xfId="25836" xr:uid="{00000000-0005-0000-0000-00005F710000}"/>
    <cellStyle name="40% - Accent3 3 2 3 6" xfId="31288" xr:uid="{00000000-0005-0000-0000-000060710000}"/>
    <cellStyle name="40% - Accent3 3 2 3 7" xfId="37632" xr:uid="{00000000-0005-0000-0000-000061710000}"/>
    <cellStyle name="40% - Accent3 3 2 3 8" xfId="43109" xr:uid="{00000000-0005-0000-0000-000062710000}"/>
    <cellStyle name="40% - Accent3 3 2 3 9" xfId="48586" xr:uid="{00000000-0005-0000-0000-000063710000}"/>
    <cellStyle name="40% - Accent3 3 2 4" xfId="6513" xr:uid="{00000000-0005-0000-0000-000064710000}"/>
    <cellStyle name="40% - Accent3 3 2 5" xfId="11993" xr:uid="{00000000-0005-0000-0000-000065710000}"/>
    <cellStyle name="40% - Accent3 3 2 6" xfId="17469" xr:uid="{00000000-0005-0000-0000-000066710000}"/>
    <cellStyle name="40% - Accent3 3 2 7" xfId="22945" xr:uid="{00000000-0005-0000-0000-000067710000}"/>
    <cellStyle name="40% - Accent3 3 2 8" xfId="31285" xr:uid="{00000000-0005-0000-0000-000068710000}"/>
    <cellStyle name="40% - Accent3 3 2 9" xfId="34740" xr:uid="{00000000-0005-0000-0000-000069710000}"/>
    <cellStyle name="40% - Accent3 3 20" xfId="45692" xr:uid="{00000000-0005-0000-0000-00006A710000}"/>
    <cellStyle name="40% - Accent3 3 21" xfId="51170" xr:uid="{00000000-0005-0000-0000-00006B710000}"/>
    <cellStyle name="40% - Accent3 3 3" xfId="567" xr:uid="{00000000-0005-0000-0000-00006C710000}"/>
    <cellStyle name="40% - Accent3 3 3 10" xfId="40218" xr:uid="{00000000-0005-0000-0000-00006D710000}"/>
    <cellStyle name="40% - Accent3 3 3 11" xfId="45695" xr:uid="{00000000-0005-0000-0000-00006E710000}"/>
    <cellStyle name="40% - Accent3 3 3 12" xfId="51173" xr:uid="{00000000-0005-0000-0000-00006F710000}"/>
    <cellStyle name="40% - Accent3 3 3 2" xfId="2328" xr:uid="{00000000-0005-0000-0000-000070710000}"/>
    <cellStyle name="40% - Accent3 3 3 2 10" xfId="52504" xr:uid="{00000000-0005-0000-0000-000071710000}"/>
    <cellStyle name="40% - Accent3 3 3 2 2" xfId="7808" xr:uid="{00000000-0005-0000-0000-000072710000}"/>
    <cellStyle name="40% - Accent3 3 3 2 2 2" xfId="31291" xr:uid="{00000000-0005-0000-0000-000073710000}"/>
    <cellStyle name="40% - Accent3 3 3 2 3" xfId="13284" xr:uid="{00000000-0005-0000-0000-000074710000}"/>
    <cellStyle name="40% - Accent3 3 3 2 4" xfId="18760" xr:uid="{00000000-0005-0000-0000-000075710000}"/>
    <cellStyle name="40% - Accent3 3 3 2 5" xfId="24236" xr:uid="{00000000-0005-0000-0000-000076710000}"/>
    <cellStyle name="40% - Accent3 3 3 2 6" xfId="31290" xr:uid="{00000000-0005-0000-0000-000077710000}"/>
    <cellStyle name="40% - Accent3 3 3 2 7" xfId="36032" xr:uid="{00000000-0005-0000-0000-000078710000}"/>
    <cellStyle name="40% - Accent3 3 3 2 8" xfId="41509" xr:uid="{00000000-0005-0000-0000-000079710000}"/>
    <cellStyle name="40% - Accent3 3 3 2 9" xfId="46986" xr:uid="{00000000-0005-0000-0000-00007A710000}"/>
    <cellStyle name="40% - Accent3 3 3 3" xfId="4100" xr:uid="{00000000-0005-0000-0000-00007B710000}"/>
    <cellStyle name="40% - Accent3 3 3 3 10" xfId="54276" xr:uid="{00000000-0005-0000-0000-00007C710000}"/>
    <cellStyle name="40% - Accent3 3 3 3 2" xfId="9580" xr:uid="{00000000-0005-0000-0000-00007D710000}"/>
    <cellStyle name="40% - Accent3 3 3 3 3" xfId="15056" xr:uid="{00000000-0005-0000-0000-00007E710000}"/>
    <cellStyle name="40% - Accent3 3 3 3 4" xfId="20532" xr:uid="{00000000-0005-0000-0000-00007F710000}"/>
    <cellStyle name="40% - Accent3 3 3 3 5" xfId="26008" xr:uid="{00000000-0005-0000-0000-000080710000}"/>
    <cellStyle name="40% - Accent3 3 3 3 6" xfId="31292" xr:uid="{00000000-0005-0000-0000-000081710000}"/>
    <cellStyle name="40% - Accent3 3 3 3 7" xfId="37804" xr:uid="{00000000-0005-0000-0000-000082710000}"/>
    <cellStyle name="40% - Accent3 3 3 3 8" xfId="43281" xr:uid="{00000000-0005-0000-0000-000083710000}"/>
    <cellStyle name="40% - Accent3 3 3 3 9" xfId="48758" xr:uid="{00000000-0005-0000-0000-000084710000}"/>
    <cellStyle name="40% - Accent3 3 3 4" xfId="6514" xr:uid="{00000000-0005-0000-0000-000085710000}"/>
    <cellStyle name="40% - Accent3 3 3 5" xfId="11994" xr:uid="{00000000-0005-0000-0000-000086710000}"/>
    <cellStyle name="40% - Accent3 3 3 6" xfId="17470" xr:uid="{00000000-0005-0000-0000-000087710000}"/>
    <cellStyle name="40% - Accent3 3 3 7" xfId="22946" xr:uid="{00000000-0005-0000-0000-000088710000}"/>
    <cellStyle name="40% - Accent3 3 3 8" xfId="31289" xr:uid="{00000000-0005-0000-0000-000089710000}"/>
    <cellStyle name="40% - Accent3 3 3 9" xfId="34741" xr:uid="{00000000-0005-0000-0000-00008A710000}"/>
    <cellStyle name="40% - Accent3 3 4" xfId="739" xr:uid="{00000000-0005-0000-0000-00008B710000}"/>
    <cellStyle name="40% - Accent3 3 4 10" xfId="40219" xr:uid="{00000000-0005-0000-0000-00008C710000}"/>
    <cellStyle name="40% - Accent3 3 4 11" xfId="45696" xr:uid="{00000000-0005-0000-0000-00008D710000}"/>
    <cellStyle name="40% - Accent3 3 4 12" xfId="51174" xr:uid="{00000000-0005-0000-0000-00008E710000}"/>
    <cellStyle name="40% - Accent3 3 4 2" xfId="2500" xr:uid="{00000000-0005-0000-0000-00008F710000}"/>
    <cellStyle name="40% - Accent3 3 4 2 10" xfId="52676" xr:uid="{00000000-0005-0000-0000-000090710000}"/>
    <cellStyle name="40% - Accent3 3 4 2 2" xfId="7980" xr:uid="{00000000-0005-0000-0000-000091710000}"/>
    <cellStyle name="40% - Accent3 3 4 2 2 2" xfId="31295" xr:uid="{00000000-0005-0000-0000-000092710000}"/>
    <cellStyle name="40% - Accent3 3 4 2 3" xfId="13456" xr:uid="{00000000-0005-0000-0000-000093710000}"/>
    <cellStyle name="40% - Accent3 3 4 2 4" xfId="18932" xr:uid="{00000000-0005-0000-0000-000094710000}"/>
    <cellStyle name="40% - Accent3 3 4 2 5" xfId="24408" xr:uid="{00000000-0005-0000-0000-000095710000}"/>
    <cellStyle name="40% - Accent3 3 4 2 6" xfId="31294" xr:uid="{00000000-0005-0000-0000-000096710000}"/>
    <cellStyle name="40% - Accent3 3 4 2 7" xfId="36204" xr:uid="{00000000-0005-0000-0000-000097710000}"/>
    <cellStyle name="40% - Accent3 3 4 2 8" xfId="41681" xr:uid="{00000000-0005-0000-0000-000098710000}"/>
    <cellStyle name="40% - Accent3 3 4 2 9" xfId="47158" xr:uid="{00000000-0005-0000-0000-000099710000}"/>
    <cellStyle name="40% - Accent3 3 4 3" xfId="4272" xr:uid="{00000000-0005-0000-0000-00009A710000}"/>
    <cellStyle name="40% - Accent3 3 4 3 10" xfId="54448" xr:uid="{00000000-0005-0000-0000-00009B710000}"/>
    <cellStyle name="40% - Accent3 3 4 3 2" xfId="9752" xr:uid="{00000000-0005-0000-0000-00009C710000}"/>
    <cellStyle name="40% - Accent3 3 4 3 3" xfId="15228" xr:uid="{00000000-0005-0000-0000-00009D710000}"/>
    <cellStyle name="40% - Accent3 3 4 3 4" xfId="20704" xr:uid="{00000000-0005-0000-0000-00009E710000}"/>
    <cellStyle name="40% - Accent3 3 4 3 5" xfId="26180" xr:uid="{00000000-0005-0000-0000-00009F710000}"/>
    <cellStyle name="40% - Accent3 3 4 3 6" xfId="31296" xr:uid="{00000000-0005-0000-0000-0000A0710000}"/>
    <cellStyle name="40% - Accent3 3 4 3 7" xfId="37976" xr:uid="{00000000-0005-0000-0000-0000A1710000}"/>
    <cellStyle name="40% - Accent3 3 4 3 8" xfId="43453" xr:uid="{00000000-0005-0000-0000-0000A2710000}"/>
    <cellStyle name="40% - Accent3 3 4 3 9" xfId="48930" xr:uid="{00000000-0005-0000-0000-0000A3710000}"/>
    <cellStyle name="40% - Accent3 3 4 4" xfId="6515" xr:uid="{00000000-0005-0000-0000-0000A4710000}"/>
    <cellStyle name="40% - Accent3 3 4 5" xfId="11995" xr:uid="{00000000-0005-0000-0000-0000A5710000}"/>
    <cellStyle name="40% - Accent3 3 4 6" xfId="17471" xr:uid="{00000000-0005-0000-0000-0000A6710000}"/>
    <cellStyle name="40% - Accent3 3 4 7" xfId="22947" xr:uid="{00000000-0005-0000-0000-0000A7710000}"/>
    <cellStyle name="40% - Accent3 3 4 8" xfId="31293" xr:uid="{00000000-0005-0000-0000-0000A8710000}"/>
    <cellStyle name="40% - Accent3 3 4 9" xfId="34742" xr:uid="{00000000-0005-0000-0000-0000A9710000}"/>
    <cellStyle name="40% - Accent3 3 5" xfId="911" xr:uid="{00000000-0005-0000-0000-0000AA710000}"/>
    <cellStyle name="40% - Accent3 3 5 10" xfId="40220" xr:uid="{00000000-0005-0000-0000-0000AB710000}"/>
    <cellStyle name="40% - Accent3 3 5 11" xfId="45697" xr:uid="{00000000-0005-0000-0000-0000AC710000}"/>
    <cellStyle name="40% - Accent3 3 5 12" xfId="51175" xr:uid="{00000000-0005-0000-0000-0000AD710000}"/>
    <cellStyle name="40% - Accent3 3 5 2" xfId="2672" xr:uid="{00000000-0005-0000-0000-0000AE710000}"/>
    <cellStyle name="40% - Accent3 3 5 2 10" xfId="52848" xr:uid="{00000000-0005-0000-0000-0000AF710000}"/>
    <cellStyle name="40% - Accent3 3 5 2 2" xfId="8152" xr:uid="{00000000-0005-0000-0000-0000B0710000}"/>
    <cellStyle name="40% - Accent3 3 5 2 2 2" xfId="31299" xr:uid="{00000000-0005-0000-0000-0000B1710000}"/>
    <cellStyle name="40% - Accent3 3 5 2 3" xfId="13628" xr:uid="{00000000-0005-0000-0000-0000B2710000}"/>
    <cellStyle name="40% - Accent3 3 5 2 4" xfId="19104" xr:uid="{00000000-0005-0000-0000-0000B3710000}"/>
    <cellStyle name="40% - Accent3 3 5 2 5" xfId="24580" xr:uid="{00000000-0005-0000-0000-0000B4710000}"/>
    <cellStyle name="40% - Accent3 3 5 2 6" xfId="31298" xr:uid="{00000000-0005-0000-0000-0000B5710000}"/>
    <cellStyle name="40% - Accent3 3 5 2 7" xfId="36376" xr:uid="{00000000-0005-0000-0000-0000B6710000}"/>
    <cellStyle name="40% - Accent3 3 5 2 8" xfId="41853" xr:uid="{00000000-0005-0000-0000-0000B7710000}"/>
    <cellStyle name="40% - Accent3 3 5 2 9" xfId="47330" xr:uid="{00000000-0005-0000-0000-0000B8710000}"/>
    <cellStyle name="40% - Accent3 3 5 3" xfId="4444" xr:uid="{00000000-0005-0000-0000-0000B9710000}"/>
    <cellStyle name="40% - Accent3 3 5 3 10" xfId="54620" xr:uid="{00000000-0005-0000-0000-0000BA710000}"/>
    <cellStyle name="40% - Accent3 3 5 3 2" xfId="9924" xr:uid="{00000000-0005-0000-0000-0000BB710000}"/>
    <cellStyle name="40% - Accent3 3 5 3 3" xfId="15400" xr:uid="{00000000-0005-0000-0000-0000BC710000}"/>
    <cellStyle name="40% - Accent3 3 5 3 4" xfId="20876" xr:uid="{00000000-0005-0000-0000-0000BD710000}"/>
    <cellStyle name="40% - Accent3 3 5 3 5" xfId="26352" xr:uid="{00000000-0005-0000-0000-0000BE710000}"/>
    <cellStyle name="40% - Accent3 3 5 3 6" xfId="31300" xr:uid="{00000000-0005-0000-0000-0000BF710000}"/>
    <cellStyle name="40% - Accent3 3 5 3 7" xfId="38148" xr:uid="{00000000-0005-0000-0000-0000C0710000}"/>
    <cellStyle name="40% - Accent3 3 5 3 8" xfId="43625" xr:uid="{00000000-0005-0000-0000-0000C1710000}"/>
    <cellStyle name="40% - Accent3 3 5 3 9" xfId="49102" xr:uid="{00000000-0005-0000-0000-0000C2710000}"/>
    <cellStyle name="40% - Accent3 3 5 4" xfId="6516" xr:uid="{00000000-0005-0000-0000-0000C3710000}"/>
    <cellStyle name="40% - Accent3 3 5 5" xfId="11996" xr:uid="{00000000-0005-0000-0000-0000C4710000}"/>
    <cellStyle name="40% - Accent3 3 5 6" xfId="17472" xr:uid="{00000000-0005-0000-0000-0000C5710000}"/>
    <cellStyle name="40% - Accent3 3 5 7" xfId="22948" xr:uid="{00000000-0005-0000-0000-0000C6710000}"/>
    <cellStyle name="40% - Accent3 3 5 8" xfId="31297" xr:uid="{00000000-0005-0000-0000-0000C7710000}"/>
    <cellStyle name="40% - Accent3 3 5 9" xfId="34743" xr:uid="{00000000-0005-0000-0000-0000C8710000}"/>
    <cellStyle name="40% - Accent3 3 6" xfId="1117" xr:uid="{00000000-0005-0000-0000-0000C9710000}"/>
    <cellStyle name="40% - Accent3 3 6 10" xfId="40221" xr:uid="{00000000-0005-0000-0000-0000CA710000}"/>
    <cellStyle name="40% - Accent3 3 6 11" xfId="45698" xr:uid="{00000000-0005-0000-0000-0000CB710000}"/>
    <cellStyle name="40% - Accent3 3 6 12" xfId="51176" xr:uid="{00000000-0005-0000-0000-0000CC710000}"/>
    <cellStyle name="40% - Accent3 3 6 2" xfId="2878" xr:uid="{00000000-0005-0000-0000-0000CD710000}"/>
    <cellStyle name="40% - Accent3 3 6 2 10" xfId="53054" xr:uid="{00000000-0005-0000-0000-0000CE710000}"/>
    <cellStyle name="40% - Accent3 3 6 2 2" xfId="8358" xr:uid="{00000000-0005-0000-0000-0000CF710000}"/>
    <cellStyle name="40% - Accent3 3 6 2 2 2" xfId="31303" xr:uid="{00000000-0005-0000-0000-0000D0710000}"/>
    <cellStyle name="40% - Accent3 3 6 2 3" xfId="13834" xr:uid="{00000000-0005-0000-0000-0000D1710000}"/>
    <cellStyle name="40% - Accent3 3 6 2 4" xfId="19310" xr:uid="{00000000-0005-0000-0000-0000D2710000}"/>
    <cellStyle name="40% - Accent3 3 6 2 5" xfId="24786" xr:uid="{00000000-0005-0000-0000-0000D3710000}"/>
    <cellStyle name="40% - Accent3 3 6 2 6" xfId="31302" xr:uid="{00000000-0005-0000-0000-0000D4710000}"/>
    <cellStyle name="40% - Accent3 3 6 2 7" xfId="36582" xr:uid="{00000000-0005-0000-0000-0000D5710000}"/>
    <cellStyle name="40% - Accent3 3 6 2 8" xfId="42059" xr:uid="{00000000-0005-0000-0000-0000D6710000}"/>
    <cellStyle name="40% - Accent3 3 6 2 9" xfId="47536" xr:uid="{00000000-0005-0000-0000-0000D7710000}"/>
    <cellStyle name="40% - Accent3 3 6 3" xfId="4650" xr:uid="{00000000-0005-0000-0000-0000D8710000}"/>
    <cellStyle name="40% - Accent3 3 6 3 10" xfId="54826" xr:uid="{00000000-0005-0000-0000-0000D9710000}"/>
    <cellStyle name="40% - Accent3 3 6 3 2" xfId="10130" xr:uid="{00000000-0005-0000-0000-0000DA710000}"/>
    <cellStyle name="40% - Accent3 3 6 3 3" xfId="15606" xr:uid="{00000000-0005-0000-0000-0000DB710000}"/>
    <cellStyle name="40% - Accent3 3 6 3 4" xfId="21082" xr:uid="{00000000-0005-0000-0000-0000DC710000}"/>
    <cellStyle name="40% - Accent3 3 6 3 5" xfId="26558" xr:uid="{00000000-0005-0000-0000-0000DD710000}"/>
    <cellStyle name="40% - Accent3 3 6 3 6" xfId="31304" xr:uid="{00000000-0005-0000-0000-0000DE710000}"/>
    <cellStyle name="40% - Accent3 3 6 3 7" xfId="38354" xr:uid="{00000000-0005-0000-0000-0000DF710000}"/>
    <cellStyle name="40% - Accent3 3 6 3 8" xfId="43831" xr:uid="{00000000-0005-0000-0000-0000E0710000}"/>
    <cellStyle name="40% - Accent3 3 6 3 9" xfId="49308" xr:uid="{00000000-0005-0000-0000-0000E1710000}"/>
    <cellStyle name="40% - Accent3 3 6 4" xfId="6517" xr:uid="{00000000-0005-0000-0000-0000E2710000}"/>
    <cellStyle name="40% - Accent3 3 6 5" xfId="11997" xr:uid="{00000000-0005-0000-0000-0000E3710000}"/>
    <cellStyle name="40% - Accent3 3 6 6" xfId="17473" xr:uid="{00000000-0005-0000-0000-0000E4710000}"/>
    <cellStyle name="40% - Accent3 3 6 7" xfId="22949" xr:uid="{00000000-0005-0000-0000-0000E5710000}"/>
    <cellStyle name="40% - Accent3 3 6 8" xfId="31301" xr:uid="{00000000-0005-0000-0000-0000E6710000}"/>
    <cellStyle name="40% - Accent3 3 6 9" xfId="34744" xr:uid="{00000000-0005-0000-0000-0000E7710000}"/>
    <cellStyle name="40% - Accent3 3 7" xfId="1289" xr:uid="{00000000-0005-0000-0000-0000E8710000}"/>
    <cellStyle name="40% - Accent3 3 7 10" xfId="40222" xr:uid="{00000000-0005-0000-0000-0000E9710000}"/>
    <cellStyle name="40% - Accent3 3 7 11" xfId="45699" xr:uid="{00000000-0005-0000-0000-0000EA710000}"/>
    <cellStyle name="40% - Accent3 3 7 12" xfId="51177" xr:uid="{00000000-0005-0000-0000-0000EB710000}"/>
    <cellStyle name="40% - Accent3 3 7 2" xfId="3050" xr:uid="{00000000-0005-0000-0000-0000EC710000}"/>
    <cellStyle name="40% - Accent3 3 7 2 10" xfId="53226" xr:uid="{00000000-0005-0000-0000-0000ED710000}"/>
    <cellStyle name="40% - Accent3 3 7 2 2" xfId="8530" xr:uid="{00000000-0005-0000-0000-0000EE710000}"/>
    <cellStyle name="40% - Accent3 3 7 2 2 2" xfId="31307" xr:uid="{00000000-0005-0000-0000-0000EF710000}"/>
    <cellStyle name="40% - Accent3 3 7 2 3" xfId="14006" xr:uid="{00000000-0005-0000-0000-0000F0710000}"/>
    <cellStyle name="40% - Accent3 3 7 2 4" xfId="19482" xr:uid="{00000000-0005-0000-0000-0000F1710000}"/>
    <cellStyle name="40% - Accent3 3 7 2 5" xfId="24958" xr:uid="{00000000-0005-0000-0000-0000F2710000}"/>
    <cellStyle name="40% - Accent3 3 7 2 6" xfId="31306" xr:uid="{00000000-0005-0000-0000-0000F3710000}"/>
    <cellStyle name="40% - Accent3 3 7 2 7" xfId="36754" xr:uid="{00000000-0005-0000-0000-0000F4710000}"/>
    <cellStyle name="40% - Accent3 3 7 2 8" xfId="42231" xr:uid="{00000000-0005-0000-0000-0000F5710000}"/>
    <cellStyle name="40% - Accent3 3 7 2 9" xfId="47708" xr:uid="{00000000-0005-0000-0000-0000F6710000}"/>
    <cellStyle name="40% - Accent3 3 7 3" xfId="4822" xr:uid="{00000000-0005-0000-0000-0000F7710000}"/>
    <cellStyle name="40% - Accent3 3 7 3 10" xfId="54998" xr:uid="{00000000-0005-0000-0000-0000F8710000}"/>
    <cellStyle name="40% - Accent3 3 7 3 2" xfId="10302" xr:uid="{00000000-0005-0000-0000-0000F9710000}"/>
    <cellStyle name="40% - Accent3 3 7 3 3" xfId="15778" xr:uid="{00000000-0005-0000-0000-0000FA710000}"/>
    <cellStyle name="40% - Accent3 3 7 3 4" xfId="21254" xr:uid="{00000000-0005-0000-0000-0000FB710000}"/>
    <cellStyle name="40% - Accent3 3 7 3 5" xfId="26730" xr:uid="{00000000-0005-0000-0000-0000FC710000}"/>
    <cellStyle name="40% - Accent3 3 7 3 6" xfId="31308" xr:uid="{00000000-0005-0000-0000-0000FD710000}"/>
    <cellStyle name="40% - Accent3 3 7 3 7" xfId="38526" xr:uid="{00000000-0005-0000-0000-0000FE710000}"/>
    <cellStyle name="40% - Accent3 3 7 3 8" xfId="44003" xr:uid="{00000000-0005-0000-0000-0000FF710000}"/>
    <cellStyle name="40% - Accent3 3 7 3 9" xfId="49480" xr:uid="{00000000-0005-0000-0000-000000720000}"/>
    <cellStyle name="40% - Accent3 3 7 4" xfId="6518" xr:uid="{00000000-0005-0000-0000-000001720000}"/>
    <cellStyle name="40% - Accent3 3 7 5" xfId="11998" xr:uid="{00000000-0005-0000-0000-000002720000}"/>
    <cellStyle name="40% - Accent3 3 7 6" xfId="17474" xr:uid="{00000000-0005-0000-0000-000003720000}"/>
    <cellStyle name="40% - Accent3 3 7 7" xfId="22950" xr:uid="{00000000-0005-0000-0000-000004720000}"/>
    <cellStyle name="40% - Accent3 3 7 8" xfId="31305" xr:uid="{00000000-0005-0000-0000-000005720000}"/>
    <cellStyle name="40% - Accent3 3 7 9" xfId="34745" xr:uid="{00000000-0005-0000-0000-000006720000}"/>
    <cellStyle name="40% - Accent3 3 8" xfId="1461" xr:uid="{00000000-0005-0000-0000-000007720000}"/>
    <cellStyle name="40% - Accent3 3 8 10" xfId="40223" xr:uid="{00000000-0005-0000-0000-000008720000}"/>
    <cellStyle name="40% - Accent3 3 8 11" xfId="45700" xr:uid="{00000000-0005-0000-0000-000009720000}"/>
    <cellStyle name="40% - Accent3 3 8 12" xfId="51178" xr:uid="{00000000-0005-0000-0000-00000A720000}"/>
    <cellStyle name="40% - Accent3 3 8 2" xfId="3222" xr:uid="{00000000-0005-0000-0000-00000B720000}"/>
    <cellStyle name="40% - Accent3 3 8 2 10" xfId="53398" xr:uid="{00000000-0005-0000-0000-00000C720000}"/>
    <cellStyle name="40% - Accent3 3 8 2 2" xfId="8702" xr:uid="{00000000-0005-0000-0000-00000D720000}"/>
    <cellStyle name="40% - Accent3 3 8 2 3" xfId="14178" xr:uid="{00000000-0005-0000-0000-00000E720000}"/>
    <cellStyle name="40% - Accent3 3 8 2 4" xfId="19654" xr:uid="{00000000-0005-0000-0000-00000F720000}"/>
    <cellStyle name="40% - Accent3 3 8 2 5" xfId="25130" xr:uid="{00000000-0005-0000-0000-000010720000}"/>
    <cellStyle name="40% - Accent3 3 8 2 6" xfId="31310" xr:uid="{00000000-0005-0000-0000-000011720000}"/>
    <cellStyle name="40% - Accent3 3 8 2 7" xfId="36926" xr:uid="{00000000-0005-0000-0000-000012720000}"/>
    <cellStyle name="40% - Accent3 3 8 2 8" xfId="42403" xr:uid="{00000000-0005-0000-0000-000013720000}"/>
    <cellStyle name="40% - Accent3 3 8 2 9" xfId="47880" xr:uid="{00000000-0005-0000-0000-000014720000}"/>
    <cellStyle name="40% - Accent3 3 8 3" xfId="4994" xr:uid="{00000000-0005-0000-0000-000015720000}"/>
    <cellStyle name="40% - Accent3 3 8 3 2" xfId="10474" xr:uid="{00000000-0005-0000-0000-000016720000}"/>
    <cellStyle name="40% - Accent3 3 8 3 3" xfId="15950" xr:uid="{00000000-0005-0000-0000-000017720000}"/>
    <cellStyle name="40% - Accent3 3 8 3 4" xfId="21426" xr:uid="{00000000-0005-0000-0000-000018720000}"/>
    <cellStyle name="40% - Accent3 3 8 3 5" xfId="26902" xr:uid="{00000000-0005-0000-0000-000019720000}"/>
    <cellStyle name="40% - Accent3 3 8 3 6" xfId="38698" xr:uid="{00000000-0005-0000-0000-00001A720000}"/>
    <cellStyle name="40% - Accent3 3 8 3 7" xfId="44175" xr:uid="{00000000-0005-0000-0000-00001B720000}"/>
    <cellStyle name="40% - Accent3 3 8 3 8" xfId="49652" xr:uid="{00000000-0005-0000-0000-00001C720000}"/>
    <cellStyle name="40% - Accent3 3 8 3 9" xfId="55170" xr:uid="{00000000-0005-0000-0000-00001D720000}"/>
    <cellStyle name="40% - Accent3 3 8 4" xfId="6519" xr:uid="{00000000-0005-0000-0000-00001E720000}"/>
    <cellStyle name="40% - Accent3 3 8 5" xfId="11999" xr:uid="{00000000-0005-0000-0000-00001F720000}"/>
    <cellStyle name="40% - Accent3 3 8 6" xfId="17475" xr:uid="{00000000-0005-0000-0000-000020720000}"/>
    <cellStyle name="40% - Accent3 3 8 7" xfId="22951" xr:uid="{00000000-0005-0000-0000-000021720000}"/>
    <cellStyle name="40% - Accent3 3 8 8" xfId="31309" xr:uid="{00000000-0005-0000-0000-000022720000}"/>
    <cellStyle name="40% - Accent3 3 8 9" xfId="34746" xr:uid="{00000000-0005-0000-0000-000023720000}"/>
    <cellStyle name="40% - Accent3 3 9" xfId="1633" xr:uid="{00000000-0005-0000-0000-000024720000}"/>
    <cellStyle name="40% - Accent3 3 9 10" xfId="40224" xr:uid="{00000000-0005-0000-0000-000025720000}"/>
    <cellStyle name="40% - Accent3 3 9 11" xfId="45701" xr:uid="{00000000-0005-0000-0000-000026720000}"/>
    <cellStyle name="40% - Accent3 3 9 12" xfId="51179" xr:uid="{00000000-0005-0000-0000-000027720000}"/>
    <cellStyle name="40% - Accent3 3 9 2" xfId="3394" xr:uid="{00000000-0005-0000-0000-000028720000}"/>
    <cellStyle name="40% - Accent3 3 9 2 2" xfId="8874" xr:uid="{00000000-0005-0000-0000-000029720000}"/>
    <cellStyle name="40% - Accent3 3 9 2 3" xfId="14350" xr:uid="{00000000-0005-0000-0000-00002A720000}"/>
    <cellStyle name="40% - Accent3 3 9 2 4" xfId="19826" xr:uid="{00000000-0005-0000-0000-00002B720000}"/>
    <cellStyle name="40% - Accent3 3 9 2 5" xfId="25302" xr:uid="{00000000-0005-0000-0000-00002C720000}"/>
    <cellStyle name="40% - Accent3 3 9 2 6" xfId="37098" xr:uid="{00000000-0005-0000-0000-00002D720000}"/>
    <cellStyle name="40% - Accent3 3 9 2 7" xfId="42575" xr:uid="{00000000-0005-0000-0000-00002E720000}"/>
    <cellStyle name="40% - Accent3 3 9 2 8" xfId="48052" xr:uid="{00000000-0005-0000-0000-00002F720000}"/>
    <cellStyle name="40% - Accent3 3 9 2 9" xfId="53570" xr:uid="{00000000-0005-0000-0000-000030720000}"/>
    <cellStyle name="40% - Accent3 3 9 3" xfId="5166" xr:uid="{00000000-0005-0000-0000-000031720000}"/>
    <cellStyle name="40% - Accent3 3 9 3 2" xfId="10646" xr:uid="{00000000-0005-0000-0000-000032720000}"/>
    <cellStyle name="40% - Accent3 3 9 3 3" xfId="16122" xr:uid="{00000000-0005-0000-0000-000033720000}"/>
    <cellStyle name="40% - Accent3 3 9 3 4" xfId="21598" xr:uid="{00000000-0005-0000-0000-000034720000}"/>
    <cellStyle name="40% - Accent3 3 9 3 5" xfId="27074" xr:uid="{00000000-0005-0000-0000-000035720000}"/>
    <cellStyle name="40% - Accent3 3 9 3 6" xfId="38870" xr:uid="{00000000-0005-0000-0000-000036720000}"/>
    <cellStyle name="40% - Accent3 3 9 3 7" xfId="44347" xr:uid="{00000000-0005-0000-0000-000037720000}"/>
    <cellStyle name="40% - Accent3 3 9 3 8" xfId="49824" xr:uid="{00000000-0005-0000-0000-000038720000}"/>
    <cellStyle name="40% - Accent3 3 9 3 9" xfId="55342" xr:uid="{00000000-0005-0000-0000-000039720000}"/>
    <cellStyle name="40% - Accent3 3 9 4" xfId="6520" xr:uid="{00000000-0005-0000-0000-00003A720000}"/>
    <cellStyle name="40% - Accent3 3 9 5" xfId="12000" xr:uid="{00000000-0005-0000-0000-00003B720000}"/>
    <cellStyle name="40% - Accent3 3 9 6" xfId="17476" xr:uid="{00000000-0005-0000-0000-00003C720000}"/>
    <cellStyle name="40% - Accent3 3 9 7" xfId="22952" xr:uid="{00000000-0005-0000-0000-00003D720000}"/>
    <cellStyle name="40% - Accent3 3 9 8" xfId="31311" xr:uid="{00000000-0005-0000-0000-00003E720000}"/>
    <cellStyle name="40% - Accent3 3 9 9" xfId="34747" xr:uid="{00000000-0005-0000-0000-00003F720000}"/>
    <cellStyle name="40% - Accent3 4" xfId="367" xr:uid="{00000000-0005-0000-0000-000040720000}"/>
    <cellStyle name="40% - Accent3 4 10" xfId="1996" xr:uid="{00000000-0005-0000-0000-000041720000}"/>
    <cellStyle name="40% - Accent3 4 10 10" xfId="52173" xr:uid="{00000000-0005-0000-0000-000042720000}"/>
    <cellStyle name="40% - Accent3 4 10 2" xfId="5528" xr:uid="{00000000-0005-0000-0000-000043720000}"/>
    <cellStyle name="40% - Accent3 4 10 2 2" xfId="11008" xr:uid="{00000000-0005-0000-0000-000044720000}"/>
    <cellStyle name="40% - Accent3 4 10 2 3" xfId="16484" xr:uid="{00000000-0005-0000-0000-000045720000}"/>
    <cellStyle name="40% - Accent3 4 10 2 4" xfId="21960" xr:uid="{00000000-0005-0000-0000-000046720000}"/>
    <cellStyle name="40% - Accent3 4 10 2 5" xfId="27436" xr:uid="{00000000-0005-0000-0000-000047720000}"/>
    <cellStyle name="40% - Accent3 4 10 2 6" xfId="39232" xr:uid="{00000000-0005-0000-0000-000048720000}"/>
    <cellStyle name="40% - Accent3 4 10 2 7" xfId="44709" xr:uid="{00000000-0005-0000-0000-000049720000}"/>
    <cellStyle name="40% - Accent3 4 10 2 8" xfId="50186" xr:uid="{00000000-0005-0000-0000-00004A720000}"/>
    <cellStyle name="40% - Accent3 4 10 2 9" xfId="55704" xr:uid="{00000000-0005-0000-0000-00004B720000}"/>
    <cellStyle name="40% - Accent3 4 10 3" xfId="7477" xr:uid="{00000000-0005-0000-0000-00004C720000}"/>
    <cellStyle name="40% - Accent3 4 10 4" xfId="12953" xr:uid="{00000000-0005-0000-0000-00004D720000}"/>
    <cellStyle name="40% - Accent3 4 10 5" xfId="18429" xr:uid="{00000000-0005-0000-0000-00004E720000}"/>
    <cellStyle name="40% - Accent3 4 10 6" xfId="23905" xr:uid="{00000000-0005-0000-0000-00004F720000}"/>
    <cellStyle name="40% - Accent3 4 10 7" xfId="35701" xr:uid="{00000000-0005-0000-0000-000050720000}"/>
    <cellStyle name="40% - Accent3 4 10 8" xfId="41178" xr:uid="{00000000-0005-0000-0000-000051720000}"/>
    <cellStyle name="40% - Accent3 4 10 9" xfId="46655" xr:uid="{00000000-0005-0000-0000-000052720000}"/>
    <cellStyle name="40% - Accent3 4 11" xfId="3929" xr:uid="{00000000-0005-0000-0000-000053720000}"/>
    <cellStyle name="40% - Accent3 4 11 2" xfId="9409" xr:uid="{00000000-0005-0000-0000-000054720000}"/>
    <cellStyle name="40% - Accent3 4 11 3" xfId="14885" xr:uid="{00000000-0005-0000-0000-000055720000}"/>
    <cellStyle name="40% - Accent3 4 11 4" xfId="20361" xr:uid="{00000000-0005-0000-0000-000056720000}"/>
    <cellStyle name="40% - Accent3 4 11 5" xfId="25837" xr:uid="{00000000-0005-0000-0000-000057720000}"/>
    <cellStyle name="40% - Accent3 4 11 6" xfId="37633" xr:uid="{00000000-0005-0000-0000-000058720000}"/>
    <cellStyle name="40% - Accent3 4 11 7" xfId="43110" xr:uid="{00000000-0005-0000-0000-000059720000}"/>
    <cellStyle name="40% - Accent3 4 11 8" xfId="48587" xr:uid="{00000000-0005-0000-0000-00005A720000}"/>
    <cellStyle name="40% - Accent3 4 11 9" xfId="54105" xr:uid="{00000000-0005-0000-0000-00005B720000}"/>
    <cellStyle name="40% - Accent3 4 12" xfId="6521" xr:uid="{00000000-0005-0000-0000-00005C720000}"/>
    <cellStyle name="40% - Accent3 4 13" xfId="12001" xr:uid="{00000000-0005-0000-0000-00005D720000}"/>
    <cellStyle name="40% - Accent3 4 14" xfId="17477" xr:uid="{00000000-0005-0000-0000-00005E720000}"/>
    <cellStyle name="40% - Accent3 4 15" xfId="22953" xr:uid="{00000000-0005-0000-0000-00005F720000}"/>
    <cellStyle name="40% - Accent3 4 16" xfId="31312" xr:uid="{00000000-0005-0000-0000-000060720000}"/>
    <cellStyle name="40% - Accent3 4 17" xfId="34748" xr:uid="{00000000-0005-0000-0000-000061720000}"/>
    <cellStyle name="40% - Accent3 4 18" xfId="40225" xr:uid="{00000000-0005-0000-0000-000062720000}"/>
    <cellStyle name="40% - Accent3 4 19" xfId="45702" xr:uid="{00000000-0005-0000-0000-000063720000}"/>
    <cellStyle name="40% - Accent3 4 2" xfId="568" xr:uid="{00000000-0005-0000-0000-000064720000}"/>
    <cellStyle name="40% - Accent3 4 2 10" xfId="40226" xr:uid="{00000000-0005-0000-0000-000065720000}"/>
    <cellStyle name="40% - Accent3 4 2 11" xfId="45703" xr:uid="{00000000-0005-0000-0000-000066720000}"/>
    <cellStyle name="40% - Accent3 4 2 12" xfId="51181" xr:uid="{00000000-0005-0000-0000-000067720000}"/>
    <cellStyle name="40% - Accent3 4 2 2" xfId="2329" xr:uid="{00000000-0005-0000-0000-000068720000}"/>
    <cellStyle name="40% - Accent3 4 2 2 10" xfId="52505" xr:uid="{00000000-0005-0000-0000-000069720000}"/>
    <cellStyle name="40% - Accent3 4 2 2 2" xfId="7809" xr:uid="{00000000-0005-0000-0000-00006A720000}"/>
    <cellStyle name="40% - Accent3 4 2 2 2 2" xfId="31315" xr:uid="{00000000-0005-0000-0000-00006B720000}"/>
    <cellStyle name="40% - Accent3 4 2 2 3" xfId="13285" xr:uid="{00000000-0005-0000-0000-00006C720000}"/>
    <cellStyle name="40% - Accent3 4 2 2 4" xfId="18761" xr:uid="{00000000-0005-0000-0000-00006D720000}"/>
    <cellStyle name="40% - Accent3 4 2 2 5" xfId="24237" xr:uid="{00000000-0005-0000-0000-00006E720000}"/>
    <cellStyle name="40% - Accent3 4 2 2 6" xfId="31314" xr:uid="{00000000-0005-0000-0000-00006F720000}"/>
    <cellStyle name="40% - Accent3 4 2 2 7" xfId="36033" xr:uid="{00000000-0005-0000-0000-000070720000}"/>
    <cellStyle name="40% - Accent3 4 2 2 8" xfId="41510" xr:uid="{00000000-0005-0000-0000-000071720000}"/>
    <cellStyle name="40% - Accent3 4 2 2 9" xfId="46987" xr:uid="{00000000-0005-0000-0000-000072720000}"/>
    <cellStyle name="40% - Accent3 4 2 3" xfId="4101" xr:uid="{00000000-0005-0000-0000-000073720000}"/>
    <cellStyle name="40% - Accent3 4 2 3 10" xfId="54277" xr:uid="{00000000-0005-0000-0000-000074720000}"/>
    <cellStyle name="40% - Accent3 4 2 3 2" xfId="9581" xr:uid="{00000000-0005-0000-0000-000075720000}"/>
    <cellStyle name="40% - Accent3 4 2 3 3" xfId="15057" xr:uid="{00000000-0005-0000-0000-000076720000}"/>
    <cellStyle name="40% - Accent3 4 2 3 4" xfId="20533" xr:uid="{00000000-0005-0000-0000-000077720000}"/>
    <cellStyle name="40% - Accent3 4 2 3 5" xfId="26009" xr:uid="{00000000-0005-0000-0000-000078720000}"/>
    <cellStyle name="40% - Accent3 4 2 3 6" xfId="31316" xr:uid="{00000000-0005-0000-0000-000079720000}"/>
    <cellStyle name="40% - Accent3 4 2 3 7" xfId="37805" xr:uid="{00000000-0005-0000-0000-00007A720000}"/>
    <cellStyle name="40% - Accent3 4 2 3 8" xfId="43282" xr:uid="{00000000-0005-0000-0000-00007B720000}"/>
    <cellStyle name="40% - Accent3 4 2 3 9" xfId="48759" xr:uid="{00000000-0005-0000-0000-00007C720000}"/>
    <cellStyle name="40% - Accent3 4 2 4" xfId="6522" xr:uid="{00000000-0005-0000-0000-00007D720000}"/>
    <cellStyle name="40% - Accent3 4 2 5" xfId="12002" xr:uid="{00000000-0005-0000-0000-00007E720000}"/>
    <cellStyle name="40% - Accent3 4 2 6" xfId="17478" xr:uid="{00000000-0005-0000-0000-00007F720000}"/>
    <cellStyle name="40% - Accent3 4 2 7" xfId="22954" xr:uid="{00000000-0005-0000-0000-000080720000}"/>
    <cellStyle name="40% - Accent3 4 2 8" xfId="31313" xr:uid="{00000000-0005-0000-0000-000081720000}"/>
    <cellStyle name="40% - Accent3 4 2 9" xfId="34749" xr:uid="{00000000-0005-0000-0000-000082720000}"/>
    <cellStyle name="40% - Accent3 4 20" xfId="51180" xr:uid="{00000000-0005-0000-0000-000083720000}"/>
    <cellStyle name="40% - Accent3 4 3" xfId="740" xr:uid="{00000000-0005-0000-0000-000084720000}"/>
    <cellStyle name="40% - Accent3 4 3 10" xfId="40227" xr:uid="{00000000-0005-0000-0000-000085720000}"/>
    <cellStyle name="40% - Accent3 4 3 11" xfId="45704" xr:uid="{00000000-0005-0000-0000-000086720000}"/>
    <cellStyle name="40% - Accent3 4 3 12" xfId="51182" xr:uid="{00000000-0005-0000-0000-000087720000}"/>
    <cellStyle name="40% - Accent3 4 3 2" xfId="2501" xr:uid="{00000000-0005-0000-0000-000088720000}"/>
    <cellStyle name="40% - Accent3 4 3 2 10" xfId="52677" xr:uid="{00000000-0005-0000-0000-000089720000}"/>
    <cellStyle name="40% - Accent3 4 3 2 2" xfId="7981" xr:uid="{00000000-0005-0000-0000-00008A720000}"/>
    <cellStyle name="40% - Accent3 4 3 2 2 2" xfId="31319" xr:uid="{00000000-0005-0000-0000-00008B720000}"/>
    <cellStyle name="40% - Accent3 4 3 2 3" xfId="13457" xr:uid="{00000000-0005-0000-0000-00008C720000}"/>
    <cellStyle name="40% - Accent3 4 3 2 4" xfId="18933" xr:uid="{00000000-0005-0000-0000-00008D720000}"/>
    <cellStyle name="40% - Accent3 4 3 2 5" xfId="24409" xr:uid="{00000000-0005-0000-0000-00008E720000}"/>
    <cellStyle name="40% - Accent3 4 3 2 6" xfId="31318" xr:uid="{00000000-0005-0000-0000-00008F720000}"/>
    <cellStyle name="40% - Accent3 4 3 2 7" xfId="36205" xr:uid="{00000000-0005-0000-0000-000090720000}"/>
    <cellStyle name="40% - Accent3 4 3 2 8" xfId="41682" xr:uid="{00000000-0005-0000-0000-000091720000}"/>
    <cellStyle name="40% - Accent3 4 3 2 9" xfId="47159" xr:uid="{00000000-0005-0000-0000-000092720000}"/>
    <cellStyle name="40% - Accent3 4 3 3" xfId="4273" xr:uid="{00000000-0005-0000-0000-000093720000}"/>
    <cellStyle name="40% - Accent3 4 3 3 10" xfId="54449" xr:uid="{00000000-0005-0000-0000-000094720000}"/>
    <cellStyle name="40% - Accent3 4 3 3 2" xfId="9753" xr:uid="{00000000-0005-0000-0000-000095720000}"/>
    <cellStyle name="40% - Accent3 4 3 3 3" xfId="15229" xr:uid="{00000000-0005-0000-0000-000096720000}"/>
    <cellStyle name="40% - Accent3 4 3 3 4" xfId="20705" xr:uid="{00000000-0005-0000-0000-000097720000}"/>
    <cellStyle name="40% - Accent3 4 3 3 5" xfId="26181" xr:uid="{00000000-0005-0000-0000-000098720000}"/>
    <cellStyle name="40% - Accent3 4 3 3 6" xfId="31320" xr:uid="{00000000-0005-0000-0000-000099720000}"/>
    <cellStyle name="40% - Accent3 4 3 3 7" xfId="37977" xr:uid="{00000000-0005-0000-0000-00009A720000}"/>
    <cellStyle name="40% - Accent3 4 3 3 8" xfId="43454" xr:uid="{00000000-0005-0000-0000-00009B720000}"/>
    <cellStyle name="40% - Accent3 4 3 3 9" xfId="48931" xr:uid="{00000000-0005-0000-0000-00009C720000}"/>
    <cellStyle name="40% - Accent3 4 3 4" xfId="6523" xr:uid="{00000000-0005-0000-0000-00009D720000}"/>
    <cellStyle name="40% - Accent3 4 3 5" xfId="12003" xr:uid="{00000000-0005-0000-0000-00009E720000}"/>
    <cellStyle name="40% - Accent3 4 3 6" xfId="17479" xr:uid="{00000000-0005-0000-0000-00009F720000}"/>
    <cellStyle name="40% - Accent3 4 3 7" xfId="22955" xr:uid="{00000000-0005-0000-0000-0000A0720000}"/>
    <cellStyle name="40% - Accent3 4 3 8" xfId="31317" xr:uid="{00000000-0005-0000-0000-0000A1720000}"/>
    <cellStyle name="40% - Accent3 4 3 9" xfId="34750" xr:uid="{00000000-0005-0000-0000-0000A2720000}"/>
    <cellStyle name="40% - Accent3 4 4" xfId="912" xr:uid="{00000000-0005-0000-0000-0000A3720000}"/>
    <cellStyle name="40% - Accent3 4 4 10" xfId="40228" xr:uid="{00000000-0005-0000-0000-0000A4720000}"/>
    <cellStyle name="40% - Accent3 4 4 11" xfId="45705" xr:uid="{00000000-0005-0000-0000-0000A5720000}"/>
    <cellStyle name="40% - Accent3 4 4 12" xfId="51183" xr:uid="{00000000-0005-0000-0000-0000A6720000}"/>
    <cellStyle name="40% - Accent3 4 4 2" xfId="2673" xr:uid="{00000000-0005-0000-0000-0000A7720000}"/>
    <cellStyle name="40% - Accent3 4 4 2 10" xfId="52849" xr:uid="{00000000-0005-0000-0000-0000A8720000}"/>
    <cellStyle name="40% - Accent3 4 4 2 2" xfId="8153" xr:uid="{00000000-0005-0000-0000-0000A9720000}"/>
    <cellStyle name="40% - Accent3 4 4 2 2 2" xfId="31323" xr:uid="{00000000-0005-0000-0000-0000AA720000}"/>
    <cellStyle name="40% - Accent3 4 4 2 3" xfId="13629" xr:uid="{00000000-0005-0000-0000-0000AB720000}"/>
    <cellStyle name="40% - Accent3 4 4 2 4" xfId="19105" xr:uid="{00000000-0005-0000-0000-0000AC720000}"/>
    <cellStyle name="40% - Accent3 4 4 2 5" xfId="24581" xr:uid="{00000000-0005-0000-0000-0000AD720000}"/>
    <cellStyle name="40% - Accent3 4 4 2 6" xfId="31322" xr:uid="{00000000-0005-0000-0000-0000AE720000}"/>
    <cellStyle name="40% - Accent3 4 4 2 7" xfId="36377" xr:uid="{00000000-0005-0000-0000-0000AF720000}"/>
    <cellStyle name="40% - Accent3 4 4 2 8" xfId="41854" xr:uid="{00000000-0005-0000-0000-0000B0720000}"/>
    <cellStyle name="40% - Accent3 4 4 2 9" xfId="47331" xr:uid="{00000000-0005-0000-0000-0000B1720000}"/>
    <cellStyle name="40% - Accent3 4 4 3" xfId="4445" xr:uid="{00000000-0005-0000-0000-0000B2720000}"/>
    <cellStyle name="40% - Accent3 4 4 3 10" xfId="54621" xr:uid="{00000000-0005-0000-0000-0000B3720000}"/>
    <cellStyle name="40% - Accent3 4 4 3 2" xfId="9925" xr:uid="{00000000-0005-0000-0000-0000B4720000}"/>
    <cellStyle name="40% - Accent3 4 4 3 3" xfId="15401" xr:uid="{00000000-0005-0000-0000-0000B5720000}"/>
    <cellStyle name="40% - Accent3 4 4 3 4" xfId="20877" xr:uid="{00000000-0005-0000-0000-0000B6720000}"/>
    <cellStyle name="40% - Accent3 4 4 3 5" xfId="26353" xr:uid="{00000000-0005-0000-0000-0000B7720000}"/>
    <cellStyle name="40% - Accent3 4 4 3 6" xfId="31324" xr:uid="{00000000-0005-0000-0000-0000B8720000}"/>
    <cellStyle name="40% - Accent3 4 4 3 7" xfId="38149" xr:uid="{00000000-0005-0000-0000-0000B9720000}"/>
    <cellStyle name="40% - Accent3 4 4 3 8" xfId="43626" xr:uid="{00000000-0005-0000-0000-0000BA720000}"/>
    <cellStyle name="40% - Accent3 4 4 3 9" xfId="49103" xr:uid="{00000000-0005-0000-0000-0000BB720000}"/>
    <cellStyle name="40% - Accent3 4 4 4" xfId="6524" xr:uid="{00000000-0005-0000-0000-0000BC720000}"/>
    <cellStyle name="40% - Accent3 4 4 5" xfId="12004" xr:uid="{00000000-0005-0000-0000-0000BD720000}"/>
    <cellStyle name="40% - Accent3 4 4 6" xfId="17480" xr:uid="{00000000-0005-0000-0000-0000BE720000}"/>
    <cellStyle name="40% - Accent3 4 4 7" xfId="22956" xr:uid="{00000000-0005-0000-0000-0000BF720000}"/>
    <cellStyle name="40% - Accent3 4 4 8" xfId="31321" xr:uid="{00000000-0005-0000-0000-0000C0720000}"/>
    <cellStyle name="40% - Accent3 4 4 9" xfId="34751" xr:uid="{00000000-0005-0000-0000-0000C1720000}"/>
    <cellStyle name="40% - Accent3 4 5" xfId="1118" xr:uid="{00000000-0005-0000-0000-0000C2720000}"/>
    <cellStyle name="40% - Accent3 4 5 10" xfId="40229" xr:uid="{00000000-0005-0000-0000-0000C3720000}"/>
    <cellStyle name="40% - Accent3 4 5 11" xfId="45706" xr:uid="{00000000-0005-0000-0000-0000C4720000}"/>
    <cellStyle name="40% - Accent3 4 5 12" xfId="51184" xr:uid="{00000000-0005-0000-0000-0000C5720000}"/>
    <cellStyle name="40% - Accent3 4 5 2" xfId="2879" xr:uid="{00000000-0005-0000-0000-0000C6720000}"/>
    <cellStyle name="40% - Accent3 4 5 2 10" xfId="53055" xr:uid="{00000000-0005-0000-0000-0000C7720000}"/>
    <cellStyle name="40% - Accent3 4 5 2 2" xfId="8359" xr:uid="{00000000-0005-0000-0000-0000C8720000}"/>
    <cellStyle name="40% - Accent3 4 5 2 2 2" xfId="31327" xr:uid="{00000000-0005-0000-0000-0000C9720000}"/>
    <cellStyle name="40% - Accent3 4 5 2 3" xfId="13835" xr:uid="{00000000-0005-0000-0000-0000CA720000}"/>
    <cellStyle name="40% - Accent3 4 5 2 4" xfId="19311" xr:uid="{00000000-0005-0000-0000-0000CB720000}"/>
    <cellStyle name="40% - Accent3 4 5 2 5" xfId="24787" xr:uid="{00000000-0005-0000-0000-0000CC720000}"/>
    <cellStyle name="40% - Accent3 4 5 2 6" xfId="31326" xr:uid="{00000000-0005-0000-0000-0000CD720000}"/>
    <cellStyle name="40% - Accent3 4 5 2 7" xfId="36583" xr:uid="{00000000-0005-0000-0000-0000CE720000}"/>
    <cellStyle name="40% - Accent3 4 5 2 8" xfId="42060" xr:uid="{00000000-0005-0000-0000-0000CF720000}"/>
    <cellStyle name="40% - Accent3 4 5 2 9" xfId="47537" xr:uid="{00000000-0005-0000-0000-0000D0720000}"/>
    <cellStyle name="40% - Accent3 4 5 3" xfId="4651" xr:uid="{00000000-0005-0000-0000-0000D1720000}"/>
    <cellStyle name="40% - Accent3 4 5 3 10" xfId="54827" xr:uid="{00000000-0005-0000-0000-0000D2720000}"/>
    <cellStyle name="40% - Accent3 4 5 3 2" xfId="10131" xr:uid="{00000000-0005-0000-0000-0000D3720000}"/>
    <cellStyle name="40% - Accent3 4 5 3 3" xfId="15607" xr:uid="{00000000-0005-0000-0000-0000D4720000}"/>
    <cellStyle name="40% - Accent3 4 5 3 4" xfId="21083" xr:uid="{00000000-0005-0000-0000-0000D5720000}"/>
    <cellStyle name="40% - Accent3 4 5 3 5" xfId="26559" xr:uid="{00000000-0005-0000-0000-0000D6720000}"/>
    <cellStyle name="40% - Accent3 4 5 3 6" xfId="31328" xr:uid="{00000000-0005-0000-0000-0000D7720000}"/>
    <cellStyle name="40% - Accent3 4 5 3 7" xfId="38355" xr:uid="{00000000-0005-0000-0000-0000D8720000}"/>
    <cellStyle name="40% - Accent3 4 5 3 8" xfId="43832" xr:uid="{00000000-0005-0000-0000-0000D9720000}"/>
    <cellStyle name="40% - Accent3 4 5 3 9" xfId="49309" xr:uid="{00000000-0005-0000-0000-0000DA720000}"/>
    <cellStyle name="40% - Accent3 4 5 4" xfId="6525" xr:uid="{00000000-0005-0000-0000-0000DB720000}"/>
    <cellStyle name="40% - Accent3 4 5 5" xfId="12005" xr:uid="{00000000-0005-0000-0000-0000DC720000}"/>
    <cellStyle name="40% - Accent3 4 5 6" xfId="17481" xr:uid="{00000000-0005-0000-0000-0000DD720000}"/>
    <cellStyle name="40% - Accent3 4 5 7" xfId="22957" xr:uid="{00000000-0005-0000-0000-0000DE720000}"/>
    <cellStyle name="40% - Accent3 4 5 8" xfId="31325" xr:uid="{00000000-0005-0000-0000-0000DF720000}"/>
    <cellStyle name="40% - Accent3 4 5 9" xfId="34752" xr:uid="{00000000-0005-0000-0000-0000E0720000}"/>
    <cellStyle name="40% - Accent3 4 6" xfId="1290" xr:uid="{00000000-0005-0000-0000-0000E1720000}"/>
    <cellStyle name="40% - Accent3 4 6 10" xfId="40230" xr:uid="{00000000-0005-0000-0000-0000E2720000}"/>
    <cellStyle name="40% - Accent3 4 6 11" xfId="45707" xr:uid="{00000000-0005-0000-0000-0000E3720000}"/>
    <cellStyle name="40% - Accent3 4 6 12" xfId="51185" xr:uid="{00000000-0005-0000-0000-0000E4720000}"/>
    <cellStyle name="40% - Accent3 4 6 2" xfId="3051" xr:uid="{00000000-0005-0000-0000-0000E5720000}"/>
    <cellStyle name="40% - Accent3 4 6 2 10" xfId="53227" xr:uid="{00000000-0005-0000-0000-0000E6720000}"/>
    <cellStyle name="40% - Accent3 4 6 2 2" xfId="8531" xr:uid="{00000000-0005-0000-0000-0000E7720000}"/>
    <cellStyle name="40% - Accent3 4 6 2 2 2" xfId="31331" xr:uid="{00000000-0005-0000-0000-0000E8720000}"/>
    <cellStyle name="40% - Accent3 4 6 2 3" xfId="14007" xr:uid="{00000000-0005-0000-0000-0000E9720000}"/>
    <cellStyle name="40% - Accent3 4 6 2 4" xfId="19483" xr:uid="{00000000-0005-0000-0000-0000EA720000}"/>
    <cellStyle name="40% - Accent3 4 6 2 5" xfId="24959" xr:uid="{00000000-0005-0000-0000-0000EB720000}"/>
    <cellStyle name="40% - Accent3 4 6 2 6" xfId="31330" xr:uid="{00000000-0005-0000-0000-0000EC720000}"/>
    <cellStyle name="40% - Accent3 4 6 2 7" xfId="36755" xr:uid="{00000000-0005-0000-0000-0000ED720000}"/>
    <cellStyle name="40% - Accent3 4 6 2 8" xfId="42232" xr:uid="{00000000-0005-0000-0000-0000EE720000}"/>
    <cellStyle name="40% - Accent3 4 6 2 9" xfId="47709" xr:uid="{00000000-0005-0000-0000-0000EF720000}"/>
    <cellStyle name="40% - Accent3 4 6 3" xfId="4823" xr:uid="{00000000-0005-0000-0000-0000F0720000}"/>
    <cellStyle name="40% - Accent3 4 6 3 10" xfId="54999" xr:uid="{00000000-0005-0000-0000-0000F1720000}"/>
    <cellStyle name="40% - Accent3 4 6 3 2" xfId="10303" xr:uid="{00000000-0005-0000-0000-0000F2720000}"/>
    <cellStyle name="40% - Accent3 4 6 3 3" xfId="15779" xr:uid="{00000000-0005-0000-0000-0000F3720000}"/>
    <cellStyle name="40% - Accent3 4 6 3 4" xfId="21255" xr:uid="{00000000-0005-0000-0000-0000F4720000}"/>
    <cellStyle name="40% - Accent3 4 6 3 5" xfId="26731" xr:uid="{00000000-0005-0000-0000-0000F5720000}"/>
    <cellStyle name="40% - Accent3 4 6 3 6" xfId="31332" xr:uid="{00000000-0005-0000-0000-0000F6720000}"/>
    <cellStyle name="40% - Accent3 4 6 3 7" xfId="38527" xr:uid="{00000000-0005-0000-0000-0000F7720000}"/>
    <cellStyle name="40% - Accent3 4 6 3 8" xfId="44004" xr:uid="{00000000-0005-0000-0000-0000F8720000}"/>
    <cellStyle name="40% - Accent3 4 6 3 9" xfId="49481" xr:uid="{00000000-0005-0000-0000-0000F9720000}"/>
    <cellStyle name="40% - Accent3 4 6 4" xfId="6526" xr:uid="{00000000-0005-0000-0000-0000FA720000}"/>
    <cellStyle name="40% - Accent3 4 6 5" xfId="12006" xr:uid="{00000000-0005-0000-0000-0000FB720000}"/>
    <cellStyle name="40% - Accent3 4 6 6" xfId="17482" xr:uid="{00000000-0005-0000-0000-0000FC720000}"/>
    <cellStyle name="40% - Accent3 4 6 7" xfId="22958" xr:uid="{00000000-0005-0000-0000-0000FD720000}"/>
    <cellStyle name="40% - Accent3 4 6 8" xfId="31329" xr:uid="{00000000-0005-0000-0000-0000FE720000}"/>
    <cellStyle name="40% - Accent3 4 6 9" xfId="34753" xr:uid="{00000000-0005-0000-0000-0000FF720000}"/>
    <cellStyle name="40% - Accent3 4 7" xfId="1462" xr:uid="{00000000-0005-0000-0000-000000730000}"/>
    <cellStyle name="40% - Accent3 4 7 10" xfId="40231" xr:uid="{00000000-0005-0000-0000-000001730000}"/>
    <cellStyle name="40% - Accent3 4 7 11" xfId="45708" xr:uid="{00000000-0005-0000-0000-000002730000}"/>
    <cellStyle name="40% - Accent3 4 7 12" xfId="51186" xr:uid="{00000000-0005-0000-0000-000003730000}"/>
    <cellStyle name="40% - Accent3 4 7 2" xfId="3223" xr:uid="{00000000-0005-0000-0000-000004730000}"/>
    <cellStyle name="40% - Accent3 4 7 2 10" xfId="53399" xr:uid="{00000000-0005-0000-0000-000005730000}"/>
    <cellStyle name="40% - Accent3 4 7 2 2" xfId="8703" xr:uid="{00000000-0005-0000-0000-000006730000}"/>
    <cellStyle name="40% - Accent3 4 7 2 2 2" xfId="31335" xr:uid="{00000000-0005-0000-0000-000007730000}"/>
    <cellStyle name="40% - Accent3 4 7 2 3" xfId="14179" xr:uid="{00000000-0005-0000-0000-000008730000}"/>
    <cellStyle name="40% - Accent3 4 7 2 4" xfId="19655" xr:uid="{00000000-0005-0000-0000-000009730000}"/>
    <cellStyle name="40% - Accent3 4 7 2 5" xfId="25131" xr:uid="{00000000-0005-0000-0000-00000A730000}"/>
    <cellStyle name="40% - Accent3 4 7 2 6" xfId="31334" xr:uid="{00000000-0005-0000-0000-00000B730000}"/>
    <cellStyle name="40% - Accent3 4 7 2 7" xfId="36927" xr:uid="{00000000-0005-0000-0000-00000C730000}"/>
    <cellStyle name="40% - Accent3 4 7 2 8" xfId="42404" xr:uid="{00000000-0005-0000-0000-00000D730000}"/>
    <cellStyle name="40% - Accent3 4 7 2 9" xfId="47881" xr:uid="{00000000-0005-0000-0000-00000E730000}"/>
    <cellStyle name="40% - Accent3 4 7 3" xfId="4995" xr:uid="{00000000-0005-0000-0000-00000F730000}"/>
    <cellStyle name="40% - Accent3 4 7 3 10" xfId="55171" xr:uid="{00000000-0005-0000-0000-000010730000}"/>
    <cellStyle name="40% - Accent3 4 7 3 2" xfId="10475" xr:uid="{00000000-0005-0000-0000-000011730000}"/>
    <cellStyle name="40% - Accent3 4 7 3 3" xfId="15951" xr:uid="{00000000-0005-0000-0000-000012730000}"/>
    <cellStyle name="40% - Accent3 4 7 3 4" xfId="21427" xr:uid="{00000000-0005-0000-0000-000013730000}"/>
    <cellStyle name="40% - Accent3 4 7 3 5" xfId="26903" xr:uid="{00000000-0005-0000-0000-000014730000}"/>
    <cellStyle name="40% - Accent3 4 7 3 6" xfId="31336" xr:uid="{00000000-0005-0000-0000-000015730000}"/>
    <cellStyle name="40% - Accent3 4 7 3 7" xfId="38699" xr:uid="{00000000-0005-0000-0000-000016730000}"/>
    <cellStyle name="40% - Accent3 4 7 3 8" xfId="44176" xr:uid="{00000000-0005-0000-0000-000017730000}"/>
    <cellStyle name="40% - Accent3 4 7 3 9" xfId="49653" xr:uid="{00000000-0005-0000-0000-000018730000}"/>
    <cellStyle name="40% - Accent3 4 7 4" xfId="6527" xr:uid="{00000000-0005-0000-0000-000019730000}"/>
    <cellStyle name="40% - Accent3 4 7 5" xfId="12007" xr:uid="{00000000-0005-0000-0000-00001A730000}"/>
    <cellStyle name="40% - Accent3 4 7 6" xfId="17483" xr:uid="{00000000-0005-0000-0000-00001B730000}"/>
    <cellStyle name="40% - Accent3 4 7 7" xfId="22959" xr:uid="{00000000-0005-0000-0000-00001C730000}"/>
    <cellStyle name="40% - Accent3 4 7 8" xfId="31333" xr:uid="{00000000-0005-0000-0000-00001D730000}"/>
    <cellStyle name="40% - Accent3 4 7 9" xfId="34754" xr:uid="{00000000-0005-0000-0000-00001E730000}"/>
    <cellStyle name="40% - Accent3 4 8" xfId="1634" xr:uid="{00000000-0005-0000-0000-00001F730000}"/>
    <cellStyle name="40% - Accent3 4 8 10" xfId="40232" xr:uid="{00000000-0005-0000-0000-000020730000}"/>
    <cellStyle name="40% - Accent3 4 8 11" xfId="45709" xr:uid="{00000000-0005-0000-0000-000021730000}"/>
    <cellStyle name="40% - Accent3 4 8 12" xfId="51187" xr:uid="{00000000-0005-0000-0000-000022730000}"/>
    <cellStyle name="40% - Accent3 4 8 2" xfId="3395" xr:uid="{00000000-0005-0000-0000-000023730000}"/>
    <cellStyle name="40% - Accent3 4 8 2 10" xfId="53571" xr:uid="{00000000-0005-0000-0000-000024730000}"/>
    <cellStyle name="40% - Accent3 4 8 2 2" xfId="8875" xr:uid="{00000000-0005-0000-0000-000025730000}"/>
    <cellStyle name="40% - Accent3 4 8 2 3" xfId="14351" xr:uid="{00000000-0005-0000-0000-000026730000}"/>
    <cellStyle name="40% - Accent3 4 8 2 4" xfId="19827" xr:uid="{00000000-0005-0000-0000-000027730000}"/>
    <cellStyle name="40% - Accent3 4 8 2 5" xfId="25303" xr:uid="{00000000-0005-0000-0000-000028730000}"/>
    <cellStyle name="40% - Accent3 4 8 2 6" xfId="31338" xr:uid="{00000000-0005-0000-0000-000029730000}"/>
    <cellStyle name="40% - Accent3 4 8 2 7" xfId="37099" xr:uid="{00000000-0005-0000-0000-00002A730000}"/>
    <cellStyle name="40% - Accent3 4 8 2 8" xfId="42576" xr:uid="{00000000-0005-0000-0000-00002B730000}"/>
    <cellStyle name="40% - Accent3 4 8 2 9" xfId="48053" xr:uid="{00000000-0005-0000-0000-00002C730000}"/>
    <cellStyle name="40% - Accent3 4 8 3" xfId="5167" xr:uid="{00000000-0005-0000-0000-00002D730000}"/>
    <cellStyle name="40% - Accent3 4 8 3 2" xfId="10647" xr:uid="{00000000-0005-0000-0000-00002E730000}"/>
    <cellStyle name="40% - Accent3 4 8 3 3" xfId="16123" xr:uid="{00000000-0005-0000-0000-00002F730000}"/>
    <cellStyle name="40% - Accent3 4 8 3 4" xfId="21599" xr:uid="{00000000-0005-0000-0000-000030730000}"/>
    <cellStyle name="40% - Accent3 4 8 3 5" xfId="27075" xr:uid="{00000000-0005-0000-0000-000031730000}"/>
    <cellStyle name="40% - Accent3 4 8 3 6" xfId="38871" xr:uid="{00000000-0005-0000-0000-000032730000}"/>
    <cellStyle name="40% - Accent3 4 8 3 7" xfId="44348" xr:uid="{00000000-0005-0000-0000-000033730000}"/>
    <cellStyle name="40% - Accent3 4 8 3 8" xfId="49825" xr:uid="{00000000-0005-0000-0000-000034730000}"/>
    <cellStyle name="40% - Accent3 4 8 3 9" xfId="55343" xr:uid="{00000000-0005-0000-0000-000035730000}"/>
    <cellStyle name="40% - Accent3 4 8 4" xfId="6528" xr:uid="{00000000-0005-0000-0000-000036730000}"/>
    <cellStyle name="40% - Accent3 4 8 5" xfId="12008" xr:uid="{00000000-0005-0000-0000-000037730000}"/>
    <cellStyle name="40% - Accent3 4 8 6" xfId="17484" xr:uid="{00000000-0005-0000-0000-000038730000}"/>
    <cellStyle name="40% - Accent3 4 8 7" xfId="22960" xr:uid="{00000000-0005-0000-0000-000039730000}"/>
    <cellStyle name="40% - Accent3 4 8 8" xfId="31337" xr:uid="{00000000-0005-0000-0000-00003A730000}"/>
    <cellStyle name="40% - Accent3 4 8 9" xfId="34755" xr:uid="{00000000-0005-0000-0000-00003B730000}"/>
    <cellStyle name="40% - Accent3 4 9" xfId="1831" xr:uid="{00000000-0005-0000-0000-00003C730000}"/>
    <cellStyle name="40% - Accent3 4 9 10" xfId="40233" xr:uid="{00000000-0005-0000-0000-00003D730000}"/>
    <cellStyle name="40% - Accent3 4 9 11" xfId="45710" xr:uid="{00000000-0005-0000-0000-00003E730000}"/>
    <cellStyle name="40% - Accent3 4 9 12" xfId="51188" xr:uid="{00000000-0005-0000-0000-00003F730000}"/>
    <cellStyle name="40% - Accent3 4 9 2" xfId="3592" xr:uid="{00000000-0005-0000-0000-000040730000}"/>
    <cellStyle name="40% - Accent3 4 9 2 2" xfId="9072" xr:uid="{00000000-0005-0000-0000-000041730000}"/>
    <cellStyle name="40% - Accent3 4 9 2 3" xfId="14548" xr:uid="{00000000-0005-0000-0000-000042730000}"/>
    <cellStyle name="40% - Accent3 4 9 2 4" xfId="20024" xr:uid="{00000000-0005-0000-0000-000043730000}"/>
    <cellStyle name="40% - Accent3 4 9 2 5" xfId="25500" xr:uid="{00000000-0005-0000-0000-000044730000}"/>
    <cellStyle name="40% - Accent3 4 9 2 6" xfId="37296" xr:uid="{00000000-0005-0000-0000-000045730000}"/>
    <cellStyle name="40% - Accent3 4 9 2 7" xfId="42773" xr:uid="{00000000-0005-0000-0000-000046730000}"/>
    <cellStyle name="40% - Accent3 4 9 2 8" xfId="48250" xr:uid="{00000000-0005-0000-0000-000047730000}"/>
    <cellStyle name="40% - Accent3 4 9 2 9" xfId="53768" xr:uid="{00000000-0005-0000-0000-000048730000}"/>
    <cellStyle name="40% - Accent3 4 9 3" xfId="5364" xr:uid="{00000000-0005-0000-0000-000049730000}"/>
    <cellStyle name="40% - Accent3 4 9 3 2" xfId="10844" xr:uid="{00000000-0005-0000-0000-00004A730000}"/>
    <cellStyle name="40% - Accent3 4 9 3 3" xfId="16320" xr:uid="{00000000-0005-0000-0000-00004B730000}"/>
    <cellStyle name="40% - Accent3 4 9 3 4" xfId="21796" xr:uid="{00000000-0005-0000-0000-00004C730000}"/>
    <cellStyle name="40% - Accent3 4 9 3 5" xfId="27272" xr:uid="{00000000-0005-0000-0000-00004D730000}"/>
    <cellStyle name="40% - Accent3 4 9 3 6" xfId="39068" xr:uid="{00000000-0005-0000-0000-00004E730000}"/>
    <cellStyle name="40% - Accent3 4 9 3 7" xfId="44545" xr:uid="{00000000-0005-0000-0000-00004F730000}"/>
    <cellStyle name="40% - Accent3 4 9 3 8" xfId="50022" xr:uid="{00000000-0005-0000-0000-000050730000}"/>
    <cellStyle name="40% - Accent3 4 9 3 9" xfId="55540" xr:uid="{00000000-0005-0000-0000-000051730000}"/>
    <cellStyle name="40% - Accent3 4 9 4" xfId="6529" xr:uid="{00000000-0005-0000-0000-000052730000}"/>
    <cellStyle name="40% - Accent3 4 9 5" xfId="12009" xr:uid="{00000000-0005-0000-0000-000053730000}"/>
    <cellStyle name="40% - Accent3 4 9 6" xfId="17485" xr:uid="{00000000-0005-0000-0000-000054730000}"/>
    <cellStyle name="40% - Accent3 4 9 7" xfId="22961" xr:uid="{00000000-0005-0000-0000-000055730000}"/>
    <cellStyle name="40% - Accent3 4 9 8" xfId="31339" xr:uid="{00000000-0005-0000-0000-000056730000}"/>
    <cellStyle name="40% - Accent3 4 9 9" xfId="34756" xr:uid="{00000000-0005-0000-0000-000057730000}"/>
    <cellStyle name="40% - Accent3 5" xfId="3675" xr:uid="{00000000-0005-0000-0000-000058730000}"/>
    <cellStyle name="40% - Accent3 5 10" xfId="31340" xr:uid="{00000000-0005-0000-0000-000059730000}"/>
    <cellStyle name="40% - Accent3 5 11" xfId="37379" xr:uid="{00000000-0005-0000-0000-00005A730000}"/>
    <cellStyle name="40% - Accent3 5 12" xfId="42856" xr:uid="{00000000-0005-0000-0000-00005B730000}"/>
    <cellStyle name="40% - Accent3 5 13" xfId="48333" xr:uid="{00000000-0005-0000-0000-00005C730000}"/>
    <cellStyle name="40% - Accent3 5 14" xfId="52040" xr:uid="{00000000-0005-0000-0000-00005D730000}"/>
    <cellStyle name="40% - Accent3 5 2" xfId="9155" xr:uid="{00000000-0005-0000-0000-00005E730000}"/>
    <cellStyle name="40% - Accent3 5 2 2" xfId="31342" xr:uid="{00000000-0005-0000-0000-00005F730000}"/>
    <cellStyle name="40% - Accent3 5 2 2 2" xfId="31343" xr:uid="{00000000-0005-0000-0000-000060730000}"/>
    <cellStyle name="40% - Accent3 5 2 3" xfId="31344" xr:uid="{00000000-0005-0000-0000-000061730000}"/>
    <cellStyle name="40% - Accent3 5 2 4" xfId="31341" xr:uid="{00000000-0005-0000-0000-000062730000}"/>
    <cellStyle name="40% - Accent3 5 2 5" xfId="53851" xr:uid="{00000000-0005-0000-0000-000063730000}"/>
    <cellStyle name="40% - Accent3 5 3" xfId="14631" xr:uid="{00000000-0005-0000-0000-000064730000}"/>
    <cellStyle name="40% - Accent3 5 3 2" xfId="31346" xr:uid="{00000000-0005-0000-0000-000065730000}"/>
    <cellStyle name="40% - Accent3 5 3 2 2" xfId="31347" xr:uid="{00000000-0005-0000-0000-000066730000}"/>
    <cellStyle name="40% - Accent3 5 3 3" xfId="31348" xr:uid="{00000000-0005-0000-0000-000067730000}"/>
    <cellStyle name="40% - Accent3 5 3 4" xfId="31345" xr:uid="{00000000-0005-0000-0000-000068730000}"/>
    <cellStyle name="40% - Accent3 5 4" xfId="20107" xr:uid="{00000000-0005-0000-0000-000069730000}"/>
    <cellStyle name="40% - Accent3 5 4 2" xfId="31350" xr:uid="{00000000-0005-0000-0000-00006A730000}"/>
    <cellStyle name="40% - Accent3 5 4 2 2" xfId="31351" xr:uid="{00000000-0005-0000-0000-00006B730000}"/>
    <cellStyle name="40% - Accent3 5 4 3" xfId="31352" xr:uid="{00000000-0005-0000-0000-00006C730000}"/>
    <cellStyle name="40% - Accent3 5 4 4" xfId="31349" xr:uid="{00000000-0005-0000-0000-00006D730000}"/>
    <cellStyle name="40% - Accent3 5 5" xfId="25583" xr:uid="{00000000-0005-0000-0000-00006E730000}"/>
    <cellStyle name="40% - Accent3 5 5 2" xfId="31354" xr:uid="{00000000-0005-0000-0000-00006F730000}"/>
    <cellStyle name="40% - Accent3 5 5 2 2" xfId="31355" xr:uid="{00000000-0005-0000-0000-000070730000}"/>
    <cellStyle name="40% - Accent3 5 5 3" xfId="31356" xr:uid="{00000000-0005-0000-0000-000071730000}"/>
    <cellStyle name="40% - Accent3 5 5 4" xfId="31353" xr:uid="{00000000-0005-0000-0000-000072730000}"/>
    <cellStyle name="40% - Accent3 5 6" xfId="31357" xr:uid="{00000000-0005-0000-0000-000073730000}"/>
    <cellStyle name="40% - Accent3 5 6 2" xfId="31358" xr:uid="{00000000-0005-0000-0000-000074730000}"/>
    <cellStyle name="40% - Accent3 5 6 2 2" xfId="31359" xr:uid="{00000000-0005-0000-0000-000075730000}"/>
    <cellStyle name="40% - Accent3 5 6 3" xfId="31360" xr:uid="{00000000-0005-0000-0000-000076730000}"/>
    <cellStyle name="40% - Accent3 5 7" xfId="31361" xr:uid="{00000000-0005-0000-0000-000077730000}"/>
    <cellStyle name="40% - Accent3 5 7 2" xfId="31362" xr:uid="{00000000-0005-0000-0000-000078730000}"/>
    <cellStyle name="40% - Accent3 5 7 2 2" xfId="31363" xr:uid="{00000000-0005-0000-0000-000079730000}"/>
    <cellStyle name="40% - Accent3 5 7 3" xfId="31364" xr:uid="{00000000-0005-0000-0000-00007A730000}"/>
    <cellStyle name="40% - Accent3 5 8" xfId="31365" xr:uid="{00000000-0005-0000-0000-00007B730000}"/>
    <cellStyle name="40% - Accent3 5 8 2" xfId="31366" xr:uid="{00000000-0005-0000-0000-00007C730000}"/>
    <cellStyle name="40% - Accent3 5 9" xfId="31367" xr:uid="{00000000-0005-0000-0000-00007D730000}"/>
    <cellStyle name="40% - Accent3 6" xfId="7380" xr:uid="{00000000-0005-0000-0000-00007E730000}"/>
    <cellStyle name="40% - Accent3 6 10" xfId="31368" xr:uid="{00000000-0005-0000-0000-00007F730000}"/>
    <cellStyle name="40% - Accent3 6 2" xfId="31369" xr:uid="{00000000-0005-0000-0000-000080730000}"/>
    <cellStyle name="40% - Accent3 6 2 2" xfId="31370" xr:uid="{00000000-0005-0000-0000-000081730000}"/>
    <cellStyle name="40% - Accent3 6 2 2 2" xfId="31371" xr:uid="{00000000-0005-0000-0000-000082730000}"/>
    <cellStyle name="40% - Accent3 6 2 3" xfId="31372" xr:uid="{00000000-0005-0000-0000-000083730000}"/>
    <cellStyle name="40% - Accent3 6 3" xfId="31373" xr:uid="{00000000-0005-0000-0000-000084730000}"/>
    <cellStyle name="40% - Accent3 6 3 2" xfId="31374" xr:uid="{00000000-0005-0000-0000-000085730000}"/>
    <cellStyle name="40% - Accent3 6 3 2 2" xfId="31375" xr:uid="{00000000-0005-0000-0000-000086730000}"/>
    <cellStyle name="40% - Accent3 6 3 3" xfId="31376" xr:uid="{00000000-0005-0000-0000-000087730000}"/>
    <cellStyle name="40% - Accent3 6 4" xfId="31377" xr:uid="{00000000-0005-0000-0000-000088730000}"/>
    <cellStyle name="40% - Accent3 6 4 2" xfId="31378" xr:uid="{00000000-0005-0000-0000-000089730000}"/>
    <cellStyle name="40% - Accent3 6 4 2 2" xfId="31379" xr:uid="{00000000-0005-0000-0000-00008A730000}"/>
    <cellStyle name="40% - Accent3 6 4 3" xfId="31380" xr:uid="{00000000-0005-0000-0000-00008B730000}"/>
    <cellStyle name="40% - Accent3 6 5" xfId="31381" xr:uid="{00000000-0005-0000-0000-00008C730000}"/>
    <cellStyle name="40% - Accent3 6 5 2" xfId="31382" xr:uid="{00000000-0005-0000-0000-00008D730000}"/>
    <cellStyle name="40% - Accent3 6 5 2 2" xfId="31383" xr:uid="{00000000-0005-0000-0000-00008E730000}"/>
    <cellStyle name="40% - Accent3 6 5 3" xfId="31384" xr:uid="{00000000-0005-0000-0000-00008F730000}"/>
    <cellStyle name="40% - Accent3 6 6" xfId="31385" xr:uid="{00000000-0005-0000-0000-000090730000}"/>
    <cellStyle name="40% - Accent3 6 6 2" xfId="31386" xr:uid="{00000000-0005-0000-0000-000091730000}"/>
    <cellStyle name="40% - Accent3 6 6 2 2" xfId="31387" xr:uid="{00000000-0005-0000-0000-000092730000}"/>
    <cellStyle name="40% - Accent3 6 6 3" xfId="31388" xr:uid="{00000000-0005-0000-0000-000093730000}"/>
    <cellStyle name="40% - Accent3 6 7" xfId="31389" xr:uid="{00000000-0005-0000-0000-000094730000}"/>
    <cellStyle name="40% - Accent3 6 7 2" xfId="31390" xr:uid="{00000000-0005-0000-0000-000095730000}"/>
    <cellStyle name="40% - Accent3 6 7 2 2" xfId="31391" xr:uid="{00000000-0005-0000-0000-000096730000}"/>
    <cellStyle name="40% - Accent3 6 7 3" xfId="31392" xr:uid="{00000000-0005-0000-0000-000097730000}"/>
    <cellStyle name="40% - Accent3 6 8" xfId="31393" xr:uid="{00000000-0005-0000-0000-000098730000}"/>
    <cellStyle name="40% - Accent3 6 8 2" xfId="31394" xr:uid="{00000000-0005-0000-0000-000099730000}"/>
    <cellStyle name="40% - Accent3 6 9" xfId="31395" xr:uid="{00000000-0005-0000-0000-00009A730000}"/>
    <cellStyle name="40% - Accent3 7" xfId="12857" xr:uid="{00000000-0005-0000-0000-00009B730000}"/>
    <cellStyle name="40% - Accent3 7 10" xfId="31396" xr:uid="{00000000-0005-0000-0000-00009C730000}"/>
    <cellStyle name="40% - Accent3 7 2" xfId="31397" xr:uid="{00000000-0005-0000-0000-00009D730000}"/>
    <cellStyle name="40% - Accent3 7 2 2" xfId="31398" xr:uid="{00000000-0005-0000-0000-00009E730000}"/>
    <cellStyle name="40% - Accent3 7 2 2 2" xfId="31399" xr:uid="{00000000-0005-0000-0000-00009F730000}"/>
    <cellStyle name="40% - Accent3 7 2 3" xfId="31400" xr:uid="{00000000-0005-0000-0000-0000A0730000}"/>
    <cellStyle name="40% - Accent3 7 3" xfId="31401" xr:uid="{00000000-0005-0000-0000-0000A1730000}"/>
    <cellStyle name="40% - Accent3 7 3 2" xfId="31402" xr:uid="{00000000-0005-0000-0000-0000A2730000}"/>
    <cellStyle name="40% - Accent3 7 3 2 2" xfId="31403" xr:uid="{00000000-0005-0000-0000-0000A3730000}"/>
    <cellStyle name="40% - Accent3 7 3 3" xfId="31404" xr:uid="{00000000-0005-0000-0000-0000A4730000}"/>
    <cellStyle name="40% - Accent3 7 4" xfId="31405" xr:uid="{00000000-0005-0000-0000-0000A5730000}"/>
    <cellStyle name="40% - Accent3 7 4 2" xfId="31406" xr:uid="{00000000-0005-0000-0000-0000A6730000}"/>
    <cellStyle name="40% - Accent3 7 4 2 2" xfId="31407" xr:uid="{00000000-0005-0000-0000-0000A7730000}"/>
    <cellStyle name="40% - Accent3 7 4 3" xfId="31408" xr:uid="{00000000-0005-0000-0000-0000A8730000}"/>
    <cellStyle name="40% - Accent3 7 5" xfId="31409" xr:uid="{00000000-0005-0000-0000-0000A9730000}"/>
    <cellStyle name="40% - Accent3 7 5 2" xfId="31410" xr:uid="{00000000-0005-0000-0000-0000AA730000}"/>
    <cellStyle name="40% - Accent3 7 5 2 2" xfId="31411" xr:uid="{00000000-0005-0000-0000-0000AB730000}"/>
    <cellStyle name="40% - Accent3 7 5 3" xfId="31412" xr:uid="{00000000-0005-0000-0000-0000AC730000}"/>
    <cellStyle name="40% - Accent3 7 6" xfId="31413" xr:uid="{00000000-0005-0000-0000-0000AD730000}"/>
    <cellStyle name="40% - Accent3 7 6 2" xfId="31414" xr:uid="{00000000-0005-0000-0000-0000AE730000}"/>
    <cellStyle name="40% - Accent3 7 6 2 2" xfId="31415" xr:uid="{00000000-0005-0000-0000-0000AF730000}"/>
    <cellStyle name="40% - Accent3 7 6 3" xfId="31416" xr:uid="{00000000-0005-0000-0000-0000B0730000}"/>
    <cellStyle name="40% - Accent3 7 7" xfId="31417" xr:uid="{00000000-0005-0000-0000-0000B1730000}"/>
    <cellStyle name="40% - Accent3 7 7 2" xfId="31418" xr:uid="{00000000-0005-0000-0000-0000B2730000}"/>
    <cellStyle name="40% - Accent3 7 7 2 2" xfId="31419" xr:uid="{00000000-0005-0000-0000-0000B3730000}"/>
    <cellStyle name="40% - Accent3 7 7 3" xfId="31420" xr:uid="{00000000-0005-0000-0000-0000B4730000}"/>
    <cellStyle name="40% - Accent3 7 8" xfId="31421" xr:uid="{00000000-0005-0000-0000-0000B5730000}"/>
    <cellStyle name="40% - Accent3 7 8 2" xfId="31422" xr:uid="{00000000-0005-0000-0000-0000B6730000}"/>
    <cellStyle name="40% - Accent3 7 9" xfId="31423" xr:uid="{00000000-0005-0000-0000-0000B7730000}"/>
    <cellStyle name="40% - Accent3 8" xfId="18333" xr:uid="{00000000-0005-0000-0000-0000B8730000}"/>
    <cellStyle name="40% - Accent3 8 2" xfId="31425" xr:uid="{00000000-0005-0000-0000-0000B9730000}"/>
    <cellStyle name="40% - Accent3 8 2 2" xfId="31426" xr:uid="{00000000-0005-0000-0000-0000BA730000}"/>
    <cellStyle name="40% - Accent3 8 3" xfId="31427" xr:uid="{00000000-0005-0000-0000-0000BB730000}"/>
    <cellStyle name="40% - Accent3 8 4" xfId="31424" xr:uid="{00000000-0005-0000-0000-0000BC730000}"/>
    <cellStyle name="40% - Accent3 9" xfId="23809" xr:uid="{00000000-0005-0000-0000-0000BD730000}"/>
    <cellStyle name="40% - Accent3 9 10" xfId="31428" xr:uid="{00000000-0005-0000-0000-0000BE730000}"/>
    <cellStyle name="40% - Accent3 9 2" xfId="31429" xr:uid="{00000000-0005-0000-0000-0000BF730000}"/>
    <cellStyle name="40% - Accent3 9 2 2" xfId="31430" xr:uid="{00000000-0005-0000-0000-0000C0730000}"/>
    <cellStyle name="40% - Accent3 9 2 2 2" xfId="31431" xr:uid="{00000000-0005-0000-0000-0000C1730000}"/>
    <cellStyle name="40% - Accent3 9 2 3" xfId="31432" xr:uid="{00000000-0005-0000-0000-0000C2730000}"/>
    <cellStyle name="40% - Accent3 9 3" xfId="31433" xr:uid="{00000000-0005-0000-0000-0000C3730000}"/>
    <cellStyle name="40% - Accent3 9 3 2" xfId="31434" xr:uid="{00000000-0005-0000-0000-0000C4730000}"/>
    <cellStyle name="40% - Accent3 9 3 2 2" xfId="31435" xr:uid="{00000000-0005-0000-0000-0000C5730000}"/>
    <cellStyle name="40% - Accent3 9 3 3" xfId="31436" xr:uid="{00000000-0005-0000-0000-0000C6730000}"/>
    <cellStyle name="40% - Accent3 9 4" xfId="31437" xr:uid="{00000000-0005-0000-0000-0000C7730000}"/>
    <cellStyle name="40% - Accent3 9 4 2" xfId="31438" xr:uid="{00000000-0005-0000-0000-0000C8730000}"/>
    <cellStyle name="40% - Accent3 9 4 2 2" xfId="31439" xr:uid="{00000000-0005-0000-0000-0000C9730000}"/>
    <cellStyle name="40% - Accent3 9 4 3" xfId="31440" xr:uid="{00000000-0005-0000-0000-0000CA730000}"/>
    <cellStyle name="40% - Accent3 9 5" xfId="31441" xr:uid="{00000000-0005-0000-0000-0000CB730000}"/>
    <cellStyle name="40% - Accent3 9 5 2" xfId="31442" xr:uid="{00000000-0005-0000-0000-0000CC730000}"/>
    <cellStyle name="40% - Accent3 9 5 2 2" xfId="31443" xr:uid="{00000000-0005-0000-0000-0000CD730000}"/>
    <cellStyle name="40% - Accent3 9 5 3" xfId="31444" xr:uid="{00000000-0005-0000-0000-0000CE730000}"/>
    <cellStyle name="40% - Accent3 9 6" xfId="31445" xr:uid="{00000000-0005-0000-0000-0000CF730000}"/>
    <cellStyle name="40% - Accent3 9 6 2" xfId="31446" xr:uid="{00000000-0005-0000-0000-0000D0730000}"/>
    <cellStyle name="40% - Accent3 9 6 2 2" xfId="31447" xr:uid="{00000000-0005-0000-0000-0000D1730000}"/>
    <cellStyle name="40% - Accent3 9 6 3" xfId="31448" xr:uid="{00000000-0005-0000-0000-0000D2730000}"/>
    <cellStyle name="40% - Accent3 9 7" xfId="31449" xr:uid="{00000000-0005-0000-0000-0000D3730000}"/>
    <cellStyle name="40% - Accent3 9 7 2" xfId="31450" xr:uid="{00000000-0005-0000-0000-0000D4730000}"/>
    <cellStyle name="40% - Accent3 9 7 2 2" xfId="31451" xr:uid="{00000000-0005-0000-0000-0000D5730000}"/>
    <cellStyle name="40% - Accent3 9 7 3" xfId="31452" xr:uid="{00000000-0005-0000-0000-0000D6730000}"/>
    <cellStyle name="40% - Accent3 9 8" xfId="31453" xr:uid="{00000000-0005-0000-0000-0000D7730000}"/>
    <cellStyle name="40% - Accent3 9 8 2" xfId="31454" xr:uid="{00000000-0005-0000-0000-0000D8730000}"/>
    <cellStyle name="40% - Accent3 9 9" xfId="31455" xr:uid="{00000000-0005-0000-0000-0000D9730000}"/>
    <cellStyle name="40% - Accent4" xfId="70" builtinId="43" customBuiltin="1"/>
    <cellStyle name="40% - Accent4 10" xfId="31456" xr:uid="{00000000-0005-0000-0000-0000DB730000}"/>
    <cellStyle name="40% - Accent4 10 2" xfId="31457" xr:uid="{00000000-0005-0000-0000-0000DC730000}"/>
    <cellStyle name="40% - Accent4 10 2 2" xfId="31458" xr:uid="{00000000-0005-0000-0000-0000DD730000}"/>
    <cellStyle name="40% - Accent4 10 2 2 2" xfId="31459" xr:uid="{00000000-0005-0000-0000-0000DE730000}"/>
    <cellStyle name="40% - Accent4 10 2 3" xfId="31460" xr:uid="{00000000-0005-0000-0000-0000DF730000}"/>
    <cellStyle name="40% - Accent4 10 3" xfId="31461" xr:uid="{00000000-0005-0000-0000-0000E0730000}"/>
    <cellStyle name="40% - Accent4 10 3 2" xfId="31462" xr:uid="{00000000-0005-0000-0000-0000E1730000}"/>
    <cellStyle name="40% - Accent4 10 3 2 2" xfId="31463" xr:uid="{00000000-0005-0000-0000-0000E2730000}"/>
    <cellStyle name="40% - Accent4 10 3 3" xfId="31464" xr:uid="{00000000-0005-0000-0000-0000E3730000}"/>
    <cellStyle name="40% - Accent4 10 4" xfId="31465" xr:uid="{00000000-0005-0000-0000-0000E4730000}"/>
    <cellStyle name="40% - Accent4 10 4 2" xfId="31466" xr:uid="{00000000-0005-0000-0000-0000E5730000}"/>
    <cellStyle name="40% - Accent4 10 5" xfId="31467" xr:uid="{00000000-0005-0000-0000-0000E6730000}"/>
    <cellStyle name="40% - Accent4 11" xfId="31468" xr:uid="{00000000-0005-0000-0000-0000E7730000}"/>
    <cellStyle name="40% - Accent4 11 2" xfId="31469" xr:uid="{00000000-0005-0000-0000-0000E8730000}"/>
    <cellStyle name="40% - Accent4 11 2 2" xfId="31470" xr:uid="{00000000-0005-0000-0000-0000E9730000}"/>
    <cellStyle name="40% - Accent4 11 3" xfId="31471" xr:uid="{00000000-0005-0000-0000-0000EA730000}"/>
    <cellStyle name="40% - Accent4 12" xfId="31472" xr:uid="{00000000-0005-0000-0000-0000EB730000}"/>
    <cellStyle name="40% - Accent4 12 2" xfId="31473" xr:uid="{00000000-0005-0000-0000-0000EC730000}"/>
    <cellStyle name="40% - Accent4 12 2 2" xfId="31474" xr:uid="{00000000-0005-0000-0000-0000ED730000}"/>
    <cellStyle name="40% - Accent4 12 3" xfId="31475" xr:uid="{00000000-0005-0000-0000-0000EE730000}"/>
    <cellStyle name="40% - Accent4 13" xfId="31476" xr:uid="{00000000-0005-0000-0000-0000EF730000}"/>
    <cellStyle name="40% - Accent4 13 2" xfId="31477" xr:uid="{00000000-0005-0000-0000-0000F0730000}"/>
    <cellStyle name="40% - Accent4 13 2 2" xfId="31478" xr:uid="{00000000-0005-0000-0000-0000F1730000}"/>
    <cellStyle name="40% - Accent4 13 3" xfId="31479" xr:uid="{00000000-0005-0000-0000-0000F2730000}"/>
    <cellStyle name="40% - Accent4 14" xfId="31480" xr:uid="{00000000-0005-0000-0000-0000F3730000}"/>
    <cellStyle name="40% - Accent4 14 2" xfId="31481" xr:uid="{00000000-0005-0000-0000-0000F4730000}"/>
    <cellStyle name="40% - Accent4 14 2 2" xfId="31482" xr:uid="{00000000-0005-0000-0000-0000F5730000}"/>
    <cellStyle name="40% - Accent4 14 3" xfId="31483" xr:uid="{00000000-0005-0000-0000-0000F6730000}"/>
    <cellStyle name="40% - Accent4 15" xfId="31484" xr:uid="{00000000-0005-0000-0000-0000F7730000}"/>
    <cellStyle name="40% - Accent4 15 2" xfId="31485" xr:uid="{00000000-0005-0000-0000-0000F8730000}"/>
    <cellStyle name="40% - Accent4 15 2 2" xfId="31486" xr:uid="{00000000-0005-0000-0000-0000F9730000}"/>
    <cellStyle name="40% - Accent4 15 3" xfId="31487" xr:uid="{00000000-0005-0000-0000-0000FA730000}"/>
    <cellStyle name="40% - Accent4 16" xfId="31488" xr:uid="{00000000-0005-0000-0000-0000FB730000}"/>
    <cellStyle name="40% - Accent4 16 2" xfId="31489" xr:uid="{00000000-0005-0000-0000-0000FC730000}"/>
    <cellStyle name="40% - Accent4 16 2 2" xfId="31490" xr:uid="{00000000-0005-0000-0000-0000FD730000}"/>
    <cellStyle name="40% - Accent4 16 2 2 2" xfId="31491" xr:uid="{00000000-0005-0000-0000-0000FE730000}"/>
    <cellStyle name="40% - Accent4 16 2 2 2 2" xfId="31492" xr:uid="{00000000-0005-0000-0000-0000FF730000}"/>
    <cellStyle name="40% - Accent4 16 2 2 2 2 2" xfId="31493" xr:uid="{00000000-0005-0000-0000-000000740000}"/>
    <cellStyle name="40% - Accent4 16 2 2 2 3" xfId="31494" xr:uid="{00000000-0005-0000-0000-000001740000}"/>
    <cellStyle name="40% - Accent4 16 2 2 3" xfId="31495" xr:uid="{00000000-0005-0000-0000-000002740000}"/>
    <cellStyle name="40% - Accent4 16 2 2 3 2" xfId="31496" xr:uid="{00000000-0005-0000-0000-000003740000}"/>
    <cellStyle name="40% - Accent4 16 2 2 3 2 2" xfId="31497" xr:uid="{00000000-0005-0000-0000-000004740000}"/>
    <cellStyle name="40% - Accent4 16 2 2 3 3" xfId="31498" xr:uid="{00000000-0005-0000-0000-000005740000}"/>
    <cellStyle name="40% - Accent4 16 2 2 4" xfId="31499" xr:uid="{00000000-0005-0000-0000-000006740000}"/>
    <cellStyle name="40% - Accent4 16 2 2 4 2" xfId="31500" xr:uid="{00000000-0005-0000-0000-000007740000}"/>
    <cellStyle name="40% - Accent4 16 2 2 5" xfId="31501" xr:uid="{00000000-0005-0000-0000-000008740000}"/>
    <cellStyle name="40% - Accent4 16 2 3" xfId="31502" xr:uid="{00000000-0005-0000-0000-000009740000}"/>
    <cellStyle name="40% - Accent4 16 2 3 2" xfId="31503" xr:uid="{00000000-0005-0000-0000-00000A740000}"/>
    <cellStyle name="40% - Accent4 16 2 3 2 2" xfId="31504" xr:uid="{00000000-0005-0000-0000-00000B740000}"/>
    <cellStyle name="40% - Accent4 16 2 3 2 2 2" xfId="31505" xr:uid="{00000000-0005-0000-0000-00000C740000}"/>
    <cellStyle name="40% - Accent4 16 2 3 2 3" xfId="31506" xr:uid="{00000000-0005-0000-0000-00000D740000}"/>
    <cellStyle name="40% - Accent4 16 2 3 3" xfId="31507" xr:uid="{00000000-0005-0000-0000-00000E740000}"/>
    <cellStyle name="40% - Accent4 16 2 3 3 2" xfId="31508" xr:uid="{00000000-0005-0000-0000-00000F740000}"/>
    <cellStyle name="40% - Accent4 16 2 3 3 2 2" xfId="31509" xr:uid="{00000000-0005-0000-0000-000010740000}"/>
    <cellStyle name="40% - Accent4 16 2 3 3 3" xfId="31510" xr:uid="{00000000-0005-0000-0000-000011740000}"/>
    <cellStyle name="40% - Accent4 16 2 3 4" xfId="31511" xr:uid="{00000000-0005-0000-0000-000012740000}"/>
    <cellStyle name="40% - Accent4 16 2 3 4 2" xfId="31512" xr:uid="{00000000-0005-0000-0000-000013740000}"/>
    <cellStyle name="40% - Accent4 16 2 3 5" xfId="31513" xr:uid="{00000000-0005-0000-0000-000014740000}"/>
    <cellStyle name="40% - Accent4 16 2 4" xfId="31514" xr:uid="{00000000-0005-0000-0000-000015740000}"/>
    <cellStyle name="40% - Accent4 16 2 4 2" xfId="31515" xr:uid="{00000000-0005-0000-0000-000016740000}"/>
    <cellStyle name="40% - Accent4 16 2 4 2 2" xfId="31516" xr:uid="{00000000-0005-0000-0000-000017740000}"/>
    <cellStyle name="40% - Accent4 16 2 4 2 2 2" xfId="31517" xr:uid="{00000000-0005-0000-0000-000018740000}"/>
    <cellStyle name="40% - Accent4 16 2 4 2 3" xfId="31518" xr:uid="{00000000-0005-0000-0000-000019740000}"/>
    <cellStyle name="40% - Accent4 16 2 4 3" xfId="31519" xr:uid="{00000000-0005-0000-0000-00001A740000}"/>
    <cellStyle name="40% - Accent4 16 2 4 3 2" xfId="31520" xr:uid="{00000000-0005-0000-0000-00001B740000}"/>
    <cellStyle name="40% - Accent4 16 2 4 3 2 2" xfId="31521" xr:uid="{00000000-0005-0000-0000-00001C740000}"/>
    <cellStyle name="40% - Accent4 16 2 4 3 3" xfId="31522" xr:uid="{00000000-0005-0000-0000-00001D740000}"/>
    <cellStyle name="40% - Accent4 16 2 4 4" xfId="31523" xr:uid="{00000000-0005-0000-0000-00001E740000}"/>
    <cellStyle name="40% - Accent4 16 2 4 4 2" xfId="31524" xr:uid="{00000000-0005-0000-0000-00001F740000}"/>
    <cellStyle name="40% - Accent4 16 2 4 5" xfId="31525" xr:uid="{00000000-0005-0000-0000-000020740000}"/>
    <cellStyle name="40% - Accent4 16 2 5" xfId="31526" xr:uid="{00000000-0005-0000-0000-000021740000}"/>
    <cellStyle name="40% - Accent4 16 2 5 2" xfId="31527" xr:uid="{00000000-0005-0000-0000-000022740000}"/>
    <cellStyle name="40% - Accent4 16 2 5 2 2" xfId="31528" xr:uid="{00000000-0005-0000-0000-000023740000}"/>
    <cellStyle name="40% - Accent4 16 2 5 2 2 2" xfId="31529" xr:uid="{00000000-0005-0000-0000-000024740000}"/>
    <cellStyle name="40% - Accent4 16 2 5 2 3" xfId="31530" xr:uid="{00000000-0005-0000-0000-000025740000}"/>
    <cellStyle name="40% - Accent4 16 2 5 3" xfId="31531" xr:uid="{00000000-0005-0000-0000-000026740000}"/>
    <cellStyle name="40% - Accent4 16 2 5 3 2" xfId="31532" xr:uid="{00000000-0005-0000-0000-000027740000}"/>
    <cellStyle name="40% - Accent4 16 2 5 4" xfId="31533" xr:uid="{00000000-0005-0000-0000-000028740000}"/>
    <cellStyle name="40% - Accent4 16 2 6" xfId="31534" xr:uid="{00000000-0005-0000-0000-000029740000}"/>
    <cellStyle name="40% - Accent4 16 2 6 2" xfId="31535" xr:uid="{00000000-0005-0000-0000-00002A740000}"/>
    <cellStyle name="40% - Accent4 16 2 6 2 2" xfId="31536" xr:uid="{00000000-0005-0000-0000-00002B740000}"/>
    <cellStyle name="40% - Accent4 16 2 6 3" xfId="31537" xr:uid="{00000000-0005-0000-0000-00002C740000}"/>
    <cellStyle name="40% - Accent4 16 2 7" xfId="31538" xr:uid="{00000000-0005-0000-0000-00002D740000}"/>
    <cellStyle name="40% - Accent4 16 2 7 2" xfId="31539" xr:uid="{00000000-0005-0000-0000-00002E740000}"/>
    <cellStyle name="40% - Accent4 16 2 8" xfId="31540" xr:uid="{00000000-0005-0000-0000-00002F740000}"/>
    <cellStyle name="40% - Accent4 16 3" xfId="31541" xr:uid="{00000000-0005-0000-0000-000030740000}"/>
    <cellStyle name="40% - Accent4 16 3 2" xfId="31542" xr:uid="{00000000-0005-0000-0000-000031740000}"/>
    <cellStyle name="40% - Accent4 16 3 2 2" xfId="31543" xr:uid="{00000000-0005-0000-0000-000032740000}"/>
    <cellStyle name="40% - Accent4 16 3 2 2 2" xfId="31544" xr:uid="{00000000-0005-0000-0000-000033740000}"/>
    <cellStyle name="40% - Accent4 16 3 2 3" xfId="31545" xr:uid="{00000000-0005-0000-0000-000034740000}"/>
    <cellStyle name="40% - Accent4 16 3 3" xfId="31546" xr:uid="{00000000-0005-0000-0000-000035740000}"/>
    <cellStyle name="40% - Accent4 16 3 3 2" xfId="31547" xr:uid="{00000000-0005-0000-0000-000036740000}"/>
    <cellStyle name="40% - Accent4 16 3 3 2 2" xfId="31548" xr:uid="{00000000-0005-0000-0000-000037740000}"/>
    <cellStyle name="40% - Accent4 16 3 3 3" xfId="31549" xr:uid="{00000000-0005-0000-0000-000038740000}"/>
    <cellStyle name="40% - Accent4 16 3 4" xfId="31550" xr:uid="{00000000-0005-0000-0000-000039740000}"/>
    <cellStyle name="40% - Accent4 16 3 4 2" xfId="31551" xr:uid="{00000000-0005-0000-0000-00003A740000}"/>
    <cellStyle name="40% - Accent4 16 3 4 2 2" xfId="31552" xr:uid="{00000000-0005-0000-0000-00003B740000}"/>
    <cellStyle name="40% - Accent4 16 3 4 3" xfId="31553" xr:uid="{00000000-0005-0000-0000-00003C740000}"/>
    <cellStyle name="40% - Accent4 16 3 5" xfId="31554" xr:uid="{00000000-0005-0000-0000-00003D740000}"/>
    <cellStyle name="40% - Accent4 16 3 5 2" xfId="31555" xr:uid="{00000000-0005-0000-0000-00003E740000}"/>
    <cellStyle name="40% - Accent4 16 3 6" xfId="31556" xr:uid="{00000000-0005-0000-0000-00003F740000}"/>
    <cellStyle name="40% - Accent4 16 4" xfId="31557" xr:uid="{00000000-0005-0000-0000-000040740000}"/>
    <cellStyle name="40% - Accent4 16 4 2" xfId="31558" xr:uid="{00000000-0005-0000-0000-000041740000}"/>
    <cellStyle name="40% - Accent4 16 4 2 2" xfId="31559" xr:uid="{00000000-0005-0000-0000-000042740000}"/>
    <cellStyle name="40% - Accent4 16 4 2 2 2" xfId="31560" xr:uid="{00000000-0005-0000-0000-000043740000}"/>
    <cellStyle name="40% - Accent4 16 4 2 3" xfId="31561" xr:uid="{00000000-0005-0000-0000-000044740000}"/>
    <cellStyle name="40% - Accent4 16 4 3" xfId="31562" xr:uid="{00000000-0005-0000-0000-000045740000}"/>
    <cellStyle name="40% - Accent4 16 4 3 2" xfId="31563" xr:uid="{00000000-0005-0000-0000-000046740000}"/>
    <cellStyle name="40% - Accent4 16 4 3 2 2" xfId="31564" xr:uid="{00000000-0005-0000-0000-000047740000}"/>
    <cellStyle name="40% - Accent4 16 4 3 3" xfId="31565" xr:uid="{00000000-0005-0000-0000-000048740000}"/>
    <cellStyle name="40% - Accent4 16 4 4" xfId="31566" xr:uid="{00000000-0005-0000-0000-000049740000}"/>
    <cellStyle name="40% - Accent4 16 4 4 2" xfId="31567" xr:uid="{00000000-0005-0000-0000-00004A740000}"/>
    <cellStyle name="40% - Accent4 16 4 5" xfId="31568" xr:uid="{00000000-0005-0000-0000-00004B740000}"/>
    <cellStyle name="40% - Accent4 16 5" xfId="31569" xr:uid="{00000000-0005-0000-0000-00004C740000}"/>
    <cellStyle name="40% - Accent4 16 5 2" xfId="31570" xr:uid="{00000000-0005-0000-0000-00004D740000}"/>
    <cellStyle name="40% - Accent4 16 5 2 2" xfId="31571" xr:uid="{00000000-0005-0000-0000-00004E740000}"/>
    <cellStyle name="40% - Accent4 16 5 2 2 2" xfId="31572" xr:uid="{00000000-0005-0000-0000-00004F740000}"/>
    <cellStyle name="40% - Accent4 16 5 2 3" xfId="31573" xr:uid="{00000000-0005-0000-0000-000050740000}"/>
    <cellStyle name="40% - Accent4 16 5 3" xfId="31574" xr:uid="{00000000-0005-0000-0000-000051740000}"/>
    <cellStyle name="40% - Accent4 16 5 3 2" xfId="31575" xr:uid="{00000000-0005-0000-0000-000052740000}"/>
    <cellStyle name="40% - Accent4 16 5 3 2 2" xfId="31576" xr:uid="{00000000-0005-0000-0000-000053740000}"/>
    <cellStyle name="40% - Accent4 16 5 3 3" xfId="31577" xr:uid="{00000000-0005-0000-0000-000054740000}"/>
    <cellStyle name="40% - Accent4 16 5 4" xfId="31578" xr:uid="{00000000-0005-0000-0000-000055740000}"/>
    <cellStyle name="40% - Accent4 16 5 4 2" xfId="31579" xr:uid="{00000000-0005-0000-0000-000056740000}"/>
    <cellStyle name="40% - Accent4 16 5 5" xfId="31580" xr:uid="{00000000-0005-0000-0000-000057740000}"/>
    <cellStyle name="40% - Accent4 16 6" xfId="31581" xr:uid="{00000000-0005-0000-0000-000058740000}"/>
    <cellStyle name="40% - Accent4 16 6 2" xfId="31582" xr:uid="{00000000-0005-0000-0000-000059740000}"/>
    <cellStyle name="40% - Accent4 16 6 2 2" xfId="31583" xr:uid="{00000000-0005-0000-0000-00005A740000}"/>
    <cellStyle name="40% - Accent4 16 6 2 2 2" xfId="31584" xr:uid="{00000000-0005-0000-0000-00005B740000}"/>
    <cellStyle name="40% - Accent4 16 6 2 3" xfId="31585" xr:uid="{00000000-0005-0000-0000-00005C740000}"/>
    <cellStyle name="40% - Accent4 16 6 3" xfId="31586" xr:uid="{00000000-0005-0000-0000-00005D740000}"/>
    <cellStyle name="40% - Accent4 16 6 3 2" xfId="31587" xr:uid="{00000000-0005-0000-0000-00005E740000}"/>
    <cellStyle name="40% - Accent4 16 6 4" xfId="31588" xr:uid="{00000000-0005-0000-0000-00005F740000}"/>
    <cellStyle name="40% - Accent4 16 7" xfId="31589" xr:uid="{00000000-0005-0000-0000-000060740000}"/>
    <cellStyle name="40% - Accent4 16 7 2" xfId="31590" xr:uid="{00000000-0005-0000-0000-000061740000}"/>
    <cellStyle name="40% - Accent4 16 7 2 2" xfId="31591" xr:uid="{00000000-0005-0000-0000-000062740000}"/>
    <cellStyle name="40% - Accent4 16 7 3" xfId="31592" xr:uid="{00000000-0005-0000-0000-000063740000}"/>
    <cellStyle name="40% - Accent4 16 8" xfId="31593" xr:uid="{00000000-0005-0000-0000-000064740000}"/>
    <cellStyle name="40% - Accent4 16 8 2" xfId="31594" xr:uid="{00000000-0005-0000-0000-000065740000}"/>
    <cellStyle name="40% - Accent4 16 9" xfId="31595" xr:uid="{00000000-0005-0000-0000-000066740000}"/>
    <cellStyle name="40% - Accent4 17" xfId="31596" xr:uid="{00000000-0005-0000-0000-000067740000}"/>
    <cellStyle name="40% - Accent4 17 2" xfId="31597" xr:uid="{00000000-0005-0000-0000-000068740000}"/>
    <cellStyle name="40% - Accent4 17 2 2" xfId="31598" xr:uid="{00000000-0005-0000-0000-000069740000}"/>
    <cellStyle name="40% - Accent4 17 2 2 2" xfId="31599" xr:uid="{00000000-0005-0000-0000-00006A740000}"/>
    <cellStyle name="40% - Accent4 17 2 2 2 2" xfId="31600" xr:uid="{00000000-0005-0000-0000-00006B740000}"/>
    <cellStyle name="40% - Accent4 17 2 2 3" xfId="31601" xr:uid="{00000000-0005-0000-0000-00006C740000}"/>
    <cellStyle name="40% - Accent4 17 2 3" xfId="31602" xr:uid="{00000000-0005-0000-0000-00006D740000}"/>
    <cellStyle name="40% - Accent4 17 2 3 2" xfId="31603" xr:uid="{00000000-0005-0000-0000-00006E740000}"/>
    <cellStyle name="40% - Accent4 17 2 3 2 2" xfId="31604" xr:uid="{00000000-0005-0000-0000-00006F740000}"/>
    <cellStyle name="40% - Accent4 17 2 3 3" xfId="31605" xr:uid="{00000000-0005-0000-0000-000070740000}"/>
    <cellStyle name="40% - Accent4 17 2 4" xfId="31606" xr:uid="{00000000-0005-0000-0000-000071740000}"/>
    <cellStyle name="40% - Accent4 17 2 4 2" xfId="31607" xr:uid="{00000000-0005-0000-0000-000072740000}"/>
    <cellStyle name="40% - Accent4 17 2 5" xfId="31608" xr:uid="{00000000-0005-0000-0000-000073740000}"/>
    <cellStyle name="40% - Accent4 17 3" xfId="31609" xr:uid="{00000000-0005-0000-0000-000074740000}"/>
    <cellStyle name="40% - Accent4 17 3 2" xfId="31610" xr:uid="{00000000-0005-0000-0000-000075740000}"/>
    <cellStyle name="40% - Accent4 17 3 2 2" xfId="31611" xr:uid="{00000000-0005-0000-0000-000076740000}"/>
    <cellStyle name="40% - Accent4 17 3 2 2 2" xfId="31612" xr:uid="{00000000-0005-0000-0000-000077740000}"/>
    <cellStyle name="40% - Accent4 17 3 2 3" xfId="31613" xr:uid="{00000000-0005-0000-0000-000078740000}"/>
    <cellStyle name="40% - Accent4 17 3 3" xfId="31614" xr:uid="{00000000-0005-0000-0000-000079740000}"/>
    <cellStyle name="40% - Accent4 17 3 3 2" xfId="31615" xr:uid="{00000000-0005-0000-0000-00007A740000}"/>
    <cellStyle name="40% - Accent4 17 3 3 2 2" xfId="31616" xr:uid="{00000000-0005-0000-0000-00007B740000}"/>
    <cellStyle name="40% - Accent4 17 3 3 3" xfId="31617" xr:uid="{00000000-0005-0000-0000-00007C740000}"/>
    <cellStyle name="40% - Accent4 17 3 4" xfId="31618" xr:uid="{00000000-0005-0000-0000-00007D740000}"/>
    <cellStyle name="40% - Accent4 17 3 4 2" xfId="31619" xr:uid="{00000000-0005-0000-0000-00007E740000}"/>
    <cellStyle name="40% - Accent4 17 3 5" xfId="31620" xr:uid="{00000000-0005-0000-0000-00007F740000}"/>
    <cellStyle name="40% - Accent4 17 4" xfId="31621" xr:uid="{00000000-0005-0000-0000-000080740000}"/>
    <cellStyle name="40% - Accent4 17 4 2" xfId="31622" xr:uid="{00000000-0005-0000-0000-000081740000}"/>
    <cellStyle name="40% - Accent4 17 4 2 2" xfId="31623" xr:uid="{00000000-0005-0000-0000-000082740000}"/>
    <cellStyle name="40% - Accent4 17 4 2 2 2" xfId="31624" xr:uid="{00000000-0005-0000-0000-000083740000}"/>
    <cellStyle name="40% - Accent4 17 4 2 3" xfId="31625" xr:uid="{00000000-0005-0000-0000-000084740000}"/>
    <cellStyle name="40% - Accent4 17 4 3" xfId="31626" xr:uid="{00000000-0005-0000-0000-000085740000}"/>
    <cellStyle name="40% - Accent4 17 4 3 2" xfId="31627" xr:uid="{00000000-0005-0000-0000-000086740000}"/>
    <cellStyle name="40% - Accent4 17 4 3 2 2" xfId="31628" xr:uid="{00000000-0005-0000-0000-000087740000}"/>
    <cellStyle name="40% - Accent4 17 4 3 3" xfId="31629" xr:uid="{00000000-0005-0000-0000-000088740000}"/>
    <cellStyle name="40% - Accent4 17 4 4" xfId="31630" xr:uid="{00000000-0005-0000-0000-000089740000}"/>
    <cellStyle name="40% - Accent4 17 4 4 2" xfId="31631" xr:uid="{00000000-0005-0000-0000-00008A740000}"/>
    <cellStyle name="40% - Accent4 17 4 5" xfId="31632" xr:uid="{00000000-0005-0000-0000-00008B740000}"/>
    <cellStyle name="40% - Accent4 17 5" xfId="31633" xr:uid="{00000000-0005-0000-0000-00008C740000}"/>
    <cellStyle name="40% - Accent4 17 5 2" xfId="31634" xr:uid="{00000000-0005-0000-0000-00008D740000}"/>
    <cellStyle name="40% - Accent4 17 5 2 2" xfId="31635" xr:uid="{00000000-0005-0000-0000-00008E740000}"/>
    <cellStyle name="40% - Accent4 17 5 2 2 2" xfId="31636" xr:uid="{00000000-0005-0000-0000-00008F740000}"/>
    <cellStyle name="40% - Accent4 17 5 2 3" xfId="31637" xr:uid="{00000000-0005-0000-0000-000090740000}"/>
    <cellStyle name="40% - Accent4 17 5 3" xfId="31638" xr:uid="{00000000-0005-0000-0000-000091740000}"/>
    <cellStyle name="40% - Accent4 17 5 3 2" xfId="31639" xr:uid="{00000000-0005-0000-0000-000092740000}"/>
    <cellStyle name="40% - Accent4 17 5 4" xfId="31640" xr:uid="{00000000-0005-0000-0000-000093740000}"/>
    <cellStyle name="40% - Accent4 17 6" xfId="31641" xr:uid="{00000000-0005-0000-0000-000094740000}"/>
    <cellStyle name="40% - Accent4 17 6 2" xfId="31642" xr:uid="{00000000-0005-0000-0000-000095740000}"/>
    <cellStyle name="40% - Accent4 17 6 2 2" xfId="31643" xr:uid="{00000000-0005-0000-0000-000096740000}"/>
    <cellStyle name="40% - Accent4 17 6 3" xfId="31644" xr:uid="{00000000-0005-0000-0000-000097740000}"/>
    <cellStyle name="40% - Accent4 17 7" xfId="31645" xr:uid="{00000000-0005-0000-0000-000098740000}"/>
    <cellStyle name="40% - Accent4 17 7 2" xfId="31646" xr:uid="{00000000-0005-0000-0000-000099740000}"/>
    <cellStyle name="40% - Accent4 17 8" xfId="31647" xr:uid="{00000000-0005-0000-0000-00009A740000}"/>
    <cellStyle name="40% - Accent4 18" xfId="31648" xr:uid="{00000000-0005-0000-0000-00009B740000}"/>
    <cellStyle name="40% - Accent4 18 2" xfId="31649" xr:uid="{00000000-0005-0000-0000-00009C740000}"/>
    <cellStyle name="40% - Accent4 18 2 2" xfId="31650" xr:uid="{00000000-0005-0000-0000-00009D740000}"/>
    <cellStyle name="40% - Accent4 18 2 2 2" xfId="31651" xr:uid="{00000000-0005-0000-0000-00009E740000}"/>
    <cellStyle name="40% - Accent4 18 2 2 2 2" xfId="31652" xr:uid="{00000000-0005-0000-0000-00009F740000}"/>
    <cellStyle name="40% - Accent4 18 2 2 3" xfId="31653" xr:uid="{00000000-0005-0000-0000-0000A0740000}"/>
    <cellStyle name="40% - Accent4 18 2 3" xfId="31654" xr:uid="{00000000-0005-0000-0000-0000A1740000}"/>
    <cellStyle name="40% - Accent4 18 2 3 2" xfId="31655" xr:uid="{00000000-0005-0000-0000-0000A2740000}"/>
    <cellStyle name="40% - Accent4 18 2 4" xfId="31656" xr:uid="{00000000-0005-0000-0000-0000A3740000}"/>
    <cellStyle name="40% - Accent4 18 3" xfId="31657" xr:uid="{00000000-0005-0000-0000-0000A4740000}"/>
    <cellStyle name="40% - Accent4 18 3 2" xfId="31658" xr:uid="{00000000-0005-0000-0000-0000A5740000}"/>
    <cellStyle name="40% - Accent4 18 3 2 2" xfId="31659" xr:uid="{00000000-0005-0000-0000-0000A6740000}"/>
    <cellStyle name="40% - Accent4 18 3 2 2 2" xfId="31660" xr:uid="{00000000-0005-0000-0000-0000A7740000}"/>
    <cellStyle name="40% - Accent4 18 3 2 3" xfId="31661" xr:uid="{00000000-0005-0000-0000-0000A8740000}"/>
    <cellStyle name="40% - Accent4 18 3 3" xfId="31662" xr:uid="{00000000-0005-0000-0000-0000A9740000}"/>
    <cellStyle name="40% - Accent4 18 3 3 2" xfId="31663" xr:uid="{00000000-0005-0000-0000-0000AA740000}"/>
    <cellStyle name="40% - Accent4 18 3 4" xfId="31664" xr:uid="{00000000-0005-0000-0000-0000AB740000}"/>
    <cellStyle name="40% - Accent4 18 4" xfId="31665" xr:uid="{00000000-0005-0000-0000-0000AC740000}"/>
    <cellStyle name="40% - Accent4 18 4 2" xfId="31666" xr:uid="{00000000-0005-0000-0000-0000AD740000}"/>
    <cellStyle name="40% - Accent4 18 4 2 2" xfId="31667" xr:uid="{00000000-0005-0000-0000-0000AE740000}"/>
    <cellStyle name="40% - Accent4 18 4 3" xfId="31668" xr:uid="{00000000-0005-0000-0000-0000AF740000}"/>
    <cellStyle name="40% - Accent4 18 5" xfId="31669" xr:uid="{00000000-0005-0000-0000-0000B0740000}"/>
    <cellStyle name="40% - Accent4 18 5 2" xfId="31670" xr:uid="{00000000-0005-0000-0000-0000B1740000}"/>
    <cellStyle name="40% - Accent4 18 6" xfId="31671" xr:uid="{00000000-0005-0000-0000-0000B2740000}"/>
    <cellStyle name="40% - Accent4 19" xfId="31672" xr:uid="{00000000-0005-0000-0000-0000B3740000}"/>
    <cellStyle name="40% - Accent4 19 2" xfId="31673" xr:uid="{00000000-0005-0000-0000-0000B4740000}"/>
    <cellStyle name="40% - Accent4 19 2 2" xfId="31674" xr:uid="{00000000-0005-0000-0000-0000B5740000}"/>
    <cellStyle name="40% - Accent4 19 3" xfId="31675" xr:uid="{00000000-0005-0000-0000-0000B6740000}"/>
    <cellStyle name="40% - Accent4 2" xfId="92" xr:uid="{00000000-0005-0000-0000-0000B7740000}"/>
    <cellStyle name="40% - Accent4 2 10" xfId="1004" xr:uid="{00000000-0005-0000-0000-0000B8740000}"/>
    <cellStyle name="40% - Accent4 2 10 10" xfId="45712" xr:uid="{00000000-0005-0000-0000-0000B9740000}"/>
    <cellStyle name="40% - Accent4 2 10 11" xfId="51190" xr:uid="{00000000-0005-0000-0000-0000BA740000}"/>
    <cellStyle name="40% - Accent4 2 10 2" xfId="2765" xr:uid="{00000000-0005-0000-0000-0000BB740000}"/>
    <cellStyle name="40% - Accent4 2 10 2 2" xfId="8245" xr:uid="{00000000-0005-0000-0000-0000BC740000}"/>
    <cellStyle name="40% - Accent4 2 10 2 3" xfId="13721" xr:uid="{00000000-0005-0000-0000-0000BD740000}"/>
    <cellStyle name="40% - Accent4 2 10 2 4" xfId="19197" xr:uid="{00000000-0005-0000-0000-0000BE740000}"/>
    <cellStyle name="40% - Accent4 2 10 2 5" xfId="24673" xr:uid="{00000000-0005-0000-0000-0000BF740000}"/>
    <cellStyle name="40% - Accent4 2 10 2 6" xfId="36469" xr:uid="{00000000-0005-0000-0000-0000C0740000}"/>
    <cellStyle name="40% - Accent4 2 10 2 7" xfId="41946" xr:uid="{00000000-0005-0000-0000-0000C1740000}"/>
    <cellStyle name="40% - Accent4 2 10 2 8" xfId="47423" xr:uid="{00000000-0005-0000-0000-0000C2740000}"/>
    <cellStyle name="40% - Accent4 2 10 2 9" xfId="52941" xr:uid="{00000000-0005-0000-0000-0000C3740000}"/>
    <cellStyle name="40% - Accent4 2 10 3" xfId="4537" xr:uid="{00000000-0005-0000-0000-0000C4740000}"/>
    <cellStyle name="40% - Accent4 2 10 3 2" xfId="10017" xr:uid="{00000000-0005-0000-0000-0000C5740000}"/>
    <cellStyle name="40% - Accent4 2 10 3 3" xfId="15493" xr:uid="{00000000-0005-0000-0000-0000C6740000}"/>
    <cellStyle name="40% - Accent4 2 10 3 4" xfId="20969" xr:uid="{00000000-0005-0000-0000-0000C7740000}"/>
    <cellStyle name="40% - Accent4 2 10 3 5" xfId="26445" xr:uid="{00000000-0005-0000-0000-0000C8740000}"/>
    <cellStyle name="40% - Accent4 2 10 3 6" xfId="38241" xr:uid="{00000000-0005-0000-0000-0000C9740000}"/>
    <cellStyle name="40% - Accent4 2 10 3 7" xfId="43718" xr:uid="{00000000-0005-0000-0000-0000CA740000}"/>
    <cellStyle name="40% - Accent4 2 10 3 8" xfId="49195" xr:uid="{00000000-0005-0000-0000-0000CB740000}"/>
    <cellStyle name="40% - Accent4 2 10 3 9" xfId="54713" xr:uid="{00000000-0005-0000-0000-0000CC740000}"/>
    <cellStyle name="40% - Accent4 2 10 4" xfId="6531" xr:uid="{00000000-0005-0000-0000-0000CD740000}"/>
    <cellStyle name="40% - Accent4 2 10 5" xfId="12011" xr:uid="{00000000-0005-0000-0000-0000CE740000}"/>
    <cellStyle name="40% - Accent4 2 10 6" xfId="17487" xr:uid="{00000000-0005-0000-0000-0000CF740000}"/>
    <cellStyle name="40% - Accent4 2 10 7" xfId="22963" xr:uid="{00000000-0005-0000-0000-0000D0740000}"/>
    <cellStyle name="40% - Accent4 2 10 8" xfId="34758" xr:uid="{00000000-0005-0000-0000-0000D1740000}"/>
    <cellStyle name="40% - Accent4 2 10 9" xfId="40235" xr:uid="{00000000-0005-0000-0000-0000D2740000}"/>
    <cellStyle name="40% - Accent4 2 11" xfId="1021" xr:uid="{00000000-0005-0000-0000-0000D3740000}"/>
    <cellStyle name="40% - Accent4 2 11 10" xfId="45713" xr:uid="{00000000-0005-0000-0000-0000D4740000}"/>
    <cellStyle name="40% - Accent4 2 11 11" xfId="51191" xr:uid="{00000000-0005-0000-0000-0000D5740000}"/>
    <cellStyle name="40% - Accent4 2 11 2" xfId="2782" xr:uid="{00000000-0005-0000-0000-0000D6740000}"/>
    <cellStyle name="40% - Accent4 2 11 2 2" xfId="8262" xr:uid="{00000000-0005-0000-0000-0000D7740000}"/>
    <cellStyle name="40% - Accent4 2 11 2 3" xfId="13738" xr:uid="{00000000-0005-0000-0000-0000D8740000}"/>
    <cellStyle name="40% - Accent4 2 11 2 4" xfId="19214" xr:uid="{00000000-0005-0000-0000-0000D9740000}"/>
    <cellStyle name="40% - Accent4 2 11 2 5" xfId="24690" xr:uid="{00000000-0005-0000-0000-0000DA740000}"/>
    <cellStyle name="40% - Accent4 2 11 2 6" xfId="36486" xr:uid="{00000000-0005-0000-0000-0000DB740000}"/>
    <cellStyle name="40% - Accent4 2 11 2 7" xfId="41963" xr:uid="{00000000-0005-0000-0000-0000DC740000}"/>
    <cellStyle name="40% - Accent4 2 11 2 8" xfId="47440" xr:uid="{00000000-0005-0000-0000-0000DD740000}"/>
    <cellStyle name="40% - Accent4 2 11 2 9" xfId="52958" xr:uid="{00000000-0005-0000-0000-0000DE740000}"/>
    <cellStyle name="40% - Accent4 2 11 3" xfId="4554" xr:uid="{00000000-0005-0000-0000-0000DF740000}"/>
    <cellStyle name="40% - Accent4 2 11 3 2" xfId="10034" xr:uid="{00000000-0005-0000-0000-0000E0740000}"/>
    <cellStyle name="40% - Accent4 2 11 3 3" xfId="15510" xr:uid="{00000000-0005-0000-0000-0000E1740000}"/>
    <cellStyle name="40% - Accent4 2 11 3 4" xfId="20986" xr:uid="{00000000-0005-0000-0000-0000E2740000}"/>
    <cellStyle name="40% - Accent4 2 11 3 5" xfId="26462" xr:uid="{00000000-0005-0000-0000-0000E3740000}"/>
    <cellStyle name="40% - Accent4 2 11 3 6" xfId="38258" xr:uid="{00000000-0005-0000-0000-0000E4740000}"/>
    <cellStyle name="40% - Accent4 2 11 3 7" xfId="43735" xr:uid="{00000000-0005-0000-0000-0000E5740000}"/>
    <cellStyle name="40% - Accent4 2 11 3 8" xfId="49212" xr:uid="{00000000-0005-0000-0000-0000E6740000}"/>
    <cellStyle name="40% - Accent4 2 11 3 9" xfId="54730" xr:uid="{00000000-0005-0000-0000-0000E7740000}"/>
    <cellStyle name="40% - Accent4 2 11 4" xfId="6532" xr:uid="{00000000-0005-0000-0000-0000E8740000}"/>
    <cellStyle name="40% - Accent4 2 11 5" xfId="12012" xr:uid="{00000000-0005-0000-0000-0000E9740000}"/>
    <cellStyle name="40% - Accent4 2 11 6" xfId="17488" xr:uid="{00000000-0005-0000-0000-0000EA740000}"/>
    <cellStyle name="40% - Accent4 2 11 7" xfId="22964" xr:uid="{00000000-0005-0000-0000-0000EB740000}"/>
    <cellStyle name="40% - Accent4 2 11 8" xfId="34759" xr:uid="{00000000-0005-0000-0000-0000EC740000}"/>
    <cellStyle name="40% - Accent4 2 11 9" xfId="40236" xr:uid="{00000000-0005-0000-0000-0000ED740000}"/>
    <cellStyle name="40% - Accent4 2 12" xfId="1119" xr:uid="{00000000-0005-0000-0000-0000EE740000}"/>
    <cellStyle name="40% - Accent4 2 12 10" xfId="45714" xr:uid="{00000000-0005-0000-0000-0000EF740000}"/>
    <cellStyle name="40% - Accent4 2 12 11" xfId="51192" xr:uid="{00000000-0005-0000-0000-0000F0740000}"/>
    <cellStyle name="40% - Accent4 2 12 2" xfId="2880" xr:uid="{00000000-0005-0000-0000-0000F1740000}"/>
    <cellStyle name="40% - Accent4 2 12 2 2" xfId="8360" xr:uid="{00000000-0005-0000-0000-0000F2740000}"/>
    <cellStyle name="40% - Accent4 2 12 2 3" xfId="13836" xr:uid="{00000000-0005-0000-0000-0000F3740000}"/>
    <cellStyle name="40% - Accent4 2 12 2 4" xfId="19312" xr:uid="{00000000-0005-0000-0000-0000F4740000}"/>
    <cellStyle name="40% - Accent4 2 12 2 5" xfId="24788" xr:uid="{00000000-0005-0000-0000-0000F5740000}"/>
    <cellStyle name="40% - Accent4 2 12 2 6" xfId="36584" xr:uid="{00000000-0005-0000-0000-0000F6740000}"/>
    <cellStyle name="40% - Accent4 2 12 2 7" xfId="42061" xr:uid="{00000000-0005-0000-0000-0000F7740000}"/>
    <cellStyle name="40% - Accent4 2 12 2 8" xfId="47538" xr:uid="{00000000-0005-0000-0000-0000F8740000}"/>
    <cellStyle name="40% - Accent4 2 12 2 9" xfId="53056" xr:uid="{00000000-0005-0000-0000-0000F9740000}"/>
    <cellStyle name="40% - Accent4 2 12 3" xfId="4652" xr:uid="{00000000-0005-0000-0000-0000FA740000}"/>
    <cellStyle name="40% - Accent4 2 12 3 2" xfId="10132" xr:uid="{00000000-0005-0000-0000-0000FB740000}"/>
    <cellStyle name="40% - Accent4 2 12 3 3" xfId="15608" xr:uid="{00000000-0005-0000-0000-0000FC740000}"/>
    <cellStyle name="40% - Accent4 2 12 3 4" xfId="21084" xr:uid="{00000000-0005-0000-0000-0000FD740000}"/>
    <cellStyle name="40% - Accent4 2 12 3 5" xfId="26560" xr:uid="{00000000-0005-0000-0000-0000FE740000}"/>
    <cellStyle name="40% - Accent4 2 12 3 6" xfId="38356" xr:uid="{00000000-0005-0000-0000-0000FF740000}"/>
    <cellStyle name="40% - Accent4 2 12 3 7" xfId="43833" xr:uid="{00000000-0005-0000-0000-000000750000}"/>
    <cellStyle name="40% - Accent4 2 12 3 8" xfId="49310" xr:uid="{00000000-0005-0000-0000-000001750000}"/>
    <cellStyle name="40% - Accent4 2 12 3 9" xfId="54828" xr:uid="{00000000-0005-0000-0000-000002750000}"/>
    <cellStyle name="40% - Accent4 2 12 4" xfId="6533" xr:uid="{00000000-0005-0000-0000-000003750000}"/>
    <cellStyle name="40% - Accent4 2 12 5" xfId="12013" xr:uid="{00000000-0005-0000-0000-000004750000}"/>
    <cellStyle name="40% - Accent4 2 12 6" xfId="17489" xr:uid="{00000000-0005-0000-0000-000005750000}"/>
    <cellStyle name="40% - Accent4 2 12 7" xfId="22965" xr:uid="{00000000-0005-0000-0000-000006750000}"/>
    <cellStyle name="40% - Accent4 2 12 8" xfId="34760" xr:uid="{00000000-0005-0000-0000-000007750000}"/>
    <cellStyle name="40% - Accent4 2 12 9" xfId="40237" xr:uid="{00000000-0005-0000-0000-000008750000}"/>
    <cellStyle name="40% - Accent4 2 13" xfId="1291" xr:uid="{00000000-0005-0000-0000-000009750000}"/>
    <cellStyle name="40% - Accent4 2 13 10" xfId="45715" xr:uid="{00000000-0005-0000-0000-00000A750000}"/>
    <cellStyle name="40% - Accent4 2 13 11" xfId="51193" xr:uid="{00000000-0005-0000-0000-00000B750000}"/>
    <cellStyle name="40% - Accent4 2 13 2" xfId="3052" xr:uid="{00000000-0005-0000-0000-00000C750000}"/>
    <cellStyle name="40% - Accent4 2 13 2 2" xfId="8532" xr:uid="{00000000-0005-0000-0000-00000D750000}"/>
    <cellStyle name="40% - Accent4 2 13 2 3" xfId="14008" xr:uid="{00000000-0005-0000-0000-00000E750000}"/>
    <cellStyle name="40% - Accent4 2 13 2 4" xfId="19484" xr:uid="{00000000-0005-0000-0000-00000F750000}"/>
    <cellStyle name="40% - Accent4 2 13 2 5" xfId="24960" xr:uid="{00000000-0005-0000-0000-000010750000}"/>
    <cellStyle name="40% - Accent4 2 13 2 6" xfId="36756" xr:uid="{00000000-0005-0000-0000-000011750000}"/>
    <cellStyle name="40% - Accent4 2 13 2 7" xfId="42233" xr:uid="{00000000-0005-0000-0000-000012750000}"/>
    <cellStyle name="40% - Accent4 2 13 2 8" xfId="47710" xr:uid="{00000000-0005-0000-0000-000013750000}"/>
    <cellStyle name="40% - Accent4 2 13 2 9" xfId="53228" xr:uid="{00000000-0005-0000-0000-000014750000}"/>
    <cellStyle name="40% - Accent4 2 13 3" xfId="4824" xr:uid="{00000000-0005-0000-0000-000015750000}"/>
    <cellStyle name="40% - Accent4 2 13 3 2" xfId="10304" xr:uid="{00000000-0005-0000-0000-000016750000}"/>
    <cellStyle name="40% - Accent4 2 13 3 3" xfId="15780" xr:uid="{00000000-0005-0000-0000-000017750000}"/>
    <cellStyle name="40% - Accent4 2 13 3 4" xfId="21256" xr:uid="{00000000-0005-0000-0000-000018750000}"/>
    <cellStyle name="40% - Accent4 2 13 3 5" xfId="26732" xr:uid="{00000000-0005-0000-0000-000019750000}"/>
    <cellStyle name="40% - Accent4 2 13 3 6" xfId="38528" xr:uid="{00000000-0005-0000-0000-00001A750000}"/>
    <cellStyle name="40% - Accent4 2 13 3 7" xfId="44005" xr:uid="{00000000-0005-0000-0000-00001B750000}"/>
    <cellStyle name="40% - Accent4 2 13 3 8" xfId="49482" xr:uid="{00000000-0005-0000-0000-00001C750000}"/>
    <cellStyle name="40% - Accent4 2 13 3 9" xfId="55000" xr:uid="{00000000-0005-0000-0000-00001D750000}"/>
    <cellStyle name="40% - Accent4 2 13 4" xfId="6534" xr:uid="{00000000-0005-0000-0000-00001E750000}"/>
    <cellStyle name="40% - Accent4 2 13 5" xfId="12014" xr:uid="{00000000-0005-0000-0000-00001F750000}"/>
    <cellStyle name="40% - Accent4 2 13 6" xfId="17490" xr:uid="{00000000-0005-0000-0000-000020750000}"/>
    <cellStyle name="40% - Accent4 2 13 7" xfId="22966" xr:uid="{00000000-0005-0000-0000-000021750000}"/>
    <cellStyle name="40% - Accent4 2 13 8" xfId="34761" xr:uid="{00000000-0005-0000-0000-000022750000}"/>
    <cellStyle name="40% - Accent4 2 13 9" xfId="40238" xr:uid="{00000000-0005-0000-0000-000023750000}"/>
    <cellStyle name="40% - Accent4 2 14" xfId="1463" xr:uid="{00000000-0005-0000-0000-000024750000}"/>
    <cellStyle name="40% - Accent4 2 14 10" xfId="45716" xr:uid="{00000000-0005-0000-0000-000025750000}"/>
    <cellStyle name="40% - Accent4 2 14 11" xfId="51194" xr:uid="{00000000-0005-0000-0000-000026750000}"/>
    <cellStyle name="40% - Accent4 2 14 2" xfId="3224" xr:uid="{00000000-0005-0000-0000-000027750000}"/>
    <cellStyle name="40% - Accent4 2 14 2 2" xfId="8704" xr:uid="{00000000-0005-0000-0000-000028750000}"/>
    <cellStyle name="40% - Accent4 2 14 2 3" xfId="14180" xr:uid="{00000000-0005-0000-0000-000029750000}"/>
    <cellStyle name="40% - Accent4 2 14 2 4" xfId="19656" xr:uid="{00000000-0005-0000-0000-00002A750000}"/>
    <cellStyle name="40% - Accent4 2 14 2 5" xfId="25132" xr:uid="{00000000-0005-0000-0000-00002B750000}"/>
    <cellStyle name="40% - Accent4 2 14 2 6" xfId="36928" xr:uid="{00000000-0005-0000-0000-00002C750000}"/>
    <cellStyle name="40% - Accent4 2 14 2 7" xfId="42405" xr:uid="{00000000-0005-0000-0000-00002D750000}"/>
    <cellStyle name="40% - Accent4 2 14 2 8" xfId="47882" xr:uid="{00000000-0005-0000-0000-00002E750000}"/>
    <cellStyle name="40% - Accent4 2 14 2 9" xfId="53400" xr:uid="{00000000-0005-0000-0000-00002F750000}"/>
    <cellStyle name="40% - Accent4 2 14 3" xfId="4996" xr:uid="{00000000-0005-0000-0000-000030750000}"/>
    <cellStyle name="40% - Accent4 2 14 3 2" xfId="10476" xr:uid="{00000000-0005-0000-0000-000031750000}"/>
    <cellStyle name="40% - Accent4 2 14 3 3" xfId="15952" xr:uid="{00000000-0005-0000-0000-000032750000}"/>
    <cellStyle name="40% - Accent4 2 14 3 4" xfId="21428" xr:uid="{00000000-0005-0000-0000-000033750000}"/>
    <cellStyle name="40% - Accent4 2 14 3 5" xfId="26904" xr:uid="{00000000-0005-0000-0000-000034750000}"/>
    <cellStyle name="40% - Accent4 2 14 3 6" xfId="38700" xr:uid="{00000000-0005-0000-0000-000035750000}"/>
    <cellStyle name="40% - Accent4 2 14 3 7" xfId="44177" xr:uid="{00000000-0005-0000-0000-000036750000}"/>
    <cellStyle name="40% - Accent4 2 14 3 8" xfId="49654" xr:uid="{00000000-0005-0000-0000-000037750000}"/>
    <cellStyle name="40% - Accent4 2 14 3 9" xfId="55172" xr:uid="{00000000-0005-0000-0000-000038750000}"/>
    <cellStyle name="40% - Accent4 2 14 4" xfId="6535" xr:uid="{00000000-0005-0000-0000-000039750000}"/>
    <cellStyle name="40% - Accent4 2 14 5" xfId="12015" xr:uid="{00000000-0005-0000-0000-00003A750000}"/>
    <cellStyle name="40% - Accent4 2 14 6" xfId="17491" xr:uid="{00000000-0005-0000-0000-00003B750000}"/>
    <cellStyle name="40% - Accent4 2 14 7" xfId="22967" xr:uid="{00000000-0005-0000-0000-00003C750000}"/>
    <cellStyle name="40% - Accent4 2 14 8" xfId="34762" xr:uid="{00000000-0005-0000-0000-00003D750000}"/>
    <cellStyle name="40% - Accent4 2 14 9" xfId="40239" xr:uid="{00000000-0005-0000-0000-00003E750000}"/>
    <cellStyle name="40% - Accent4 2 15" xfId="1635" xr:uid="{00000000-0005-0000-0000-00003F750000}"/>
    <cellStyle name="40% - Accent4 2 15 10" xfId="45717" xr:uid="{00000000-0005-0000-0000-000040750000}"/>
    <cellStyle name="40% - Accent4 2 15 11" xfId="51195" xr:uid="{00000000-0005-0000-0000-000041750000}"/>
    <cellStyle name="40% - Accent4 2 15 2" xfId="3396" xr:uid="{00000000-0005-0000-0000-000042750000}"/>
    <cellStyle name="40% - Accent4 2 15 2 2" xfId="8876" xr:uid="{00000000-0005-0000-0000-000043750000}"/>
    <cellStyle name="40% - Accent4 2 15 2 3" xfId="14352" xr:uid="{00000000-0005-0000-0000-000044750000}"/>
    <cellStyle name="40% - Accent4 2 15 2 4" xfId="19828" xr:uid="{00000000-0005-0000-0000-000045750000}"/>
    <cellStyle name="40% - Accent4 2 15 2 5" xfId="25304" xr:uid="{00000000-0005-0000-0000-000046750000}"/>
    <cellStyle name="40% - Accent4 2 15 2 6" xfId="37100" xr:uid="{00000000-0005-0000-0000-000047750000}"/>
    <cellStyle name="40% - Accent4 2 15 2 7" xfId="42577" xr:uid="{00000000-0005-0000-0000-000048750000}"/>
    <cellStyle name="40% - Accent4 2 15 2 8" xfId="48054" xr:uid="{00000000-0005-0000-0000-000049750000}"/>
    <cellStyle name="40% - Accent4 2 15 2 9" xfId="53572" xr:uid="{00000000-0005-0000-0000-00004A750000}"/>
    <cellStyle name="40% - Accent4 2 15 3" xfId="5168" xr:uid="{00000000-0005-0000-0000-00004B750000}"/>
    <cellStyle name="40% - Accent4 2 15 3 2" xfId="10648" xr:uid="{00000000-0005-0000-0000-00004C750000}"/>
    <cellStyle name="40% - Accent4 2 15 3 3" xfId="16124" xr:uid="{00000000-0005-0000-0000-00004D750000}"/>
    <cellStyle name="40% - Accent4 2 15 3 4" xfId="21600" xr:uid="{00000000-0005-0000-0000-00004E750000}"/>
    <cellStyle name="40% - Accent4 2 15 3 5" xfId="27076" xr:uid="{00000000-0005-0000-0000-00004F750000}"/>
    <cellStyle name="40% - Accent4 2 15 3 6" xfId="38872" xr:uid="{00000000-0005-0000-0000-000050750000}"/>
    <cellStyle name="40% - Accent4 2 15 3 7" xfId="44349" xr:uid="{00000000-0005-0000-0000-000051750000}"/>
    <cellStyle name="40% - Accent4 2 15 3 8" xfId="49826" xr:uid="{00000000-0005-0000-0000-000052750000}"/>
    <cellStyle name="40% - Accent4 2 15 3 9" xfId="55344" xr:uid="{00000000-0005-0000-0000-000053750000}"/>
    <cellStyle name="40% - Accent4 2 15 4" xfId="6536" xr:uid="{00000000-0005-0000-0000-000054750000}"/>
    <cellStyle name="40% - Accent4 2 15 5" xfId="12016" xr:uid="{00000000-0005-0000-0000-000055750000}"/>
    <cellStyle name="40% - Accent4 2 15 6" xfId="17492" xr:uid="{00000000-0005-0000-0000-000056750000}"/>
    <cellStyle name="40% - Accent4 2 15 7" xfId="22968" xr:uid="{00000000-0005-0000-0000-000057750000}"/>
    <cellStyle name="40% - Accent4 2 15 8" xfId="34763" xr:uid="{00000000-0005-0000-0000-000058750000}"/>
    <cellStyle name="40% - Accent4 2 15 9" xfId="40240" xr:uid="{00000000-0005-0000-0000-000059750000}"/>
    <cellStyle name="40% - Accent4 2 16" xfId="1726" xr:uid="{00000000-0005-0000-0000-00005A750000}"/>
    <cellStyle name="40% - Accent4 2 16 10" xfId="45718" xr:uid="{00000000-0005-0000-0000-00005B750000}"/>
    <cellStyle name="40% - Accent4 2 16 11" xfId="51196" xr:uid="{00000000-0005-0000-0000-00005C750000}"/>
    <cellStyle name="40% - Accent4 2 16 2" xfId="3487" xr:uid="{00000000-0005-0000-0000-00005D750000}"/>
    <cellStyle name="40% - Accent4 2 16 2 2" xfId="8967" xr:uid="{00000000-0005-0000-0000-00005E750000}"/>
    <cellStyle name="40% - Accent4 2 16 2 3" xfId="14443" xr:uid="{00000000-0005-0000-0000-00005F750000}"/>
    <cellStyle name="40% - Accent4 2 16 2 4" xfId="19919" xr:uid="{00000000-0005-0000-0000-000060750000}"/>
    <cellStyle name="40% - Accent4 2 16 2 5" xfId="25395" xr:uid="{00000000-0005-0000-0000-000061750000}"/>
    <cellStyle name="40% - Accent4 2 16 2 6" xfId="37191" xr:uid="{00000000-0005-0000-0000-000062750000}"/>
    <cellStyle name="40% - Accent4 2 16 2 7" xfId="42668" xr:uid="{00000000-0005-0000-0000-000063750000}"/>
    <cellStyle name="40% - Accent4 2 16 2 8" xfId="48145" xr:uid="{00000000-0005-0000-0000-000064750000}"/>
    <cellStyle name="40% - Accent4 2 16 2 9" xfId="53663" xr:uid="{00000000-0005-0000-0000-000065750000}"/>
    <cellStyle name="40% - Accent4 2 16 3" xfId="5259" xr:uid="{00000000-0005-0000-0000-000066750000}"/>
    <cellStyle name="40% - Accent4 2 16 3 2" xfId="10739" xr:uid="{00000000-0005-0000-0000-000067750000}"/>
    <cellStyle name="40% - Accent4 2 16 3 3" xfId="16215" xr:uid="{00000000-0005-0000-0000-000068750000}"/>
    <cellStyle name="40% - Accent4 2 16 3 4" xfId="21691" xr:uid="{00000000-0005-0000-0000-000069750000}"/>
    <cellStyle name="40% - Accent4 2 16 3 5" xfId="27167" xr:uid="{00000000-0005-0000-0000-00006A750000}"/>
    <cellStyle name="40% - Accent4 2 16 3 6" xfId="38963" xr:uid="{00000000-0005-0000-0000-00006B750000}"/>
    <cellStyle name="40% - Accent4 2 16 3 7" xfId="44440" xr:uid="{00000000-0005-0000-0000-00006C750000}"/>
    <cellStyle name="40% - Accent4 2 16 3 8" xfId="49917" xr:uid="{00000000-0005-0000-0000-00006D750000}"/>
    <cellStyle name="40% - Accent4 2 16 3 9" xfId="55435" xr:uid="{00000000-0005-0000-0000-00006E750000}"/>
    <cellStyle name="40% - Accent4 2 16 4" xfId="6537" xr:uid="{00000000-0005-0000-0000-00006F750000}"/>
    <cellStyle name="40% - Accent4 2 16 5" xfId="12017" xr:uid="{00000000-0005-0000-0000-000070750000}"/>
    <cellStyle name="40% - Accent4 2 16 6" xfId="17493" xr:uid="{00000000-0005-0000-0000-000071750000}"/>
    <cellStyle name="40% - Accent4 2 16 7" xfId="22969" xr:uid="{00000000-0005-0000-0000-000072750000}"/>
    <cellStyle name="40% - Accent4 2 16 8" xfId="34764" xr:uid="{00000000-0005-0000-0000-000073750000}"/>
    <cellStyle name="40% - Accent4 2 16 9" xfId="40241" xr:uid="{00000000-0005-0000-0000-000074750000}"/>
    <cellStyle name="40% - Accent4 2 17" xfId="1744" xr:uid="{00000000-0005-0000-0000-000075750000}"/>
    <cellStyle name="40% - Accent4 2 17 10" xfId="45719" xr:uid="{00000000-0005-0000-0000-000076750000}"/>
    <cellStyle name="40% - Accent4 2 17 11" xfId="51197" xr:uid="{00000000-0005-0000-0000-000077750000}"/>
    <cellStyle name="40% - Accent4 2 17 2" xfId="3505" xr:uid="{00000000-0005-0000-0000-000078750000}"/>
    <cellStyle name="40% - Accent4 2 17 2 2" xfId="8985" xr:uid="{00000000-0005-0000-0000-000079750000}"/>
    <cellStyle name="40% - Accent4 2 17 2 3" xfId="14461" xr:uid="{00000000-0005-0000-0000-00007A750000}"/>
    <cellStyle name="40% - Accent4 2 17 2 4" xfId="19937" xr:uid="{00000000-0005-0000-0000-00007B750000}"/>
    <cellStyle name="40% - Accent4 2 17 2 5" xfId="25413" xr:uid="{00000000-0005-0000-0000-00007C750000}"/>
    <cellStyle name="40% - Accent4 2 17 2 6" xfId="37209" xr:uid="{00000000-0005-0000-0000-00007D750000}"/>
    <cellStyle name="40% - Accent4 2 17 2 7" xfId="42686" xr:uid="{00000000-0005-0000-0000-00007E750000}"/>
    <cellStyle name="40% - Accent4 2 17 2 8" xfId="48163" xr:uid="{00000000-0005-0000-0000-00007F750000}"/>
    <cellStyle name="40% - Accent4 2 17 2 9" xfId="53681" xr:uid="{00000000-0005-0000-0000-000080750000}"/>
    <cellStyle name="40% - Accent4 2 17 3" xfId="5277" xr:uid="{00000000-0005-0000-0000-000081750000}"/>
    <cellStyle name="40% - Accent4 2 17 3 2" xfId="10757" xr:uid="{00000000-0005-0000-0000-000082750000}"/>
    <cellStyle name="40% - Accent4 2 17 3 3" xfId="16233" xr:uid="{00000000-0005-0000-0000-000083750000}"/>
    <cellStyle name="40% - Accent4 2 17 3 4" xfId="21709" xr:uid="{00000000-0005-0000-0000-000084750000}"/>
    <cellStyle name="40% - Accent4 2 17 3 5" xfId="27185" xr:uid="{00000000-0005-0000-0000-000085750000}"/>
    <cellStyle name="40% - Accent4 2 17 3 6" xfId="38981" xr:uid="{00000000-0005-0000-0000-000086750000}"/>
    <cellStyle name="40% - Accent4 2 17 3 7" xfId="44458" xr:uid="{00000000-0005-0000-0000-000087750000}"/>
    <cellStyle name="40% - Accent4 2 17 3 8" xfId="49935" xr:uid="{00000000-0005-0000-0000-000088750000}"/>
    <cellStyle name="40% - Accent4 2 17 3 9" xfId="55453" xr:uid="{00000000-0005-0000-0000-000089750000}"/>
    <cellStyle name="40% - Accent4 2 17 4" xfId="6538" xr:uid="{00000000-0005-0000-0000-00008A750000}"/>
    <cellStyle name="40% - Accent4 2 17 5" xfId="12018" xr:uid="{00000000-0005-0000-0000-00008B750000}"/>
    <cellStyle name="40% - Accent4 2 17 6" xfId="17494" xr:uid="{00000000-0005-0000-0000-00008C750000}"/>
    <cellStyle name="40% - Accent4 2 17 7" xfId="22970" xr:uid="{00000000-0005-0000-0000-00008D750000}"/>
    <cellStyle name="40% - Accent4 2 17 8" xfId="34765" xr:uid="{00000000-0005-0000-0000-00008E750000}"/>
    <cellStyle name="40% - Accent4 2 17 9" xfId="40242" xr:uid="{00000000-0005-0000-0000-00008F750000}"/>
    <cellStyle name="40% - Accent4 2 18" xfId="1997" xr:uid="{00000000-0005-0000-0000-000090750000}"/>
    <cellStyle name="40% - Accent4 2 18 10" xfId="52174" xr:uid="{00000000-0005-0000-0000-000091750000}"/>
    <cellStyle name="40% - Accent4 2 18 2" xfId="5529" xr:uid="{00000000-0005-0000-0000-000092750000}"/>
    <cellStyle name="40% - Accent4 2 18 2 2" xfId="11009" xr:uid="{00000000-0005-0000-0000-000093750000}"/>
    <cellStyle name="40% - Accent4 2 18 2 3" xfId="16485" xr:uid="{00000000-0005-0000-0000-000094750000}"/>
    <cellStyle name="40% - Accent4 2 18 2 4" xfId="21961" xr:uid="{00000000-0005-0000-0000-000095750000}"/>
    <cellStyle name="40% - Accent4 2 18 2 5" xfId="27437" xr:uid="{00000000-0005-0000-0000-000096750000}"/>
    <cellStyle name="40% - Accent4 2 18 2 6" xfId="39233" xr:uid="{00000000-0005-0000-0000-000097750000}"/>
    <cellStyle name="40% - Accent4 2 18 2 7" xfId="44710" xr:uid="{00000000-0005-0000-0000-000098750000}"/>
    <cellStyle name="40% - Accent4 2 18 2 8" xfId="50187" xr:uid="{00000000-0005-0000-0000-000099750000}"/>
    <cellStyle name="40% - Accent4 2 18 2 9" xfId="55705" xr:uid="{00000000-0005-0000-0000-00009A750000}"/>
    <cellStyle name="40% - Accent4 2 18 3" xfId="7478" xr:uid="{00000000-0005-0000-0000-00009B750000}"/>
    <cellStyle name="40% - Accent4 2 18 4" xfId="12954" xr:uid="{00000000-0005-0000-0000-00009C750000}"/>
    <cellStyle name="40% - Accent4 2 18 5" xfId="18430" xr:uid="{00000000-0005-0000-0000-00009D750000}"/>
    <cellStyle name="40% - Accent4 2 18 6" xfId="23906" xr:uid="{00000000-0005-0000-0000-00009E750000}"/>
    <cellStyle name="40% - Accent4 2 18 7" xfId="35702" xr:uid="{00000000-0005-0000-0000-00009F750000}"/>
    <cellStyle name="40% - Accent4 2 18 8" xfId="41179" xr:uid="{00000000-0005-0000-0000-0000A0750000}"/>
    <cellStyle name="40% - Accent4 2 18 9" xfId="46656" xr:uid="{00000000-0005-0000-0000-0000A1750000}"/>
    <cellStyle name="40% - Accent4 2 19" xfId="3694" xr:uid="{00000000-0005-0000-0000-0000A2750000}"/>
    <cellStyle name="40% - Accent4 2 19 2" xfId="9174" xr:uid="{00000000-0005-0000-0000-0000A3750000}"/>
    <cellStyle name="40% - Accent4 2 19 3" xfId="14650" xr:uid="{00000000-0005-0000-0000-0000A4750000}"/>
    <cellStyle name="40% - Accent4 2 19 4" xfId="20126" xr:uid="{00000000-0005-0000-0000-0000A5750000}"/>
    <cellStyle name="40% - Accent4 2 19 5" xfId="25602" xr:uid="{00000000-0005-0000-0000-0000A6750000}"/>
    <cellStyle name="40% - Accent4 2 19 6" xfId="37398" xr:uid="{00000000-0005-0000-0000-0000A7750000}"/>
    <cellStyle name="40% - Accent4 2 19 7" xfId="42875" xr:uid="{00000000-0005-0000-0000-0000A8750000}"/>
    <cellStyle name="40% - Accent4 2 19 8" xfId="48352" xr:uid="{00000000-0005-0000-0000-0000A9750000}"/>
    <cellStyle name="40% - Accent4 2 19 9" xfId="53870" xr:uid="{00000000-0005-0000-0000-0000AA750000}"/>
    <cellStyle name="40% - Accent4 2 2" xfId="139" xr:uid="{00000000-0005-0000-0000-0000AB750000}"/>
    <cellStyle name="40% - Accent4 2 2 10" xfId="1636" xr:uid="{00000000-0005-0000-0000-0000AC750000}"/>
    <cellStyle name="40% - Accent4 2 2 10 10" xfId="45721" xr:uid="{00000000-0005-0000-0000-0000AD750000}"/>
    <cellStyle name="40% - Accent4 2 2 10 11" xfId="51199" xr:uid="{00000000-0005-0000-0000-0000AE750000}"/>
    <cellStyle name="40% - Accent4 2 2 10 2" xfId="3397" xr:uid="{00000000-0005-0000-0000-0000AF750000}"/>
    <cellStyle name="40% - Accent4 2 2 10 2 2" xfId="8877" xr:uid="{00000000-0005-0000-0000-0000B0750000}"/>
    <cellStyle name="40% - Accent4 2 2 10 2 3" xfId="14353" xr:uid="{00000000-0005-0000-0000-0000B1750000}"/>
    <cellStyle name="40% - Accent4 2 2 10 2 4" xfId="19829" xr:uid="{00000000-0005-0000-0000-0000B2750000}"/>
    <cellStyle name="40% - Accent4 2 2 10 2 5" xfId="25305" xr:uid="{00000000-0005-0000-0000-0000B3750000}"/>
    <cellStyle name="40% - Accent4 2 2 10 2 6" xfId="37101" xr:uid="{00000000-0005-0000-0000-0000B4750000}"/>
    <cellStyle name="40% - Accent4 2 2 10 2 7" xfId="42578" xr:uid="{00000000-0005-0000-0000-0000B5750000}"/>
    <cellStyle name="40% - Accent4 2 2 10 2 8" xfId="48055" xr:uid="{00000000-0005-0000-0000-0000B6750000}"/>
    <cellStyle name="40% - Accent4 2 2 10 2 9" xfId="53573" xr:uid="{00000000-0005-0000-0000-0000B7750000}"/>
    <cellStyle name="40% - Accent4 2 2 10 3" xfId="5169" xr:uid="{00000000-0005-0000-0000-0000B8750000}"/>
    <cellStyle name="40% - Accent4 2 2 10 3 2" xfId="10649" xr:uid="{00000000-0005-0000-0000-0000B9750000}"/>
    <cellStyle name="40% - Accent4 2 2 10 3 3" xfId="16125" xr:uid="{00000000-0005-0000-0000-0000BA750000}"/>
    <cellStyle name="40% - Accent4 2 2 10 3 4" xfId="21601" xr:uid="{00000000-0005-0000-0000-0000BB750000}"/>
    <cellStyle name="40% - Accent4 2 2 10 3 5" xfId="27077" xr:uid="{00000000-0005-0000-0000-0000BC750000}"/>
    <cellStyle name="40% - Accent4 2 2 10 3 6" xfId="38873" xr:uid="{00000000-0005-0000-0000-0000BD750000}"/>
    <cellStyle name="40% - Accent4 2 2 10 3 7" xfId="44350" xr:uid="{00000000-0005-0000-0000-0000BE750000}"/>
    <cellStyle name="40% - Accent4 2 2 10 3 8" xfId="49827" xr:uid="{00000000-0005-0000-0000-0000BF750000}"/>
    <cellStyle name="40% - Accent4 2 2 10 3 9" xfId="55345" xr:uid="{00000000-0005-0000-0000-0000C0750000}"/>
    <cellStyle name="40% - Accent4 2 2 10 4" xfId="6540" xr:uid="{00000000-0005-0000-0000-0000C1750000}"/>
    <cellStyle name="40% - Accent4 2 2 10 5" xfId="12020" xr:uid="{00000000-0005-0000-0000-0000C2750000}"/>
    <cellStyle name="40% - Accent4 2 2 10 6" xfId="17496" xr:uid="{00000000-0005-0000-0000-0000C3750000}"/>
    <cellStyle name="40% - Accent4 2 2 10 7" xfId="22972" xr:uid="{00000000-0005-0000-0000-0000C4750000}"/>
    <cellStyle name="40% - Accent4 2 2 10 8" xfId="34767" xr:uid="{00000000-0005-0000-0000-0000C5750000}"/>
    <cellStyle name="40% - Accent4 2 2 10 9" xfId="40244" xr:uid="{00000000-0005-0000-0000-0000C6750000}"/>
    <cellStyle name="40% - Accent4 2 2 11" xfId="1832" xr:uid="{00000000-0005-0000-0000-0000C7750000}"/>
    <cellStyle name="40% - Accent4 2 2 11 10" xfId="45722" xr:uid="{00000000-0005-0000-0000-0000C8750000}"/>
    <cellStyle name="40% - Accent4 2 2 11 11" xfId="51200" xr:uid="{00000000-0005-0000-0000-0000C9750000}"/>
    <cellStyle name="40% - Accent4 2 2 11 2" xfId="3593" xr:uid="{00000000-0005-0000-0000-0000CA750000}"/>
    <cellStyle name="40% - Accent4 2 2 11 2 2" xfId="9073" xr:uid="{00000000-0005-0000-0000-0000CB750000}"/>
    <cellStyle name="40% - Accent4 2 2 11 2 3" xfId="14549" xr:uid="{00000000-0005-0000-0000-0000CC750000}"/>
    <cellStyle name="40% - Accent4 2 2 11 2 4" xfId="20025" xr:uid="{00000000-0005-0000-0000-0000CD750000}"/>
    <cellStyle name="40% - Accent4 2 2 11 2 5" xfId="25501" xr:uid="{00000000-0005-0000-0000-0000CE750000}"/>
    <cellStyle name="40% - Accent4 2 2 11 2 6" xfId="37297" xr:uid="{00000000-0005-0000-0000-0000CF750000}"/>
    <cellStyle name="40% - Accent4 2 2 11 2 7" xfId="42774" xr:uid="{00000000-0005-0000-0000-0000D0750000}"/>
    <cellStyle name="40% - Accent4 2 2 11 2 8" xfId="48251" xr:uid="{00000000-0005-0000-0000-0000D1750000}"/>
    <cellStyle name="40% - Accent4 2 2 11 2 9" xfId="53769" xr:uid="{00000000-0005-0000-0000-0000D2750000}"/>
    <cellStyle name="40% - Accent4 2 2 11 3" xfId="5365" xr:uid="{00000000-0005-0000-0000-0000D3750000}"/>
    <cellStyle name="40% - Accent4 2 2 11 3 2" xfId="10845" xr:uid="{00000000-0005-0000-0000-0000D4750000}"/>
    <cellStyle name="40% - Accent4 2 2 11 3 3" xfId="16321" xr:uid="{00000000-0005-0000-0000-0000D5750000}"/>
    <cellStyle name="40% - Accent4 2 2 11 3 4" xfId="21797" xr:uid="{00000000-0005-0000-0000-0000D6750000}"/>
    <cellStyle name="40% - Accent4 2 2 11 3 5" xfId="27273" xr:uid="{00000000-0005-0000-0000-0000D7750000}"/>
    <cellStyle name="40% - Accent4 2 2 11 3 6" xfId="39069" xr:uid="{00000000-0005-0000-0000-0000D8750000}"/>
    <cellStyle name="40% - Accent4 2 2 11 3 7" xfId="44546" xr:uid="{00000000-0005-0000-0000-0000D9750000}"/>
    <cellStyle name="40% - Accent4 2 2 11 3 8" xfId="50023" xr:uid="{00000000-0005-0000-0000-0000DA750000}"/>
    <cellStyle name="40% - Accent4 2 2 11 3 9" xfId="55541" xr:uid="{00000000-0005-0000-0000-0000DB750000}"/>
    <cellStyle name="40% - Accent4 2 2 11 4" xfId="6541" xr:uid="{00000000-0005-0000-0000-0000DC750000}"/>
    <cellStyle name="40% - Accent4 2 2 11 5" xfId="12021" xr:uid="{00000000-0005-0000-0000-0000DD750000}"/>
    <cellStyle name="40% - Accent4 2 2 11 6" xfId="17497" xr:uid="{00000000-0005-0000-0000-0000DE750000}"/>
    <cellStyle name="40% - Accent4 2 2 11 7" xfId="22973" xr:uid="{00000000-0005-0000-0000-0000DF750000}"/>
    <cellStyle name="40% - Accent4 2 2 11 8" xfId="34768" xr:uid="{00000000-0005-0000-0000-0000E0750000}"/>
    <cellStyle name="40% - Accent4 2 2 11 9" xfId="40245" xr:uid="{00000000-0005-0000-0000-0000E1750000}"/>
    <cellStyle name="40% - Accent4 2 2 12" xfId="1998" xr:uid="{00000000-0005-0000-0000-0000E2750000}"/>
    <cellStyle name="40% - Accent4 2 2 12 10" xfId="52175" xr:uid="{00000000-0005-0000-0000-0000E3750000}"/>
    <cellStyle name="40% - Accent4 2 2 12 2" xfId="5530" xr:uid="{00000000-0005-0000-0000-0000E4750000}"/>
    <cellStyle name="40% - Accent4 2 2 12 2 2" xfId="11010" xr:uid="{00000000-0005-0000-0000-0000E5750000}"/>
    <cellStyle name="40% - Accent4 2 2 12 2 3" xfId="16486" xr:uid="{00000000-0005-0000-0000-0000E6750000}"/>
    <cellStyle name="40% - Accent4 2 2 12 2 4" xfId="21962" xr:uid="{00000000-0005-0000-0000-0000E7750000}"/>
    <cellStyle name="40% - Accent4 2 2 12 2 5" xfId="27438" xr:uid="{00000000-0005-0000-0000-0000E8750000}"/>
    <cellStyle name="40% - Accent4 2 2 12 2 6" xfId="39234" xr:uid="{00000000-0005-0000-0000-0000E9750000}"/>
    <cellStyle name="40% - Accent4 2 2 12 2 7" xfId="44711" xr:uid="{00000000-0005-0000-0000-0000EA750000}"/>
    <cellStyle name="40% - Accent4 2 2 12 2 8" xfId="50188" xr:uid="{00000000-0005-0000-0000-0000EB750000}"/>
    <cellStyle name="40% - Accent4 2 2 12 2 9" xfId="55706" xr:uid="{00000000-0005-0000-0000-0000EC750000}"/>
    <cellStyle name="40% - Accent4 2 2 12 3" xfId="7479" xr:uid="{00000000-0005-0000-0000-0000ED750000}"/>
    <cellStyle name="40% - Accent4 2 2 12 4" xfId="12955" xr:uid="{00000000-0005-0000-0000-0000EE750000}"/>
    <cellStyle name="40% - Accent4 2 2 12 5" xfId="18431" xr:uid="{00000000-0005-0000-0000-0000EF750000}"/>
    <cellStyle name="40% - Accent4 2 2 12 6" xfId="23907" xr:uid="{00000000-0005-0000-0000-0000F0750000}"/>
    <cellStyle name="40% - Accent4 2 2 12 7" xfId="35703" xr:uid="{00000000-0005-0000-0000-0000F1750000}"/>
    <cellStyle name="40% - Accent4 2 2 12 8" xfId="41180" xr:uid="{00000000-0005-0000-0000-0000F2750000}"/>
    <cellStyle name="40% - Accent4 2 2 12 9" xfId="46657" xr:uid="{00000000-0005-0000-0000-0000F3750000}"/>
    <cellStyle name="40% - Accent4 2 2 13" xfId="3711" xr:uid="{00000000-0005-0000-0000-0000F4750000}"/>
    <cellStyle name="40% - Accent4 2 2 13 2" xfId="9191" xr:uid="{00000000-0005-0000-0000-0000F5750000}"/>
    <cellStyle name="40% - Accent4 2 2 13 3" xfId="14667" xr:uid="{00000000-0005-0000-0000-0000F6750000}"/>
    <cellStyle name="40% - Accent4 2 2 13 4" xfId="20143" xr:uid="{00000000-0005-0000-0000-0000F7750000}"/>
    <cellStyle name="40% - Accent4 2 2 13 5" xfId="25619" xr:uid="{00000000-0005-0000-0000-0000F8750000}"/>
    <cellStyle name="40% - Accent4 2 2 13 6" xfId="37415" xr:uid="{00000000-0005-0000-0000-0000F9750000}"/>
    <cellStyle name="40% - Accent4 2 2 13 7" xfId="42892" xr:uid="{00000000-0005-0000-0000-0000FA750000}"/>
    <cellStyle name="40% - Accent4 2 2 13 8" xfId="48369" xr:uid="{00000000-0005-0000-0000-0000FB750000}"/>
    <cellStyle name="40% - Accent4 2 2 13 9" xfId="53887" xr:uid="{00000000-0005-0000-0000-0000FC750000}"/>
    <cellStyle name="40% - Accent4 2 2 14" xfId="6539" xr:uid="{00000000-0005-0000-0000-0000FD750000}"/>
    <cellStyle name="40% - Accent4 2 2 15" xfId="12019" xr:uid="{00000000-0005-0000-0000-0000FE750000}"/>
    <cellStyle name="40% - Accent4 2 2 16" xfId="17495" xr:uid="{00000000-0005-0000-0000-0000FF750000}"/>
    <cellStyle name="40% - Accent4 2 2 17" xfId="22971" xr:uid="{00000000-0005-0000-0000-000000760000}"/>
    <cellStyle name="40% - Accent4 2 2 18" xfId="31677" xr:uid="{00000000-0005-0000-0000-000001760000}"/>
    <cellStyle name="40% - Accent4 2 2 19" xfId="34766" xr:uid="{00000000-0005-0000-0000-000002760000}"/>
    <cellStyle name="40% - Accent4 2 2 2" xfId="231" xr:uid="{00000000-0005-0000-0000-000003760000}"/>
    <cellStyle name="40% - Accent4 2 2 2 10" xfId="1833" xr:uid="{00000000-0005-0000-0000-000004760000}"/>
    <cellStyle name="40% - Accent4 2 2 2 10 10" xfId="45724" xr:uid="{00000000-0005-0000-0000-000005760000}"/>
    <cellStyle name="40% - Accent4 2 2 2 10 11" xfId="51202" xr:uid="{00000000-0005-0000-0000-000006760000}"/>
    <cellStyle name="40% - Accent4 2 2 2 10 2" xfId="3594" xr:uid="{00000000-0005-0000-0000-000007760000}"/>
    <cellStyle name="40% - Accent4 2 2 2 10 2 2" xfId="9074" xr:uid="{00000000-0005-0000-0000-000008760000}"/>
    <cellStyle name="40% - Accent4 2 2 2 10 2 3" xfId="14550" xr:uid="{00000000-0005-0000-0000-000009760000}"/>
    <cellStyle name="40% - Accent4 2 2 2 10 2 4" xfId="20026" xr:uid="{00000000-0005-0000-0000-00000A760000}"/>
    <cellStyle name="40% - Accent4 2 2 2 10 2 5" xfId="25502" xr:uid="{00000000-0005-0000-0000-00000B760000}"/>
    <cellStyle name="40% - Accent4 2 2 2 10 2 6" xfId="37298" xr:uid="{00000000-0005-0000-0000-00000C760000}"/>
    <cellStyle name="40% - Accent4 2 2 2 10 2 7" xfId="42775" xr:uid="{00000000-0005-0000-0000-00000D760000}"/>
    <cellStyle name="40% - Accent4 2 2 2 10 2 8" xfId="48252" xr:uid="{00000000-0005-0000-0000-00000E760000}"/>
    <cellStyle name="40% - Accent4 2 2 2 10 2 9" xfId="53770" xr:uid="{00000000-0005-0000-0000-00000F760000}"/>
    <cellStyle name="40% - Accent4 2 2 2 10 3" xfId="5366" xr:uid="{00000000-0005-0000-0000-000010760000}"/>
    <cellStyle name="40% - Accent4 2 2 2 10 3 2" xfId="10846" xr:uid="{00000000-0005-0000-0000-000011760000}"/>
    <cellStyle name="40% - Accent4 2 2 2 10 3 3" xfId="16322" xr:uid="{00000000-0005-0000-0000-000012760000}"/>
    <cellStyle name="40% - Accent4 2 2 2 10 3 4" xfId="21798" xr:uid="{00000000-0005-0000-0000-000013760000}"/>
    <cellStyle name="40% - Accent4 2 2 2 10 3 5" xfId="27274" xr:uid="{00000000-0005-0000-0000-000014760000}"/>
    <cellStyle name="40% - Accent4 2 2 2 10 3 6" xfId="39070" xr:uid="{00000000-0005-0000-0000-000015760000}"/>
    <cellStyle name="40% - Accent4 2 2 2 10 3 7" xfId="44547" xr:uid="{00000000-0005-0000-0000-000016760000}"/>
    <cellStyle name="40% - Accent4 2 2 2 10 3 8" xfId="50024" xr:uid="{00000000-0005-0000-0000-000017760000}"/>
    <cellStyle name="40% - Accent4 2 2 2 10 3 9" xfId="55542" xr:uid="{00000000-0005-0000-0000-000018760000}"/>
    <cellStyle name="40% - Accent4 2 2 2 10 4" xfId="6543" xr:uid="{00000000-0005-0000-0000-000019760000}"/>
    <cellStyle name="40% - Accent4 2 2 2 10 5" xfId="12023" xr:uid="{00000000-0005-0000-0000-00001A760000}"/>
    <cellStyle name="40% - Accent4 2 2 2 10 6" xfId="17499" xr:uid="{00000000-0005-0000-0000-00001B760000}"/>
    <cellStyle name="40% - Accent4 2 2 2 10 7" xfId="22975" xr:uid="{00000000-0005-0000-0000-00001C760000}"/>
    <cellStyle name="40% - Accent4 2 2 2 10 8" xfId="34770" xr:uid="{00000000-0005-0000-0000-00001D760000}"/>
    <cellStyle name="40% - Accent4 2 2 2 10 9" xfId="40247" xr:uid="{00000000-0005-0000-0000-00001E760000}"/>
    <cellStyle name="40% - Accent4 2 2 2 11" xfId="1999" xr:uid="{00000000-0005-0000-0000-00001F760000}"/>
    <cellStyle name="40% - Accent4 2 2 2 11 10" xfId="52176" xr:uid="{00000000-0005-0000-0000-000020760000}"/>
    <cellStyle name="40% - Accent4 2 2 2 11 2" xfId="5531" xr:uid="{00000000-0005-0000-0000-000021760000}"/>
    <cellStyle name="40% - Accent4 2 2 2 11 2 2" xfId="11011" xr:uid="{00000000-0005-0000-0000-000022760000}"/>
    <cellStyle name="40% - Accent4 2 2 2 11 2 3" xfId="16487" xr:uid="{00000000-0005-0000-0000-000023760000}"/>
    <cellStyle name="40% - Accent4 2 2 2 11 2 4" xfId="21963" xr:uid="{00000000-0005-0000-0000-000024760000}"/>
    <cellStyle name="40% - Accent4 2 2 2 11 2 5" xfId="27439" xr:uid="{00000000-0005-0000-0000-000025760000}"/>
    <cellStyle name="40% - Accent4 2 2 2 11 2 6" xfId="39235" xr:uid="{00000000-0005-0000-0000-000026760000}"/>
    <cellStyle name="40% - Accent4 2 2 2 11 2 7" xfId="44712" xr:uid="{00000000-0005-0000-0000-000027760000}"/>
    <cellStyle name="40% - Accent4 2 2 2 11 2 8" xfId="50189" xr:uid="{00000000-0005-0000-0000-000028760000}"/>
    <cellStyle name="40% - Accent4 2 2 2 11 2 9" xfId="55707" xr:uid="{00000000-0005-0000-0000-000029760000}"/>
    <cellStyle name="40% - Accent4 2 2 2 11 3" xfId="7480" xr:uid="{00000000-0005-0000-0000-00002A760000}"/>
    <cellStyle name="40% - Accent4 2 2 2 11 4" xfId="12956" xr:uid="{00000000-0005-0000-0000-00002B760000}"/>
    <cellStyle name="40% - Accent4 2 2 2 11 5" xfId="18432" xr:uid="{00000000-0005-0000-0000-00002C760000}"/>
    <cellStyle name="40% - Accent4 2 2 2 11 6" xfId="23908" xr:uid="{00000000-0005-0000-0000-00002D760000}"/>
    <cellStyle name="40% - Accent4 2 2 2 11 7" xfId="35704" xr:uid="{00000000-0005-0000-0000-00002E760000}"/>
    <cellStyle name="40% - Accent4 2 2 2 11 8" xfId="41181" xr:uid="{00000000-0005-0000-0000-00002F760000}"/>
    <cellStyle name="40% - Accent4 2 2 2 11 9" xfId="46658" xr:uid="{00000000-0005-0000-0000-000030760000}"/>
    <cellStyle name="40% - Accent4 2 2 2 12" xfId="3797" xr:uid="{00000000-0005-0000-0000-000031760000}"/>
    <cellStyle name="40% - Accent4 2 2 2 12 2" xfId="9277" xr:uid="{00000000-0005-0000-0000-000032760000}"/>
    <cellStyle name="40% - Accent4 2 2 2 12 3" xfId="14753" xr:uid="{00000000-0005-0000-0000-000033760000}"/>
    <cellStyle name="40% - Accent4 2 2 2 12 4" xfId="20229" xr:uid="{00000000-0005-0000-0000-000034760000}"/>
    <cellStyle name="40% - Accent4 2 2 2 12 5" xfId="25705" xr:uid="{00000000-0005-0000-0000-000035760000}"/>
    <cellStyle name="40% - Accent4 2 2 2 12 6" xfId="37501" xr:uid="{00000000-0005-0000-0000-000036760000}"/>
    <cellStyle name="40% - Accent4 2 2 2 12 7" xfId="42978" xr:uid="{00000000-0005-0000-0000-000037760000}"/>
    <cellStyle name="40% - Accent4 2 2 2 12 8" xfId="48455" xr:uid="{00000000-0005-0000-0000-000038760000}"/>
    <cellStyle name="40% - Accent4 2 2 2 12 9" xfId="53973" xr:uid="{00000000-0005-0000-0000-000039760000}"/>
    <cellStyle name="40% - Accent4 2 2 2 13" xfId="6542" xr:uid="{00000000-0005-0000-0000-00003A760000}"/>
    <cellStyle name="40% - Accent4 2 2 2 14" xfId="12022" xr:uid="{00000000-0005-0000-0000-00003B760000}"/>
    <cellStyle name="40% - Accent4 2 2 2 15" xfId="17498" xr:uid="{00000000-0005-0000-0000-00003C760000}"/>
    <cellStyle name="40% - Accent4 2 2 2 16" xfId="22974" xr:uid="{00000000-0005-0000-0000-00003D760000}"/>
    <cellStyle name="40% - Accent4 2 2 2 17" xfId="31678" xr:uid="{00000000-0005-0000-0000-00003E760000}"/>
    <cellStyle name="40% - Accent4 2 2 2 18" xfId="34769" xr:uid="{00000000-0005-0000-0000-00003F760000}"/>
    <cellStyle name="40% - Accent4 2 2 2 19" xfId="40246" xr:uid="{00000000-0005-0000-0000-000040760000}"/>
    <cellStyle name="40% - Accent4 2 2 2 2" xfId="370" xr:uid="{00000000-0005-0000-0000-000041760000}"/>
    <cellStyle name="40% - Accent4 2 2 2 2 10" xfId="40248" xr:uid="{00000000-0005-0000-0000-000042760000}"/>
    <cellStyle name="40% - Accent4 2 2 2 2 11" xfId="45725" xr:uid="{00000000-0005-0000-0000-000043760000}"/>
    <cellStyle name="40% - Accent4 2 2 2 2 12" xfId="51203" xr:uid="{00000000-0005-0000-0000-000044760000}"/>
    <cellStyle name="40% - Accent4 2 2 2 2 2" xfId="2163" xr:uid="{00000000-0005-0000-0000-000045760000}"/>
    <cellStyle name="40% - Accent4 2 2 2 2 2 2" xfId="7643" xr:uid="{00000000-0005-0000-0000-000046760000}"/>
    <cellStyle name="40% - Accent4 2 2 2 2 2 3" xfId="13119" xr:uid="{00000000-0005-0000-0000-000047760000}"/>
    <cellStyle name="40% - Accent4 2 2 2 2 2 4" xfId="18595" xr:uid="{00000000-0005-0000-0000-000048760000}"/>
    <cellStyle name="40% - Accent4 2 2 2 2 2 5" xfId="24071" xr:uid="{00000000-0005-0000-0000-000049760000}"/>
    <cellStyle name="40% - Accent4 2 2 2 2 2 6" xfId="35867" xr:uid="{00000000-0005-0000-0000-00004A760000}"/>
    <cellStyle name="40% - Accent4 2 2 2 2 2 7" xfId="41344" xr:uid="{00000000-0005-0000-0000-00004B760000}"/>
    <cellStyle name="40% - Accent4 2 2 2 2 2 8" xfId="46821" xr:uid="{00000000-0005-0000-0000-00004C760000}"/>
    <cellStyle name="40% - Accent4 2 2 2 2 2 9" xfId="52339" xr:uid="{00000000-0005-0000-0000-00004D760000}"/>
    <cellStyle name="40% - Accent4 2 2 2 2 3" xfId="3932" xr:uid="{00000000-0005-0000-0000-00004E760000}"/>
    <cellStyle name="40% - Accent4 2 2 2 2 3 2" xfId="9412" xr:uid="{00000000-0005-0000-0000-00004F760000}"/>
    <cellStyle name="40% - Accent4 2 2 2 2 3 3" xfId="14888" xr:uid="{00000000-0005-0000-0000-000050760000}"/>
    <cellStyle name="40% - Accent4 2 2 2 2 3 4" xfId="20364" xr:uid="{00000000-0005-0000-0000-000051760000}"/>
    <cellStyle name="40% - Accent4 2 2 2 2 3 5" xfId="25840" xr:uid="{00000000-0005-0000-0000-000052760000}"/>
    <cellStyle name="40% - Accent4 2 2 2 2 3 6" xfId="37636" xr:uid="{00000000-0005-0000-0000-000053760000}"/>
    <cellStyle name="40% - Accent4 2 2 2 2 3 7" xfId="43113" xr:uid="{00000000-0005-0000-0000-000054760000}"/>
    <cellStyle name="40% - Accent4 2 2 2 2 3 8" xfId="48590" xr:uid="{00000000-0005-0000-0000-000055760000}"/>
    <cellStyle name="40% - Accent4 2 2 2 2 3 9" xfId="54108" xr:uid="{00000000-0005-0000-0000-000056760000}"/>
    <cellStyle name="40% - Accent4 2 2 2 2 4" xfId="6544" xr:uid="{00000000-0005-0000-0000-000057760000}"/>
    <cellStyle name="40% - Accent4 2 2 2 2 5" xfId="12024" xr:uid="{00000000-0005-0000-0000-000058760000}"/>
    <cellStyle name="40% - Accent4 2 2 2 2 6" xfId="17500" xr:uid="{00000000-0005-0000-0000-000059760000}"/>
    <cellStyle name="40% - Accent4 2 2 2 2 7" xfId="22976" xr:uid="{00000000-0005-0000-0000-00005A760000}"/>
    <cellStyle name="40% - Accent4 2 2 2 2 8" xfId="31679" xr:uid="{00000000-0005-0000-0000-00005B760000}"/>
    <cellStyle name="40% - Accent4 2 2 2 2 9" xfId="34771" xr:uid="{00000000-0005-0000-0000-00005C760000}"/>
    <cellStyle name="40% - Accent4 2 2 2 20" xfId="45723" xr:uid="{00000000-0005-0000-0000-00005D760000}"/>
    <cellStyle name="40% - Accent4 2 2 2 21" xfId="51201" xr:uid="{00000000-0005-0000-0000-00005E760000}"/>
    <cellStyle name="40% - Accent4 2 2 2 3" xfId="571" xr:uid="{00000000-0005-0000-0000-00005F760000}"/>
    <cellStyle name="40% - Accent4 2 2 2 3 10" xfId="45726" xr:uid="{00000000-0005-0000-0000-000060760000}"/>
    <cellStyle name="40% - Accent4 2 2 2 3 11" xfId="51204" xr:uid="{00000000-0005-0000-0000-000061760000}"/>
    <cellStyle name="40% - Accent4 2 2 2 3 2" xfId="2332" xr:uid="{00000000-0005-0000-0000-000062760000}"/>
    <cellStyle name="40% - Accent4 2 2 2 3 2 2" xfId="7812" xr:uid="{00000000-0005-0000-0000-000063760000}"/>
    <cellStyle name="40% - Accent4 2 2 2 3 2 3" xfId="13288" xr:uid="{00000000-0005-0000-0000-000064760000}"/>
    <cellStyle name="40% - Accent4 2 2 2 3 2 4" xfId="18764" xr:uid="{00000000-0005-0000-0000-000065760000}"/>
    <cellStyle name="40% - Accent4 2 2 2 3 2 5" xfId="24240" xr:uid="{00000000-0005-0000-0000-000066760000}"/>
    <cellStyle name="40% - Accent4 2 2 2 3 2 6" xfId="36036" xr:uid="{00000000-0005-0000-0000-000067760000}"/>
    <cellStyle name="40% - Accent4 2 2 2 3 2 7" xfId="41513" xr:uid="{00000000-0005-0000-0000-000068760000}"/>
    <cellStyle name="40% - Accent4 2 2 2 3 2 8" xfId="46990" xr:uid="{00000000-0005-0000-0000-000069760000}"/>
    <cellStyle name="40% - Accent4 2 2 2 3 2 9" xfId="52508" xr:uid="{00000000-0005-0000-0000-00006A760000}"/>
    <cellStyle name="40% - Accent4 2 2 2 3 3" xfId="4104" xr:uid="{00000000-0005-0000-0000-00006B760000}"/>
    <cellStyle name="40% - Accent4 2 2 2 3 3 2" xfId="9584" xr:uid="{00000000-0005-0000-0000-00006C760000}"/>
    <cellStyle name="40% - Accent4 2 2 2 3 3 3" xfId="15060" xr:uid="{00000000-0005-0000-0000-00006D760000}"/>
    <cellStyle name="40% - Accent4 2 2 2 3 3 4" xfId="20536" xr:uid="{00000000-0005-0000-0000-00006E760000}"/>
    <cellStyle name="40% - Accent4 2 2 2 3 3 5" xfId="26012" xr:uid="{00000000-0005-0000-0000-00006F760000}"/>
    <cellStyle name="40% - Accent4 2 2 2 3 3 6" xfId="37808" xr:uid="{00000000-0005-0000-0000-000070760000}"/>
    <cellStyle name="40% - Accent4 2 2 2 3 3 7" xfId="43285" xr:uid="{00000000-0005-0000-0000-000071760000}"/>
    <cellStyle name="40% - Accent4 2 2 2 3 3 8" xfId="48762" xr:uid="{00000000-0005-0000-0000-000072760000}"/>
    <cellStyle name="40% - Accent4 2 2 2 3 3 9" xfId="54280" xr:uid="{00000000-0005-0000-0000-000073760000}"/>
    <cellStyle name="40% - Accent4 2 2 2 3 4" xfId="6545" xr:uid="{00000000-0005-0000-0000-000074760000}"/>
    <cellStyle name="40% - Accent4 2 2 2 3 5" xfId="12025" xr:uid="{00000000-0005-0000-0000-000075760000}"/>
    <cellStyle name="40% - Accent4 2 2 2 3 6" xfId="17501" xr:uid="{00000000-0005-0000-0000-000076760000}"/>
    <cellStyle name="40% - Accent4 2 2 2 3 7" xfId="22977" xr:uid="{00000000-0005-0000-0000-000077760000}"/>
    <cellStyle name="40% - Accent4 2 2 2 3 8" xfId="34772" xr:uid="{00000000-0005-0000-0000-000078760000}"/>
    <cellStyle name="40% - Accent4 2 2 2 3 9" xfId="40249" xr:uid="{00000000-0005-0000-0000-000079760000}"/>
    <cellStyle name="40% - Accent4 2 2 2 4" xfId="743" xr:uid="{00000000-0005-0000-0000-00007A760000}"/>
    <cellStyle name="40% - Accent4 2 2 2 4 10" xfId="45727" xr:uid="{00000000-0005-0000-0000-00007B760000}"/>
    <cellStyle name="40% - Accent4 2 2 2 4 11" xfId="51205" xr:uid="{00000000-0005-0000-0000-00007C760000}"/>
    <cellStyle name="40% - Accent4 2 2 2 4 2" xfId="2504" xr:uid="{00000000-0005-0000-0000-00007D760000}"/>
    <cellStyle name="40% - Accent4 2 2 2 4 2 2" xfId="7984" xr:uid="{00000000-0005-0000-0000-00007E760000}"/>
    <cellStyle name="40% - Accent4 2 2 2 4 2 3" xfId="13460" xr:uid="{00000000-0005-0000-0000-00007F760000}"/>
    <cellStyle name="40% - Accent4 2 2 2 4 2 4" xfId="18936" xr:uid="{00000000-0005-0000-0000-000080760000}"/>
    <cellStyle name="40% - Accent4 2 2 2 4 2 5" xfId="24412" xr:uid="{00000000-0005-0000-0000-000081760000}"/>
    <cellStyle name="40% - Accent4 2 2 2 4 2 6" xfId="36208" xr:uid="{00000000-0005-0000-0000-000082760000}"/>
    <cellStyle name="40% - Accent4 2 2 2 4 2 7" xfId="41685" xr:uid="{00000000-0005-0000-0000-000083760000}"/>
    <cellStyle name="40% - Accent4 2 2 2 4 2 8" xfId="47162" xr:uid="{00000000-0005-0000-0000-000084760000}"/>
    <cellStyle name="40% - Accent4 2 2 2 4 2 9" xfId="52680" xr:uid="{00000000-0005-0000-0000-000085760000}"/>
    <cellStyle name="40% - Accent4 2 2 2 4 3" xfId="4276" xr:uid="{00000000-0005-0000-0000-000086760000}"/>
    <cellStyle name="40% - Accent4 2 2 2 4 3 2" xfId="9756" xr:uid="{00000000-0005-0000-0000-000087760000}"/>
    <cellStyle name="40% - Accent4 2 2 2 4 3 3" xfId="15232" xr:uid="{00000000-0005-0000-0000-000088760000}"/>
    <cellStyle name="40% - Accent4 2 2 2 4 3 4" xfId="20708" xr:uid="{00000000-0005-0000-0000-000089760000}"/>
    <cellStyle name="40% - Accent4 2 2 2 4 3 5" xfId="26184" xr:uid="{00000000-0005-0000-0000-00008A760000}"/>
    <cellStyle name="40% - Accent4 2 2 2 4 3 6" xfId="37980" xr:uid="{00000000-0005-0000-0000-00008B760000}"/>
    <cellStyle name="40% - Accent4 2 2 2 4 3 7" xfId="43457" xr:uid="{00000000-0005-0000-0000-00008C760000}"/>
    <cellStyle name="40% - Accent4 2 2 2 4 3 8" xfId="48934" xr:uid="{00000000-0005-0000-0000-00008D760000}"/>
    <cellStyle name="40% - Accent4 2 2 2 4 3 9" xfId="54452" xr:uid="{00000000-0005-0000-0000-00008E760000}"/>
    <cellStyle name="40% - Accent4 2 2 2 4 4" xfId="6546" xr:uid="{00000000-0005-0000-0000-00008F760000}"/>
    <cellStyle name="40% - Accent4 2 2 2 4 5" xfId="12026" xr:uid="{00000000-0005-0000-0000-000090760000}"/>
    <cellStyle name="40% - Accent4 2 2 2 4 6" xfId="17502" xr:uid="{00000000-0005-0000-0000-000091760000}"/>
    <cellStyle name="40% - Accent4 2 2 2 4 7" xfId="22978" xr:uid="{00000000-0005-0000-0000-000092760000}"/>
    <cellStyle name="40% - Accent4 2 2 2 4 8" xfId="34773" xr:uid="{00000000-0005-0000-0000-000093760000}"/>
    <cellStyle name="40% - Accent4 2 2 2 4 9" xfId="40250" xr:uid="{00000000-0005-0000-0000-000094760000}"/>
    <cellStyle name="40% - Accent4 2 2 2 5" xfId="915" xr:uid="{00000000-0005-0000-0000-000095760000}"/>
    <cellStyle name="40% - Accent4 2 2 2 5 10" xfId="45728" xr:uid="{00000000-0005-0000-0000-000096760000}"/>
    <cellStyle name="40% - Accent4 2 2 2 5 11" xfId="51206" xr:uid="{00000000-0005-0000-0000-000097760000}"/>
    <cellStyle name="40% - Accent4 2 2 2 5 2" xfId="2676" xr:uid="{00000000-0005-0000-0000-000098760000}"/>
    <cellStyle name="40% - Accent4 2 2 2 5 2 2" xfId="8156" xr:uid="{00000000-0005-0000-0000-000099760000}"/>
    <cellStyle name="40% - Accent4 2 2 2 5 2 3" xfId="13632" xr:uid="{00000000-0005-0000-0000-00009A760000}"/>
    <cellStyle name="40% - Accent4 2 2 2 5 2 4" xfId="19108" xr:uid="{00000000-0005-0000-0000-00009B760000}"/>
    <cellStyle name="40% - Accent4 2 2 2 5 2 5" xfId="24584" xr:uid="{00000000-0005-0000-0000-00009C760000}"/>
    <cellStyle name="40% - Accent4 2 2 2 5 2 6" xfId="36380" xr:uid="{00000000-0005-0000-0000-00009D760000}"/>
    <cellStyle name="40% - Accent4 2 2 2 5 2 7" xfId="41857" xr:uid="{00000000-0005-0000-0000-00009E760000}"/>
    <cellStyle name="40% - Accent4 2 2 2 5 2 8" xfId="47334" xr:uid="{00000000-0005-0000-0000-00009F760000}"/>
    <cellStyle name="40% - Accent4 2 2 2 5 2 9" xfId="52852" xr:uid="{00000000-0005-0000-0000-0000A0760000}"/>
    <cellStyle name="40% - Accent4 2 2 2 5 3" xfId="4448" xr:uid="{00000000-0005-0000-0000-0000A1760000}"/>
    <cellStyle name="40% - Accent4 2 2 2 5 3 2" xfId="9928" xr:uid="{00000000-0005-0000-0000-0000A2760000}"/>
    <cellStyle name="40% - Accent4 2 2 2 5 3 3" xfId="15404" xr:uid="{00000000-0005-0000-0000-0000A3760000}"/>
    <cellStyle name="40% - Accent4 2 2 2 5 3 4" xfId="20880" xr:uid="{00000000-0005-0000-0000-0000A4760000}"/>
    <cellStyle name="40% - Accent4 2 2 2 5 3 5" xfId="26356" xr:uid="{00000000-0005-0000-0000-0000A5760000}"/>
    <cellStyle name="40% - Accent4 2 2 2 5 3 6" xfId="38152" xr:uid="{00000000-0005-0000-0000-0000A6760000}"/>
    <cellStyle name="40% - Accent4 2 2 2 5 3 7" xfId="43629" xr:uid="{00000000-0005-0000-0000-0000A7760000}"/>
    <cellStyle name="40% - Accent4 2 2 2 5 3 8" xfId="49106" xr:uid="{00000000-0005-0000-0000-0000A8760000}"/>
    <cellStyle name="40% - Accent4 2 2 2 5 3 9" xfId="54624" xr:uid="{00000000-0005-0000-0000-0000A9760000}"/>
    <cellStyle name="40% - Accent4 2 2 2 5 4" xfId="6547" xr:uid="{00000000-0005-0000-0000-0000AA760000}"/>
    <cellStyle name="40% - Accent4 2 2 2 5 5" xfId="12027" xr:uid="{00000000-0005-0000-0000-0000AB760000}"/>
    <cellStyle name="40% - Accent4 2 2 2 5 6" xfId="17503" xr:uid="{00000000-0005-0000-0000-0000AC760000}"/>
    <cellStyle name="40% - Accent4 2 2 2 5 7" xfId="22979" xr:uid="{00000000-0005-0000-0000-0000AD760000}"/>
    <cellStyle name="40% - Accent4 2 2 2 5 8" xfId="34774" xr:uid="{00000000-0005-0000-0000-0000AE760000}"/>
    <cellStyle name="40% - Accent4 2 2 2 5 9" xfId="40251" xr:uid="{00000000-0005-0000-0000-0000AF760000}"/>
    <cellStyle name="40% - Accent4 2 2 2 6" xfId="1121" xr:uid="{00000000-0005-0000-0000-0000B0760000}"/>
    <cellStyle name="40% - Accent4 2 2 2 6 10" xfId="45729" xr:uid="{00000000-0005-0000-0000-0000B1760000}"/>
    <cellStyle name="40% - Accent4 2 2 2 6 11" xfId="51207" xr:uid="{00000000-0005-0000-0000-0000B2760000}"/>
    <cellStyle name="40% - Accent4 2 2 2 6 2" xfId="2882" xr:uid="{00000000-0005-0000-0000-0000B3760000}"/>
    <cellStyle name="40% - Accent4 2 2 2 6 2 2" xfId="8362" xr:uid="{00000000-0005-0000-0000-0000B4760000}"/>
    <cellStyle name="40% - Accent4 2 2 2 6 2 3" xfId="13838" xr:uid="{00000000-0005-0000-0000-0000B5760000}"/>
    <cellStyle name="40% - Accent4 2 2 2 6 2 4" xfId="19314" xr:uid="{00000000-0005-0000-0000-0000B6760000}"/>
    <cellStyle name="40% - Accent4 2 2 2 6 2 5" xfId="24790" xr:uid="{00000000-0005-0000-0000-0000B7760000}"/>
    <cellStyle name="40% - Accent4 2 2 2 6 2 6" xfId="36586" xr:uid="{00000000-0005-0000-0000-0000B8760000}"/>
    <cellStyle name="40% - Accent4 2 2 2 6 2 7" xfId="42063" xr:uid="{00000000-0005-0000-0000-0000B9760000}"/>
    <cellStyle name="40% - Accent4 2 2 2 6 2 8" xfId="47540" xr:uid="{00000000-0005-0000-0000-0000BA760000}"/>
    <cellStyle name="40% - Accent4 2 2 2 6 2 9" xfId="53058" xr:uid="{00000000-0005-0000-0000-0000BB760000}"/>
    <cellStyle name="40% - Accent4 2 2 2 6 3" xfId="4654" xr:uid="{00000000-0005-0000-0000-0000BC760000}"/>
    <cellStyle name="40% - Accent4 2 2 2 6 3 2" xfId="10134" xr:uid="{00000000-0005-0000-0000-0000BD760000}"/>
    <cellStyle name="40% - Accent4 2 2 2 6 3 3" xfId="15610" xr:uid="{00000000-0005-0000-0000-0000BE760000}"/>
    <cellStyle name="40% - Accent4 2 2 2 6 3 4" xfId="21086" xr:uid="{00000000-0005-0000-0000-0000BF760000}"/>
    <cellStyle name="40% - Accent4 2 2 2 6 3 5" xfId="26562" xr:uid="{00000000-0005-0000-0000-0000C0760000}"/>
    <cellStyle name="40% - Accent4 2 2 2 6 3 6" xfId="38358" xr:uid="{00000000-0005-0000-0000-0000C1760000}"/>
    <cellStyle name="40% - Accent4 2 2 2 6 3 7" xfId="43835" xr:uid="{00000000-0005-0000-0000-0000C2760000}"/>
    <cellStyle name="40% - Accent4 2 2 2 6 3 8" xfId="49312" xr:uid="{00000000-0005-0000-0000-0000C3760000}"/>
    <cellStyle name="40% - Accent4 2 2 2 6 3 9" xfId="54830" xr:uid="{00000000-0005-0000-0000-0000C4760000}"/>
    <cellStyle name="40% - Accent4 2 2 2 6 4" xfId="6548" xr:uid="{00000000-0005-0000-0000-0000C5760000}"/>
    <cellStyle name="40% - Accent4 2 2 2 6 5" xfId="12028" xr:uid="{00000000-0005-0000-0000-0000C6760000}"/>
    <cellStyle name="40% - Accent4 2 2 2 6 6" xfId="17504" xr:uid="{00000000-0005-0000-0000-0000C7760000}"/>
    <cellStyle name="40% - Accent4 2 2 2 6 7" xfId="22980" xr:uid="{00000000-0005-0000-0000-0000C8760000}"/>
    <cellStyle name="40% - Accent4 2 2 2 6 8" xfId="34775" xr:uid="{00000000-0005-0000-0000-0000C9760000}"/>
    <cellStyle name="40% - Accent4 2 2 2 6 9" xfId="40252" xr:uid="{00000000-0005-0000-0000-0000CA760000}"/>
    <cellStyle name="40% - Accent4 2 2 2 7" xfId="1293" xr:uid="{00000000-0005-0000-0000-0000CB760000}"/>
    <cellStyle name="40% - Accent4 2 2 2 7 10" xfId="45730" xr:uid="{00000000-0005-0000-0000-0000CC760000}"/>
    <cellStyle name="40% - Accent4 2 2 2 7 11" xfId="51208" xr:uid="{00000000-0005-0000-0000-0000CD760000}"/>
    <cellStyle name="40% - Accent4 2 2 2 7 2" xfId="3054" xr:uid="{00000000-0005-0000-0000-0000CE760000}"/>
    <cellStyle name="40% - Accent4 2 2 2 7 2 2" xfId="8534" xr:uid="{00000000-0005-0000-0000-0000CF760000}"/>
    <cellStyle name="40% - Accent4 2 2 2 7 2 3" xfId="14010" xr:uid="{00000000-0005-0000-0000-0000D0760000}"/>
    <cellStyle name="40% - Accent4 2 2 2 7 2 4" xfId="19486" xr:uid="{00000000-0005-0000-0000-0000D1760000}"/>
    <cellStyle name="40% - Accent4 2 2 2 7 2 5" xfId="24962" xr:uid="{00000000-0005-0000-0000-0000D2760000}"/>
    <cellStyle name="40% - Accent4 2 2 2 7 2 6" xfId="36758" xr:uid="{00000000-0005-0000-0000-0000D3760000}"/>
    <cellStyle name="40% - Accent4 2 2 2 7 2 7" xfId="42235" xr:uid="{00000000-0005-0000-0000-0000D4760000}"/>
    <cellStyle name="40% - Accent4 2 2 2 7 2 8" xfId="47712" xr:uid="{00000000-0005-0000-0000-0000D5760000}"/>
    <cellStyle name="40% - Accent4 2 2 2 7 2 9" xfId="53230" xr:uid="{00000000-0005-0000-0000-0000D6760000}"/>
    <cellStyle name="40% - Accent4 2 2 2 7 3" xfId="4826" xr:uid="{00000000-0005-0000-0000-0000D7760000}"/>
    <cellStyle name="40% - Accent4 2 2 2 7 3 2" xfId="10306" xr:uid="{00000000-0005-0000-0000-0000D8760000}"/>
    <cellStyle name="40% - Accent4 2 2 2 7 3 3" xfId="15782" xr:uid="{00000000-0005-0000-0000-0000D9760000}"/>
    <cellStyle name="40% - Accent4 2 2 2 7 3 4" xfId="21258" xr:uid="{00000000-0005-0000-0000-0000DA760000}"/>
    <cellStyle name="40% - Accent4 2 2 2 7 3 5" xfId="26734" xr:uid="{00000000-0005-0000-0000-0000DB760000}"/>
    <cellStyle name="40% - Accent4 2 2 2 7 3 6" xfId="38530" xr:uid="{00000000-0005-0000-0000-0000DC760000}"/>
    <cellStyle name="40% - Accent4 2 2 2 7 3 7" xfId="44007" xr:uid="{00000000-0005-0000-0000-0000DD760000}"/>
    <cellStyle name="40% - Accent4 2 2 2 7 3 8" xfId="49484" xr:uid="{00000000-0005-0000-0000-0000DE760000}"/>
    <cellStyle name="40% - Accent4 2 2 2 7 3 9" xfId="55002" xr:uid="{00000000-0005-0000-0000-0000DF760000}"/>
    <cellStyle name="40% - Accent4 2 2 2 7 4" xfId="6549" xr:uid="{00000000-0005-0000-0000-0000E0760000}"/>
    <cellStyle name="40% - Accent4 2 2 2 7 5" xfId="12029" xr:uid="{00000000-0005-0000-0000-0000E1760000}"/>
    <cellStyle name="40% - Accent4 2 2 2 7 6" xfId="17505" xr:uid="{00000000-0005-0000-0000-0000E2760000}"/>
    <cellStyle name="40% - Accent4 2 2 2 7 7" xfId="22981" xr:uid="{00000000-0005-0000-0000-0000E3760000}"/>
    <cellStyle name="40% - Accent4 2 2 2 7 8" xfId="34776" xr:uid="{00000000-0005-0000-0000-0000E4760000}"/>
    <cellStyle name="40% - Accent4 2 2 2 7 9" xfId="40253" xr:uid="{00000000-0005-0000-0000-0000E5760000}"/>
    <cellStyle name="40% - Accent4 2 2 2 8" xfId="1465" xr:uid="{00000000-0005-0000-0000-0000E6760000}"/>
    <cellStyle name="40% - Accent4 2 2 2 8 10" xfId="45731" xr:uid="{00000000-0005-0000-0000-0000E7760000}"/>
    <cellStyle name="40% - Accent4 2 2 2 8 11" xfId="51209" xr:uid="{00000000-0005-0000-0000-0000E8760000}"/>
    <cellStyle name="40% - Accent4 2 2 2 8 2" xfId="3226" xr:uid="{00000000-0005-0000-0000-0000E9760000}"/>
    <cellStyle name="40% - Accent4 2 2 2 8 2 2" xfId="8706" xr:uid="{00000000-0005-0000-0000-0000EA760000}"/>
    <cellStyle name="40% - Accent4 2 2 2 8 2 3" xfId="14182" xr:uid="{00000000-0005-0000-0000-0000EB760000}"/>
    <cellStyle name="40% - Accent4 2 2 2 8 2 4" xfId="19658" xr:uid="{00000000-0005-0000-0000-0000EC760000}"/>
    <cellStyle name="40% - Accent4 2 2 2 8 2 5" xfId="25134" xr:uid="{00000000-0005-0000-0000-0000ED760000}"/>
    <cellStyle name="40% - Accent4 2 2 2 8 2 6" xfId="36930" xr:uid="{00000000-0005-0000-0000-0000EE760000}"/>
    <cellStyle name="40% - Accent4 2 2 2 8 2 7" xfId="42407" xr:uid="{00000000-0005-0000-0000-0000EF760000}"/>
    <cellStyle name="40% - Accent4 2 2 2 8 2 8" xfId="47884" xr:uid="{00000000-0005-0000-0000-0000F0760000}"/>
    <cellStyle name="40% - Accent4 2 2 2 8 2 9" xfId="53402" xr:uid="{00000000-0005-0000-0000-0000F1760000}"/>
    <cellStyle name="40% - Accent4 2 2 2 8 3" xfId="4998" xr:uid="{00000000-0005-0000-0000-0000F2760000}"/>
    <cellStyle name="40% - Accent4 2 2 2 8 3 2" xfId="10478" xr:uid="{00000000-0005-0000-0000-0000F3760000}"/>
    <cellStyle name="40% - Accent4 2 2 2 8 3 3" xfId="15954" xr:uid="{00000000-0005-0000-0000-0000F4760000}"/>
    <cellStyle name="40% - Accent4 2 2 2 8 3 4" xfId="21430" xr:uid="{00000000-0005-0000-0000-0000F5760000}"/>
    <cellStyle name="40% - Accent4 2 2 2 8 3 5" xfId="26906" xr:uid="{00000000-0005-0000-0000-0000F6760000}"/>
    <cellStyle name="40% - Accent4 2 2 2 8 3 6" xfId="38702" xr:uid="{00000000-0005-0000-0000-0000F7760000}"/>
    <cellStyle name="40% - Accent4 2 2 2 8 3 7" xfId="44179" xr:uid="{00000000-0005-0000-0000-0000F8760000}"/>
    <cellStyle name="40% - Accent4 2 2 2 8 3 8" xfId="49656" xr:uid="{00000000-0005-0000-0000-0000F9760000}"/>
    <cellStyle name="40% - Accent4 2 2 2 8 3 9" xfId="55174" xr:uid="{00000000-0005-0000-0000-0000FA760000}"/>
    <cellStyle name="40% - Accent4 2 2 2 8 4" xfId="6550" xr:uid="{00000000-0005-0000-0000-0000FB760000}"/>
    <cellStyle name="40% - Accent4 2 2 2 8 5" xfId="12030" xr:uid="{00000000-0005-0000-0000-0000FC760000}"/>
    <cellStyle name="40% - Accent4 2 2 2 8 6" xfId="17506" xr:uid="{00000000-0005-0000-0000-0000FD760000}"/>
    <cellStyle name="40% - Accent4 2 2 2 8 7" xfId="22982" xr:uid="{00000000-0005-0000-0000-0000FE760000}"/>
    <cellStyle name="40% - Accent4 2 2 2 8 8" xfId="34777" xr:uid="{00000000-0005-0000-0000-0000FF760000}"/>
    <cellStyle name="40% - Accent4 2 2 2 8 9" xfId="40254" xr:uid="{00000000-0005-0000-0000-000000770000}"/>
    <cellStyle name="40% - Accent4 2 2 2 9" xfId="1637" xr:uid="{00000000-0005-0000-0000-000001770000}"/>
    <cellStyle name="40% - Accent4 2 2 2 9 10" xfId="45732" xr:uid="{00000000-0005-0000-0000-000002770000}"/>
    <cellStyle name="40% - Accent4 2 2 2 9 11" xfId="51210" xr:uid="{00000000-0005-0000-0000-000003770000}"/>
    <cellStyle name="40% - Accent4 2 2 2 9 2" xfId="3398" xr:uid="{00000000-0005-0000-0000-000004770000}"/>
    <cellStyle name="40% - Accent4 2 2 2 9 2 2" xfId="8878" xr:uid="{00000000-0005-0000-0000-000005770000}"/>
    <cellStyle name="40% - Accent4 2 2 2 9 2 3" xfId="14354" xr:uid="{00000000-0005-0000-0000-000006770000}"/>
    <cellStyle name="40% - Accent4 2 2 2 9 2 4" xfId="19830" xr:uid="{00000000-0005-0000-0000-000007770000}"/>
    <cellStyle name="40% - Accent4 2 2 2 9 2 5" xfId="25306" xr:uid="{00000000-0005-0000-0000-000008770000}"/>
    <cellStyle name="40% - Accent4 2 2 2 9 2 6" xfId="37102" xr:uid="{00000000-0005-0000-0000-000009770000}"/>
    <cellStyle name="40% - Accent4 2 2 2 9 2 7" xfId="42579" xr:uid="{00000000-0005-0000-0000-00000A770000}"/>
    <cellStyle name="40% - Accent4 2 2 2 9 2 8" xfId="48056" xr:uid="{00000000-0005-0000-0000-00000B770000}"/>
    <cellStyle name="40% - Accent4 2 2 2 9 2 9" xfId="53574" xr:uid="{00000000-0005-0000-0000-00000C770000}"/>
    <cellStyle name="40% - Accent4 2 2 2 9 3" xfId="5170" xr:uid="{00000000-0005-0000-0000-00000D770000}"/>
    <cellStyle name="40% - Accent4 2 2 2 9 3 2" xfId="10650" xr:uid="{00000000-0005-0000-0000-00000E770000}"/>
    <cellStyle name="40% - Accent4 2 2 2 9 3 3" xfId="16126" xr:uid="{00000000-0005-0000-0000-00000F770000}"/>
    <cellStyle name="40% - Accent4 2 2 2 9 3 4" xfId="21602" xr:uid="{00000000-0005-0000-0000-000010770000}"/>
    <cellStyle name="40% - Accent4 2 2 2 9 3 5" xfId="27078" xr:uid="{00000000-0005-0000-0000-000011770000}"/>
    <cellStyle name="40% - Accent4 2 2 2 9 3 6" xfId="38874" xr:uid="{00000000-0005-0000-0000-000012770000}"/>
    <cellStyle name="40% - Accent4 2 2 2 9 3 7" xfId="44351" xr:uid="{00000000-0005-0000-0000-000013770000}"/>
    <cellStyle name="40% - Accent4 2 2 2 9 3 8" xfId="49828" xr:uid="{00000000-0005-0000-0000-000014770000}"/>
    <cellStyle name="40% - Accent4 2 2 2 9 3 9" xfId="55346" xr:uid="{00000000-0005-0000-0000-000015770000}"/>
    <cellStyle name="40% - Accent4 2 2 2 9 4" xfId="6551" xr:uid="{00000000-0005-0000-0000-000016770000}"/>
    <cellStyle name="40% - Accent4 2 2 2 9 5" xfId="12031" xr:uid="{00000000-0005-0000-0000-000017770000}"/>
    <cellStyle name="40% - Accent4 2 2 2 9 6" xfId="17507" xr:uid="{00000000-0005-0000-0000-000018770000}"/>
    <cellStyle name="40% - Accent4 2 2 2 9 7" xfId="22983" xr:uid="{00000000-0005-0000-0000-000019770000}"/>
    <cellStyle name="40% - Accent4 2 2 2 9 8" xfId="34778" xr:uid="{00000000-0005-0000-0000-00001A770000}"/>
    <cellStyle name="40% - Accent4 2 2 2 9 9" xfId="40255" xr:uid="{00000000-0005-0000-0000-00001B770000}"/>
    <cellStyle name="40% - Accent4 2 2 20" xfId="40243" xr:uid="{00000000-0005-0000-0000-00001C770000}"/>
    <cellStyle name="40% - Accent4 2 2 21" xfId="45720" xr:uid="{00000000-0005-0000-0000-00001D770000}"/>
    <cellStyle name="40% - Accent4 2 2 22" xfId="51198" xr:uid="{00000000-0005-0000-0000-00001E770000}"/>
    <cellStyle name="40% - Accent4 2 2 3" xfId="369" xr:uid="{00000000-0005-0000-0000-00001F770000}"/>
    <cellStyle name="40% - Accent4 2 2 3 10" xfId="40256" xr:uid="{00000000-0005-0000-0000-000020770000}"/>
    <cellStyle name="40% - Accent4 2 2 3 11" xfId="45733" xr:uid="{00000000-0005-0000-0000-000021770000}"/>
    <cellStyle name="40% - Accent4 2 2 3 12" xfId="51211" xr:uid="{00000000-0005-0000-0000-000022770000}"/>
    <cellStyle name="40% - Accent4 2 2 3 2" xfId="2162" xr:uid="{00000000-0005-0000-0000-000023770000}"/>
    <cellStyle name="40% - Accent4 2 2 3 2 2" xfId="7642" xr:uid="{00000000-0005-0000-0000-000024770000}"/>
    <cellStyle name="40% - Accent4 2 2 3 2 3" xfId="13118" xr:uid="{00000000-0005-0000-0000-000025770000}"/>
    <cellStyle name="40% - Accent4 2 2 3 2 4" xfId="18594" xr:uid="{00000000-0005-0000-0000-000026770000}"/>
    <cellStyle name="40% - Accent4 2 2 3 2 5" xfId="24070" xr:uid="{00000000-0005-0000-0000-000027770000}"/>
    <cellStyle name="40% - Accent4 2 2 3 2 6" xfId="35866" xr:uid="{00000000-0005-0000-0000-000028770000}"/>
    <cellStyle name="40% - Accent4 2 2 3 2 7" xfId="41343" xr:uid="{00000000-0005-0000-0000-000029770000}"/>
    <cellStyle name="40% - Accent4 2 2 3 2 8" xfId="46820" xr:uid="{00000000-0005-0000-0000-00002A770000}"/>
    <cellStyle name="40% - Accent4 2 2 3 2 9" xfId="52338" xr:uid="{00000000-0005-0000-0000-00002B770000}"/>
    <cellStyle name="40% - Accent4 2 2 3 3" xfId="3931" xr:uid="{00000000-0005-0000-0000-00002C770000}"/>
    <cellStyle name="40% - Accent4 2 2 3 3 2" xfId="9411" xr:uid="{00000000-0005-0000-0000-00002D770000}"/>
    <cellStyle name="40% - Accent4 2 2 3 3 3" xfId="14887" xr:uid="{00000000-0005-0000-0000-00002E770000}"/>
    <cellStyle name="40% - Accent4 2 2 3 3 4" xfId="20363" xr:uid="{00000000-0005-0000-0000-00002F770000}"/>
    <cellStyle name="40% - Accent4 2 2 3 3 5" xfId="25839" xr:uid="{00000000-0005-0000-0000-000030770000}"/>
    <cellStyle name="40% - Accent4 2 2 3 3 6" xfId="37635" xr:uid="{00000000-0005-0000-0000-000031770000}"/>
    <cellStyle name="40% - Accent4 2 2 3 3 7" xfId="43112" xr:uid="{00000000-0005-0000-0000-000032770000}"/>
    <cellStyle name="40% - Accent4 2 2 3 3 8" xfId="48589" xr:uid="{00000000-0005-0000-0000-000033770000}"/>
    <cellStyle name="40% - Accent4 2 2 3 3 9" xfId="54107" xr:uid="{00000000-0005-0000-0000-000034770000}"/>
    <cellStyle name="40% - Accent4 2 2 3 4" xfId="6552" xr:uid="{00000000-0005-0000-0000-000035770000}"/>
    <cellStyle name="40% - Accent4 2 2 3 5" xfId="12032" xr:uid="{00000000-0005-0000-0000-000036770000}"/>
    <cellStyle name="40% - Accent4 2 2 3 6" xfId="17508" xr:uid="{00000000-0005-0000-0000-000037770000}"/>
    <cellStyle name="40% - Accent4 2 2 3 7" xfId="22984" xr:uid="{00000000-0005-0000-0000-000038770000}"/>
    <cellStyle name="40% - Accent4 2 2 3 8" xfId="31680" xr:uid="{00000000-0005-0000-0000-000039770000}"/>
    <cellStyle name="40% - Accent4 2 2 3 9" xfId="34779" xr:uid="{00000000-0005-0000-0000-00003A770000}"/>
    <cellStyle name="40% - Accent4 2 2 4" xfId="570" xr:uid="{00000000-0005-0000-0000-00003B770000}"/>
    <cellStyle name="40% - Accent4 2 2 4 10" xfId="45734" xr:uid="{00000000-0005-0000-0000-00003C770000}"/>
    <cellStyle name="40% - Accent4 2 2 4 11" xfId="51212" xr:uid="{00000000-0005-0000-0000-00003D770000}"/>
    <cellStyle name="40% - Accent4 2 2 4 2" xfId="2331" xr:uid="{00000000-0005-0000-0000-00003E770000}"/>
    <cellStyle name="40% - Accent4 2 2 4 2 2" xfId="7811" xr:uid="{00000000-0005-0000-0000-00003F770000}"/>
    <cellStyle name="40% - Accent4 2 2 4 2 3" xfId="13287" xr:uid="{00000000-0005-0000-0000-000040770000}"/>
    <cellStyle name="40% - Accent4 2 2 4 2 4" xfId="18763" xr:uid="{00000000-0005-0000-0000-000041770000}"/>
    <cellStyle name="40% - Accent4 2 2 4 2 5" xfId="24239" xr:uid="{00000000-0005-0000-0000-000042770000}"/>
    <cellStyle name="40% - Accent4 2 2 4 2 6" xfId="36035" xr:uid="{00000000-0005-0000-0000-000043770000}"/>
    <cellStyle name="40% - Accent4 2 2 4 2 7" xfId="41512" xr:uid="{00000000-0005-0000-0000-000044770000}"/>
    <cellStyle name="40% - Accent4 2 2 4 2 8" xfId="46989" xr:uid="{00000000-0005-0000-0000-000045770000}"/>
    <cellStyle name="40% - Accent4 2 2 4 2 9" xfId="52507" xr:uid="{00000000-0005-0000-0000-000046770000}"/>
    <cellStyle name="40% - Accent4 2 2 4 3" xfId="4103" xr:uid="{00000000-0005-0000-0000-000047770000}"/>
    <cellStyle name="40% - Accent4 2 2 4 3 2" xfId="9583" xr:uid="{00000000-0005-0000-0000-000048770000}"/>
    <cellStyle name="40% - Accent4 2 2 4 3 3" xfId="15059" xr:uid="{00000000-0005-0000-0000-000049770000}"/>
    <cellStyle name="40% - Accent4 2 2 4 3 4" xfId="20535" xr:uid="{00000000-0005-0000-0000-00004A770000}"/>
    <cellStyle name="40% - Accent4 2 2 4 3 5" xfId="26011" xr:uid="{00000000-0005-0000-0000-00004B770000}"/>
    <cellStyle name="40% - Accent4 2 2 4 3 6" xfId="37807" xr:uid="{00000000-0005-0000-0000-00004C770000}"/>
    <cellStyle name="40% - Accent4 2 2 4 3 7" xfId="43284" xr:uid="{00000000-0005-0000-0000-00004D770000}"/>
    <cellStyle name="40% - Accent4 2 2 4 3 8" xfId="48761" xr:uid="{00000000-0005-0000-0000-00004E770000}"/>
    <cellStyle name="40% - Accent4 2 2 4 3 9" xfId="54279" xr:uid="{00000000-0005-0000-0000-00004F770000}"/>
    <cellStyle name="40% - Accent4 2 2 4 4" xfId="6553" xr:uid="{00000000-0005-0000-0000-000050770000}"/>
    <cellStyle name="40% - Accent4 2 2 4 5" xfId="12033" xr:uid="{00000000-0005-0000-0000-000051770000}"/>
    <cellStyle name="40% - Accent4 2 2 4 6" xfId="17509" xr:uid="{00000000-0005-0000-0000-000052770000}"/>
    <cellStyle name="40% - Accent4 2 2 4 7" xfId="22985" xr:uid="{00000000-0005-0000-0000-000053770000}"/>
    <cellStyle name="40% - Accent4 2 2 4 8" xfId="34780" xr:uid="{00000000-0005-0000-0000-000054770000}"/>
    <cellStyle name="40% - Accent4 2 2 4 9" xfId="40257" xr:uid="{00000000-0005-0000-0000-000055770000}"/>
    <cellStyle name="40% - Accent4 2 2 5" xfId="742" xr:uid="{00000000-0005-0000-0000-000056770000}"/>
    <cellStyle name="40% - Accent4 2 2 5 10" xfId="45735" xr:uid="{00000000-0005-0000-0000-000057770000}"/>
    <cellStyle name="40% - Accent4 2 2 5 11" xfId="51213" xr:uid="{00000000-0005-0000-0000-000058770000}"/>
    <cellStyle name="40% - Accent4 2 2 5 2" xfId="2503" xr:uid="{00000000-0005-0000-0000-000059770000}"/>
    <cellStyle name="40% - Accent4 2 2 5 2 2" xfId="7983" xr:uid="{00000000-0005-0000-0000-00005A770000}"/>
    <cellStyle name="40% - Accent4 2 2 5 2 3" xfId="13459" xr:uid="{00000000-0005-0000-0000-00005B770000}"/>
    <cellStyle name="40% - Accent4 2 2 5 2 4" xfId="18935" xr:uid="{00000000-0005-0000-0000-00005C770000}"/>
    <cellStyle name="40% - Accent4 2 2 5 2 5" xfId="24411" xr:uid="{00000000-0005-0000-0000-00005D770000}"/>
    <cellStyle name="40% - Accent4 2 2 5 2 6" xfId="36207" xr:uid="{00000000-0005-0000-0000-00005E770000}"/>
    <cellStyle name="40% - Accent4 2 2 5 2 7" xfId="41684" xr:uid="{00000000-0005-0000-0000-00005F770000}"/>
    <cellStyle name="40% - Accent4 2 2 5 2 8" xfId="47161" xr:uid="{00000000-0005-0000-0000-000060770000}"/>
    <cellStyle name="40% - Accent4 2 2 5 2 9" xfId="52679" xr:uid="{00000000-0005-0000-0000-000061770000}"/>
    <cellStyle name="40% - Accent4 2 2 5 3" xfId="4275" xr:uid="{00000000-0005-0000-0000-000062770000}"/>
    <cellStyle name="40% - Accent4 2 2 5 3 2" xfId="9755" xr:uid="{00000000-0005-0000-0000-000063770000}"/>
    <cellStyle name="40% - Accent4 2 2 5 3 3" xfId="15231" xr:uid="{00000000-0005-0000-0000-000064770000}"/>
    <cellStyle name="40% - Accent4 2 2 5 3 4" xfId="20707" xr:uid="{00000000-0005-0000-0000-000065770000}"/>
    <cellStyle name="40% - Accent4 2 2 5 3 5" xfId="26183" xr:uid="{00000000-0005-0000-0000-000066770000}"/>
    <cellStyle name="40% - Accent4 2 2 5 3 6" xfId="37979" xr:uid="{00000000-0005-0000-0000-000067770000}"/>
    <cellStyle name="40% - Accent4 2 2 5 3 7" xfId="43456" xr:uid="{00000000-0005-0000-0000-000068770000}"/>
    <cellStyle name="40% - Accent4 2 2 5 3 8" xfId="48933" xr:uid="{00000000-0005-0000-0000-000069770000}"/>
    <cellStyle name="40% - Accent4 2 2 5 3 9" xfId="54451" xr:uid="{00000000-0005-0000-0000-00006A770000}"/>
    <cellStyle name="40% - Accent4 2 2 5 4" xfId="6554" xr:uid="{00000000-0005-0000-0000-00006B770000}"/>
    <cellStyle name="40% - Accent4 2 2 5 5" xfId="12034" xr:uid="{00000000-0005-0000-0000-00006C770000}"/>
    <cellStyle name="40% - Accent4 2 2 5 6" xfId="17510" xr:uid="{00000000-0005-0000-0000-00006D770000}"/>
    <cellStyle name="40% - Accent4 2 2 5 7" xfId="22986" xr:uid="{00000000-0005-0000-0000-00006E770000}"/>
    <cellStyle name="40% - Accent4 2 2 5 8" xfId="34781" xr:uid="{00000000-0005-0000-0000-00006F770000}"/>
    <cellStyle name="40% - Accent4 2 2 5 9" xfId="40258" xr:uid="{00000000-0005-0000-0000-000070770000}"/>
    <cellStyle name="40% - Accent4 2 2 6" xfId="914" xr:uid="{00000000-0005-0000-0000-000071770000}"/>
    <cellStyle name="40% - Accent4 2 2 6 10" xfId="45736" xr:uid="{00000000-0005-0000-0000-000072770000}"/>
    <cellStyle name="40% - Accent4 2 2 6 11" xfId="51214" xr:uid="{00000000-0005-0000-0000-000073770000}"/>
    <cellStyle name="40% - Accent4 2 2 6 2" xfId="2675" xr:uid="{00000000-0005-0000-0000-000074770000}"/>
    <cellStyle name="40% - Accent4 2 2 6 2 2" xfId="8155" xr:uid="{00000000-0005-0000-0000-000075770000}"/>
    <cellStyle name="40% - Accent4 2 2 6 2 3" xfId="13631" xr:uid="{00000000-0005-0000-0000-000076770000}"/>
    <cellStyle name="40% - Accent4 2 2 6 2 4" xfId="19107" xr:uid="{00000000-0005-0000-0000-000077770000}"/>
    <cellStyle name="40% - Accent4 2 2 6 2 5" xfId="24583" xr:uid="{00000000-0005-0000-0000-000078770000}"/>
    <cellStyle name="40% - Accent4 2 2 6 2 6" xfId="36379" xr:uid="{00000000-0005-0000-0000-000079770000}"/>
    <cellStyle name="40% - Accent4 2 2 6 2 7" xfId="41856" xr:uid="{00000000-0005-0000-0000-00007A770000}"/>
    <cellStyle name="40% - Accent4 2 2 6 2 8" xfId="47333" xr:uid="{00000000-0005-0000-0000-00007B770000}"/>
    <cellStyle name="40% - Accent4 2 2 6 2 9" xfId="52851" xr:uid="{00000000-0005-0000-0000-00007C770000}"/>
    <cellStyle name="40% - Accent4 2 2 6 3" xfId="4447" xr:uid="{00000000-0005-0000-0000-00007D770000}"/>
    <cellStyle name="40% - Accent4 2 2 6 3 2" xfId="9927" xr:uid="{00000000-0005-0000-0000-00007E770000}"/>
    <cellStyle name="40% - Accent4 2 2 6 3 3" xfId="15403" xr:uid="{00000000-0005-0000-0000-00007F770000}"/>
    <cellStyle name="40% - Accent4 2 2 6 3 4" xfId="20879" xr:uid="{00000000-0005-0000-0000-000080770000}"/>
    <cellStyle name="40% - Accent4 2 2 6 3 5" xfId="26355" xr:uid="{00000000-0005-0000-0000-000081770000}"/>
    <cellStyle name="40% - Accent4 2 2 6 3 6" xfId="38151" xr:uid="{00000000-0005-0000-0000-000082770000}"/>
    <cellStyle name="40% - Accent4 2 2 6 3 7" xfId="43628" xr:uid="{00000000-0005-0000-0000-000083770000}"/>
    <cellStyle name="40% - Accent4 2 2 6 3 8" xfId="49105" xr:uid="{00000000-0005-0000-0000-000084770000}"/>
    <cellStyle name="40% - Accent4 2 2 6 3 9" xfId="54623" xr:uid="{00000000-0005-0000-0000-000085770000}"/>
    <cellStyle name="40% - Accent4 2 2 6 4" xfId="6555" xr:uid="{00000000-0005-0000-0000-000086770000}"/>
    <cellStyle name="40% - Accent4 2 2 6 5" xfId="12035" xr:uid="{00000000-0005-0000-0000-000087770000}"/>
    <cellStyle name="40% - Accent4 2 2 6 6" xfId="17511" xr:uid="{00000000-0005-0000-0000-000088770000}"/>
    <cellStyle name="40% - Accent4 2 2 6 7" xfId="22987" xr:uid="{00000000-0005-0000-0000-000089770000}"/>
    <cellStyle name="40% - Accent4 2 2 6 8" xfId="34782" xr:uid="{00000000-0005-0000-0000-00008A770000}"/>
    <cellStyle name="40% - Accent4 2 2 6 9" xfId="40259" xr:uid="{00000000-0005-0000-0000-00008B770000}"/>
    <cellStyle name="40% - Accent4 2 2 7" xfId="1120" xr:uid="{00000000-0005-0000-0000-00008C770000}"/>
    <cellStyle name="40% - Accent4 2 2 7 10" xfId="45737" xr:uid="{00000000-0005-0000-0000-00008D770000}"/>
    <cellStyle name="40% - Accent4 2 2 7 11" xfId="51215" xr:uid="{00000000-0005-0000-0000-00008E770000}"/>
    <cellStyle name="40% - Accent4 2 2 7 2" xfId="2881" xr:uid="{00000000-0005-0000-0000-00008F770000}"/>
    <cellStyle name="40% - Accent4 2 2 7 2 2" xfId="8361" xr:uid="{00000000-0005-0000-0000-000090770000}"/>
    <cellStyle name="40% - Accent4 2 2 7 2 3" xfId="13837" xr:uid="{00000000-0005-0000-0000-000091770000}"/>
    <cellStyle name="40% - Accent4 2 2 7 2 4" xfId="19313" xr:uid="{00000000-0005-0000-0000-000092770000}"/>
    <cellStyle name="40% - Accent4 2 2 7 2 5" xfId="24789" xr:uid="{00000000-0005-0000-0000-000093770000}"/>
    <cellStyle name="40% - Accent4 2 2 7 2 6" xfId="36585" xr:uid="{00000000-0005-0000-0000-000094770000}"/>
    <cellStyle name="40% - Accent4 2 2 7 2 7" xfId="42062" xr:uid="{00000000-0005-0000-0000-000095770000}"/>
    <cellStyle name="40% - Accent4 2 2 7 2 8" xfId="47539" xr:uid="{00000000-0005-0000-0000-000096770000}"/>
    <cellStyle name="40% - Accent4 2 2 7 2 9" xfId="53057" xr:uid="{00000000-0005-0000-0000-000097770000}"/>
    <cellStyle name="40% - Accent4 2 2 7 3" xfId="4653" xr:uid="{00000000-0005-0000-0000-000098770000}"/>
    <cellStyle name="40% - Accent4 2 2 7 3 2" xfId="10133" xr:uid="{00000000-0005-0000-0000-000099770000}"/>
    <cellStyle name="40% - Accent4 2 2 7 3 3" xfId="15609" xr:uid="{00000000-0005-0000-0000-00009A770000}"/>
    <cellStyle name="40% - Accent4 2 2 7 3 4" xfId="21085" xr:uid="{00000000-0005-0000-0000-00009B770000}"/>
    <cellStyle name="40% - Accent4 2 2 7 3 5" xfId="26561" xr:uid="{00000000-0005-0000-0000-00009C770000}"/>
    <cellStyle name="40% - Accent4 2 2 7 3 6" xfId="38357" xr:uid="{00000000-0005-0000-0000-00009D770000}"/>
    <cellStyle name="40% - Accent4 2 2 7 3 7" xfId="43834" xr:uid="{00000000-0005-0000-0000-00009E770000}"/>
    <cellStyle name="40% - Accent4 2 2 7 3 8" xfId="49311" xr:uid="{00000000-0005-0000-0000-00009F770000}"/>
    <cellStyle name="40% - Accent4 2 2 7 3 9" xfId="54829" xr:uid="{00000000-0005-0000-0000-0000A0770000}"/>
    <cellStyle name="40% - Accent4 2 2 7 4" xfId="6556" xr:uid="{00000000-0005-0000-0000-0000A1770000}"/>
    <cellStyle name="40% - Accent4 2 2 7 5" xfId="12036" xr:uid="{00000000-0005-0000-0000-0000A2770000}"/>
    <cellStyle name="40% - Accent4 2 2 7 6" xfId="17512" xr:uid="{00000000-0005-0000-0000-0000A3770000}"/>
    <cellStyle name="40% - Accent4 2 2 7 7" xfId="22988" xr:uid="{00000000-0005-0000-0000-0000A4770000}"/>
    <cellStyle name="40% - Accent4 2 2 7 8" xfId="34783" xr:uid="{00000000-0005-0000-0000-0000A5770000}"/>
    <cellStyle name="40% - Accent4 2 2 7 9" xfId="40260" xr:uid="{00000000-0005-0000-0000-0000A6770000}"/>
    <cellStyle name="40% - Accent4 2 2 8" xfId="1292" xr:uid="{00000000-0005-0000-0000-0000A7770000}"/>
    <cellStyle name="40% - Accent4 2 2 8 10" xfId="45738" xr:uid="{00000000-0005-0000-0000-0000A8770000}"/>
    <cellStyle name="40% - Accent4 2 2 8 11" xfId="51216" xr:uid="{00000000-0005-0000-0000-0000A9770000}"/>
    <cellStyle name="40% - Accent4 2 2 8 2" xfId="3053" xr:uid="{00000000-0005-0000-0000-0000AA770000}"/>
    <cellStyle name="40% - Accent4 2 2 8 2 2" xfId="8533" xr:uid="{00000000-0005-0000-0000-0000AB770000}"/>
    <cellStyle name="40% - Accent4 2 2 8 2 3" xfId="14009" xr:uid="{00000000-0005-0000-0000-0000AC770000}"/>
    <cellStyle name="40% - Accent4 2 2 8 2 4" xfId="19485" xr:uid="{00000000-0005-0000-0000-0000AD770000}"/>
    <cellStyle name="40% - Accent4 2 2 8 2 5" xfId="24961" xr:uid="{00000000-0005-0000-0000-0000AE770000}"/>
    <cellStyle name="40% - Accent4 2 2 8 2 6" xfId="36757" xr:uid="{00000000-0005-0000-0000-0000AF770000}"/>
    <cellStyle name="40% - Accent4 2 2 8 2 7" xfId="42234" xr:uid="{00000000-0005-0000-0000-0000B0770000}"/>
    <cellStyle name="40% - Accent4 2 2 8 2 8" xfId="47711" xr:uid="{00000000-0005-0000-0000-0000B1770000}"/>
    <cellStyle name="40% - Accent4 2 2 8 2 9" xfId="53229" xr:uid="{00000000-0005-0000-0000-0000B2770000}"/>
    <cellStyle name="40% - Accent4 2 2 8 3" xfId="4825" xr:uid="{00000000-0005-0000-0000-0000B3770000}"/>
    <cellStyle name="40% - Accent4 2 2 8 3 2" xfId="10305" xr:uid="{00000000-0005-0000-0000-0000B4770000}"/>
    <cellStyle name="40% - Accent4 2 2 8 3 3" xfId="15781" xr:uid="{00000000-0005-0000-0000-0000B5770000}"/>
    <cellStyle name="40% - Accent4 2 2 8 3 4" xfId="21257" xr:uid="{00000000-0005-0000-0000-0000B6770000}"/>
    <cellStyle name="40% - Accent4 2 2 8 3 5" xfId="26733" xr:uid="{00000000-0005-0000-0000-0000B7770000}"/>
    <cellStyle name="40% - Accent4 2 2 8 3 6" xfId="38529" xr:uid="{00000000-0005-0000-0000-0000B8770000}"/>
    <cellStyle name="40% - Accent4 2 2 8 3 7" xfId="44006" xr:uid="{00000000-0005-0000-0000-0000B9770000}"/>
    <cellStyle name="40% - Accent4 2 2 8 3 8" xfId="49483" xr:uid="{00000000-0005-0000-0000-0000BA770000}"/>
    <cellStyle name="40% - Accent4 2 2 8 3 9" xfId="55001" xr:uid="{00000000-0005-0000-0000-0000BB770000}"/>
    <cellStyle name="40% - Accent4 2 2 8 4" xfId="6557" xr:uid="{00000000-0005-0000-0000-0000BC770000}"/>
    <cellStyle name="40% - Accent4 2 2 8 5" xfId="12037" xr:uid="{00000000-0005-0000-0000-0000BD770000}"/>
    <cellStyle name="40% - Accent4 2 2 8 6" xfId="17513" xr:uid="{00000000-0005-0000-0000-0000BE770000}"/>
    <cellStyle name="40% - Accent4 2 2 8 7" xfId="22989" xr:uid="{00000000-0005-0000-0000-0000BF770000}"/>
    <cellStyle name="40% - Accent4 2 2 8 8" xfId="34784" xr:uid="{00000000-0005-0000-0000-0000C0770000}"/>
    <cellStyle name="40% - Accent4 2 2 8 9" xfId="40261" xr:uid="{00000000-0005-0000-0000-0000C1770000}"/>
    <cellStyle name="40% - Accent4 2 2 9" xfId="1464" xr:uid="{00000000-0005-0000-0000-0000C2770000}"/>
    <cellStyle name="40% - Accent4 2 2 9 10" xfId="45739" xr:uid="{00000000-0005-0000-0000-0000C3770000}"/>
    <cellStyle name="40% - Accent4 2 2 9 11" xfId="51217" xr:uid="{00000000-0005-0000-0000-0000C4770000}"/>
    <cellStyle name="40% - Accent4 2 2 9 2" xfId="3225" xr:uid="{00000000-0005-0000-0000-0000C5770000}"/>
    <cellStyle name="40% - Accent4 2 2 9 2 2" xfId="8705" xr:uid="{00000000-0005-0000-0000-0000C6770000}"/>
    <cellStyle name="40% - Accent4 2 2 9 2 3" xfId="14181" xr:uid="{00000000-0005-0000-0000-0000C7770000}"/>
    <cellStyle name="40% - Accent4 2 2 9 2 4" xfId="19657" xr:uid="{00000000-0005-0000-0000-0000C8770000}"/>
    <cellStyle name="40% - Accent4 2 2 9 2 5" xfId="25133" xr:uid="{00000000-0005-0000-0000-0000C9770000}"/>
    <cellStyle name="40% - Accent4 2 2 9 2 6" xfId="36929" xr:uid="{00000000-0005-0000-0000-0000CA770000}"/>
    <cellStyle name="40% - Accent4 2 2 9 2 7" xfId="42406" xr:uid="{00000000-0005-0000-0000-0000CB770000}"/>
    <cellStyle name="40% - Accent4 2 2 9 2 8" xfId="47883" xr:uid="{00000000-0005-0000-0000-0000CC770000}"/>
    <cellStyle name="40% - Accent4 2 2 9 2 9" xfId="53401" xr:uid="{00000000-0005-0000-0000-0000CD770000}"/>
    <cellStyle name="40% - Accent4 2 2 9 3" xfId="4997" xr:uid="{00000000-0005-0000-0000-0000CE770000}"/>
    <cellStyle name="40% - Accent4 2 2 9 3 2" xfId="10477" xr:uid="{00000000-0005-0000-0000-0000CF770000}"/>
    <cellStyle name="40% - Accent4 2 2 9 3 3" xfId="15953" xr:uid="{00000000-0005-0000-0000-0000D0770000}"/>
    <cellStyle name="40% - Accent4 2 2 9 3 4" xfId="21429" xr:uid="{00000000-0005-0000-0000-0000D1770000}"/>
    <cellStyle name="40% - Accent4 2 2 9 3 5" xfId="26905" xr:uid="{00000000-0005-0000-0000-0000D2770000}"/>
    <cellStyle name="40% - Accent4 2 2 9 3 6" xfId="38701" xr:uid="{00000000-0005-0000-0000-0000D3770000}"/>
    <cellStyle name="40% - Accent4 2 2 9 3 7" xfId="44178" xr:uid="{00000000-0005-0000-0000-0000D4770000}"/>
    <cellStyle name="40% - Accent4 2 2 9 3 8" xfId="49655" xr:uid="{00000000-0005-0000-0000-0000D5770000}"/>
    <cellStyle name="40% - Accent4 2 2 9 3 9" xfId="55173" xr:uid="{00000000-0005-0000-0000-0000D6770000}"/>
    <cellStyle name="40% - Accent4 2 2 9 4" xfId="6558" xr:uid="{00000000-0005-0000-0000-0000D7770000}"/>
    <cellStyle name="40% - Accent4 2 2 9 5" xfId="12038" xr:uid="{00000000-0005-0000-0000-0000D8770000}"/>
    <cellStyle name="40% - Accent4 2 2 9 6" xfId="17514" xr:uid="{00000000-0005-0000-0000-0000D9770000}"/>
    <cellStyle name="40% - Accent4 2 2 9 7" xfId="22990" xr:uid="{00000000-0005-0000-0000-0000DA770000}"/>
    <cellStyle name="40% - Accent4 2 2 9 8" xfId="34785" xr:uid="{00000000-0005-0000-0000-0000DB770000}"/>
    <cellStyle name="40% - Accent4 2 2 9 9" xfId="40262" xr:uid="{00000000-0005-0000-0000-0000DC770000}"/>
    <cellStyle name="40% - Accent4 2 20" xfId="6530" xr:uid="{00000000-0005-0000-0000-0000DD770000}"/>
    <cellStyle name="40% - Accent4 2 21" xfId="12010" xr:uid="{00000000-0005-0000-0000-0000DE770000}"/>
    <cellStyle name="40% - Accent4 2 22" xfId="17486" xr:uid="{00000000-0005-0000-0000-0000DF770000}"/>
    <cellStyle name="40% - Accent4 2 23" xfId="22962" xr:uid="{00000000-0005-0000-0000-0000E0770000}"/>
    <cellStyle name="40% - Accent4 2 24" xfId="31676" xr:uid="{00000000-0005-0000-0000-0000E1770000}"/>
    <cellStyle name="40% - Accent4 2 25" xfId="34757" xr:uid="{00000000-0005-0000-0000-0000E2770000}"/>
    <cellStyle name="40% - Accent4 2 26" xfId="40234" xr:uid="{00000000-0005-0000-0000-0000E3770000}"/>
    <cellStyle name="40% - Accent4 2 27" xfId="45711" xr:uid="{00000000-0005-0000-0000-0000E4770000}"/>
    <cellStyle name="40% - Accent4 2 28" xfId="51189" xr:uid="{00000000-0005-0000-0000-0000E5770000}"/>
    <cellStyle name="40% - Accent4 2 3" xfId="156" xr:uid="{00000000-0005-0000-0000-0000E6770000}"/>
    <cellStyle name="40% - Accent4 2 3 10" xfId="1638" xr:uid="{00000000-0005-0000-0000-0000E7770000}"/>
    <cellStyle name="40% - Accent4 2 3 10 10" xfId="45741" xr:uid="{00000000-0005-0000-0000-0000E8770000}"/>
    <cellStyle name="40% - Accent4 2 3 10 11" xfId="51219" xr:uid="{00000000-0005-0000-0000-0000E9770000}"/>
    <cellStyle name="40% - Accent4 2 3 10 2" xfId="3399" xr:uid="{00000000-0005-0000-0000-0000EA770000}"/>
    <cellStyle name="40% - Accent4 2 3 10 2 2" xfId="8879" xr:uid="{00000000-0005-0000-0000-0000EB770000}"/>
    <cellStyle name="40% - Accent4 2 3 10 2 3" xfId="14355" xr:uid="{00000000-0005-0000-0000-0000EC770000}"/>
    <cellStyle name="40% - Accent4 2 3 10 2 4" xfId="19831" xr:uid="{00000000-0005-0000-0000-0000ED770000}"/>
    <cellStyle name="40% - Accent4 2 3 10 2 5" xfId="25307" xr:uid="{00000000-0005-0000-0000-0000EE770000}"/>
    <cellStyle name="40% - Accent4 2 3 10 2 6" xfId="37103" xr:uid="{00000000-0005-0000-0000-0000EF770000}"/>
    <cellStyle name="40% - Accent4 2 3 10 2 7" xfId="42580" xr:uid="{00000000-0005-0000-0000-0000F0770000}"/>
    <cellStyle name="40% - Accent4 2 3 10 2 8" xfId="48057" xr:uid="{00000000-0005-0000-0000-0000F1770000}"/>
    <cellStyle name="40% - Accent4 2 3 10 2 9" xfId="53575" xr:uid="{00000000-0005-0000-0000-0000F2770000}"/>
    <cellStyle name="40% - Accent4 2 3 10 3" xfId="5171" xr:uid="{00000000-0005-0000-0000-0000F3770000}"/>
    <cellStyle name="40% - Accent4 2 3 10 3 2" xfId="10651" xr:uid="{00000000-0005-0000-0000-0000F4770000}"/>
    <cellStyle name="40% - Accent4 2 3 10 3 3" xfId="16127" xr:uid="{00000000-0005-0000-0000-0000F5770000}"/>
    <cellStyle name="40% - Accent4 2 3 10 3 4" xfId="21603" xr:uid="{00000000-0005-0000-0000-0000F6770000}"/>
    <cellStyle name="40% - Accent4 2 3 10 3 5" xfId="27079" xr:uid="{00000000-0005-0000-0000-0000F7770000}"/>
    <cellStyle name="40% - Accent4 2 3 10 3 6" xfId="38875" xr:uid="{00000000-0005-0000-0000-0000F8770000}"/>
    <cellStyle name="40% - Accent4 2 3 10 3 7" xfId="44352" xr:uid="{00000000-0005-0000-0000-0000F9770000}"/>
    <cellStyle name="40% - Accent4 2 3 10 3 8" xfId="49829" xr:uid="{00000000-0005-0000-0000-0000FA770000}"/>
    <cellStyle name="40% - Accent4 2 3 10 3 9" xfId="55347" xr:uid="{00000000-0005-0000-0000-0000FB770000}"/>
    <cellStyle name="40% - Accent4 2 3 10 4" xfId="6560" xr:uid="{00000000-0005-0000-0000-0000FC770000}"/>
    <cellStyle name="40% - Accent4 2 3 10 5" xfId="12040" xr:uid="{00000000-0005-0000-0000-0000FD770000}"/>
    <cellStyle name="40% - Accent4 2 3 10 6" xfId="17516" xr:uid="{00000000-0005-0000-0000-0000FE770000}"/>
    <cellStyle name="40% - Accent4 2 3 10 7" xfId="22992" xr:uid="{00000000-0005-0000-0000-0000FF770000}"/>
    <cellStyle name="40% - Accent4 2 3 10 8" xfId="34787" xr:uid="{00000000-0005-0000-0000-000000780000}"/>
    <cellStyle name="40% - Accent4 2 3 10 9" xfId="40264" xr:uid="{00000000-0005-0000-0000-000001780000}"/>
    <cellStyle name="40% - Accent4 2 3 11" xfId="1834" xr:uid="{00000000-0005-0000-0000-000002780000}"/>
    <cellStyle name="40% - Accent4 2 3 11 10" xfId="45742" xr:uid="{00000000-0005-0000-0000-000003780000}"/>
    <cellStyle name="40% - Accent4 2 3 11 11" xfId="51220" xr:uid="{00000000-0005-0000-0000-000004780000}"/>
    <cellStyle name="40% - Accent4 2 3 11 2" xfId="3595" xr:uid="{00000000-0005-0000-0000-000005780000}"/>
    <cellStyle name="40% - Accent4 2 3 11 2 2" xfId="9075" xr:uid="{00000000-0005-0000-0000-000006780000}"/>
    <cellStyle name="40% - Accent4 2 3 11 2 3" xfId="14551" xr:uid="{00000000-0005-0000-0000-000007780000}"/>
    <cellStyle name="40% - Accent4 2 3 11 2 4" xfId="20027" xr:uid="{00000000-0005-0000-0000-000008780000}"/>
    <cellStyle name="40% - Accent4 2 3 11 2 5" xfId="25503" xr:uid="{00000000-0005-0000-0000-000009780000}"/>
    <cellStyle name="40% - Accent4 2 3 11 2 6" xfId="37299" xr:uid="{00000000-0005-0000-0000-00000A780000}"/>
    <cellStyle name="40% - Accent4 2 3 11 2 7" xfId="42776" xr:uid="{00000000-0005-0000-0000-00000B780000}"/>
    <cellStyle name="40% - Accent4 2 3 11 2 8" xfId="48253" xr:uid="{00000000-0005-0000-0000-00000C780000}"/>
    <cellStyle name="40% - Accent4 2 3 11 2 9" xfId="53771" xr:uid="{00000000-0005-0000-0000-00000D780000}"/>
    <cellStyle name="40% - Accent4 2 3 11 3" xfId="5367" xr:uid="{00000000-0005-0000-0000-00000E780000}"/>
    <cellStyle name="40% - Accent4 2 3 11 3 2" xfId="10847" xr:uid="{00000000-0005-0000-0000-00000F780000}"/>
    <cellStyle name="40% - Accent4 2 3 11 3 3" xfId="16323" xr:uid="{00000000-0005-0000-0000-000010780000}"/>
    <cellStyle name="40% - Accent4 2 3 11 3 4" xfId="21799" xr:uid="{00000000-0005-0000-0000-000011780000}"/>
    <cellStyle name="40% - Accent4 2 3 11 3 5" xfId="27275" xr:uid="{00000000-0005-0000-0000-000012780000}"/>
    <cellStyle name="40% - Accent4 2 3 11 3 6" xfId="39071" xr:uid="{00000000-0005-0000-0000-000013780000}"/>
    <cellStyle name="40% - Accent4 2 3 11 3 7" xfId="44548" xr:uid="{00000000-0005-0000-0000-000014780000}"/>
    <cellStyle name="40% - Accent4 2 3 11 3 8" xfId="50025" xr:uid="{00000000-0005-0000-0000-000015780000}"/>
    <cellStyle name="40% - Accent4 2 3 11 3 9" xfId="55543" xr:uid="{00000000-0005-0000-0000-000016780000}"/>
    <cellStyle name="40% - Accent4 2 3 11 4" xfId="6561" xr:uid="{00000000-0005-0000-0000-000017780000}"/>
    <cellStyle name="40% - Accent4 2 3 11 5" xfId="12041" xr:uid="{00000000-0005-0000-0000-000018780000}"/>
    <cellStyle name="40% - Accent4 2 3 11 6" xfId="17517" xr:uid="{00000000-0005-0000-0000-000019780000}"/>
    <cellStyle name="40% - Accent4 2 3 11 7" xfId="22993" xr:uid="{00000000-0005-0000-0000-00001A780000}"/>
    <cellStyle name="40% - Accent4 2 3 11 8" xfId="34788" xr:uid="{00000000-0005-0000-0000-00001B780000}"/>
    <cellStyle name="40% - Accent4 2 3 11 9" xfId="40265" xr:uid="{00000000-0005-0000-0000-00001C780000}"/>
    <cellStyle name="40% - Accent4 2 3 12" xfId="2000" xr:uid="{00000000-0005-0000-0000-00001D780000}"/>
    <cellStyle name="40% - Accent4 2 3 12 10" xfId="52177" xr:uid="{00000000-0005-0000-0000-00001E780000}"/>
    <cellStyle name="40% - Accent4 2 3 12 2" xfId="5532" xr:uid="{00000000-0005-0000-0000-00001F780000}"/>
    <cellStyle name="40% - Accent4 2 3 12 2 2" xfId="11012" xr:uid="{00000000-0005-0000-0000-000020780000}"/>
    <cellStyle name="40% - Accent4 2 3 12 2 3" xfId="16488" xr:uid="{00000000-0005-0000-0000-000021780000}"/>
    <cellStyle name="40% - Accent4 2 3 12 2 4" xfId="21964" xr:uid="{00000000-0005-0000-0000-000022780000}"/>
    <cellStyle name="40% - Accent4 2 3 12 2 5" xfId="27440" xr:uid="{00000000-0005-0000-0000-000023780000}"/>
    <cellStyle name="40% - Accent4 2 3 12 2 6" xfId="39236" xr:uid="{00000000-0005-0000-0000-000024780000}"/>
    <cellStyle name="40% - Accent4 2 3 12 2 7" xfId="44713" xr:uid="{00000000-0005-0000-0000-000025780000}"/>
    <cellStyle name="40% - Accent4 2 3 12 2 8" xfId="50190" xr:uid="{00000000-0005-0000-0000-000026780000}"/>
    <cellStyle name="40% - Accent4 2 3 12 2 9" xfId="55708" xr:uid="{00000000-0005-0000-0000-000027780000}"/>
    <cellStyle name="40% - Accent4 2 3 12 3" xfId="7481" xr:uid="{00000000-0005-0000-0000-000028780000}"/>
    <cellStyle name="40% - Accent4 2 3 12 4" xfId="12957" xr:uid="{00000000-0005-0000-0000-000029780000}"/>
    <cellStyle name="40% - Accent4 2 3 12 5" xfId="18433" xr:uid="{00000000-0005-0000-0000-00002A780000}"/>
    <cellStyle name="40% - Accent4 2 3 12 6" xfId="23909" xr:uid="{00000000-0005-0000-0000-00002B780000}"/>
    <cellStyle name="40% - Accent4 2 3 12 7" xfId="35705" xr:uid="{00000000-0005-0000-0000-00002C780000}"/>
    <cellStyle name="40% - Accent4 2 3 12 8" xfId="41182" xr:uid="{00000000-0005-0000-0000-00002D780000}"/>
    <cellStyle name="40% - Accent4 2 3 12 9" xfId="46659" xr:uid="{00000000-0005-0000-0000-00002E780000}"/>
    <cellStyle name="40% - Accent4 2 3 13" xfId="3728" xr:uid="{00000000-0005-0000-0000-00002F780000}"/>
    <cellStyle name="40% - Accent4 2 3 13 2" xfId="9208" xr:uid="{00000000-0005-0000-0000-000030780000}"/>
    <cellStyle name="40% - Accent4 2 3 13 3" xfId="14684" xr:uid="{00000000-0005-0000-0000-000031780000}"/>
    <cellStyle name="40% - Accent4 2 3 13 4" xfId="20160" xr:uid="{00000000-0005-0000-0000-000032780000}"/>
    <cellStyle name="40% - Accent4 2 3 13 5" xfId="25636" xr:uid="{00000000-0005-0000-0000-000033780000}"/>
    <cellStyle name="40% - Accent4 2 3 13 6" xfId="37432" xr:uid="{00000000-0005-0000-0000-000034780000}"/>
    <cellStyle name="40% - Accent4 2 3 13 7" xfId="42909" xr:uid="{00000000-0005-0000-0000-000035780000}"/>
    <cellStyle name="40% - Accent4 2 3 13 8" xfId="48386" xr:uid="{00000000-0005-0000-0000-000036780000}"/>
    <cellStyle name="40% - Accent4 2 3 13 9" xfId="53904" xr:uid="{00000000-0005-0000-0000-000037780000}"/>
    <cellStyle name="40% - Accent4 2 3 14" xfId="6559" xr:uid="{00000000-0005-0000-0000-000038780000}"/>
    <cellStyle name="40% - Accent4 2 3 15" xfId="12039" xr:uid="{00000000-0005-0000-0000-000039780000}"/>
    <cellStyle name="40% - Accent4 2 3 16" xfId="17515" xr:uid="{00000000-0005-0000-0000-00003A780000}"/>
    <cellStyle name="40% - Accent4 2 3 17" xfId="22991" xr:uid="{00000000-0005-0000-0000-00003B780000}"/>
    <cellStyle name="40% - Accent4 2 3 18" xfId="31681" xr:uid="{00000000-0005-0000-0000-00003C780000}"/>
    <cellStyle name="40% - Accent4 2 3 19" xfId="34786" xr:uid="{00000000-0005-0000-0000-00003D780000}"/>
    <cellStyle name="40% - Accent4 2 3 2" xfId="248" xr:uid="{00000000-0005-0000-0000-00003E780000}"/>
    <cellStyle name="40% - Accent4 2 3 2 10" xfId="1835" xr:uid="{00000000-0005-0000-0000-00003F780000}"/>
    <cellStyle name="40% - Accent4 2 3 2 10 10" xfId="45744" xr:uid="{00000000-0005-0000-0000-000040780000}"/>
    <cellStyle name="40% - Accent4 2 3 2 10 11" xfId="51222" xr:uid="{00000000-0005-0000-0000-000041780000}"/>
    <cellStyle name="40% - Accent4 2 3 2 10 2" xfId="3596" xr:uid="{00000000-0005-0000-0000-000042780000}"/>
    <cellStyle name="40% - Accent4 2 3 2 10 2 2" xfId="9076" xr:uid="{00000000-0005-0000-0000-000043780000}"/>
    <cellStyle name="40% - Accent4 2 3 2 10 2 3" xfId="14552" xr:uid="{00000000-0005-0000-0000-000044780000}"/>
    <cellStyle name="40% - Accent4 2 3 2 10 2 4" xfId="20028" xr:uid="{00000000-0005-0000-0000-000045780000}"/>
    <cellStyle name="40% - Accent4 2 3 2 10 2 5" xfId="25504" xr:uid="{00000000-0005-0000-0000-000046780000}"/>
    <cellStyle name="40% - Accent4 2 3 2 10 2 6" xfId="37300" xr:uid="{00000000-0005-0000-0000-000047780000}"/>
    <cellStyle name="40% - Accent4 2 3 2 10 2 7" xfId="42777" xr:uid="{00000000-0005-0000-0000-000048780000}"/>
    <cellStyle name="40% - Accent4 2 3 2 10 2 8" xfId="48254" xr:uid="{00000000-0005-0000-0000-000049780000}"/>
    <cellStyle name="40% - Accent4 2 3 2 10 2 9" xfId="53772" xr:uid="{00000000-0005-0000-0000-00004A780000}"/>
    <cellStyle name="40% - Accent4 2 3 2 10 3" xfId="5368" xr:uid="{00000000-0005-0000-0000-00004B780000}"/>
    <cellStyle name="40% - Accent4 2 3 2 10 3 2" xfId="10848" xr:uid="{00000000-0005-0000-0000-00004C780000}"/>
    <cellStyle name="40% - Accent4 2 3 2 10 3 3" xfId="16324" xr:uid="{00000000-0005-0000-0000-00004D780000}"/>
    <cellStyle name="40% - Accent4 2 3 2 10 3 4" xfId="21800" xr:uid="{00000000-0005-0000-0000-00004E780000}"/>
    <cellStyle name="40% - Accent4 2 3 2 10 3 5" xfId="27276" xr:uid="{00000000-0005-0000-0000-00004F780000}"/>
    <cellStyle name="40% - Accent4 2 3 2 10 3 6" xfId="39072" xr:uid="{00000000-0005-0000-0000-000050780000}"/>
    <cellStyle name="40% - Accent4 2 3 2 10 3 7" xfId="44549" xr:uid="{00000000-0005-0000-0000-000051780000}"/>
    <cellStyle name="40% - Accent4 2 3 2 10 3 8" xfId="50026" xr:uid="{00000000-0005-0000-0000-000052780000}"/>
    <cellStyle name="40% - Accent4 2 3 2 10 3 9" xfId="55544" xr:uid="{00000000-0005-0000-0000-000053780000}"/>
    <cellStyle name="40% - Accent4 2 3 2 10 4" xfId="6563" xr:uid="{00000000-0005-0000-0000-000054780000}"/>
    <cellStyle name="40% - Accent4 2 3 2 10 5" xfId="12043" xr:uid="{00000000-0005-0000-0000-000055780000}"/>
    <cellStyle name="40% - Accent4 2 3 2 10 6" xfId="17519" xr:uid="{00000000-0005-0000-0000-000056780000}"/>
    <cellStyle name="40% - Accent4 2 3 2 10 7" xfId="22995" xr:uid="{00000000-0005-0000-0000-000057780000}"/>
    <cellStyle name="40% - Accent4 2 3 2 10 8" xfId="34790" xr:uid="{00000000-0005-0000-0000-000058780000}"/>
    <cellStyle name="40% - Accent4 2 3 2 10 9" xfId="40267" xr:uid="{00000000-0005-0000-0000-000059780000}"/>
    <cellStyle name="40% - Accent4 2 3 2 11" xfId="2001" xr:uid="{00000000-0005-0000-0000-00005A780000}"/>
    <cellStyle name="40% - Accent4 2 3 2 11 10" xfId="52178" xr:uid="{00000000-0005-0000-0000-00005B780000}"/>
    <cellStyle name="40% - Accent4 2 3 2 11 2" xfId="5533" xr:uid="{00000000-0005-0000-0000-00005C780000}"/>
    <cellStyle name="40% - Accent4 2 3 2 11 2 2" xfId="11013" xr:uid="{00000000-0005-0000-0000-00005D780000}"/>
    <cellStyle name="40% - Accent4 2 3 2 11 2 3" xfId="16489" xr:uid="{00000000-0005-0000-0000-00005E780000}"/>
    <cellStyle name="40% - Accent4 2 3 2 11 2 4" xfId="21965" xr:uid="{00000000-0005-0000-0000-00005F780000}"/>
    <cellStyle name="40% - Accent4 2 3 2 11 2 5" xfId="27441" xr:uid="{00000000-0005-0000-0000-000060780000}"/>
    <cellStyle name="40% - Accent4 2 3 2 11 2 6" xfId="39237" xr:uid="{00000000-0005-0000-0000-000061780000}"/>
    <cellStyle name="40% - Accent4 2 3 2 11 2 7" xfId="44714" xr:uid="{00000000-0005-0000-0000-000062780000}"/>
    <cellStyle name="40% - Accent4 2 3 2 11 2 8" xfId="50191" xr:uid="{00000000-0005-0000-0000-000063780000}"/>
    <cellStyle name="40% - Accent4 2 3 2 11 2 9" xfId="55709" xr:uid="{00000000-0005-0000-0000-000064780000}"/>
    <cellStyle name="40% - Accent4 2 3 2 11 3" xfId="7482" xr:uid="{00000000-0005-0000-0000-000065780000}"/>
    <cellStyle name="40% - Accent4 2 3 2 11 4" xfId="12958" xr:uid="{00000000-0005-0000-0000-000066780000}"/>
    <cellStyle name="40% - Accent4 2 3 2 11 5" xfId="18434" xr:uid="{00000000-0005-0000-0000-000067780000}"/>
    <cellStyle name="40% - Accent4 2 3 2 11 6" xfId="23910" xr:uid="{00000000-0005-0000-0000-000068780000}"/>
    <cellStyle name="40% - Accent4 2 3 2 11 7" xfId="35706" xr:uid="{00000000-0005-0000-0000-000069780000}"/>
    <cellStyle name="40% - Accent4 2 3 2 11 8" xfId="41183" xr:uid="{00000000-0005-0000-0000-00006A780000}"/>
    <cellStyle name="40% - Accent4 2 3 2 11 9" xfId="46660" xr:uid="{00000000-0005-0000-0000-00006B780000}"/>
    <cellStyle name="40% - Accent4 2 3 2 12" xfId="3814" xr:uid="{00000000-0005-0000-0000-00006C780000}"/>
    <cellStyle name="40% - Accent4 2 3 2 12 2" xfId="9294" xr:uid="{00000000-0005-0000-0000-00006D780000}"/>
    <cellStyle name="40% - Accent4 2 3 2 12 3" xfId="14770" xr:uid="{00000000-0005-0000-0000-00006E780000}"/>
    <cellStyle name="40% - Accent4 2 3 2 12 4" xfId="20246" xr:uid="{00000000-0005-0000-0000-00006F780000}"/>
    <cellStyle name="40% - Accent4 2 3 2 12 5" xfId="25722" xr:uid="{00000000-0005-0000-0000-000070780000}"/>
    <cellStyle name="40% - Accent4 2 3 2 12 6" xfId="37518" xr:uid="{00000000-0005-0000-0000-000071780000}"/>
    <cellStyle name="40% - Accent4 2 3 2 12 7" xfId="42995" xr:uid="{00000000-0005-0000-0000-000072780000}"/>
    <cellStyle name="40% - Accent4 2 3 2 12 8" xfId="48472" xr:uid="{00000000-0005-0000-0000-000073780000}"/>
    <cellStyle name="40% - Accent4 2 3 2 12 9" xfId="53990" xr:uid="{00000000-0005-0000-0000-000074780000}"/>
    <cellStyle name="40% - Accent4 2 3 2 13" xfId="6562" xr:uid="{00000000-0005-0000-0000-000075780000}"/>
    <cellStyle name="40% - Accent4 2 3 2 14" xfId="12042" xr:uid="{00000000-0005-0000-0000-000076780000}"/>
    <cellStyle name="40% - Accent4 2 3 2 15" xfId="17518" xr:uid="{00000000-0005-0000-0000-000077780000}"/>
    <cellStyle name="40% - Accent4 2 3 2 16" xfId="22994" xr:uid="{00000000-0005-0000-0000-000078780000}"/>
    <cellStyle name="40% - Accent4 2 3 2 17" xfId="31682" xr:uid="{00000000-0005-0000-0000-000079780000}"/>
    <cellStyle name="40% - Accent4 2 3 2 18" xfId="34789" xr:uid="{00000000-0005-0000-0000-00007A780000}"/>
    <cellStyle name="40% - Accent4 2 3 2 19" xfId="40266" xr:uid="{00000000-0005-0000-0000-00007B780000}"/>
    <cellStyle name="40% - Accent4 2 3 2 2" xfId="372" xr:uid="{00000000-0005-0000-0000-00007C780000}"/>
    <cellStyle name="40% - Accent4 2 3 2 2 10" xfId="40268" xr:uid="{00000000-0005-0000-0000-00007D780000}"/>
    <cellStyle name="40% - Accent4 2 3 2 2 11" xfId="45745" xr:uid="{00000000-0005-0000-0000-00007E780000}"/>
    <cellStyle name="40% - Accent4 2 3 2 2 12" xfId="51223" xr:uid="{00000000-0005-0000-0000-00007F780000}"/>
    <cellStyle name="40% - Accent4 2 3 2 2 2" xfId="2165" xr:uid="{00000000-0005-0000-0000-000080780000}"/>
    <cellStyle name="40% - Accent4 2 3 2 2 2 2" xfId="7645" xr:uid="{00000000-0005-0000-0000-000081780000}"/>
    <cellStyle name="40% - Accent4 2 3 2 2 2 3" xfId="13121" xr:uid="{00000000-0005-0000-0000-000082780000}"/>
    <cellStyle name="40% - Accent4 2 3 2 2 2 4" xfId="18597" xr:uid="{00000000-0005-0000-0000-000083780000}"/>
    <cellStyle name="40% - Accent4 2 3 2 2 2 5" xfId="24073" xr:uid="{00000000-0005-0000-0000-000084780000}"/>
    <cellStyle name="40% - Accent4 2 3 2 2 2 6" xfId="35869" xr:uid="{00000000-0005-0000-0000-000085780000}"/>
    <cellStyle name="40% - Accent4 2 3 2 2 2 7" xfId="41346" xr:uid="{00000000-0005-0000-0000-000086780000}"/>
    <cellStyle name="40% - Accent4 2 3 2 2 2 8" xfId="46823" xr:uid="{00000000-0005-0000-0000-000087780000}"/>
    <cellStyle name="40% - Accent4 2 3 2 2 2 9" xfId="52341" xr:uid="{00000000-0005-0000-0000-000088780000}"/>
    <cellStyle name="40% - Accent4 2 3 2 2 3" xfId="3934" xr:uid="{00000000-0005-0000-0000-000089780000}"/>
    <cellStyle name="40% - Accent4 2 3 2 2 3 2" xfId="9414" xr:uid="{00000000-0005-0000-0000-00008A780000}"/>
    <cellStyle name="40% - Accent4 2 3 2 2 3 3" xfId="14890" xr:uid="{00000000-0005-0000-0000-00008B780000}"/>
    <cellStyle name="40% - Accent4 2 3 2 2 3 4" xfId="20366" xr:uid="{00000000-0005-0000-0000-00008C780000}"/>
    <cellStyle name="40% - Accent4 2 3 2 2 3 5" xfId="25842" xr:uid="{00000000-0005-0000-0000-00008D780000}"/>
    <cellStyle name="40% - Accent4 2 3 2 2 3 6" xfId="37638" xr:uid="{00000000-0005-0000-0000-00008E780000}"/>
    <cellStyle name="40% - Accent4 2 3 2 2 3 7" xfId="43115" xr:uid="{00000000-0005-0000-0000-00008F780000}"/>
    <cellStyle name="40% - Accent4 2 3 2 2 3 8" xfId="48592" xr:uid="{00000000-0005-0000-0000-000090780000}"/>
    <cellStyle name="40% - Accent4 2 3 2 2 3 9" xfId="54110" xr:uid="{00000000-0005-0000-0000-000091780000}"/>
    <cellStyle name="40% - Accent4 2 3 2 2 4" xfId="6564" xr:uid="{00000000-0005-0000-0000-000092780000}"/>
    <cellStyle name="40% - Accent4 2 3 2 2 5" xfId="12044" xr:uid="{00000000-0005-0000-0000-000093780000}"/>
    <cellStyle name="40% - Accent4 2 3 2 2 6" xfId="17520" xr:uid="{00000000-0005-0000-0000-000094780000}"/>
    <cellStyle name="40% - Accent4 2 3 2 2 7" xfId="22996" xr:uid="{00000000-0005-0000-0000-000095780000}"/>
    <cellStyle name="40% - Accent4 2 3 2 2 8" xfId="31683" xr:uid="{00000000-0005-0000-0000-000096780000}"/>
    <cellStyle name="40% - Accent4 2 3 2 2 9" xfId="34791" xr:uid="{00000000-0005-0000-0000-000097780000}"/>
    <cellStyle name="40% - Accent4 2 3 2 20" xfId="45743" xr:uid="{00000000-0005-0000-0000-000098780000}"/>
    <cellStyle name="40% - Accent4 2 3 2 21" xfId="51221" xr:uid="{00000000-0005-0000-0000-000099780000}"/>
    <cellStyle name="40% - Accent4 2 3 2 3" xfId="573" xr:uid="{00000000-0005-0000-0000-00009A780000}"/>
    <cellStyle name="40% - Accent4 2 3 2 3 10" xfId="45746" xr:uid="{00000000-0005-0000-0000-00009B780000}"/>
    <cellStyle name="40% - Accent4 2 3 2 3 11" xfId="51224" xr:uid="{00000000-0005-0000-0000-00009C780000}"/>
    <cellStyle name="40% - Accent4 2 3 2 3 2" xfId="2334" xr:uid="{00000000-0005-0000-0000-00009D780000}"/>
    <cellStyle name="40% - Accent4 2 3 2 3 2 2" xfId="7814" xr:uid="{00000000-0005-0000-0000-00009E780000}"/>
    <cellStyle name="40% - Accent4 2 3 2 3 2 3" xfId="13290" xr:uid="{00000000-0005-0000-0000-00009F780000}"/>
    <cellStyle name="40% - Accent4 2 3 2 3 2 4" xfId="18766" xr:uid="{00000000-0005-0000-0000-0000A0780000}"/>
    <cellStyle name="40% - Accent4 2 3 2 3 2 5" xfId="24242" xr:uid="{00000000-0005-0000-0000-0000A1780000}"/>
    <cellStyle name="40% - Accent4 2 3 2 3 2 6" xfId="36038" xr:uid="{00000000-0005-0000-0000-0000A2780000}"/>
    <cellStyle name="40% - Accent4 2 3 2 3 2 7" xfId="41515" xr:uid="{00000000-0005-0000-0000-0000A3780000}"/>
    <cellStyle name="40% - Accent4 2 3 2 3 2 8" xfId="46992" xr:uid="{00000000-0005-0000-0000-0000A4780000}"/>
    <cellStyle name="40% - Accent4 2 3 2 3 2 9" xfId="52510" xr:uid="{00000000-0005-0000-0000-0000A5780000}"/>
    <cellStyle name="40% - Accent4 2 3 2 3 3" xfId="4106" xr:uid="{00000000-0005-0000-0000-0000A6780000}"/>
    <cellStyle name="40% - Accent4 2 3 2 3 3 2" xfId="9586" xr:uid="{00000000-0005-0000-0000-0000A7780000}"/>
    <cellStyle name="40% - Accent4 2 3 2 3 3 3" xfId="15062" xr:uid="{00000000-0005-0000-0000-0000A8780000}"/>
    <cellStyle name="40% - Accent4 2 3 2 3 3 4" xfId="20538" xr:uid="{00000000-0005-0000-0000-0000A9780000}"/>
    <cellStyle name="40% - Accent4 2 3 2 3 3 5" xfId="26014" xr:uid="{00000000-0005-0000-0000-0000AA780000}"/>
    <cellStyle name="40% - Accent4 2 3 2 3 3 6" xfId="37810" xr:uid="{00000000-0005-0000-0000-0000AB780000}"/>
    <cellStyle name="40% - Accent4 2 3 2 3 3 7" xfId="43287" xr:uid="{00000000-0005-0000-0000-0000AC780000}"/>
    <cellStyle name="40% - Accent4 2 3 2 3 3 8" xfId="48764" xr:uid="{00000000-0005-0000-0000-0000AD780000}"/>
    <cellStyle name="40% - Accent4 2 3 2 3 3 9" xfId="54282" xr:uid="{00000000-0005-0000-0000-0000AE780000}"/>
    <cellStyle name="40% - Accent4 2 3 2 3 4" xfId="6565" xr:uid="{00000000-0005-0000-0000-0000AF780000}"/>
    <cellStyle name="40% - Accent4 2 3 2 3 5" xfId="12045" xr:uid="{00000000-0005-0000-0000-0000B0780000}"/>
    <cellStyle name="40% - Accent4 2 3 2 3 6" xfId="17521" xr:uid="{00000000-0005-0000-0000-0000B1780000}"/>
    <cellStyle name="40% - Accent4 2 3 2 3 7" xfId="22997" xr:uid="{00000000-0005-0000-0000-0000B2780000}"/>
    <cellStyle name="40% - Accent4 2 3 2 3 8" xfId="34792" xr:uid="{00000000-0005-0000-0000-0000B3780000}"/>
    <cellStyle name="40% - Accent4 2 3 2 3 9" xfId="40269" xr:uid="{00000000-0005-0000-0000-0000B4780000}"/>
    <cellStyle name="40% - Accent4 2 3 2 4" xfId="745" xr:uid="{00000000-0005-0000-0000-0000B5780000}"/>
    <cellStyle name="40% - Accent4 2 3 2 4 10" xfId="45747" xr:uid="{00000000-0005-0000-0000-0000B6780000}"/>
    <cellStyle name="40% - Accent4 2 3 2 4 11" xfId="51225" xr:uid="{00000000-0005-0000-0000-0000B7780000}"/>
    <cellStyle name="40% - Accent4 2 3 2 4 2" xfId="2506" xr:uid="{00000000-0005-0000-0000-0000B8780000}"/>
    <cellStyle name="40% - Accent4 2 3 2 4 2 2" xfId="7986" xr:uid="{00000000-0005-0000-0000-0000B9780000}"/>
    <cellStyle name="40% - Accent4 2 3 2 4 2 3" xfId="13462" xr:uid="{00000000-0005-0000-0000-0000BA780000}"/>
    <cellStyle name="40% - Accent4 2 3 2 4 2 4" xfId="18938" xr:uid="{00000000-0005-0000-0000-0000BB780000}"/>
    <cellStyle name="40% - Accent4 2 3 2 4 2 5" xfId="24414" xr:uid="{00000000-0005-0000-0000-0000BC780000}"/>
    <cellStyle name="40% - Accent4 2 3 2 4 2 6" xfId="36210" xr:uid="{00000000-0005-0000-0000-0000BD780000}"/>
    <cellStyle name="40% - Accent4 2 3 2 4 2 7" xfId="41687" xr:uid="{00000000-0005-0000-0000-0000BE780000}"/>
    <cellStyle name="40% - Accent4 2 3 2 4 2 8" xfId="47164" xr:uid="{00000000-0005-0000-0000-0000BF780000}"/>
    <cellStyle name="40% - Accent4 2 3 2 4 2 9" xfId="52682" xr:uid="{00000000-0005-0000-0000-0000C0780000}"/>
    <cellStyle name="40% - Accent4 2 3 2 4 3" xfId="4278" xr:uid="{00000000-0005-0000-0000-0000C1780000}"/>
    <cellStyle name="40% - Accent4 2 3 2 4 3 2" xfId="9758" xr:uid="{00000000-0005-0000-0000-0000C2780000}"/>
    <cellStyle name="40% - Accent4 2 3 2 4 3 3" xfId="15234" xr:uid="{00000000-0005-0000-0000-0000C3780000}"/>
    <cellStyle name="40% - Accent4 2 3 2 4 3 4" xfId="20710" xr:uid="{00000000-0005-0000-0000-0000C4780000}"/>
    <cellStyle name="40% - Accent4 2 3 2 4 3 5" xfId="26186" xr:uid="{00000000-0005-0000-0000-0000C5780000}"/>
    <cellStyle name="40% - Accent4 2 3 2 4 3 6" xfId="37982" xr:uid="{00000000-0005-0000-0000-0000C6780000}"/>
    <cellStyle name="40% - Accent4 2 3 2 4 3 7" xfId="43459" xr:uid="{00000000-0005-0000-0000-0000C7780000}"/>
    <cellStyle name="40% - Accent4 2 3 2 4 3 8" xfId="48936" xr:uid="{00000000-0005-0000-0000-0000C8780000}"/>
    <cellStyle name="40% - Accent4 2 3 2 4 3 9" xfId="54454" xr:uid="{00000000-0005-0000-0000-0000C9780000}"/>
    <cellStyle name="40% - Accent4 2 3 2 4 4" xfId="6566" xr:uid="{00000000-0005-0000-0000-0000CA780000}"/>
    <cellStyle name="40% - Accent4 2 3 2 4 5" xfId="12046" xr:uid="{00000000-0005-0000-0000-0000CB780000}"/>
    <cellStyle name="40% - Accent4 2 3 2 4 6" xfId="17522" xr:uid="{00000000-0005-0000-0000-0000CC780000}"/>
    <cellStyle name="40% - Accent4 2 3 2 4 7" xfId="22998" xr:uid="{00000000-0005-0000-0000-0000CD780000}"/>
    <cellStyle name="40% - Accent4 2 3 2 4 8" xfId="34793" xr:uid="{00000000-0005-0000-0000-0000CE780000}"/>
    <cellStyle name="40% - Accent4 2 3 2 4 9" xfId="40270" xr:uid="{00000000-0005-0000-0000-0000CF780000}"/>
    <cellStyle name="40% - Accent4 2 3 2 5" xfId="917" xr:uid="{00000000-0005-0000-0000-0000D0780000}"/>
    <cellStyle name="40% - Accent4 2 3 2 5 10" xfId="45748" xr:uid="{00000000-0005-0000-0000-0000D1780000}"/>
    <cellStyle name="40% - Accent4 2 3 2 5 11" xfId="51226" xr:uid="{00000000-0005-0000-0000-0000D2780000}"/>
    <cellStyle name="40% - Accent4 2 3 2 5 2" xfId="2678" xr:uid="{00000000-0005-0000-0000-0000D3780000}"/>
    <cellStyle name="40% - Accent4 2 3 2 5 2 2" xfId="8158" xr:uid="{00000000-0005-0000-0000-0000D4780000}"/>
    <cellStyle name="40% - Accent4 2 3 2 5 2 3" xfId="13634" xr:uid="{00000000-0005-0000-0000-0000D5780000}"/>
    <cellStyle name="40% - Accent4 2 3 2 5 2 4" xfId="19110" xr:uid="{00000000-0005-0000-0000-0000D6780000}"/>
    <cellStyle name="40% - Accent4 2 3 2 5 2 5" xfId="24586" xr:uid="{00000000-0005-0000-0000-0000D7780000}"/>
    <cellStyle name="40% - Accent4 2 3 2 5 2 6" xfId="36382" xr:uid="{00000000-0005-0000-0000-0000D8780000}"/>
    <cellStyle name="40% - Accent4 2 3 2 5 2 7" xfId="41859" xr:uid="{00000000-0005-0000-0000-0000D9780000}"/>
    <cellStyle name="40% - Accent4 2 3 2 5 2 8" xfId="47336" xr:uid="{00000000-0005-0000-0000-0000DA780000}"/>
    <cellStyle name="40% - Accent4 2 3 2 5 2 9" xfId="52854" xr:uid="{00000000-0005-0000-0000-0000DB780000}"/>
    <cellStyle name="40% - Accent4 2 3 2 5 3" xfId="4450" xr:uid="{00000000-0005-0000-0000-0000DC780000}"/>
    <cellStyle name="40% - Accent4 2 3 2 5 3 2" xfId="9930" xr:uid="{00000000-0005-0000-0000-0000DD780000}"/>
    <cellStyle name="40% - Accent4 2 3 2 5 3 3" xfId="15406" xr:uid="{00000000-0005-0000-0000-0000DE780000}"/>
    <cellStyle name="40% - Accent4 2 3 2 5 3 4" xfId="20882" xr:uid="{00000000-0005-0000-0000-0000DF780000}"/>
    <cellStyle name="40% - Accent4 2 3 2 5 3 5" xfId="26358" xr:uid="{00000000-0005-0000-0000-0000E0780000}"/>
    <cellStyle name="40% - Accent4 2 3 2 5 3 6" xfId="38154" xr:uid="{00000000-0005-0000-0000-0000E1780000}"/>
    <cellStyle name="40% - Accent4 2 3 2 5 3 7" xfId="43631" xr:uid="{00000000-0005-0000-0000-0000E2780000}"/>
    <cellStyle name="40% - Accent4 2 3 2 5 3 8" xfId="49108" xr:uid="{00000000-0005-0000-0000-0000E3780000}"/>
    <cellStyle name="40% - Accent4 2 3 2 5 3 9" xfId="54626" xr:uid="{00000000-0005-0000-0000-0000E4780000}"/>
    <cellStyle name="40% - Accent4 2 3 2 5 4" xfId="6567" xr:uid="{00000000-0005-0000-0000-0000E5780000}"/>
    <cellStyle name="40% - Accent4 2 3 2 5 5" xfId="12047" xr:uid="{00000000-0005-0000-0000-0000E6780000}"/>
    <cellStyle name="40% - Accent4 2 3 2 5 6" xfId="17523" xr:uid="{00000000-0005-0000-0000-0000E7780000}"/>
    <cellStyle name="40% - Accent4 2 3 2 5 7" xfId="22999" xr:uid="{00000000-0005-0000-0000-0000E8780000}"/>
    <cellStyle name="40% - Accent4 2 3 2 5 8" xfId="34794" xr:uid="{00000000-0005-0000-0000-0000E9780000}"/>
    <cellStyle name="40% - Accent4 2 3 2 5 9" xfId="40271" xr:uid="{00000000-0005-0000-0000-0000EA780000}"/>
    <cellStyle name="40% - Accent4 2 3 2 6" xfId="1123" xr:uid="{00000000-0005-0000-0000-0000EB780000}"/>
    <cellStyle name="40% - Accent4 2 3 2 6 10" xfId="45749" xr:uid="{00000000-0005-0000-0000-0000EC780000}"/>
    <cellStyle name="40% - Accent4 2 3 2 6 11" xfId="51227" xr:uid="{00000000-0005-0000-0000-0000ED780000}"/>
    <cellStyle name="40% - Accent4 2 3 2 6 2" xfId="2884" xr:uid="{00000000-0005-0000-0000-0000EE780000}"/>
    <cellStyle name="40% - Accent4 2 3 2 6 2 2" xfId="8364" xr:uid="{00000000-0005-0000-0000-0000EF780000}"/>
    <cellStyle name="40% - Accent4 2 3 2 6 2 3" xfId="13840" xr:uid="{00000000-0005-0000-0000-0000F0780000}"/>
    <cellStyle name="40% - Accent4 2 3 2 6 2 4" xfId="19316" xr:uid="{00000000-0005-0000-0000-0000F1780000}"/>
    <cellStyle name="40% - Accent4 2 3 2 6 2 5" xfId="24792" xr:uid="{00000000-0005-0000-0000-0000F2780000}"/>
    <cellStyle name="40% - Accent4 2 3 2 6 2 6" xfId="36588" xr:uid="{00000000-0005-0000-0000-0000F3780000}"/>
    <cellStyle name="40% - Accent4 2 3 2 6 2 7" xfId="42065" xr:uid="{00000000-0005-0000-0000-0000F4780000}"/>
    <cellStyle name="40% - Accent4 2 3 2 6 2 8" xfId="47542" xr:uid="{00000000-0005-0000-0000-0000F5780000}"/>
    <cellStyle name="40% - Accent4 2 3 2 6 2 9" xfId="53060" xr:uid="{00000000-0005-0000-0000-0000F6780000}"/>
    <cellStyle name="40% - Accent4 2 3 2 6 3" xfId="4656" xr:uid="{00000000-0005-0000-0000-0000F7780000}"/>
    <cellStyle name="40% - Accent4 2 3 2 6 3 2" xfId="10136" xr:uid="{00000000-0005-0000-0000-0000F8780000}"/>
    <cellStyle name="40% - Accent4 2 3 2 6 3 3" xfId="15612" xr:uid="{00000000-0005-0000-0000-0000F9780000}"/>
    <cellStyle name="40% - Accent4 2 3 2 6 3 4" xfId="21088" xr:uid="{00000000-0005-0000-0000-0000FA780000}"/>
    <cellStyle name="40% - Accent4 2 3 2 6 3 5" xfId="26564" xr:uid="{00000000-0005-0000-0000-0000FB780000}"/>
    <cellStyle name="40% - Accent4 2 3 2 6 3 6" xfId="38360" xr:uid="{00000000-0005-0000-0000-0000FC780000}"/>
    <cellStyle name="40% - Accent4 2 3 2 6 3 7" xfId="43837" xr:uid="{00000000-0005-0000-0000-0000FD780000}"/>
    <cellStyle name="40% - Accent4 2 3 2 6 3 8" xfId="49314" xr:uid="{00000000-0005-0000-0000-0000FE780000}"/>
    <cellStyle name="40% - Accent4 2 3 2 6 3 9" xfId="54832" xr:uid="{00000000-0005-0000-0000-0000FF780000}"/>
    <cellStyle name="40% - Accent4 2 3 2 6 4" xfId="6568" xr:uid="{00000000-0005-0000-0000-000000790000}"/>
    <cellStyle name="40% - Accent4 2 3 2 6 5" xfId="12048" xr:uid="{00000000-0005-0000-0000-000001790000}"/>
    <cellStyle name="40% - Accent4 2 3 2 6 6" xfId="17524" xr:uid="{00000000-0005-0000-0000-000002790000}"/>
    <cellStyle name="40% - Accent4 2 3 2 6 7" xfId="23000" xr:uid="{00000000-0005-0000-0000-000003790000}"/>
    <cellStyle name="40% - Accent4 2 3 2 6 8" xfId="34795" xr:uid="{00000000-0005-0000-0000-000004790000}"/>
    <cellStyle name="40% - Accent4 2 3 2 6 9" xfId="40272" xr:uid="{00000000-0005-0000-0000-000005790000}"/>
    <cellStyle name="40% - Accent4 2 3 2 7" xfId="1295" xr:uid="{00000000-0005-0000-0000-000006790000}"/>
    <cellStyle name="40% - Accent4 2 3 2 7 10" xfId="45750" xr:uid="{00000000-0005-0000-0000-000007790000}"/>
    <cellStyle name="40% - Accent4 2 3 2 7 11" xfId="51228" xr:uid="{00000000-0005-0000-0000-000008790000}"/>
    <cellStyle name="40% - Accent4 2 3 2 7 2" xfId="3056" xr:uid="{00000000-0005-0000-0000-000009790000}"/>
    <cellStyle name="40% - Accent4 2 3 2 7 2 2" xfId="8536" xr:uid="{00000000-0005-0000-0000-00000A790000}"/>
    <cellStyle name="40% - Accent4 2 3 2 7 2 3" xfId="14012" xr:uid="{00000000-0005-0000-0000-00000B790000}"/>
    <cellStyle name="40% - Accent4 2 3 2 7 2 4" xfId="19488" xr:uid="{00000000-0005-0000-0000-00000C790000}"/>
    <cellStyle name="40% - Accent4 2 3 2 7 2 5" xfId="24964" xr:uid="{00000000-0005-0000-0000-00000D790000}"/>
    <cellStyle name="40% - Accent4 2 3 2 7 2 6" xfId="36760" xr:uid="{00000000-0005-0000-0000-00000E790000}"/>
    <cellStyle name="40% - Accent4 2 3 2 7 2 7" xfId="42237" xr:uid="{00000000-0005-0000-0000-00000F790000}"/>
    <cellStyle name="40% - Accent4 2 3 2 7 2 8" xfId="47714" xr:uid="{00000000-0005-0000-0000-000010790000}"/>
    <cellStyle name="40% - Accent4 2 3 2 7 2 9" xfId="53232" xr:uid="{00000000-0005-0000-0000-000011790000}"/>
    <cellStyle name="40% - Accent4 2 3 2 7 3" xfId="4828" xr:uid="{00000000-0005-0000-0000-000012790000}"/>
    <cellStyle name="40% - Accent4 2 3 2 7 3 2" xfId="10308" xr:uid="{00000000-0005-0000-0000-000013790000}"/>
    <cellStyle name="40% - Accent4 2 3 2 7 3 3" xfId="15784" xr:uid="{00000000-0005-0000-0000-000014790000}"/>
    <cellStyle name="40% - Accent4 2 3 2 7 3 4" xfId="21260" xr:uid="{00000000-0005-0000-0000-000015790000}"/>
    <cellStyle name="40% - Accent4 2 3 2 7 3 5" xfId="26736" xr:uid="{00000000-0005-0000-0000-000016790000}"/>
    <cellStyle name="40% - Accent4 2 3 2 7 3 6" xfId="38532" xr:uid="{00000000-0005-0000-0000-000017790000}"/>
    <cellStyle name="40% - Accent4 2 3 2 7 3 7" xfId="44009" xr:uid="{00000000-0005-0000-0000-000018790000}"/>
    <cellStyle name="40% - Accent4 2 3 2 7 3 8" xfId="49486" xr:uid="{00000000-0005-0000-0000-000019790000}"/>
    <cellStyle name="40% - Accent4 2 3 2 7 3 9" xfId="55004" xr:uid="{00000000-0005-0000-0000-00001A790000}"/>
    <cellStyle name="40% - Accent4 2 3 2 7 4" xfId="6569" xr:uid="{00000000-0005-0000-0000-00001B790000}"/>
    <cellStyle name="40% - Accent4 2 3 2 7 5" xfId="12049" xr:uid="{00000000-0005-0000-0000-00001C790000}"/>
    <cellStyle name="40% - Accent4 2 3 2 7 6" xfId="17525" xr:uid="{00000000-0005-0000-0000-00001D790000}"/>
    <cellStyle name="40% - Accent4 2 3 2 7 7" xfId="23001" xr:uid="{00000000-0005-0000-0000-00001E790000}"/>
    <cellStyle name="40% - Accent4 2 3 2 7 8" xfId="34796" xr:uid="{00000000-0005-0000-0000-00001F790000}"/>
    <cellStyle name="40% - Accent4 2 3 2 7 9" xfId="40273" xr:uid="{00000000-0005-0000-0000-000020790000}"/>
    <cellStyle name="40% - Accent4 2 3 2 8" xfId="1467" xr:uid="{00000000-0005-0000-0000-000021790000}"/>
    <cellStyle name="40% - Accent4 2 3 2 8 10" xfId="45751" xr:uid="{00000000-0005-0000-0000-000022790000}"/>
    <cellStyle name="40% - Accent4 2 3 2 8 11" xfId="51229" xr:uid="{00000000-0005-0000-0000-000023790000}"/>
    <cellStyle name="40% - Accent4 2 3 2 8 2" xfId="3228" xr:uid="{00000000-0005-0000-0000-000024790000}"/>
    <cellStyle name="40% - Accent4 2 3 2 8 2 2" xfId="8708" xr:uid="{00000000-0005-0000-0000-000025790000}"/>
    <cellStyle name="40% - Accent4 2 3 2 8 2 3" xfId="14184" xr:uid="{00000000-0005-0000-0000-000026790000}"/>
    <cellStyle name="40% - Accent4 2 3 2 8 2 4" xfId="19660" xr:uid="{00000000-0005-0000-0000-000027790000}"/>
    <cellStyle name="40% - Accent4 2 3 2 8 2 5" xfId="25136" xr:uid="{00000000-0005-0000-0000-000028790000}"/>
    <cellStyle name="40% - Accent4 2 3 2 8 2 6" xfId="36932" xr:uid="{00000000-0005-0000-0000-000029790000}"/>
    <cellStyle name="40% - Accent4 2 3 2 8 2 7" xfId="42409" xr:uid="{00000000-0005-0000-0000-00002A790000}"/>
    <cellStyle name="40% - Accent4 2 3 2 8 2 8" xfId="47886" xr:uid="{00000000-0005-0000-0000-00002B790000}"/>
    <cellStyle name="40% - Accent4 2 3 2 8 2 9" xfId="53404" xr:uid="{00000000-0005-0000-0000-00002C790000}"/>
    <cellStyle name="40% - Accent4 2 3 2 8 3" xfId="5000" xr:uid="{00000000-0005-0000-0000-00002D790000}"/>
    <cellStyle name="40% - Accent4 2 3 2 8 3 2" xfId="10480" xr:uid="{00000000-0005-0000-0000-00002E790000}"/>
    <cellStyle name="40% - Accent4 2 3 2 8 3 3" xfId="15956" xr:uid="{00000000-0005-0000-0000-00002F790000}"/>
    <cellStyle name="40% - Accent4 2 3 2 8 3 4" xfId="21432" xr:uid="{00000000-0005-0000-0000-000030790000}"/>
    <cellStyle name="40% - Accent4 2 3 2 8 3 5" xfId="26908" xr:uid="{00000000-0005-0000-0000-000031790000}"/>
    <cellStyle name="40% - Accent4 2 3 2 8 3 6" xfId="38704" xr:uid="{00000000-0005-0000-0000-000032790000}"/>
    <cellStyle name="40% - Accent4 2 3 2 8 3 7" xfId="44181" xr:uid="{00000000-0005-0000-0000-000033790000}"/>
    <cellStyle name="40% - Accent4 2 3 2 8 3 8" xfId="49658" xr:uid="{00000000-0005-0000-0000-000034790000}"/>
    <cellStyle name="40% - Accent4 2 3 2 8 3 9" xfId="55176" xr:uid="{00000000-0005-0000-0000-000035790000}"/>
    <cellStyle name="40% - Accent4 2 3 2 8 4" xfId="6570" xr:uid="{00000000-0005-0000-0000-000036790000}"/>
    <cellStyle name="40% - Accent4 2 3 2 8 5" xfId="12050" xr:uid="{00000000-0005-0000-0000-000037790000}"/>
    <cellStyle name="40% - Accent4 2 3 2 8 6" xfId="17526" xr:uid="{00000000-0005-0000-0000-000038790000}"/>
    <cellStyle name="40% - Accent4 2 3 2 8 7" xfId="23002" xr:uid="{00000000-0005-0000-0000-000039790000}"/>
    <cellStyle name="40% - Accent4 2 3 2 8 8" xfId="34797" xr:uid="{00000000-0005-0000-0000-00003A790000}"/>
    <cellStyle name="40% - Accent4 2 3 2 8 9" xfId="40274" xr:uid="{00000000-0005-0000-0000-00003B790000}"/>
    <cellStyle name="40% - Accent4 2 3 2 9" xfId="1639" xr:uid="{00000000-0005-0000-0000-00003C790000}"/>
    <cellStyle name="40% - Accent4 2 3 2 9 10" xfId="45752" xr:uid="{00000000-0005-0000-0000-00003D790000}"/>
    <cellStyle name="40% - Accent4 2 3 2 9 11" xfId="51230" xr:uid="{00000000-0005-0000-0000-00003E790000}"/>
    <cellStyle name="40% - Accent4 2 3 2 9 2" xfId="3400" xr:uid="{00000000-0005-0000-0000-00003F790000}"/>
    <cellStyle name="40% - Accent4 2 3 2 9 2 2" xfId="8880" xr:uid="{00000000-0005-0000-0000-000040790000}"/>
    <cellStyle name="40% - Accent4 2 3 2 9 2 3" xfId="14356" xr:uid="{00000000-0005-0000-0000-000041790000}"/>
    <cellStyle name="40% - Accent4 2 3 2 9 2 4" xfId="19832" xr:uid="{00000000-0005-0000-0000-000042790000}"/>
    <cellStyle name="40% - Accent4 2 3 2 9 2 5" xfId="25308" xr:uid="{00000000-0005-0000-0000-000043790000}"/>
    <cellStyle name="40% - Accent4 2 3 2 9 2 6" xfId="37104" xr:uid="{00000000-0005-0000-0000-000044790000}"/>
    <cellStyle name="40% - Accent4 2 3 2 9 2 7" xfId="42581" xr:uid="{00000000-0005-0000-0000-000045790000}"/>
    <cellStyle name="40% - Accent4 2 3 2 9 2 8" xfId="48058" xr:uid="{00000000-0005-0000-0000-000046790000}"/>
    <cellStyle name="40% - Accent4 2 3 2 9 2 9" xfId="53576" xr:uid="{00000000-0005-0000-0000-000047790000}"/>
    <cellStyle name="40% - Accent4 2 3 2 9 3" xfId="5172" xr:uid="{00000000-0005-0000-0000-000048790000}"/>
    <cellStyle name="40% - Accent4 2 3 2 9 3 2" xfId="10652" xr:uid="{00000000-0005-0000-0000-000049790000}"/>
    <cellStyle name="40% - Accent4 2 3 2 9 3 3" xfId="16128" xr:uid="{00000000-0005-0000-0000-00004A790000}"/>
    <cellStyle name="40% - Accent4 2 3 2 9 3 4" xfId="21604" xr:uid="{00000000-0005-0000-0000-00004B790000}"/>
    <cellStyle name="40% - Accent4 2 3 2 9 3 5" xfId="27080" xr:uid="{00000000-0005-0000-0000-00004C790000}"/>
    <cellStyle name="40% - Accent4 2 3 2 9 3 6" xfId="38876" xr:uid="{00000000-0005-0000-0000-00004D790000}"/>
    <cellStyle name="40% - Accent4 2 3 2 9 3 7" xfId="44353" xr:uid="{00000000-0005-0000-0000-00004E790000}"/>
    <cellStyle name="40% - Accent4 2 3 2 9 3 8" xfId="49830" xr:uid="{00000000-0005-0000-0000-00004F790000}"/>
    <cellStyle name="40% - Accent4 2 3 2 9 3 9" xfId="55348" xr:uid="{00000000-0005-0000-0000-000050790000}"/>
    <cellStyle name="40% - Accent4 2 3 2 9 4" xfId="6571" xr:uid="{00000000-0005-0000-0000-000051790000}"/>
    <cellStyle name="40% - Accent4 2 3 2 9 5" xfId="12051" xr:uid="{00000000-0005-0000-0000-000052790000}"/>
    <cellStyle name="40% - Accent4 2 3 2 9 6" xfId="17527" xr:uid="{00000000-0005-0000-0000-000053790000}"/>
    <cellStyle name="40% - Accent4 2 3 2 9 7" xfId="23003" xr:uid="{00000000-0005-0000-0000-000054790000}"/>
    <cellStyle name="40% - Accent4 2 3 2 9 8" xfId="34798" xr:uid="{00000000-0005-0000-0000-000055790000}"/>
    <cellStyle name="40% - Accent4 2 3 2 9 9" xfId="40275" xr:uid="{00000000-0005-0000-0000-000056790000}"/>
    <cellStyle name="40% - Accent4 2 3 20" xfId="40263" xr:uid="{00000000-0005-0000-0000-000057790000}"/>
    <cellStyle name="40% - Accent4 2 3 21" xfId="45740" xr:uid="{00000000-0005-0000-0000-000058790000}"/>
    <cellStyle name="40% - Accent4 2 3 22" xfId="51218" xr:uid="{00000000-0005-0000-0000-000059790000}"/>
    <cellStyle name="40% - Accent4 2 3 3" xfId="371" xr:uid="{00000000-0005-0000-0000-00005A790000}"/>
    <cellStyle name="40% - Accent4 2 3 3 10" xfId="40276" xr:uid="{00000000-0005-0000-0000-00005B790000}"/>
    <cellStyle name="40% - Accent4 2 3 3 11" xfId="45753" xr:uid="{00000000-0005-0000-0000-00005C790000}"/>
    <cellStyle name="40% - Accent4 2 3 3 12" xfId="51231" xr:uid="{00000000-0005-0000-0000-00005D790000}"/>
    <cellStyle name="40% - Accent4 2 3 3 2" xfId="2164" xr:uid="{00000000-0005-0000-0000-00005E790000}"/>
    <cellStyle name="40% - Accent4 2 3 3 2 2" xfId="7644" xr:uid="{00000000-0005-0000-0000-00005F790000}"/>
    <cellStyle name="40% - Accent4 2 3 3 2 3" xfId="13120" xr:uid="{00000000-0005-0000-0000-000060790000}"/>
    <cellStyle name="40% - Accent4 2 3 3 2 4" xfId="18596" xr:uid="{00000000-0005-0000-0000-000061790000}"/>
    <cellStyle name="40% - Accent4 2 3 3 2 5" xfId="24072" xr:uid="{00000000-0005-0000-0000-000062790000}"/>
    <cellStyle name="40% - Accent4 2 3 3 2 6" xfId="35868" xr:uid="{00000000-0005-0000-0000-000063790000}"/>
    <cellStyle name="40% - Accent4 2 3 3 2 7" xfId="41345" xr:uid="{00000000-0005-0000-0000-000064790000}"/>
    <cellStyle name="40% - Accent4 2 3 3 2 8" xfId="46822" xr:uid="{00000000-0005-0000-0000-000065790000}"/>
    <cellStyle name="40% - Accent4 2 3 3 2 9" xfId="52340" xr:uid="{00000000-0005-0000-0000-000066790000}"/>
    <cellStyle name="40% - Accent4 2 3 3 3" xfId="3933" xr:uid="{00000000-0005-0000-0000-000067790000}"/>
    <cellStyle name="40% - Accent4 2 3 3 3 2" xfId="9413" xr:uid="{00000000-0005-0000-0000-000068790000}"/>
    <cellStyle name="40% - Accent4 2 3 3 3 3" xfId="14889" xr:uid="{00000000-0005-0000-0000-000069790000}"/>
    <cellStyle name="40% - Accent4 2 3 3 3 4" xfId="20365" xr:uid="{00000000-0005-0000-0000-00006A790000}"/>
    <cellStyle name="40% - Accent4 2 3 3 3 5" xfId="25841" xr:uid="{00000000-0005-0000-0000-00006B790000}"/>
    <cellStyle name="40% - Accent4 2 3 3 3 6" xfId="37637" xr:uid="{00000000-0005-0000-0000-00006C790000}"/>
    <cellStyle name="40% - Accent4 2 3 3 3 7" xfId="43114" xr:uid="{00000000-0005-0000-0000-00006D790000}"/>
    <cellStyle name="40% - Accent4 2 3 3 3 8" xfId="48591" xr:uid="{00000000-0005-0000-0000-00006E790000}"/>
    <cellStyle name="40% - Accent4 2 3 3 3 9" xfId="54109" xr:uid="{00000000-0005-0000-0000-00006F790000}"/>
    <cellStyle name="40% - Accent4 2 3 3 4" xfId="6572" xr:uid="{00000000-0005-0000-0000-000070790000}"/>
    <cellStyle name="40% - Accent4 2 3 3 5" xfId="12052" xr:uid="{00000000-0005-0000-0000-000071790000}"/>
    <cellStyle name="40% - Accent4 2 3 3 6" xfId="17528" xr:uid="{00000000-0005-0000-0000-000072790000}"/>
    <cellStyle name="40% - Accent4 2 3 3 7" xfId="23004" xr:uid="{00000000-0005-0000-0000-000073790000}"/>
    <cellStyle name="40% - Accent4 2 3 3 8" xfId="31684" xr:uid="{00000000-0005-0000-0000-000074790000}"/>
    <cellStyle name="40% - Accent4 2 3 3 9" xfId="34799" xr:uid="{00000000-0005-0000-0000-000075790000}"/>
    <cellStyle name="40% - Accent4 2 3 4" xfId="572" xr:uid="{00000000-0005-0000-0000-000076790000}"/>
    <cellStyle name="40% - Accent4 2 3 4 10" xfId="45754" xr:uid="{00000000-0005-0000-0000-000077790000}"/>
    <cellStyle name="40% - Accent4 2 3 4 11" xfId="51232" xr:uid="{00000000-0005-0000-0000-000078790000}"/>
    <cellStyle name="40% - Accent4 2 3 4 2" xfId="2333" xr:uid="{00000000-0005-0000-0000-000079790000}"/>
    <cellStyle name="40% - Accent4 2 3 4 2 2" xfId="7813" xr:uid="{00000000-0005-0000-0000-00007A790000}"/>
    <cellStyle name="40% - Accent4 2 3 4 2 3" xfId="13289" xr:uid="{00000000-0005-0000-0000-00007B790000}"/>
    <cellStyle name="40% - Accent4 2 3 4 2 4" xfId="18765" xr:uid="{00000000-0005-0000-0000-00007C790000}"/>
    <cellStyle name="40% - Accent4 2 3 4 2 5" xfId="24241" xr:uid="{00000000-0005-0000-0000-00007D790000}"/>
    <cellStyle name="40% - Accent4 2 3 4 2 6" xfId="36037" xr:uid="{00000000-0005-0000-0000-00007E790000}"/>
    <cellStyle name="40% - Accent4 2 3 4 2 7" xfId="41514" xr:uid="{00000000-0005-0000-0000-00007F790000}"/>
    <cellStyle name="40% - Accent4 2 3 4 2 8" xfId="46991" xr:uid="{00000000-0005-0000-0000-000080790000}"/>
    <cellStyle name="40% - Accent4 2 3 4 2 9" xfId="52509" xr:uid="{00000000-0005-0000-0000-000081790000}"/>
    <cellStyle name="40% - Accent4 2 3 4 3" xfId="4105" xr:uid="{00000000-0005-0000-0000-000082790000}"/>
    <cellStyle name="40% - Accent4 2 3 4 3 2" xfId="9585" xr:uid="{00000000-0005-0000-0000-000083790000}"/>
    <cellStyle name="40% - Accent4 2 3 4 3 3" xfId="15061" xr:uid="{00000000-0005-0000-0000-000084790000}"/>
    <cellStyle name="40% - Accent4 2 3 4 3 4" xfId="20537" xr:uid="{00000000-0005-0000-0000-000085790000}"/>
    <cellStyle name="40% - Accent4 2 3 4 3 5" xfId="26013" xr:uid="{00000000-0005-0000-0000-000086790000}"/>
    <cellStyle name="40% - Accent4 2 3 4 3 6" xfId="37809" xr:uid="{00000000-0005-0000-0000-000087790000}"/>
    <cellStyle name="40% - Accent4 2 3 4 3 7" xfId="43286" xr:uid="{00000000-0005-0000-0000-000088790000}"/>
    <cellStyle name="40% - Accent4 2 3 4 3 8" xfId="48763" xr:uid="{00000000-0005-0000-0000-000089790000}"/>
    <cellStyle name="40% - Accent4 2 3 4 3 9" xfId="54281" xr:uid="{00000000-0005-0000-0000-00008A790000}"/>
    <cellStyle name="40% - Accent4 2 3 4 4" xfId="6573" xr:uid="{00000000-0005-0000-0000-00008B790000}"/>
    <cellStyle name="40% - Accent4 2 3 4 5" xfId="12053" xr:uid="{00000000-0005-0000-0000-00008C790000}"/>
    <cellStyle name="40% - Accent4 2 3 4 6" xfId="17529" xr:uid="{00000000-0005-0000-0000-00008D790000}"/>
    <cellStyle name="40% - Accent4 2 3 4 7" xfId="23005" xr:uid="{00000000-0005-0000-0000-00008E790000}"/>
    <cellStyle name="40% - Accent4 2 3 4 8" xfId="34800" xr:uid="{00000000-0005-0000-0000-00008F790000}"/>
    <cellStyle name="40% - Accent4 2 3 4 9" xfId="40277" xr:uid="{00000000-0005-0000-0000-000090790000}"/>
    <cellStyle name="40% - Accent4 2 3 5" xfId="744" xr:uid="{00000000-0005-0000-0000-000091790000}"/>
    <cellStyle name="40% - Accent4 2 3 5 10" xfId="45755" xr:uid="{00000000-0005-0000-0000-000092790000}"/>
    <cellStyle name="40% - Accent4 2 3 5 11" xfId="51233" xr:uid="{00000000-0005-0000-0000-000093790000}"/>
    <cellStyle name="40% - Accent4 2 3 5 2" xfId="2505" xr:uid="{00000000-0005-0000-0000-000094790000}"/>
    <cellStyle name="40% - Accent4 2 3 5 2 2" xfId="7985" xr:uid="{00000000-0005-0000-0000-000095790000}"/>
    <cellStyle name="40% - Accent4 2 3 5 2 3" xfId="13461" xr:uid="{00000000-0005-0000-0000-000096790000}"/>
    <cellStyle name="40% - Accent4 2 3 5 2 4" xfId="18937" xr:uid="{00000000-0005-0000-0000-000097790000}"/>
    <cellStyle name="40% - Accent4 2 3 5 2 5" xfId="24413" xr:uid="{00000000-0005-0000-0000-000098790000}"/>
    <cellStyle name="40% - Accent4 2 3 5 2 6" xfId="36209" xr:uid="{00000000-0005-0000-0000-000099790000}"/>
    <cellStyle name="40% - Accent4 2 3 5 2 7" xfId="41686" xr:uid="{00000000-0005-0000-0000-00009A790000}"/>
    <cellStyle name="40% - Accent4 2 3 5 2 8" xfId="47163" xr:uid="{00000000-0005-0000-0000-00009B790000}"/>
    <cellStyle name="40% - Accent4 2 3 5 2 9" xfId="52681" xr:uid="{00000000-0005-0000-0000-00009C790000}"/>
    <cellStyle name="40% - Accent4 2 3 5 3" xfId="4277" xr:uid="{00000000-0005-0000-0000-00009D790000}"/>
    <cellStyle name="40% - Accent4 2 3 5 3 2" xfId="9757" xr:uid="{00000000-0005-0000-0000-00009E790000}"/>
    <cellStyle name="40% - Accent4 2 3 5 3 3" xfId="15233" xr:uid="{00000000-0005-0000-0000-00009F790000}"/>
    <cellStyle name="40% - Accent4 2 3 5 3 4" xfId="20709" xr:uid="{00000000-0005-0000-0000-0000A0790000}"/>
    <cellStyle name="40% - Accent4 2 3 5 3 5" xfId="26185" xr:uid="{00000000-0005-0000-0000-0000A1790000}"/>
    <cellStyle name="40% - Accent4 2 3 5 3 6" xfId="37981" xr:uid="{00000000-0005-0000-0000-0000A2790000}"/>
    <cellStyle name="40% - Accent4 2 3 5 3 7" xfId="43458" xr:uid="{00000000-0005-0000-0000-0000A3790000}"/>
    <cellStyle name="40% - Accent4 2 3 5 3 8" xfId="48935" xr:uid="{00000000-0005-0000-0000-0000A4790000}"/>
    <cellStyle name="40% - Accent4 2 3 5 3 9" xfId="54453" xr:uid="{00000000-0005-0000-0000-0000A5790000}"/>
    <cellStyle name="40% - Accent4 2 3 5 4" xfId="6574" xr:uid="{00000000-0005-0000-0000-0000A6790000}"/>
    <cellStyle name="40% - Accent4 2 3 5 5" xfId="12054" xr:uid="{00000000-0005-0000-0000-0000A7790000}"/>
    <cellStyle name="40% - Accent4 2 3 5 6" xfId="17530" xr:uid="{00000000-0005-0000-0000-0000A8790000}"/>
    <cellStyle name="40% - Accent4 2 3 5 7" xfId="23006" xr:uid="{00000000-0005-0000-0000-0000A9790000}"/>
    <cellStyle name="40% - Accent4 2 3 5 8" xfId="34801" xr:uid="{00000000-0005-0000-0000-0000AA790000}"/>
    <cellStyle name="40% - Accent4 2 3 5 9" xfId="40278" xr:uid="{00000000-0005-0000-0000-0000AB790000}"/>
    <cellStyle name="40% - Accent4 2 3 6" xfId="916" xr:uid="{00000000-0005-0000-0000-0000AC790000}"/>
    <cellStyle name="40% - Accent4 2 3 6 10" xfId="45756" xr:uid="{00000000-0005-0000-0000-0000AD790000}"/>
    <cellStyle name="40% - Accent4 2 3 6 11" xfId="51234" xr:uid="{00000000-0005-0000-0000-0000AE790000}"/>
    <cellStyle name="40% - Accent4 2 3 6 2" xfId="2677" xr:uid="{00000000-0005-0000-0000-0000AF790000}"/>
    <cellStyle name="40% - Accent4 2 3 6 2 2" xfId="8157" xr:uid="{00000000-0005-0000-0000-0000B0790000}"/>
    <cellStyle name="40% - Accent4 2 3 6 2 3" xfId="13633" xr:uid="{00000000-0005-0000-0000-0000B1790000}"/>
    <cellStyle name="40% - Accent4 2 3 6 2 4" xfId="19109" xr:uid="{00000000-0005-0000-0000-0000B2790000}"/>
    <cellStyle name="40% - Accent4 2 3 6 2 5" xfId="24585" xr:uid="{00000000-0005-0000-0000-0000B3790000}"/>
    <cellStyle name="40% - Accent4 2 3 6 2 6" xfId="36381" xr:uid="{00000000-0005-0000-0000-0000B4790000}"/>
    <cellStyle name="40% - Accent4 2 3 6 2 7" xfId="41858" xr:uid="{00000000-0005-0000-0000-0000B5790000}"/>
    <cellStyle name="40% - Accent4 2 3 6 2 8" xfId="47335" xr:uid="{00000000-0005-0000-0000-0000B6790000}"/>
    <cellStyle name="40% - Accent4 2 3 6 2 9" xfId="52853" xr:uid="{00000000-0005-0000-0000-0000B7790000}"/>
    <cellStyle name="40% - Accent4 2 3 6 3" xfId="4449" xr:uid="{00000000-0005-0000-0000-0000B8790000}"/>
    <cellStyle name="40% - Accent4 2 3 6 3 2" xfId="9929" xr:uid="{00000000-0005-0000-0000-0000B9790000}"/>
    <cellStyle name="40% - Accent4 2 3 6 3 3" xfId="15405" xr:uid="{00000000-0005-0000-0000-0000BA790000}"/>
    <cellStyle name="40% - Accent4 2 3 6 3 4" xfId="20881" xr:uid="{00000000-0005-0000-0000-0000BB790000}"/>
    <cellStyle name="40% - Accent4 2 3 6 3 5" xfId="26357" xr:uid="{00000000-0005-0000-0000-0000BC790000}"/>
    <cellStyle name="40% - Accent4 2 3 6 3 6" xfId="38153" xr:uid="{00000000-0005-0000-0000-0000BD790000}"/>
    <cellStyle name="40% - Accent4 2 3 6 3 7" xfId="43630" xr:uid="{00000000-0005-0000-0000-0000BE790000}"/>
    <cellStyle name="40% - Accent4 2 3 6 3 8" xfId="49107" xr:uid="{00000000-0005-0000-0000-0000BF790000}"/>
    <cellStyle name="40% - Accent4 2 3 6 3 9" xfId="54625" xr:uid="{00000000-0005-0000-0000-0000C0790000}"/>
    <cellStyle name="40% - Accent4 2 3 6 4" xfId="6575" xr:uid="{00000000-0005-0000-0000-0000C1790000}"/>
    <cellStyle name="40% - Accent4 2 3 6 5" xfId="12055" xr:uid="{00000000-0005-0000-0000-0000C2790000}"/>
    <cellStyle name="40% - Accent4 2 3 6 6" xfId="17531" xr:uid="{00000000-0005-0000-0000-0000C3790000}"/>
    <cellStyle name="40% - Accent4 2 3 6 7" xfId="23007" xr:uid="{00000000-0005-0000-0000-0000C4790000}"/>
    <cellStyle name="40% - Accent4 2 3 6 8" xfId="34802" xr:uid="{00000000-0005-0000-0000-0000C5790000}"/>
    <cellStyle name="40% - Accent4 2 3 6 9" xfId="40279" xr:uid="{00000000-0005-0000-0000-0000C6790000}"/>
    <cellStyle name="40% - Accent4 2 3 7" xfId="1122" xr:uid="{00000000-0005-0000-0000-0000C7790000}"/>
    <cellStyle name="40% - Accent4 2 3 7 10" xfId="45757" xr:uid="{00000000-0005-0000-0000-0000C8790000}"/>
    <cellStyle name="40% - Accent4 2 3 7 11" xfId="51235" xr:uid="{00000000-0005-0000-0000-0000C9790000}"/>
    <cellStyle name="40% - Accent4 2 3 7 2" xfId="2883" xr:uid="{00000000-0005-0000-0000-0000CA790000}"/>
    <cellStyle name="40% - Accent4 2 3 7 2 2" xfId="8363" xr:uid="{00000000-0005-0000-0000-0000CB790000}"/>
    <cellStyle name="40% - Accent4 2 3 7 2 3" xfId="13839" xr:uid="{00000000-0005-0000-0000-0000CC790000}"/>
    <cellStyle name="40% - Accent4 2 3 7 2 4" xfId="19315" xr:uid="{00000000-0005-0000-0000-0000CD790000}"/>
    <cellStyle name="40% - Accent4 2 3 7 2 5" xfId="24791" xr:uid="{00000000-0005-0000-0000-0000CE790000}"/>
    <cellStyle name="40% - Accent4 2 3 7 2 6" xfId="36587" xr:uid="{00000000-0005-0000-0000-0000CF790000}"/>
    <cellStyle name="40% - Accent4 2 3 7 2 7" xfId="42064" xr:uid="{00000000-0005-0000-0000-0000D0790000}"/>
    <cellStyle name="40% - Accent4 2 3 7 2 8" xfId="47541" xr:uid="{00000000-0005-0000-0000-0000D1790000}"/>
    <cellStyle name="40% - Accent4 2 3 7 2 9" xfId="53059" xr:uid="{00000000-0005-0000-0000-0000D2790000}"/>
    <cellStyle name="40% - Accent4 2 3 7 3" xfId="4655" xr:uid="{00000000-0005-0000-0000-0000D3790000}"/>
    <cellStyle name="40% - Accent4 2 3 7 3 2" xfId="10135" xr:uid="{00000000-0005-0000-0000-0000D4790000}"/>
    <cellStyle name="40% - Accent4 2 3 7 3 3" xfId="15611" xr:uid="{00000000-0005-0000-0000-0000D5790000}"/>
    <cellStyle name="40% - Accent4 2 3 7 3 4" xfId="21087" xr:uid="{00000000-0005-0000-0000-0000D6790000}"/>
    <cellStyle name="40% - Accent4 2 3 7 3 5" xfId="26563" xr:uid="{00000000-0005-0000-0000-0000D7790000}"/>
    <cellStyle name="40% - Accent4 2 3 7 3 6" xfId="38359" xr:uid="{00000000-0005-0000-0000-0000D8790000}"/>
    <cellStyle name="40% - Accent4 2 3 7 3 7" xfId="43836" xr:uid="{00000000-0005-0000-0000-0000D9790000}"/>
    <cellStyle name="40% - Accent4 2 3 7 3 8" xfId="49313" xr:uid="{00000000-0005-0000-0000-0000DA790000}"/>
    <cellStyle name="40% - Accent4 2 3 7 3 9" xfId="54831" xr:uid="{00000000-0005-0000-0000-0000DB790000}"/>
    <cellStyle name="40% - Accent4 2 3 7 4" xfId="6576" xr:uid="{00000000-0005-0000-0000-0000DC790000}"/>
    <cellStyle name="40% - Accent4 2 3 7 5" xfId="12056" xr:uid="{00000000-0005-0000-0000-0000DD790000}"/>
    <cellStyle name="40% - Accent4 2 3 7 6" xfId="17532" xr:uid="{00000000-0005-0000-0000-0000DE790000}"/>
    <cellStyle name="40% - Accent4 2 3 7 7" xfId="23008" xr:uid="{00000000-0005-0000-0000-0000DF790000}"/>
    <cellStyle name="40% - Accent4 2 3 7 8" xfId="34803" xr:uid="{00000000-0005-0000-0000-0000E0790000}"/>
    <cellStyle name="40% - Accent4 2 3 7 9" xfId="40280" xr:uid="{00000000-0005-0000-0000-0000E1790000}"/>
    <cellStyle name="40% - Accent4 2 3 8" xfId="1294" xr:uid="{00000000-0005-0000-0000-0000E2790000}"/>
    <cellStyle name="40% - Accent4 2 3 8 10" xfId="45758" xr:uid="{00000000-0005-0000-0000-0000E3790000}"/>
    <cellStyle name="40% - Accent4 2 3 8 11" xfId="51236" xr:uid="{00000000-0005-0000-0000-0000E4790000}"/>
    <cellStyle name="40% - Accent4 2 3 8 2" xfId="3055" xr:uid="{00000000-0005-0000-0000-0000E5790000}"/>
    <cellStyle name="40% - Accent4 2 3 8 2 2" xfId="8535" xr:uid="{00000000-0005-0000-0000-0000E6790000}"/>
    <cellStyle name="40% - Accent4 2 3 8 2 3" xfId="14011" xr:uid="{00000000-0005-0000-0000-0000E7790000}"/>
    <cellStyle name="40% - Accent4 2 3 8 2 4" xfId="19487" xr:uid="{00000000-0005-0000-0000-0000E8790000}"/>
    <cellStyle name="40% - Accent4 2 3 8 2 5" xfId="24963" xr:uid="{00000000-0005-0000-0000-0000E9790000}"/>
    <cellStyle name="40% - Accent4 2 3 8 2 6" xfId="36759" xr:uid="{00000000-0005-0000-0000-0000EA790000}"/>
    <cellStyle name="40% - Accent4 2 3 8 2 7" xfId="42236" xr:uid="{00000000-0005-0000-0000-0000EB790000}"/>
    <cellStyle name="40% - Accent4 2 3 8 2 8" xfId="47713" xr:uid="{00000000-0005-0000-0000-0000EC790000}"/>
    <cellStyle name="40% - Accent4 2 3 8 2 9" xfId="53231" xr:uid="{00000000-0005-0000-0000-0000ED790000}"/>
    <cellStyle name="40% - Accent4 2 3 8 3" xfId="4827" xr:uid="{00000000-0005-0000-0000-0000EE790000}"/>
    <cellStyle name="40% - Accent4 2 3 8 3 2" xfId="10307" xr:uid="{00000000-0005-0000-0000-0000EF790000}"/>
    <cellStyle name="40% - Accent4 2 3 8 3 3" xfId="15783" xr:uid="{00000000-0005-0000-0000-0000F0790000}"/>
    <cellStyle name="40% - Accent4 2 3 8 3 4" xfId="21259" xr:uid="{00000000-0005-0000-0000-0000F1790000}"/>
    <cellStyle name="40% - Accent4 2 3 8 3 5" xfId="26735" xr:uid="{00000000-0005-0000-0000-0000F2790000}"/>
    <cellStyle name="40% - Accent4 2 3 8 3 6" xfId="38531" xr:uid="{00000000-0005-0000-0000-0000F3790000}"/>
    <cellStyle name="40% - Accent4 2 3 8 3 7" xfId="44008" xr:uid="{00000000-0005-0000-0000-0000F4790000}"/>
    <cellStyle name="40% - Accent4 2 3 8 3 8" xfId="49485" xr:uid="{00000000-0005-0000-0000-0000F5790000}"/>
    <cellStyle name="40% - Accent4 2 3 8 3 9" xfId="55003" xr:uid="{00000000-0005-0000-0000-0000F6790000}"/>
    <cellStyle name="40% - Accent4 2 3 8 4" xfId="6577" xr:uid="{00000000-0005-0000-0000-0000F7790000}"/>
    <cellStyle name="40% - Accent4 2 3 8 5" xfId="12057" xr:uid="{00000000-0005-0000-0000-0000F8790000}"/>
    <cellStyle name="40% - Accent4 2 3 8 6" xfId="17533" xr:uid="{00000000-0005-0000-0000-0000F9790000}"/>
    <cellStyle name="40% - Accent4 2 3 8 7" xfId="23009" xr:uid="{00000000-0005-0000-0000-0000FA790000}"/>
    <cellStyle name="40% - Accent4 2 3 8 8" xfId="34804" xr:uid="{00000000-0005-0000-0000-0000FB790000}"/>
    <cellStyle name="40% - Accent4 2 3 8 9" xfId="40281" xr:uid="{00000000-0005-0000-0000-0000FC790000}"/>
    <cellStyle name="40% - Accent4 2 3 9" xfId="1466" xr:uid="{00000000-0005-0000-0000-0000FD790000}"/>
    <cellStyle name="40% - Accent4 2 3 9 10" xfId="45759" xr:uid="{00000000-0005-0000-0000-0000FE790000}"/>
    <cellStyle name="40% - Accent4 2 3 9 11" xfId="51237" xr:uid="{00000000-0005-0000-0000-0000FF790000}"/>
    <cellStyle name="40% - Accent4 2 3 9 2" xfId="3227" xr:uid="{00000000-0005-0000-0000-0000007A0000}"/>
    <cellStyle name="40% - Accent4 2 3 9 2 2" xfId="8707" xr:uid="{00000000-0005-0000-0000-0000017A0000}"/>
    <cellStyle name="40% - Accent4 2 3 9 2 3" xfId="14183" xr:uid="{00000000-0005-0000-0000-0000027A0000}"/>
    <cellStyle name="40% - Accent4 2 3 9 2 4" xfId="19659" xr:uid="{00000000-0005-0000-0000-0000037A0000}"/>
    <cellStyle name="40% - Accent4 2 3 9 2 5" xfId="25135" xr:uid="{00000000-0005-0000-0000-0000047A0000}"/>
    <cellStyle name="40% - Accent4 2 3 9 2 6" xfId="36931" xr:uid="{00000000-0005-0000-0000-0000057A0000}"/>
    <cellStyle name="40% - Accent4 2 3 9 2 7" xfId="42408" xr:uid="{00000000-0005-0000-0000-0000067A0000}"/>
    <cellStyle name="40% - Accent4 2 3 9 2 8" xfId="47885" xr:uid="{00000000-0005-0000-0000-0000077A0000}"/>
    <cellStyle name="40% - Accent4 2 3 9 2 9" xfId="53403" xr:uid="{00000000-0005-0000-0000-0000087A0000}"/>
    <cellStyle name="40% - Accent4 2 3 9 3" xfId="4999" xr:uid="{00000000-0005-0000-0000-0000097A0000}"/>
    <cellStyle name="40% - Accent4 2 3 9 3 2" xfId="10479" xr:uid="{00000000-0005-0000-0000-00000A7A0000}"/>
    <cellStyle name="40% - Accent4 2 3 9 3 3" xfId="15955" xr:uid="{00000000-0005-0000-0000-00000B7A0000}"/>
    <cellStyle name="40% - Accent4 2 3 9 3 4" xfId="21431" xr:uid="{00000000-0005-0000-0000-00000C7A0000}"/>
    <cellStyle name="40% - Accent4 2 3 9 3 5" xfId="26907" xr:uid="{00000000-0005-0000-0000-00000D7A0000}"/>
    <cellStyle name="40% - Accent4 2 3 9 3 6" xfId="38703" xr:uid="{00000000-0005-0000-0000-00000E7A0000}"/>
    <cellStyle name="40% - Accent4 2 3 9 3 7" xfId="44180" xr:uid="{00000000-0005-0000-0000-00000F7A0000}"/>
    <cellStyle name="40% - Accent4 2 3 9 3 8" xfId="49657" xr:uid="{00000000-0005-0000-0000-0000107A0000}"/>
    <cellStyle name="40% - Accent4 2 3 9 3 9" xfId="55175" xr:uid="{00000000-0005-0000-0000-0000117A0000}"/>
    <cellStyle name="40% - Accent4 2 3 9 4" xfId="6578" xr:uid="{00000000-0005-0000-0000-0000127A0000}"/>
    <cellStyle name="40% - Accent4 2 3 9 5" xfId="12058" xr:uid="{00000000-0005-0000-0000-0000137A0000}"/>
    <cellStyle name="40% - Accent4 2 3 9 6" xfId="17534" xr:uid="{00000000-0005-0000-0000-0000147A0000}"/>
    <cellStyle name="40% - Accent4 2 3 9 7" xfId="23010" xr:uid="{00000000-0005-0000-0000-0000157A0000}"/>
    <cellStyle name="40% - Accent4 2 3 9 8" xfId="34805" xr:uid="{00000000-0005-0000-0000-0000167A0000}"/>
    <cellStyle name="40% - Accent4 2 3 9 9" xfId="40282" xr:uid="{00000000-0005-0000-0000-0000177A0000}"/>
    <cellStyle name="40% - Accent4 2 4" xfId="173" xr:uid="{00000000-0005-0000-0000-0000187A0000}"/>
    <cellStyle name="40% - Accent4 2 4 10" xfId="1640" xr:uid="{00000000-0005-0000-0000-0000197A0000}"/>
    <cellStyle name="40% - Accent4 2 4 10 10" xfId="45761" xr:uid="{00000000-0005-0000-0000-00001A7A0000}"/>
    <cellStyle name="40% - Accent4 2 4 10 11" xfId="51239" xr:uid="{00000000-0005-0000-0000-00001B7A0000}"/>
    <cellStyle name="40% - Accent4 2 4 10 2" xfId="3401" xr:uid="{00000000-0005-0000-0000-00001C7A0000}"/>
    <cellStyle name="40% - Accent4 2 4 10 2 2" xfId="8881" xr:uid="{00000000-0005-0000-0000-00001D7A0000}"/>
    <cellStyle name="40% - Accent4 2 4 10 2 3" xfId="14357" xr:uid="{00000000-0005-0000-0000-00001E7A0000}"/>
    <cellStyle name="40% - Accent4 2 4 10 2 4" xfId="19833" xr:uid="{00000000-0005-0000-0000-00001F7A0000}"/>
    <cellStyle name="40% - Accent4 2 4 10 2 5" xfId="25309" xr:uid="{00000000-0005-0000-0000-0000207A0000}"/>
    <cellStyle name="40% - Accent4 2 4 10 2 6" xfId="37105" xr:uid="{00000000-0005-0000-0000-0000217A0000}"/>
    <cellStyle name="40% - Accent4 2 4 10 2 7" xfId="42582" xr:uid="{00000000-0005-0000-0000-0000227A0000}"/>
    <cellStyle name="40% - Accent4 2 4 10 2 8" xfId="48059" xr:uid="{00000000-0005-0000-0000-0000237A0000}"/>
    <cellStyle name="40% - Accent4 2 4 10 2 9" xfId="53577" xr:uid="{00000000-0005-0000-0000-0000247A0000}"/>
    <cellStyle name="40% - Accent4 2 4 10 3" xfId="5173" xr:uid="{00000000-0005-0000-0000-0000257A0000}"/>
    <cellStyle name="40% - Accent4 2 4 10 3 2" xfId="10653" xr:uid="{00000000-0005-0000-0000-0000267A0000}"/>
    <cellStyle name="40% - Accent4 2 4 10 3 3" xfId="16129" xr:uid="{00000000-0005-0000-0000-0000277A0000}"/>
    <cellStyle name="40% - Accent4 2 4 10 3 4" xfId="21605" xr:uid="{00000000-0005-0000-0000-0000287A0000}"/>
    <cellStyle name="40% - Accent4 2 4 10 3 5" xfId="27081" xr:uid="{00000000-0005-0000-0000-0000297A0000}"/>
    <cellStyle name="40% - Accent4 2 4 10 3 6" xfId="38877" xr:uid="{00000000-0005-0000-0000-00002A7A0000}"/>
    <cellStyle name="40% - Accent4 2 4 10 3 7" xfId="44354" xr:uid="{00000000-0005-0000-0000-00002B7A0000}"/>
    <cellStyle name="40% - Accent4 2 4 10 3 8" xfId="49831" xr:uid="{00000000-0005-0000-0000-00002C7A0000}"/>
    <cellStyle name="40% - Accent4 2 4 10 3 9" xfId="55349" xr:uid="{00000000-0005-0000-0000-00002D7A0000}"/>
    <cellStyle name="40% - Accent4 2 4 10 4" xfId="6580" xr:uid="{00000000-0005-0000-0000-00002E7A0000}"/>
    <cellStyle name="40% - Accent4 2 4 10 5" xfId="12060" xr:uid="{00000000-0005-0000-0000-00002F7A0000}"/>
    <cellStyle name="40% - Accent4 2 4 10 6" xfId="17536" xr:uid="{00000000-0005-0000-0000-0000307A0000}"/>
    <cellStyle name="40% - Accent4 2 4 10 7" xfId="23012" xr:uid="{00000000-0005-0000-0000-0000317A0000}"/>
    <cellStyle name="40% - Accent4 2 4 10 8" xfId="34807" xr:uid="{00000000-0005-0000-0000-0000327A0000}"/>
    <cellStyle name="40% - Accent4 2 4 10 9" xfId="40284" xr:uid="{00000000-0005-0000-0000-0000337A0000}"/>
    <cellStyle name="40% - Accent4 2 4 11" xfId="1836" xr:uid="{00000000-0005-0000-0000-0000347A0000}"/>
    <cellStyle name="40% - Accent4 2 4 11 10" xfId="45762" xr:uid="{00000000-0005-0000-0000-0000357A0000}"/>
    <cellStyle name="40% - Accent4 2 4 11 11" xfId="51240" xr:uid="{00000000-0005-0000-0000-0000367A0000}"/>
    <cellStyle name="40% - Accent4 2 4 11 2" xfId="3597" xr:uid="{00000000-0005-0000-0000-0000377A0000}"/>
    <cellStyle name="40% - Accent4 2 4 11 2 2" xfId="9077" xr:uid="{00000000-0005-0000-0000-0000387A0000}"/>
    <cellStyle name="40% - Accent4 2 4 11 2 3" xfId="14553" xr:uid="{00000000-0005-0000-0000-0000397A0000}"/>
    <cellStyle name="40% - Accent4 2 4 11 2 4" xfId="20029" xr:uid="{00000000-0005-0000-0000-00003A7A0000}"/>
    <cellStyle name="40% - Accent4 2 4 11 2 5" xfId="25505" xr:uid="{00000000-0005-0000-0000-00003B7A0000}"/>
    <cellStyle name="40% - Accent4 2 4 11 2 6" xfId="37301" xr:uid="{00000000-0005-0000-0000-00003C7A0000}"/>
    <cellStyle name="40% - Accent4 2 4 11 2 7" xfId="42778" xr:uid="{00000000-0005-0000-0000-00003D7A0000}"/>
    <cellStyle name="40% - Accent4 2 4 11 2 8" xfId="48255" xr:uid="{00000000-0005-0000-0000-00003E7A0000}"/>
    <cellStyle name="40% - Accent4 2 4 11 2 9" xfId="53773" xr:uid="{00000000-0005-0000-0000-00003F7A0000}"/>
    <cellStyle name="40% - Accent4 2 4 11 3" xfId="5369" xr:uid="{00000000-0005-0000-0000-0000407A0000}"/>
    <cellStyle name="40% - Accent4 2 4 11 3 2" xfId="10849" xr:uid="{00000000-0005-0000-0000-0000417A0000}"/>
    <cellStyle name="40% - Accent4 2 4 11 3 3" xfId="16325" xr:uid="{00000000-0005-0000-0000-0000427A0000}"/>
    <cellStyle name="40% - Accent4 2 4 11 3 4" xfId="21801" xr:uid="{00000000-0005-0000-0000-0000437A0000}"/>
    <cellStyle name="40% - Accent4 2 4 11 3 5" xfId="27277" xr:uid="{00000000-0005-0000-0000-0000447A0000}"/>
    <cellStyle name="40% - Accent4 2 4 11 3 6" xfId="39073" xr:uid="{00000000-0005-0000-0000-0000457A0000}"/>
    <cellStyle name="40% - Accent4 2 4 11 3 7" xfId="44550" xr:uid="{00000000-0005-0000-0000-0000467A0000}"/>
    <cellStyle name="40% - Accent4 2 4 11 3 8" xfId="50027" xr:uid="{00000000-0005-0000-0000-0000477A0000}"/>
    <cellStyle name="40% - Accent4 2 4 11 3 9" xfId="55545" xr:uid="{00000000-0005-0000-0000-0000487A0000}"/>
    <cellStyle name="40% - Accent4 2 4 11 4" xfId="6581" xr:uid="{00000000-0005-0000-0000-0000497A0000}"/>
    <cellStyle name="40% - Accent4 2 4 11 5" xfId="12061" xr:uid="{00000000-0005-0000-0000-00004A7A0000}"/>
    <cellStyle name="40% - Accent4 2 4 11 6" xfId="17537" xr:uid="{00000000-0005-0000-0000-00004B7A0000}"/>
    <cellStyle name="40% - Accent4 2 4 11 7" xfId="23013" xr:uid="{00000000-0005-0000-0000-00004C7A0000}"/>
    <cellStyle name="40% - Accent4 2 4 11 8" xfId="34808" xr:uid="{00000000-0005-0000-0000-00004D7A0000}"/>
    <cellStyle name="40% - Accent4 2 4 11 9" xfId="40285" xr:uid="{00000000-0005-0000-0000-00004E7A0000}"/>
    <cellStyle name="40% - Accent4 2 4 12" xfId="2002" xr:uid="{00000000-0005-0000-0000-00004F7A0000}"/>
    <cellStyle name="40% - Accent4 2 4 12 10" xfId="52179" xr:uid="{00000000-0005-0000-0000-0000507A0000}"/>
    <cellStyle name="40% - Accent4 2 4 12 2" xfId="5534" xr:uid="{00000000-0005-0000-0000-0000517A0000}"/>
    <cellStyle name="40% - Accent4 2 4 12 2 2" xfId="11014" xr:uid="{00000000-0005-0000-0000-0000527A0000}"/>
    <cellStyle name="40% - Accent4 2 4 12 2 3" xfId="16490" xr:uid="{00000000-0005-0000-0000-0000537A0000}"/>
    <cellStyle name="40% - Accent4 2 4 12 2 4" xfId="21966" xr:uid="{00000000-0005-0000-0000-0000547A0000}"/>
    <cellStyle name="40% - Accent4 2 4 12 2 5" xfId="27442" xr:uid="{00000000-0005-0000-0000-0000557A0000}"/>
    <cellStyle name="40% - Accent4 2 4 12 2 6" xfId="39238" xr:uid="{00000000-0005-0000-0000-0000567A0000}"/>
    <cellStyle name="40% - Accent4 2 4 12 2 7" xfId="44715" xr:uid="{00000000-0005-0000-0000-0000577A0000}"/>
    <cellStyle name="40% - Accent4 2 4 12 2 8" xfId="50192" xr:uid="{00000000-0005-0000-0000-0000587A0000}"/>
    <cellStyle name="40% - Accent4 2 4 12 2 9" xfId="55710" xr:uid="{00000000-0005-0000-0000-0000597A0000}"/>
    <cellStyle name="40% - Accent4 2 4 12 3" xfId="7483" xr:uid="{00000000-0005-0000-0000-00005A7A0000}"/>
    <cellStyle name="40% - Accent4 2 4 12 4" xfId="12959" xr:uid="{00000000-0005-0000-0000-00005B7A0000}"/>
    <cellStyle name="40% - Accent4 2 4 12 5" xfId="18435" xr:uid="{00000000-0005-0000-0000-00005C7A0000}"/>
    <cellStyle name="40% - Accent4 2 4 12 6" xfId="23911" xr:uid="{00000000-0005-0000-0000-00005D7A0000}"/>
    <cellStyle name="40% - Accent4 2 4 12 7" xfId="35707" xr:uid="{00000000-0005-0000-0000-00005E7A0000}"/>
    <cellStyle name="40% - Accent4 2 4 12 8" xfId="41184" xr:uid="{00000000-0005-0000-0000-00005F7A0000}"/>
    <cellStyle name="40% - Accent4 2 4 12 9" xfId="46661" xr:uid="{00000000-0005-0000-0000-0000607A0000}"/>
    <cellStyle name="40% - Accent4 2 4 13" xfId="3745" xr:uid="{00000000-0005-0000-0000-0000617A0000}"/>
    <cellStyle name="40% - Accent4 2 4 13 2" xfId="9225" xr:uid="{00000000-0005-0000-0000-0000627A0000}"/>
    <cellStyle name="40% - Accent4 2 4 13 3" xfId="14701" xr:uid="{00000000-0005-0000-0000-0000637A0000}"/>
    <cellStyle name="40% - Accent4 2 4 13 4" xfId="20177" xr:uid="{00000000-0005-0000-0000-0000647A0000}"/>
    <cellStyle name="40% - Accent4 2 4 13 5" xfId="25653" xr:uid="{00000000-0005-0000-0000-0000657A0000}"/>
    <cellStyle name="40% - Accent4 2 4 13 6" xfId="37449" xr:uid="{00000000-0005-0000-0000-0000667A0000}"/>
    <cellStyle name="40% - Accent4 2 4 13 7" xfId="42926" xr:uid="{00000000-0005-0000-0000-0000677A0000}"/>
    <cellStyle name="40% - Accent4 2 4 13 8" xfId="48403" xr:uid="{00000000-0005-0000-0000-0000687A0000}"/>
    <cellStyle name="40% - Accent4 2 4 13 9" xfId="53921" xr:uid="{00000000-0005-0000-0000-0000697A0000}"/>
    <cellStyle name="40% - Accent4 2 4 14" xfId="6579" xr:uid="{00000000-0005-0000-0000-00006A7A0000}"/>
    <cellStyle name="40% - Accent4 2 4 15" xfId="12059" xr:uid="{00000000-0005-0000-0000-00006B7A0000}"/>
    <cellStyle name="40% - Accent4 2 4 16" xfId="17535" xr:uid="{00000000-0005-0000-0000-00006C7A0000}"/>
    <cellStyle name="40% - Accent4 2 4 17" xfId="23011" xr:uid="{00000000-0005-0000-0000-00006D7A0000}"/>
    <cellStyle name="40% - Accent4 2 4 18" xfId="31685" xr:uid="{00000000-0005-0000-0000-00006E7A0000}"/>
    <cellStyle name="40% - Accent4 2 4 19" xfId="34806" xr:uid="{00000000-0005-0000-0000-00006F7A0000}"/>
    <cellStyle name="40% - Accent4 2 4 2" xfId="265" xr:uid="{00000000-0005-0000-0000-0000707A0000}"/>
    <cellStyle name="40% - Accent4 2 4 2 10" xfId="1837" xr:uid="{00000000-0005-0000-0000-0000717A0000}"/>
    <cellStyle name="40% - Accent4 2 4 2 10 10" xfId="45764" xr:uid="{00000000-0005-0000-0000-0000727A0000}"/>
    <cellStyle name="40% - Accent4 2 4 2 10 11" xfId="51242" xr:uid="{00000000-0005-0000-0000-0000737A0000}"/>
    <cellStyle name="40% - Accent4 2 4 2 10 2" xfId="3598" xr:uid="{00000000-0005-0000-0000-0000747A0000}"/>
    <cellStyle name="40% - Accent4 2 4 2 10 2 2" xfId="9078" xr:uid="{00000000-0005-0000-0000-0000757A0000}"/>
    <cellStyle name="40% - Accent4 2 4 2 10 2 3" xfId="14554" xr:uid="{00000000-0005-0000-0000-0000767A0000}"/>
    <cellStyle name="40% - Accent4 2 4 2 10 2 4" xfId="20030" xr:uid="{00000000-0005-0000-0000-0000777A0000}"/>
    <cellStyle name="40% - Accent4 2 4 2 10 2 5" xfId="25506" xr:uid="{00000000-0005-0000-0000-0000787A0000}"/>
    <cellStyle name="40% - Accent4 2 4 2 10 2 6" xfId="37302" xr:uid="{00000000-0005-0000-0000-0000797A0000}"/>
    <cellStyle name="40% - Accent4 2 4 2 10 2 7" xfId="42779" xr:uid="{00000000-0005-0000-0000-00007A7A0000}"/>
    <cellStyle name="40% - Accent4 2 4 2 10 2 8" xfId="48256" xr:uid="{00000000-0005-0000-0000-00007B7A0000}"/>
    <cellStyle name="40% - Accent4 2 4 2 10 2 9" xfId="53774" xr:uid="{00000000-0005-0000-0000-00007C7A0000}"/>
    <cellStyle name="40% - Accent4 2 4 2 10 3" xfId="5370" xr:uid="{00000000-0005-0000-0000-00007D7A0000}"/>
    <cellStyle name="40% - Accent4 2 4 2 10 3 2" xfId="10850" xr:uid="{00000000-0005-0000-0000-00007E7A0000}"/>
    <cellStyle name="40% - Accent4 2 4 2 10 3 3" xfId="16326" xr:uid="{00000000-0005-0000-0000-00007F7A0000}"/>
    <cellStyle name="40% - Accent4 2 4 2 10 3 4" xfId="21802" xr:uid="{00000000-0005-0000-0000-0000807A0000}"/>
    <cellStyle name="40% - Accent4 2 4 2 10 3 5" xfId="27278" xr:uid="{00000000-0005-0000-0000-0000817A0000}"/>
    <cellStyle name="40% - Accent4 2 4 2 10 3 6" xfId="39074" xr:uid="{00000000-0005-0000-0000-0000827A0000}"/>
    <cellStyle name="40% - Accent4 2 4 2 10 3 7" xfId="44551" xr:uid="{00000000-0005-0000-0000-0000837A0000}"/>
    <cellStyle name="40% - Accent4 2 4 2 10 3 8" xfId="50028" xr:uid="{00000000-0005-0000-0000-0000847A0000}"/>
    <cellStyle name="40% - Accent4 2 4 2 10 3 9" xfId="55546" xr:uid="{00000000-0005-0000-0000-0000857A0000}"/>
    <cellStyle name="40% - Accent4 2 4 2 10 4" xfId="6583" xr:uid="{00000000-0005-0000-0000-0000867A0000}"/>
    <cellStyle name="40% - Accent4 2 4 2 10 5" xfId="12063" xr:uid="{00000000-0005-0000-0000-0000877A0000}"/>
    <cellStyle name="40% - Accent4 2 4 2 10 6" xfId="17539" xr:uid="{00000000-0005-0000-0000-0000887A0000}"/>
    <cellStyle name="40% - Accent4 2 4 2 10 7" xfId="23015" xr:uid="{00000000-0005-0000-0000-0000897A0000}"/>
    <cellStyle name="40% - Accent4 2 4 2 10 8" xfId="34810" xr:uid="{00000000-0005-0000-0000-00008A7A0000}"/>
    <cellStyle name="40% - Accent4 2 4 2 10 9" xfId="40287" xr:uid="{00000000-0005-0000-0000-00008B7A0000}"/>
    <cellStyle name="40% - Accent4 2 4 2 11" xfId="2003" xr:uid="{00000000-0005-0000-0000-00008C7A0000}"/>
    <cellStyle name="40% - Accent4 2 4 2 11 10" xfId="52180" xr:uid="{00000000-0005-0000-0000-00008D7A0000}"/>
    <cellStyle name="40% - Accent4 2 4 2 11 2" xfId="5535" xr:uid="{00000000-0005-0000-0000-00008E7A0000}"/>
    <cellStyle name="40% - Accent4 2 4 2 11 2 2" xfId="11015" xr:uid="{00000000-0005-0000-0000-00008F7A0000}"/>
    <cellStyle name="40% - Accent4 2 4 2 11 2 3" xfId="16491" xr:uid="{00000000-0005-0000-0000-0000907A0000}"/>
    <cellStyle name="40% - Accent4 2 4 2 11 2 4" xfId="21967" xr:uid="{00000000-0005-0000-0000-0000917A0000}"/>
    <cellStyle name="40% - Accent4 2 4 2 11 2 5" xfId="27443" xr:uid="{00000000-0005-0000-0000-0000927A0000}"/>
    <cellStyle name="40% - Accent4 2 4 2 11 2 6" xfId="39239" xr:uid="{00000000-0005-0000-0000-0000937A0000}"/>
    <cellStyle name="40% - Accent4 2 4 2 11 2 7" xfId="44716" xr:uid="{00000000-0005-0000-0000-0000947A0000}"/>
    <cellStyle name="40% - Accent4 2 4 2 11 2 8" xfId="50193" xr:uid="{00000000-0005-0000-0000-0000957A0000}"/>
    <cellStyle name="40% - Accent4 2 4 2 11 2 9" xfId="55711" xr:uid="{00000000-0005-0000-0000-0000967A0000}"/>
    <cellStyle name="40% - Accent4 2 4 2 11 3" xfId="7484" xr:uid="{00000000-0005-0000-0000-0000977A0000}"/>
    <cellStyle name="40% - Accent4 2 4 2 11 4" xfId="12960" xr:uid="{00000000-0005-0000-0000-0000987A0000}"/>
    <cellStyle name="40% - Accent4 2 4 2 11 5" xfId="18436" xr:uid="{00000000-0005-0000-0000-0000997A0000}"/>
    <cellStyle name="40% - Accent4 2 4 2 11 6" xfId="23912" xr:uid="{00000000-0005-0000-0000-00009A7A0000}"/>
    <cellStyle name="40% - Accent4 2 4 2 11 7" xfId="35708" xr:uid="{00000000-0005-0000-0000-00009B7A0000}"/>
    <cellStyle name="40% - Accent4 2 4 2 11 8" xfId="41185" xr:uid="{00000000-0005-0000-0000-00009C7A0000}"/>
    <cellStyle name="40% - Accent4 2 4 2 11 9" xfId="46662" xr:uid="{00000000-0005-0000-0000-00009D7A0000}"/>
    <cellStyle name="40% - Accent4 2 4 2 12" xfId="3831" xr:uid="{00000000-0005-0000-0000-00009E7A0000}"/>
    <cellStyle name="40% - Accent4 2 4 2 12 2" xfId="9311" xr:uid="{00000000-0005-0000-0000-00009F7A0000}"/>
    <cellStyle name="40% - Accent4 2 4 2 12 3" xfId="14787" xr:uid="{00000000-0005-0000-0000-0000A07A0000}"/>
    <cellStyle name="40% - Accent4 2 4 2 12 4" xfId="20263" xr:uid="{00000000-0005-0000-0000-0000A17A0000}"/>
    <cellStyle name="40% - Accent4 2 4 2 12 5" xfId="25739" xr:uid="{00000000-0005-0000-0000-0000A27A0000}"/>
    <cellStyle name="40% - Accent4 2 4 2 12 6" xfId="37535" xr:uid="{00000000-0005-0000-0000-0000A37A0000}"/>
    <cellStyle name="40% - Accent4 2 4 2 12 7" xfId="43012" xr:uid="{00000000-0005-0000-0000-0000A47A0000}"/>
    <cellStyle name="40% - Accent4 2 4 2 12 8" xfId="48489" xr:uid="{00000000-0005-0000-0000-0000A57A0000}"/>
    <cellStyle name="40% - Accent4 2 4 2 12 9" xfId="54007" xr:uid="{00000000-0005-0000-0000-0000A67A0000}"/>
    <cellStyle name="40% - Accent4 2 4 2 13" xfId="6582" xr:uid="{00000000-0005-0000-0000-0000A77A0000}"/>
    <cellStyle name="40% - Accent4 2 4 2 14" xfId="12062" xr:uid="{00000000-0005-0000-0000-0000A87A0000}"/>
    <cellStyle name="40% - Accent4 2 4 2 15" xfId="17538" xr:uid="{00000000-0005-0000-0000-0000A97A0000}"/>
    <cellStyle name="40% - Accent4 2 4 2 16" xfId="23014" xr:uid="{00000000-0005-0000-0000-0000AA7A0000}"/>
    <cellStyle name="40% - Accent4 2 4 2 17" xfId="31686" xr:uid="{00000000-0005-0000-0000-0000AB7A0000}"/>
    <cellStyle name="40% - Accent4 2 4 2 18" xfId="34809" xr:uid="{00000000-0005-0000-0000-0000AC7A0000}"/>
    <cellStyle name="40% - Accent4 2 4 2 19" xfId="40286" xr:uid="{00000000-0005-0000-0000-0000AD7A0000}"/>
    <cellStyle name="40% - Accent4 2 4 2 2" xfId="374" xr:uid="{00000000-0005-0000-0000-0000AE7A0000}"/>
    <cellStyle name="40% - Accent4 2 4 2 2 10" xfId="40288" xr:uid="{00000000-0005-0000-0000-0000AF7A0000}"/>
    <cellStyle name="40% - Accent4 2 4 2 2 11" xfId="45765" xr:uid="{00000000-0005-0000-0000-0000B07A0000}"/>
    <cellStyle name="40% - Accent4 2 4 2 2 12" xfId="51243" xr:uid="{00000000-0005-0000-0000-0000B17A0000}"/>
    <cellStyle name="40% - Accent4 2 4 2 2 2" xfId="2167" xr:uid="{00000000-0005-0000-0000-0000B27A0000}"/>
    <cellStyle name="40% - Accent4 2 4 2 2 2 2" xfId="7647" xr:uid="{00000000-0005-0000-0000-0000B37A0000}"/>
    <cellStyle name="40% - Accent4 2 4 2 2 2 3" xfId="13123" xr:uid="{00000000-0005-0000-0000-0000B47A0000}"/>
    <cellStyle name="40% - Accent4 2 4 2 2 2 4" xfId="18599" xr:uid="{00000000-0005-0000-0000-0000B57A0000}"/>
    <cellStyle name="40% - Accent4 2 4 2 2 2 5" xfId="24075" xr:uid="{00000000-0005-0000-0000-0000B67A0000}"/>
    <cellStyle name="40% - Accent4 2 4 2 2 2 6" xfId="35871" xr:uid="{00000000-0005-0000-0000-0000B77A0000}"/>
    <cellStyle name="40% - Accent4 2 4 2 2 2 7" xfId="41348" xr:uid="{00000000-0005-0000-0000-0000B87A0000}"/>
    <cellStyle name="40% - Accent4 2 4 2 2 2 8" xfId="46825" xr:uid="{00000000-0005-0000-0000-0000B97A0000}"/>
    <cellStyle name="40% - Accent4 2 4 2 2 2 9" xfId="52343" xr:uid="{00000000-0005-0000-0000-0000BA7A0000}"/>
    <cellStyle name="40% - Accent4 2 4 2 2 3" xfId="3936" xr:uid="{00000000-0005-0000-0000-0000BB7A0000}"/>
    <cellStyle name="40% - Accent4 2 4 2 2 3 2" xfId="9416" xr:uid="{00000000-0005-0000-0000-0000BC7A0000}"/>
    <cellStyle name="40% - Accent4 2 4 2 2 3 3" xfId="14892" xr:uid="{00000000-0005-0000-0000-0000BD7A0000}"/>
    <cellStyle name="40% - Accent4 2 4 2 2 3 4" xfId="20368" xr:uid="{00000000-0005-0000-0000-0000BE7A0000}"/>
    <cellStyle name="40% - Accent4 2 4 2 2 3 5" xfId="25844" xr:uid="{00000000-0005-0000-0000-0000BF7A0000}"/>
    <cellStyle name="40% - Accent4 2 4 2 2 3 6" xfId="37640" xr:uid="{00000000-0005-0000-0000-0000C07A0000}"/>
    <cellStyle name="40% - Accent4 2 4 2 2 3 7" xfId="43117" xr:uid="{00000000-0005-0000-0000-0000C17A0000}"/>
    <cellStyle name="40% - Accent4 2 4 2 2 3 8" xfId="48594" xr:uid="{00000000-0005-0000-0000-0000C27A0000}"/>
    <cellStyle name="40% - Accent4 2 4 2 2 3 9" xfId="54112" xr:uid="{00000000-0005-0000-0000-0000C37A0000}"/>
    <cellStyle name="40% - Accent4 2 4 2 2 4" xfId="6584" xr:uid="{00000000-0005-0000-0000-0000C47A0000}"/>
    <cellStyle name="40% - Accent4 2 4 2 2 5" xfId="12064" xr:uid="{00000000-0005-0000-0000-0000C57A0000}"/>
    <cellStyle name="40% - Accent4 2 4 2 2 6" xfId="17540" xr:uid="{00000000-0005-0000-0000-0000C67A0000}"/>
    <cellStyle name="40% - Accent4 2 4 2 2 7" xfId="23016" xr:uid="{00000000-0005-0000-0000-0000C77A0000}"/>
    <cellStyle name="40% - Accent4 2 4 2 2 8" xfId="31687" xr:uid="{00000000-0005-0000-0000-0000C87A0000}"/>
    <cellStyle name="40% - Accent4 2 4 2 2 9" xfId="34811" xr:uid="{00000000-0005-0000-0000-0000C97A0000}"/>
    <cellStyle name="40% - Accent4 2 4 2 20" xfId="45763" xr:uid="{00000000-0005-0000-0000-0000CA7A0000}"/>
    <cellStyle name="40% - Accent4 2 4 2 21" xfId="51241" xr:uid="{00000000-0005-0000-0000-0000CB7A0000}"/>
    <cellStyle name="40% - Accent4 2 4 2 3" xfId="575" xr:uid="{00000000-0005-0000-0000-0000CC7A0000}"/>
    <cellStyle name="40% - Accent4 2 4 2 3 10" xfId="45766" xr:uid="{00000000-0005-0000-0000-0000CD7A0000}"/>
    <cellStyle name="40% - Accent4 2 4 2 3 11" xfId="51244" xr:uid="{00000000-0005-0000-0000-0000CE7A0000}"/>
    <cellStyle name="40% - Accent4 2 4 2 3 2" xfId="2336" xr:uid="{00000000-0005-0000-0000-0000CF7A0000}"/>
    <cellStyle name="40% - Accent4 2 4 2 3 2 2" xfId="7816" xr:uid="{00000000-0005-0000-0000-0000D07A0000}"/>
    <cellStyle name="40% - Accent4 2 4 2 3 2 3" xfId="13292" xr:uid="{00000000-0005-0000-0000-0000D17A0000}"/>
    <cellStyle name="40% - Accent4 2 4 2 3 2 4" xfId="18768" xr:uid="{00000000-0005-0000-0000-0000D27A0000}"/>
    <cellStyle name="40% - Accent4 2 4 2 3 2 5" xfId="24244" xr:uid="{00000000-0005-0000-0000-0000D37A0000}"/>
    <cellStyle name="40% - Accent4 2 4 2 3 2 6" xfId="36040" xr:uid="{00000000-0005-0000-0000-0000D47A0000}"/>
    <cellStyle name="40% - Accent4 2 4 2 3 2 7" xfId="41517" xr:uid="{00000000-0005-0000-0000-0000D57A0000}"/>
    <cellStyle name="40% - Accent4 2 4 2 3 2 8" xfId="46994" xr:uid="{00000000-0005-0000-0000-0000D67A0000}"/>
    <cellStyle name="40% - Accent4 2 4 2 3 2 9" xfId="52512" xr:uid="{00000000-0005-0000-0000-0000D77A0000}"/>
    <cellStyle name="40% - Accent4 2 4 2 3 3" xfId="4108" xr:uid="{00000000-0005-0000-0000-0000D87A0000}"/>
    <cellStyle name="40% - Accent4 2 4 2 3 3 2" xfId="9588" xr:uid="{00000000-0005-0000-0000-0000D97A0000}"/>
    <cellStyle name="40% - Accent4 2 4 2 3 3 3" xfId="15064" xr:uid="{00000000-0005-0000-0000-0000DA7A0000}"/>
    <cellStyle name="40% - Accent4 2 4 2 3 3 4" xfId="20540" xr:uid="{00000000-0005-0000-0000-0000DB7A0000}"/>
    <cellStyle name="40% - Accent4 2 4 2 3 3 5" xfId="26016" xr:uid="{00000000-0005-0000-0000-0000DC7A0000}"/>
    <cellStyle name="40% - Accent4 2 4 2 3 3 6" xfId="37812" xr:uid="{00000000-0005-0000-0000-0000DD7A0000}"/>
    <cellStyle name="40% - Accent4 2 4 2 3 3 7" xfId="43289" xr:uid="{00000000-0005-0000-0000-0000DE7A0000}"/>
    <cellStyle name="40% - Accent4 2 4 2 3 3 8" xfId="48766" xr:uid="{00000000-0005-0000-0000-0000DF7A0000}"/>
    <cellStyle name="40% - Accent4 2 4 2 3 3 9" xfId="54284" xr:uid="{00000000-0005-0000-0000-0000E07A0000}"/>
    <cellStyle name="40% - Accent4 2 4 2 3 4" xfId="6585" xr:uid="{00000000-0005-0000-0000-0000E17A0000}"/>
    <cellStyle name="40% - Accent4 2 4 2 3 5" xfId="12065" xr:uid="{00000000-0005-0000-0000-0000E27A0000}"/>
    <cellStyle name="40% - Accent4 2 4 2 3 6" xfId="17541" xr:uid="{00000000-0005-0000-0000-0000E37A0000}"/>
    <cellStyle name="40% - Accent4 2 4 2 3 7" xfId="23017" xr:uid="{00000000-0005-0000-0000-0000E47A0000}"/>
    <cellStyle name="40% - Accent4 2 4 2 3 8" xfId="34812" xr:uid="{00000000-0005-0000-0000-0000E57A0000}"/>
    <cellStyle name="40% - Accent4 2 4 2 3 9" xfId="40289" xr:uid="{00000000-0005-0000-0000-0000E67A0000}"/>
    <cellStyle name="40% - Accent4 2 4 2 4" xfId="747" xr:uid="{00000000-0005-0000-0000-0000E77A0000}"/>
    <cellStyle name="40% - Accent4 2 4 2 4 10" xfId="45767" xr:uid="{00000000-0005-0000-0000-0000E87A0000}"/>
    <cellStyle name="40% - Accent4 2 4 2 4 11" xfId="51245" xr:uid="{00000000-0005-0000-0000-0000E97A0000}"/>
    <cellStyle name="40% - Accent4 2 4 2 4 2" xfId="2508" xr:uid="{00000000-0005-0000-0000-0000EA7A0000}"/>
    <cellStyle name="40% - Accent4 2 4 2 4 2 2" xfId="7988" xr:uid="{00000000-0005-0000-0000-0000EB7A0000}"/>
    <cellStyle name="40% - Accent4 2 4 2 4 2 3" xfId="13464" xr:uid="{00000000-0005-0000-0000-0000EC7A0000}"/>
    <cellStyle name="40% - Accent4 2 4 2 4 2 4" xfId="18940" xr:uid="{00000000-0005-0000-0000-0000ED7A0000}"/>
    <cellStyle name="40% - Accent4 2 4 2 4 2 5" xfId="24416" xr:uid="{00000000-0005-0000-0000-0000EE7A0000}"/>
    <cellStyle name="40% - Accent4 2 4 2 4 2 6" xfId="36212" xr:uid="{00000000-0005-0000-0000-0000EF7A0000}"/>
    <cellStyle name="40% - Accent4 2 4 2 4 2 7" xfId="41689" xr:uid="{00000000-0005-0000-0000-0000F07A0000}"/>
    <cellStyle name="40% - Accent4 2 4 2 4 2 8" xfId="47166" xr:uid="{00000000-0005-0000-0000-0000F17A0000}"/>
    <cellStyle name="40% - Accent4 2 4 2 4 2 9" xfId="52684" xr:uid="{00000000-0005-0000-0000-0000F27A0000}"/>
    <cellStyle name="40% - Accent4 2 4 2 4 3" xfId="4280" xr:uid="{00000000-0005-0000-0000-0000F37A0000}"/>
    <cellStyle name="40% - Accent4 2 4 2 4 3 2" xfId="9760" xr:uid="{00000000-0005-0000-0000-0000F47A0000}"/>
    <cellStyle name="40% - Accent4 2 4 2 4 3 3" xfId="15236" xr:uid="{00000000-0005-0000-0000-0000F57A0000}"/>
    <cellStyle name="40% - Accent4 2 4 2 4 3 4" xfId="20712" xr:uid="{00000000-0005-0000-0000-0000F67A0000}"/>
    <cellStyle name="40% - Accent4 2 4 2 4 3 5" xfId="26188" xr:uid="{00000000-0005-0000-0000-0000F77A0000}"/>
    <cellStyle name="40% - Accent4 2 4 2 4 3 6" xfId="37984" xr:uid="{00000000-0005-0000-0000-0000F87A0000}"/>
    <cellStyle name="40% - Accent4 2 4 2 4 3 7" xfId="43461" xr:uid="{00000000-0005-0000-0000-0000F97A0000}"/>
    <cellStyle name="40% - Accent4 2 4 2 4 3 8" xfId="48938" xr:uid="{00000000-0005-0000-0000-0000FA7A0000}"/>
    <cellStyle name="40% - Accent4 2 4 2 4 3 9" xfId="54456" xr:uid="{00000000-0005-0000-0000-0000FB7A0000}"/>
    <cellStyle name="40% - Accent4 2 4 2 4 4" xfId="6586" xr:uid="{00000000-0005-0000-0000-0000FC7A0000}"/>
    <cellStyle name="40% - Accent4 2 4 2 4 5" xfId="12066" xr:uid="{00000000-0005-0000-0000-0000FD7A0000}"/>
    <cellStyle name="40% - Accent4 2 4 2 4 6" xfId="17542" xr:uid="{00000000-0005-0000-0000-0000FE7A0000}"/>
    <cellStyle name="40% - Accent4 2 4 2 4 7" xfId="23018" xr:uid="{00000000-0005-0000-0000-0000FF7A0000}"/>
    <cellStyle name="40% - Accent4 2 4 2 4 8" xfId="34813" xr:uid="{00000000-0005-0000-0000-0000007B0000}"/>
    <cellStyle name="40% - Accent4 2 4 2 4 9" xfId="40290" xr:uid="{00000000-0005-0000-0000-0000017B0000}"/>
    <cellStyle name="40% - Accent4 2 4 2 5" xfId="919" xr:uid="{00000000-0005-0000-0000-0000027B0000}"/>
    <cellStyle name="40% - Accent4 2 4 2 5 10" xfId="45768" xr:uid="{00000000-0005-0000-0000-0000037B0000}"/>
    <cellStyle name="40% - Accent4 2 4 2 5 11" xfId="51246" xr:uid="{00000000-0005-0000-0000-0000047B0000}"/>
    <cellStyle name="40% - Accent4 2 4 2 5 2" xfId="2680" xr:uid="{00000000-0005-0000-0000-0000057B0000}"/>
    <cellStyle name="40% - Accent4 2 4 2 5 2 2" xfId="8160" xr:uid="{00000000-0005-0000-0000-0000067B0000}"/>
    <cellStyle name="40% - Accent4 2 4 2 5 2 3" xfId="13636" xr:uid="{00000000-0005-0000-0000-0000077B0000}"/>
    <cellStyle name="40% - Accent4 2 4 2 5 2 4" xfId="19112" xr:uid="{00000000-0005-0000-0000-0000087B0000}"/>
    <cellStyle name="40% - Accent4 2 4 2 5 2 5" xfId="24588" xr:uid="{00000000-0005-0000-0000-0000097B0000}"/>
    <cellStyle name="40% - Accent4 2 4 2 5 2 6" xfId="36384" xr:uid="{00000000-0005-0000-0000-00000A7B0000}"/>
    <cellStyle name="40% - Accent4 2 4 2 5 2 7" xfId="41861" xr:uid="{00000000-0005-0000-0000-00000B7B0000}"/>
    <cellStyle name="40% - Accent4 2 4 2 5 2 8" xfId="47338" xr:uid="{00000000-0005-0000-0000-00000C7B0000}"/>
    <cellStyle name="40% - Accent4 2 4 2 5 2 9" xfId="52856" xr:uid="{00000000-0005-0000-0000-00000D7B0000}"/>
    <cellStyle name="40% - Accent4 2 4 2 5 3" xfId="4452" xr:uid="{00000000-0005-0000-0000-00000E7B0000}"/>
    <cellStyle name="40% - Accent4 2 4 2 5 3 2" xfId="9932" xr:uid="{00000000-0005-0000-0000-00000F7B0000}"/>
    <cellStyle name="40% - Accent4 2 4 2 5 3 3" xfId="15408" xr:uid="{00000000-0005-0000-0000-0000107B0000}"/>
    <cellStyle name="40% - Accent4 2 4 2 5 3 4" xfId="20884" xr:uid="{00000000-0005-0000-0000-0000117B0000}"/>
    <cellStyle name="40% - Accent4 2 4 2 5 3 5" xfId="26360" xr:uid="{00000000-0005-0000-0000-0000127B0000}"/>
    <cellStyle name="40% - Accent4 2 4 2 5 3 6" xfId="38156" xr:uid="{00000000-0005-0000-0000-0000137B0000}"/>
    <cellStyle name="40% - Accent4 2 4 2 5 3 7" xfId="43633" xr:uid="{00000000-0005-0000-0000-0000147B0000}"/>
    <cellStyle name="40% - Accent4 2 4 2 5 3 8" xfId="49110" xr:uid="{00000000-0005-0000-0000-0000157B0000}"/>
    <cellStyle name="40% - Accent4 2 4 2 5 3 9" xfId="54628" xr:uid="{00000000-0005-0000-0000-0000167B0000}"/>
    <cellStyle name="40% - Accent4 2 4 2 5 4" xfId="6587" xr:uid="{00000000-0005-0000-0000-0000177B0000}"/>
    <cellStyle name="40% - Accent4 2 4 2 5 5" xfId="12067" xr:uid="{00000000-0005-0000-0000-0000187B0000}"/>
    <cellStyle name="40% - Accent4 2 4 2 5 6" xfId="17543" xr:uid="{00000000-0005-0000-0000-0000197B0000}"/>
    <cellStyle name="40% - Accent4 2 4 2 5 7" xfId="23019" xr:uid="{00000000-0005-0000-0000-00001A7B0000}"/>
    <cellStyle name="40% - Accent4 2 4 2 5 8" xfId="34814" xr:uid="{00000000-0005-0000-0000-00001B7B0000}"/>
    <cellStyle name="40% - Accent4 2 4 2 5 9" xfId="40291" xr:uid="{00000000-0005-0000-0000-00001C7B0000}"/>
    <cellStyle name="40% - Accent4 2 4 2 6" xfId="1125" xr:uid="{00000000-0005-0000-0000-00001D7B0000}"/>
    <cellStyle name="40% - Accent4 2 4 2 6 10" xfId="45769" xr:uid="{00000000-0005-0000-0000-00001E7B0000}"/>
    <cellStyle name="40% - Accent4 2 4 2 6 11" xfId="51247" xr:uid="{00000000-0005-0000-0000-00001F7B0000}"/>
    <cellStyle name="40% - Accent4 2 4 2 6 2" xfId="2886" xr:uid="{00000000-0005-0000-0000-0000207B0000}"/>
    <cellStyle name="40% - Accent4 2 4 2 6 2 2" xfId="8366" xr:uid="{00000000-0005-0000-0000-0000217B0000}"/>
    <cellStyle name="40% - Accent4 2 4 2 6 2 3" xfId="13842" xr:uid="{00000000-0005-0000-0000-0000227B0000}"/>
    <cellStyle name="40% - Accent4 2 4 2 6 2 4" xfId="19318" xr:uid="{00000000-0005-0000-0000-0000237B0000}"/>
    <cellStyle name="40% - Accent4 2 4 2 6 2 5" xfId="24794" xr:uid="{00000000-0005-0000-0000-0000247B0000}"/>
    <cellStyle name="40% - Accent4 2 4 2 6 2 6" xfId="36590" xr:uid="{00000000-0005-0000-0000-0000257B0000}"/>
    <cellStyle name="40% - Accent4 2 4 2 6 2 7" xfId="42067" xr:uid="{00000000-0005-0000-0000-0000267B0000}"/>
    <cellStyle name="40% - Accent4 2 4 2 6 2 8" xfId="47544" xr:uid="{00000000-0005-0000-0000-0000277B0000}"/>
    <cellStyle name="40% - Accent4 2 4 2 6 2 9" xfId="53062" xr:uid="{00000000-0005-0000-0000-0000287B0000}"/>
    <cellStyle name="40% - Accent4 2 4 2 6 3" xfId="4658" xr:uid="{00000000-0005-0000-0000-0000297B0000}"/>
    <cellStyle name="40% - Accent4 2 4 2 6 3 2" xfId="10138" xr:uid="{00000000-0005-0000-0000-00002A7B0000}"/>
    <cellStyle name="40% - Accent4 2 4 2 6 3 3" xfId="15614" xr:uid="{00000000-0005-0000-0000-00002B7B0000}"/>
    <cellStyle name="40% - Accent4 2 4 2 6 3 4" xfId="21090" xr:uid="{00000000-0005-0000-0000-00002C7B0000}"/>
    <cellStyle name="40% - Accent4 2 4 2 6 3 5" xfId="26566" xr:uid="{00000000-0005-0000-0000-00002D7B0000}"/>
    <cellStyle name="40% - Accent4 2 4 2 6 3 6" xfId="38362" xr:uid="{00000000-0005-0000-0000-00002E7B0000}"/>
    <cellStyle name="40% - Accent4 2 4 2 6 3 7" xfId="43839" xr:uid="{00000000-0005-0000-0000-00002F7B0000}"/>
    <cellStyle name="40% - Accent4 2 4 2 6 3 8" xfId="49316" xr:uid="{00000000-0005-0000-0000-0000307B0000}"/>
    <cellStyle name="40% - Accent4 2 4 2 6 3 9" xfId="54834" xr:uid="{00000000-0005-0000-0000-0000317B0000}"/>
    <cellStyle name="40% - Accent4 2 4 2 6 4" xfId="6588" xr:uid="{00000000-0005-0000-0000-0000327B0000}"/>
    <cellStyle name="40% - Accent4 2 4 2 6 5" xfId="12068" xr:uid="{00000000-0005-0000-0000-0000337B0000}"/>
    <cellStyle name="40% - Accent4 2 4 2 6 6" xfId="17544" xr:uid="{00000000-0005-0000-0000-0000347B0000}"/>
    <cellStyle name="40% - Accent4 2 4 2 6 7" xfId="23020" xr:uid="{00000000-0005-0000-0000-0000357B0000}"/>
    <cellStyle name="40% - Accent4 2 4 2 6 8" xfId="34815" xr:uid="{00000000-0005-0000-0000-0000367B0000}"/>
    <cellStyle name="40% - Accent4 2 4 2 6 9" xfId="40292" xr:uid="{00000000-0005-0000-0000-0000377B0000}"/>
    <cellStyle name="40% - Accent4 2 4 2 7" xfId="1297" xr:uid="{00000000-0005-0000-0000-0000387B0000}"/>
    <cellStyle name="40% - Accent4 2 4 2 7 10" xfId="45770" xr:uid="{00000000-0005-0000-0000-0000397B0000}"/>
    <cellStyle name="40% - Accent4 2 4 2 7 11" xfId="51248" xr:uid="{00000000-0005-0000-0000-00003A7B0000}"/>
    <cellStyle name="40% - Accent4 2 4 2 7 2" xfId="3058" xr:uid="{00000000-0005-0000-0000-00003B7B0000}"/>
    <cellStyle name="40% - Accent4 2 4 2 7 2 2" xfId="8538" xr:uid="{00000000-0005-0000-0000-00003C7B0000}"/>
    <cellStyle name="40% - Accent4 2 4 2 7 2 3" xfId="14014" xr:uid="{00000000-0005-0000-0000-00003D7B0000}"/>
    <cellStyle name="40% - Accent4 2 4 2 7 2 4" xfId="19490" xr:uid="{00000000-0005-0000-0000-00003E7B0000}"/>
    <cellStyle name="40% - Accent4 2 4 2 7 2 5" xfId="24966" xr:uid="{00000000-0005-0000-0000-00003F7B0000}"/>
    <cellStyle name="40% - Accent4 2 4 2 7 2 6" xfId="36762" xr:uid="{00000000-0005-0000-0000-0000407B0000}"/>
    <cellStyle name="40% - Accent4 2 4 2 7 2 7" xfId="42239" xr:uid="{00000000-0005-0000-0000-0000417B0000}"/>
    <cellStyle name="40% - Accent4 2 4 2 7 2 8" xfId="47716" xr:uid="{00000000-0005-0000-0000-0000427B0000}"/>
    <cellStyle name="40% - Accent4 2 4 2 7 2 9" xfId="53234" xr:uid="{00000000-0005-0000-0000-0000437B0000}"/>
    <cellStyle name="40% - Accent4 2 4 2 7 3" xfId="4830" xr:uid="{00000000-0005-0000-0000-0000447B0000}"/>
    <cellStyle name="40% - Accent4 2 4 2 7 3 2" xfId="10310" xr:uid="{00000000-0005-0000-0000-0000457B0000}"/>
    <cellStyle name="40% - Accent4 2 4 2 7 3 3" xfId="15786" xr:uid="{00000000-0005-0000-0000-0000467B0000}"/>
    <cellStyle name="40% - Accent4 2 4 2 7 3 4" xfId="21262" xr:uid="{00000000-0005-0000-0000-0000477B0000}"/>
    <cellStyle name="40% - Accent4 2 4 2 7 3 5" xfId="26738" xr:uid="{00000000-0005-0000-0000-0000487B0000}"/>
    <cellStyle name="40% - Accent4 2 4 2 7 3 6" xfId="38534" xr:uid="{00000000-0005-0000-0000-0000497B0000}"/>
    <cellStyle name="40% - Accent4 2 4 2 7 3 7" xfId="44011" xr:uid="{00000000-0005-0000-0000-00004A7B0000}"/>
    <cellStyle name="40% - Accent4 2 4 2 7 3 8" xfId="49488" xr:uid="{00000000-0005-0000-0000-00004B7B0000}"/>
    <cellStyle name="40% - Accent4 2 4 2 7 3 9" xfId="55006" xr:uid="{00000000-0005-0000-0000-00004C7B0000}"/>
    <cellStyle name="40% - Accent4 2 4 2 7 4" xfId="6589" xr:uid="{00000000-0005-0000-0000-00004D7B0000}"/>
    <cellStyle name="40% - Accent4 2 4 2 7 5" xfId="12069" xr:uid="{00000000-0005-0000-0000-00004E7B0000}"/>
    <cellStyle name="40% - Accent4 2 4 2 7 6" xfId="17545" xr:uid="{00000000-0005-0000-0000-00004F7B0000}"/>
    <cellStyle name="40% - Accent4 2 4 2 7 7" xfId="23021" xr:uid="{00000000-0005-0000-0000-0000507B0000}"/>
    <cellStyle name="40% - Accent4 2 4 2 7 8" xfId="34816" xr:uid="{00000000-0005-0000-0000-0000517B0000}"/>
    <cellStyle name="40% - Accent4 2 4 2 7 9" xfId="40293" xr:uid="{00000000-0005-0000-0000-0000527B0000}"/>
    <cellStyle name="40% - Accent4 2 4 2 8" xfId="1469" xr:uid="{00000000-0005-0000-0000-0000537B0000}"/>
    <cellStyle name="40% - Accent4 2 4 2 8 10" xfId="45771" xr:uid="{00000000-0005-0000-0000-0000547B0000}"/>
    <cellStyle name="40% - Accent4 2 4 2 8 11" xfId="51249" xr:uid="{00000000-0005-0000-0000-0000557B0000}"/>
    <cellStyle name="40% - Accent4 2 4 2 8 2" xfId="3230" xr:uid="{00000000-0005-0000-0000-0000567B0000}"/>
    <cellStyle name="40% - Accent4 2 4 2 8 2 2" xfId="8710" xr:uid="{00000000-0005-0000-0000-0000577B0000}"/>
    <cellStyle name="40% - Accent4 2 4 2 8 2 3" xfId="14186" xr:uid="{00000000-0005-0000-0000-0000587B0000}"/>
    <cellStyle name="40% - Accent4 2 4 2 8 2 4" xfId="19662" xr:uid="{00000000-0005-0000-0000-0000597B0000}"/>
    <cellStyle name="40% - Accent4 2 4 2 8 2 5" xfId="25138" xr:uid="{00000000-0005-0000-0000-00005A7B0000}"/>
    <cellStyle name="40% - Accent4 2 4 2 8 2 6" xfId="36934" xr:uid="{00000000-0005-0000-0000-00005B7B0000}"/>
    <cellStyle name="40% - Accent4 2 4 2 8 2 7" xfId="42411" xr:uid="{00000000-0005-0000-0000-00005C7B0000}"/>
    <cellStyle name="40% - Accent4 2 4 2 8 2 8" xfId="47888" xr:uid="{00000000-0005-0000-0000-00005D7B0000}"/>
    <cellStyle name="40% - Accent4 2 4 2 8 2 9" xfId="53406" xr:uid="{00000000-0005-0000-0000-00005E7B0000}"/>
    <cellStyle name="40% - Accent4 2 4 2 8 3" xfId="5002" xr:uid="{00000000-0005-0000-0000-00005F7B0000}"/>
    <cellStyle name="40% - Accent4 2 4 2 8 3 2" xfId="10482" xr:uid="{00000000-0005-0000-0000-0000607B0000}"/>
    <cellStyle name="40% - Accent4 2 4 2 8 3 3" xfId="15958" xr:uid="{00000000-0005-0000-0000-0000617B0000}"/>
    <cellStyle name="40% - Accent4 2 4 2 8 3 4" xfId="21434" xr:uid="{00000000-0005-0000-0000-0000627B0000}"/>
    <cellStyle name="40% - Accent4 2 4 2 8 3 5" xfId="26910" xr:uid="{00000000-0005-0000-0000-0000637B0000}"/>
    <cellStyle name="40% - Accent4 2 4 2 8 3 6" xfId="38706" xr:uid="{00000000-0005-0000-0000-0000647B0000}"/>
    <cellStyle name="40% - Accent4 2 4 2 8 3 7" xfId="44183" xr:uid="{00000000-0005-0000-0000-0000657B0000}"/>
    <cellStyle name="40% - Accent4 2 4 2 8 3 8" xfId="49660" xr:uid="{00000000-0005-0000-0000-0000667B0000}"/>
    <cellStyle name="40% - Accent4 2 4 2 8 3 9" xfId="55178" xr:uid="{00000000-0005-0000-0000-0000677B0000}"/>
    <cellStyle name="40% - Accent4 2 4 2 8 4" xfId="6590" xr:uid="{00000000-0005-0000-0000-0000687B0000}"/>
    <cellStyle name="40% - Accent4 2 4 2 8 5" xfId="12070" xr:uid="{00000000-0005-0000-0000-0000697B0000}"/>
    <cellStyle name="40% - Accent4 2 4 2 8 6" xfId="17546" xr:uid="{00000000-0005-0000-0000-00006A7B0000}"/>
    <cellStyle name="40% - Accent4 2 4 2 8 7" xfId="23022" xr:uid="{00000000-0005-0000-0000-00006B7B0000}"/>
    <cellStyle name="40% - Accent4 2 4 2 8 8" xfId="34817" xr:uid="{00000000-0005-0000-0000-00006C7B0000}"/>
    <cellStyle name="40% - Accent4 2 4 2 8 9" xfId="40294" xr:uid="{00000000-0005-0000-0000-00006D7B0000}"/>
    <cellStyle name="40% - Accent4 2 4 2 9" xfId="1641" xr:uid="{00000000-0005-0000-0000-00006E7B0000}"/>
    <cellStyle name="40% - Accent4 2 4 2 9 10" xfId="45772" xr:uid="{00000000-0005-0000-0000-00006F7B0000}"/>
    <cellStyle name="40% - Accent4 2 4 2 9 11" xfId="51250" xr:uid="{00000000-0005-0000-0000-0000707B0000}"/>
    <cellStyle name="40% - Accent4 2 4 2 9 2" xfId="3402" xr:uid="{00000000-0005-0000-0000-0000717B0000}"/>
    <cellStyle name="40% - Accent4 2 4 2 9 2 2" xfId="8882" xr:uid="{00000000-0005-0000-0000-0000727B0000}"/>
    <cellStyle name="40% - Accent4 2 4 2 9 2 3" xfId="14358" xr:uid="{00000000-0005-0000-0000-0000737B0000}"/>
    <cellStyle name="40% - Accent4 2 4 2 9 2 4" xfId="19834" xr:uid="{00000000-0005-0000-0000-0000747B0000}"/>
    <cellStyle name="40% - Accent4 2 4 2 9 2 5" xfId="25310" xr:uid="{00000000-0005-0000-0000-0000757B0000}"/>
    <cellStyle name="40% - Accent4 2 4 2 9 2 6" xfId="37106" xr:uid="{00000000-0005-0000-0000-0000767B0000}"/>
    <cellStyle name="40% - Accent4 2 4 2 9 2 7" xfId="42583" xr:uid="{00000000-0005-0000-0000-0000777B0000}"/>
    <cellStyle name="40% - Accent4 2 4 2 9 2 8" xfId="48060" xr:uid="{00000000-0005-0000-0000-0000787B0000}"/>
    <cellStyle name="40% - Accent4 2 4 2 9 2 9" xfId="53578" xr:uid="{00000000-0005-0000-0000-0000797B0000}"/>
    <cellStyle name="40% - Accent4 2 4 2 9 3" xfId="5174" xr:uid="{00000000-0005-0000-0000-00007A7B0000}"/>
    <cellStyle name="40% - Accent4 2 4 2 9 3 2" xfId="10654" xr:uid="{00000000-0005-0000-0000-00007B7B0000}"/>
    <cellStyle name="40% - Accent4 2 4 2 9 3 3" xfId="16130" xr:uid="{00000000-0005-0000-0000-00007C7B0000}"/>
    <cellStyle name="40% - Accent4 2 4 2 9 3 4" xfId="21606" xr:uid="{00000000-0005-0000-0000-00007D7B0000}"/>
    <cellStyle name="40% - Accent4 2 4 2 9 3 5" xfId="27082" xr:uid="{00000000-0005-0000-0000-00007E7B0000}"/>
    <cellStyle name="40% - Accent4 2 4 2 9 3 6" xfId="38878" xr:uid="{00000000-0005-0000-0000-00007F7B0000}"/>
    <cellStyle name="40% - Accent4 2 4 2 9 3 7" xfId="44355" xr:uid="{00000000-0005-0000-0000-0000807B0000}"/>
    <cellStyle name="40% - Accent4 2 4 2 9 3 8" xfId="49832" xr:uid="{00000000-0005-0000-0000-0000817B0000}"/>
    <cellStyle name="40% - Accent4 2 4 2 9 3 9" xfId="55350" xr:uid="{00000000-0005-0000-0000-0000827B0000}"/>
    <cellStyle name="40% - Accent4 2 4 2 9 4" xfId="6591" xr:uid="{00000000-0005-0000-0000-0000837B0000}"/>
    <cellStyle name="40% - Accent4 2 4 2 9 5" xfId="12071" xr:uid="{00000000-0005-0000-0000-0000847B0000}"/>
    <cellStyle name="40% - Accent4 2 4 2 9 6" xfId="17547" xr:uid="{00000000-0005-0000-0000-0000857B0000}"/>
    <cellStyle name="40% - Accent4 2 4 2 9 7" xfId="23023" xr:uid="{00000000-0005-0000-0000-0000867B0000}"/>
    <cellStyle name="40% - Accent4 2 4 2 9 8" xfId="34818" xr:uid="{00000000-0005-0000-0000-0000877B0000}"/>
    <cellStyle name="40% - Accent4 2 4 2 9 9" xfId="40295" xr:uid="{00000000-0005-0000-0000-0000887B0000}"/>
    <cellStyle name="40% - Accent4 2 4 20" xfId="40283" xr:uid="{00000000-0005-0000-0000-0000897B0000}"/>
    <cellStyle name="40% - Accent4 2 4 21" xfId="45760" xr:uid="{00000000-0005-0000-0000-00008A7B0000}"/>
    <cellStyle name="40% - Accent4 2 4 22" xfId="51238" xr:uid="{00000000-0005-0000-0000-00008B7B0000}"/>
    <cellStyle name="40% - Accent4 2 4 3" xfId="373" xr:uid="{00000000-0005-0000-0000-00008C7B0000}"/>
    <cellStyle name="40% - Accent4 2 4 3 10" xfId="40296" xr:uid="{00000000-0005-0000-0000-00008D7B0000}"/>
    <cellStyle name="40% - Accent4 2 4 3 11" xfId="45773" xr:uid="{00000000-0005-0000-0000-00008E7B0000}"/>
    <cellStyle name="40% - Accent4 2 4 3 12" xfId="51251" xr:uid="{00000000-0005-0000-0000-00008F7B0000}"/>
    <cellStyle name="40% - Accent4 2 4 3 2" xfId="2166" xr:uid="{00000000-0005-0000-0000-0000907B0000}"/>
    <cellStyle name="40% - Accent4 2 4 3 2 2" xfId="7646" xr:uid="{00000000-0005-0000-0000-0000917B0000}"/>
    <cellStyle name="40% - Accent4 2 4 3 2 3" xfId="13122" xr:uid="{00000000-0005-0000-0000-0000927B0000}"/>
    <cellStyle name="40% - Accent4 2 4 3 2 4" xfId="18598" xr:uid="{00000000-0005-0000-0000-0000937B0000}"/>
    <cellStyle name="40% - Accent4 2 4 3 2 5" xfId="24074" xr:uid="{00000000-0005-0000-0000-0000947B0000}"/>
    <cellStyle name="40% - Accent4 2 4 3 2 6" xfId="35870" xr:uid="{00000000-0005-0000-0000-0000957B0000}"/>
    <cellStyle name="40% - Accent4 2 4 3 2 7" xfId="41347" xr:uid="{00000000-0005-0000-0000-0000967B0000}"/>
    <cellStyle name="40% - Accent4 2 4 3 2 8" xfId="46824" xr:uid="{00000000-0005-0000-0000-0000977B0000}"/>
    <cellStyle name="40% - Accent4 2 4 3 2 9" xfId="52342" xr:uid="{00000000-0005-0000-0000-0000987B0000}"/>
    <cellStyle name="40% - Accent4 2 4 3 3" xfId="3935" xr:uid="{00000000-0005-0000-0000-0000997B0000}"/>
    <cellStyle name="40% - Accent4 2 4 3 3 2" xfId="9415" xr:uid="{00000000-0005-0000-0000-00009A7B0000}"/>
    <cellStyle name="40% - Accent4 2 4 3 3 3" xfId="14891" xr:uid="{00000000-0005-0000-0000-00009B7B0000}"/>
    <cellStyle name="40% - Accent4 2 4 3 3 4" xfId="20367" xr:uid="{00000000-0005-0000-0000-00009C7B0000}"/>
    <cellStyle name="40% - Accent4 2 4 3 3 5" xfId="25843" xr:uid="{00000000-0005-0000-0000-00009D7B0000}"/>
    <cellStyle name="40% - Accent4 2 4 3 3 6" xfId="37639" xr:uid="{00000000-0005-0000-0000-00009E7B0000}"/>
    <cellStyle name="40% - Accent4 2 4 3 3 7" xfId="43116" xr:uid="{00000000-0005-0000-0000-00009F7B0000}"/>
    <cellStyle name="40% - Accent4 2 4 3 3 8" xfId="48593" xr:uid="{00000000-0005-0000-0000-0000A07B0000}"/>
    <cellStyle name="40% - Accent4 2 4 3 3 9" xfId="54111" xr:uid="{00000000-0005-0000-0000-0000A17B0000}"/>
    <cellStyle name="40% - Accent4 2 4 3 4" xfId="6592" xr:uid="{00000000-0005-0000-0000-0000A27B0000}"/>
    <cellStyle name="40% - Accent4 2 4 3 5" xfId="12072" xr:uid="{00000000-0005-0000-0000-0000A37B0000}"/>
    <cellStyle name="40% - Accent4 2 4 3 6" xfId="17548" xr:uid="{00000000-0005-0000-0000-0000A47B0000}"/>
    <cellStyle name="40% - Accent4 2 4 3 7" xfId="23024" xr:uid="{00000000-0005-0000-0000-0000A57B0000}"/>
    <cellStyle name="40% - Accent4 2 4 3 8" xfId="31688" xr:uid="{00000000-0005-0000-0000-0000A67B0000}"/>
    <cellStyle name="40% - Accent4 2 4 3 9" xfId="34819" xr:uid="{00000000-0005-0000-0000-0000A77B0000}"/>
    <cellStyle name="40% - Accent4 2 4 4" xfId="574" xr:uid="{00000000-0005-0000-0000-0000A87B0000}"/>
    <cellStyle name="40% - Accent4 2 4 4 10" xfId="45774" xr:uid="{00000000-0005-0000-0000-0000A97B0000}"/>
    <cellStyle name="40% - Accent4 2 4 4 11" xfId="51252" xr:uid="{00000000-0005-0000-0000-0000AA7B0000}"/>
    <cellStyle name="40% - Accent4 2 4 4 2" xfId="2335" xr:uid="{00000000-0005-0000-0000-0000AB7B0000}"/>
    <cellStyle name="40% - Accent4 2 4 4 2 2" xfId="7815" xr:uid="{00000000-0005-0000-0000-0000AC7B0000}"/>
    <cellStyle name="40% - Accent4 2 4 4 2 3" xfId="13291" xr:uid="{00000000-0005-0000-0000-0000AD7B0000}"/>
    <cellStyle name="40% - Accent4 2 4 4 2 4" xfId="18767" xr:uid="{00000000-0005-0000-0000-0000AE7B0000}"/>
    <cellStyle name="40% - Accent4 2 4 4 2 5" xfId="24243" xr:uid="{00000000-0005-0000-0000-0000AF7B0000}"/>
    <cellStyle name="40% - Accent4 2 4 4 2 6" xfId="36039" xr:uid="{00000000-0005-0000-0000-0000B07B0000}"/>
    <cellStyle name="40% - Accent4 2 4 4 2 7" xfId="41516" xr:uid="{00000000-0005-0000-0000-0000B17B0000}"/>
    <cellStyle name="40% - Accent4 2 4 4 2 8" xfId="46993" xr:uid="{00000000-0005-0000-0000-0000B27B0000}"/>
    <cellStyle name="40% - Accent4 2 4 4 2 9" xfId="52511" xr:uid="{00000000-0005-0000-0000-0000B37B0000}"/>
    <cellStyle name="40% - Accent4 2 4 4 3" xfId="4107" xr:uid="{00000000-0005-0000-0000-0000B47B0000}"/>
    <cellStyle name="40% - Accent4 2 4 4 3 2" xfId="9587" xr:uid="{00000000-0005-0000-0000-0000B57B0000}"/>
    <cellStyle name="40% - Accent4 2 4 4 3 3" xfId="15063" xr:uid="{00000000-0005-0000-0000-0000B67B0000}"/>
    <cellStyle name="40% - Accent4 2 4 4 3 4" xfId="20539" xr:uid="{00000000-0005-0000-0000-0000B77B0000}"/>
    <cellStyle name="40% - Accent4 2 4 4 3 5" xfId="26015" xr:uid="{00000000-0005-0000-0000-0000B87B0000}"/>
    <cellStyle name="40% - Accent4 2 4 4 3 6" xfId="37811" xr:uid="{00000000-0005-0000-0000-0000B97B0000}"/>
    <cellStyle name="40% - Accent4 2 4 4 3 7" xfId="43288" xr:uid="{00000000-0005-0000-0000-0000BA7B0000}"/>
    <cellStyle name="40% - Accent4 2 4 4 3 8" xfId="48765" xr:uid="{00000000-0005-0000-0000-0000BB7B0000}"/>
    <cellStyle name="40% - Accent4 2 4 4 3 9" xfId="54283" xr:uid="{00000000-0005-0000-0000-0000BC7B0000}"/>
    <cellStyle name="40% - Accent4 2 4 4 4" xfId="6593" xr:uid="{00000000-0005-0000-0000-0000BD7B0000}"/>
    <cellStyle name="40% - Accent4 2 4 4 5" xfId="12073" xr:uid="{00000000-0005-0000-0000-0000BE7B0000}"/>
    <cellStyle name="40% - Accent4 2 4 4 6" xfId="17549" xr:uid="{00000000-0005-0000-0000-0000BF7B0000}"/>
    <cellStyle name="40% - Accent4 2 4 4 7" xfId="23025" xr:uid="{00000000-0005-0000-0000-0000C07B0000}"/>
    <cellStyle name="40% - Accent4 2 4 4 8" xfId="34820" xr:uid="{00000000-0005-0000-0000-0000C17B0000}"/>
    <cellStyle name="40% - Accent4 2 4 4 9" xfId="40297" xr:uid="{00000000-0005-0000-0000-0000C27B0000}"/>
    <cellStyle name="40% - Accent4 2 4 5" xfId="746" xr:uid="{00000000-0005-0000-0000-0000C37B0000}"/>
    <cellStyle name="40% - Accent4 2 4 5 10" xfId="45775" xr:uid="{00000000-0005-0000-0000-0000C47B0000}"/>
    <cellStyle name="40% - Accent4 2 4 5 11" xfId="51253" xr:uid="{00000000-0005-0000-0000-0000C57B0000}"/>
    <cellStyle name="40% - Accent4 2 4 5 2" xfId="2507" xr:uid="{00000000-0005-0000-0000-0000C67B0000}"/>
    <cellStyle name="40% - Accent4 2 4 5 2 2" xfId="7987" xr:uid="{00000000-0005-0000-0000-0000C77B0000}"/>
    <cellStyle name="40% - Accent4 2 4 5 2 3" xfId="13463" xr:uid="{00000000-0005-0000-0000-0000C87B0000}"/>
    <cellStyle name="40% - Accent4 2 4 5 2 4" xfId="18939" xr:uid="{00000000-0005-0000-0000-0000C97B0000}"/>
    <cellStyle name="40% - Accent4 2 4 5 2 5" xfId="24415" xr:uid="{00000000-0005-0000-0000-0000CA7B0000}"/>
    <cellStyle name="40% - Accent4 2 4 5 2 6" xfId="36211" xr:uid="{00000000-0005-0000-0000-0000CB7B0000}"/>
    <cellStyle name="40% - Accent4 2 4 5 2 7" xfId="41688" xr:uid="{00000000-0005-0000-0000-0000CC7B0000}"/>
    <cellStyle name="40% - Accent4 2 4 5 2 8" xfId="47165" xr:uid="{00000000-0005-0000-0000-0000CD7B0000}"/>
    <cellStyle name="40% - Accent4 2 4 5 2 9" xfId="52683" xr:uid="{00000000-0005-0000-0000-0000CE7B0000}"/>
    <cellStyle name="40% - Accent4 2 4 5 3" xfId="4279" xr:uid="{00000000-0005-0000-0000-0000CF7B0000}"/>
    <cellStyle name="40% - Accent4 2 4 5 3 2" xfId="9759" xr:uid="{00000000-0005-0000-0000-0000D07B0000}"/>
    <cellStyle name="40% - Accent4 2 4 5 3 3" xfId="15235" xr:uid="{00000000-0005-0000-0000-0000D17B0000}"/>
    <cellStyle name="40% - Accent4 2 4 5 3 4" xfId="20711" xr:uid="{00000000-0005-0000-0000-0000D27B0000}"/>
    <cellStyle name="40% - Accent4 2 4 5 3 5" xfId="26187" xr:uid="{00000000-0005-0000-0000-0000D37B0000}"/>
    <cellStyle name="40% - Accent4 2 4 5 3 6" xfId="37983" xr:uid="{00000000-0005-0000-0000-0000D47B0000}"/>
    <cellStyle name="40% - Accent4 2 4 5 3 7" xfId="43460" xr:uid="{00000000-0005-0000-0000-0000D57B0000}"/>
    <cellStyle name="40% - Accent4 2 4 5 3 8" xfId="48937" xr:uid="{00000000-0005-0000-0000-0000D67B0000}"/>
    <cellStyle name="40% - Accent4 2 4 5 3 9" xfId="54455" xr:uid="{00000000-0005-0000-0000-0000D77B0000}"/>
    <cellStyle name="40% - Accent4 2 4 5 4" xfId="6594" xr:uid="{00000000-0005-0000-0000-0000D87B0000}"/>
    <cellStyle name="40% - Accent4 2 4 5 5" xfId="12074" xr:uid="{00000000-0005-0000-0000-0000D97B0000}"/>
    <cellStyle name="40% - Accent4 2 4 5 6" xfId="17550" xr:uid="{00000000-0005-0000-0000-0000DA7B0000}"/>
    <cellStyle name="40% - Accent4 2 4 5 7" xfId="23026" xr:uid="{00000000-0005-0000-0000-0000DB7B0000}"/>
    <cellStyle name="40% - Accent4 2 4 5 8" xfId="34821" xr:uid="{00000000-0005-0000-0000-0000DC7B0000}"/>
    <cellStyle name="40% - Accent4 2 4 5 9" xfId="40298" xr:uid="{00000000-0005-0000-0000-0000DD7B0000}"/>
    <cellStyle name="40% - Accent4 2 4 6" xfId="918" xr:uid="{00000000-0005-0000-0000-0000DE7B0000}"/>
    <cellStyle name="40% - Accent4 2 4 6 10" xfId="45776" xr:uid="{00000000-0005-0000-0000-0000DF7B0000}"/>
    <cellStyle name="40% - Accent4 2 4 6 11" xfId="51254" xr:uid="{00000000-0005-0000-0000-0000E07B0000}"/>
    <cellStyle name="40% - Accent4 2 4 6 2" xfId="2679" xr:uid="{00000000-0005-0000-0000-0000E17B0000}"/>
    <cellStyle name="40% - Accent4 2 4 6 2 2" xfId="8159" xr:uid="{00000000-0005-0000-0000-0000E27B0000}"/>
    <cellStyle name="40% - Accent4 2 4 6 2 3" xfId="13635" xr:uid="{00000000-0005-0000-0000-0000E37B0000}"/>
    <cellStyle name="40% - Accent4 2 4 6 2 4" xfId="19111" xr:uid="{00000000-0005-0000-0000-0000E47B0000}"/>
    <cellStyle name="40% - Accent4 2 4 6 2 5" xfId="24587" xr:uid="{00000000-0005-0000-0000-0000E57B0000}"/>
    <cellStyle name="40% - Accent4 2 4 6 2 6" xfId="36383" xr:uid="{00000000-0005-0000-0000-0000E67B0000}"/>
    <cellStyle name="40% - Accent4 2 4 6 2 7" xfId="41860" xr:uid="{00000000-0005-0000-0000-0000E77B0000}"/>
    <cellStyle name="40% - Accent4 2 4 6 2 8" xfId="47337" xr:uid="{00000000-0005-0000-0000-0000E87B0000}"/>
    <cellStyle name="40% - Accent4 2 4 6 2 9" xfId="52855" xr:uid="{00000000-0005-0000-0000-0000E97B0000}"/>
    <cellStyle name="40% - Accent4 2 4 6 3" xfId="4451" xr:uid="{00000000-0005-0000-0000-0000EA7B0000}"/>
    <cellStyle name="40% - Accent4 2 4 6 3 2" xfId="9931" xr:uid="{00000000-0005-0000-0000-0000EB7B0000}"/>
    <cellStyle name="40% - Accent4 2 4 6 3 3" xfId="15407" xr:uid="{00000000-0005-0000-0000-0000EC7B0000}"/>
    <cellStyle name="40% - Accent4 2 4 6 3 4" xfId="20883" xr:uid="{00000000-0005-0000-0000-0000ED7B0000}"/>
    <cellStyle name="40% - Accent4 2 4 6 3 5" xfId="26359" xr:uid="{00000000-0005-0000-0000-0000EE7B0000}"/>
    <cellStyle name="40% - Accent4 2 4 6 3 6" xfId="38155" xr:uid="{00000000-0005-0000-0000-0000EF7B0000}"/>
    <cellStyle name="40% - Accent4 2 4 6 3 7" xfId="43632" xr:uid="{00000000-0005-0000-0000-0000F07B0000}"/>
    <cellStyle name="40% - Accent4 2 4 6 3 8" xfId="49109" xr:uid="{00000000-0005-0000-0000-0000F17B0000}"/>
    <cellStyle name="40% - Accent4 2 4 6 3 9" xfId="54627" xr:uid="{00000000-0005-0000-0000-0000F27B0000}"/>
    <cellStyle name="40% - Accent4 2 4 6 4" xfId="6595" xr:uid="{00000000-0005-0000-0000-0000F37B0000}"/>
    <cellStyle name="40% - Accent4 2 4 6 5" xfId="12075" xr:uid="{00000000-0005-0000-0000-0000F47B0000}"/>
    <cellStyle name="40% - Accent4 2 4 6 6" xfId="17551" xr:uid="{00000000-0005-0000-0000-0000F57B0000}"/>
    <cellStyle name="40% - Accent4 2 4 6 7" xfId="23027" xr:uid="{00000000-0005-0000-0000-0000F67B0000}"/>
    <cellStyle name="40% - Accent4 2 4 6 8" xfId="34822" xr:uid="{00000000-0005-0000-0000-0000F77B0000}"/>
    <cellStyle name="40% - Accent4 2 4 6 9" xfId="40299" xr:uid="{00000000-0005-0000-0000-0000F87B0000}"/>
    <cellStyle name="40% - Accent4 2 4 7" xfId="1124" xr:uid="{00000000-0005-0000-0000-0000F97B0000}"/>
    <cellStyle name="40% - Accent4 2 4 7 10" xfId="45777" xr:uid="{00000000-0005-0000-0000-0000FA7B0000}"/>
    <cellStyle name="40% - Accent4 2 4 7 11" xfId="51255" xr:uid="{00000000-0005-0000-0000-0000FB7B0000}"/>
    <cellStyle name="40% - Accent4 2 4 7 2" xfId="2885" xr:uid="{00000000-0005-0000-0000-0000FC7B0000}"/>
    <cellStyle name="40% - Accent4 2 4 7 2 2" xfId="8365" xr:uid="{00000000-0005-0000-0000-0000FD7B0000}"/>
    <cellStyle name="40% - Accent4 2 4 7 2 3" xfId="13841" xr:uid="{00000000-0005-0000-0000-0000FE7B0000}"/>
    <cellStyle name="40% - Accent4 2 4 7 2 4" xfId="19317" xr:uid="{00000000-0005-0000-0000-0000FF7B0000}"/>
    <cellStyle name="40% - Accent4 2 4 7 2 5" xfId="24793" xr:uid="{00000000-0005-0000-0000-0000007C0000}"/>
    <cellStyle name="40% - Accent4 2 4 7 2 6" xfId="36589" xr:uid="{00000000-0005-0000-0000-0000017C0000}"/>
    <cellStyle name="40% - Accent4 2 4 7 2 7" xfId="42066" xr:uid="{00000000-0005-0000-0000-0000027C0000}"/>
    <cellStyle name="40% - Accent4 2 4 7 2 8" xfId="47543" xr:uid="{00000000-0005-0000-0000-0000037C0000}"/>
    <cellStyle name="40% - Accent4 2 4 7 2 9" xfId="53061" xr:uid="{00000000-0005-0000-0000-0000047C0000}"/>
    <cellStyle name="40% - Accent4 2 4 7 3" xfId="4657" xr:uid="{00000000-0005-0000-0000-0000057C0000}"/>
    <cellStyle name="40% - Accent4 2 4 7 3 2" xfId="10137" xr:uid="{00000000-0005-0000-0000-0000067C0000}"/>
    <cellStyle name="40% - Accent4 2 4 7 3 3" xfId="15613" xr:uid="{00000000-0005-0000-0000-0000077C0000}"/>
    <cellStyle name="40% - Accent4 2 4 7 3 4" xfId="21089" xr:uid="{00000000-0005-0000-0000-0000087C0000}"/>
    <cellStyle name="40% - Accent4 2 4 7 3 5" xfId="26565" xr:uid="{00000000-0005-0000-0000-0000097C0000}"/>
    <cellStyle name="40% - Accent4 2 4 7 3 6" xfId="38361" xr:uid="{00000000-0005-0000-0000-00000A7C0000}"/>
    <cellStyle name="40% - Accent4 2 4 7 3 7" xfId="43838" xr:uid="{00000000-0005-0000-0000-00000B7C0000}"/>
    <cellStyle name="40% - Accent4 2 4 7 3 8" xfId="49315" xr:uid="{00000000-0005-0000-0000-00000C7C0000}"/>
    <cellStyle name="40% - Accent4 2 4 7 3 9" xfId="54833" xr:uid="{00000000-0005-0000-0000-00000D7C0000}"/>
    <cellStyle name="40% - Accent4 2 4 7 4" xfId="6596" xr:uid="{00000000-0005-0000-0000-00000E7C0000}"/>
    <cellStyle name="40% - Accent4 2 4 7 5" xfId="12076" xr:uid="{00000000-0005-0000-0000-00000F7C0000}"/>
    <cellStyle name="40% - Accent4 2 4 7 6" xfId="17552" xr:uid="{00000000-0005-0000-0000-0000107C0000}"/>
    <cellStyle name="40% - Accent4 2 4 7 7" xfId="23028" xr:uid="{00000000-0005-0000-0000-0000117C0000}"/>
    <cellStyle name="40% - Accent4 2 4 7 8" xfId="34823" xr:uid="{00000000-0005-0000-0000-0000127C0000}"/>
    <cellStyle name="40% - Accent4 2 4 7 9" xfId="40300" xr:uid="{00000000-0005-0000-0000-0000137C0000}"/>
    <cellStyle name="40% - Accent4 2 4 8" xfId="1296" xr:uid="{00000000-0005-0000-0000-0000147C0000}"/>
    <cellStyle name="40% - Accent4 2 4 8 10" xfId="45778" xr:uid="{00000000-0005-0000-0000-0000157C0000}"/>
    <cellStyle name="40% - Accent4 2 4 8 11" xfId="51256" xr:uid="{00000000-0005-0000-0000-0000167C0000}"/>
    <cellStyle name="40% - Accent4 2 4 8 2" xfId="3057" xr:uid="{00000000-0005-0000-0000-0000177C0000}"/>
    <cellStyle name="40% - Accent4 2 4 8 2 2" xfId="8537" xr:uid="{00000000-0005-0000-0000-0000187C0000}"/>
    <cellStyle name="40% - Accent4 2 4 8 2 3" xfId="14013" xr:uid="{00000000-0005-0000-0000-0000197C0000}"/>
    <cellStyle name="40% - Accent4 2 4 8 2 4" xfId="19489" xr:uid="{00000000-0005-0000-0000-00001A7C0000}"/>
    <cellStyle name="40% - Accent4 2 4 8 2 5" xfId="24965" xr:uid="{00000000-0005-0000-0000-00001B7C0000}"/>
    <cellStyle name="40% - Accent4 2 4 8 2 6" xfId="36761" xr:uid="{00000000-0005-0000-0000-00001C7C0000}"/>
    <cellStyle name="40% - Accent4 2 4 8 2 7" xfId="42238" xr:uid="{00000000-0005-0000-0000-00001D7C0000}"/>
    <cellStyle name="40% - Accent4 2 4 8 2 8" xfId="47715" xr:uid="{00000000-0005-0000-0000-00001E7C0000}"/>
    <cellStyle name="40% - Accent4 2 4 8 2 9" xfId="53233" xr:uid="{00000000-0005-0000-0000-00001F7C0000}"/>
    <cellStyle name="40% - Accent4 2 4 8 3" xfId="4829" xr:uid="{00000000-0005-0000-0000-0000207C0000}"/>
    <cellStyle name="40% - Accent4 2 4 8 3 2" xfId="10309" xr:uid="{00000000-0005-0000-0000-0000217C0000}"/>
    <cellStyle name="40% - Accent4 2 4 8 3 3" xfId="15785" xr:uid="{00000000-0005-0000-0000-0000227C0000}"/>
    <cellStyle name="40% - Accent4 2 4 8 3 4" xfId="21261" xr:uid="{00000000-0005-0000-0000-0000237C0000}"/>
    <cellStyle name="40% - Accent4 2 4 8 3 5" xfId="26737" xr:uid="{00000000-0005-0000-0000-0000247C0000}"/>
    <cellStyle name="40% - Accent4 2 4 8 3 6" xfId="38533" xr:uid="{00000000-0005-0000-0000-0000257C0000}"/>
    <cellStyle name="40% - Accent4 2 4 8 3 7" xfId="44010" xr:uid="{00000000-0005-0000-0000-0000267C0000}"/>
    <cellStyle name="40% - Accent4 2 4 8 3 8" xfId="49487" xr:uid="{00000000-0005-0000-0000-0000277C0000}"/>
    <cellStyle name="40% - Accent4 2 4 8 3 9" xfId="55005" xr:uid="{00000000-0005-0000-0000-0000287C0000}"/>
    <cellStyle name="40% - Accent4 2 4 8 4" xfId="6597" xr:uid="{00000000-0005-0000-0000-0000297C0000}"/>
    <cellStyle name="40% - Accent4 2 4 8 5" xfId="12077" xr:uid="{00000000-0005-0000-0000-00002A7C0000}"/>
    <cellStyle name="40% - Accent4 2 4 8 6" xfId="17553" xr:uid="{00000000-0005-0000-0000-00002B7C0000}"/>
    <cellStyle name="40% - Accent4 2 4 8 7" xfId="23029" xr:uid="{00000000-0005-0000-0000-00002C7C0000}"/>
    <cellStyle name="40% - Accent4 2 4 8 8" xfId="34824" xr:uid="{00000000-0005-0000-0000-00002D7C0000}"/>
    <cellStyle name="40% - Accent4 2 4 8 9" xfId="40301" xr:uid="{00000000-0005-0000-0000-00002E7C0000}"/>
    <cellStyle name="40% - Accent4 2 4 9" xfId="1468" xr:uid="{00000000-0005-0000-0000-00002F7C0000}"/>
    <cellStyle name="40% - Accent4 2 4 9 10" xfId="45779" xr:uid="{00000000-0005-0000-0000-0000307C0000}"/>
    <cellStyle name="40% - Accent4 2 4 9 11" xfId="51257" xr:uid="{00000000-0005-0000-0000-0000317C0000}"/>
    <cellStyle name="40% - Accent4 2 4 9 2" xfId="3229" xr:uid="{00000000-0005-0000-0000-0000327C0000}"/>
    <cellStyle name="40% - Accent4 2 4 9 2 2" xfId="8709" xr:uid="{00000000-0005-0000-0000-0000337C0000}"/>
    <cellStyle name="40% - Accent4 2 4 9 2 3" xfId="14185" xr:uid="{00000000-0005-0000-0000-0000347C0000}"/>
    <cellStyle name="40% - Accent4 2 4 9 2 4" xfId="19661" xr:uid="{00000000-0005-0000-0000-0000357C0000}"/>
    <cellStyle name="40% - Accent4 2 4 9 2 5" xfId="25137" xr:uid="{00000000-0005-0000-0000-0000367C0000}"/>
    <cellStyle name="40% - Accent4 2 4 9 2 6" xfId="36933" xr:uid="{00000000-0005-0000-0000-0000377C0000}"/>
    <cellStyle name="40% - Accent4 2 4 9 2 7" xfId="42410" xr:uid="{00000000-0005-0000-0000-0000387C0000}"/>
    <cellStyle name="40% - Accent4 2 4 9 2 8" xfId="47887" xr:uid="{00000000-0005-0000-0000-0000397C0000}"/>
    <cellStyle name="40% - Accent4 2 4 9 2 9" xfId="53405" xr:uid="{00000000-0005-0000-0000-00003A7C0000}"/>
    <cellStyle name="40% - Accent4 2 4 9 3" xfId="5001" xr:uid="{00000000-0005-0000-0000-00003B7C0000}"/>
    <cellStyle name="40% - Accent4 2 4 9 3 2" xfId="10481" xr:uid="{00000000-0005-0000-0000-00003C7C0000}"/>
    <cellStyle name="40% - Accent4 2 4 9 3 3" xfId="15957" xr:uid="{00000000-0005-0000-0000-00003D7C0000}"/>
    <cellStyle name="40% - Accent4 2 4 9 3 4" xfId="21433" xr:uid="{00000000-0005-0000-0000-00003E7C0000}"/>
    <cellStyle name="40% - Accent4 2 4 9 3 5" xfId="26909" xr:uid="{00000000-0005-0000-0000-00003F7C0000}"/>
    <cellStyle name="40% - Accent4 2 4 9 3 6" xfId="38705" xr:uid="{00000000-0005-0000-0000-0000407C0000}"/>
    <cellStyle name="40% - Accent4 2 4 9 3 7" xfId="44182" xr:uid="{00000000-0005-0000-0000-0000417C0000}"/>
    <cellStyle name="40% - Accent4 2 4 9 3 8" xfId="49659" xr:uid="{00000000-0005-0000-0000-0000427C0000}"/>
    <cellStyle name="40% - Accent4 2 4 9 3 9" xfId="55177" xr:uid="{00000000-0005-0000-0000-0000437C0000}"/>
    <cellStyle name="40% - Accent4 2 4 9 4" xfId="6598" xr:uid="{00000000-0005-0000-0000-0000447C0000}"/>
    <cellStyle name="40% - Accent4 2 4 9 5" xfId="12078" xr:uid="{00000000-0005-0000-0000-0000457C0000}"/>
    <cellStyle name="40% - Accent4 2 4 9 6" xfId="17554" xr:uid="{00000000-0005-0000-0000-0000467C0000}"/>
    <cellStyle name="40% - Accent4 2 4 9 7" xfId="23030" xr:uid="{00000000-0005-0000-0000-0000477C0000}"/>
    <cellStyle name="40% - Accent4 2 4 9 8" xfId="34825" xr:uid="{00000000-0005-0000-0000-0000487C0000}"/>
    <cellStyle name="40% - Accent4 2 4 9 9" xfId="40302" xr:uid="{00000000-0005-0000-0000-0000497C0000}"/>
    <cellStyle name="40% - Accent4 2 5" xfId="214" xr:uid="{00000000-0005-0000-0000-00004A7C0000}"/>
    <cellStyle name="40% - Accent4 2 5 10" xfId="1838" xr:uid="{00000000-0005-0000-0000-00004B7C0000}"/>
    <cellStyle name="40% - Accent4 2 5 10 10" xfId="45781" xr:uid="{00000000-0005-0000-0000-00004C7C0000}"/>
    <cellStyle name="40% - Accent4 2 5 10 11" xfId="51259" xr:uid="{00000000-0005-0000-0000-00004D7C0000}"/>
    <cellStyle name="40% - Accent4 2 5 10 2" xfId="3599" xr:uid="{00000000-0005-0000-0000-00004E7C0000}"/>
    <cellStyle name="40% - Accent4 2 5 10 2 2" xfId="9079" xr:uid="{00000000-0005-0000-0000-00004F7C0000}"/>
    <cellStyle name="40% - Accent4 2 5 10 2 3" xfId="14555" xr:uid="{00000000-0005-0000-0000-0000507C0000}"/>
    <cellStyle name="40% - Accent4 2 5 10 2 4" xfId="20031" xr:uid="{00000000-0005-0000-0000-0000517C0000}"/>
    <cellStyle name="40% - Accent4 2 5 10 2 5" xfId="25507" xr:uid="{00000000-0005-0000-0000-0000527C0000}"/>
    <cellStyle name="40% - Accent4 2 5 10 2 6" xfId="37303" xr:uid="{00000000-0005-0000-0000-0000537C0000}"/>
    <cellStyle name="40% - Accent4 2 5 10 2 7" xfId="42780" xr:uid="{00000000-0005-0000-0000-0000547C0000}"/>
    <cellStyle name="40% - Accent4 2 5 10 2 8" xfId="48257" xr:uid="{00000000-0005-0000-0000-0000557C0000}"/>
    <cellStyle name="40% - Accent4 2 5 10 2 9" xfId="53775" xr:uid="{00000000-0005-0000-0000-0000567C0000}"/>
    <cellStyle name="40% - Accent4 2 5 10 3" xfId="5371" xr:uid="{00000000-0005-0000-0000-0000577C0000}"/>
    <cellStyle name="40% - Accent4 2 5 10 3 2" xfId="10851" xr:uid="{00000000-0005-0000-0000-0000587C0000}"/>
    <cellStyle name="40% - Accent4 2 5 10 3 3" xfId="16327" xr:uid="{00000000-0005-0000-0000-0000597C0000}"/>
    <cellStyle name="40% - Accent4 2 5 10 3 4" xfId="21803" xr:uid="{00000000-0005-0000-0000-00005A7C0000}"/>
    <cellStyle name="40% - Accent4 2 5 10 3 5" xfId="27279" xr:uid="{00000000-0005-0000-0000-00005B7C0000}"/>
    <cellStyle name="40% - Accent4 2 5 10 3 6" xfId="39075" xr:uid="{00000000-0005-0000-0000-00005C7C0000}"/>
    <cellStyle name="40% - Accent4 2 5 10 3 7" xfId="44552" xr:uid="{00000000-0005-0000-0000-00005D7C0000}"/>
    <cellStyle name="40% - Accent4 2 5 10 3 8" xfId="50029" xr:uid="{00000000-0005-0000-0000-00005E7C0000}"/>
    <cellStyle name="40% - Accent4 2 5 10 3 9" xfId="55547" xr:uid="{00000000-0005-0000-0000-00005F7C0000}"/>
    <cellStyle name="40% - Accent4 2 5 10 4" xfId="6600" xr:uid="{00000000-0005-0000-0000-0000607C0000}"/>
    <cellStyle name="40% - Accent4 2 5 10 5" xfId="12080" xr:uid="{00000000-0005-0000-0000-0000617C0000}"/>
    <cellStyle name="40% - Accent4 2 5 10 6" xfId="17556" xr:uid="{00000000-0005-0000-0000-0000627C0000}"/>
    <cellStyle name="40% - Accent4 2 5 10 7" xfId="23032" xr:uid="{00000000-0005-0000-0000-0000637C0000}"/>
    <cellStyle name="40% - Accent4 2 5 10 8" xfId="34827" xr:uid="{00000000-0005-0000-0000-0000647C0000}"/>
    <cellStyle name="40% - Accent4 2 5 10 9" xfId="40304" xr:uid="{00000000-0005-0000-0000-0000657C0000}"/>
    <cellStyle name="40% - Accent4 2 5 11" xfId="2004" xr:uid="{00000000-0005-0000-0000-0000667C0000}"/>
    <cellStyle name="40% - Accent4 2 5 11 10" xfId="52181" xr:uid="{00000000-0005-0000-0000-0000677C0000}"/>
    <cellStyle name="40% - Accent4 2 5 11 2" xfId="5536" xr:uid="{00000000-0005-0000-0000-0000687C0000}"/>
    <cellStyle name="40% - Accent4 2 5 11 2 2" xfId="11016" xr:uid="{00000000-0005-0000-0000-0000697C0000}"/>
    <cellStyle name="40% - Accent4 2 5 11 2 3" xfId="16492" xr:uid="{00000000-0005-0000-0000-00006A7C0000}"/>
    <cellStyle name="40% - Accent4 2 5 11 2 4" xfId="21968" xr:uid="{00000000-0005-0000-0000-00006B7C0000}"/>
    <cellStyle name="40% - Accent4 2 5 11 2 5" xfId="27444" xr:uid="{00000000-0005-0000-0000-00006C7C0000}"/>
    <cellStyle name="40% - Accent4 2 5 11 2 6" xfId="39240" xr:uid="{00000000-0005-0000-0000-00006D7C0000}"/>
    <cellStyle name="40% - Accent4 2 5 11 2 7" xfId="44717" xr:uid="{00000000-0005-0000-0000-00006E7C0000}"/>
    <cellStyle name="40% - Accent4 2 5 11 2 8" xfId="50194" xr:uid="{00000000-0005-0000-0000-00006F7C0000}"/>
    <cellStyle name="40% - Accent4 2 5 11 2 9" xfId="55712" xr:uid="{00000000-0005-0000-0000-0000707C0000}"/>
    <cellStyle name="40% - Accent4 2 5 11 3" xfId="7485" xr:uid="{00000000-0005-0000-0000-0000717C0000}"/>
    <cellStyle name="40% - Accent4 2 5 11 4" xfId="12961" xr:uid="{00000000-0005-0000-0000-0000727C0000}"/>
    <cellStyle name="40% - Accent4 2 5 11 5" xfId="18437" xr:uid="{00000000-0005-0000-0000-0000737C0000}"/>
    <cellStyle name="40% - Accent4 2 5 11 6" xfId="23913" xr:uid="{00000000-0005-0000-0000-0000747C0000}"/>
    <cellStyle name="40% - Accent4 2 5 11 7" xfId="35709" xr:uid="{00000000-0005-0000-0000-0000757C0000}"/>
    <cellStyle name="40% - Accent4 2 5 11 8" xfId="41186" xr:uid="{00000000-0005-0000-0000-0000767C0000}"/>
    <cellStyle name="40% - Accent4 2 5 11 9" xfId="46663" xr:uid="{00000000-0005-0000-0000-0000777C0000}"/>
    <cellStyle name="40% - Accent4 2 5 12" xfId="3780" xr:uid="{00000000-0005-0000-0000-0000787C0000}"/>
    <cellStyle name="40% - Accent4 2 5 12 2" xfId="9260" xr:uid="{00000000-0005-0000-0000-0000797C0000}"/>
    <cellStyle name="40% - Accent4 2 5 12 3" xfId="14736" xr:uid="{00000000-0005-0000-0000-00007A7C0000}"/>
    <cellStyle name="40% - Accent4 2 5 12 4" xfId="20212" xr:uid="{00000000-0005-0000-0000-00007B7C0000}"/>
    <cellStyle name="40% - Accent4 2 5 12 5" xfId="25688" xr:uid="{00000000-0005-0000-0000-00007C7C0000}"/>
    <cellStyle name="40% - Accent4 2 5 12 6" xfId="37484" xr:uid="{00000000-0005-0000-0000-00007D7C0000}"/>
    <cellStyle name="40% - Accent4 2 5 12 7" xfId="42961" xr:uid="{00000000-0005-0000-0000-00007E7C0000}"/>
    <cellStyle name="40% - Accent4 2 5 12 8" xfId="48438" xr:uid="{00000000-0005-0000-0000-00007F7C0000}"/>
    <cellStyle name="40% - Accent4 2 5 12 9" xfId="53956" xr:uid="{00000000-0005-0000-0000-0000807C0000}"/>
    <cellStyle name="40% - Accent4 2 5 13" xfId="6599" xr:uid="{00000000-0005-0000-0000-0000817C0000}"/>
    <cellStyle name="40% - Accent4 2 5 14" xfId="12079" xr:uid="{00000000-0005-0000-0000-0000827C0000}"/>
    <cellStyle name="40% - Accent4 2 5 15" xfId="17555" xr:uid="{00000000-0005-0000-0000-0000837C0000}"/>
    <cellStyle name="40% - Accent4 2 5 16" xfId="23031" xr:uid="{00000000-0005-0000-0000-0000847C0000}"/>
    <cellStyle name="40% - Accent4 2 5 17" xfId="31689" xr:uid="{00000000-0005-0000-0000-0000857C0000}"/>
    <cellStyle name="40% - Accent4 2 5 18" xfId="34826" xr:uid="{00000000-0005-0000-0000-0000867C0000}"/>
    <cellStyle name="40% - Accent4 2 5 19" xfId="40303" xr:uid="{00000000-0005-0000-0000-0000877C0000}"/>
    <cellStyle name="40% - Accent4 2 5 2" xfId="375" xr:uid="{00000000-0005-0000-0000-0000887C0000}"/>
    <cellStyle name="40% - Accent4 2 5 2 10" xfId="40305" xr:uid="{00000000-0005-0000-0000-0000897C0000}"/>
    <cellStyle name="40% - Accent4 2 5 2 11" xfId="45782" xr:uid="{00000000-0005-0000-0000-00008A7C0000}"/>
    <cellStyle name="40% - Accent4 2 5 2 12" xfId="51260" xr:uid="{00000000-0005-0000-0000-00008B7C0000}"/>
    <cellStyle name="40% - Accent4 2 5 2 2" xfId="2168" xr:uid="{00000000-0005-0000-0000-00008C7C0000}"/>
    <cellStyle name="40% - Accent4 2 5 2 2 10" xfId="52344" xr:uid="{00000000-0005-0000-0000-00008D7C0000}"/>
    <cellStyle name="40% - Accent4 2 5 2 2 2" xfId="7648" xr:uid="{00000000-0005-0000-0000-00008E7C0000}"/>
    <cellStyle name="40% - Accent4 2 5 2 2 3" xfId="13124" xr:uid="{00000000-0005-0000-0000-00008F7C0000}"/>
    <cellStyle name="40% - Accent4 2 5 2 2 4" xfId="18600" xr:uid="{00000000-0005-0000-0000-0000907C0000}"/>
    <cellStyle name="40% - Accent4 2 5 2 2 5" xfId="24076" xr:uid="{00000000-0005-0000-0000-0000917C0000}"/>
    <cellStyle name="40% - Accent4 2 5 2 2 6" xfId="31691" xr:uid="{00000000-0005-0000-0000-0000927C0000}"/>
    <cellStyle name="40% - Accent4 2 5 2 2 7" xfId="35872" xr:uid="{00000000-0005-0000-0000-0000937C0000}"/>
    <cellStyle name="40% - Accent4 2 5 2 2 8" xfId="41349" xr:uid="{00000000-0005-0000-0000-0000947C0000}"/>
    <cellStyle name="40% - Accent4 2 5 2 2 9" xfId="46826" xr:uid="{00000000-0005-0000-0000-0000957C0000}"/>
    <cellStyle name="40% - Accent4 2 5 2 3" xfId="3937" xr:uid="{00000000-0005-0000-0000-0000967C0000}"/>
    <cellStyle name="40% - Accent4 2 5 2 3 2" xfId="9417" xr:uid="{00000000-0005-0000-0000-0000977C0000}"/>
    <cellStyle name="40% - Accent4 2 5 2 3 3" xfId="14893" xr:uid="{00000000-0005-0000-0000-0000987C0000}"/>
    <cellStyle name="40% - Accent4 2 5 2 3 4" xfId="20369" xr:uid="{00000000-0005-0000-0000-0000997C0000}"/>
    <cellStyle name="40% - Accent4 2 5 2 3 5" xfId="25845" xr:uid="{00000000-0005-0000-0000-00009A7C0000}"/>
    <cellStyle name="40% - Accent4 2 5 2 3 6" xfId="37641" xr:uid="{00000000-0005-0000-0000-00009B7C0000}"/>
    <cellStyle name="40% - Accent4 2 5 2 3 7" xfId="43118" xr:uid="{00000000-0005-0000-0000-00009C7C0000}"/>
    <cellStyle name="40% - Accent4 2 5 2 3 8" xfId="48595" xr:uid="{00000000-0005-0000-0000-00009D7C0000}"/>
    <cellStyle name="40% - Accent4 2 5 2 3 9" xfId="54113" xr:uid="{00000000-0005-0000-0000-00009E7C0000}"/>
    <cellStyle name="40% - Accent4 2 5 2 4" xfId="6601" xr:uid="{00000000-0005-0000-0000-00009F7C0000}"/>
    <cellStyle name="40% - Accent4 2 5 2 5" xfId="12081" xr:uid="{00000000-0005-0000-0000-0000A07C0000}"/>
    <cellStyle name="40% - Accent4 2 5 2 6" xfId="17557" xr:uid="{00000000-0005-0000-0000-0000A17C0000}"/>
    <cellStyle name="40% - Accent4 2 5 2 7" xfId="23033" xr:uid="{00000000-0005-0000-0000-0000A27C0000}"/>
    <cellStyle name="40% - Accent4 2 5 2 8" xfId="31690" xr:uid="{00000000-0005-0000-0000-0000A37C0000}"/>
    <cellStyle name="40% - Accent4 2 5 2 9" xfId="34828" xr:uid="{00000000-0005-0000-0000-0000A47C0000}"/>
    <cellStyle name="40% - Accent4 2 5 20" xfId="45780" xr:uid="{00000000-0005-0000-0000-0000A57C0000}"/>
    <cellStyle name="40% - Accent4 2 5 21" xfId="51258" xr:uid="{00000000-0005-0000-0000-0000A67C0000}"/>
    <cellStyle name="40% - Accent4 2 5 3" xfId="576" xr:uid="{00000000-0005-0000-0000-0000A77C0000}"/>
    <cellStyle name="40% - Accent4 2 5 3 10" xfId="40306" xr:uid="{00000000-0005-0000-0000-0000A87C0000}"/>
    <cellStyle name="40% - Accent4 2 5 3 11" xfId="45783" xr:uid="{00000000-0005-0000-0000-0000A97C0000}"/>
    <cellStyle name="40% - Accent4 2 5 3 12" xfId="51261" xr:uid="{00000000-0005-0000-0000-0000AA7C0000}"/>
    <cellStyle name="40% - Accent4 2 5 3 2" xfId="2337" xr:uid="{00000000-0005-0000-0000-0000AB7C0000}"/>
    <cellStyle name="40% - Accent4 2 5 3 2 2" xfId="7817" xr:uid="{00000000-0005-0000-0000-0000AC7C0000}"/>
    <cellStyle name="40% - Accent4 2 5 3 2 3" xfId="13293" xr:uid="{00000000-0005-0000-0000-0000AD7C0000}"/>
    <cellStyle name="40% - Accent4 2 5 3 2 4" xfId="18769" xr:uid="{00000000-0005-0000-0000-0000AE7C0000}"/>
    <cellStyle name="40% - Accent4 2 5 3 2 5" xfId="24245" xr:uid="{00000000-0005-0000-0000-0000AF7C0000}"/>
    <cellStyle name="40% - Accent4 2 5 3 2 6" xfId="36041" xr:uid="{00000000-0005-0000-0000-0000B07C0000}"/>
    <cellStyle name="40% - Accent4 2 5 3 2 7" xfId="41518" xr:uid="{00000000-0005-0000-0000-0000B17C0000}"/>
    <cellStyle name="40% - Accent4 2 5 3 2 8" xfId="46995" xr:uid="{00000000-0005-0000-0000-0000B27C0000}"/>
    <cellStyle name="40% - Accent4 2 5 3 2 9" xfId="52513" xr:uid="{00000000-0005-0000-0000-0000B37C0000}"/>
    <cellStyle name="40% - Accent4 2 5 3 3" xfId="4109" xr:uid="{00000000-0005-0000-0000-0000B47C0000}"/>
    <cellStyle name="40% - Accent4 2 5 3 3 2" xfId="9589" xr:uid="{00000000-0005-0000-0000-0000B57C0000}"/>
    <cellStyle name="40% - Accent4 2 5 3 3 3" xfId="15065" xr:uid="{00000000-0005-0000-0000-0000B67C0000}"/>
    <cellStyle name="40% - Accent4 2 5 3 3 4" xfId="20541" xr:uid="{00000000-0005-0000-0000-0000B77C0000}"/>
    <cellStyle name="40% - Accent4 2 5 3 3 5" xfId="26017" xr:uid="{00000000-0005-0000-0000-0000B87C0000}"/>
    <cellStyle name="40% - Accent4 2 5 3 3 6" xfId="37813" xr:uid="{00000000-0005-0000-0000-0000B97C0000}"/>
    <cellStyle name="40% - Accent4 2 5 3 3 7" xfId="43290" xr:uid="{00000000-0005-0000-0000-0000BA7C0000}"/>
    <cellStyle name="40% - Accent4 2 5 3 3 8" xfId="48767" xr:uid="{00000000-0005-0000-0000-0000BB7C0000}"/>
    <cellStyle name="40% - Accent4 2 5 3 3 9" xfId="54285" xr:uid="{00000000-0005-0000-0000-0000BC7C0000}"/>
    <cellStyle name="40% - Accent4 2 5 3 4" xfId="6602" xr:uid="{00000000-0005-0000-0000-0000BD7C0000}"/>
    <cellStyle name="40% - Accent4 2 5 3 5" xfId="12082" xr:uid="{00000000-0005-0000-0000-0000BE7C0000}"/>
    <cellStyle name="40% - Accent4 2 5 3 6" xfId="17558" xr:uid="{00000000-0005-0000-0000-0000BF7C0000}"/>
    <cellStyle name="40% - Accent4 2 5 3 7" xfId="23034" xr:uid="{00000000-0005-0000-0000-0000C07C0000}"/>
    <cellStyle name="40% - Accent4 2 5 3 8" xfId="31692" xr:uid="{00000000-0005-0000-0000-0000C17C0000}"/>
    <cellStyle name="40% - Accent4 2 5 3 9" xfId="34829" xr:uid="{00000000-0005-0000-0000-0000C27C0000}"/>
    <cellStyle name="40% - Accent4 2 5 4" xfId="748" xr:uid="{00000000-0005-0000-0000-0000C37C0000}"/>
    <cellStyle name="40% - Accent4 2 5 4 10" xfId="45784" xr:uid="{00000000-0005-0000-0000-0000C47C0000}"/>
    <cellStyle name="40% - Accent4 2 5 4 11" xfId="51262" xr:uid="{00000000-0005-0000-0000-0000C57C0000}"/>
    <cellStyle name="40% - Accent4 2 5 4 2" xfId="2509" xr:uid="{00000000-0005-0000-0000-0000C67C0000}"/>
    <cellStyle name="40% - Accent4 2 5 4 2 2" xfId="7989" xr:uid="{00000000-0005-0000-0000-0000C77C0000}"/>
    <cellStyle name="40% - Accent4 2 5 4 2 3" xfId="13465" xr:uid="{00000000-0005-0000-0000-0000C87C0000}"/>
    <cellStyle name="40% - Accent4 2 5 4 2 4" xfId="18941" xr:uid="{00000000-0005-0000-0000-0000C97C0000}"/>
    <cellStyle name="40% - Accent4 2 5 4 2 5" xfId="24417" xr:uid="{00000000-0005-0000-0000-0000CA7C0000}"/>
    <cellStyle name="40% - Accent4 2 5 4 2 6" xfId="36213" xr:uid="{00000000-0005-0000-0000-0000CB7C0000}"/>
    <cellStyle name="40% - Accent4 2 5 4 2 7" xfId="41690" xr:uid="{00000000-0005-0000-0000-0000CC7C0000}"/>
    <cellStyle name="40% - Accent4 2 5 4 2 8" xfId="47167" xr:uid="{00000000-0005-0000-0000-0000CD7C0000}"/>
    <cellStyle name="40% - Accent4 2 5 4 2 9" xfId="52685" xr:uid="{00000000-0005-0000-0000-0000CE7C0000}"/>
    <cellStyle name="40% - Accent4 2 5 4 3" xfId="4281" xr:uid="{00000000-0005-0000-0000-0000CF7C0000}"/>
    <cellStyle name="40% - Accent4 2 5 4 3 2" xfId="9761" xr:uid="{00000000-0005-0000-0000-0000D07C0000}"/>
    <cellStyle name="40% - Accent4 2 5 4 3 3" xfId="15237" xr:uid="{00000000-0005-0000-0000-0000D17C0000}"/>
    <cellStyle name="40% - Accent4 2 5 4 3 4" xfId="20713" xr:uid="{00000000-0005-0000-0000-0000D27C0000}"/>
    <cellStyle name="40% - Accent4 2 5 4 3 5" xfId="26189" xr:uid="{00000000-0005-0000-0000-0000D37C0000}"/>
    <cellStyle name="40% - Accent4 2 5 4 3 6" xfId="37985" xr:uid="{00000000-0005-0000-0000-0000D47C0000}"/>
    <cellStyle name="40% - Accent4 2 5 4 3 7" xfId="43462" xr:uid="{00000000-0005-0000-0000-0000D57C0000}"/>
    <cellStyle name="40% - Accent4 2 5 4 3 8" xfId="48939" xr:uid="{00000000-0005-0000-0000-0000D67C0000}"/>
    <cellStyle name="40% - Accent4 2 5 4 3 9" xfId="54457" xr:uid="{00000000-0005-0000-0000-0000D77C0000}"/>
    <cellStyle name="40% - Accent4 2 5 4 4" xfId="6603" xr:uid="{00000000-0005-0000-0000-0000D87C0000}"/>
    <cellStyle name="40% - Accent4 2 5 4 5" xfId="12083" xr:uid="{00000000-0005-0000-0000-0000D97C0000}"/>
    <cellStyle name="40% - Accent4 2 5 4 6" xfId="17559" xr:uid="{00000000-0005-0000-0000-0000DA7C0000}"/>
    <cellStyle name="40% - Accent4 2 5 4 7" xfId="23035" xr:uid="{00000000-0005-0000-0000-0000DB7C0000}"/>
    <cellStyle name="40% - Accent4 2 5 4 8" xfId="34830" xr:uid="{00000000-0005-0000-0000-0000DC7C0000}"/>
    <cellStyle name="40% - Accent4 2 5 4 9" xfId="40307" xr:uid="{00000000-0005-0000-0000-0000DD7C0000}"/>
    <cellStyle name="40% - Accent4 2 5 5" xfId="920" xr:uid="{00000000-0005-0000-0000-0000DE7C0000}"/>
    <cellStyle name="40% - Accent4 2 5 5 10" xfId="45785" xr:uid="{00000000-0005-0000-0000-0000DF7C0000}"/>
    <cellStyle name="40% - Accent4 2 5 5 11" xfId="51263" xr:uid="{00000000-0005-0000-0000-0000E07C0000}"/>
    <cellStyle name="40% - Accent4 2 5 5 2" xfId="2681" xr:uid="{00000000-0005-0000-0000-0000E17C0000}"/>
    <cellStyle name="40% - Accent4 2 5 5 2 2" xfId="8161" xr:uid="{00000000-0005-0000-0000-0000E27C0000}"/>
    <cellStyle name="40% - Accent4 2 5 5 2 3" xfId="13637" xr:uid="{00000000-0005-0000-0000-0000E37C0000}"/>
    <cellStyle name="40% - Accent4 2 5 5 2 4" xfId="19113" xr:uid="{00000000-0005-0000-0000-0000E47C0000}"/>
    <cellStyle name="40% - Accent4 2 5 5 2 5" xfId="24589" xr:uid="{00000000-0005-0000-0000-0000E57C0000}"/>
    <cellStyle name="40% - Accent4 2 5 5 2 6" xfId="36385" xr:uid="{00000000-0005-0000-0000-0000E67C0000}"/>
    <cellStyle name="40% - Accent4 2 5 5 2 7" xfId="41862" xr:uid="{00000000-0005-0000-0000-0000E77C0000}"/>
    <cellStyle name="40% - Accent4 2 5 5 2 8" xfId="47339" xr:uid="{00000000-0005-0000-0000-0000E87C0000}"/>
    <cellStyle name="40% - Accent4 2 5 5 2 9" xfId="52857" xr:uid="{00000000-0005-0000-0000-0000E97C0000}"/>
    <cellStyle name="40% - Accent4 2 5 5 3" xfId="4453" xr:uid="{00000000-0005-0000-0000-0000EA7C0000}"/>
    <cellStyle name="40% - Accent4 2 5 5 3 2" xfId="9933" xr:uid="{00000000-0005-0000-0000-0000EB7C0000}"/>
    <cellStyle name="40% - Accent4 2 5 5 3 3" xfId="15409" xr:uid="{00000000-0005-0000-0000-0000EC7C0000}"/>
    <cellStyle name="40% - Accent4 2 5 5 3 4" xfId="20885" xr:uid="{00000000-0005-0000-0000-0000ED7C0000}"/>
    <cellStyle name="40% - Accent4 2 5 5 3 5" xfId="26361" xr:uid="{00000000-0005-0000-0000-0000EE7C0000}"/>
    <cellStyle name="40% - Accent4 2 5 5 3 6" xfId="38157" xr:uid="{00000000-0005-0000-0000-0000EF7C0000}"/>
    <cellStyle name="40% - Accent4 2 5 5 3 7" xfId="43634" xr:uid="{00000000-0005-0000-0000-0000F07C0000}"/>
    <cellStyle name="40% - Accent4 2 5 5 3 8" xfId="49111" xr:uid="{00000000-0005-0000-0000-0000F17C0000}"/>
    <cellStyle name="40% - Accent4 2 5 5 3 9" xfId="54629" xr:uid="{00000000-0005-0000-0000-0000F27C0000}"/>
    <cellStyle name="40% - Accent4 2 5 5 4" xfId="6604" xr:uid="{00000000-0005-0000-0000-0000F37C0000}"/>
    <cellStyle name="40% - Accent4 2 5 5 5" xfId="12084" xr:uid="{00000000-0005-0000-0000-0000F47C0000}"/>
    <cellStyle name="40% - Accent4 2 5 5 6" xfId="17560" xr:uid="{00000000-0005-0000-0000-0000F57C0000}"/>
    <cellStyle name="40% - Accent4 2 5 5 7" xfId="23036" xr:uid="{00000000-0005-0000-0000-0000F67C0000}"/>
    <cellStyle name="40% - Accent4 2 5 5 8" xfId="34831" xr:uid="{00000000-0005-0000-0000-0000F77C0000}"/>
    <cellStyle name="40% - Accent4 2 5 5 9" xfId="40308" xr:uid="{00000000-0005-0000-0000-0000F87C0000}"/>
    <cellStyle name="40% - Accent4 2 5 6" xfId="1126" xr:uid="{00000000-0005-0000-0000-0000F97C0000}"/>
    <cellStyle name="40% - Accent4 2 5 6 10" xfId="45786" xr:uid="{00000000-0005-0000-0000-0000FA7C0000}"/>
    <cellStyle name="40% - Accent4 2 5 6 11" xfId="51264" xr:uid="{00000000-0005-0000-0000-0000FB7C0000}"/>
    <cellStyle name="40% - Accent4 2 5 6 2" xfId="2887" xr:uid="{00000000-0005-0000-0000-0000FC7C0000}"/>
    <cellStyle name="40% - Accent4 2 5 6 2 2" xfId="8367" xr:uid="{00000000-0005-0000-0000-0000FD7C0000}"/>
    <cellStyle name="40% - Accent4 2 5 6 2 3" xfId="13843" xr:uid="{00000000-0005-0000-0000-0000FE7C0000}"/>
    <cellStyle name="40% - Accent4 2 5 6 2 4" xfId="19319" xr:uid="{00000000-0005-0000-0000-0000FF7C0000}"/>
    <cellStyle name="40% - Accent4 2 5 6 2 5" xfId="24795" xr:uid="{00000000-0005-0000-0000-0000007D0000}"/>
    <cellStyle name="40% - Accent4 2 5 6 2 6" xfId="36591" xr:uid="{00000000-0005-0000-0000-0000017D0000}"/>
    <cellStyle name="40% - Accent4 2 5 6 2 7" xfId="42068" xr:uid="{00000000-0005-0000-0000-0000027D0000}"/>
    <cellStyle name="40% - Accent4 2 5 6 2 8" xfId="47545" xr:uid="{00000000-0005-0000-0000-0000037D0000}"/>
    <cellStyle name="40% - Accent4 2 5 6 2 9" xfId="53063" xr:uid="{00000000-0005-0000-0000-0000047D0000}"/>
    <cellStyle name="40% - Accent4 2 5 6 3" xfId="4659" xr:uid="{00000000-0005-0000-0000-0000057D0000}"/>
    <cellStyle name="40% - Accent4 2 5 6 3 2" xfId="10139" xr:uid="{00000000-0005-0000-0000-0000067D0000}"/>
    <cellStyle name="40% - Accent4 2 5 6 3 3" xfId="15615" xr:uid="{00000000-0005-0000-0000-0000077D0000}"/>
    <cellStyle name="40% - Accent4 2 5 6 3 4" xfId="21091" xr:uid="{00000000-0005-0000-0000-0000087D0000}"/>
    <cellStyle name="40% - Accent4 2 5 6 3 5" xfId="26567" xr:uid="{00000000-0005-0000-0000-0000097D0000}"/>
    <cellStyle name="40% - Accent4 2 5 6 3 6" xfId="38363" xr:uid="{00000000-0005-0000-0000-00000A7D0000}"/>
    <cellStyle name="40% - Accent4 2 5 6 3 7" xfId="43840" xr:uid="{00000000-0005-0000-0000-00000B7D0000}"/>
    <cellStyle name="40% - Accent4 2 5 6 3 8" xfId="49317" xr:uid="{00000000-0005-0000-0000-00000C7D0000}"/>
    <cellStyle name="40% - Accent4 2 5 6 3 9" xfId="54835" xr:uid="{00000000-0005-0000-0000-00000D7D0000}"/>
    <cellStyle name="40% - Accent4 2 5 6 4" xfId="6605" xr:uid="{00000000-0005-0000-0000-00000E7D0000}"/>
    <cellStyle name="40% - Accent4 2 5 6 5" xfId="12085" xr:uid="{00000000-0005-0000-0000-00000F7D0000}"/>
    <cellStyle name="40% - Accent4 2 5 6 6" xfId="17561" xr:uid="{00000000-0005-0000-0000-0000107D0000}"/>
    <cellStyle name="40% - Accent4 2 5 6 7" xfId="23037" xr:uid="{00000000-0005-0000-0000-0000117D0000}"/>
    <cellStyle name="40% - Accent4 2 5 6 8" xfId="34832" xr:uid="{00000000-0005-0000-0000-0000127D0000}"/>
    <cellStyle name="40% - Accent4 2 5 6 9" xfId="40309" xr:uid="{00000000-0005-0000-0000-0000137D0000}"/>
    <cellStyle name="40% - Accent4 2 5 7" xfId="1298" xr:uid="{00000000-0005-0000-0000-0000147D0000}"/>
    <cellStyle name="40% - Accent4 2 5 7 10" xfId="45787" xr:uid="{00000000-0005-0000-0000-0000157D0000}"/>
    <cellStyle name="40% - Accent4 2 5 7 11" xfId="51265" xr:uid="{00000000-0005-0000-0000-0000167D0000}"/>
    <cellStyle name="40% - Accent4 2 5 7 2" xfId="3059" xr:uid="{00000000-0005-0000-0000-0000177D0000}"/>
    <cellStyle name="40% - Accent4 2 5 7 2 2" xfId="8539" xr:uid="{00000000-0005-0000-0000-0000187D0000}"/>
    <cellStyle name="40% - Accent4 2 5 7 2 3" xfId="14015" xr:uid="{00000000-0005-0000-0000-0000197D0000}"/>
    <cellStyle name="40% - Accent4 2 5 7 2 4" xfId="19491" xr:uid="{00000000-0005-0000-0000-00001A7D0000}"/>
    <cellStyle name="40% - Accent4 2 5 7 2 5" xfId="24967" xr:uid="{00000000-0005-0000-0000-00001B7D0000}"/>
    <cellStyle name="40% - Accent4 2 5 7 2 6" xfId="36763" xr:uid="{00000000-0005-0000-0000-00001C7D0000}"/>
    <cellStyle name="40% - Accent4 2 5 7 2 7" xfId="42240" xr:uid="{00000000-0005-0000-0000-00001D7D0000}"/>
    <cellStyle name="40% - Accent4 2 5 7 2 8" xfId="47717" xr:uid="{00000000-0005-0000-0000-00001E7D0000}"/>
    <cellStyle name="40% - Accent4 2 5 7 2 9" xfId="53235" xr:uid="{00000000-0005-0000-0000-00001F7D0000}"/>
    <cellStyle name="40% - Accent4 2 5 7 3" xfId="4831" xr:uid="{00000000-0005-0000-0000-0000207D0000}"/>
    <cellStyle name="40% - Accent4 2 5 7 3 2" xfId="10311" xr:uid="{00000000-0005-0000-0000-0000217D0000}"/>
    <cellStyle name="40% - Accent4 2 5 7 3 3" xfId="15787" xr:uid="{00000000-0005-0000-0000-0000227D0000}"/>
    <cellStyle name="40% - Accent4 2 5 7 3 4" xfId="21263" xr:uid="{00000000-0005-0000-0000-0000237D0000}"/>
    <cellStyle name="40% - Accent4 2 5 7 3 5" xfId="26739" xr:uid="{00000000-0005-0000-0000-0000247D0000}"/>
    <cellStyle name="40% - Accent4 2 5 7 3 6" xfId="38535" xr:uid="{00000000-0005-0000-0000-0000257D0000}"/>
    <cellStyle name="40% - Accent4 2 5 7 3 7" xfId="44012" xr:uid="{00000000-0005-0000-0000-0000267D0000}"/>
    <cellStyle name="40% - Accent4 2 5 7 3 8" xfId="49489" xr:uid="{00000000-0005-0000-0000-0000277D0000}"/>
    <cellStyle name="40% - Accent4 2 5 7 3 9" xfId="55007" xr:uid="{00000000-0005-0000-0000-0000287D0000}"/>
    <cellStyle name="40% - Accent4 2 5 7 4" xfId="6606" xr:uid="{00000000-0005-0000-0000-0000297D0000}"/>
    <cellStyle name="40% - Accent4 2 5 7 5" xfId="12086" xr:uid="{00000000-0005-0000-0000-00002A7D0000}"/>
    <cellStyle name="40% - Accent4 2 5 7 6" xfId="17562" xr:uid="{00000000-0005-0000-0000-00002B7D0000}"/>
    <cellStyle name="40% - Accent4 2 5 7 7" xfId="23038" xr:uid="{00000000-0005-0000-0000-00002C7D0000}"/>
    <cellStyle name="40% - Accent4 2 5 7 8" xfId="34833" xr:uid="{00000000-0005-0000-0000-00002D7D0000}"/>
    <cellStyle name="40% - Accent4 2 5 7 9" xfId="40310" xr:uid="{00000000-0005-0000-0000-00002E7D0000}"/>
    <cellStyle name="40% - Accent4 2 5 8" xfId="1470" xr:uid="{00000000-0005-0000-0000-00002F7D0000}"/>
    <cellStyle name="40% - Accent4 2 5 8 10" xfId="45788" xr:uid="{00000000-0005-0000-0000-0000307D0000}"/>
    <cellStyle name="40% - Accent4 2 5 8 11" xfId="51266" xr:uid="{00000000-0005-0000-0000-0000317D0000}"/>
    <cellStyle name="40% - Accent4 2 5 8 2" xfId="3231" xr:uid="{00000000-0005-0000-0000-0000327D0000}"/>
    <cellStyle name="40% - Accent4 2 5 8 2 2" xfId="8711" xr:uid="{00000000-0005-0000-0000-0000337D0000}"/>
    <cellStyle name="40% - Accent4 2 5 8 2 3" xfId="14187" xr:uid="{00000000-0005-0000-0000-0000347D0000}"/>
    <cellStyle name="40% - Accent4 2 5 8 2 4" xfId="19663" xr:uid="{00000000-0005-0000-0000-0000357D0000}"/>
    <cellStyle name="40% - Accent4 2 5 8 2 5" xfId="25139" xr:uid="{00000000-0005-0000-0000-0000367D0000}"/>
    <cellStyle name="40% - Accent4 2 5 8 2 6" xfId="36935" xr:uid="{00000000-0005-0000-0000-0000377D0000}"/>
    <cellStyle name="40% - Accent4 2 5 8 2 7" xfId="42412" xr:uid="{00000000-0005-0000-0000-0000387D0000}"/>
    <cellStyle name="40% - Accent4 2 5 8 2 8" xfId="47889" xr:uid="{00000000-0005-0000-0000-0000397D0000}"/>
    <cellStyle name="40% - Accent4 2 5 8 2 9" xfId="53407" xr:uid="{00000000-0005-0000-0000-00003A7D0000}"/>
    <cellStyle name="40% - Accent4 2 5 8 3" xfId="5003" xr:uid="{00000000-0005-0000-0000-00003B7D0000}"/>
    <cellStyle name="40% - Accent4 2 5 8 3 2" xfId="10483" xr:uid="{00000000-0005-0000-0000-00003C7D0000}"/>
    <cellStyle name="40% - Accent4 2 5 8 3 3" xfId="15959" xr:uid="{00000000-0005-0000-0000-00003D7D0000}"/>
    <cellStyle name="40% - Accent4 2 5 8 3 4" xfId="21435" xr:uid="{00000000-0005-0000-0000-00003E7D0000}"/>
    <cellStyle name="40% - Accent4 2 5 8 3 5" xfId="26911" xr:uid="{00000000-0005-0000-0000-00003F7D0000}"/>
    <cellStyle name="40% - Accent4 2 5 8 3 6" xfId="38707" xr:uid="{00000000-0005-0000-0000-0000407D0000}"/>
    <cellStyle name="40% - Accent4 2 5 8 3 7" xfId="44184" xr:uid="{00000000-0005-0000-0000-0000417D0000}"/>
    <cellStyle name="40% - Accent4 2 5 8 3 8" xfId="49661" xr:uid="{00000000-0005-0000-0000-0000427D0000}"/>
    <cellStyle name="40% - Accent4 2 5 8 3 9" xfId="55179" xr:uid="{00000000-0005-0000-0000-0000437D0000}"/>
    <cellStyle name="40% - Accent4 2 5 8 4" xfId="6607" xr:uid="{00000000-0005-0000-0000-0000447D0000}"/>
    <cellStyle name="40% - Accent4 2 5 8 5" xfId="12087" xr:uid="{00000000-0005-0000-0000-0000457D0000}"/>
    <cellStyle name="40% - Accent4 2 5 8 6" xfId="17563" xr:uid="{00000000-0005-0000-0000-0000467D0000}"/>
    <cellStyle name="40% - Accent4 2 5 8 7" xfId="23039" xr:uid="{00000000-0005-0000-0000-0000477D0000}"/>
    <cellStyle name="40% - Accent4 2 5 8 8" xfId="34834" xr:uid="{00000000-0005-0000-0000-0000487D0000}"/>
    <cellStyle name="40% - Accent4 2 5 8 9" xfId="40311" xr:uid="{00000000-0005-0000-0000-0000497D0000}"/>
    <cellStyle name="40% - Accent4 2 5 9" xfId="1642" xr:uid="{00000000-0005-0000-0000-00004A7D0000}"/>
    <cellStyle name="40% - Accent4 2 5 9 10" xfId="45789" xr:uid="{00000000-0005-0000-0000-00004B7D0000}"/>
    <cellStyle name="40% - Accent4 2 5 9 11" xfId="51267" xr:uid="{00000000-0005-0000-0000-00004C7D0000}"/>
    <cellStyle name="40% - Accent4 2 5 9 2" xfId="3403" xr:uid="{00000000-0005-0000-0000-00004D7D0000}"/>
    <cellStyle name="40% - Accent4 2 5 9 2 2" xfId="8883" xr:uid="{00000000-0005-0000-0000-00004E7D0000}"/>
    <cellStyle name="40% - Accent4 2 5 9 2 3" xfId="14359" xr:uid="{00000000-0005-0000-0000-00004F7D0000}"/>
    <cellStyle name="40% - Accent4 2 5 9 2 4" xfId="19835" xr:uid="{00000000-0005-0000-0000-0000507D0000}"/>
    <cellStyle name="40% - Accent4 2 5 9 2 5" xfId="25311" xr:uid="{00000000-0005-0000-0000-0000517D0000}"/>
    <cellStyle name="40% - Accent4 2 5 9 2 6" xfId="37107" xr:uid="{00000000-0005-0000-0000-0000527D0000}"/>
    <cellStyle name="40% - Accent4 2 5 9 2 7" xfId="42584" xr:uid="{00000000-0005-0000-0000-0000537D0000}"/>
    <cellStyle name="40% - Accent4 2 5 9 2 8" xfId="48061" xr:uid="{00000000-0005-0000-0000-0000547D0000}"/>
    <cellStyle name="40% - Accent4 2 5 9 2 9" xfId="53579" xr:uid="{00000000-0005-0000-0000-0000557D0000}"/>
    <cellStyle name="40% - Accent4 2 5 9 3" xfId="5175" xr:uid="{00000000-0005-0000-0000-0000567D0000}"/>
    <cellStyle name="40% - Accent4 2 5 9 3 2" xfId="10655" xr:uid="{00000000-0005-0000-0000-0000577D0000}"/>
    <cellStyle name="40% - Accent4 2 5 9 3 3" xfId="16131" xr:uid="{00000000-0005-0000-0000-0000587D0000}"/>
    <cellStyle name="40% - Accent4 2 5 9 3 4" xfId="21607" xr:uid="{00000000-0005-0000-0000-0000597D0000}"/>
    <cellStyle name="40% - Accent4 2 5 9 3 5" xfId="27083" xr:uid="{00000000-0005-0000-0000-00005A7D0000}"/>
    <cellStyle name="40% - Accent4 2 5 9 3 6" xfId="38879" xr:uid="{00000000-0005-0000-0000-00005B7D0000}"/>
    <cellStyle name="40% - Accent4 2 5 9 3 7" xfId="44356" xr:uid="{00000000-0005-0000-0000-00005C7D0000}"/>
    <cellStyle name="40% - Accent4 2 5 9 3 8" xfId="49833" xr:uid="{00000000-0005-0000-0000-00005D7D0000}"/>
    <cellStyle name="40% - Accent4 2 5 9 3 9" xfId="55351" xr:uid="{00000000-0005-0000-0000-00005E7D0000}"/>
    <cellStyle name="40% - Accent4 2 5 9 4" xfId="6608" xr:uid="{00000000-0005-0000-0000-00005F7D0000}"/>
    <cellStyle name="40% - Accent4 2 5 9 5" xfId="12088" xr:uid="{00000000-0005-0000-0000-0000607D0000}"/>
    <cellStyle name="40% - Accent4 2 5 9 6" xfId="17564" xr:uid="{00000000-0005-0000-0000-0000617D0000}"/>
    <cellStyle name="40% - Accent4 2 5 9 7" xfId="23040" xr:uid="{00000000-0005-0000-0000-0000627D0000}"/>
    <cellStyle name="40% - Accent4 2 5 9 8" xfId="34835" xr:uid="{00000000-0005-0000-0000-0000637D0000}"/>
    <cellStyle name="40% - Accent4 2 5 9 9" xfId="40312" xr:uid="{00000000-0005-0000-0000-0000647D0000}"/>
    <cellStyle name="40% - Accent4 2 6" xfId="368" xr:uid="{00000000-0005-0000-0000-0000657D0000}"/>
    <cellStyle name="40% - Accent4 2 6 10" xfId="40313" xr:uid="{00000000-0005-0000-0000-0000667D0000}"/>
    <cellStyle name="40% - Accent4 2 6 11" xfId="45790" xr:uid="{00000000-0005-0000-0000-0000677D0000}"/>
    <cellStyle name="40% - Accent4 2 6 12" xfId="51268" xr:uid="{00000000-0005-0000-0000-0000687D0000}"/>
    <cellStyle name="40% - Accent4 2 6 2" xfId="2161" xr:uid="{00000000-0005-0000-0000-0000697D0000}"/>
    <cellStyle name="40% - Accent4 2 6 2 10" xfId="52337" xr:uid="{00000000-0005-0000-0000-00006A7D0000}"/>
    <cellStyle name="40% - Accent4 2 6 2 2" xfId="7641" xr:uid="{00000000-0005-0000-0000-00006B7D0000}"/>
    <cellStyle name="40% - Accent4 2 6 2 2 2" xfId="31695" xr:uid="{00000000-0005-0000-0000-00006C7D0000}"/>
    <cellStyle name="40% - Accent4 2 6 2 3" xfId="13117" xr:uid="{00000000-0005-0000-0000-00006D7D0000}"/>
    <cellStyle name="40% - Accent4 2 6 2 4" xfId="18593" xr:uid="{00000000-0005-0000-0000-00006E7D0000}"/>
    <cellStyle name="40% - Accent4 2 6 2 5" xfId="24069" xr:uid="{00000000-0005-0000-0000-00006F7D0000}"/>
    <cellStyle name="40% - Accent4 2 6 2 6" xfId="31694" xr:uid="{00000000-0005-0000-0000-0000707D0000}"/>
    <cellStyle name="40% - Accent4 2 6 2 7" xfId="35865" xr:uid="{00000000-0005-0000-0000-0000717D0000}"/>
    <cellStyle name="40% - Accent4 2 6 2 8" xfId="41342" xr:uid="{00000000-0005-0000-0000-0000727D0000}"/>
    <cellStyle name="40% - Accent4 2 6 2 9" xfId="46819" xr:uid="{00000000-0005-0000-0000-0000737D0000}"/>
    <cellStyle name="40% - Accent4 2 6 3" xfId="3930" xr:uid="{00000000-0005-0000-0000-0000747D0000}"/>
    <cellStyle name="40% - Accent4 2 6 3 10" xfId="54106" xr:uid="{00000000-0005-0000-0000-0000757D0000}"/>
    <cellStyle name="40% - Accent4 2 6 3 2" xfId="9410" xr:uid="{00000000-0005-0000-0000-0000767D0000}"/>
    <cellStyle name="40% - Accent4 2 6 3 3" xfId="14886" xr:uid="{00000000-0005-0000-0000-0000777D0000}"/>
    <cellStyle name="40% - Accent4 2 6 3 4" xfId="20362" xr:uid="{00000000-0005-0000-0000-0000787D0000}"/>
    <cellStyle name="40% - Accent4 2 6 3 5" xfId="25838" xr:uid="{00000000-0005-0000-0000-0000797D0000}"/>
    <cellStyle name="40% - Accent4 2 6 3 6" xfId="31696" xr:uid="{00000000-0005-0000-0000-00007A7D0000}"/>
    <cellStyle name="40% - Accent4 2 6 3 7" xfId="37634" xr:uid="{00000000-0005-0000-0000-00007B7D0000}"/>
    <cellStyle name="40% - Accent4 2 6 3 8" xfId="43111" xr:uid="{00000000-0005-0000-0000-00007C7D0000}"/>
    <cellStyle name="40% - Accent4 2 6 3 9" xfId="48588" xr:uid="{00000000-0005-0000-0000-00007D7D0000}"/>
    <cellStyle name="40% - Accent4 2 6 4" xfId="6609" xr:uid="{00000000-0005-0000-0000-00007E7D0000}"/>
    <cellStyle name="40% - Accent4 2 6 5" xfId="12089" xr:uid="{00000000-0005-0000-0000-00007F7D0000}"/>
    <cellStyle name="40% - Accent4 2 6 6" xfId="17565" xr:uid="{00000000-0005-0000-0000-0000807D0000}"/>
    <cellStyle name="40% - Accent4 2 6 7" xfId="23041" xr:uid="{00000000-0005-0000-0000-0000817D0000}"/>
    <cellStyle name="40% - Accent4 2 6 8" xfId="31693" xr:uid="{00000000-0005-0000-0000-0000827D0000}"/>
    <cellStyle name="40% - Accent4 2 6 9" xfId="34836" xr:uid="{00000000-0005-0000-0000-0000837D0000}"/>
    <cellStyle name="40% - Accent4 2 7" xfId="569" xr:uid="{00000000-0005-0000-0000-0000847D0000}"/>
    <cellStyle name="40% - Accent4 2 7 10" xfId="40314" xr:uid="{00000000-0005-0000-0000-0000857D0000}"/>
    <cellStyle name="40% - Accent4 2 7 11" xfId="45791" xr:uid="{00000000-0005-0000-0000-0000867D0000}"/>
    <cellStyle name="40% - Accent4 2 7 12" xfId="51269" xr:uid="{00000000-0005-0000-0000-0000877D0000}"/>
    <cellStyle name="40% - Accent4 2 7 2" xfId="2330" xr:uid="{00000000-0005-0000-0000-0000887D0000}"/>
    <cellStyle name="40% - Accent4 2 7 2 10" xfId="52506" xr:uid="{00000000-0005-0000-0000-0000897D0000}"/>
    <cellStyle name="40% - Accent4 2 7 2 2" xfId="7810" xr:uid="{00000000-0005-0000-0000-00008A7D0000}"/>
    <cellStyle name="40% - Accent4 2 7 2 2 2" xfId="31699" xr:uid="{00000000-0005-0000-0000-00008B7D0000}"/>
    <cellStyle name="40% - Accent4 2 7 2 3" xfId="13286" xr:uid="{00000000-0005-0000-0000-00008C7D0000}"/>
    <cellStyle name="40% - Accent4 2 7 2 4" xfId="18762" xr:uid="{00000000-0005-0000-0000-00008D7D0000}"/>
    <cellStyle name="40% - Accent4 2 7 2 5" xfId="24238" xr:uid="{00000000-0005-0000-0000-00008E7D0000}"/>
    <cellStyle name="40% - Accent4 2 7 2 6" xfId="31698" xr:uid="{00000000-0005-0000-0000-00008F7D0000}"/>
    <cellStyle name="40% - Accent4 2 7 2 7" xfId="36034" xr:uid="{00000000-0005-0000-0000-0000907D0000}"/>
    <cellStyle name="40% - Accent4 2 7 2 8" xfId="41511" xr:uid="{00000000-0005-0000-0000-0000917D0000}"/>
    <cellStyle name="40% - Accent4 2 7 2 9" xfId="46988" xr:uid="{00000000-0005-0000-0000-0000927D0000}"/>
    <cellStyle name="40% - Accent4 2 7 3" xfId="4102" xr:uid="{00000000-0005-0000-0000-0000937D0000}"/>
    <cellStyle name="40% - Accent4 2 7 3 10" xfId="54278" xr:uid="{00000000-0005-0000-0000-0000947D0000}"/>
    <cellStyle name="40% - Accent4 2 7 3 2" xfId="9582" xr:uid="{00000000-0005-0000-0000-0000957D0000}"/>
    <cellStyle name="40% - Accent4 2 7 3 3" xfId="15058" xr:uid="{00000000-0005-0000-0000-0000967D0000}"/>
    <cellStyle name="40% - Accent4 2 7 3 4" xfId="20534" xr:uid="{00000000-0005-0000-0000-0000977D0000}"/>
    <cellStyle name="40% - Accent4 2 7 3 5" xfId="26010" xr:uid="{00000000-0005-0000-0000-0000987D0000}"/>
    <cellStyle name="40% - Accent4 2 7 3 6" xfId="31700" xr:uid="{00000000-0005-0000-0000-0000997D0000}"/>
    <cellStyle name="40% - Accent4 2 7 3 7" xfId="37806" xr:uid="{00000000-0005-0000-0000-00009A7D0000}"/>
    <cellStyle name="40% - Accent4 2 7 3 8" xfId="43283" xr:uid="{00000000-0005-0000-0000-00009B7D0000}"/>
    <cellStyle name="40% - Accent4 2 7 3 9" xfId="48760" xr:uid="{00000000-0005-0000-0000-00009C7D0000}"/>
    <cellStyle name="40% - Accent4 2 7 4" xfId="6610" xr:uid="{00000000-0005-0000-0000-00009D7D0000}"/>
    <cellStyle name="40% - Accent4 2 7 5" xfId="12090" xr:uid="{00000000-0005-0000-0000-00009E7D0000}"/>
    <cellStyle name="40% - Accent4 2 7 6" xfId="17566" xr:uid="{00000000-0005-0000-0000-00009F7D0000}"/>
    <cellStyle name="40% - Accent4 2 7 7" xfId="23042" xr:uid="{00000000-0005-0000-0000-0000A07D0000}"/>
    <cellStyle name="40% - Accent4 2 7 8" xfId="31697" xr:uid="{00000000-0005-0000-0000-0000A17D0000}"/>
    <cellStyle name="40% - Accent4 2 7 9" xfId="34837" xr:uid="{00000000-0005-0000-0000-0000A27D0000}"/>
    <cellStyle name="40% - Accent4 2 8" xfId="741" xr:uid="{00000000-0005-0000-0000-0000A37D0000}"/>
    <cellStyle name="40% - Accent4 2 8 10" xfId="40315" xr:uid="{00000000-0005-0000-0000-0000A47D0000}"/>
    <cellStyle name="40% - Accent4 2 8 11" xfId="45792" xr:uid="{00000000-0005-0000-0000-0000A57D0000}"/>
    <cellStyle name="40% - Accent4 2 8 12" xfId="51270" xr:uid="{00000000-0005-0000-0000-0000A67D0000}"/>
    <cellStyle name="40% - Accent4 2 8 2" xfId="2502" xr:uid="{00000000-0005-0000-0000-0000A77D0000}"/>
    <cellStyle name="40% - Accent4 2 8 2 10" xfId="52678" xr:uid="{00000000-0005-0000-0000-0000A87D0000}"/>
    <cellStyle name="40% - Accent4 2 8 2 2" xfId="7982" xr:uid="{00000000-0005-0000-0000-0000A97D0000}"/>
    <cellStyle name="40% - Accent4 2 8 2 3" xfId="13458" xr:uid="{00000000-0005-0000-0000-0000AA7D0000}"/>
    <cellStyle name="40% - Accent4 2 8 2 4" xfId="18934" xr:uid="{00000000-0005-0000-0000-0000AB7D0000}"/>
    <cellStyle name="40% - Accent4 2 8 2 5" xfId="24410" xr:uid="{00000000-0005-0000-0000-0000AC7D0000}"/>
    <cellStyle name="40% - Accent4 2 8 2 6" xfId="31702" xr:uid="{00000000-0005-0000-0000-0000AD7D0000}"/>
    <cellStyle name="40% - Accent4 2 8 2 7" xfId="36206" xr:uid="{00000000-0005-0000-0000-0000AE7D0000}"/>
    <cellStyle name="40% - Accent4 2 8 2 8" xfId="41683" xr:uid="{00000000-0005-0000-0000-0000AF7D0000}"/>
    <cellStyle name="40% - Accent4 2 8 2 9" xfId="47160" xr:uid="{00000000-0005-0000-0000-0000B07D0000}"/>
    <cellStyle name="40% - Accent4 2 8 3" xfId="4274" xr:uid="{00000000-0005-0000-0000-0000B17D0000}"/>
    <cellStyle name="40% - Accent4 2 8 3 2" xfId="9754" xr:uid="{00000000-0005-0000-0000-0000B27D0000}"/>
    <cellStyle name="40% - Accent4 2 8 3 3" xfId="15230" xr:uid="{00000000-0005-0000-0000-0000B37D0000}"/>
    <cellStyle name="40% - Accent4 2 8 3 4" xfId="20706" xr:uid="{00000000-0005-0000-0000-0000B47D0000}"/>
    <cellStyle name="40% - Accent4 2 8 3 5" xfId="26182" xr:uid="{00000000-0005-0000-0000-0000B57D0000}"/>
    <cellStyle name="40% - Accent4 2 8 3 6" xfId="37978" xr:uid="{00000000-0005-0000-0000-0000B67D0000}"/>
    <cellStyle name="40% - Accent4 2 8 3 7" xfId="43455" xr:uid="{00000000-0005-0000-0000-0000B77D0000}"/>
    <cellStyle name="40% - Accent4 2 8 3 8" xfId="48932" xr:uid="{00000000-0005-0000-0000-0000B87D0000}"/>
    <cellStyle name="40% - Accent4 2 8 3 9" xfId="54450" xr:uid="{00000000-0005-0000-0000-0000B97D0000}"/>
    <cellStyle name="40% - Accent4 2 8 4" xfId="6611" xr:uid="{00000000-0005-0000-0000-0000BA7D0000}"/>
    <cellStyle name="40% - Accent4 2 8 5" xfId="12091" xr:uid="{00000000-0005-0000-0000-0000BB7D0000}"/>
    <cellStyle name="40% - Accent4 2 8 6" xfId="17567" xr:uid="{00000000-0005-0000-0000-0000BC7D0000}"/>
    <cellStyle name="40% - Accent4 2 8 7" xfId="23043" xr:uid="{00000000-0005-0000-0000-0000BD7D0000}"/>
    <cellStyle name="40% - Accent4 2 8 8" xfId="31701" xr:uid="{00000000-0005-0000-0000-0000BE7D0000}"/>
    <cellStyle name="40% - Accent4 2 8 9" xfId="34838" xr:uid="{00000000-0005-0000-0000-0000BF7D0000}"/>
    <cellStyle name="40% - Accent4 2 9" xfId="913" xr:uid="{00000000-0005-0000-0000-0000C07D0000}"/>
    <cellStyle name="40% - Accent4 2 9 10" xfId="40316" xr:uid="{00000000-0005-0000-0000-0000C17D0000}"/>
    <cellStyle name="40% - Accent4 2 9 11" xfId="45793" xr:uid="{00000000-0005-0000-0000-0000C27D0000}"/>
    <cellStyle name="40% - Accent4 2 9 12" xfId="51271" xr:uid="{00000000-0005-0000-0000-0000C37D0000}"/>
    <cellStyle name="40% - Accent4 2 9 2" xfId="2674" xr:uid="{00000000-0005-0000-0000-0000C47D0000}"/>
    <cellStyle name="40% - Accent4 2 9 2 2" xfId="8154" xr:uid="{00000000-0005-0000-0000-0000C57D0000}"/>
    <cellStyle name="40% - Accent4 2 9 2 3" xfId="13630" xr:uid="{00000000-0005-0000-0000-0000C67D0000}"/>
    <cellStyle name="40% - Accent4 2 9 2 4" xfId="19106" xr:uid="{00000000-0005-0000-0000-0000C77D0000}"/>
    <cellStyle name="40% - Accent4 2 9 2 5" xfId="24582" xr:uid="{00000000-0005-0000-0000-0000C87D0000}"/>
    <cellStyle name="40% - Accent4 2 9 2 6" xfId="36378" xr:uid="{00000000-0005-0000-0000-0000C97D0000}"/>
    <cellStyle name="40% - Accent4 2 9 2 7" xfId="41855" xr:uid="{00000000-0005-0000-0000-0000CA7D0000}"/>
    <cellStyle name="40% - Accent4 2 9 2 8" xfId="47332" xr:uid="{00000000-0005-0000-0000-0000CB7D0000}"/>
    <cellStyle name="40% - Accent4 2 9 2 9" xfId="52850" xr:uid="{00000000-0005-0000-0000-0000CC7D0000}"/>
    <cellStyle name="40% - Accent4 2 9 3" xfId="4446" xr:uid="{00000000-0005-0000-0000-0000CD7D0000}"/>
    <cellStyle name="40% - Accent4 2 9 3 2" xfId="9926" xr:uid="{00000000-0005-0000-0000-0000CE7D0000}"/>
    <cellStyle name="40% - Accent4 2 9 3 3" xfId="15402" xr:uid="{00000000-0005-0000-0000-0000CF7D0000}"/>
    <cellStyle name="40% - Accent4 2 9 3 4" xfId="20878" xr:uid="{00000000-0005-0000-0000-0000D07D0000}"/>
    <cellStyle name="40% - Accent4 2 9 3 5" xfId="26354" xr:uid="{00000000-0005-0000-0000-0000D17D0000}"/>
    <cellStyle name="40% - Accent4 2 9 3 6" xfId="38150" xr:uid="{00000000-0005-0000-0000-0000D27D0000}"/>
    <cellStyle name="40% - Accent4 2 9 3 7" xfId="43627" xr:uid="{00000000-0005-0000-0000-0000D37D0000}"/>
    <cellStyle name="40% - Accent4 2 9 3 8" xfId="49104" xr:uid="{00000000-0005-0000-0000-0000D47D0000}"/>
    <cellStyle name="40% - Accent4 2 9 3 9" xfId="54622" xr:uid="{00000000-0005-0000-0000-0000D57D0000}"/>
    <cellStyle name="40% - Accent4 2 9 4" xfId="6612" xr:uid="{00000000-0005-0000-0000-0000D67D0000}"/>
    <cellStyle name="40% - Accent4 2 9 5" xfId="12092" xr:uid="{00000000-0005-0000-0000-0000D77D0000}"/>
    <cellStyle name="40% - Accent4 2 9 6" xfId="17568" xr:uid="{00000000-0005-0000-0000-0000D87D0000}"/>
    <cellStyle name="40% - Accent4 2 9 7" xfId="23044" xr:uid="{00000000-0005-0000-0000-0000D97D0000}"/>
    <cellStyle name="40% - Accent4 2 9 8" xfId="31703" xr:uid="{00000000-0005-0000-0000-0000DA7D0000}"/>
    <cellStyle name="40% - Accent4 2 9 9" xfId="34839" xr:uid="{00000000-0005-0000-0000-0000DB7D0000}"/>
    <cellStyle name="40% - Accent4 20" xfId="31704" xr:uid="{00000000-0005-0000-0000-0000DC7D0000}"/>
    <cellStyle name="40% - Accent4 20 2" xfId="31705" xr:uid="{00000000-0005-0000-0000-0000DD7D0000}"/>
    <cellStyle name="40% - Accent4 20 2 2" xfId="31706" xr:uid="{00000000-0005-0000-0000-0000DE7D0000}"/>
    <cellStyle name="40% - Accent4 20 3" xfId="31707" xr:uid="{00000000-0005-0000-0000-0000DF7D0000}"/>
    <cellStyle name="40% - Accent4 21" xfId="31708" xr:uid="{00000000-0005-0000-0000-0000E07D0000}"/>
    <cellStyle name="40% - Accent4 21 2" xfId="31709" xr:uid="{00000000-0005-0000-0000-0000E17D0000}"/>
    <cellStyle name="40% - Accent4 22" xfId="31710" xr:uid="{00000000-0005-0000-0000-0000E27D0000}"/>
    <cellStyle name="40% - Accent4 23" xfId="31711" xr:uid="{00000000-0005-0000-0000-0000E37D0000}"/>
    <cellStyle name="40% - Accent4 23 2" xfId="31712" xr:uid="{00000000-0005-0000-0000-0000E47D0000}"/>
    <cellStyle name="40% - Accent4 24" xfId="31713" xr:uid="{00000000-0005-0000-0000-0000E57D0000}"/>
    <cellStyle name="40% - Accent4 24 2" xfId="31714" xr:uid="{00000000-0005-0000-0000-0000E67D0000}"/>
    <cellStyle name="40% - Accent4 25" xfId="31715" xr:uid="{00000000-0005-0000-0000-0000E77D0000}"/>
    <cellStyle name="40% - Accent4 26" xfId="27562" xr:uid="{00000000-0005-0000-0000-0000E87D0000}"/>
    <cellStyle name="40% - Accent4 27" xfId="35607" xr:uid="{00000000-0005-0000-0000-0000E97D0000}"/>
    <cellStyle name="40% - Accent4 28" xfId="41084" xr:uid="{00000000-0005-0000-0000-0000EA7D0000}"/>
    <cellStyle name="40% - Accent4 29" xfId="46561" xr:uid="{00000000-0005-0000-0000-0000EB7D0000}"/>
    <cellStyle name="40% - Accent4 3" xfId="191" xr:uid="{00000000-0005-0000-0000-0000EC7D0000}"/>
    <cellStyle name="40% - Accent4 3 10" xfId="1839" xr:uid="{00000000-0005-0000-0000-0000ED7D0000}"/>
    <cellStyle name="40% - Accent4 3 10 10" xfId="45795" xr:uid="{00000000-0005-0000-0000-0000EE7D0000}"/>
    <cellStyle name="40% - Accent4 3 10 11" xfId="51273" xr:uid="{00000000-0005-0000-0000-0000EF7D0000}"/>
    <cellStyle name="40% - Accent4 3 10 2" xfId="3600" xr:uid="{00000000-0005-0000-0000-0000F07D0000}"/>
    <cellStyle name="40% - Accent4 3 10 2 2" xfId="9080" xr:uid="{00000000-0005-0000-0000-0000F17D0000}"/>
    <cellStyle name="40% - Accent4 3 10 2 3" xfId="14556" xr:uid="{00000000-0005-0000-0000-0000F27D0000}"/>
    <cellStyle name="40% - Accent4 3 10 2 4" xfId="20032" xr:uid="{00000000-0005-0000-0000-0000F37D0000}"/>
    <cellStyle name="40% - Accent4 3 10 2 5" xfId="25508" xr:uid="{00000000-0005-0000-0000-0000F47D0000}"/>
    <cellStyle name="40% - Accent4 3 10 2 6" xfId="37304" xr:uid="{00000000-0005-0000-0000-0000F57D0000}"/>
    <cellStyle name="40% - Accent4 3 10 2 7" xfId="42781" xr:uid="{00000000-0005-0000-0000-0000F67D0000}"/>
    <cellStyle name="40% - Accent4 3 10 2 8" xfId="48258" xr:uid="{00000000-0005-0000-0000-0000F77D0000}"/>
    <cellStyle name="40% - Accent4 3 10 2 9" xfId="53776" xr:uid="{00000000-0005-0000-0000-0000F87D0000}"/>
    <cellStyle name="40% - Accent4 3 10 3" xfId="5372" xr:uid="{00000000-0005-0000-0000-0000F97D0000}"/>
    <cellStyle name="40% - Accent4 3 10 3 2" xfId="10852" xr:uid="{00000000-0005-0000-0000-0000FA7D0000}"/>
    <cellStyle name="40% - Accent4 3 10 3 3" xfId="16328" xr:uid="{00000000-0005-0000-0000-0000FB7D0000}"/>
    <cellStyle name="40% - Accent4 3 10 3 4" xfId="21804" xr:uid="{00000000-0005-0000-0000-0000FC7D0000}"/>
    <cellStyle name="40% - Accent4 3 10 3 5" xfId="27280" xr:uid="{00000000-0005-0000-0000-0000FD7D0000}"/>
    <cellStyle name="40% - Accent4 3 10 3 6" xfId="39076" xr:uid="{00000000-0005-0000-0000-0000FE7D0000}"/>
    <cellStyle name="40% - Accent4 3 10 3 7" xfId="44553" xr:uid="{00000000-0005-0000-0000-0000FF7D0000}"/>
    <cellStyle name="40% - Accent4 3 10 3 8" xfId="50030" xr:uid="{00000000-0005-0000-0000-0000007E0000}"/>
    <cellStyle name="40% - Accent4 3 10 3 9" xfId="55548" xr:uid="{00000000-0005-0000-0000-0000017E0000}"/>
    <cellStyle name="40% - Accent4 3 10 4" xfId="6614" xr:uid="{00000000-0005-0000-0000-0000027E0000}"/>
    <cellStyle name="40% - Accent4 3 10 5" xfId="12094" xr:uid="{00000000-0005-0000-0000-0000037E0000}"/>
    <cellStyle name="40% - Accent4 3 10 6" xfId="17570" xr:uid="{00000000-0005-0000-0000-0000047E0000}"/>
    <cellStyle name="40% - Accent4 3 10 7" xfId="23046" xr:uid="{00000000-0005-0000-0000-0000057E0000}"/>
    <cellStyle name="40% - Accent4 3 10 8" xfId="34841" xr:uid="{00000000-0005-0000-0000-0000067E0000}"/>
    <cellStyle name="40% - Accent4 3 10 9" xfId="40318" xr:uid="{00000000-0005-0000-0000-0000077E0000}"/>
    <cellStyle name="40% - Accent4 3 11" xfId="2005" xr:uid="{00000000-0005-0000-0000-0000087E0000}"/>
    <cellStyle name="40% - Accent4 3 11 10" xfId="52182" xr:uid="{00000000-0005-0000-0000-0000097E0000}"/>
    <cellStyle name="40% - Accent4 3 11 2" xfId="5537" xr:uid="{00000000-0005-0000-0000-00000A7E0000}"/>
    <cellStyle name="40% - Accent4 3 11 2 2" xfId="11017" xr:uid="{00000000-0005-0000-0000-00000B7E0000}"/>
    <cellStyle name="40% - Accent4 3 11 2 3" xfId="16493" xr:uid="{00000000-0005-0000-0000-00000C7E0000}"/>
    <cellStyle name="40% - Accent4 3 11 2 4" xfId="21969" xr:uid="{00000000-0005-0000-0000-00000D7E0000}"/>
    <cellStyle name="40% - Accent4 3 11 2 5" xfId="27445" xr:uid="{00000000-0005-0000-0000-00000E7E0000}"/>
    <cellStyle name="40% - Accent4 3 11 2 6" xfId="39241" xr:uid="{00000000-0005-0000-0000-00000F7E0000}"/>
    <cellStyle name="40% - Accent4 3 11 2 7" xfId="44718" xr:uid="{00000000-0005-0000-0000-0000107E0000}"/>
    <cellStyle name="40% - Accent4 3 11 2 8" xfId="50195" xr:uid="{00000000-0005-0000-0000-0000117E0000}"/>
    <cellStyle name="40% - Accent4 3 11 2 9" xfId="55713" xr:uid="{00000000-0005-0000-0000-0000127E0000}"/>
    <cellStyle name="40% - Accent4 3 11 3" xfId="7486" xr:uid="{00000000-0005-0000-0000-0000137E0000}"/>
    <cellStyle name="40% - Accent4 3 11 4" xfId="12962" xr:uid="{00000000-0005-0000-0000-0000147E0000}"/>
    <cellStyle name="40% - Accent4 3 11 5" xfId="18438" xr:uid="{00000000-0005-0000-0000-0000157E0000}"/>
    <cellStyle name="40% - Accent4 3 11 6" xfId="23914" xr:uid="{00000000-0005-0000-0000-0000167E0000}"/>
    <cellStyle name="40% - Accent4 3 11 7" xfId="35710" xr:uid="{00000000-0005-0000-0000-0000177E0000}"/>
    <cellStyle name="40% - Accent4 3 11 8" xfId="41187" xr:uid="{00000000-0005-0000-0000-0000187E0000}"/>
    <cellStyle name="40% - Accent4 3 11 9" xfId="46664" xr:uid="{00000000-0005-0000-0000-0000197E0000}"/>
    <cellStyle name="40% - Accent4 3 12" xfId="3761" xr:uid="{00000000-0005-0000-0000-00001A7E0000}"/>
    <cellStyle name="40% - Accent4 3 12 2" xfId="9241" xr:uid="{00000000-0005-0000-0000-00001B7E0000}"/>
    <cellStyle name="40% - Accent4 3 12 3" xfId="14717" xr:uid="{00000000-0005-0000-0000-00001C7E0000}"/>
    <cellStyle name="40% - Accent4 3 12 4" xfId="20193" xr:uid="{00000000-0005-0000-0000-00001D7E0000}"/>
    <cellStyle name="40% - Accent4 3 12 5" xfId="25669" xr:uid="{00000000-0005-0000-0000-00001E7E0000}"/>
    <cellStyle name="40% - Accent4 3 12 6" xfId="37465" xr:uid="{00000000-0005-0000-0000-00001F7E0000}"/>
    <cellStyle name="40% - Accent4 3 12 7" xfId="42942" xr:uid="{00000000-0005-0000-0000-0000207E0000}"/>
    <cellStyle name="40% - Accent4 3 12 8" xfId="48419" xr:uid="{00000000-0005-0000-0000-0000217E0000}"/>
    <cellStyle name="40% - Accent4 3 12 9" xfId="53937" xr:uid="{00000000-0005-0000-0000-0000227E0000}"/>
    <cellStyle name="40% - Accent4 3 13" xfId="6613" xr:uid="{00000000-0005-0000-0000-0000237E0000}"/>
    <cellStyle name="40% - Accent4 3 14" xfId="12093" xr:uid="{00000000-0005-0000-0000-0000247E0000}"/>
    <cellStyle name="40% - Accent4 3 15" xfId="17569" xr:uid="{00000000-0005-0000-0000-0000257E0000}"/>
    <cellStyle name="40% - Accent4 3 16" xfId="23045" xr:uid="{00000000-0005-0000-0000-0000267E0000}"/>
    <cellStyle name="40% - Accent4 3 17" xfId="31716" xr:uid="{00000000-0005-0000-0000-0000277E0000}"/>
    <cellStyle name="40% - Accent4 3 18" xfId="34840" xr:uid="{00000000-0005-0000-0000-0000287E0000}"/>
    <cellStyle name="40% - Accent4 3 19" xfId="40317" xr:uid="{00000000-0005-0000-0000-0000297E0000}"/>
    <cellStyle name="40% - Accent4 3 2" xfId="376" xr:uid="{00000000-0005-0000-0000-00002A7E0000}"/>
    <cellStyle name="40% - Accent4 3 2 10" xfId="40319" xr:uid="{00000000-0005-0000-0000-00002B7E0000}"/>
    <cellStyle name="40% - Accent4 3 2 11" xfId="45796" xr:uid="{00000000-0005-0000-0000-00002C7E0000}"/>
    <cellStyle name="40% - Accent4 3 2 12" xfId="51274" xr:uid="{00000000-0005-0000-0000-00002D7E0000}"/>
    <cellStyle name="40% - Accent4 3 2 2" xfId="2169" xr:uid="{00000000-0005-0000-0000-00002E7E0000}"/>
    <cellStyle name="40% - Accent4 3 2 2 10" xfId="52345" xr:uid="{00000000-0005-0000-0000-00002F7E0000}"/>
    <cellStyle name="40% - Accent4 3 2 2 2" xfId="7649" xr:uid="{00000000-0005-0000-0000-0000307E0000}"/>
    <cellStyle name="40% - Accent4 3 2 2 2 2" xfId="31719" xr:uid="{00000000-0005-0000-0000-0000317E0000}"/>
    <cellStyle name="40% - Accent4 3 2 2 3" xfId="13125" xr:uid="{00000000-0005-0000-0000-0000327E0000}"/>
    <cellStyle name="40% - Accent4 3 2 2 4" xfId="18601" xr:uid="{00000000-0005-0000-0000-0000337E0000}"/>
    <cellStyle name="40% - Accent4 3 2 2 5" xfId="24077" xr:uid="{00000000-0005-0000-0000-0000347E0000}"/>
    <cellStyle name="40% - Accent4 3 2 2 6" xfId="31718" xr:uid="{00000000-0005-0000-0000-0000357E0000}"/>
    <cellStyle name="40% - Accent4 3 2 2 7" xfId="35873" xr:uid="{00000000-0005-0000-0000-0000367E0000}"/>
    <cellStyle name="40% - Accent4 3 2 2 8" xfId="41350" xr:uid="{00000000-0005-0000-0000-0000377E0000}"/>
    <cellStyle name="40% - Accent4 3 2 2 9" xfId="46827" xr:uid="{00000000-0005-0000-0000-0000387E0000}"/>
    <cellStyle name="40% - Accent4 3 2 3" xfId="3938" xr:uid="{00000000-0005-0000-0000-0000397E0000}"/>
    <cellStyle name="40% - Accent4 3 2 3 10" xfId="54114" xr:uid="{00000000-0005-0000-0000-00003A7E0000}"/>
    <cellStyle name="40% - Accent4 3 2 3 2" xfId="9418" xr:uid="{00000000-0005-0000-0000-00003B7E0000}"/>
    <cellStyle name="40% - Accent4 3 2 3 3" xfId="14894" xr:uid="{00000000-0005-0000-0000-00003C7E0000}"/>
    <cellStyle name="40% - Accent4 3 2 3 4" xfId="20370" xr:uid="{00000000-0005-0000-0000-00003D7E0000}"/>
    <cellStyle name="40% - Accent4 3 2 3 5" xfId="25846" xr:uid="{00000000-0005-0000-0000-00003E7E0000}"/>
    <cellStyle name="40% - Accent4 3 2 3 6" xfId="31720" xr:uid="{00000000-0005-0000-0000-00003F7E0000}"/>
    <cellStyle name="40% - Accent4 3 2 3 7" xfId="37642" xr:uid="{00000000-0005-0000-0000-0000407E0000}"/>
    <cellStyle name="40% - Accent4 3 2 3 8" xfId="43119" xr:uid="{00000000-0005-0000-0000-0000417E0000}"/>
    <cellStyle name="40% - Accent4 3 2 3 9" xfId="48596" xr:uid="{00000000-0005-0000-0000-0000427E0000}"/>
    <cellStyle name="40% - Accent4 3 2 4" xfId="6615" xr:uid="{00000000-0005-0000-0000-0000437E0000}"/>
    <cellStyle name="40% - Accent4 3 2 5" xfId="12095" xr:uid="{00000000-0005-0000-0000-0000447E0000}"/>
    <cellStyle name="40% - Accent4 3 2 6" xfId="17571" xr:uid="{00000000-0005-0000-0000-0000457E0000}"/>
    <cellStyle name="40% - Accent4 3 2 7" xfId="23047" xr:uid="{00000000-0005-0000-0000-0000467E0000}"/>
    <cellStyle name="40% - Accent4 3 2 8" xfId="31717" xr:uid="{00000000-0005-0000-0000-0000477E0000}"/>
    <cellStyle name="40% - Accent4 3 2 9" xfId="34842" xr:uid="{00000000-0005-0000-0000-0000487E0000}"/>
    <cellStyle name="40% - Accent4 3 20" xfId="45794" xr:uid="{00000000-0005-0000-0000-0000497E0000}"/>
    <cellStyle name="40% - Accent4 3 21" xfId="51272" xr:uid="{00000000-0005-0000-0000-00004A7E0000}"/>
    <cellStyle name="40% - Accent4 3 3" xfId="577" xr:uid="{00000000-0005-0000-0000-00004B7E0000}"/>
    <cellStyle name="40% - Accent4 3 3 10" xfId="40320" xr:uid="{00000000-0005-0000-0000-00004C7E0000}"/>
    <cellStyle name="40% - Accent4 3 3 11" xfId="45797" xr:uid="{00000000-0005-0000-0000-00004D7E0000}"/>
    <cellStyle name="40% - Accent4 3 3 12" xfId="51275" xr:uid="{00000000-0005-0000-0000-00004E7E0000}"/>
    <cellStyle name="40% - Accent4 3 3 2" xfId="2338" xr:uid="{00000000-0005-0000-0000-00004F7E0000}"/>
    <cellStyle name="40% - Accent4 3 3 2 10" xfId="52514" xr:uid="{00000000-0005-0000-0000-0000507E0000}"/>
    <cellStyle name="40% - Accent4 3 3 2 2" xfId="7818" xr:uid="{00000000-0005-0000-0000-0000517E0000}"/>
    <cellStyle name="40% - Accent4 3 3 2 2 2" xfId="31723" xr:uid="{00000000-0005-0000-0000-0000527E0000}"/>
    <cellStyle name="40% - Accent4 3 3 2 3" xfId="13294" xr:uid="{00000000-0005-0000-0000-0000537E0000}"/>
    <cellStyle name="40% - Accent4 3 3 2 4" xfId="18770" xr:uid="{00000000-0005-0000-0000-0000547E0000}"/>
    <cellStyle name="40% - Accent4 3 3 2 5" xfId="24246" xr:uid="{00000000-0005-0000-0000-0000557E0000}"/>
    <cellStyle name="40% - Accent4 3 3 2 6" xfId="31722" xr:uid="{00000000-0005-0000-0000-0000567E0000}"/>
    <cellStyle name="40% - Accent4 3 3 2 7" xfId="36042" xr:uid="{00000000-0005-0000-0000-0000577E0000}"/>
    <cellStyle name="40% - Accent4 3 3 2 8" xfId="41519" xr:uid="{00000000-0005-0000-0000-0000587E0000}"/>
    <cellStyle name="40% - Accent4 3 3 2 9" xfId="46996" xr:uid="{00000000-0005-0000-0000-0000597E0000}"/>
    <cellStyle name="40% - Accent4 3 3 3" xfId="4110" xr:uid="{00000000-0005-0000-0000-00005A7E0000}"/>
    <cellStyle name="40% - Accent4 3 3 3 10" xfId="54286" xr:uid="{00000000-0005-0000-0000-00005B7E0000}"/>
    <cellStyle name="40% - Accent4 3 3 3 2" xfId="9590" xr:uid="{00000000-0005-0000-0000-00005C7E0000}"/>
    <cellStyle name="40% - Accent4 3 3 3 3" xfId="15066" xr:uid="{00000000-0005-0000-0000-00005D7E0000}"/>
    <cellStyle name="40% - Accent4 3 3 3 4" xfId="20542" xr:uid="{00000000-0005-0000-0000-00005E7E0000}"/>
    <cellStyle name="40% - Accent4 3 3 3 5" xfId="26018" xr:uid="{00000000-0005-0000-0000-00005F7E0000}"/>
    <cellStyle name="40% - Accent4 3 3 3 6" xfId="31724" xr:uid="{00000000-0005-0000-0000-0000607E0000}"/>
    <cellStyle name="40% - Accent4 3 3 3 7" xfId="37814" xr:uid="{00000000-0005-0000-0000-0000617E0000}"/>
    <cellStyle name="40% - Accent4 3 3 3 8" xfId="43291" xr:uid="{00000000-0005-0000-0000-0000627E0000}"/>
    <cellStyle name="40% - Accent4 3 3 3 9" xfId="48768" xr:uid="{00000000-0005-0000-0000-0000637E0000}"/>
    <cellStyle name="40% - Accent4 3 3 4" xfId="6616" xr:uid="{00000000-0005-0000-0000-0000647E0000}"/>
    <cellStyle name="40% - Accent4 3 3 5" xfId="12096" xr:uid="{00000000-0005-0000-0000-0000657E0000}"/>
    <cellStyle name="40% - Accent4 3 3 6" xfId="17572" xr:uid="{00000000-0005-0000-0000-0000667E0000}"/>
    <cellStyle name="40% - Accent4 3 3 7" xfId="23048" xr:uid="{00000000-0005-0000-0000-0000677E0000}"/>
    <cellStyle name="40% - Accent4 3 3 8" xfId="31721" xr:uid="{00000000-0005-0000-0000-0000687E0000}"/>
    <cellStyle name="40% - Accent4 3 3 9" xfId="34843" xr:uid="{00000000-0005-0000-0000-0000697E0000}"/>
    <cellStyle name="40% - Accent4 3 4" xfId="749" xr:uid="{00000000-0005-0000-0000-00006A7E0000}"/>
    <cellStyle name="40% - Accent4 3 4 10" xfId="40321" xr:uid="{00000000-0005-0000-0000-00006B7E0000}"/>
    <cellStyle name="40% - Accent4 3 4 11" xfId="45798" xr:uid="{00000000-0005-0000-0000-00006C7E0000}"/>
    <cellStyle name="40% - Accent4 3 4 12" xfId="51276" xr:uid="{00000000-0005-0000-0000-00006D7E0000}"/>
    <cellStyle name="40% - Accent4 3 4 2" xfId="2510" xr:uid="{00000000-0005-0000-0000-00006E7E0000}"/>
    <cellStyle name="40% - Accent4 3 4 2 10" xfId="52686" xr:uid="{00000000-0005-0000-0000-00006F7E0000}"/>
    <cellStyle name="40% - Accent4 3 4 2 2" xfId="7990" xr:uid="{00000000-0005-0000-0000-0000707E0000}"/>
    <cellStyle name="40% - Accent4 3 4 2 2 2" xfId="31727" xr:uid="{00000000-0005-0000-0000-0000717E0000}"/>
    <cellStyle name="40% - Accent4 3 4 2 3" xfId="13466" xr:uid="{00000000-0005-0000-0000-0000727E0000}"/>
    <cellStyle name="40% - Accent4 3 4 2 4" xfId="18942" xr:uid="{00000000-0005-0000-0000-0000737E0000}"/>
    <cellStyle name="40% - Accent4 3 4 2 5" xfId="24418" xr:uid="{00000000-0005-0000-0000-0000747E0000}"/>
    <cellStyle name="40% - Accent4 3 4 2 6" xfId="31726" xr:uid="{00000000-0005-0000-0000-0000757E0000}"/>
    <cellStyle name="40% - Accent4 3 4 2 7" xfId="36214" xr:uid="{00000000-0005-0000-0000-0000767E0000}"/>
    <cellStyle name="40% - Accent4 3 4 2 8" xfId="41691" xr:uid="{00000000-0005-0000-0000-0000777E0000}"/>
    <cellStyle name="40% - Accent4 3 4 2 9" xfId="47168" xr:uid="{00000000-0005-0000-0000-0000787E0000}"/>
    <cellStyle name="40% - Accent4 3 4 3" xfId="4282" xr:uid="{00000000-0005-0000-0000-0000797E0000}"/>
    <cellStyle name="40% - Accent4 3 4 3 10" xfId="54458" xr:uid="{00000000-0005-0000-0000-00007A7E0000}"/>
    <cellStyle name="40% - Accent4 3 4 3 2" xfId="9762" xr:uid="{00000000-0005-0000-0000-00007B7E0000}"/>
    <cellStyle name="40% - Accent4 3 4 3 3" xfId="15238" xr:uid="{00000000-0005-0000-0000-00007C7E0000}"/>
    <cellStyle name="40% - Accent4 3 4 3 4" xfId="20714" xr:uid="{00000000-0005-0000-0000-00007D7E0000}"/>
    <cellStyle name="40% - Accent4 3 4 3 5" xfId="26190" xr:uid="{00000000-0005-0000-0000-00007E7E0000}"/>
    <cellStyle name="40% - Accent4 3 4 3 6" xfId="31728" xr:uid="{00000000-0005-0000-0000-00007F7E0000}"/>
    <cellStyle name="40% - Accent4 3 4 3 7" xfId="37986" xr:uid="{00000000-0005-0000-0000-0000807E0000}"/>
    <cellStyle name="40% - Accent4 3 4 3 8" xfId="43463" xr:uid="{00000000-0005-0000-0000-0000817E0000}"/>
    <cellStyle name="40% - Accent4 3 4 3 9" xfId="48940" xr:uid="{00000000-0005-0000-0000-0000827E0000}"/>
    <cellStyle name="40% - Accent4 3 4 4" xfId="6617" xr:uid="{00000000-0005-0000-0000-0000837E0000}"/>
    <cellStyle name="40% - Accent4 3 4 5" xfId="12097" xr:uid="{00000000-0005-0000-0000-0000847E0000}"/>
    <cellStyle name="40% - Accent4 3 4 6" xfId="17573" xr:uid="{00000000-0005-0000-0000-0000857E0000}"/>
    <cellStyle name="40% - Accent4 3 4 7" xfId="23049" xr:uid="{00000000-0005-0000-0000-0000867E0000}"/>
    <cellStyle name="40% - Accent4 3 4 8" xfId="31725" xr:uid="{00000000-0005-0000-0000-0000877E0000}"/>
    <cellStyle name="40% - Accent4 3 4 9" xfId="34844" xr:uid="{00000000-0005-0000-0000-0000887E0000}"/>
    <cellStyle name="40% - Accent4 3 5" xfId="921" xr:uid="{00000000-0005-0000-0000-0000897E0000}"/>
    <cellStyle name="40% - Accent4 3 5 10" xfId="40322" xr:uid="{00000000-0005-0000-0000-00008A7E0000}"/>
    <cellStyle name="40% - Accent4 3 5 11" xfId="45799" xr:uid="{00000000-0005-0000-0000-00008B7E0000}"/>
    <cellStyle name="40% - Accent4 3 5 12" xfId="51277" xr:uid="{00000000-0005-0000-0000-00008C7E0000}"/>
    <cellStyle name="40% - Accent4 3 5 2" xfId="2682" xr:uid="{00000000-0005-0000-0000-00008D7E0000}"/>
    <cellStyle name="40% - Accent4 3 5 2 10" xfId="52858" xr:uid="{00000000-0005-0000-0000-00008E7E0000}"/>
    <cellStyle name="40% - Accent4 3 5 2 2" xfId="8162" xr:uid="{00000000-0005-0000-0000-00008F7E0000}"/>
    <cellStyle name="40% - Accent4 3 5 2 2 2" xfId="31731" xr:uid="{00000000-0005-0000-0000-0000907E0000}"/>
    <cellStyle name="40% - Accent4 3 5 2 3" xfId="13638" xr:uid="{00000000-0005-0000-0000-0000917E0000}"/>
    <cellStyle name="40% - Accent4 3 5 2 4" xfId="19114" xr:uid="{00000000-0005-0000-0000-0000927E0000}"/>
    <cellStyle name="40% - Accent4 3 5 2 5" xfId="24590" xr:uid="{00000000-0005-0000-0000-0000937E0000}"/>
    <cellStyle name="40% - Accent4 3 5 2 6" xfId="31730" xr:uid="{00000000-0005-0000-0000-0000947E0000}"/>
    <cellStyle name="40% - Accent4 3 5 2 7" xfId="36386" xr:uid="{00000000-0005-0000-0000-0000957E0000}"/>
    <cellStyle name="40% - Accent4 3 5 2 8" xfId="41863" xr:uid="{00000000-0005-0000-0000-0000967E0000}"/>
    <cellStyle name="40% - Accent4 3 5 2 9" xfId="47340" xr:uid="{00000000-0005-0000-0000-0000977E0000}"/>
    <cellStyle name="40% - Accent4 3 5 3" xfId="4454" xr:uid="{00000000-0005-0000-0000-0000987E0000}"/>
    <cellStyle name="40% - Accent4 3 5 3 10" xfId="54630" xr:uid="{00000000-0005-0000-0000-0000997E0000}"/>
    <cellStyle name="40% - Accent4 3 5 3 2" xfId="9934" xr:uid="{00000000-0005-0000-0000-00009A7E0000}"/>
    <cellStyle name="40% - Accent4 3 5 3 3" xfId="15410" xr:uid="{00000000-0005-0000-0000-00009B7E0000}"/>
    <cellStyle name="40% - Accent4 3 5 3 4" xfId="20886" xr:uid="{00000000-0005-0000-0000-00009C7E0000}"/>
    <cellStyle name="40% - Accent4 3 5 3 5" xfId="26362" xr:uid="{00000000-0005-0000-0000-00009D7E0000}"/>
    <cellStyle name="40% - Accent4 3 5 3 6" xfId="31732" xr:uid="{00000000-0005-0000-0000-00009E7E0000}"/>
    <cellStyle name="40% - Accent4 3 5 3 7" xfId="38158" xr:uid="{00000000-0005-0000-0000-00009F7E0000}"/>
    <cellStyle name="40% - Accent4 3 5 3 8" xfId="43635" xr:uid="{00000000-0005-0000-0000-0000A07E0000}"/>
    <cellStyle name="40% - Accent4 3 5 3 9" xfId="49112" xr:uid="{00000000-0005-0000-0000-0000A17E0000}"/>
    <cellStyle name="40% - Accent4 3 5 4" xfId="6618" xr:uid="{00000000-0005-0000-0000-0000A27E0000}"/>
    <cellStyle name="40% - Accent4 3 5 5" xfId="12098" xr:uid="{00000000-0005-0000-0000-0000A37E0000}"/>
    <cellStyle name="40% - Accent4 3 5 6" xfId="17574" xr:uid="{00000000-0005-0000-0000-0000A47E0000}"/>
    <cellStyle name="40% - Accent4 3 5 7" xfId="23050" xr:uid="{00000000-0005-0000-0000-0000A57E0000}"/>
    <cellStyle name="40% - Accent4 3 5 8" xfId="31729" xr:uid="{00000000-0005-0000-0000-0000A67E0000}"/>
    <cellStyle name="40% - Accent4 3 5 9" xfId="34845" xr:uid="{00000000-0005-0000-0000-0000A77E0000}"/>
    <cellStyle name="40% - Accent4 3 6" xfId="1127" xr:uid="{00000000-0005-0000-0000-0000A87E0000}"/>
    <cellStyle name="40% - Accent4 3 6 10" xfId="40323" xr:uid="{00000000-0005-0000-0000-0000A97E0000}"/>
    <cellStyle name="40% - Accent4 3 6 11" xfId="45800" xr:uid="{00000000-0005-0000-0000-0000AA7E0000}"/>
    <cellStyle name="40% - Accent4 3 6 12" xfId="51278" xr:uid="{00000000-0005-0000-0000-0000AB7E0000}"/>
    <cellStyle name="40% - Accent4 3 6 2" xfId="2888" xr:uid="{00000000-0005-0000-0000-0000AC7E0000}"/>
    <cellStyle name="40% - Accent4 3 6 2 10" xfId="53064" xr:uid="{00000000-0005-0000-0000-0000AD7E0000}"/>
    <cellStyle name="40% - Accent4 3 6 2 2" xfId="8368" xr:uid="{00000000-0005-0000-0000-0000AE7E0000}"/>
    <cellStyle name="40% - Accent4 3 6 2 2 2" xfId="31735" xr:uid="{00000000-0005-0000-0000-0000AF7E0000}"/>
    <cellStyle name="40% - Accent4 3 6 2 3" xfId="13844" xr:uid="{00000000-0005-0000-0000-0000B07E0000}"/>
    <cellStyle name="40% - Accent4 3 6 2 4" xfId="19320" xr:uid="{00000000-0005-0000-0000-0000B17E0000}"/>
    <cellStyle name="40% - Accent4 3 6 2 5" xfId="24796" xr:uid="{00000000-0005-0000-0000-0000B27E0000}"/>
    <cellStyle name="40% - Accent4 3 6 2 6" xfId="31734" xr:uid="{00000000-0005-0000-0000-0000B37E0000}"/>
    <cellStyle name="40% - Accent4 3 6 2 7" xfId="36592" xr:uid="{00000000-0005-0000-0000-0000B47E0000}"/>
    <cellStyle name="40% - Accent4 3 6 2 8" xfId="42069" xr:uid="{00000000-0005-0000-0000-0000B57E0000}"/>
    <cellStyle name="40% - Accent4 3 6 2 9" xfId="47546" xr:uid="{00000000-0005-0000-0000-0000B67E0000}"/>
    <cellStyle name="40% - Accent4 3 6 3" xfId="4660" xr:uid="{00000000-0005-0000-0000-0000B77E0000}"/>
    <cellStyle name="40% - Accent4 3 6 3 10" xfId="54836" xr:uid="{00000000-0005-0000-0000-0000B87E0000}"/>
    <cellStyle name="40% - Accent4 3 6 3 2" xfId="10140" xr:uid="{00000000-0005-0000-0000-0000B97E0000}"/>
    <cellStyle name="40% - Accent4 3 6 3 3" xfId="15616" xr:uid="{00000000-0005-0000-0000-0000BA7E0000}"/>
    <cellStyle name="40% - Accent4 3 6 3 4" xfId="21092" xr:uid="{00000000-0005-0000-0000-0000BB7E0000}"/>
    <cellStyle name="40% - Accent4 3 6 3 5" xfId="26568" xr:uid="{00000000-0005-0000-0000-0000BC7E0000}"/>
    <cellStyle name="40% - Accent4 3 6 3 6" xfId="31736" xr:uid="{00000000-0005-0000-0000-0000BD7E0000}"/>
    <cellStyle name="40% - Accent4 3 6 3 7" xfId="38364" xr:uid="{00000000-0005-0000-0000-0000BE7E0000}"/>
    <cellStyle name="40% - Accent4 3 6 3 8" xfId="43841" xr:uid="{00000000-0005-0000-0000-0000BF7E0000}"/>
    <cellStyle name="40% - Accent4 3 6 3 9" xfId="49318" xr:uid="{00000000-0005-0000-0000-0000C07E0000}"/>
    <cellStyle name="40% - Accent4 3 6 4" xfId="6619" xr:uid="{00000000-0005-0000-0000-0000C17E0000}"/>
    <cellStyle name="40% - Accent4 3 6 5" xfId="12099" xr:uid="{00000000-0005-0000-0000-0000C27E0000}"/>
    <cellStyle name="40% - Accent4 3 6 6" xfId="17575" xr:uid="{00000000-0005-0000-0000-0000C37E0000}"/>
    <cellStyle name="40% - Accent4 3 6 7" xfId="23051" xr:uid="{00000000-0005-0000-0000-0000C47E0000}"/>
    <cellStyle name="40% - Accent4 3 6 8" xfId="31733" xr:uid="{00000000-0005-0000-0000-0000C57E0000}"/>
    <cellStyle name="40% - Accent4 3 6 9" xfId="34846" xr:uid="{00000000-0005-0000-0000-0000C67E0000}"/>
    <cellStyle name="40% - Accent4 3 7" xfId="1299" xr:uid="{00000000-0005-0000-0000-0000C77E0000}"/>
    <cellStyle name="40% - Accent4 3 7 10" xfId="40324" xr:uid="{00000000-0005-0000-0000-0000C87E0000}"/>
    <cellStyle name="40% - Accent4 3 7 11" xfId="45801" xr:uid="{00000000-0005-0000-0000-0000C97E0000}"/>
    <cellStyle name="40% - Accent4 3 7 12" xfId="51279" xr:uid="{00000000-0005-0000-0000-0000CA7E0000}"/>
    <cellStyle name="40% - Accent4 3 7 2" xfId="3060" xr:uid="{00000000-0005-0000-0000-0000CB7E0000}"/>
    <cellStyle name="40% - Accent4 3 7 2 10" xfId="53236" xr:uid="{00000000-0005-0000-0000-0000CC7E0000}"/>
    <cellStyle name="40% - Accent4 3 7 2 2" xfId="8540" xr:uid="{00000000-0005-0000-0000-0000CD7E0000}"/>
    <cellStyle name="40% - Accent4 3 7 2 2 2" xfId="31739" xr:uid="{00000000-0005-0000-0000-0000CE7E0000}"/>
    <cellStyle name="40% - Accent4 3 7 2 3" xfId="14016" xr:uid="{00000000-0005-0000-0000-0000CF7E0000}"/>
    <cellStyle name="40% - Accent4 3 7 2 4" xfId="19492" xr:uid="{00000000-0005-0000-0000-0000D07E0000}"/>
    <cellStyle name="40% - Accent4 3 7 2 5" xfId="24968" xr:uid="{00000000-0005-0000-0000-0000D17E0000}"/>
    <cellStyle name="40% - Accent4 3 7 2 6" xfId="31738" xr:uid="{00000000-0005-0000-0000-0000D27E0000}"/>
    <cellStyle name="40% - Accent4 3 7 2 7" xfId="36764" xr:uid="{00000000-0005-0000-0000-0000D37E0000}"/>
    <cellStyle name="40% - Accent4 3 7 2 8" xfId="42241" xr:uid="{00000000-0005-0000-0000-0000D47E0000}"/>
    <cellStyle name="40% - Accent4 3 7 2 9" xfId="47718" xr:uid="{00000000-0005-0000-0000-0000D57E0000}"/>
    <cellStyle name="40% - Accent4 3 7 3" xfId="4832" xr:uid="{00000000-0005-0000-0000-0000D67E0000}"/>
    <cellStyle name="40% - Accent4 3 7 3 10" xfId="55008" xr:uid="{00000000-0005-0000-0000-0000D77E0000}"/>
    <cellStyle name="40% - Accent4 3 7 3 2" xfId="10312" xr:uid="{00000000-0005-0000-0000-0000D87E0000}"/>
    <cellStyle name="40% - Accent4 3 7 3 3" xfId="15788" xr:uid="{00000000-0005-0000-0000-0000D97E0000}"/>
    <cellStyle name="40% - Accent4 3 7 3 4" xfId="21264" xr:uid="{00000000-0005-0000-0000-0000DA7E0000}"/>
    <cellStyle name="40% - Accent4 3 7 3 5" xfId="26740" xr:uid="{00000000-0005-0000-0000-0000DB7E0000}"/>
    <cellStyle name="40% - Accent4 3 7 3 6" xfId="31740" xr:uid="{00000000-0005-0000-0000-0000DC7E0000}"/>
    <cellStyle name="40% - Accent4 3 7 3 7" xfId="38536" xr:uid="{00000000-0005-0000-0000-0000DD7E0000}"/>
    <cellStyle name="40% - Accent4 3 7 3 8" xfId="44013" xr:uid="{00000000-0005-0000-0000-0000DE7E0000}"/>
    <cellStyle name="40% - Accent4 3 7 3 9" xfId="49490" xr:uid="{00000000-0005-0000-0000-0000DF7E0000}"/>
    <cellStyle name="40% - Accent4 3 7 4" xfId="6620" xr:uid="{00000000-0005-0000-0000-0000E07E0000}"/>
    <cellStyle name="40% - Accent4 3 7 5" xfId="12100" xr:uid="{00000000-0005-0000-0000-0000E17E0000}"/>
    <cellStyle name="40% - Accent4 3 7 6" xfId="17576" xr:uid="{00000000-0005-0000-0000-0000E27E0000}"/>
    <cellStyle name="40% - Accent4 3 7 7" xfId="23052" xr:uid="{00000000-0005-0000-0000-0000E37E0000}"/>
    <cellStyle name="40% - Accent4 3 7 8" xfId="31737" xr:uid="{00000000-0005-0000-0000-0000E47E0000}"/>
    <cellStyle name="40% - Accent4 3 7 9" xfId="34847" xr:uid="{00000000-0005-0000-0000-0000E57E0000}"/>
    <cellStyle name="40% - Accent4 3 8" xfId="1471" xr:uid="{00000000-0005-0000-0000-0000E67E0000}"/>
    <cellStyle name="40% - Accent4 3 8 10" xfId="40325" xr:uid="{00000000-0005-0000-0000-0000E77E0000}"/>
    <cellStyle name="40% - Accent4 3 8 11" xfId="45802" xr:uid="{00000000-0005-0000-0000-0000E87E0000}"/>
    <cellStyle name="40% - Accent4 3 8 12" xfId="51280" xr:uid="{00000000-0005-0000-0000-0000E97E0000}"/>
    <cellStyle name="40% - Accent4 3 8 2" xfId="3232" xr:uid="{00000000-0005-0000-0000-0000EA7E0000}"/>
    <cellStyle name="40% - Accent4 3 8 2 10" xfId="53408" xr:uid="{00000000-0005-0000-0000-0000EB7E0000}"/>
    <cellStyle name="40% - Accent4 3 8 2 2" xfId="8712" xr:uid="{00000000-0005-0000-0000-0000EC7E0000}"/>
    <cellStyle name="40% - Accent4 3 8 2 3" xfId="14188" xr:uid="{00000000-0005-0000-0000-0000ED7E0000}"/>
    <cellStyle name="40% - Accent4 3 8 2 4" xfId="19664" xr:uid="{00000000-0005-0000-0000-0000EE7E0000}"/>
    <cellStyle name="40% - Accent4 3 8 2 5" xfId="25140" xr:uid="{00000000-0005-0000-0000-0000EF7E0000}"/>
    <cellStyle name="40% - Accent4 3 8 2 6" xfId="31742" xr:uid="{00000000-0005-0000-0000-0000F07E0000}"/>
    <cellStyle name="40% - Accent4 3 8 2 7" xfId="36936" xr:uid="{00000000-0005-0000-0000-0000F17E0000}"/>
    <cellStyle name="40% - Accent4 3 8 2 8" xfId="42413" xr:uid="{00000000-0005-0000-0000-0000F27E0000}"/>
    <cellStyle name="40% - Accent4 3 8 2 9" xfId="47890" xr:uid="{00000000-0005-0000-0000-0000F37E0000}"/>
    <cellStyle name="40% - Accent4 3 8 3" xfId="5004" xr:uid="{00000000-0005-0000-0000-0000F47E0000}"/>
    <cellStyle name="40% - Accent4 3 8 3 2" xfId="10484" xr:uid="{00000000-0005-0000-0000-0000F57E0000}"/>
    <cellStyle name="40% - Accent4 3 8 3 3" xfId="15960" xr:uid="{00000000-0005-0000-0000-0000F67E0000}"/>
    <cellStyle name="40% - Accent4 3 8 3 4" xfId="21436" xr:uid="{00000000-0005-0000-0000-0000F77E0000}"/>
    <cellStyle name="40% - Accent4 3 8 3 5" xfId="26912" xr:uid="{00000000-0005-0000-0000-0000F87E0000}"/>
    <cellStyle name="40% - Accent4 3 8 3 6" xfId="38708" xr:uid="{00000000-0005-0000-0000-0000F97E0000}"/>
    <cellStyle name="40% - Accent4 3 8 3 7" xfId="44185" xr:uid="{00000000-0005-0000-0000-0000FA7E0000}"/>
    <cellStyle name="40% - Accent4 3 8 3 8" xfId="49662" xr:uid="{00000000-0005-0000-0000-0000FB7E0000}"/>
    <cellStyle name="40% - Accent4 3 8 3 9" xfId="55180" xr:uid="{00000000-0005-0000-0000-0000FC7E0000}"/>
    <cellStyle name="40% - Accent4 3 8 4" xfId="6621" xr:uid="{00000000-0005-0000-0000-0000FD7E0000}"/>
    <cellStyle name="40% - Accent4 3 8 5" xfId="12101" xr:uid="{00000000-0005-0000-0000-0000FE7E0000}"/>
    <cellStyle name="40% - Accent4 3 8 6" xfId="17577" xr:uid="{00000000-0005-0000-0000-0000FF7E0000}"/>
    <cellStyle name="40% - Accent4 3 8 7" xfId="23053" xr:uid="{00000000-0005-0000-0000-0000007F0000}"/>
    <cellStyle name="40% - Accent4 3 8 8" xfId="31741" xr:uid="{00000000-0005-0000-0000-0000017F0000}"/>
    <cellStyle name="40% - Accent4 3 8 9" xfId="34848" xr:uid="{00000000-0005-0000-0000-0000027F0000}"/>
    <cellStyle name="40% - Accent4 3 9" xfId="1643" xr:uid="{00000000-0005-0000-0000-0000037F0000}"/>
    <cellStyle name="40% - Accent4 3 9 10" xfId="40326" xr:uid="{00000000-0005-0000-0000-0000047F0000}"/>
    <cellStyle name="40% - Accent4 3 9 11" xfId="45803" xr:uid="{00000000-0005-0000-0000-0000057F0000}"/>
    <cellStyle name="40% - Accent4 3 9 12" xfId="51281" xr:uid="{00000000-0005-0000-0000-0000067F0000}"/>
    <cellStyle name="40% - Accent4 3 9 2" xfId="3404" xr:uid="{00000000-0005-0000-0000-0000077F0000}"/>
    <cellStyle name="40% - Accent4 3 9 2 2" xfId="8884" xr:uid="{00000000-0005-0000-0000-0000087F0000}"/>
    <cellStyle name="40% - Accent4 3 9 2 3" xfId="14360" xr:uid="{00000000-0005-0000-0000-0000097F0000}"/>
    <cellStyle name="40% - Accent4 3 9 2 4" xfId="19836" xr:uid="{00000000-0005-0000-0000-00000A7F0000}"/>
    <cellStyle name="40% - Accent4 3 9 2 5" xfId="25312" xr:uid="{00000000-0005-0000-0000-00000B7F0000}"/>
    <cellStyle name="40% - Accent4 3 9 2 6" xfId="37108" xr:uid="{00000000-0005-0000-0000-00000C7F0000}"/>
    <cellStyle name="40% - Accent4 3 9 2 7" xfId="42585" xr:uid="{00000000-0005-0000-0000-00000D7F0000}"/>
    <cellStyle name="40% - Accent4 3 9 2 8" xfId="48062" xr:uid="{00000000-0005-0000-0000-00000E7F0000}"/>
    <cellStyle name="40% - Accent4 3 9 2 9" xfId="53580" xr:uid="{00000000-0005-0000-0000-00000F7F0000}"/>
    <cellStyle name="40% - Accent4 3 9 3" xfId="5176" xr:uid="{00000000-0005-0000-0000-0000107F0000}"/>
    <cellStyle name="40% - Accent4 3 9 3 2" xfId="10656" xr:uid="{00000000-0005-0000-0000-0000117F0000}"/>
    <cellStyle name="40% - Accent4 3 9 3 3" xfId="16132" xr:uid="{00000000-0005-0000-0000-0000127F0000}"/>
    <cellStyle name="40% - Accent4 3 9 3 4" xfId="21608" xr:uid="{00000000-0005-0000-0000-0000137F0000}"/>
    <cellStyle name="40% - Accent4 3 9 3 5" xfId="27084" xr:uid="{00000000-0005-0000-0000-0000147F0000}"/>
    <cellStyle name="40% - Accent4 3 9 3 6" xfId="38880" xr:uid="{00000000-0005-0000-0000-0000157F0000}"/>
    <cellStyle name="40% - Accent4 3 9 3 7" xfId="44357" xr:uid="{00000000-0005-0000-0000-0000167F0000}"/>
    <cellStyle name="40% - Accent4 3 9 3 8" xfId="49834" xr:uid="{00000000-0005-0000-0000-0000177F0000}"/>
    <cellStyle name="40% - Accent4 3 9 3 9" xfId="55352" xr:uid="{00000000-0005-0000-0000-0000187F0000}"/>
    <cellStyle name="40% - Accent4 3 9 4" xfId="6622" xr:uid="{00000000-0005-0000-0000-0000197F0000}"/>
    <cellStyle name="40% - Accent4 3 9 5" xfId="12102" xr:uid="{00000000-0005-0000-0000-00001A7F0000}"/>
    <cellStyle name="40% - Accent4 3 9 6" xfId="17578" xr:uid="{00000000-0005-0000-0000-00001B7F0000}"/>
    <cellStyle name="40% - Accent4 3 9 7" xfId="23054" xr:uid="{00000000-0005-0000-0000-00001C7F0000}"/>
    <cellStyle name="40% - Accent4 3 9 8" xfId="31743" xr:uid="{00000000-0005-0000-0000-00001D7F0000}"/>
    <cellStyle name="40% - Accent4 3 9 9" xfId="34849" xr:uid="{00000000-0005-0000-0000-00001E7F0000}"/>
    <cellStyle name="40% - Accent4 4" xfId="377" xr:uid="{00000000-0005-0000-0000-00001F7F0000}"/>
    <cellStyle name="40% - Accent4 4 10" xfId="2006" xr:uid="{00000000-0005-0000-0000-0000207F0000}"/>
    <cellStyle name="40% - Accent4 4 10 10" xfId="52183" xr:uid="{00000000-0005-0000-0000-0000217F0000}"/>
    <cellStyle name="40% - Accent4 4 10 2" xfId="5538" xr:uid="{00000000-0005-0000-0000-0000227F0000}"/>
    <cellStyle name="40% - Accent4 4 10 2 2" xfId="11018" xr:uid="{00000000-0005-0000-0000-0000237F0000}"/>
    <cellStyle name="40% - Accent4 4 10 2 3" xfId="16494" xr:uid="{00000000-0005-0000-0000-0000247F0000}"/>
    <cellStyle name="40% - Accent4 4 10 2 4" xfId="21970" xr:uid="{00000000-0005-0000-0000-0000257F0000}"/>
    <cellStyle name="40% - Accent4 4 10 2 5" xfId="27446" xr:uid="{00000000-0005-0000-0000-0000267F0000}"/>
    <cellStyle name="40% - Accent4 4 10 2 6" xfId="39242" xr:uid="{00000000-0005-0000-0000-0000277F0000}"/>
    <cellStyle name="40% - Accent4 4 10 2 7" xfId="44719" xr:uid="{00000000-0005-0000-0000-0000287F0000}"/>
    <cellStyle name="40% - Accent4 4 10 2 8" xfId="50196" xr:uid="{00000000-0005-0000-0000-0000297F0000}"/>
    <cellStyle name="40% - Accent4 4 10 2 9" xfId="55714" xr:uid="{00000000-0005-0000-0000-00002A7F0000}"/>
    <cellStyle name="40% - Accent4 4 10 3" xfId="7487" xr:uid="{00000000-0005-0000-0000-00002B7F0000}"/>
    <cellStyle name="40% - Accent4 4 10 4" xfId="12963" xr:uid="{00000000-0005-0000-0000-00002C7F0000}"/>
    <cellStyle name="40% - Accent4 4 10 5" xfId="18439" xr:uid="{00000000-0005-0000-0000-00002D7F0000}"/>
    <cellStyle name="40% - Accent4 4 10 6" xfId="23915" xr:uid="{00000000-0005-0000-0000-00002E7F0000}"/>
    <cellStyle name="40% - Accent4 4 10 7" xfId="35711" xr:uid="{00000000-0005-0000-0000-00002F7F0000}"/>
    <cellStyle name="40% - Accent4 4 10 8" xfId="41188" xr:uid="{00000000-0005-0000-0000-0000307F0000}"/>
    <cellStyle name="40% - Accent4 4 10 9" xfId="46665" xr:uid="{00000000-0005-0000-0000-0000317F0000}"/>
    <cellStyle name="40% - Accent4 4 11" xfId="3939" xr:uid="{00000000-0005-0000-0000-0000327F0000}"/>
    <cellStyle name="40% - Accent4 4 11 2" xfId="9419" xr:uid="{00000000-0005-0000-0000-0000337F0000}"/>
    <cellStyle name="40% - Accent4 4 11 3" xfId="14895" xr:uid="{00000000-0005-0000-0000-0000347F0000}"/>
    <cellStyle name="40% - Accent4 4 11 4" xfId="20371" xr:uid="{00000000-0005-0000-0000-0000357F0000}"/>
    <cellStyle name="40% - Accent4 4 11 5" xfId="25847" xr:uid="{00000000-0005-0000-0000-0000367F0000}"/>
    <cellStyle name="40% - Accent4 4 11 6" xfId="37643" xr:uid="{00000000-0005-0000-0000-0000377F0000}"/>
    <cellStyle name="40% - Accent4 4 11 7" xfId="43120" xr:uid="{00000000-0005-0000-0000-0000387F0000}"/>
    <cellStyle name="40% - Accent4 4 11 8" xfId="48597" xr:uid="{00000000-0005-0000-0000-0000397F0000}"/>
    <cellStyle name="40% - Accent4 4 11 9" xfId="54115" xr:uid="{00000000-0005-0000-0000-00003A7F0000}"/>
    <cellStyle name="40% - Accent4 4 12" xfId="6623" xr:uid="{00000000-0005-0000-0000-00003B7F0000}"/>
    <cellStyle name="40% - Accent4 4 13" xfId="12103" xr:uid="{00000000-0005-0000-0000-00003C7F0000}"/>
    <cellStyle name="40% - Accent4 4 14" xfId="17579" xr:uid="{00000000-0005-0000-0000-00003D7F0000}"/>
    <cellStyle name="40% - Accent4 4 15" xfId="23055" xr:uid="{00000000-0005-0000-0000-00003E7F0000}"/>
    <cellStyle name="40% - Accent4 4 16" xfId="31744" xr:uid="{00000000-0005-0000-0000-00003F7F0000}"/>
    <cellStyle name="40% - Accent4 4 17" xfId="34850" xr:uid="{00000000-0005-0000-0000-0000407F0000}"/>
    <cellStyle name="40% - Accent4 4 18" xfId="40327" xr:uid="{00000000-0005-0000-0000-0000417F0000}"/>
    <cellStyle name="40% - Accent4 4 19" xfId="45804" xr:uid="{00000000-0005-0000-0000-0000427F0000}"/>
    <cellStyle name="40% - Accent4 4 2" xfId="578" xr:uid="{00000000-0005-0000-0000-0000437F0000}"/>
    <cellStyle name="40% - Accent4 4 2 10" xfId="40328" xr:uid="{00000000-0005-0000-0000-0000447F0000}"/>
    <cellStyle name="40% - Accent4 4 2 11" xfId="45805" xr:uid="{00000000-0005-0000-0000-0000457F0000}"/>
    <cellStyle name="40% - Accent4 4 2 12" xfId="51283" xr:uid="{00000000-0005-0000-0000-0000467F0000}"/>
    <cellStyle name="40% - Accent4 4 2 2" xfId="2339" xr:uid="{00000000-0005-0000-0000-0000477F0000}"/>
    <cellStyle name="40% - Accent4 4 2 2 10" xfId="52515" xr:uid="{00000000-0005-0000-0000-0000487F0000}"/>
    <cellStyle name="40% - Accent4 4 2 2 2" xfId="7819" xr:uid="{00000000-0005-0000-0000-0000497F0000}"/>
    <cellStyle name="40% - Accent4 4 2 2 2 2" xfId="31747" xr:uid="{00000000-0005-0000-0000-00004A7F0000}"/>
    <cellStyle name="40% - Accent4 4 2 2 3" xfId="13295" xr:uid="{00000000-0005-0000-0000-00004B7F0000}"/>
    <cellStyle name="40% - Accent4 4 2 2 4" xfId="18771" xr:uid="{00000000-0005-0000-0000-00004C7F0000}"/>
    <cellStyle name="40% - Accent4 4 2 2 5" xfId="24247" xr:uid="{00000000-0005-0000-0000-00004D7F0000}"/>
    <cellStyle name="40% - Accent4 4 2 2 6" xfId="31746" xr:uid="{00000000-0005-0000-0000-00004E7F0000}"/>
    <cellStyle name="40% - Accent4 4 2 2 7" xfId="36043" xr:uid="{00000000-0005-0000-0000-00004F7F0000}"/>
    <cellStyle name="40% - Accent4 4 2 2 8" xfId="41520" xr:uid="{00000000-0005-0000-0000-0000507F0000}"/>
    <cellStyle name="40% - Accent4 4 2 2 9" xfId="46997" xr:uid="{00000000-0005-0000-0000-0000517F0000}"/>
    <cellStyle name="40% - Accent4 4 2 3" xfId="4111" xr:uid="{00000000-0005-0000-0000-0000527F0000}"/>
    <cellStyle name="40% - Accent4 4 2 3 10" xfId="54287" xr:uid="{00000000-0005-0000-0000-0000537F0000}"/>
    <cellStyle name="40% - Accent4 4 2 3 2" xfId="9591" xr:uid="{00000000-0005-0000-0000-0000547F0000}"/>
    <cellStyle name="40% - Accent4 4 2 3 3" xfId="15067" xr:uid="{00000000-0005-0000-0000-0000557F0000}"/>
    <cellStyle name="40% - Accent4 4 2 3 4" xfId="20543" xr:uid="{00000000-0005-0000-0000-0000567F0000}"/>
    <cellStyle name="40% - Accent4 4 2 3 5" xfId="26019" xr:uid="{00000000-0005-0000-0000-0000577F0000}"/>
    <cellStyle name="40% - Accent4 4 2 3 6" xfId="31748" xr:uid="{00000000-0005-0000-0000-0000587F0000}"/>
    <cellStyle name="40% - Accent4 4 2 3 7" xfId="37815" xr:uid="{00000000-0005-0000-0000-0000597F0000}"/>
    <cellStyle name="40% - Accent4 4 2 3 8" xfId="43292" xr:uid="{00000000-0005-0000-0000-00005A7F0000}"/>
    <cellStyle name="40% - Accent4 4 2 3 9" xfId="48769" xr:uid="{00000000-0005-0000-0000-00005B7F0000}"/>
    <cellStyle name="40% - Accent4 4 2 4" xfId="6624" xr:uid="{00000000-0005-0000-0000-00005C7F0000}"/>
    <cellStyle name="40% - Accent4 4 2 5" xfId="12104" xr:uid="{00000000-0005-0000-0000-00005D7F0000}"/>
    <cellStyle name="40% - Accent4 4 2 6" xfId="17580" xr:uid="{00000000-0005-0000-0000-00005E7F0000}"/>
    <cellStyle name="40% - Accent4 4 2 7" xfId="23056" xr:uid="{00000000-0005-0000-0000-00005F7F0000}"/>
    <cellStyle name="40% - Accent4 4 2 8" xfId="31745" xr:uid="{00000000-0005-0000-0000-0000607F0000}"/>
    <cellStyle name="40% - Accent4 4 2 9" xfId="34851" xr:uid="{00000000-0005-0000-0000-0000617F0000}"/>
    <cellStyle name="40% - Accent4 4 20" xfId="51282" xr:uid="{00000000-0005-0000-0000-0000627F0000}"/>
    <cellStyle name="40% - Accent4 4 3" xfId="750" xr:uid="{00000000-0005-0000-0000-0000637F0000}"/>
    <cellStyle name="40% - Accent4 4 3 10" xfId="40329" xr:uid="{00000000-0005-0000-0000-0000647F0000}"/>
    <cellStyle name="40% - Accent4 4 3 11" xfId="45806" xr:uid="{00000000-0005-0000-0000-0000657F0000}"/>
    <cellStyle name="40% - Accent4 4 3 12" xfId="51284" xr:uid="{00000000-0005-0000-0000-0000667F0000}"/>
    <cellStyle name="40% - Accent4 4 3 2" xfId="2511" xr:uid="{00000000-0005-0000-0000-0000677F0000}"/>
    <cellStyle name="40% - Accent4 4 3 2 10" xfId="52687" xr:uid="{00000000-0005-0000-0000-0000687F0000}"/>
    <cellStyle name="40% - Accent4 4 3 2 2" xfId="7991" xr:uid="{00000000-0005-0000-0000-0000697F0000}"/>
    <cellStyle name="40% - Accent4 4 3 2 2 2" xfId="31751" xr:uid="{00000000-0005-0000-0000-00006A7F0000}"/>
    <cellStyle name="40% - Accent4 4 3 2 3" xfId="13467" xr:uid="{00000000-0005-0000-0000-00006B7F0000}"/>
    <cellStyle name="40% - Accent4 4 3 2 4" xfId="18943" xr:uid="{00000000-0005-0000-0000-00006C7F0000}"/>
    <cellStyle name="40% - Accent4 4 3 2 5" xfId="24419" xr:uid="{00000000-0005-0000-0000-00006D7F0000}"/>
    <cellStyle name="40% - Accent4 4 3 2 6" xfId="31750" xr:uid="{00000000-0005-0000-0000-00006E7F0000}"/>
    <cellStyle name="40% - Accent4 4 3 2 7" xfId="36215" xr:uid="{00000000-0005-0000-0000-00006F7F0000}"/>
    <cellStyle name="40% - Accent4 4 3 2 8" xfId="41692" xr:uid="{00000000-0005-0000-0000-0000707F0000}"/>
    <cellStyle name="40% - Accent4 4 3 2 9" xfId="47169" xr:uid="{00000000-0005-0000-0000-0000717F0000}"/>
    <cellStyle name="40% - Accent4 4 3 3" xfId="4283" xr:uid="{00000000-0005-0000-0000-0000727F0000}"/>
    <cellStyle name="40% - Accent4 4 3 3 10" xfId="54459" xr:uid="{00000000-0005-0000-0000-0000737F0000}"/>
    <cellStyle name="40% - Accent4 4 3 3 2" xfId="9763" xr:uid="{00000000-0005-0000-0000-0000747F0000}"/>
    <cellStyle name="40% - Accent4 4 3 3 3" xfId="15239" xr:uid="{00000000-0005-0000-0000-0000757F0000}"/>
    <cellStyle name="40% - Accent4 4 3 3 4" xfId="20715" xr:uid="{00000000-0005-0000-0000-0000767F0000}"/>
    <cellStyle name="40% - Accent4 4 3 3 5" xfId="26191" xr:uid="{00000000-0005-0000-0000-0000777F0000}"/>
    <cellStyle name="40% - Accent4 4 3 3 6" xfId="31752" xr:uid="{00000000-0005-0000-0000-0000787F0000}"/>
    <cellStyle name="40% - Accent4 4 3 3 7" xfId="37987" xr:uid="{00000000-0005-0000-0000-0000797F0000}"/>
    <cellStyle name="40% - Accent4 4 3 3 8" xfId="43464" xr:uid="{00000000-0005-0000-0000-00007A7F0000}"/>
    <cellStyle name="40% - Accent4 4 3 3 9" xfId="48941" xr:uid="{00000000-0005-0000-0000-00007B7F0000}"/>
    <cellStyle name="40% - Accent4 4 3 4" xfId="6625" xr:uid="{00000000-0005-0000-0000-00007C7F0000}"/>
    <cellStyle name="40% - Accent4 4 3 5" xfId="12105" xr:uid="{00000000-0005-0000-0000-00007D7F0000}"/>
    <cellStyle name="40% - Accent4 4 3 6" xfId="17581" xr:uid="{00000000-0005-0000-0000-00007E7F0000}"/>
    <cellStyle name="40% - Accent4 4 3 7" xfId="23057" xr:uid="{00000000-0005-0000-0000-00007F7F0000}"/>
    <cellStyle name="40% - Accent4 4 3 8" xfId="31749" xr:uid="{00000000-0005-0000-0000-0000807F0000}"/>
    <cellStyle name="40% - Accent4 4 3 9" xfId="34852" xr:uid="{00000000-0005-0000-0000-0000817F0000}"/>
    <cellStyle name="40% - Accent4 4 4" xfId="922" xr:uid="{00000000-0005-0000-0000-0000827F0000}"/>
    <cellStyle name="40% - Accent4 4 4 10" xfId="40330" xr:uid="{00000000-0005-0000-0000-0000837F0000}"/>
    <cellStyle name="40% - Accent4 4 4 11" xfId="45807" xr:uid="{00000000-0005-0000-0000-0000847F0000}"/>
    <cellStyle name="40% - Accent4 4 4 12" xfId="51285" xr:uid="{00000000-0005-0000-0000-0000857F0000}"/>
    <cellStyle name="40% - Accent4 4 4 2" xfId="2683" xr:uid="{00000000-0005-0000-0000-0000867F0000}"/>
    <cellStyle name="40% - Accent4 4 4 2 10" xfId="52859" xr:uid="{00000000-0005-0000-0000-0000877F0000}"/>
    <cellStyle name="40% - Accent4 4 4 2 2" xfId="8163" xr:uid="{00000000-0005-0000-0000-0000887F0000}"/>
    <cellStyle name="40% - Accent4 4 4 2 2 2" xfId="31755" xr:uid="{00000000-0005-0000-0000-0000897F0000}"/>
    <cellStyle name="40% - Accent4 4 4 2 3" xfId="13639" xr:uid="{00000000-0005-0000-0000-00008A7F0000}"/>
    <cellStyle name="40% - Accent4 4 4 2 4" xfId="19115" xr:uid="{00000000-0005-0000-0000-00008B7F0000}"/>
    <cellStyle name="40% - Accent4 4 4 2 5" xfId="24591" xr:uid="{00000000-0005-0000-0000-00008C7F0000}"/>
    <cellStyle name="40% - Accent4 4 4 2 6" xfId="31754" xr:uid="{00000000-0005-0000-0000-00008D7F0000}"/>
    <cellStyle name="40% - Accent4 4 4 2 7" xfId="36387" xr:uid="{00000000-0005-0000-0000-00008E7F0000}"/>
    <cellStyle name="40% - Accent4 4 4 2 8" xfId="41864" xr:uid="{00000000-0005-0000-0000-00008F7F0000}"/>
    <cellStyle name="40% - Accent4 4 4 2 9" xfId="47341" xr:uid="{00000000-0005-0000-0000-0000907F0000}"/>
    <cellStyle name="40% - Accent4 4 4 3" xfId="4455" xr:uid="{00000000-0005-0000-0000-0000917F0000}"/>
    <cellStyle name="40% - Accent4 4 4 3 10" xfId="54631" xr:uid="{00000000-0005-0000-0000-0000927F0000}"/>
    <cellStyle name="40% - Accent4 4 4 3 2" xfId="9935" xr:uid="{00000000-0005-0000-0000-0000937F0000}"/>
    <cellStyle name="40% - Accent4 4 4 3 3" xfId="15411" xr:uid="{00000000-0005-0000-0000-0000947F0000}"/>
    <cellStyle name="40% - Accent4 4 4 3 4" xfId="20887" xr:uid="{00000000-0005-0000-0000-0000957F0000}"/>
    <cellStyle name="40% - Accent4 4 4 3 5" xfId="26363" xr:uid="{00000000-0005-0000-0000-0000967F0000}"/>
    <cellStyle name="40% - Accent4 4 4 3 6" xfId="31756" xr:uid="{00000000-0005-0000-0000-0000977F0000}"/>
    <cellStyle name="40% - Accent4 4 4 3 7" xfId="38159" xr:uid="{00000000-0005-0000-0000-0000987F0000}"/>
    <cellStyle name="40% - Accent4 4 4 3 8" xfId="43636" xr:uid="{00000000-0005-0000-0000-0000997F0000}"/>
    <cellStyle name="40% - Accent4 4 4 3 9" xfId="49113" xr:uid="{00000000-0005-0000-0000-00009A7F0000}"/>
    <cellStyle name="40% - Accent4 4 4 4" xfId="6626" xr:uid="{00000000-0005-0000-0000-00009B7F0000}"/>
    <cellStyle name="40% - Accent4 4 4 5" xfId="12106" xr:uid="{00000000-0005-0000-0000-00009C7F0000}"/>
    <cellStyle name="40% - Accent4 4 4 6" xfId="17582" xr:uid="{00000000-0005-0000-0000-00009D7F0000}"/>
    <cellStyle name="40% - Accent4 4 4 7" xfId="23058" xr:uid="{00000000-0005-0000-0000-00009E7F0000}"/>
    <cellStyle name="40% - Accent4 4 4 8" xfId="31753" xr:uid="{00000000-0005-0000-0000-00009F7F0000}"/>
    <cellStyle name="40% - Accent4 4 4 9" xfId="34853" xr:uid="{00000000-0005-0000-0000-0000A07F0000}"/>
    <cellStyle name="40% - Accent4 4 5" xfId="1128" xr:uid="{00000000-0005-0000-0000-0000A17F0000}"/>
    <cellStyle name="40% - Accent4 4 5 10" xfId="40331" xr:uid="{00000000-0005-0000-0000-0000A27F0000}"/>
    <cellStyle name="40% - Accent4 4 5 11" xfId="45808" xr:uid="{00000000-0005-0000-0000-0000A37F0000}"/>
    <cellStyle name="40% - Accent4 4 5 12" xfId="51286" xr:uid="{00000000-0005-0000-0000-0000A47F0000}"/>
    <cellStyle name="40% - Accent4 4 5 2" xfId="2889" xr:uid="{00000000-0005-0000-0000-0000A57F0000}"/>
    <cellStyle name="40% - Accent4 4 5 2 10" xfId="53065" xr:uid="{00000000-0005-0000-0000-0000A67F0000}"/>
    <cellStyle name="40% - Accent4 4 5 2 2" xfId="8369" xr:uid="{00000000-0005-0000-0000-0000A77F0000}"/>
    <cellStyle name="40% - Accent4 4 5 2 2 2" xfId="31759" xr:uid="{00000000-0005-0000-0000-0000A87F0000}"/>
    <cellStyle name="40% - Accent4 4 5 2 3" xfId="13845" xr:uid="{00000000-0005-0000-0000-0000A97F0000}"/>
    <cellStyle name="40% - Accent4 4 5 2 4" xfId="19321" xr:uid="{00000000-0005-0000-0000-0000AA7F0000}"/>
    <cellStyle name="40% - Accent4 4 5 2 5" xfId="24797" xr:uid="{00000000-0005-0000-0000-0000AB7F0000}"/>
    <cellStyle name="40% - Accent4 4 5 2 6" xfId="31758" xr:uid="{00000000-0005-0000-0000-0000AC7F0000}"/>
    <cellStyle name="40% - Accent4 4 5 2 7" xfId="36593" xr:uid="{00000000-0005-0000-0000-0000AD7F0000}"/>
    <cellStyle name="40% - Accent4 4 5 2 8" xfId="42070" xr:uid="{00000000-0005-0000-0000-0000AE7F0000}"/>
    <cellStyle name="40% - Accent4 4 5 2 9" xfId="47547" xr:uid="{00000000-0005-0000-0000-0000AF7F0000}"/>
    <cellStyle name="40% - Accent4 4 5 3" xfId="4661" xr:uid="{00000000-0005-0000-0000-0000B07F0000}"/>
    <cellStyle name="40% - Accent4 4 5 3 10" xfId="54837" xr:uid="{00000000-0005-0000-0000-0000B17F0000}"/>
    <cellStyle name="40% - Accent4 4 5 3 2" xfId="10141" xr:uid="{00000000-0005-0000-0000-0000B27F0000}"/>
    <cellStyle name="40% - Accent4 4 5 3 3" xfId="15617" xr:uid="{00000000-0005-0000-0000-0000B37F0000}"/>
    <cellStyle name="40% - Accent4 4 5 3 4" xfId="21093" xr:uid="{00000000-0005-0000-0000-0000B47F0000}"/>
    <cellStyle name="40% - Accent4 4 5 3 5" xfId="26569" xr:uid="{00000000-0005-0000-0000-0000B57F0000}"/>
    <cellStyle name="40% - Accent4 4 5 3 6" xfId="31760" xr:uid="{00000000-0005-0000-0000-0000B67F0000}"/>
    <cellStyle name="40% - Accent4 4 5 3 7" xfId="38365" xr:uid="{00000000-0005-0000-0000-0000B77F0000}"/>
    <cellStyle name="40% - Accent4 4 5 3 8" xfId="43842" xr:uid="{00000000-0005-0000-0000-0000B87F0000}"/>
    <cellStyle name="40% - Accent4 4 5 3 9" xfId="49319" xr:uid="{00000000-0005-0000-0000-0000B97F0000}"/>
    <cellStyle name="40% - Accent4 4 5 4" xfId="6627" xr:uid="{00000000-0005-0000-0000-0000BA7F0000}"/>
    <cellStyle name="40% - Accent4 4 5 5" xfId="12107" xr:uid="{00000000-0005-0000-0000-0000BB7F0000}"/>
    <cellStyle name="40% - Accent4 4 5 6" xfId="17583" xr:uid="{00000000-0005-0000-0000-0000BC7F0000}"/>
    <cellStyle name="40% - Accent4 4 5 7" xfId="23059" xr:uid="{00000000-0005-0000-0000-0000BD7F0000}"/>
    <cellStyle name="40% - Accent4 4 5 8" xfId="31757" xr:uid="{00000000-0005-0000-0000-0000BE7F0000}"/>
    <cellStyle name="40% - Accent4 4 5 9" xfId="34854" xr:uid="{00000000-0005-0000-0000-0000BF7F0000}"/>
    <cellStyle name="40% - Accent4 4 6" xfId="1300" xr:uid="{00000000-0005-0000-0000-0000C07F0000}"/>
    <cellStyle name="40% - Accent4 4 6 10" xfId="40332" xr:uid="{00000000-0005-0000-0000-0000C17F0000}"/>
    <cellStyle name="40% - Accent4 4 6 11" xfId="45809" xr:uid="{00000000-0005-0000-0000-0000C27F0000}"/>
    <cellStyle name="40% - Accent4 4 6 12" xfId="51287" xr:uid="{00000000-0005-0000-0000-0000C37F0000}"/>
    <cellStyle name="40% - Accent4 4 6 2" xfId="3061" xr:uid="{00000000-0005-0000-0000-0000C47F0000}"/>
    <cellStyle name="40% - Accent4 4 6 2 10" xfId="53237" xr:uid="{00000000-0005-0000-0000-0000C57F0000}"/>
    <cellStyle name="40% - Accent4 4 6 2 2" xfId="8541" xr:uid="{00000000-0005-0000-0000-0000C67F0000}"/>
    <cellStyle name="40% - Accent4 4 6 2 2 2" xfId="31763" xr:uid="{00000000-0005-0000-0000-0000C77F0000}"/>
    <cellStyle name="40% - Accent4 4 6 2 3" xfId="14017" xr:uid="{00000000-0005-0000-0000-0000C87F0000}"/>
    <cellStyle name="40% - Accent4 4 6 2 4" xfId="19493" xr:uid="{00000000-0005-0000-0000-0000C97F0000}"/>
    <cellStyle name="40% - Accent4 4 6 2 5" xfId="24969" xr:uid="{00000000-0005-0000-0000-0000CA7F0000}"/>
    <cellStyle name="40% - Accent4 4 6 2 6" xfId="31762" xr:uid="{00000000-0005-0000-0000-0000CB7F0000}"/>
    <cellStyle name="40% - Accent4 4 6 2 7" xfId="36765" xr:uid="{00000000-0005-0000-0000-0000CC7F0000}"/>
    <cellStyle name="40% - Accent4 4 6 2 8" xfId="42242" xr:uid="{00000000-0005-0000-0000-0000CD7F0000}"/>
    <cellStyle name="40% - Accent4 4 6 2 9" xfId="47719" xr:uid="{00000000-0005-0000-0000-0000CE7F0000}"/>
    <cellStyle name="40% - Accent4 4 6 3" xfId="4833" xr:uid="{00000000-0005-0000-0000-0000CF7F0000}"/>
    <cellStyle name="40% - Accent4 4 6 3 10" xfId="55009" xr:uid="{00000000-0005-0000-0000-0000D07F0000}"/>
    <cellStyle name="40% - Accent4 4 6 3 2" xfId="10313" xr:uid="{00000000-0005-0000-0000-0000D17F0000}"/>
    <cellStyle name="40% - Accent4 4 6 3 3" xfId="15789" xr:uid="{00000000-0005-0000-0000-0000D27F0000}"/>
    <cellStyle name="40% - Accent4 4 6 3 4" xfId="21265" xr:uid="{00000000-0005-0000-0000-0000D37F0000}"/>
    <cellStyle name="40% - Accent4 4 6 3 5" xfId="26741" xr:uid="{00000000-0005-0000-0000-0000D47F0000}"/>
    <cellStyle name="40% - Accent4 4 6 3 6" xfId="31764" xr:uid="{00000000-0005-0000-0000-0000D57F0000}"/>
    <cellStyle name="40% - Accent4 4 6 3 7" xfId="38537" xr:uid="{00000000-0005-0000-0000-0000D67F0000}"/>
    <cellStyle name="40% - Accent4 4 6 3 8" xfId="44014" xr:uid="{00000000-0005-0000-0000-0000D77F0000}"/>
    <cellStyle name="40% - Accent4 4 6 3 9" xfId="49491" xr:uid="{00000000-0005-0000-0000-0000D87F0000}"/>
    <cellStyle name="40% - Accent4 4 6 4" xfId="6628" xr:uid="{00000000-0005-0000-0000-0000D97F0000}"/>
    <cellStyle name="40% - Accent4 4 6 5" xfId="12108" xr:uid="{00000000-0005-0000-0000-0000DA7F0000}"/>
    <cellStyle name="40% - Accent4 4 6 6" xfId="17584" xr:uid="{00000000-0005-0000-0000-0000DB7F0000}"/>
    <cellStyle name="40% - Accent4 4 6 7" xfId="23060" xr:uid="{00000000-0005-0000-0000-0000DC7F0000}"/>
    <cellStyle name="40% - Accent4 4 6 8" xfId="31761" xr:uid="{00000000-0005-0000-0000-0000DD7F0000}"/>
    <cellStyle name="40% - Accent4 4 6 9" xfId="34855" xr:uid="{00000000-0005-0000-0000-0000DE7F0000}"/>
    <cellStyle name="40% - Accent4 4 7" xfId="1472" xr:uid="{00000000-0005-0000-0000-0000DF7F0000}"/>
    <cellStyle name="40% - Accent4 4 7 10" xfId="40333" xr:uid="{00000000-0005-0000-0000-0000E07F0000}"/>
    <cellStyle name="40% - Accent4 4 7 11" xfId="45810" xr:uid="{00000000-0005-0000-0000-0000E17F0000}"/>
    <cellStyle name="40% - Accent4 4 7 12" xfId="51288" xr:uid="{00000000-0005-0000-0000-0000E27F0000}"/>
    <cellStyle name="40% - Accent4 4 7 2" xfId="3233" xr:uid="{00000000-0005-0000-0000-0000E37F0000}"/>
    <cellStyle name="40% - Accent4 4 7 2 10" xfId="53409" xr:uid="{00000000-0005-0000-0000-0000E47F0000}"/>
    <cellStyle name="40% - Accent4 4 7 2 2" xfId="8713" xr:uid="{00000000-0005-0000-0000-0000E57F0000}"/>
    <cellStyle name="40% - Accent4 4 7 2 2 2" xfId="31767" xr:uid="{00000000-0005-0000-0000-0000E67F0000}"/>
    <cellStyle name="40% - Accent4 4 7 2 3" xfId="14189" xr:uid="{00000000-0005-0000-0000-0000E77F0000}"/>
    <cellStyle name="40% - Accent4 4 7 2 4" xfId="19665" xr:uid="{00000000-0005-0000-0000-0000E87F0000}"/>
    <cellStyle name="40% - Accent4 4 7 2 5" xfId="25141" xr:uid="{00000000-0005-0000-0000-0000E97F0000}"/>
    <cellStyle name="40% - Accent4 4 7 2 6" xfId="31766" xr:uid="{00000000-0005-0000-0000-0000EA7F0000}"/>
    <cellStyle name="40% - Accent4 4 7 2 7" xfId="36937" xr:uid="{00000000-0005-0000-0000-0000EB7F0000}"/>
    <cellStyle name="40% - Accent4 4 7 2 8" xfId="42414" xr:uid="{00000000-0005-0000-0000-0000EC7F0000}"/>
    <cellStyle name="40% - Accent4 4 7 2 9" xfId="47891" xr:uid="{00000000-0005-0000-0000-0000ED7F0000}"/>
    <cellStyle name="40% - Accent4 4 7 3" xfId="5005" xr:uid="{00000000-0005-0000-0000-0000EE7F0000}"/>
    <cellStyle name="40% - Accent4 4 7 3 10" xfId="55181" xr:uid="{00000000-0005-0000-0000-0000EF7F0000}"/>
    <cellStyle name="40% - Accent4 4 7 3 2" xfId="10485" xr:uid="{00000000-0005-0000-0000-0000F07F0000}"/>
    <cellStyle name="40% - Accent4 4 7 3 3" xfId="15961" xr:uid="{00000000-0005-0000-0000-0000F17F0000}"/>
    <cellStyle name="40% - Accent4 4 7 3 4" xfId="21437" xr:uid="{00000000-0005-0000-0000-0000F27F0000}"/>
    <cellStyle name="40% - Accent4 4 7 3 5" xfId="26913" xr:uid="{00000000-0005-0000-0000-0000F37F0000}"/>
    <cellStyle name="40% - Accent4 4 7 3 6" xfId="31768" xr:uid="{00000000-0005-0000-0000-0000F47F0000}"/>
    <cellStyle name="40% - Accent4 4 7 3 7" xfId="38709" xr:uid="{00000000-0005-0000-0000-0000F57F0000}"/>
    <cellStyle name="40% - Accent4 4 7 3 8" xfId="44186" xr:uid="{00000000-0005-0000-0000-0000F67F0000}"/>
    <cellStyle name="40% - Accent4 4 7 3 9" xfId="49663" xr:uid="{00000000-0005-0000-0000-0000F77F0000}"/>
    <cellStyle name="40% - Accent4 4 7 4" xfId="6629" xr:uid="{00000000-0005-0000-0000-0000F87F0000}"/>
    <cellStyle name="40% - Accent4 4 7 5" xfId="12109" xr:uid="{00000000-0005-0000-0000-0000F97F0000}"/>
    <cellStyle name="40% - Accent4 4 7 6" xfId="17585" xr:uid="{00000000-0005-0000-0000-0000FA7F0000}"/>
    <cellStyle name="40% - Accent4 4 7 7" xfId="23061" xr:uid="{00000000-0005-0000-0000-0000FB7F0000}"/>
    <cellStyle name="40% - Accent4 4 7 8" xfId="31765" xr:uid="{00000000-0005-0000-0000-0000FC7F0000}"/>
    <cellStyle name="40% - Accent4 4 7 9" xfId="34856" xr:uid="{00000000-0005-0000-0000-0000FD7F0000}"/>
    <cellStyle name="40% - Accent4 4 8" xfId="1644" xr:uid="{00000000-0005-0000-0000-0000FE7F0000}"/>
    <cellStyle name="40% - Accent4 4 8 10" xfId="40334" xr:uid="{00000000-0005-0000-0000-0000FF7F0000}"/>
    <cellStyle name="40% - Accent4 4 8 11" xfId="45811" xr:uid="{00000000-0005-0000-0000-000000800000}"/>
    <cellStyle name="40% - Accent4 4 8 12" xfId="51289" xr:uid="{00000000-0005-0000-0000-000001800000}"/>
    <cellStyle name="40% - Accent4 4 8 2" xfId="3405" xr:uid="{00000000-0005-0000-0000-000002800000}"/>
    <cellStyle name="40% - Accent4 4 8 2 10" xfId="53581" xr:uid="{00000000-0005-0000-0000-000003800000}"/>
    <cellStyle name="40% - Accent4 4 8 2 2" xfId="8885" xr:uid="{00000000-0005-0000-0000-000004800000}"/>
    <cellStyle name="40% - Accent4 4 8 2 3" xfId="14361" xr:uid="{00000000-0005-0000-0000-000005800000}"/>
    <cellStyle name="40% - Accent4 4 8 2 4" xfId="19837" xr:uid="{00000000-0005-0000-0000-000006800000}"/>
    <cellStyle name="40% - Accent4 4 8 2 5" xfId="25313" xr:uid="{00000000-0005-0000-0000-000007800000}"/>
    <cellStyle name="40% - Accent4 4 8 2 6" xfId="31770" xr:uid="{00000000-0005-0000-0000-000008800000}"/>
    <cellStyle name="40% - Accent4 4 8 2 7" xfId="37109" xr:uid="{00000000-0005-0000-0000-000009800000}"/>
    <cellStyle name="40% - Accent4 4 8 2 8" xfId="42586" xr:uid="{00000000-0005-0000-0000-00000A800000}"/>
    <cellStyle name="40% - Accent4 4 8 2 9" xfId="48063" xr:uid="{00000000-0005-0000-0000-00000B800000}"/>
    <cellStyle name="40% - Accent4 4 8 3" xfId="5177" xr:uid="{00000000-0005-0000-0000-00000C800000}"/>
    <cellStyle name="40% - Accent4 4 8 3 2" xfId="10657" xr:uid="{00000000-0005-0000-0000-00000D800000}"/>
    <cellStyle name="40% - Accent4 4 8 3 3" xfId="16133" xr:uid="{00000000-0005-0000-0000-00000E800000}"/>
    <cellStyle name="40% - Accent4 4 8 3 4" xfId="21609" xr:uid="{00000000-0005-0000-0000-00000F800000}"/>
    <cellStyle name="40% - Accent4 4 8 3 5" xfId="27085" xr:uid="{00000000-0005-0000-0000-000010800000}"/>
    <cellStyle name="40% - Accent4 4 8 3 6" xfId="38881" xr:uid="{00000000-0005-0000-0000-000011800000}"/>
    <cellStyle name="40% - Accent4 4 8 3 7" xfId="44358" xr:uid="{00000000-0005-0000-0000-000012800000}"/>
    <cellStyle name="40% - Accent4 4 8 3 8" xfId="49835" xr:uid="{00000000-0005-0000-0000-000013800000}"/>
    <cellStyle name="40% - Accent4 4 8 3 9" xfId="55353" xr:uid="{00000000-0005-0000-0000-000014800000}"/>
    <cellStyle name="40% - Accent4 4 8 4" xfId="6630" xr:uid="{00000000-0005-0000-0000-000015800000}"/>
    <cellStyle name="40% - Accent4 4 8 5" xfId="12110" xr:uid="{00000000-0005-0000-0000-000016800000}"/>
    <cellStyle name="40% - Accent4 4 8 6" xfId="17586" xr:uid="{00000000-0005-0000-0000-000017800000}"/>
    <cellStyle name="40% - Accent4 4 8 7" xfId="23062" xr:uid="{00000000-0005-0000-0000-000018800000}"/>
    <cellStyle name="40% - Accent4 4 8 8" xfId="31769" xr:uid="{00000000-0005-0000-0000-000019800000}"/>
    <cellStyle name="40% - Accent4 4 8 9" xfId="34857" xr:uid="{00000000-0005-0000-0000-00001A800000}"/>
    <cellStyle name="40% - Accent4 4 9" xfId="1840" xr:uid="{00000000-0005-0000-0000-00001B800000}"/>
    <cellStyle name="40% - Accent4 4 9 10" xfId="40335" xr:uid="{00000000-0005-0000-0000-00001C800000}"/>
    <cellStyle name="40% - Accent4 4 9 11" xfId="45812" xr:uid="{00000000-0005-0000-0000-00001D800000}"/>
    <cellStyle name="40% - Accent4 4 9 12" xfId="51290" xr:uid="{00000000-0005-0000-0000-00001E800000}"/>
    <cellStyle name="40% - Accent4 4 9 2" xfId="3601" xr:uid="{00000000-0005-0000-0000-00001F800000}"/>
    <cellStyle name="40% - Accent4 4 9 2 2" xfId="9081" xr:uid="{00000000-0005-0000-0000-000020800000}"/>
    <cellStyle name="40% - Accent4 4 9 2 3" xfId="14557" xr:uid="{00000000-0005-0000-0000-000021800000}"/>
    <cellStyle name="40% - Accent4 4 9 2 4" xfId="20033" xr:uid="{00000000-0005-0000-0000-000022800000}"/>
    <cellStyle name="40% - Accent4 4 9 2 5" xfId="25509" xr:uid="{00000000-0005-0000-0000-000023800000}"/>
    <cellStyle name="40% - Accent4 4 9 2 6" xfId="37305" xr:uid="{00000000-0005-0000-0000-000024800000}"/>
    <cellStyle name="40% - Accent4 4 9 2 7" xfId="42782" xr:uid="{00000000-0005-0000-0000-000025800000}"/>
    <cellStyle name="40% - Accent4 4 9 2 8" xfId="48259" xr:uid="{00000000-0005-0000-0000-000026800000}"/>
    <cellStyle name="40% - Accent4 4 9 2 9" xfId="53777" xr:uid="{00000000-0005-0000-0000-000027800000}"/>
    <cellStyle name="40% - Accent4 4 9 3" xfId="5373" xr:uid="{00000000-0005-0000-0000-000028800000}"/>
    <cellStyle name="40% - Accent4 4 9 3 2" xfId="10853" xr:uid="{00000000-0005-0000-0000-000029800000}"/>
    <cellStyle name="40% - Accent4 4 9 3 3" xfId="16329" xr:uid="{00000000-0005-0000-0000-00002A800000}"/>
    <cellStyle name="40% - Accent4 4 9 3 4" xfId="21805" xr:uid="{00000000-0005-0000-0000-00002B800000}"/>
    <cellStyle name="40% - Accent4 4 9 3 5" xfId="27281" xr:uid="{00000000-0005-0000-0000-00002C800000}"/>
    <cellStyle name="40% - Accent4 4 9 3 6" xfId="39077" xr:uid="{00000000-0005-0000-0000-00002D800000}"/>
    <cellStyle name="40% - Accent4 4 9 3 7" xfId="44554" xr:uid="{00000000-0005-0000-0000-00002E800000}"/>
    <cellStyle name="40% - Accent4 4 9 3 8" xfId="50031" xr:uid="{00000000-0005-0000-0000-00002F800000}"/>
    <cellStyle name="40% - Accent4 4 9 3 9" xfId="55549" xr:uid="{00000000-0005-0000-0000-000030800000}"/>
    <cellStyle name="40% - Accent4 4 9 4" xfId="6631" xr:uid="{00000000-0005-0000-0000-000031800000}"/>
    <cellStyle name="40% - Accent4 4 9 5" xfId="12111" xr:uid="{00000000-0005-0000-0000-000032800000}"/>
    <cellStyle name="40% - Accent4 4 9 6" xfId="17587" xr:uid="{00000000-0005-0000-0000-000033800000}"/>
    <cellStyle name="40% - Accent4 4 9 7" xfId="23063" xr:uid="{00000000-0005-0000-0000-000034800000}"/>
    <cellStyle name="40% - Accent4 4 9 8" xfId="31771" xr:uid="{00000000-0005-0000-0000-000035800000}"/>
    <cellStyle name="40% - Accent4 4 9 9" xfId="34858" xr:uid="{00000000-0005-0000-0000-000036800000}"/>
    <cellStyle name="40% - Accent4 5" xfId="3677" xr:uid="{00000000-0005-0000-0000-000037800000}"/>
    <cellStyle name="40% - Accent4 5 10" xfId="31772" xr:uid="{00000000-0005-0000-0000-000038800000}"/>
    <cellStyle name="40% - Accent4 5 11" xfId="37381" xr:uid="{00000000-0005-0000-0000-000039800000}"/>
    <cellStyle name="40% - Accent4 5 12" xfId="42858" xr:uid="{00000000-0005-0000-0000-00003A800000}"/>
    <cellStyle name="40% - Accent4 5 13" xfId="48335" xr:uid="{00000000-0005-0000-0000-00003B800000}"/>
    <cellStyle name="40% - Accent4 5 14" xfId="52041" xr:uid="{00000000-0005-0000-0000-00003C800000}"/>
    <cellStyle name="40% - Accent4 5 2" xfId="9157" xr:uid="{00000000-0005-0000-0000-00003D800000}"/>
    <cellStyle name="40% - Accent4 5 2 2" xfId="31774" xr:uid="{00000000-0005-0000-0000-00003E800000}"/>
    <cellStyle name="40% - Accent4 5 2 2 2" xfId="31775" xr:uid="{00000000-0005-0000-0000-00003F800000}"/>
    <cellStyle name="40% - Accent4 5 2 3" xfId="31776" xr:uid="{00000000-0005-0000-0000-000040800000}"/>
    <cellStyle name="40% - Accent4 5 2 4" xfId="31773" xr:uid="{00000000-0005-0000-0000-000041800000}"/>
    <cellStyle name="40% - Accent4 5 2 5" xfId="53853" xr:uid="{00000000-0005-0000-0000-000042800000}"/>
    <cellStyle name="40% - Accent4 5 3" xfId="14633" xr:uid="{00000000-0005-0000-0000-000043800000}"/>
    <cellStyle name="40% - Accent4 5 3 2" xfId="31778" xr:uid="{00000000-0005-0000-0000-000044800000}"/>
    <cellStyle name="40% - Accent4 5 3 2 2" xfId="31779" xr:uid="{00000000-0005-0000-0000-000045800000}"/>
    <cellStyle name="40% - Accent4 5 3 3" xfId="31780" xr:uid="{00000000-0005-0000-0000-000046800000}"/>
    <cellStyle name="40% - Accent4 5 3 4" xfId="31777" xr:uid="{00000000-0005-0000-0000-000047800000}"/>
    <cellStyle name="40% - Accent4 5 4" xfId="20109" xr:uid="{00000000-0005-0000-0000-000048800000}"/>
    <cellStyle name="40% - Accent4 5 4 2" xfId="31782" xr:uid="{00000000-0005-0000-0000-000049800000}"/>
    <cellStyle name="40% - Accent4 5 4 2 2" xfId="31783" xr:uid="{00000000-0005-0000-0000-00004A800000}"/>
    <cellStyle name="40% - Accent4 5 4 3" xfId="31784" xr:uid="{00000000-0005-0000-0000-00004B800000}"/>
    <cellStyle name="40% - Accent4 5 4 4" xfId="31781" xr:uid="{00000000-0005-0000-0000-00004C800000}"/>
    <cellStyle name="40% - Accent4 5 5" xfId="25585" xr:uid="{00000000-0005-0000-0000-00004D800000}"/>
    <cellStyle name="40% - Accent4 5 5 2" xfId="31786" xr:uid="{00000000-0005-0000-0000-00004E800000}"/>
    <cellStyle name="40% - Accent4 5 5 2 2" xfId="31787" xr:uid="{00000000-0005-0000-0000-00004F800000}"/>
    <cellStyle name="40% - Accent4 5 5 3" xfId="31788" xr:uid="{00000000-0005-0000-0000-000050800000}"/>
    <cellStyle name="40% - Accent4 5 5 4" xfId="31785" xr:uid="{00000000-0005-0000-0000-000051800000}"/>
    <cellStyle name="40% - Accent4 5 6" xfId="31789" xr:uid="{00000000-0005-0000-0000-000052800000}"/>
    <cellStyle name="40% - Accent4 5 6 2" xfId="31790" xr:uid="{00000000-0005-0000-0000-000053800000}"/>
    <cellStyle name="40% - Accent4 5 6 2 2" xfId="31791" xr:uid="{00000000-0005-0000-0000-000054800000}"/>
    <cellStyle name="40% - Accent4 5 6 3" xfId="31792" xr:uid="{00000000-0005-0000-0000-000055800000}"/>
    <cellStyle name="40% - Accent4 5 7" xfId="31793" xr:uid="{00000000-0005-0000-0000-000056800000}"/>
    <cellStyle name="40% - Accent4 5 7 2" xfId="31794" xr:uid="{00000000-0005-0000-0000-000057800000}"/>
    <cellStyle name="40% - Accent4 5 7 2 2" xfId="31795" xr:uid="{00000000-0005-0000-0000-000058800000}"/>
    <cellStyle name="40% - Accent4 5 7 3" xfId="31796" xr:uid="{00000000-0005-0000-0000-000059800000}"/>
    <cellStyle name="40% - Accent4 5 8" xfId="31797" xr:uid="{00000000-0005-0000-0000-00005A800000}"/>
    <cellStyle name="40% - Accent4 5 8 2" xfId="31798" xr:uid="{00000000-0005-0000-0000-00005B800000}"/>
    <cellStyle name="40% - Accent4 5 9" xfId="31799" xr:uid="{00000000-0005-0000-0000-00005C800000}"/>
    <cellStyle name="40% - Accent4 6" xfId="7382" xr:uid="{00000000-0005-0000-0000-00005D800000}"/>
    <cellStyle name="40% - Accent4 6 10" xfId="31800" xr:uid="{00000000-0005-0000-0000-00005E800000}"/>
    <cellStyle name="40% - Accent4 6 2" xfId="31801" xr:uid="{00000000-0005-0000-0000-00005F800000}"/>
    <cellStyle name="40% - Accent4 6 2 2" xfId="31802" xr:uid="{00000000-0005-0000-0000-000060800000}"/>
    <cellStyle name="40% - Accent4 6 2 2 2" xfId="31803" xr:uid="{00000000-0005-0000-0000-000061800000}"/>
    <cellStyle name="40% - Accent4 6 2 3" xfId="31804" xr:uid="{00000000-0005-0000-0000-000062800000}"/>
    <cellStyle name="40% - Accent4 6 3" xfId="31805" xr:uid="{00000000-0005-0000-0000-000063800000}"/>
    <cellStyle name="40% - Accent4 6 3 2" xfId="31806" xr:uid="{00000000-0005-0000-0000-000064800000}"/>
    <cellStyle name="40% - Accent4 6 3 2 2" xfId="31807" xr:uid="{00000000-0005-0000-0000-000065800000}"/>
    <cellStyle name="40% - Accent4 6 3 3" xfId="31808" xr:uid="{00000000-0005-0000-0000-000066800000}"/>
    <cellStyle name="40% - Accent4 6 4" xfId="31809" xr:uid="{00000000-0005-0000-0000-000067800000}"/>
    <cellStyle name="40% - Accent4 6 4 2" xfId="31810" xr:uid="{00000000-0005-0000-0000-000068800000}"/>
    <cellStyle name="40% - Accent4 6 4 2 2" xfId="31811" xr:uid="{00000000-0005-0000-0000-000069800000}"/>
    <cellStyle name="40% - Accent4 6 4 3" xfId="31812" xr:uid="{00000000-0005-0000-0000-00006A800000}"/>
    <cellStyle name="40% - Accent4 6 5" xfId="31813" xr:uid="{00000000-0005-0000-0000-00006B800000}"/>
    <cellStyle name="40% - Accent4 6 5 2" xfId="31814" xr:uid="{00000000-0005-0000-0000-00006C800000}"/>
    <cellStyle name="40% - Accent4 6 5 2 2" xfId="31815" xr:uid="{00000000-0005-0000-0000-00006D800000}"/>
    <cellStyle name="40% - Accent4 6 5 3" xfId="31816" xr:uid="{00000000-0005-0000-0000-00006E800000}"/>
    <cellStyle name="40% - Accent4 6 6" xfId="31817" xr:uid="{00000000-0005-0000-0000-00006F800000}"/>
    <cellStyle name="40% - Accent4 6 6 2" xfId="31818" xr:uid="{00000000-0005-0000-0000-000070800000}"/>
    <cellStyle name="40% - Accent4 6 6 2 2" xfId="31819" xr:uid="{00000000-0005-0000-0000-000071800000}"/>
    <cellStyle name="40% - Accent4 6 6 3" xfId="31820" xr:uid="{00000000-0005-0000-0000-000072800000}"/>
    <cellStyle name="40% - Accent4 6 7" xfId="31821" xr:uid="{00000000-0005-0000-0000-000073800000}"/>
    <cellStyle name="40% - Accent4 6 7 2" xfId="31822" xr:uid="{00000000-0005-0000-0000-000074800000}"/>
    <cellStyle name="40% - Accent4 6 7 2 2" xfId="31823" xr:uid="{00000000-0005-0000-0000-000075800000}"/>
    <cellStyle name="40% - Accent4 6 7 3" xfId="31824" xr:uid="{00000000-0005-0000-0000-000076800000}"/>
    <cellStyle name="40% - Accent4 6 8" xfId="31825" xr:uid="{00000000-0005-0000-0000-000077800000}"/>
    <cellStyle name="40% - Accent4 6 8 2" xfId="31826" xr:uid="{00000000-0005-0000-0000-000078800000}"/>
    <cellStyle name="40% - Accent4 6 9" xfId="31827" xr:uid="{00000000-0005-0000-0000-000079800000}"/>
    <cellStyle name="40% - Accent4 7" xfId="12859" xr:uid="{00000000-0005-0000-0000-00007A800000}"/>
    <cellStyle name="40% - Accent4 7 10" xfId="31828" xr:uid="{00000000-0005-0000-0000-00007B800000}"/>
    <cellStyle name="40% - Accent4 7 2" xfId="31829" xr:uid="{00000000-0005-0000-0000-00007C800000}"/>
    <cellStyle name="40% - Accent4 7 2 2" xfId="31830" xr:uid="{00000000-0005-0000-0000-00007D800000}"/>
    <cellStyle name="40% - Accent4 7 2 2 2" xfId="31831" xr:uid="{00000000-0005-0000-0000-00007E800000}"/>
    <cellStyle name="40% - Accent4 7 2 3" xfId="31832" xr:uid="{00000000-0005-0000-0000-00007F800000}"/>
    <cellStyle name="40% - Accent4 7 3" xfId="31833" xr:uid="{00000000-0005-0000-0000-000080800000}"/>
    <cellStyle name="40% - Accent4 7 3 2" xfId="31834" xr:uid="{00000000-0005-0000-0000-000081800000}"/>
    <cellStyle name="40% - Accent4 7 3 2 2" xfId="31835" xr:uid="{00000000-0005-0000-0000-000082800000}"/>
    <cellStyle name="40% - Accent4 7 3 3" xfId="31836" xr:uid="{00000000-0005-0000-0000-000083800000}"/>
    <cellStyle name="40% - Accent4 7 4" xfId="31837" xr:uid="{00000000-0005-0000-0000-000084800000}"/>
    <cellStyle name="40% - Accent4 7 4 2" xfId="31838" xr:uid="{00000000-0005-0000-0000-000085800000}"/>
    <cellStyle name="40% - Accent4 7 4 2 2" xfId="31839" xr:uid="{00000000-0005-0000-0000-000086800000}"/>
    <cellStyle name="40% - Accent4 7 4 3" xfId="31840" xr:uid="{00000000-0005-0000-0000-000087800000}"/>
    <cellStyle name="40% - Accent4 7 5" xfId="31841" xr:uid="{00000000-0005-0000-0000-000088800000}"/>
    <cellStyle name="40% - Accent4 7 5 2" xfId="31842" xr:uid="{00000000-0005-0000-0000-000089800000}"/>
    <cellStyle name="40% - Accent4 7 5 2 2" xfId="31843" xr:uid="{00000000-0005-0000-0000-00008A800000}"/>
    <cellStyle name="40% - Accent4 7 5 3" xfId="31844" xr:uid="{00000000-0005-0000-0000-00008B800000}"/>
    <cellStyle name="40% - Accent4 7 6" xfId="31845" xr:uid="{00000000-0005-0000-0000-00008C800000}"/>
    <cellStyle name="40% - Accent4 7 6 2" xfId="31846" xr:uid="{00000000-0005-0000-0000-00008D800000}"/>
    <cellStyle name="40% - Accent4 7 6 2 2" xfId="31847" xr:uid="{00000000-0005-0000-0000-00008E800000}"/>
    <cellStyle name="40% - Accent4 7 6 3" xfId="31848" xr:uid="{00000000-0005-0000-0000-00008F800000}"/>
    <cellStyle name="40% - Accent4 7 7" xfId="31849" xr:uid="{00000000-0005-0000-0000-000090800000}"/>
    <cellStyle name="40% - Accent4 7 7 2" xfId="31850" xr:uid="{00000000-0005-0000-0000-000091800000}"/>
    <cellStyle name="40% - Accent4 7 7 2 2" xfId="31851" xr:uid="{00000000-0005-0000-0000-000092800000}"/>
    <cellStyle name="40% - Accent4 7 7 3" xfId="31852" xr:uid="{00000000-0005-0000-0000-000093800000}"/>
    <cellStyle name="40% - Accent4 7 8" xfId="31853" xr:uid="{00000000-0005-0000-0000-000094800000}"/>
    <cellStyle name="40% - Accent4 7 8 2" xfId="31854" xr:uid="{00000000-0005-0000-0000-000095800000}"/>
    <cellStyle name="40% - Accent4 7 9" xfId="31855" xr:uid="{00000000-0005-0000-0000-000096800000}"/>
    <cellStyle name="40% - Accent4 8" xfId="18335" xr:uid="{00000000-0005-0000-0000-000097800000}"/>
    <cellStyle name="40% - Accent4 8 2" xfId="31857" xr:uid="{00000000-0005-0000-0000-000098800000}"/>
    <cellStyle name="40% - Accent4 8 2 2" xfId="31858" xr:uid="{00000000-0005-0000-0000-000099800000}"/>
    <cellStyle name="40% - Accent4 8 3" xfId="31859" xr:uid="{00000000-0005-0000-0000-00009A800000}"/>
    <cellStyle name="40% - Accent4 8 4" xfId="31856" xr:uid="{00000000-0005-0000-0000-00009B800000}"/>
    <cellStyle name="40% - Accent4 9" xfId="23811" xr:uid="{00000000-0005-0000-0000-00009C800000}"/>
    <cellStyle name="40% - Accent4 9 10" xfId="31860" xr:uid="{00000000-0005-0000-0000-00009D800000}"/>
    <cellStyle name="40% - Accent4 9 2" xfId="31861" xr:uid="{00000000-0005-0000-0000-00009E800000}"/>
    <cellStyle name="40% - Accent4 9 2 2" xfId="31862" xr:uid="{00000000-0005-0000-0000-00009F800000}"/>
    <cellStyle name="40% - Accent4 9 2 2 2" xfId="31863" xr:uid="{00000000-0005-0000-0000-0000A0800000}"/>
    <cellStyle name="40% - Accent4 9 2 3" xfId="31864" xr:uid="{00000000-0005-0000-0000-0000A1800000}"/>
    <cellStyle name="40% - Accent4 9 3" xfId="31865" xr:uid="{00000000-0005-0000-0000-0000A2800000}"/>
    <cellStyle name="40% - Accent4 9 3 2" xfId="31866" xr:uid="{00000000-0005-0000-0000-0000A3800000}"/>
    <cellStyle name="40% - Accent4 9 3 2 2" xfId="31867" xr:uid="{00000000-0005-0000-0000-0000A4800000}"/>
    <cellStyle name="40% - Accent4 9 3 3" xfId="31868" xr:uid="{00000000-0005-0000-0000-0000A5800000}"/>
    <cellStyle name="40% - Accent4 9 4" xfId="31869" xr:uid="{00000000-0005-0000-0000-0000A6800000}"/>
    <cellStyle name="40% - Accent4 9 4 2" xfId="31870" xr:uid="{00000000-0005-0000-0000-0000A7800000}"/>
    <cellStyle name="40% - Accent4 9 4 2 2" xfId="31871" xr:uid="{00000000-0005-0000-0000-0000A8800000}"/>
    <cellStyle name="40% - Accent4 9 4 3" xfId="31872" xr:uid="{00000000-0005-0000-0000-0000A9800000}"/>
    <cellStyle name="40% - Accent4 9 5" xfId="31873" xr:uid="{00000000-0005-0000-0000-0000AA800000}"/>
    <cellStyle name="40% - Accent4 9 5 2" xfId="31874" xr:uid="{00000000-0005-0000-0000-0000AB800000}"/>
    <cellStyle name="40% - Accent4 9 5 2 2" xfId="31875" xr:uid="{00000000-0005-0000-0000-0000AC800000}"/>
    <cellStyle name="40% - Accent4 9 5 3" xfId="31876" xr:uid="{00000000-0005-0000-0000-0000AD800000}"/>
    <cellStyle name="40% - Accent4 9 6" xfId="31877" xr:uid="{00000000-0005-0000-0000-0000AE800000}"/>
    <cellStyle name="40% - Accent4 9 6 2" xfId="31878" xr:uid="{00000000-0005-0000-0000-0000AF800000}"/>
    <cellStyle name="40% - Accent4 9 6 2 2" xfId="31879" xr:uid="{00000000-0005-0000-0000-0000B0800000}"/>
    <cellStyle name="40% - Accent4 9 6 3" xfId="31880" xr:uid="{00000000-0005-0000-0000-0000B1800000}"/>
    <cellStyle name="40% - Accent4 9 7" xfId="31881" xr:uid="{00000000-0005-0000-0000-0000B2800000}"/>
    <cellStyle name="40% - Accent4 9 7 2" xfId="31882" xr:uid="{00000000-0005-0000-0000-0000B3800000}"/>
    <cellStyle name="40% - Accent4 9 7 2 2" xfId="31883" xr:uid="{00000000-0005-0000-0000-0000B4800000}"/>
    <cellStyle name="40% - Accent4 9 7 3" xfId="31884" xr:uid="{00000000-0005-0000-0000-0000B5800000}"/>
    <cellStyle name="40% - Accent4 9 8" xfId="31885" xr:uid="{00000000-0005-0000-0000-0000B6800000}"/>
    <cellStyle name="40% - Accent4 9 8 2" xfId="31886" xr:uid="{00000000-0005-0000-0000-0000B7800000}"/>
    <cellStyle name="40% - Accent4 9 9" xfId="31887" xr:uid="{00000000-0005-0000-0000-0000B8800000}"/>
    <cellStyle name="40% - Accent5" xfId="74" builtinId="47" customBuiltin="1"/>
    <cellStyle name="40% - Accent5 10" xfId="31888" xr:uid="{00000000-0005-0000-0000-0000BA800000}"/>
    <cellStyle name="40% - Accent5 10 2" xfId="31889" xr:uid="{00000000-0005-0000-0000-0000BB800000}"/>
    <cellStyle name="40% - Accent5 10 2 2" xfId="31890" xr:uid="{00000000-0005-0000-0000-0000BC800000}"/>
    <cellStyle name="40% - Accent5 10 2 2 2" xfId="31891" xr:uid="{00000000-0005-0000-0000-0000BD800000}"/>
    <cellStyle name="40% - Accent5 10 2 3" xfId="31892" xr:uid="{00000000-0005-0000-0000-0000BE800000}"/>
    <cellStyle name="40% - Accent5 10 3" xfId="31893" xr:uid="{00000000-0005-0000-0000-0000BF800000}"/>
    <cellStyle name="40% - Accent5 10 3 2" xfId="31894" xr:uid="{00000000-0005-0000-0000-0000C0800000}"/>
    <cellStyle name="40% - Accent5 10 3 2 2" xfId="31895" xr:uid="{00000000-0005-0000-0000-0000C1800000}"/>
    <cellStyle name="40% - Accent5 10 3 3" xfId="31896" xr:uid="{00000000-0005-0000-0000-0000C2800000}"/>
    <cellStyle name="40% - Accent5 10 4" xfId="31897" xr:uid="{00000000-0005-0000-0000-0000C3800000}"/>
    <cellStyle name="40% - Accent5 10 4 2" xfId="31898" xr:uid="{00000000-0005-0000-0000-0000C4800000}"/>
    <cellStyle name="40% - Accent5 10 5" xfId="31899" xr:uid="{00000000-0005-0000-0000-0000C5800000}"/>
    <cellStyle name="40% - Accent5 11" xfId="31900" xr:uid="{00000000-0005-0000-0000-0000C6800000}"/>
    <cellStyle name="40% - Accent5 11 2" xfId="31901" xr:uid="{00000000-0005-0000-0000-0000C7800000}"/>
    <cellStyle name="40% - Accent5 11 2 2" xfId="31902" xr:uid="{00000000-0005-0000-0000-0000C8800000}"/>
    <cellStyle name="40% - Accent5 11 3" xfId="31903" xr:uid="{00000000-0005-0000-0000-0000C9800000}"/>
    <cellStyle name="40% - Accent5 12" xfId="31904" xr:uid="{00000000-0005-0000-0000-0000CA800000}"/>
    <cellStyle name="40% - Accent5 12 2" xfId="31905" xr:uid="{00000000-0005-0000-0000-0000CB800000}"/>
    <cellStyle name="40% - Accent5 12 2 2" xfId="31906" xr:uid="{00000000-0005-0000-0000-0000CC800000}"/>
    <cellStyle name="40% - Accent5 12 3" xfId="31907" xr:uid="{00000000-0005-0000-0000-0000CD800000}"/>
    <cellStyle name="40% - Accent5 13" xfId="31908" xr:uid="{00000000-0005-0000-0000-0000CE800000}"/>
    <cellStyle name="40% - Accent5 13 2" xfId="31909" xr:uid="{00000000-0005-0000-0000-0000CF800000}"/>
    <cellStyle name="40% - Accent5 13 2 2" xfId="31910" xr:uid="{00000000-0005-0000-0000-0000D0800000}"/>
    <cellStyle name="40% - Accent5 13 3" xfId="31911" xr:uid="{00000000-0005-0000-0000-0000D1800000}"/>
    <cellStyle name="40% - Accent5 14" xfId="31912" xr:uid="{00000000-0005-0000-0000-0000D2800000}"/>
    <cellStyle name="40% - Accent5 14 2" xfId="31913" xr:uid="{00000000-0005-0000-0000-0000D3800000}"/>
    <cellStyle name="40% - Accent5 14 2 2" xfId="31914" xr:uid="{00000000-0005-0000-0000-0000D4800000}"/>
    <cellStyle name="40% - Accent5 14 3" xfId="31915" xr:uid="{00000000-0005-0000-0000-0000D5800000}"/>
    <cellStyle name="40% - Accent5 15" xfId="31916" xr:uid="{00000000-0005-0000-0000-0000D6800000}"/>
    <cellStyle name="40% - Accent5 15 2" xfId="31917" xr:uid="{00000000-0005-0000-0000-0000D7800000}"/>
    <cellStyle name="40% - Accent5 15 2 2" xfId="31918" xr:uid="{00000000-0005-0000-0000-0000D8800000}"/>
    <cellStyle name="40% - Accent5 15 3" xfId="31919" xr:uid="{00000000-0005-0000-0000-0000D9800000}"/>
    <cellStyle name="40% - Accent5 16" xfId="31920" xr:uid="{00000000-0005-0000-0000-0000DA800000}"/>
    <cellStyle name="40% - Accent5 16 2" xfId="31921" xr:uid="{00000000-0005-0000-0000-0000DB800000}"/>
    <cellStyle name="40% - Accent5 16 2 2" xfId="31922" xr:uid="{00000000-0005-0000-0000-0000DC800000}"/>
    <cellStyle name="40% - Accent5 16 2 2 2" xfId="31923" xr:uid="{00000000-0005-0000-0000-0000DD800000}"/>
    <cellStyle name="40% - Accent5 16 2 2 2 2" xfId="31924" xr:uid="{00000000-0005-0000-0000-0000DE800000}"/>
    <cellStyle name="40% - Accent5 16 2 2 2 2 2" xfId="31925" xr:uid="{00000000-0005-0000-0000-0000DF800000}"/>
    <cellStyle name="40% - Accent5 16 2 2 2 3" xfId="31926" xr:uid="{00000000-0005-0000-0000-0000E0800000}"/>
    <cellStyle name="40% - Accent5 16 2 2 3" xfId="31927" xr:uid="{00000000-0005-0000-0000-0000E1800000}"/>
    <cellStyle name="40% - Accent5 16 2 2 3 2" xfId="31928" xr:uid="{00000000-0005-0000-0000-0000E2800000}"/>
    <cellStyle name="40% - Accent5 16 2 2 3 2 2" xfId="31929" xr:uid="{00000000-0005-0000-0000-0000E3800000}"/>
    <cellStyle name="40% - Accent5 16 2 2 3 3" xfId="31930" xr:uid="{00000000-0005-0000-0000-0000E4800000}"/>
    <cellStyle name="40% - Accent5 16 2 2 4" xfId="31931" xr:uid="{00000000-0005-0000-0000-0000E5800000}"/>
    <cellStyle name="40% - Accent5 16 2 2 4 2" xfId="31932" xr:uid="{00000000-0005-0000-0000-0000E6800000}"/>
    <cellStyle name="40% - Accent5 16 2 2 5" xfId="31933" xr:uid="{00000000-0005-0000-0000-0000E7800000}"/>
    <cellStyle name="40% - Accent5 16 2 3" xfId="31934" xr:uid="{00000000-0005-0000-0000-0000E8800000}"/>
    <cellStyle name="40% - Accent5 16 2 3 2" xfId="31935" xr:uid="{00000000-0005-0000-0000-0000E9800000}"/>
    <cellStyle name="40% - Accent5 16 2 3 2 2" xfId="31936" xr:uid="{00000000-0005-0000-0000-0000EA800000}"/>
    <cellStyle name="40% - Accent5 16 2 3 2 2 2" xfId="31937" xr:uid="{00000000-0005-0000-0000-0000EB800000}"/>
    <cellStyle name="40% - Accent5 16 2 3 2 3" xfId="31938" xr:uid="{00000000-0005-0000-0000-0000EC800000}"/>
    <cellStyle name="40% - Accent5 16 2 3 3" xfId="31939" xr:uid="{00000000-0005-0000-0000-0000ED800000}"/>
    <cellStyle name="40% - Accent5 16 2 3 3 2" xfId="31940" xr:uid="{00000000-0005-0000-0000-0000EE800000}"/>
    <cellStyle name="40% - Accent5 16 2 3 3 2 2" xfId="31941" xr:uid="{00000000-0005-0000-0000-0000EF800000}"/>
    <cellStyle name="40% - Accent5 16 2 3 3 3" xfId="31942" xr:uid="{00000000-0005-0000-0000-0000F0800000}"/>
    <cellStyle name="40% - Accent5 16 2 3 4" xfId="31943" xr:uid="{00000000-0005-0000-0000-0000F1800000}"/>
    <cellStyle name="40% - Accent5 16 2 3 4 2" xfId="31944" xr:uid="{00000000-0005-0000-0000-0000F2800000}"/>
    <cellStyle name="40% - Accent5 16 2 3 5" xfId="31945" xr:uid="{00000000-0005-0000-0000-0000F3800000}"/>
    <cellStyle name="40% - Accent5 16 2 4" xfId="31946" xr:uid="{00000000-0005-0000-0000-0000F4800000}"/>
    <cellStyle name="40% - Accent5 16 2 4 2" xfId="31947" xr:uid="{00000000-0005-0000-0000-0000F5800000}"/>
    <cellStyle name="40% - Accent5 16 2 4 2 2" xfId="31948" xr:uid="{00000000-0005-0000-0000-0000F6800000}"/>
    <cellStyle name="40% - Accent5 16 2 4 2 2 2" xfId="31949" xr:uid="{00000000-0005-0000-0000-0000F7800000}"/>
    <cellStyle name="40% - Accent5 16 2 4 2 3" xfId="31950" xr:uid="{00000000-0005-0000-0000-0000F8800000}"/>
    <cellStyle name="40% - Accent5 16 2 4 3" xfId="31951" xr:uid="{00000000-0005-0000-0000-0000F9800000}"/>
    <cellStyle name="40% - Accent5 16 2 4 3 2" xfId="31952" xr:uid="{00000000-0005-0000-0000-0000FA800000}"/>
    <cellStyle name="40% - Accent5 16 2 4 3 2 2" xfId="31953" xr:uid="{00000000-0005-0000-0000-0000FB800000}"/>
    <cellStyle name="40% - Accent5 16 2 4 3 3" xfId="31954" xr:uid="{00000000-0005-0000-0000-0000FC800000}"/>
    <cellStyle name="40% - Accent5 16 2 4 4" xfId="31955" xr:uid="{00000000-0005-0000-0000-0000FD800000}"/>
    <cellStyle name="40% - Accent5 16 2 4 4 2" xfId="31956" xr:uid="{00000000-0005-0000-0000-0000FE800000}"/>
    <cellStyle name="40% - Accent5 16 2 4 5" xfId="31957" xr:uid="{00000000-0005-0000-0000-0000FF800000}"/>
    <cellStyle name="40% - Accent5 16 2 5" xfId="31958" xr:uid="{00000000-0005-0000-0000-000000810000}"/>
    <cellStyle name="40% - Accent5 16 2 5 2" xfId="31959" xr:uid="{00000000-0005-0000-0000-000001810000}"/>
    <cellStyle name="40% - Accent5 16 2 5 2 2" xfId="31960" xr:uid="{00000000-0005-0000-0000-000002810000}"/>
    <cellStyle name="40% - Accent5 16 2 5 2 2 2" xfId="31961" xr:uid="{00000000-0005-0000-0000-000003810000}"/>
    <cellStyle name="40% - Accent5 16 2 5 2 3" xfId="31962" xr:uid="{00000000-0005-0000-0000-000004810000}"/>
    <cellStyle name="40% - Accent5 16 2 5 3" xfId="31963" xr:uid="{00000000-0005-0000-0000-000005810000}"/>
    <cellStyle name="40% - Accent5 16 2 5 3 2" xfId="31964" xr:uid="{00000000-0005-0000-0000-000006810000}"/>
    <cellStyle name="40% - Accent5 16 2 5 4" xfId="31965" xr:uid="{00000000-0005-0000-0000-000007810000}"/>
    <cellStyle name="40% - Accent5 16 2 6" xfId="31966" xr:uid="{00000000-0005-0000-0000-000008810000}"/>
    <cellStyle name="40% - Accent5 16 2 6 2" xfId="31967" xr:uid="{00000000-0005-0000-0000-000009810000}"/>
    <cellStyle name="40% - Accent5 16 2 6 2 2" xfId="31968" xr:uid="{00000000-0005-0000-0000-00000A810000}"/>
    <cellStyle name="40% - Accent5 16 2 6 3" xfId="31969" xr:uid="{00000000-0005-0000-0000-00000B810000}"/>
    <cellStyle name="40% - Accent5 16 2 7" xfId="31970" xr:uid="{00000000-0005-0000-0000-00000C810000}"/>
    <cellStyle name="40% - Accent5 16 2 7 2" xfId="31971" xr:uid="{00000000-0005-0000-0000-00000D810000}"/>
    <cellStyle name="40% - Accent5 16 2 8" xfId="31972" xr:uid="{00000000-0005-0000-0000-00000E810000}"/>
    <cellStyle name="40% - Accent5 16 3" xfId="31973" xr:uid="{00000000-0005-0000-0000-00000F810000}"/>
    <cellStyle name="40% - Accent5 16 3 2" xfId="31974" xr:uid="{00000000-0005-0000-0000-000010810000}"/>
    <cellStyle name="40% - Accent5 16 3 2 2" xfId="31975" xr:uid="{00000000-0005-0000-0000-000011810000}"/>
    <cellStyle name="40% - Accent5 16 3 2 2 2" xfId="31976" xr:uid="{00000000-0005-0000-0000-000012810000}"/>
    <cellStyle name="40% - Accent5 16 3 2 3" xfId="31977" xr:uid="{00000000-0005-0000-0000-000013810000}"/>
    <cellStyle name="40% - Accent5 16 3 3" xfId="31978" xr:uid="{00000000-0005-0000-0000-000014810000}"/>
    <cellStyle name="40% - Accent5 16 3 3 2" xfId="31979" xr:uid="{00000000-0005-0000-0000-000015810000}"/>
    <cellStyle name="40% - Accent5 16 3 3 2 2" xfId="31980" xr:uid="{00000000-0005-0000-0000-000016810000}"/>
    <cellStyle name="40% - Accent5 16 3 3 3" xfId="31981" xr:uid="{00000000-0005-0000-0000-000017810000}"/>
    <cellStyle name="40% - Accent5 16 3 4" xfId="31982" xr:uid="{00000000-0005-0000-0000-000018810000}"/>
    <cellStyle name="40% - Accent5 16 3 4 2" xfId="31983" xr:uid="{00000000-0005-0000-0000-000019810000}"/>
    <cellStyle name="40% - Accent5 16 3 4 2 2" xfId="31984" xr:uid="{00000000-0005-0000-0000-00001A810000}"/>
    <cellStyle name="40% - Accent5 16 3 4 3" xfId="31985" xr:uid="{00000000-0005-0000-0000-00001B810000}"/>
    <cellStyle name="40% - Accent5 16 3 5" xfId="31986" xr:uid="{00000000-0005-0000-0000-00001C810000}"/>
    <cellStyle name="40% - Accent5 16 3 5 2" xfId="31987" xr:uid="{00000000-0005-0000-0000-00001D810000}"/>
    <cellStyle name="40% - Accent5 16 3 6" xfId="31988" xr:uid="{00000000-0005-0000-0000-00001E810000}"/>
    <cellStyle name="40% - Accent5 16 4" xfId="31989" xr:uid="{00000000-0005-0000-0000-00001F810000}"/>
    <cellStyle name="40% - Accent5 16 4 2" xfId="31990" xr:uid="{00000000-0005-0000-0000-000020810000}"/>
    <cellStyle name="40% - Accent5 16 4 2 2" xfId="31991" xr:uid="{00000000-0005-0000-0000-000021810000}"/>
    <cellStyle name="40% - Accent5 16 4 2 2 2" xfId="31992" xr:uid="{00000000-0005-0000-0000-000022810000}"/>
    <cellStyle name="40% - Accent5 16 4 2 3" xfId="31993" xr:uid="{00000000-0005-0000-0000-000023810000}"/>
    <cellStyle name="40% - Accent5 16 4 3" xfId="31994" xr:uid="{00000000-0005-0000-0000-000024810000}"/>
    <cellStyle name="40% - Accent5 16 4 3 2" xfId="31995" xr:uid="{00000000-0005-0000-0000-000025810000}"/>
    <cellStyle name="40% - Accent5 16 4 3 2 2" xfId="31996" xr:uid="{00000000-0005-0000-0000-000026810000}"/>
    <cellStyle name="40% - Accent5 16 4 3 3" xfId="31997" xr:uid="{00000000-0005-0000-0000-000027810000}"/>
    <cellStyle name="40% - Accent5 16 4 4" xfId="31998" xr:uid="{00000000-0005-0000-0000-000028810000}"/>
    <cellStyle name="40% - Accent5 16 4 4 2" xfId="31999" xr:uid="{00000000-0005-0000-0000-000029810000}"/>
    <cellStyle name="40% - Accent5 16 4 5" xfId="32000" xr:uid="{00000000-0005-0000-0000-00002A810000}"/>
    <cellStyle name="40% - Accent5 16 5" xfId="32001" xr:uid="{00000000-0005-0000-0000-00002B810000}"/>
    <cellStyle name="40% - Accent5 16 5 2" xfId="32002" xr:uid="{00000000-0005-0000-0000-00002C810000}"/>
    <cellStyle name="40% - Accent5 16 5 2 2" xfId="32003" xr:uid="{00000000-0005-0000-0000-00002D810000}"/>
    <cellStyle name="40% - Accent5 16 5 2 2 2" xfId="32004" xr:uid="{00000000-0005-0000-0000-00002E810000}"/>
    <cellStyle name="40% - Accent5 16 5 2 3" xfId="32005" xr:uid="{00000000-0005-0000-0000-00002F810000}"/>
    <cellStyle name="40% - Accent5 16 5 3" xfId="32006" xr:uid="{00000000-0005-0000-0000-000030810000}"/>
    <cellStyle name="40% - Accent5 16 5 3 2" xfId="32007" xr:uid="{00000000-0005-0000-0000-000031810000}"/>
    <cellStyle name="40% - Accent5 16 5 3 2 2" xfId="32008" xr:uid="{00000000-0005-0000-0000-000032810000}"/>
    <cellStyle name="40% - Accent5 16 5 3 3" xfId="32009" xr:uid="{00000000-0005-0000-0000-000033810000}"/>
    <cellStyle name="40% - Accent5 16 5 4" xfId="32010" xr:uid="{00000000-0005-0000-0000-000034810000}"/>
    <cellStyle name="40% - Accent5 16 5 4 2" xfId="32011" xr:uid="{00000000-0005-0000-0000-000035810000}"/>
    <cellStyle name="40% - Accent5 16 5 5" xfId="32012" xr:uid="{00000000-0005-0000-0000-000036810000}"/>
    <cellStyle name="40% - Accent5 16 6" xfId="32013" xr:uid="{00000000-0005-0000-0000-000037810000}"/>
    <cellStyle name="40% - Accent5 16 6 2" xfId="32014" xr:uid="{00000000-0005-0000-0000-000038810000}"/>
    <cellStyle name="40% - Accent5 16 6 2 2" xfId="32015" xr:uid="{00000000-0005-0000-0000-000039810000}"/>
    <cellStyle name="40% - Accent5 16 6 2 2 2" xfId="32016" xr:uid="{00000000-0005-0000-0000-00003A810000}"/>
    <cellStyle name="40% - Accent5 16 6 2 3" xfId="32017" xr:uid="{00000000-0005-0000-0000-00003B810000}"/>
    <cellStyle name="40% - Accent5 16 6 3" xfId="32018" xr:uid="{00000000-0005-0000-0000-00003C810000}"/>
    <cellStyle name="40% - Accent5 16 6 3 2" xfId="32019" xr:uid="{00000000-0005-0000-0000-00003D810000}"/>
    <cellStyle name="40% - Accent5 16 6 4" xfId="32020" xr:uid="{00000000-0005-0000-0000-00003E810000}"/>
    <cellStyle name="40% - Accent5 16 7" xfId="32021" xr:uid="{00000000-0005-0000-0000-00003F810000}"/>
    <cellStyle name="40% - Accent5 16 7 2" xfId="32022" xr:uid="{00000000-0005-0000-0000-000040810000}"/>
    <cellStyle name="40% - Accent5 16 7 2 2" xfId="32023" xr:uid="{00000000-0005-0000-0000-000041810000}"/>
    <cellStyle name="40% - Accent5 16 7 3" xfId="32024" xr:uid="{00000000-0005-0000-0000-000042810000}"/>
    <cellStyle name="40% - Accent5 16 8" xfId="32025" xr:uid="{00000000-0005-0000-0000-000043810000}"/>
    <cellStyle name="40% - Accent5 16 8 2" xfId="32026" xr:uid="{00000000-0005-0000-0000-000044810000}"/>
    <cellStyle name="40% - Accent5 16 9" xfId="32027" xr:uid="{00000000-0005-0000-0000-000045810000}"/>
    <cellStyle name="40% - Accent5 17" xfId="32028" xr:uid="{00000000-0005-0000-0000-000046810000}"/>
    <cellStyle name="40% - Accent5 17 2" xfId="32029" xr:uid="{00000000-0005-0000-0000-000047810000}"/>
    <cellStyle name="40% - Accent5 17 2 2" xfId="32030" xr:uid="{00000000-0005-0000-0000-000048810000}"/>
    <cellStyle name="40% - Accent5 17 2 2 2" xfId="32031" xr:uid="{00000000-0005-0000-0000-000049810000}"/>
    <cellStyle name="40% - Accent5 17 2 2 2 2" xfId="32032" xr:uid="{00000000-0005-0000-0000-00004A810000}"/>
    <cellStyle name="40% - Accent5 17 2 2 3" xfId="32033" xr:uid="{00000000-0005-0000-0000-00004B810000}"/>
    <cellStyle name="40% - Accent5 17 2 3" xfId="32034" xr:uid="{00000000-0005-0000-0000-00004C810000}"/>
    <cellStyle name="40% - Accent5 17 2 3 2" xfId="32035" xr:uid="{00000000-0005-0000-0000-00004D810000}"/>
    <cellStyle name="40% - Accent5 17 2 3 2 2" xfId="32036" xr:uid="{00000000-0005-0000-0000-00004E810000}"/>
    <cellStyle name="40% - Accent5 17 2 3 3" xfId="32037" xr:uid="{00000000-0005-0000-0000-00004F810000}"/>
    <cellStyle name="40% - Accent5 17 2 4" xfId="32038" xr:uid="{00000000-0005-0000-0000-000050810000}"/>
    <cellStyle name="40% - Accent5 17 2 4 2" xfId="32039" xr:uid="{00000000-0005-0000-0000-000051810000}"/>
    <cellStyle name="40% - Accent5 17 2 5" xfId="32040" xr:uid="{00000000-0005-0000-0000-000052810000}"/>
    <cellStyle name="40% - Accent5 17 3" xfId="32041" xr:uid="{00000000-0005-0000-0000-000053810000}"/>
    <cellStyle name="40% - Accent5 17 3 2" xfId="32042" xr:uid="{00000000-0005-0000-0000-000054810000}"/>
    <cellStyle name="40% - Accent5 17 3 2 2" xfId="32043" xr:uid="{00000000-0005-0000-0000-000055810000}"/>
    <cellStyle name="40% - Accent5 17 3 2 2 2" xfId="32044" xr:uid="{00000000-0005-0000-0000-000056810000}"/>
    <cellStyle name="40% - Accent5 17 3 2 3" xfId="32045" xr:uid="{00000000-0005-0000-0000-000057810000}"/>
    <cellStyle name="40% - Accent5 17 3 3" xfId="32046" xr:uid="{00000000-0005-0000-0000-000058810000}"/>
    <cellStyle name="40% - Accent5 17 3 3 2" xfId="32047" xr:uid="{00000000-0005-0000-0000-000059810000}"/>
    <cellStyle name="40% - Accent5 17 3 3 2 2" xfId="32048" xr:uid="{00000000-0005-0000-0000-00005A810000}"/>
    <cellStyle name="40% - Accent5 17 3 3 3" xfId="32049" xr:uid="{00000000-0005-0000-0000-00005B810000}"/>
    <cellStyle name="40% - Accent5 17 3 4" xfId="32050" xr:uid="{00000000-0005-0000-0000-00005C810000}"/>
    <cellStyle name="40% - Accent5 17 3 4 2" xfId="32051" xr:uid="{00000000-0005-0000-0000-00005D810000}"/>
    <cellStyle name="40% - Accent5 17 3 5" xfId="32052" xr:uid="{00000000-0005-0000-0000-00005E810000}"/>
    <cellStyle name="40% - Accent5 17 4" xfId="32053" xr:uid="{00000000-0005-0000-0000-00005F810000}"/>
    <cellStyle name="40% - Accent5 17 4 2" xfId="32054" xr:uid="{00000000-0005-0000-0000-000060810000}"/>
    <cellStyle name="40% - Accent5 17 4 2 2" xfId="32055" xr:uid="{00000000-0005-0000-0000-000061810000}"/>
    <cellStyle name="40% - Accent5 17 4 2 2 2" xfId="32056" xr:uid="{00000000-0005-0000-0000-000062810000}"/>
    <cellStyle name="40% - Accent5 17 4 2 3" xfId="32057" xr:uid="{00000000-0005-0000-0000-000063810000}"/>
    <cellStyle name="40% - Accent5 17 4 3" xfId="32058" xr:uid="{00000000-0005-0000-0000-000064810000}"/>
    <cellStyle name="40% - Accent5 17 4 3 2" xfId="32059" xr:uid="{00000000-0005-0000-0000-000065810000}"/>
    <cellStyle name="40% - Accent5 17 4 3 2 2" xfId="32060" xr:uid="{00000000-0005-0000-0000-000066810000}"/>
    <cellStyle name="40% - Accent5 17 4 3 3" xfId="32061" xr:uid="{00000000-0005-0000-0000-000067810000}"/>
    <cellStyle name="40% - Accent5 17 4 4" xfId="32062" xr:uid="{00000000-0005-0000-0000-000068810000}"/>
    <cellStyle name="40% - Accent5 17 4 4 2" xfId="32063" xr:uid="{00000000-0005-0000-0000-000069810000}"/>
    <cellStyle name="40% - Accent5 17 4 5" xfId="32064" xr:uid="{00000000-0005-0000-0000-00006A810000}"/>
    <cellStyle name="40% - Accent5 17 5" xfId="32065" xr:uid="{00000000-0005-0000-0000-00006B810000}"/>
    <cellStyle name="40% - Accent5 17 5 2" xfId="32066" xr:uid="{00000000-0005-0000-0000-00006C810000}"/>
    <cellStyle name="40% - Accent5 17 5 2 2" xfId="32067" xr:uid="{00000000-0005-0000-0000-00006D810000}"/>
    <cellStyle name="40% - Accent5 17 5 2 2 2" xfId="32068" xr:uid="{00000000-0005-0000-0000-00006E810000}"/>
    <cellStyle name="40% - Accent5 17 5 2 3" xfId="32069" xr:uid="{00000000-0005-0000-0000-00006F810000}"/>
    <cellStyle name="40% - Accent5 17 5 3" xfId="32070" xr:uid="{00000000-0005-0000-0000-000070810000}"/>
    <cellStyle name="40% - Accent5 17 5 3 2" xfId="32071" xr:uid="{00000000-0005-0000-0000-000071810000}"/>
    <cellStyle name="40% - Accent5 17 5 4" xfId="32072" xr:uid="{00000000-0005-0000-0000-000072810000}"/>
    <cellStyle name="40% - Accent5 17 6" xfId="32073" xr:uid="{00000000-0005-0000-0000-000073810000}"/>
    <cellStyle name="40% - Accent5 17 6 2" xfId="32074" xr:uid="{00000000-0005-0000-0000-000074810000}"/>
    <cellStyle name="40% - Accent5 17 6 2 2" xfId="32075" xr:uid="{00000000-0005-0000-0000-000075810000}"/>
    <cellStyle name="40% - Accent5 17 6 3" xfId="32076" xr:uid="{00000000-0005-0000-0000-000076810000}"/>
    <cellStyle name="40% - Accent5 17 7" xfId="32077" xr:uid="{00000000-0005-0000-0000-000077810000}"/>
    <cellStyle name="40% - Accent5 17 7 2" xfId="32078" xr:uid="{00000000-0005-0000-0000-000078810000}"/>
    <cellStyle name="40% - Accent5 17 8" xfId="32079" xr:uid="{00000000-0005-0000-0000-000079810000}"/>
    <cellStyle name="40% - Accent5 18" xfId="32080" xr:uid="{00000000-0005-0000-0000-00007A810000}"/>
    <cellStyle name="40% - Accent5 18 2" xfId="32081" xr:uid="{00000000-0005-0000-0000-00007B810000}"/>
    <cellStyle name="40% - Accent5 18 2 2" xfId="32082" xr:uid="{00000000-0005-0000-0000-00007C810000}"/>
    <cellStyle name="40% - Accent5 18 2 2 2" xfId="32083" xr:uid="{00000000-0005-0000-0000-00007D810000}"/>
    <cellStyle name="40% - Accent5 18 2 2 2 2" xfId="32084" xr:uid="{00000000-0005-0000-0000-00007E810000}"/>
    <cellStyle name="40% - Accent5 18 2 2 3" xfId="32085" xr:uid="{00000000-0005-0000-0000-00007F810000}"/>
    <cellStyle name="40% - Accent5 18 2 3" xfId="32086" xr:uid="{00000000-0005-0000-0000-000080810000}"/>
    <cellStyle name="40% - Accent5 18 2 3 2" xfId="32087" xr:uid="{00000000-0005-0000-0000-000081810000}"/>
    <cellStyle name="40% - Accent5 18 2 4" xfId="32088" xr:uid="{00000000-0005-0000-0000-000082810000}"/>
    <cellStyle name="40% - Accent5 18 3" xfId="32089" xr:uid="{00000000-0005-0000-0000-000083810000}"/>
    <cellStyle name="40% - Accent5 18 3 2" xfId="32090" xr:uid="{00000000-0005-0000-0000-000084810000}"/>
    <cellStyle name="40% - Accent5 18 3 2 2" xfId="32091" xr:uid="{00000000-0005-0000-0000-000085810000}"/>
    <cellStyle name="40% - Accent5 18 3 2 2 2" xfId="32092" xr:uid="{00000000-0005-0000-0000-000086810000}"/>
    <cellStyle name="40% - Accent5 18 3 2 3" xfId="32093" xr:uid="{00000000-0005-0000-0000-000087810000}"/>
    <cellStyle name="40% - Accent5 18 3 3" xfId="32094" xr:uid="{00000000-0005-0000-0000-000088810000}"/>
    <cellStyle name="40% - Accent5 18 3 3 2" xfId="32095" xr:uid="{00000000-0005-0000-0000-000089810000}"/>
    <cellStyle name="40% - Accent5 18 3 4" xfId="32096" xr:uid="{00000000-0005-0000-0000-00008A810000}"/>
    <cellStyle name="40% - Accent5 18 4" xfId="32097" xr:uid="{00000000-0005-0000-0000-00008B810000}"/>
    <cellStyle name="40% - Accent5 18 4 2" xfId="32098" xr:uid="{00000000-0005-0000-0000-00008C810000}"/>
    <cellStyle name="40% - Accent5 18 4 2 2" xfId="32099" xr:uid="{00000000-0005-0000-0000-00008D810000}"/>
    <cellStyle name="40% - Accent5 18 4 3" xfId="32100" xr:uid="{00000000-0005-0000-0000-00008E810000}"/>
    <cellStyle name="40% - Accent5 18 5" xfId="32101" xr:uid="{00000000-0005-0000-0000-00008F810000}"/>
    <cellStyle name="40% - Accent5 18 5 2" xfId="32102" xr:uid="{00000000-0005-0000-0000-000090810000}"/>
    <cellStyle name="40% - Accent5 18 6" xfId="32103" xr:uid="{00000000-0005-0000-0000-000091810000}"/>
    <cellStyle name="40% - Accent5 19" xfId="32104" xr:uid="{00000000-0005-0000-0000-000092810000}"/>
    <cellStyle name="40% - Accent5 19 2" xfId="32105" xr:uid="{00000000-0005-0000-0000-000093810000}"/>
    <cellStyle name="40% - Accent5 19 2 2" xfId="32106" xr:uid="{00000000-0005-0000-0000-000094810000}"/>
    <cellStyle name="40% - Accent5 19 3" xfId="32107" xr:uid="{00000000-0005-0000-0000-000095810000}"/>
    <cellStyle name="40% - Accent5 2" xfId="93" xr:uid="{00000000-0005-0000-0000-000096810000}"/>
    <cellStyle name="40% - Accent5 2 10" xfId="1005" xr:uid="{00000000-0005-0000-0000-000097810000}"/>
    <cellStyle name="40% - Accent5 2 10 10" xfId="45814" xr:uid="{00000000-0005-0000-0000-000098810000}"/>
    <cellStyle name="40% - Accent5 2 10 11" xfId="51292" xr:uid="{00000000-0005-0000-0000-000099810000}"/>
    <cellStyle name="40% - Accent5 2 10 2" xfId="2766" xr:uid="{00000000-0005-0000-0000-00009A810000}"/>
    <cellStyle name="40% - Accent5 2 10 2 2" xfId="8246" xr:uid="{00000000-0005-0000-0000-00009B810000}"/>
    <cellStyle name="40% - Accent5 2 10 2 3" xfId="13722" xr:uid="{00000000-0005-0000-0000-00009C810000}"/>
    <cellStyle name="40% - Accent5 2 10 2 4" xfId="19198" xr:uid="{00000000-0005-0000-0000-00009D810000}"/>
    <cellStyle name="40% - Accent5 2 10 2 5" xfId="24674" xr:uid="{00000000-0005-0000-0000-00009E810000}"/>
    <cellStyle name="40% - Accent5 2 10 2 6" xfId="36470" xr:uid="{00000000-0005-0000-0000-00009F810000}"/>
    <cellStyle name="40% - Accent5 2 10 2 7" xfId="41947" xr:uid="{00000000-0005-0000-0000-0000A0810000}"/>
    <cellStyle name="40% - Accent5 2 10 2 8" xfId="47424" xr:uid="{00000000-0005-0000-0000-0000A1810000}"/>
    <cellStyle name="40% - Accent5 2 10 2 9" xfId="52942" xr:uid="{00000000-0005-0000-0000-0000A2810000}"/>
    <cellStyle name="40% - Accent5 2 10 3" xfId="4538" xr:uid="{00000000-0005-0000-0000-0000A3810000}"/>
    <cellStyle name="40% - Accent5 2 10 3 2" xfId="10018" xr:uid="{00000000-0005-0000-0000-0000A4810000}"/>
    <cellStyle name="40% - Accent5 2 10 3 3" xfId="15494" xr:uid="{00000000-0005-0000-0000-0000A5810000}"/>
    <cellStyle name="40% - Accent5 2 10 3 4" xfId="20970" xr:uid="{00000000-0005-0000-0000-0000A6810000}"/>
    <cellStyle name="40% - Accent5 2 10 3 5" xfId="26446" xr:uid="{00000000-0005-0000-0000-0000A7810000}"/>
    <cellStyle name="40% - Accent5 2 10 3 6" xfId="38242" xr:uid="{00000000-0005-0000-0000-0000A8810000}"/>
    <cellStyle name="40% - Accent5 2 10 3 7" xfId="43719" xr:uid="{00000000-0005-0000-0000-0000A9810000}"/>
    <cellStyle name="40% - Accent5 2 10 3 8" xfId="49196" xr:uid="{00000000-0005-0000-0000-0000AA810000}"/>
    <cellStyle name="40% - Accent5 2 10 3 9" xfId="54714" xr:uid="{00000000-0005-0000-0000-0000AB810000}"/>
    <cellStyle name="40% - Accent5 2 10 4" xfId="6633" xr:uid="{00000000-0005-0000-0000-0000AC810000}"/>
    <cellStyle name="40% - Accent5 2 10 5" xfId="12113" xr:uid="{00000000-0005-0000-0000-0000AD810000}"/>
    <cellStyle name="40% - Accent5 2 10 6" xfId="17589" xr:uid="{00000000-0005-0000-0000-0000AE810000}"/>
    <cellStyle name="40% - Accent5 2 10 7" xfId="23065" xr:uid="{00000000-0005-0000-0000-0000AF810000}"/>
    <cellStyle name="40% - Accent5 2 10 8" xfId="34860" xr:uid="{00000000-0005-0000-0000-0000B0810000}"/>
    <cellStyle name="40% - Accent5 2 10 9" xfId="40337" xr:uid="{00000000-0005-0000-0000-0000B1810000}"/>
    <cellStyle name="40% - Accent5 2 11" xfId="1022" xr:uid="{00000000-0005-0000-0000-0000B2810000}"/>
    <cellStyle name="40% - Accent5 2 11 10" xfId="45815" xr:uid="{00000000-0005-0000-0000-0000B3810000}"/>
    <cellStyle name="40% - Accent5 2 11 11" xfId="51293" xr:uid="{00000000-0005-0000-0000-0000B4810000}"/>
    <cellStyle name="40% - Accent5 2 11 2" xfId="2783" xr:uid="{00000000-0005-0000-0000-0000B5810000}"/>
    <cellStyle name="40% - Accent5 2 11 2 2" xfId="8263" xr:uid="{00000000-0005-0000-0000-0000B6810000}"/>
    <cellStyle name="40% - Accent5 2 11 2 3" xfId="13739" xr:uid="{00000000-0005-0000-0000-0000B7810000}"/>
    <cellStyle name="40% - Accent5 2 11 2 4" xfId="19215" xr:uid="{00000000-0005-0000-0000-0000B8810000}"/>
    <cellStyle name="40% - Accent5 2 11 2 5" xfId="24691" xr:uid="{00000000-0005-0000-0000-0000B9810000}"/>
    <cellStyle name="40% - Accent5 2 11 2 6" xfId="36487" xr:uid="{00000000-0005-0000-0000-0000BA810000}"/>
    <cellStyle name="40% - Accent5 2 11 2 7" xfId="41964" xr:uid="{00000000-0005-0000-0000-0000BB810000}"/>
    <cellStyle name="40% - Accent5 2 11 2 8" xfId="47441" xr:uid="{00000000-0005-0000-0000-0000BC810000}"/>
    <cellStyle name="40% - Accent5 2 11 2 9" xfId="52959" xr:uid="{00000000-0005-0000-0000-0000BD810000}"/>
    <cellStyle name="40% - Accent5 2 11 3" xfId="4555" xr:uid="{00000000-0005-0000-0000-0000BE810000}"/>
    <cellStyle name="40% - Accent5 2 11 3 2" xfId="10035" xr:uid="{00000000-0005-0000-0000-0000BF810000}"/>
    <cellStyle name="40% - Accent5 2 11 3 3" xfId="15511" xr:uid="{00000000-0005-0000-0000-0000C0810000}"/>
    <cellStyle name="40% - Accent5 2 11 3 4" xfId="20987" xr:uid="{00000000-0005-0000-0000-0000C1810000}"/>
    <cellStyle name="40% - Accent5 2 11 3 5" xfId="26463" xr:uid="{00000000-0005-0000-0000-0000C2810000}"/>
    <cellStyle name="40% - Accent5 2 11 3 6" xfId="38259" xr:uid="{00000000-0005-0000-0000-0000C3810000}"/>
    <cellStyle name="40% - Accent5 2 11 3 7" xfId="43736" xr:uid="{00000000-0005-0000-0000-0000C4810000}"/>
    <cellStyle name="40% - Accent5 2 11 3 8" xfId="49213" xr:uid="{00000000-0005-0000-0000-0000C5810000}"/>
    <cellStyle name="40% - Accent5 2 11 3 9" xfId="54731" xr:uid="{00000000-0005-0000-0000-0000C6810000}"/>
    <cellStyle name="40% - Accent5 2 11 4" xfId="6634" xr:uid="{00000000-0005-0000-0000-0000C7810000}"/>
    <cellStyle name="40% - Accent5 2 11 5" xfId="12114" xr:uid="{00000000-0005-0000-0000-0000C8810000}"/>
    <cellStyle name="40% - Accent5 2 11 6" xfId="17590" xr:uid="{00000000-0005-0000-0000-0000C9810000}"/>
    <cellStyle name="40% - Accent5 2 11 7" xfId="23066" xr:uid="{00000000-0005-0000-0000-0000CA810000}"/>
    <cellStyle name="40% - Accent5 2 11 8" xfId="34861" xr:uid="{00000000-0005-0000-0000-0000CB810000}"/>
    <cellStyle name="40% - Accent5 2 11 9" xfId="40338" xr:uid="{00000000-0005-0000-0000-0000CC810000}"/>
    <cellStyle name="40% - Accent5 2 12" xfId="1129" xr:uid="{00000000-0005-0000-0000-0000CD810000}"/>
    <cellStyle name="40% - Accent5 2 12 10" xfId="45816" xr:uid="{00000000-0005-0000-0000-0000CE810000}"/>
    <cellStyle name="40% - Accent5 2 12 11" xfId="51294" xr:uid="{00000000-0005-0000-0000-0000CF810000}"/>
    <cellStyle name="40% - Accent5 2 12 2" xfId="2890" xr:uid="{00000000-0005-0000-0000-0000D0810000}"/>
    <cellStyle name="40% - Accent5 2 12 2 2" xfId="8370" xr:uid="{00000000-0005-0000-0000-0000D1810000}"/>
    <cellStyle name="40% - Accent5 2 12 2 3" xfId="13846" xr:uid="{00000000-0005-0000-0000-0000D2810000}"/>
    <cellStyle name="40% - Accent5 2 12 2 4" xfId="19322" xr:uid="{00000000-0005-0000-0000-0000D3810000}"/>
    <cellStyle name="40% - Accent5 2 12 2 5" xfId="24798" xr:uid="{00000000-0005-0000-0000-0000D4810000}"/>
    <cellStyle name="40% - Accent5 2 12 2 6" xfId="36594" xr:uid="{00000000-0005-0000-0000-0000D5810000}"/>
    <cellStyle name="40% - Accent5 2 12 2 7" xfId="42071" xr:uid="{00000000-0005-0000-0000-0000D6810000}"/>
    <cellStyle name="40% - Accent5 2 12 2 8" xfId="47548" xr:uid="{00000000-0005-0000-0000-0000D7810000}"/>
    <cellStyle name="40% - Accent5 2 12 2 9" xfId="53066" xr:uid="{00000000-0005-0000-0000-0000D8810000}"/>
    <cellStyle name="40% - Accent5 2 12 3" xfId="4662" xr:uid="{00000000-0005-0000-0000-0000D9810000}"/>
    <cellStyle name="40% - Accent5 2 12 3 2" xfId="10142" xr:uid="{00000000-0005-0000-0000-0000DA810000}"/>
    <cellStyle name="40% - Accent5 2 12 3 3" xfId="15618" xr:uid="{00000000-0005-0000-0000-0000DB810000}"/>
    <cellStyle name="40% - Accent5 2 12 3 4" xfId="21094" xr:uid="{00000000-0005-0000-0000-0000DC810000}"/>
    <cellStyle name="40% - Accent5 2 12 3 5" xfId="26570" xr:uid="{00000000-0005-0000-0000-0000DD810000}"/>
    <cellStyle name="40% - Accent5 2 12 3 6" xfId="38366" xr:uid="{00000000-0005-0000-0000-0000DE810000}"/>
    <cellStyle name="40% - Accent5 2 12 3 7" xfId="43843" xr:uid="{00000000-0005-0000-0000-0000DF810000}"/>
    <cellStyle name="40% - Accent5 2 12 3 8" xfId="49320" xr:uid="{00000000-0005-0000-0000-0000E0810000}"/>
    <cellStyle name="40% - Accent5 2 12 3 9" xfId="54838" xr:uid="{00000000-0005-0000-0000-0000E1810000}"/>
    <cellStyle name="40% - Accent5 2 12 4" xfId="6635" xr:uid="{00000000-0005-0000-0000-0000E2810000}"/>
    <cellStyle name="40% - Accent5 2 12 5" xfId="12115" xr:uid="{00000000-0005-0000-0000-0000E3810000}"/>
    <cellStyle name="40% - Accent5 2 12 6" xfId="17591" xr:uid="{00000000-0005-0000-0000-0000E4810000}"/>
    <cellStyle name="40% - Accent5 2 12 7" xfId="23067" xr:uid="{00000000-0005-0000-0000-0000E5810000}"/>
    <cellStyle name="40% - Accent5 2 12 8" xfId="34862" xr:uid="{00000000-0005-0000-0000-0000E6810000}"/>
    <cellStyle name="40% - Accent5 2 12 9" xfId="40339" xr:uid="{00000000-0005-0000-0000-0000E7810000}"/>
    <cellStyle name="40% - Accent5 2 13" xfId="1301" xr:uid="{00000000-0005-0000-0000-0000E8810000}"/>
    <cellStyle name="40% - Accent5 2 13 10" xfId="45817" xr:uid="{00000000-0005-0000-0000-0000E9810000}"/>
    <cellStyle name="40% - Accent5 2 13 11" xfId="51295" xr:uid="{00000000-0005-0000-0000-0000EA810000}"/>
    <cellStyle name="40% - Accent5 2 13 2" xfId="3062" xr:uid="{00000000-0005-0000-0000-0000EB810000}"/>
    <cellStyle name="40% - Accent5 2 13 2 2" xfId="8542" xr:uid="{00000000-0005-0000-0000-0000EC810000}"/>
    <cellStyle name="40% - Accent5 2 13 2 3" xfId="14018" xr:uid="{00000000-0005-0000-0000-0000ED810000}"/>
    <cellStyle name="40% - Accent5 2 13 2 4" xfId="19494" xr:uid="{00000000-0005-0000-0000-0000EE810000}"/>
    <cellStyle name="40% - Accent5 2 13 2 5" xfId="24970" xr:uid="{00000000-0005-0000-0000-0000EF810000}"/>
    <cellStyle name="40% - Accent5 2 13 2 6" xfId="36766" xr:uid="{00000000-0005-0000-0000-0000F0810000}"/>
    <cellStyle name="40% - Accent5 2 13 2 7" xfId="42243" xr:uid="{00000000-0005-0000-0000-0000F1810000}"/>
    <cellStyle name="40% - Accent5 2 13 2 8" xfId="47720" xr:uid="{00000000-0005-0000-0000-0000F2810000}"/>
    <cellStyle name="40% - Accent5 2 13 2 9" xfId="53238" xr:uid="{00000000-0005-0000-0000-0000F3810000}"/>
    <cellStyle name="40% - Accent5 2 13 3" xfId="4834" xr:uid="{00000000-0005-0000-0000-0000F4810000}"/>
    <cellStyle name="40% - Accent5 2 13 3 2" xfId="10314" xr:uid="{00000000-0005-0000-0000-0000F5810000}"/>
    <cellStyle name="40% - Accent5 2 13 3 3" xfId="15790" xr:uid="{00000000-0005-0000-0000-0000F6810000}"/>
    <cellStyle name="40% - Accent5 2 13 3 4" xfId="21266" xr:uid="{00000000-0005-0000-0000-0000F7810000}"/>
    <cellStyle name="40% - Accent5 2 13 3 5" xfId="26742" xr:uid="{00000000-0005-0000-0000-0000F8810000}"/>
    <cellStyle name="40% - Accent5 2 13 3 6" xfId="38538" xr:uid="{00000000-0005-0000-0000-0000F9810000}"/>
    <cellStyle name="40% - Accent5 2 13 3 7" xfId="44015" xr:uid="{00000000-0005-0000-0000-0000FA810000}"/>
    <cellStyle name="40% - Accent5 2 13 3 8" xfId="49492" xr:uid="{00000000-0005-0000-0000-0000FB810000}"/>
    <cellStyle name="40% - Accent5 2 13 3 9" xfId="55010" xr:uid="{00000000-0005-0000-0000-0000FC810000}"/>
    <cellStyle name="40% - Accent5 2 13 4" xfId="6636" xr:uid="{00000000-0005-0000-0000-0000FD810000}"/>
    <cellStyle name="40% - Accent5 2 13 5" xfId="12116" xr:uid="{00000000-0005-0000-0000-0000FE810000}"/>
    <cellStyle name="40% - Accent5 2 13 6" xfId="17592" xr:uid="{00000000-0005-0000-0000-0000FF810000}"/>
    <cellStyle name="40% - Accent5 2 13 7" xfId="23068" xr:uid="{00000000-0005-0000-0000-000000820000}"/>
    <cellStyle name="40% - Accent5 2 13 8" xfId="34863" xr:uid="{00000000-0005-0000-0000-000001820000}"/>
    <cellStyle name="40% - Accent5 2 13 9" xfId="40340" xr:uid="{00000000-0005-0000-0000-000002820000}"/>
    <cellStyle name="40% - Accent5 2 14" xfId="1473" xr:uid="{00000000-0005-0000-0000-000003820000}"/>
    <cellStyle name="40% - Accent5 2 14 10" xfId="45818" xr:uid="{00000000-0005-0000-0000-000004820000}"/>
    <cellStyle name="40% - Accent5 2 14 11" xfId="51296" xr:uid="{00000000-0005-0000-0000-000005820000}"/>
    <cellStyle name="40% - Accent5 2 14 2" xfId="3234" xr:uid="{00000000-0005-0000-0000-000006820000}"/>
    <cellStyle name="40% - Accent5 2 14 2 2" xfId="8714" xr:uid="{00000000-0005-0000-0000-000007820000}"/>
    <cellStyle name="40% - Accent5 2 14 2 3" xfId="14190" xr:uid="{00000000-0005-0000-0000-000008820000}"/>
    <cellStyle name="40% - Accent5 2 14 2 4" xfId="19666" xr:uid="{00000000-0005-0000-0000-000009820000}"/>
    <cellStyle name="40% - Accent5 2 14 2 5" xfId="25142" xr:uid="{00000000-0005-0000-0000-00000A820000}"/>
    <cellStyle name="40% - Accent5 2 14 2 6" xfId="36938" xr:uid="{00000000-0005-0000-0000-00000B820000}"/>
    <cellStyle name="40% - Accent5 2 14 2 7" xfId="42415" xr:uid="{00000000-0005-0000-0000-00000C820000}"/>
    <cellStyle name="40% - Accent5 2 14 2 8" xfId="47892" xr:uid="{00000000-0005-0000-0000-00000D820000}"/>
    <cellStyle name="40% - Accent5 2 14 2 9" xfId="53410" xr:uid="{00000000-0005-0000-0000-00000E820000}"/>
    <cellStyle name="40% - Accent5 2 14 3" xfId="5006" xr:uid="{00000000-0005-0000-0000-00000F820000}"/>
    <cellStyle name="40% - Accent5 2 14 3 2" xfId="10486" xr:uid="{00000000-0005-0000-0000-000010820000}"/>
    <cellStyle name="40% - Accent5 2 14 3 3" xfId="15962" xr:uid="{00000000-0005-0000-0000-000011820000}"/>
    <cellStyle name="40% - Accent5 2 14 3 4" xfId="21438" xr:uid="{00000000-0005-0000-0000-000012820000}"/>
    <cellStyle name="40% - Accent5 2 14 3 5" xfId="26914" xr:uid="{00000000-0005-0000-0000-000013820000}"/>
    <cellStyle name="40% - Accent5 2 14 3 6" xfId="38710" xr:uid="{00000000-0005-0000-0000-000014820000}"/>
    <cellStyle name="40% - Accent5 2 14 3 7" xfId="44187" xr:uid="{00000000-0005-0000-0000-000015820000}"/>
    <cellStyle name="40% - Accent5 2 14 3 8" xfId="49664" xr:uid="{00000000-0005-0000-0000-000016820000}"/>
    <cellStyle name="40% - Accent5 2 14 3 9" xfId="55182" xr:uid="{00000000-0005-0000-0000-000017820000}"/>
    <cellStyle name="40% - Accent5 2 14 4" xfId="6637" xr:uid="{00000000-0005-0000-0000-000018820000}"/>
    <cellStyle name="40% - Accent5 2 14 5" xfId="12117" xr:uid="{00000000-0005-0000-0000-000019820000}"/>
    <cellStyle name="40% - Accent5 2 14 6" xfId="17593" xr:uid="{00000000-0005-0000-0000-00001A820000}"/>
    <cellStyle name="40% - Accent5 2 14 7" xfId="23069" xr:uid="{00000000-0005-0000-0000-00001B820000}"/>
    <cellStyle name="40% - Accent5 2 14 8" xfId="34864" xr:uid="{00000000-0005-0000-0000-00001C820000}"/>
    <cellStyle name="40% - Accent5 2 14 9" xfId="40341" xr:uid="{00000000-0005-0000-0000-00001D820000}"/>
    <cellStyle name="40% - Accent5 2 15" xfId="1645" xr:uid="{00000000-0005-0000-0000-00001E820000}"/>
    <cellStyle name="40% - Accent5 2 15 10" xfId="45819" xr:uid="{00000000-0005-0000-0000-00001F820000}"/>
    <cellStyle name="40% - Accent5 2 15 11" xfId="51297" xr:uid="{00000000-0005-0000-0000-000020820000}"/>
    <cellStyle name="40% - Accent5 2 15 2" xfId="3406" xr:uid="{00000000-0005-0000-0000-000021820000}"/>
    <cellStyle name="40% - Accent5 2 15 2 2" xfId="8886" xr:uid="{00000000-0005-0000-0000-000022820000}"/>
    <cellStyle name="40% - Accent5 2 15 2 3" xfId="14362" xr:uid="{00000000-0005-0000-0000-000023820000}"/>
    <cellStyle name="40% - Accent5 2 15 2 4" xfId="19838" xr:uid="{00000000-0005-0000-0000-000024820000}"/>
    <cellStyle name="40% - Accent5 2 15 2 5" xfId="25314" xr:uid="{00000000-0005-0000-0000-000025820000}"/>
    <cellStyle name="40% - Accent5 2 15 2 6" xfId="37110" xr:uid="{00000000-0005-0000-0000-000026820000}"/>
    <cellStyle name="40% - Accent5 2 15 2 7" xfId="42587" xr:uid="{00000000-0005-0000-0000-000027820000}"/>
    <cellStyle name="40% - Accent5 2 15 2 8" xfId="48064" xr:uid="{00000000-0005-0000-0000-000028820000}"/>
    <cellStyle name="40% - Accent5 2 15 2 9" xfId="53582" xr:uid="{00000000-0005-0000-0000-000029820000}"/>
    <cellStyle name="40% - Accent5 2 15 3" xfId="5178" xr:uid="{00000000-0005-0000-0000-00002A820000}"/>
    <cellStyle name="40% - Accent5 2 15 3 2" xfId="10658" xr:uid="{00000000-0005-0000-0000-00002B820000}"/>
    <cellStyle name="40% - Accent5 2 15 3 3" xfId="16134" xr:uid="{00000000-0005-0000-0000-00002C820000}"/>
    <cellStyle name="40% - Accent5 2 15 3 4" xfId="21610" xr:uid="{00000000-0005-0000-0000-00002D820000}"/>
    <cellStyle name="40% - Accent5 2 15 3 5" xfId="27086" xr:uid="{00000000-0005-0000-0000-00002E820000}"/>
    <cellStyle name="40% - Accent5 2 15 3 6" xfId="38882" xr:uid="{00000000-0005-0000-0000-00002F820000}"/>
    <cellStyle name="40% - Accent5 2 15 3 7" xfId="44359" xr:uid="{00000000-0005-0000-0000-000030820000}"/>
    <cellStyle name="40% - Accent5 2 15 3 8" xfId="49836" xr:uid="{00000000-0005-0000-0000-000031820000}"/>
    <cellStyle name="40% - Accent5 2 15 3 9" xfId="55354" xr:uid="{00000000-0005-0000-0000-000032820000}"/>
    <cellStyle name="40% - Accent5 2 15 4" xfId="6638" xr:uid="{00000000-0005-0000-0000-000033820000}"/>
    <cellStyle name="40% - Accent5 2 15 5" xfId="12118" xr:uid="{00000000-0005-0000-0000-000034820000}"/>
    <cellStyle name="40% - Accent5 2 15 6" xfId="17594" xr:uid="{00000000-0005-0000-0000-000035820000}"/>
    <cellStyle name="40% - Accent5 2 15 7" xfId="23070" xr:uid="{00000000-0005-0000-0000-000036820000}"/>
    <cellStyle name="40% - Accent5 2 15 8" xfId="34865" xr:uid="{00000000-0005-0000-0000-000037820000}"/>
    <cellStyle name="40% - Accent5 2 15 9" xfId="40342" xr:uid="{00000000-0005-0000-0000-000038820000}"/>
    <cellStyle name="40% - Accent5 2 16" xfId="1727" xr:uid="{00000000-0005-0000-0000-000039820000}"/>
    <cellStyle name="40% - Accent5 2 16 10" xfId="45820" xr:uid="{00000000-0005-0000-0000-00003A820000}"/>
    <cellStyle name="40% - Accent5 2 16 11" xfId="51298" xr:uid="{00000000-0005-0000-0000-00003B820000}"/>
    <cellStyle name="40% - Accent5 2 16 2" xfId="3488" xr:uid="{00000000-0005-0000-0000-00003C820000}"/>
    <cellStyle name="40% - Accent5 2 16 2 2" xfId="8968" xr:uid="{00000000-0005-0000-0000-00003D820000}"/>
    <cellStyle name="40% - Accent5 2 16 2 3" xfId="14444" xr:uid="{00000000-0005-0000-0000-00003E820000}"/>
    <cellStyle name="40% - Accent5 2 16 2 4" xfId="19920" xr:uid="{00000000-0005-0000-0000-00003F820000}"/>
    <cellStyle name="40% - Accent5 2 16 2 5" xfId="25396" xr:uid="{00000000-0005-0000-0000-000040820000}"/>
    <cellStyle name="40% - Accent5 2 16 2 6" xfId="37192" xr:uid="{00000000-0005-0000-0000-000041820000}"/>
    <cellStyle name="40% - Accent5 2 16 2 7" xfId="42669" xr:uid="{00000000-0005-0000-0000-000042820000}"/>
    <cellStyle name="40% - Accent5 2 16 2 8" xfId="48146" xr:uid="{00000000-0005-0000-0000-000043820000}"/>
    <cellStyle name="40% - Accent5 2 16 2 9" xfId="53664" xr:uid="{00000000-0005-0000-0000-000044820000}"/>
    <cellStyle name="40% - Accent5 2 16 3" xfId="5260" xr:uid="{00000000-0005-0000-0000-000045820000}"/>
    <cellStyle name="40% - Accent5 2 16 3 2" xfId="10740" xr:uid="{00000000-0005-0000-0000-000046820000}"/>
    <cellStyle name="40% - Accent5 2 16 3 3" xfId="16216" xr:uid="{00000000-0005-0000-0000-000047820000}"/>
    <cellStyle name="40% - Accent5 2 16 3 4" xfId="21692" xr:uid="{00000000-0005-0000-0000-000048820000}"/>
    <cellStyle name="40% - Accent5 2 16 3 5" xfId="27168" xr:uid="{00000000-0005-0000-0000-000049820000}"/>
    <cellStyle name="40% - Accent5 2 16 3 6" xfId="38964" xr:uid="{00000000-0005-0000-0000-00004A820000}"/>
    <cellStyle name="40% - Accent5 2 16 3 7" xfId="44441" xr:uid="{00000000-0005-0000-0000-00004B820000}"/>
    <cellStyle name="40% - Accent5 2 16 3 8" xfId="49918" xr:uid="{00000000-0005-0000-0000-00004C820000}"/>
    <cellStyle name="40% - Accent5 2 16 3 9" xfId="55436" xr:uid="{00000000-0005-0000-0000-00004D820000}"/>
    <cellStyle name="40% - Accent5 2 16 4" xfId="6639" xr:uid="{00000000-0005-0000-0000-00004E820000}"/>
    <cellStyle name="40% - Accent5 2 16 5" xfId="12119" xr:uid="{00000000-0005-0000-0000-00004F820000}"/>
    <cellStyle name="40% - Accent5 2 16 6" xfId="17595" xr:uid="{00000000-0005-0000-0000-000050820000}"/>
    <cellStyle name="40% - Accent5 2 16 7" xfId="23071" xr:uid="{00000000-0005-0000-0000-000051820000}"/>
    <cellStyle name="40% - Accent5 2 16 8" xfId="34866" xr:uid="{00000000-0005-0000-0000-000052820000}"/>
    <cellStyle name="40% - Accent5 2 16 9" xfId="40343" xr:uid="{00000000-0005-0000-0000-000053820000}"/>
    <cellStyle name="40% - Accent5 2 17" xfId="1745" xr:uid="{00000000-0005-0000-0000-000054820000}"/>
    <cellStyle name="40% - Accent5 2 17 10" xfId="45821" xr:uid="{00000000-0005-0000-0000-000055820000}"/>
    <cellStyle name="40% - Accent5 2 17 11" xfId="51299" xr:uid="{00000000-0005-0000-0000-000056820000}"/>
    <cellStyle name="40% - Accent5 2 17 2" xfId="3506" xr:uid="{00000000-0005-0000-0000-000057820000}"/>
    <cellStyle name="40% - Accent5 2 17 2 2" xfId="8986" xr:uid="{00000000-0005-0000-0000-000058820000}"/>
    <cellStyle name="40% - Accent5 2 17 2 3" xfId="14462" xr:uid="{00000000-0005-0000-0000-000059820000}"/>
    <cellStyle name="40% - Accent5 2 17 2 4" xfId="19938" xr:uid="{00000000-0005-0000-0000-00005A820000}"/>
    <cellStyle name="40% - Accent5 2 17 2 5" xfId="25414" xr:uid="{00000000-0005-0000-0000-00005B820000}"/>
    <cellStyle name="40% - Accent5 2 17 2 6" xfId="37210" xr:uid="{00000000-0005-0000-0000-00005C820000}"/>
    <cellStyle name="40% - Accent5 2 17 2 7" xfId="42687" xr:uid="{00000000-0005-0000-0000-00005D820000}"/>
    <cellStyle name="40% - Accent5 2 17 2 8" xfId="48164" xr:uid="{00000000-0005-0000-0000-00005E820000}"/>
    <cellStyle name="40% - Accent5 2 17 2 9" xfId="53682" xr:uid="{00000000-0005-0000-0000-00005F820000}"/>
    <cellStyle name="40% - Accent5 2 17 3" xfId="5278" xr:uid="{00000000-0005-0000-0000-000060820000}"/>
    <cellStyle name="40% - Accent5 2 17 3 2" xfId="10758" xr:uid="{00000000-0005-0000-0000-000061820000}"/>
    <cellStyle name="40% - Accent5 2 17 3 3" xfId="16234" xr:uid="{00000000-0005-0000-0000-000062820000}"/>
    <cellStyle name="40% - Accent5 2 17 3 4" xfId="21710" xr:uid="{00000000-0005-0000-0000-000063820000}"/>
    <cellStyle name="40% - Accent5 2 17 3 5" xfId="27186" xr:uid="{00000000-0005-0000-0000-000064820000}"/>
    <cellStyle name="40% - Accent5 2 17 3 6" xfId="38982" xr:uid="{00000000-0005-0000-0000-000065820000}"/>
    <cellStyle name="40% - Accent5 2 17 3 7" xfId="44459" xr:uid="{00000000-0005-0000-0000-000066820000}"/>
    <cellStyle name="40% - Accent5 2 17 3 8" xfId="49936" xr:uid="{00000000-0005-0000-0000-000067820000}"/>
    <cellStyle name="40% - Accent5 2 17 3 9" xfId="55454" xr:uid="{00000000-0005-0000-0000-000068820000}"/>
    <cellStyle name="40% - Accent5 2 17 4" xfId="6640" xr:uid="{00000000-0005-0000-0000-000069820000}"/>
    <cellStyle name="40% - Accent5 2 17 5" xfId="12120" xr:uid="{00000000-0005-0000-0000-00006A820000}"/>
    <cellStyle name="40% - Accent5 2 17 6" xfId="17596" xr:uid="{00000000-0005-0000-0000-00006B820000}"/>
    <cellStyle name="40% - Accent5 2 17 7" xfId="23072" xr:uid="{00000000-0005-0000-0000-00006C820000}"/>
    <cellStyle name="40% - Accent5 2 17 8" xfId="34867" xr:uid="{00000000-0005-0000-0000-00006D820000}"/>
    <cellStyle name="40% - Accent5 2 17 9" xfId="40344" xr:uid="{00000000-0005-0000-0000-00006E820000}"/>
    <cellStyle name="40% - Accent5 2 18" xfId="2007" xr:uid="{00000000-0005-0000-0000-00006F820000}"/>
    <cellStyle name="40% - Accent5 2 18 10" xfId="52184" xr:uid="{00000000-0005-0000-0000-000070820000}"/>
    <cellStyle name="40% - Accent5 2 18 2" xfId="5539" xr:uid="{00000000-0005-0000-0000-000071820000}"/>
    <cellStyle name="40% - Accent5 2 18 2 2" xfId="11019" xr:uid="{00000000-0005-0000-0000-000072820000}"/>
    <cellStyle name="40% - Accent5 2 18 2 3" xfId="16495" xr:uid="{00000000-0005-0000-0000-000073820000}"/>
    <cellStyle name="40% - Accent5 2 18 2 4" xfId="21971" xr:uid="{00000000-0005-0000-0000-000074820000}"/>
    <cellStyle name="40% - Accent5 2 18 2 5" xfId="27447" xr:uid="{00000000-0005-0000-0000-000075820000}"/>
    <cellStyle name="40% - Accent5 2 18 2 6" xfId="39243" xr:uid="{00000000-0005-0000-0000-000076820000}"/>
    <cellStyle name="40% - Accent5 2 18 2 7" xfId="44720" xr:uid="{00000000-0005-0000-0000-000077820000}"/>
    <cellStyle name="40% - Accent5 2 18 2 8" xfId="50197" xr:uid="{00000000-0005-0000-0000-000078820000}"/>
    <cellStyle name="40% - Accent5 2 18 2 9" xfId="55715" xr:uid="{00000000-0005-0000-0000-000079820000}"/>
    <cellStyle name="40% - Accent5 2 18 3" xfId="7488" xr:uid="{00000000-0005-0000-0000-00007A820000}"/>
    <cellStyle name="40% - Accent5 2 18 4" xfId="12964" xr:uid="{00000000-0005-0000-0000-00007B820000}"/>
    <cellStyle name="40% - Accent5 2 18 5" xfId="18440" xr:uid="{00000000-0005-0000-0000-00007C820000}"/>
    <cellStyle name="40% - Accent5 2 18 6" xfId="23916" xr:uid="{00000000-0005-0000-0000-00007D820000}"/>
    <cellStyle name="40% - Accent5 2 18 7" xfId="35712" xr:uid="{00000000-0005-0000-0000-00007E820000}"/>
    <cellStyle name="40% - Accent5 2 18 8" xfId="41189" xr:uid="{00000000-0005-0000-0000-00007F820000}"/>
    <cellStyle name="40% - Accent5 2 18 9" xfId="46666" xr:uid="{00000000-0005-0000-0000-000080820000}"/>
    <cellStyle name="40% - Accent5 2 19" xfId="3695" xr:uid="{00000000-0005-0000-0000-000081820000}"/>
    <cellStyle name="40% - Accent5 2 19 2" xfId="9175" xr:uid="{00000000-0005-0000-0000-000082820000}"/>
    <cellStyle name="40% - Accent5 2 19 3" xfId="14651" xr:uid="{00000000-0005-0000-0000-000083820000}"/>
    <cellStyle name="40% - Accent5 2 19 4" xfId="20127" xr:uid="{00000000-0005-0000-0000-000084820000}"/>
    <cellStyle name="40% - Accent5 2 19 5" xfId="25603" xr:uid="{00000000-0005-0000-0000-000085820000}"/>
    <cellStyle name="40% - Accent5 2 19 6" xfId="37399" xr:uid="{00000000-0005-0000-0000-000086820000}"/>
    <cellStyle name="40% - Accent5 2 19 7" xfId="42876" xr:uid="{00000000-0005-0000-0000-000087820000}"/>
    <cellStyle name="40% - Accent5 2 19 8" xfId="48353" xr:uid="{00000000-0005-0000-0000-000088820000}"/>
    <cellStyle name="40% - Accent5 2 19 9" xfId="53871" xr:uid="{00000000-0005-0000-0000-000089820000}"/>
    <cellStyle name="40% - Accent5 2 2" xfId="140" xr:uid="{00000000-0005-0000-0000-00008A820000}"/>
    <cellStyle name="40% - Accent5 2 2 10" xfId="1646" xr:uid="{00000000-0005-0000-0000-00008B820000}"/>
    <cellStyle name="40% - Accent5 2 2 10 10" xfId="45823" xr:uid="{00000000-0005-0000-0000-00008C820000}"/>
    <cellStyle name="40% - Accent5 2 2 10 11" xfId="51301" xr:uid="{00000000-0005-0000-0000-00008D820000}"/>
    <cellStyle name="40% - Accent5 2 2 10 2" xfId="3407" xr:uid="{00000000-0005-0000-0000-00008E820000}"/>
    <cellStyle name="40% - Accent5 2 2 10 2 2" xfId="8887" xr:uid="{00000000-0005-0000-0000-00008F820000}"/>
    <cellStyle name="40% - Accent5 2 2 10 2 3" xfId="14363" xr:uid="{00000000-0005-0000-0000-000090820000}"/>
    <cellStyle name="40% - Accent5 2 2 10 2 4" xfId="19839" xr:uid="{00000000-0005-0000-0000-000091820000}"/>
    <cellStyle name="40% - Accent5 2 2 10 2 5" xfId="25315" xr:uid="{00000000-0005-0000-0000-000092820000}"/>
    <cellStyle name="40% - Accent5 2 2 10 2 6" xfId="37111" xr:uid="{00000000-0005-0000-0000-000093820000}"/>
    <cellStyle name="40% - Accent5 2 2 10 2 7" xfId="42588" xr:uid="{00000000-0005-0000-0000-000094820000}"/>
    <cellStyle name="40% - Accent5 2 2 10 2 8" xfId="48065" xr:uid="{00000000-0005-0000-0000-000095820000}"/>
    <cellStyle name="40% - Accent5 2 2 10 2 9" xfId="53583" xr:uid="{00000000-0005-0000-0000-000096820000}"/>
    <cellStyle name="40% - Accent5 2 2 10 3" xfId="5179" xr:uid="{00000000-0005-0000-0000-000097820000}"/>
    <cellStyle name="40% - Accent5 2 2 10 3 2" xfId="10659" xr:uid="{00000000-0005-0000-0000-000098820000}"/>
    <cellStyle name="40% - Accent5 2 2 10 3 3" xfId="16135" xr:uid="{00000000-0005-0000-0000-000099820000}"/>
    <cellStyle name="40% - Accent5 2 2 10 3 4" xfId="21611" xr:uid="{00000000-0005-0000-0000-00009A820000}"/>
    <cellStyle name="40% - Accent5 2 2 10 3 5" xfId="27087" xr:uid="{00000000-0005-0000-0000-00009B820000}"/>
    <cellStyle name="40% - Accent5 2 2 10 3 6" xfId="38883" xr:uid="{00000000-0005-0000-0000-00009C820000}"/>
    <cellStyle name="40% - Accent5 2 2 10 3 7" xfId="44360" xr:uid="{00000000-0005-0000-0000-00009D820000}"/>
    <cellStyle name="40% - Accent5 2 2 10 3 8" xfId="49837" xr:uid="{00000000-0005-0000-0000-00009E820000}"/>
    <cellStyle name="40% - Accent5 2 2 10 3 9" xfId="55355" xr:uid="{00000000-0005-0000-0000-00009F820000}"/>
    <cellStyle name="40% - Accent5 2 2 10 4" xfId="6642" xr:uid="{00000000-0005-0000-0000-0000A0820000}"/>
    <cellStyle name="40% - Accent5 2 2 10 5" xfId="12122" xr:uid="{00000000-0005-0000-0000-0000A1820000}"/>
    <cellStyle name="40% - Accent5 2 2 10 6" xfId="17598" xr:uid="{00000000-0005-0000-0000-0000A2820000}"/>
    <cellStyle name="40% - Accent5 2 2 10 7" xfId="23074" xr:uid="{00000000-0005-0000-0000-0000A3820000}"/>
    <cellStyle name="40% - Accent5 2 2 10 8" xfId="34869" xr:uid="{00000000-0005-0000-0000-0000A4820000}"/>
    <cellStyle name="40% - Accent5 2 2 10 9" xfId="40346" xr:uid="{00000000-0005-0000-0000-0000A5820000}"/>
    <cellStyle name="40% - Accent5 2 2 11" xfId="1841" xr:uid="{00000000-0005-0000-0000-0000A6820000}"/>
    <cellStyle name="40% - Accent5 2 2 11 10" xfId="45824" xr:uid="{00000000-0005-0000-0000-0000A7820000}"/>
    <cellStyle name="40% - Accent5 2 2 11 11" xfId="51302" xr:uid="{00000000-0005-0000-0000-0000A8820000}"/>
    <cellStyle name="40% - Accent5 2 2 11 2" xfId="3602" xr:uid="{00000000-0005-0000-0000-0000A9820000}"/>
    <cellStyle name="40% - Accent5 2 2 11 2 2" xfId="9082" xr:uid="{00000000-0005-0000-0000-0000AA820000}"/>
    <cellStyle name="40% - Accent5 2 2 11 2 3" xfId="14558" xr:uid="{00000000-0005-0000-0000-0000AB820000}"/>
    <cellStyle name="40% - Accent5 2 2 11 2 4" xfId="20034" xr:uid="{00000000-0005-0000-0000-0000AC820000}"/>
    <cellStyle name="40% - Accent5 2 2 11 2 5" xfId="25510" xr:uid="{00000000-0005-0000-0000-0000AD820000}"/>
    <cellStyle name="40% - Accent5 2 2 11 2 6" xfId="37306" xr:uid="{00000000-0005-0000-0000-0000AE820000}"/>
    <cellStyle name="40% - Accent5 2 2 11 2 7" xfId="42783" xr:uid="{00000000-0005-0000-0000-0000AF820000}"/>
    <cellStyle name="40% - Accent5 2 2 11 2 8" xfId="48260" xr:uid="{00000000-0005-0000-0000-0000B0820000}"/>
    <cellStyle name="40% - Accent5 2 2 11 2 9" xfId="53778" xr:uid="{00000000-0005-0000-0000-0000B1820000}"/>
    <cellStyle name="40% - Accent5 2 2 11 3" xfId="5374" xr:uid="{00000000-0005-0000-0000-0000B2820000}"/>
    <cellStyle name="40% - Accent5 2 2 11 3 2" xfId="10854" xr:uid="{00000000-0005-0000-0000-0000B3820000}"/>
    <cellStyle name="40% - Accent5 2 2 11 3 3" xfId="16330" xr:uid="{00000000-0005-0000-0000-0000B4820000}"/>
    <cellStyle name="40% - Accent5 2 2 11 3 4" xfId="21806" xr:uid="{00000000-0005-0000-0000-0000B5820000}"/>
    <cellStyle name="40% - Accent5 2 2 11 3 5" xfId="27282" xr:uid="{00000000-0005-0000-0000-0000B6820000}"/>
    <cellStyle name="40% - Accent5 2 2 11 3 6" xfId="39078" xr:uid="{00000000-0005-0000-0000-0000B7820000}"/>
    <cellStyle name="40% - Accent5 2 2 11 3 7" xfId="44555" xr:uid="{00000000-0005-0000-0000-0000B8820000}"/>
    <cellStyle name="40% - Accent5 2 2 11 3 8" xfId="50032" xr:uid="{00000000-0005-0000-0000-0000B9820000}"/>
    <cellStyle name="40% - Accent5 2 2 11 3 9" xfId="55550" xr:uid="{00000000-0005-0000-0000-0000BA820000}"/>
    <cellStyle name="40% - Accent5 2 2 11 4" xfId="6643" xr:uid="{00000000-0005-0000-0000-0000BB820000}"/>
    <cellStyle name="40% - Accent5 2 2 11 5" xfId="12123" xr:uid="{00000000-0005-0000-0000-0000BC820000}"/>
    <cellStyle name="40% - Accent5 2 2 11 6" xfId="17599" xr:uid="{00000000-0005-0000-0000-0000BD820000}"/>
    <cellStyle name="40% - Accent5 2 2 11 7" xfId="23075" xr:uid="{00000000-0005-0000-0000-0000BE820000}"/>
    <cellStyle name="40% - Accent5 2 2 11 8" xfId="34870" xr:uid="{00000000-0005-0000-0000-0000BF820000}"/>
    <cellStyle name="40% - Accent5 2 2 11 9" xfId="40347" xr:uid="{00000000-0005-0000-0000-0000C0820000}"/>
    <cellStyle name="40% - Accent5 2 2 12" xfId="2008" xr:uid="{00000000-0005-0000-0000-0000C1820000}"/>
    <cellStyle name="40% - Accent5 2 2 12 10" xfId="52185" xr:uid="{00000000-0005-0000-0000-0000C2820000}"/>
    <cellStyle name="40% - Accent5 2 2 12 2" xfId="5540" xr:uid="{00000000-0005-0000-0000-0000C3820000}"/>
    <cellStyle name="40% - Accent5 2 2 12 2 2" xfId="11020" xr:uid="{00000000-0005-0000-0000-0000C4820000}"/>
    <cellStyle name="40% - Accent5 2 2 12 2 3" xfId="16496" xr:uid="{00000000-0005-0000-0000-0000C5820000}"/>
    <cellStyle name="40% - Accent5 2 2 12 2 4" xfId="21972" xr:uid="{00000000-0005-0000-0000-0000C6820000}"/>
    <cellStyle name="40% - Accent5 2 2 12 2 5" xfId="27448" xr:uid="{00000000-0005-0000-0000-0000C7820000}"/>
    <cellStyle name="40% - Accent5 2 2 12 2 6" xfId="39244" xr:uid="{00000000-0005-0000-0000-0000C8820000}"/>
    <cellStyle name="40% - Accent5 2 2 12 2 7" xfId="44721" xr:uid="{00000000-0005-0000-0000-0000C9820000}"/>
    <cellStyle name="40% - Accent5 2 2 12 2 8" xfId="50198" xr:uid="{00000000-0005-0000-0000-0000CA820000}"/>
    <cellStyle name="40% - Accent5 2 2 12 2 9" xfId="55716" xr:uid="{00000000-0005-0000-0000-0000CB820000}"/>
    <cellStyle name="40% - Accent5 2 2 12 3" xfId="7489" xr:uid="{00000000-0005-0000-0000-0000CC820000}"/>
    <cellStyle name="40% - Accent5 2 2 12 4" xfId="12965" xr:uid="{00000000-0005-0000-0000-0000CD820000}"/>
    <cellStyle name="40% - Accent5 2 2 12 5" xfId="18441" xr:uid="{00000000-0005-0000-0000-0000CE820000}"/>
    <cellStyle name="40% - Accent5 2 2 12 6" xfId="23917" xr:uid="{00000000-0005-0000-0000-0000CF820000}"/>
    <cellStyle name="40% - Accent5 2 2 12 7" xfId="35713" xr:uid="{00000000-0005-0000-0000-0000D0820000}"/>
    <cellStyle name="40% - Accent5 2 2 12 8" xfId="41190" xr:uid="{00000000-0005-0000-0000-0000D1820000}"/>
    <cellStyle name="40% - Accent5 2 2 12 9" xfId="46667" xr:uid="{00000000-0005-0000-0000-0000D2820000}"/>
    <cellStyle name="40% - Accent5 2 2 13" xfId="3712" xr:uid="{00000000-0005-0000-0000-0000D3820000}"/>
    <cellStyle name="40% - Accent5 2 2 13 2" xfId="9192" xr:uid="{00000000-0005-0000-0000-0000D4820000}"/>
    <cellStyle name="40% - Accent5 2 2 13 3" xfId="14668" xr:uid="{00000000-0005-0000-0000-0000D5820000}"/>
    <cellStyle name="40% - Accent5 2 2 13 4" xfId="20144" xr:uid="{00000000-0005-0000-0000-0000D6820000}"/>
    <cellStyle name="40% - Accent5 2 2 13 5" xfId="25620" xr:uid="{00000000-0005-0000-0000-0000D7820000}"/>
    <cellStyle name="40% - Accent5 2 2 13 6" xfId="37416" xr:uid="{00000000-0005-0000-0000-0000D8820000}"/>
    <cellStyle name="40% - Accent5 2 2 13 7" xfId="42893" xr:uid="{00000000-0005-0000-0000-0000D9820000}"/>
    <cellStyle name="40% - Accent5 2 2 13 8" xfId="48370" xr:uid="{00000000-0005-0000-0000-0000DA820000}"/>
    <cellStyle name="40% - Accent5 2 2 13 9" xfId="53888" xr:uid="{00000000-0005-0000-0000-0000DB820000}"/>
    <cellStyle name="40% - Accent5 2 2 14" xfId="6641" xr:uid="{00000000-0005-0000-0000-0000DC820000}"/>
    <cellStyle name="40% - Accent5 2 2 15" xfId="12121" xr:uid="{00000000-0005-0000-0000-0000DD820000}"/>
    <cellStyle name="40% - Accent5 2 2 16" xfId="17597" xr:uid="{00000000-0005-0000-0000-0000DE820000}"/>
    <cellStyle name="40% - Accent5 2 2 17" xfId="23073" xr:uid="{00000000-0005-0000-0000-0000DF820000}"/>
    <cellStyle name="40% - Accent5 2 2 18" xfId="32109" xr:uid="{00000000-0005-0000-0000-0000E0820000}"/>
    <cellStyle name="40% - Accent5 2 2 19" xfId="34868" xr:uid="{00000000-0005-0000-0000-0000E1820000}"/>
    <cellStyle name="40% - Accent5 2 2 2" xfId="232" xr:uid="{00000000-0005-0000-0000-0000E2820000}"/>
    <cellStyle name="40% - Accent5 2 2 2 10" xfId="1842" xr:uid="{00000000-0005-0000-0000-0000E3820000}"/>
    <cellStyle name="40% - Accent5 2 2 2 10 10" xfId="45826" xr:uid="{00000000-0005-0000-0000-0000E4820000}"/>
    <cellStyle name="40% - Accent5 2 2 2 10 11" xfId="51304" xr:uid="{00000000-0005-0000-0000-0000E5820000}"/>
    <cellStyle name="40% - Accent5 2 2 2 10 2" xfId="3603" xr:uid="{00000000-0005-0000-0000-0000E6820000}"/>
    <cellStyle name="40% - Accent5 2 2 2 10 2 2" xfId="9083" xr:uid="{00000000-0005-0000-0000-0000E7820000}"/>
    <cellStyle name="40% - Accent5 2 2 2 10 2 3" xfId="14559" xr:uid="{00000000-0005-0000-0000-0000E8820000}"/>
    <cellStyle name="40% - Accent5 2 2 2 10 2 4" xfId="20035" xr:uid="{00000000-0005-0000-0000-0000E9820000}"/>
    <cellStyle name="40% - Accent5 2 2 2 10 2 5" xfId="25511" xr:uid="{00000000-0005-0000-0000-0000EA820000}"/>
    <cellStyle name="40% - Accent5 2 2 2 10 2 6" xfId="37307" xr:uid="{00000000-0005-0000-0000-0000EB820000}"/>
    <cellStyle name="40% - Accent5 2 2 2 10 2 7" xfId="42784" xr:uid="{00000000-0005-0000-0000-0000EC820000}"/>
    <cellStyle name="40% - Accent5 2 2 2 10 2 8" xfId="48261" xr:uid="{00000000-0005-0000-0000-0000ED820000}"/>
    <cellStyle name="40% - Accent5 2 2 2 10 2 9" xfId="53779" xr:uid="{00000000-0005-0000-0000-0000EE820000}"/>
    <cellStyle name="40% - Accent5 2 2 2 10 3" xfId="5375" xr:uid="{00000000-0005-0000-0000-0000EF820000}"/>
    <cellStyle name="40% - Accent5 2 2 2 10 3 2" xfId="10855" xr:uid="{00000000-0005-0000-0000-0000F0820000}"/>
    <cellStyle name="40% - Accent5 2 2 2 10 3 3" xfId="16331" xr:uid="{00000000-0005-0000-0000-0000F1820000}"/>
    <cellStyle name="40% - Accent5 2 2 2 10 3 4" xfId="21807" xr:uid="{00000000-0005-0000-0000-0000F2820000}"/>
    <cellStyle name="40% - Accent5 2 2 2 10 3 5" xfId="27283" xr:uid="{00000000-0005-0000-0000-0000F3820000}"/>
    <cellStyle name="40% - Accent5 2 2 2 10 3 6" xfId="39079" xr:uid="{00000000-0005-0000-0000-0000F4820000}"/>
    <cellStyle name="40% - Accent5 2 2 2 10 3 7" xfId="44556" xr:uid="{00000000-0005-0000-0000-0000F5820000}"/>
    <cellStyle name="40% - Accent5 2 2 2 10 3 8" xfId="50033" xr:uid="{00000000-0005-0000-0000-0000F6820000}"/>
    <cellStyle name="40% - Accent5 2 2 2 10 3 9" xfId="55551" xr:uid="{00000000-0005-0000-0000-0000F7820000}"/>
    <cellStyle name="40% - Accent5 2 2 2 10 4" xfId="6645" xr:uid="{00000000-0005-0000-0000-0000F8820000}"/>
    <cellStyle name="40% - Accent5 2 2 2 10 5" xfId="12125" xr:uid="{00000000-0005-0000-0000-0000F9820000}"/>
    <cellStyle name="40% - Accent5 2 2 2 10 6" xfId="17601" xr:uid="{00000000-0005-0000-0000-0000FA820000}"/>
    <cellStyle name="40% - Accent5 2 2 2 10 7" xfId="23077" xr:uid="{00000000-0005-0000-0000-0000FB820000}"/>
    <cellStyle name="40% - Accent5 2 2 2 10 8" xfId="34872" xr:uid="{00000000-0005-0000-0000-0000FC820000}"/>
    <cellStyle name="40% - Accent5 2 2 2 10 9" xfId="40349" xr:uid="{00000000-0005-0000-0000-0000FD820000}"/>
    <cellStyle name="40% - Accent5 2 2 2 11" xfId="2009" xr:uid="{00000000-0005-0000-0000-0000FE820000}"/>
    <cellStyle name="40% - Accent5 2 2 2 11 10" xfId="52186" xr:uid="{00000000-0005-0000-0000-0000FF820000}"/>
    <cellStyle name="40% - Accent5 2 2 2 11 2" xfId="5541" xr:uid="{00000000-0005-0000-0000-000000830000}"/>
    <cellStyle name="40% - Accent5 2 2 2 11 2 2" xfId="11021" xr:uid="{00000000-0005-0000-0000-000001830000}"/>
    <cellStyle name="40% - Accent5 2 2 2 11 2 3" xfId="16497" xr:uid="{00000000-0005-0000-0000-000002830000}"/>
    <cellStyle name="40% - Accent5 2 2 2 11 2 4" xfId="21973" xr:uid="{00000000-0005-0000-0000-000003830000}"/>
    <cellStyle name="40% - Accent5 2 2 2 11 2 5" xfId="27449" xr:uid="{00000000-0005-0000-0000-000004830000}"/>
    <cellStyle name="40% - Accent5 2 2 2 11 2 6" xfId="39245" xr:uid="{00000000-0005-0000-0000-000005830000}"/>
    <cellStyle name="40% - Accent5 2 2 2 11 2 7" xfId="44722" xr:uid="{00000000-0005-0000-0000-000006830000}"/>
    <cellStyle name="40% - Accent5 2 2 2 11 2 8" xfId="50199" xr:uid="{00000000-0005-0000-0000-000007830000}"/>
    <cellStyle name="40% - Accent5 2 2 2 11 2 9" xfId="55717" xr:uid="{00000000-0005-0000-0000-000008830000}"/>
    <cellStyle name="40% - Accent5 2 2 2 11 3" xfId="7490" xr:uid="{00000000-0005-0000-0000-000009830000}"/>
    <cellStyle name="40% - Accent5 2 2 2 11 4" xfId="12966" xr:uid="{00000000-0005-0000-0000-00000A830000}"/>
    <cellStyle name="40% - Accent5 2 2 2 11 5" xfId="18442" xr:uid="{00000000-0005-0000-0000-00000B830000}"/>
    <cellStyle name="40% - Accent5 2 2 2 11 6" xfId="23918" xr:uid="{00000000-0005-0000-0000-00000C830000}"/>
    <cellStyle name="40% - Accent5 2 2 2 11 7" xfId="35714" xr:uid="{00000000-0005-0000-0000-00000D830000}"/>
    <cellStyle name="40% - Accent5 2 2 2 11 8" xfId="41191" xr:uid="{00000000-0005-0000-0000-00000E830000}"/>
    <cellStyle name="40% - Accent5 2 2 2 11 9" xfId="46668" xr:uid="{00000000-0005-0000-0000-00000F830000}"/>
    <cellStyle name="40% - Accent5 2 2 2 12" xfId="3798" xr:uid="{00000000-0005-0000-0000-000010830000}"/>
    <cellStyle name="40% - Accent5 2 2 2 12 2" xfId="9278" xr:uid="{00000000-0005-0000-0000-000011830000}"/>
    <cellStyle name="40% - Accent5 2 2 2 12 3" xfId="14754" xr:uid="{00000000-0005-0000-0000-000012830000}"/>
    <cellStyle name="40% - Accent5 2 2 2 12 4" xfId="20230" xr:uid="{00000000-0005-0000-0000-000013830000}"/>
    <cellStyle name="40% - Accent5 2 2 2 12 5" xfId="25706" xr:uid="{00000000-0005-0000-0000-000014830000}"/>
    <cellStyle name="40% - Accent5 2 2 2 12 6" xfId="37502" xr:uid="{00000000-0005-0000-0000-000015830000}"/>
    <cellStyle name="40% - Accent5 2 2 2 12 7" xfId="42979" xr:uid="{00000000-0005-0000-0000-000016830000}"/>
    <cellStyle name="40% - Accent5 2 2 2 12 8" xfId="48456" xr:uid="{00000000-0005-0000-0000-000017830000}"/>
    <cellStyle name="40% - Accent5 2 2 2 12 9" xfId="53974" xr:uid="{00000000-0005-0000-0000-000018830000}"/>
    <cellStyle name="40% - Accent5 2 2 2 13" xfId="6644" xr:uid="{00000000-0005-0000-0000-000019830000}"/>
    <cellStyle name="40% - Accent5 2 2 2 14" xfId="12124" xr:uid="{00000000-0005-0000-0000-00001A830000}"/>
    <cellStyle name="40% - Accent5 2 2 2 15" xfId="17600" xr:uid="{00000000-0005-0000-0000-00001B830000}"/>
    <cellStyle name="40% - Accent5 2 2 2 16" xfId="23076" xr:uid="{00000000-0005-0000-0000-00001C830000}"/>
    <cellStyle name="40% - Accent5 2 2 2 17" xfId="32110" xr:uid="{00000000-0005-0000-0000-00001D830000}"/>
    <cellStyle name="40% - Accent5 2 2 2 18" xfId="34871" xr:uid="{00000000-0005-0000-0000-00001E830000}"/>
    <cellStyle name="40% - Accent5 2 2 2 19" xfId="40348" xr:uid="{00000000-0005-0000-0000-00001F830000}"/>
    <cellStyle name="40% - Accent5 2 2 2 2" xfId="380" xr:uid="{00000000-0005-0000-0000-000020830000}"/>
    <cellStyle name="40% - Accent5 2 2 2 2 10" xfId="40350" xr:uid="{00000000-0005-0000-0000-000021830000}"/>
    <cellStyle name="40% - Accent5 2 2 2 2 11" xfId="45827" xr:uid="{00000000-0005-0000-0000-000022830000}"/>
    <cellStyle name="40% - Accent5 2 2 2 2 12" xfId="51305" xr:uid="{00000000-0005-0000-0000-000023830000}"/>
    <cellStyle name="40% - Accent5 2 2 2 2 2" xfId="2172" xr:uid="{00000000-0005-0000-0000-000024830000}"/>
    <cellStyle name="40% - Accent5 2 2 2 2 2 2" xfId="7652" xr:uid="{00000000-0005-0000-0000-000025830000}"/>
    <cellStyle name="40% - Accent5 2 2 2 2 2 3" xfId="13128" xr:uid="{00000000-0005-0000-0000-000026830000}"/>
    <cellStyle name="40% - Accent5 2 2 2 2 2 4" xfId="18604" xr:uid="{00000000-0005-0000-0000-000027830000}"/>
    <cellStyle name="40% - Accent5 2 2 2 2 2 5" xfId="24080" xr:uid="{00000000-0005-0000-0000-000028830000}"/>
    <cellStyle name="40% - Accent5 2 2 2 2 2 6" xfId="35876" xr:uid="{00000000-0005-0000-0000-000029830000}"/>
    <cellStyle name="40% - Accent5 2 2 2 2 2 7" xfId="41353" xr:uid="{00000000-0005-0000-0000-00002A830000}"/>
    <cellStyle name="40% - Accent5 2 2 2 2 2 8" xfId="46830" xr:uid="{00000000-0005-0000-0000-00002B830000}"/>
    <cellStyle name="40% - Accent5 2 2 2 2 2 9" xfId="52348" xr:uid="{00000000-0005-0000-0000-00002C830000}"/>
    <cellStyle name="40% - Accent5 2 2 2 2 3" xfId="3942" xr:uid="{00000000-0005-0000-0000-00002D830000}"/>
    <cellStyle name="40% - Accent5 2 2 2 2 3 2" xfId="9422" xr:uid="{00000000-0005-0000-0000-00002E830000}"/>
    <cellStyle name="40% - Accent5 2 2 2 2 3 3" xfId="14898" xr:uid="{00000000-0005-0000-0000-00002F830000}"/>
    <cellStyle name="40% - Accent5 2 2 2 2 3 4" xfId="20374" xr:uid="{00000000-0005-0000-0000-000030830000}"/>
    <cellStyle name="40% - Accent5 2 2 2 2 3 5" xfId="25850" xr:uid="{00000000-0005-0000-0000-000031830000}"/>
    <cellStyle name="40% - Accent5 2 2 2 2 3 6" xfId="37646" xr:uid="{00000000-0005-0000-0000-000032830000}"/>
    <cellStyle name="40% - Accent5 2 2 2 2 3 7" xfId="43123" xr:uid="{00000000-0005-0000-0000-000033830000}"/>
    <cellStyle name="40% - Accent5 2 2 2 2 3 8" xfId="48600" xr:uid="{00000000-0005-0000-0000-000034830000}"/>
    <cellStyle name="40% - Accent5 2 2 2 2 3 9" xfId="54118" xr:uid="{00000000-0005-0000-0000-000035830000}"/>
    <cellStyle name="40% - Accent5 2 2 2 2 4" xfId="6646" xr:uid="{00000000-0005-0000-0000-000036830000}"/>
    <cellStyle name="40% - Accent5 2 2 2 2 5" xfId="12126" xr:uid="{00000000-0005-0000-0000-000037830000}"/>
    <cellStyle name="40% - Accent5 2 2 2 2 6" xfId="17602" xr:uid="{00000000-0005-0000-0000-000038830000}"/>
    <cellStyle name="40% - Accent5 2 2 2 2 7" xfId="23078" xr:uid="{00000000-0005-0000-0000-000039830000}"/>
    <cellStyle name="40% - Accent5 2 2 2 2 8" xfId="32111" xr:uid="{00000000-0005-0000-0000-00003A830000}"/>
    <cellStyle name="40% - Accent5 2 2 2 2 9" xfId="34873" xr:uid="{00000000-0005-0000-0000-00003B830000}"/>
    <cellStyle name="40% - Accent5 2 2 2 20" xfId="45825" xr:uid="{00000000-0005-0000-0000-00003C830000}"/>
    <cellStyle name="40% - Accent5 2 2 2 21" xfId="51303" xr:uid="{00000000-0005-0000-0000-00003D830000}"/>
    <cellStyle name="40% - Accent5 2 2 2 3" xfId="581" xr:uid="{00000000-0005-0000-0000-00003E830000}"/>
    <cellStyle name="40% - Accent5 2 2 2 3 10" xfId="45828" xr:uid="{00000000-0005-0000-0000-00003F830000}"/>
    <cellStyle name="40% - Accent5 2 2 2 3 11" xfId="51306" xr:uid="{00000000-0005-0000-0000-000040830000}"/>
    <cellStyle name="40% - Accent5 2 2 2 3 2" xfId="2342" xr:uid="{00000000-0005-0000-0000-000041830000}"/>
    <cellStyle name="40% - Accent5 2 2 2 3 2 2" xfId="7822" xr:uid="{00000000-0005-0000-0000-000042830000}"/>
    <cellStyle name="40% - Accent5 2 2 2 3 2 3" xfId="13298" xr:uid="{00000000-0005-0000-0000-000043830000}"/>
    <cellStyle name="40% - Accent5 2 2 2 3 2 4" xfId="18774" xr:uid="{00000000-0005-0000-0000-000044830000}"/>
    <cellStyle name="40% - Accent5 2 2 2 3 2 5" xfId="24250" xr:uid="{00000000-0005-0000-0000-000045830000}"/>
    <cellStyle name="40% - Accent5 2 2 2 3 2 6" xfId="36046" xr:uid="{00000000-0005-0000-0000-000046830000}"/>
    <cellStyle name="40% - Accent5 2 2 2 3 2 7" xfId="41523" xr:uid="{00000000-0005-0000-0000-000047830000}"/>
    <cellStyle name="40% - Accent5 2 2 2 3 2 8" xfId="47000" xr:uid="{00000000-0005-0000-0000-000048830000}"/>
    <cellStyle name="40% - Accent5 2 2 2 3 2 9" xfId="52518" xr:uid="{00000000-0005-0000-0000-000049830000}"/>
    <cellStyle name="40% - Accent5 2 2 2 3 3" xfId="4114" xr:uid="{00000000-0005-0000-0000-00004A830000}"/>
    <cellStyle name="40% - Accent5 2 2 2 3 3 2" xfId="9594" xr:uid="{00000000-0005-0000-0000-00004B830000}"/>
    <cellStyle name="40% - Accent5 2 2 2 3 3 3" xfId="15070" xr:uid="{00000000-0005-0000-0000-00004C830000}"/>
    <cellStyle name="40% - Accent5 2 2 2 3 3 4" xfId="20546" xr:uid="{00000000-0005-0000-0000-00004D830000}"/>
    <cellStyle name="40% - Accent5 2 2 2 3 3 5" xfId="26022" xr:uid="{00000000-0005-0000-0000-00004E830000}"/>
    <cellStyle name="40% - Accent5 2 2 2 3 3 6" xfId="37818" xr:uid="{00000000-0005-0000-0000-00004F830000}"/>
    <cellStyle name="40% - Accent5 2 2 2 3 3 7" xfId="43295" xr:uid="{00000000-0005-0000-0000-000050830000}"/>
    <cellStyle name="40% - Accent5 2 2 2 3 3 8" xfId="48772" xr:uid="{00000000-0005-0000-0000-000051830000}"/>
    <cellStyle name="40% - Accent5 2 2 2 3 3 9" xfId="54290" xr:uid="{00000000-0005-0000-0000-000052830000}"/>
    <cellStyle name="40% - Accent5 2 2 2 3 4" xfId="6647" xr:uid="{00000000-0005-0000-0000-000053830000}"/>
    <cellStyle name="40% - Accent5 2 2 2 3 5" xfId="12127" xr:uid="{00000000-0005-0000-0000-000054830000}"/>
    <cellStyle name="40% - Accent5 2 2 2 3 6" xfId="17603" xr:uid="{00000000-0005-0000-0000-000055830000}"/>
    <cellStyle name="40% - Accent5 2 2 2 3 7" xfId="23079" xr:uid="{00000000-0005-0000-0000-000056830000}"/>
    <cellStyle name="40% - Accent5 2 2 2 3 8" xfId="34874" xr:uid="{00000000-0005-0000-0000-000057830000}"/>
    <cellStyle name="40% - Accent5 2 2 2 3 9" xfId="40351" xr:uid="{00000000-0005-0000-0000-000058830000}"/>
    <cellStyle name="40% - Accent5 2 2 2 4" xfId="753" xr:uid="{00000000-0005-0000-0000-000059830000}"/>
    <cellStyle name="40% - Accent5 2 2 2 4 10" xfId="45829" xr:uid="{00000000-0005-0000-0000-00005A830000}"/>
    <cellStyle name="40% - Accent5 2 2 2 4 11" xfId="51307" xr:uid="{00000000-0005-0000-0000-00005B830000}"/>
    <cellStyle name="40% - Accent5 2 2 2 4 2" xfId="2514" xr:uid="{00000000-0005-0000-0000-00005C830000}"/>
    <cellStyle name="40% - Accent5 2 2 2 4 2 2" xfId="7994" xr:uid="{00000000-0005-0000-0000-00005D830000}"/>
    <cellStyle name="40% - Accent5 2 2 2 4 2 3" xfId="13470" xr:uid="{00000000-0005-0000-0000-00005E830000}"/>
    <cellStyle name="40% - Accent5 2 2 2 4 2 4" xfId="18946" xr:uid="{00000000-0005-0000-0000-00005F830000}"/>
    <cellStyle name="40% - Accent5 2 2 2 4 2 5" xfId="24422" xr:uid="{00000000-0005-0000-0000-000060830000}"/>
    <cellStyle name="40% - Accent5 2 2 2 4 2 6" xfId="36218" xr:uid="{00000000-0005-0000-0000-000061830000}"/>
    <cellStyle name="40% - Accent5 2 2 2 4 2 7" xfId="41695" xr:uid="{00000000-0005-0000-0000-000062830000}"/>
    <cellStyle name="40% - Accent5 2 2 2 4 2 8" xfId="47172" xr:uid="{00000000-0005-0000-0000-000063830000}"/>
    <cellStyle name="40% - Accent5 2 2 2 4 2 9" xfId="52690" xr:uid="{00000000-0005-0000-0000-000064830000}"/>
    <cellStyle name="40% - Accent5 2 2 2 4 3" xfId="4286" xr:uid="{00000000-0005-0000-0000-000065830000}"/>
    <cellStyle name="40% - Accent5 2 2 2 4 3 2" xfId="9766" xr:uid="{00000000-0005-0000-0000-000066830000}"/>
    <cellStyle name="40% - Accent5 2 2 2 4 3 3" xfId="15242" xr:uid="{00000000-0005-0000-0000-000067830000}"/>
    <cellStyle name="40% - Accent5 2 2 2 4 3 4" xfId="20718" xr:uid="{00000000-0005-0000-0000-000068830000}"/>
    <cellStyle name="40% - Accent5 2 2 2 4 3 5" xfId="26194" xr:uid="{00000000-0005-0000-0000-000069830000}"/>
    <cellStyle name="40% - Accent5 2 2 2 4 3 6" xfId="37990" xr:uid="{00000000-0005-0000-0000-00006A830000}"/>
    <cellStyle name="40% - Accent5 2 2 2 4 3 7" xfId="43467" xr:uid="{00000000-0005-0000-0000-00006B830000}"/>
    <cellStyle name="40% - Accent5 2 2 2 4 3 8" xfId="48944" xr:uid="{00000000-0005-0000-0000-00006C830000}"/>
    <cellStyle name="40% - Accent5 2 2 2 4 3 9" xfId="54462" xr:uid="{00000000-0005-0000-0000-00006D830000}"/>
    <cellStyle name="40% - Accent5 2 2 2 4 4" xfId="6648" xr:uid="{00000000-0005-0000-0000-00006E830000}"/>
    <cellStyle name="40% - Accent5 2 2 2 4 5" xfId="12128" xr:uid="{00000000-0005-0000-0000-00006F830000}"/>
    <cellStyle name="40% - Accent5 2 2 2 4 6" xfId="17604" xr:uid="{00000000-0005-0000-0000-000070830000}"/>
    <cellStyle name="40% - Accent5 2 2 2 4 7" xfId="23080" xr:uid="{00000000-0005-0000-0000-000071830000}"/>
    <cellStyle name="40% - Accent5 2 2 2 4 8" xfId="34875" xr:uid="{00000000-0005-0000-0000-000072830000}"/>
    <cellStyle name="40% - Accent5 2 2 2 4 9" xfId="40352" xr:uid="{00000000-0005-0000-0000-000073830000}"/>
    <cellStyle name="40% - Accent5 2 2 2 5" xfId="925" xr:uid="{00000000-0005-0000-0000-000074830000}"/>
    <cellStyle name="40% - Accent5 2 2 2 5 10" xfId="45830" xr:uid="{00000000-0005-0000-0000-000075830000}"/>
    <cellStyle name="40% - Accent5 2 2 2 5 11" xfId="51308" xr:uid="{00000000-0005-0000-0000-000076830000}"/>
    <cellStyle name="40% - Accent5 2 2 2 5 2" xfId="2686" xr:uid="{00000000-0005-0000-0000-000077830000}"/>
    <cellStyle name="40% - Accent5 2 2 2 5 2 2" xfId="8166" xr:uid="{00000000-0005-0000-0000-000078830000}"/>
    <cellStyle name="40% - Accent5 2 2 2 5 2 3" xfId="13642" xr:uid="{00000000-0005-0000-0000-000079830000}"/>
    <cellStyle name="40% - Accent5 2 2 2 5 2 4" xfId="19118" xr:uid="{00000000-0005-0000-0000-00007A830000}"/>
    <cellStyle name="40% - Accent5 2 2 2 5 2 5" xfId="24594" xr:uid="{00000000-0005-0000-0000-00007B830000}"/>
    <cellStyle name="40% - Accent5 2 2 2 5 2 6" xfId="36390" xr:uid="{00000000-0005-0000-0000-00007C830000}"/>
    <cellStyle name="40% - Accent5 2 2 2 5 2 7" xfId="41867" xr:uid="{00000000-0005-0000-0000-00007D830000}"/>
    <cellStyle name="40% - Accent5 2 2 2 5 2 8" xfId="47344" xr:uid="{00000000-0005-0000-0000-00007E830000}"/>
    <cellStyle name="40% - Accent5 2 2 2 5 2 9" xfId="52862" xr:uid="{00000000-0005-0000-0000-00007F830000}"/>
    <cellStyle name="40% - Accent5 2 2 2 5 3" xfId="4458" xr:uid="{00000000-0005-0000-0000-000080830000}"/>
    <cellStyle name="40% - Accent5 2 2 2 5 3 2" xfId="9938" xr:uid="{00000000-0005-0000-0000-000081830000}"/>
    <cellStyle name="40% - Accent5 2 2 2 5 3 3" xfId="15414" xr:uid="{00000000-0005-0000-0000-000082830000}"/>
    <cellStyle name="40% - Accent5 2 2 2 5 3 4" xfId="20890" xr:uid="{00000000-0005-0000-0000-000083830000}"/>
    <cellStyle name="40% - Accent5 2 2 2 5 3 5" xfId="26366" xr:uid="{00000000-0005-0000-0000-000084830000}"/>
    <cellStyle name="40% - Accent5 2 2 2 5 3 6" xfId="38162" xr:uid="{00000000-0005-0000-0000-000085830000}"/>
    <cellStyle name="40% - Accent5 2 2 2 5 3 7" xfId="43639" xr:uid="{00000000-0005-0000-0000-000086830000}"/>
    <cellStyle name="40% - Accent5 2 2 2 5 3 8" xfId="49116" xr:uid="{00000000-0005-0000-0000-000087830000}"/>
    <cellStyle name="40% - Accent5 2 2 2 5 3 9" xfId="54634" xr:uid="{00000000-0005-0000-0000-000088830000}"/>
    <cellStyle name="40% - Accent5 2 2 2 5 4" xfId="6649" xr:uid="{00000000-0005-0000-0000-000089830000}"/>
    <cellStyle name="40% - Accent5 2 2 2 5 5" xfId="12129" xr:uid="{00000000-0005-0000-0000-00008A830000}"/>
    <cellStyle name="40% - Accent5 2 2 2 5 6" xfId="17605" xr:uid="{00000000-0005-0000-0000-00008B830000}"/>
    <cellStyle name="40% - Accent5 2 2 2 5 7" xfId="23081" xr:uid="{00000000-0005-0000-0000-00008C830000}"/>
    <cellStyle name="40% - Accent5 2 2 2 5 8" xfId="34876" xr:uid="{00000000-0005-0000-0000-00008D830000}"/>
    <cellStyle name="40% - Accent5 2 2 2 5 9" xfId="40353" xr:uid="{00000000-0005-0000-0000-00008E830000}"/>
    <cellStyle name="40% - Accent5 2 2 2 6" xfId="1131" xr:uid="{00000000-0005-0000-0000-00008F830000}"/>
    <cellStyle name="40% - Accent5 2 2 2 6 10" xfId="45831" xr:uid="{00000000-0005-0000-0000-000090830000}"/>
    <cellStyle name="40% - Accent5 2 2 2 6 11" xfId="51309" xr:uid="{00000000-0005-0000-0000-000091830000}"/>
    <cellStyle name="40% - Accent5 2 2 2 6 2" xfId="2892" xr:uid="{00000000-0005-0000-0000-000092830000}"/>
    <cellStyle name="40% - Accent5 2 2 2 6 2 2" xfId="8372" xr:uid="{00000000-0005-0000-0000-000093830000}"/>
    <cellStyle name="40% - Accent5 2 2 2 6 2 3" xfId="13848" xr:uid="{00000000-0005-0000-0000-000094830000}"/>
    <cellStyle name="40% - Accent5 2 2 2 6 2 4" xfId="19324" xr:uid="{00000000-0005-0000-0000-000095830000}"/>
    <cellStyle name="40% - Accent5 2 2 2 6 2 5" xfId="24800" xr:uid="{00000000-0005-0000-0000-000096830000}"/>
    <cellStyle name="40% - Accent5 2 2 2 6 2 6" xfId="36596" xr:uid="{00000000-0005-0000-0000-000097830000}"/>
    <cellStyle name="40% - Accent5 2 2 2 6 2 7" xfId="42073" xr:uid="{00000000-0005-0000-0000-000098830000}"/>
    <cellStyle name="40% - Accent5 2 2 2 6 2 8" xfId="47550" xr:uid="{00000000-0005-0000-0000-000099830000}"/>
    <cellStyle name="40% - Accent5 2 2 2 6 2 9" xfId="53068" xr:uid="{00000000-0005-0000-0000-00009A830000}"/>
    <cellStyle name="40% - Accent5 2 2 2 6 3" xfId="4664" xr:uid="{00000000-0005-0000-0000-00009B830000}"/>
    <cellStyle name="40% - Accent5 2 2 2 6 3 2" xfId="10144" xr:uid="{00000000-0005-0000-0000-00009C830000}"/>
    <cellStyle name="40% - Accent5 2 2 2 6 3 3" xfId="15620" xr:uid="{00000000-0005-0000-0000-00009D830000}"/>
    <cellStyle name="40% - Accent5 2 2 2 6 3 4" xfId="21096" xr:uid="{00000000-0005-0000-0000-00009E830000}"/>
    <cellStyle name="40% - Accent5 2 2 2 6 3 5" xfId="26572" xr:uid="{00000000-0005-0000-0000-00009F830000}"/>
    <cellStyle name="40% - Accent5 2 2 2 6 3 6" xfId="38368" xr:uid="{00000000-0005-0000-0000-0000A0830000}"/>
    <cellStyle name="40% - Accent5 2 2 2 6 3 7" xfId="43845" xr:uid="{00000000-0005-0000-0000-0000A1830000}"/>
    <cellStyle name="40% - Accent5 2 2 2 6 3 8" xfId="49322" xr:uid="{00000000-0005-0000-0000-0000A2830000}"/>
    <cellStyle name="40% - Accent5 2 2 2 6 3 9" xfId="54840" xr:uid="{00000000-0005-0000-0000-0000A3830000}"/>
    <cellStyle name="40% - Accent5 2 2 2 6 4" xfId="6650" xr:uid="{00000000-0005-0000-0000-0000A4830000}"/>
    <cellStyle name="40% - Accent5 2 2 2 6 5" xfId="12130" xr:uid="{00000000-0005-0000-0000-0000A5830000}"/>
    <cellStyle name="40% - Accent5 2 2 2 6 6" xfId="17606" xr:uid="{00000000-0005-0000-0000-0000A6830000}"/>
    <cellStyle name="40% - Accent5 2 2 2 6 7" xfId="23082" xr:uid="{00000000-0005-0000-0000-0000A7830000}"/>
    <cellStyle name="40% - Accent5 2 2 2 6 8" xfId="34877" xr:uid="{00000000-0005-0000-0000-0000A8830000}"/>
    <cellStyle name="40% - Accent5 2 2 2 6 9" xfId="40354" xr:uid="{00000000-0005-0000-0000-0000A9830000}"/>
    <cellStyle name="40% - Accent5 2 2 2 7" xfId="1303" xr:uid="{00000000-0005-0000-0000-0000AA830000}"/>
    <cellStyle name="40% - Accent5 2 2 2 7 10" xfId="45832" xr:uid="{00000000-0005-0000-0000-0000AB830000}"/>
    <cellStyle name="40% - Accent5 2 2 2 7 11" xfId="51310" xr:uid="{00000000-0005-0000-0000-0000AC830000}"/>
    <cellStyle name="40% - Accent5 2 2 2 7 2" xfId="3064" xr:uid="{00000000-0005-0000-0000-0000AD830000}"/>
    <cellStyle name="40% - Accent5 2 2 2 7 2 2" xfId="8544" xr:uid="{00000000-0005-0000-0000-0000AE830000}"/>
    <cellStyle name="40% - Accent5 2 2 2 7 2 3" xfId="14020" xr:uid="{00000000-0005-0000-0000-0000AF830000}"/>
    <cellStyle name="40% - Accent5 2 2 2 7 2 4" xfId="19496" xr:uid="{00000000-0005-0000-0000-0000B0830000}"/>
    <cellStyle name="40% - Accent5 2 2 2 7 2 5" xfId="24972" xr:uid="{00000000-0005-0000-0000-0000B1830000}"/>
    <cellStyle name="40% - Accent5 2 2 2 7 2 6" xfId="36768" xr:uid="{00000000-0005-0000-0000-0000B2830000}"/>
    <cellStyle name="40% - Accent5 2 2 2 7 2 7" xfId="42245" xr:uid="{00000000-0005-0000-0000-0000B3830000}"/>
    <cellStyle name="40% - Accent5 2 2 2 7 2 8" xfId="47722" xr:uid="{00000000-0005-0000-0000-0000B4830000}"/>
    <cellStyle name="40% - Accent5 2 2 2 7 2 9" xfId="53240" xr:uid="{00000000-0005-0000-0000-0000B5830000}"/>
    <cellStyle name="40% - Accent5 2 2 2 7 3" xfId="4836" xr:uid="{00000000-0005-0000-0000-0000B6830000}"/>
    <cellStyle name="40% - Accent5 2 2 2 7 3 2" xfId="10316" xr:uid="{00000000-0005-0000-0000-0000B7830000}"/>
    <cellStyle name="40% - Accent5 2 2 2 7 3 3" xfId="15792" xr:uid="{00000000-0005-0000-0000-0000B8830000}"/>
    <cellStyle name="40% - Accent5 2 2 2 7 3 4" xfId="21268" xr:uid="{00000000-0005-0000-0000-0000B9830000}"/>
    <cellStyle name="40% - Accent5 2 2 2 7 3 5" xfId="26744" xr:uid="{00000000-0005-0000-0000-0000BA830000}"/>
    <cellStyle name="40% - Accent5 2 2 2 7 3 6" xfId="38540" xr:uid="{00000000-0005-0000-0000-0000BB830000}"/>
    <cellStyle name="40% - Accent5 2 2 2 7 3 7" xfId="44017" xr:uid="{00000000-0005-0000-0000-0000BC830000}"/>
    <cellStyle name="40% - Accent5 2 2 2 7 3 8" xfId="49494" xr:uid="{00000000-0005-0000-0000-0000BD830000}"/>
    <cellStyle name="40% - Accent5 2 2 2 7 3 9" xfId="55012" xr:uid="{00000000-0005-0000-0000-0000BE830000}"/>
    <cellStyle name="40% - Accent5 2 2 2 7 4" xfId="6651" xr:uid="{00000000-0005-0000-0000-0000BF830000}"/>
    <cellStyle name="40% - Accent5 2 2 2 7 5" xfId="12131" xr:uid="{00000000-0005-0000-0000-0000C0830000}"/>
    <cellStyle name="40% - Accent5 2 2 2 7 6" xfId="17607" xr:uid="{00000000-0005-0000-0000-0000C1830000}"/>
    <cellStyle name="40% - Accent5 2 2 2 7 7" xfId="23083" xr:uid="{00000000-0005-0000-0000-0000C2830000}"/>
    <cellStyle name="40% - Accent5 2 2 2 7 8" xfId="34878" xr:uid="{00000000-0005-0000-0000-0000C3830000}"/>
    <cellStyle name="40% - Accent5 2 2 2 7 9" xfId="40355" xr:uid="{00000000-0005-0000-0000-0000C4830000}"/>
    <cellStyle name="40% - Accent5 2 2 2 8" xfId="1475" xr:uid="{00000000-0005-0000-0000-0000C5830000}"/>
    <cellStyle name="40% - Accent5 2 2 2 8 10" xfId="45833" xr:uid="{00000000-0005-0000-0000-0000C6830000}"/>
    <cellStyle name="40% - Accent5 2 2 2 8 11" xfId="51311" xr:uid="{00000000-0005-0000-0000-0000C7830000}"/>
    <cellStyle name="40% - Accent5 2 2 2 8 2" xfId="3236" xr:uid="{00000000-0005-0000-0000-0000C8830000}"/>
    <cellStyle name="40% - Accent5 2 2 2 8 2 2" xfId="8716" xr:uid="{00000000-0005-0000-0000-0000C9830000}"/>
    <cellStyle name="40% - Accent5 2 2 2 8 2 3" xfId="14192" xr:uid="{00000000-0005-0000-0000-0000CA830000}"/>
    <cellStyle name="40% - Accent5 2 2 2 8 2 4" xfId="19668" xr:uid="{00000000-0005-0000-0000-0000CB830000}"/>
    <cellStyle name="40% - Accent5 2 2 2 8 2 5" xfId="25144" xr:uid="{00000000-0005-0000-0000-0000CC830000}"/>
    <cellStyle name="40% - Accent5 2 2 2 8 2 6" xfId="36940" xr:uid="{00000000-0005-0000-0000-0000CD830000}"/>
    <cellStyle name="40% - Accent5 2 2 2 8 2 7" xfId="42417" xr:uid="{00000000-0005-0000-0000-0000CE830000}"/>
    <cellStyle name="40% - Accent5 2 2 2 8 2 8" xfId="47894" xr:uid="{00000000-0005-0000-0000-0000CF830000}"/>
    <cellStyle name="40% - Accent5 2 2 2 8 2 9" xfId="53412" xr:uid="{00000000-0005-0000-0000-0000D0830000}"/>
    <cellStyle name="40% - Accent5 2 2 2 8 3" xfId="5008" xr:uid="{00000000-0005-0000-0000-0000D1830000}"/>
    <cellStyle name="40% - Accent5 2 2 2 8 3 2" xfId="10488" xr:uid="{00000000-0005-0000-0000-0000D2830000}"/>
    <cellStyle name="40% - Accent5 2 2 2 8 3 3" xfId="15964" xr:uid="{00000000-0005-0000-0000-0000D3830000}"/>
    <cellStyle name="40% - Accent5 2 2 2 8 3 4" xfId="21440" xr:uid="{00000000-0005-0000-0000-0000D4830000}"/>
    <cellStyle name="40% - Accent5 2 2 2 8 3 5" xfId="26916" xr:uid="{00000000-0005-0000-0000-0000D5830000}"/>
    <cellStyle name="40% - Accent5 2 2 2 8 3 6" xfId="38712" xr:uid="{00000000-0005-0000-0000-0000D6830000}"/>
    <cellStyle name="40% - Accent5 2 2 2 8 3 7" xfId="44189" xr:uid="{00000000-0005-0000-0000-0000D7830000}"/>
    <cellStyle name="40% - Accent5 2 2 2 8 3 8" xfId="49666" xr:uid="{00000000-0005-0000-0000-0000D8830000}"/>
    <cellStyle name="40% - Accent5 2 2 2 8 3 9" xfId="55184" xr:uid="{00000000-0005-0000-0000-0000D9830000}"/>
    <cellStyle name="40% - Accent5 2 2 2 8 4" xfId="6652" xr:uid="{00000000-0005-0000-0000-0000DA830000}"/>
    <cellStyle name="40% - Accent5 2 2 2 8 5" xfId="12132" xr:uid="{00000000-0005-0000-0000-0000DB830000}"/>
    <cellStyle name="40% - Accent5 2 2 2 8 6" xfId="17608" xr:uid="{00000000-0005-0000-0000-0000DC830000}"/>
    <cellStyle name="40% - Accent5 2 2 2 8 7" xfId="23084" xr:uid="{00000000-0005-0000-0000-0000DD830000}"/>
    <cellStyle name="40% - Accent5 2 2 2 8 8" xfId="34879" xr:uid="{00000000-0005-0000-0000-0000DE830000}"/>
    <cellStyle name="40% - Accent5 2 2 2 8 9" xfId="40356" xr:uid="{00000000-0005-0000-0000-0000DF830000}"/>
    <cellStyle name="40% - Accent5 2 2 2 9" xfId="1647" xr:uid="{00000000-0005-0000-0000-0000E0830000}"/>
    <cellStyle name="40% - Accent5 2 2 2 9 10" xfId="45834" xr:uid="{00000000-0005-0000-0000-0000E1830000}"/>
    <cellStyle name="40% - Accent5 2 2 2 9 11" xfId="51312" xr:uid="{00000000-0005-0000-0000-0000E2830000}"/>
    <cellStyle name="40% - Accent5 2 2 2 9 2" xfId="3408" xr:uid="{00000000-0005-0000-0000-0000E3830000}"/>
    <cellStyle name="40% - Accent5 2 2 2 9 2 2" xfId="8888" xr:uid="{00000000-0005-0000-0000-0000E4830000}"/>
    <cellStyle name="40% - Accent5 2 2 2 9 2 3" xfId="14364" xr:uid="{00000000-0005-0000-0000-0000E5830000}"/>
    <cellStyle name="40% - Accent5 2 2 2 9 2 4" xfId="19840" xr:uid="{00000000-0005-0000-0000-0000E6830000}"/>
    <cellStyle name="40% - Accent5 2 2 2 9 2 5" xfId="25316" xr:uid="{00000000-0005-0000-0000-0000E7830000}"/>
    <cellStyle name="40% - Accent5 2 2 2 9 2 6" xfId="37112" xr:uid="{00000000-0005-0000-0000-0000E8830000}"/>
    <cellStyle name="40% - Accent5 2 2 2 9 2 7" xfId="42589" xr:uid="{00000000-0005-0000-0000-0000E9830000}"/>
    <cellStyle name="40% - Accent5 2 2 2 9 2 8" xfId="48066" xr:uid="{00000000-0005-0000-0000-0000EA830000}"/>
    <cellStyle name="40% - Accent5 2 2 2 9 2 9" xfId="53584" xr:uid="{00000000-0005-0000-0000-0000EB830000}"/>
    <cellStyle name="40% - Accent5 2 2 2 9 3" xfId="5180" xr:uid="{00000000-0005-0000-0000-0000EC830000}"/>
    <cellStyle name="40% - Accent5 2 2 2 9 3 2" xfId="10660" xr:uid="{00000000-0005-0000-0000-0000ED830000}"/>
    <cellStyle name="40% - Accent5 2 2 2 9 3 3" xfId="16136" xr:uid="{00000000-0005-0000-0000-0000EE830000}"/>
    <cellStyle name="40% - Accent5 2 2 2 9 3 4" xfId="21612" xr:uid="{00000000-0005-0000-0000-0000EF830000}"/>
    <cellStyle name="40% - Accent5 2 2 2 9 3 5" xfId="27088" xr:uid="{00000000-0005-0000-0000-0000F0830000}"/>
    <cellStyle name="40% - Accent5 2 2 2 9 3 6" xfId="38884" xr:uid="{00000000-0005-0000-0000-0000F1830000}"/>
    <cellStyle name="40% - Accent5 2 2 2 9 3 7" xfId="44361" xr:uid="{00000000-0005-0000-0000-0000F2830000}"/>
    <cellStyle name="40% - Accent5 2 2 2 9 3 8" xfId="49838" xr:uid="{00000000-0005-0000-0000-0000F3830000}"/>
    <cellStyle name="40% - Accent5 2 2 2 9 3 9" xfId="55356" xr:uid="{00000000-0005-0000-0000-0000F4830000}"/>
    <cellStyle name="40% - Accent5 2 2 2 9 4" xfId="6653" xr:uid="{00000000-0005-0000-0000-0000F5830000}"/>
    <cellStyle name="40% - Accent5 2 2 2 9 5" xfId="12133" xr:uid="{00000000-0005-0000-0000-0000F6830000}"/>
    <cellStyle name="40% - Accent5 2 2 2 9 6" xfId="17609" xr:uid="{00000000-0005-0000-0000-0000F7830000}"/>
    <cellStyle name="40% - Accent5 2 2 2 9 7" xfId="23085" xr:uid="{00000000-0005-0000-0000-0000F8830000}"/>
    <cellStyle name="40% - Accent5 2 2 2 9 8" xfId="34880" xr:uid="{00000000-0005-0000-0000-0000F9830000}"/>
    <cellStyle name="40% - Accent5 2 2 2 9 9" xfId="40357" xr:uid="{00000000-0005-0000-0000-0000FA830000}"/>
    <cellStyle name="40% - Accent5 2 2 20" xfId="40345" xr:uid="{00000000-0005-0000-0000-0000FB830000}"/>
    <cellStyle name="40% - Accent5 2 2 21" xfId="45822" xr:uid="{00000000-0005-0000-0000-0000FC830000}"/>
    <cellStyle name="40% - Accent5 2 2 22" xfId="51300" xr:uid="{00000000-0005-0000-0000-0000FD830000}"/>
    <cellStyle name="40% - Accent5 2 2 3" xfId="379" xr:uid="{00000000-0005-0000-0000-0000FE830000}"/>
    <cellStyle name="40% - Accent5 2 2 3 10" xfId="40358" xr:uid="{00000000-0005-0000-0000-0000FF830000}"/>
    <cellStyle name="40% - Accent5 2 2 3 11" xfId="45835" xr:uid="{00000000-0005-0000-0000-000000840000}"/>
    <cellStyle name="40% - Accent5 2 2 3 12" xfId="51313" xr:uid="{00000000-0005-0000-0000-000001840000}"/>
    <cellStyle name="40% - Accent5 2 2 3 2" xfId="2171" xr:uid="{00000000-0005-0000-0000-000002840000}"/>
    <cellStyle name="40% - Accent5 2 2 3 2 2" xfId="7651" xr:uid="{00000000-0005-0000-0000-000003840000}"/>
    <cellStyle name="40% - Accent5 2 2 3 2 3" xfId="13127" xr:uid="{00000000-0005-0000-0000-000004840000}"/>
    <cellStyle name="40% - Accent5 2 2 3 2 4" xfId="18603" xr:uid="{00000000-0005-0000-0000-000005840000}"/>
    <cellStyle name="40% - Accent5 2 2 3 2 5" xfId="24079" xr:uid="{00000000-0005-0000-0000-000006840000}"/>
    <cellStyle name="40% - Accent5 2 2 3 2 6" xfId="35875" xr:uid="{00000000-0005-0000-0000-000007840000}"/>
    <cellStyle name="40% - Accent5 2 2 3 2 7" xfId="41352" xr:uid="{00000000-0005-0000-0000-000008840000}"/>
    <cellStyle name="40% - Accent5 2 2 3 2 8" xfId="46829" xr:uid="{00000000-0005-0000-0000-000009840000}"/>
    <cellStyle name="40% - Accent5 2 2 3 2 9" xfId="52347" xr:uid="{00000000-0005-0000-0000-00000A840000}"/>
    <cellStyle name="40% - Accent5 2 2 3 3" xfId="3941" xr:uid="{00000000-0005-0000-0000-00000B840000}"/>
    <cellStyle name="40% - Accent5 2 2 3 3 2" xfId="9421" xr:uid="{00000000-0005-0000-0000-00000C840000}"/>
    <cellStyle name="40% - Accent5 2 2 3 3 3" xfId="14897" xr:uid="{00000000-0005-0000-0000-00000D840000}"/>
    <cellStyle name="40% - Accent5 2 2 3 3 4" xfId="20373" xr:uid="{00000000-0005-0000-0000-00000E840000}"/>
    <cellStyle name="40% - Accent5 2 2 3 3 5" xfId="25849" xr:uid="{00000000-0005-0000-0000-00000F840000}"/>
    <cellStyle name="40% - Accent5 2 2 3 3 6" xfId="37645" xr:uid="{00000000-0005-0000-0000-000010840000}"/>
    <cellStyle name="40% - Accent5 2 2 3 3 7" xfId="43122" xr:uid="{00000000-0005-0000-0000-000011840000}"/>
    <cellStyle name="40% - Accent5 2 2 3 3 8" xfId="48599" xr:uid="{00000000-0005-0000-0000-000012840000}"/>
    <cellStyle name="40% - Accent5 2 2 3 3 9" xfId="54117" xr:uid="{00000000-0005-0000-0000-000013840000}"/>
    <cellStyle name="40% - Accent5 2 2 3 4" xfId="6654" xr:uid="{00000000-0005-0000-0000-000014840000}"/>
    <cellStyle name="40% - Accent5 2 2 3 5" xfId="12134" xr:uid="{00000000-0005-0000-0000-000015840000}"/>
    <cellStyle name="40% - Accent5 2 2 3 6" xfId="17610" xr:uid="{00000000-0005-0000-0000-000016840000}"/>
    <cellStyle name="40% - Accent5 2 2 3 7" xfId="23086" xr:uid="{00000000-0005-0000-0000-000017840000}"/>
    <cellStyle name="40% - Accent5 2 2 3 8" xfId="32112" xr:uid="{00000000-0005-0000-0000-000018840000}"/>
    <cellStyle name="40% - Accent5 2 2 3 9" xfId="34881" xr:uid="{00000000-0005-0000-0000-000019840000}"/>
    <cellStyle name="40% - Accent5 2 2 4" xfId="580" xr:uid="{00000000-0005-0000-0000-00001A840000}"/>
    <cellStyle name="40% - Accent5 2 2 4 10" xfId="45836" xr:uid="{00000000-0005-0000-0000-00001B840000}"/>
    <cellStyle name="40% - Accent5 2 2 4 11" xfId="51314" xr:uid="{00000000-0005-0000-0000-00001C840000}"/>
    <cellStyle name="40% - Accent5 2 2 4 2" xfId="2341" xr:uid="{00000000-0005-0000-0000-00001D840000}"/>
    <cellStyle name="40% - Accent5 2 2 4 2 2" xfId="7821" xr:uid="{00000000-0005-0000-0000-00001E840000}"/>
    <cellStyle name="40% - Accent5 2 2 4 2 3" xfId="13297" xr:uid="{00000000-0005-0000-0000-00001F840000}"/>
    <cellStyle name="40% - Accent5 2 2 4 2 4" xfId="18773" xr:uid="{00000000-0005-0000-0000-000020840000}"/>
    <cellStyle name="40% - Accent5 2 2 4 2 5" xfId="24249" xr:uid="{00000000-0005-0000-0000-000021840000}"/>
    <cellStyle name="40% - Accent5 2 2 4 2 6" xfId="36045" xr:uid="{00000000-0005-0000-0000-000022840000}"/>
    <cellStyle name="40% - Accent5 2 2 4 2 7" xfId="41522" xr:uid="{00000000-0005-0000-0000-000023840000}"/>
    <cellStyle name="40% - Accent5 2 2 4 2 8" xfId="46999" xr:uid="{00000000-0005-0000-0000-000024840000}"/>
    <cellStyle name="40% - Accent5 2 2 4 2 9" xfId="52517" xr:uid="{00000000-0005-0000-0000-000025840000}"/>
    <cellStyle name="40% - Accent5 2 2 4 3" xfId="4113" xr:uid="{00000000-0005-0000-0000-000026840000}"/>
    <cellStyle name="40% - Accent5 2 2 4 3 2" xfId="9593" xr:uid="{00000000-0005-0000-0000-000027840000}"/>
    <cellStyle name="40% - Accent5 2 2 4 3 3" xfId="15069" xr:uid="{00000000-0005-0000-0000-000028840000}"/>
    <cellStyle name="40% - Accent5 2 2 4 3 4" xfId="20545" xr:uid="{00000000-0005-0000-0000-000029840000}"/>
    <cellStyle name="40% - Accent5 2 2 4 3 5" xfId="26021" xr:uid="{00000000-0005-0000-0000-00002A840000}"/>
    <cellStyle name="40% - Accent5 2 2 4 3 6" xfId="37817" xr:uid="{00000000-0005-0000-0000-00002B840000}"/>
    <cellStyle name="40% - Accent5 2 2 4 3 7" xfId="43294" xr:uid="{00000000-0005-0000-0000-00002C840000}"/>
    <cellStyle name="40% - Accent5 2 2 4 3 8" xfId="48771" xr:uid="{00000000-0005-0000-0000-00002D840000}"/>
    <cellStyle name="40% - Accent5 2 2 4 3 9" xfId="54289" xr:uid="{00000000-0005-0000-0000-00002E840000}"/>
    <cellStyle name="40% - Accent5 2 2 4 4" xfId="6655" xr:uid="{00000000-0005-0000-0000-00002F840000}"/>
    <cellStyle name="40% - Accent5 2 2 4 5" xfId="12135" xr:uid="{00000000-0005-0000-0000-000030840000}"/>
    <cellStyle name="40% - Accent5 2 2 4 6" xfId="17611" xr:uid="{00000000-0005-0000-0000-000031840000}"/>
    <cellStyle name="40% - Accent5 2 2 4 7" xfId="23087" xr:uid="{00000000-0005-0000-0000-000032840000}"/>
    <cellStyle name="40% - Accent5 2 2 4 8" xfId="34882" xr:uid="{00000000-0005-0000-0000-000033840000}"/>
    <cellStyle name="40% - Accent5 2 2 4 9" xfId="40359" xr:uid="{00000000-0005-0000-0000-000034840000}"/>
    <cellStyle name="40% - Accent5 2 2 5" xfId="752" xr:uid="{00000000-0005-0000-0000-000035840000}"/>
    <cellStyle name="40% - Accent5 2 2 5 10" xfId="45837" xr:uid="{00000000-0005-0000-0000-000036840000}"/>
    <cellStyle name="40% - Accent5 2 2 5 11" xfId="51315" xr:uid="{00000000-0005-0000-0000-000037840000}"/>
    <cellStyle name="40% - Accent5 2 2 5 2" xfId="2513" xr:uid="{00000000-0005-0000-0000-000038840000}"/>
    <cellStyle name="40% - Accent5 2 2 5 2 2" xfId="7993" xr:uid="{00000000-0005-0000-0000-000039840000}"/>
    <cellStyle name="40% - Accent5 2 2 5 2 3" xfId="13469" xr:uid="{00000000-0005-0000-0000-00003A840000}"/>
    <cellStyle name="40% - Accent5 2 2 5 2 4" xfId="18945" xr:uid="{00000000-0005-0000-0000-00003B840000}"/>
    <cellStyle name="40% - Accent5 2 2 5 2 5" xfId="24421" xr:uid="{00000000-0005-0000-0000-00003C840000}"/>
    <cellStyle name="40% - Accent5 2 2 5 2 6" xfId="36217" xr:uid="{00000000-0005-0000-0000-00003D840000}"/>
    <cellStyle name="40% - Accent5 2 2 5 2 7" xfId="41694" xr:uid="{00000000-0005-0000-0000-00003E840000}"/>
    <cellStyle name="40% - Accent5 2 2 5 2 8" xfId="47171" xr:uid="{00000000-0005-0000-0000-00003F840000}"/>
    <cellStyle name="40% - Accent5 2 2 5 2 9" xfId="52689" xr:uid="{00000000-0005-0000-0000-000040840000}"/>
    <cellStyle name="40% - Accent5 2 2 5 3" xfId="4285" xr:uid="{00000000-0005-0000-0000-000041840000}"/>
    <cellStyle name="40% - Accent5 2 2 5 3 2" xfId="9765" xr:uid="{00000000-0005-0000-0000-000042840000}"/>
    <cellStyle name="40% - Accent5 2 2 5 3 3" xfId="15241" xr:uid="{00000000-0005-0000-0000-000043840000}"/>
    <cellStyle name="40% - Accent5 2 2 5 3 4" xfId="20717" xr:uid="{00000000-0005-0000-0000-000044840000}"/>
    <cellStyle name="40% - Accent5 2 2 5 3 5" xfId="26193" xr:uid="{00000000-0005-0000-0000-000045840000}"/>
    <cellStyle name="40% - Accent5 2 2 5 3 6" xfId="37989" xr:uid="{00000000-0005-0000-0000-000046840000}"/>
    <cellStyle name="40% - Accent5 2 2 5 3 7" xfId="43466" xr:uid="{00000000-0005-0000-0000-000047840000}"/>
    <cellStyle name="40% - Accent5 2 2 5 3 8" xfId="48943" xr:uid="{00000000-0005-0000-0000-000048840000}"/>
    <cellStyle name="40% - Accent5 2 2 5 3 9" xfId="54461" xr:uid="{00000000-0005-0000-0000-000049840000}"/>
    <cellStyle name="40% - Accent5 2 2 5 4" xfId="6656" xr:uid="{00000000-0005-0000-0000-00004A840000}"/>
    <cellStyle name="40% - Accent5 2 2 5 5" xfId="12136" xr:uid="{00000000-0005-0000-0000-00004B840000}"/>
    <cellStyle name="40% - Accent5 2 2 5 6" xfId="17612" xr:uid="{00000000-0005-0000-0000-00004C840000}"/>
    <cellStyle name="40% - Accent5 2 2 5 7" xfId="23088" xr:uid="{00000000-0005-0000-0000-00004D840000}"/>
    <cellStyle name="40% - Accent5 2 2 5 8" xfId="34883" xr:uid="{00000000-0005-0000-0000-00004E840000}"/>
    <cellStyle name="40% - Accent5 2 2 5 9" xfId="40360" xr:uid="{00000000-0005-0000-0000-00004F840000}"/>
    <cellStyle name="40% - Accent5 2 2 6" xfId="924" xr:uid="{00000000-0005-0000-0000-000050840000}"/>
    <cellStyle name="40% - Accent5 2 2 6 10" xfId="45838" xr:uid="{00000000-0005-0000-0000-000051840000}"/>
    <cellStyle name="40% - Accent5 2 2 6 11" xfId="51316" xr:uid="{00000000-0005-0000-0000-000052840000}"/>
    <cellStyle name="40% - Accent5 2 2 6 2" xfId="2685" xr:uid="{00000000-0005-0000-0000-000053840000}"/>
    <cellStyle name="40% - Accent5 2 2 6 2 2" xfId="8165" xr:uid="{00000000-0005-0000-0000-000054840000}"/>
    <cellStyle name="40% - Accent5 2 2 6 2 3" xfId="13641" xr:uid="{00000000-0005-0000-0000-000055840000}"/>
    <cellStyle name="40% - Accent5 2 2 6 2 4" xfId="19117" xr:uid="{00000000-0005-0000-0000-000056840000}"/>
    <cellStyle name="40% - Accent5 2 2 6 2 5" xfId="24593" xr:uid="{00000000-0005-0000-0000-000057840000}"/>
    <cellStyle name="40% - Accent5 2 2 6 2 6" xfId="36389" xr:uid="{00000000-0005-0000-0000-000058840000}"/>
    <cellStyle name="40% - Accent5 2 2 6 2 7" xfId="41866" xr:uid="{00000000-0005-0000-0000-000059840000}"/>
    <cellStyle name="40% - Accent5 2 2 6 2 8" xfId="47343" xr:uid="{00000000-0005-0000-0000-00005A840000}"/>
    <cellStyle name="40% - Accent5 2 2 6 2 9" xfId="52861" xr:uid="{00000000-0005-0000-0000-00005B840000}"/>
    <cellStyle name="40% - Accent5 2 2 6 3" xfId="4457" xr:uid="{00000000-0005-0000-0000-00005C840000}"/>
    <cellStyle name="40% - Accent5 2 2 6 3 2" xfId="9937" xr:uid="{00000000-0005-0000-0000-00005D840000}"/>
    <cellStyle name="40% - Accent5 2 2 6 3 3" xfId="15413" xr:uid="{00000000-0005-0000-0000-00005E840000}"/>
    <cellStyle name="40% - Accent5 2 2 6 3 4" xfId="20889" xr:uid="{00000000-0005-0000-0000-00005F840000}"/>
    <cellStyle name="40% - Accent5 2 2 6 3 5" xfId="26365" xr:uid="{00000000-0005-0000-0000-000060840000}"/>
    <cellStyle name="40% - Accent5 2 2 6 3 6" xfId="38161" xr:uid="{00000000-0005-0000-0000-000061840000}"/>
    <cellStyle name="40% - Accent5 2 2 6 3 7" xfId="43638" xr:uid="{00000000-0005-0000-0000-000062840000}"/>
    <cellStyle name="40% - Accent5 2 2 6 3 8" xfId="49115" xr:uid="{00000000-0005-0000-0000-000063840000}"/>
    <cellStyle name="40% - Accent5 2 2 6 3 9" xfId="54633" xr:uid="{00000000-0005-0000-0000-000064840000}"/>
    <cellStyle name="40% - Accent5 2 2 6 4" xfId="6657" xr:uid="{00000000-0005-0000-0000-000065840000}"/>
    <cellStyle name="40% - Accent5 2 2 6 5" xfId="12137" xr:uid="{00000000-0005-0000-0000-000066840000}"/>
    <cellStyle name="40% - Accent5 2 2 6 6" xfId="17613" xr:uid="{00000000-0005-0000-0000-000067840000}"/>
    <cellStyle name="40% - Accent5 2 2 6 7" xfId="23089" xr:uid="{00000000-0005-0000-0000-000068840000}"/>
    <cellStyle name="40% - Accent5 2 2 6 8" xfId="34884" xr:uid="{00000000-0005-0000-0000-000069840000}"/>
    <cellStyle name="40% - Accent5 2 2 6 9" xfId="40361" xr:uid="{00000000-0005-0000-0000-00006A840000}"/>
    <cellStyle name="40% - Accent5 2 2 7" xfId="1130" xr:uid="{00000000-0005-0000-0000-00006B840000}"/>
    <cellStyle name="40% - Accent5 2 2 7 10" xfId="45839" xr:uid="{00000000-0005-0000-0000-00006C840000}"/>
    <cellStyle name="40% - Accent5 2 2 7 11" xfId="51317" xr:uid="{00000000-0005-0000-0000-00006D840000}"/>
    <cellStyle name="40% - Accent5 2 2 7 2" xfId="2891" xr:uid="{00000000-0005-0000-0000-00006E840000}"/>
    <cellStyle name="40% - Accent5 2 2 7 2 2" xfId="8371" xr:uid="{00000000-0005-0000-0000-00006F840000}"/>
    <cellStyle name="40% - Accent5 2 2 7 2 3" xfId="13847" xr:uid="{00000000-0005-0000-0000-000070840000}"/>
    <cellStyle name="40% - Accent5 2 2 7 2 4" xfId="19323" xr:uid="{00000000-0005-0000-0000-000071840000}"/>
    <cellStyle name="40% - Accent5 2 2 7 2 5" xfId="24799" xr:uid="{00000000-0005-0000-0000-000072840000}"/>
    <cellStyle name="40% - Accent5 2 2 7 2 6" xfId="36595" xr:uid="{00000000-0005-0000-0000-000073840000}"/>
    <cellStyle name="40% - Accent5 2 2 7 2 7" xfId="42072" xr:uid="{00000000-0005-0000-0000-000074840000}"/>
    <cellStyle name="40% - Accent5 2 2 7 2 8" xfId="47549" xr:uid="{00000000-0005-0000-0000-000075840000}"/>
    <cellStyle name="40% - Accent5 2 2 7 2 9" xfId="53067" xr:uid="{00000000-0005-0000-0000-000076840000}"/>
    <cellStyle name="40% - Accent5 2 2 7 3" xfId="4663" xr:uid="{00000000-0005-0000-0000-000077840000}"/>
    <cellStyle name="40% - Accent5 2 2 7 3 2" xfId="10143" xr:uid="{00000000-0005-0000-0000-000078840000}"/>
    <cellStyle name="40% - Accent5 2 2 7 3 3" xfId="15619" xr:uid="{00000000-0005-0000-0000-000079840000}"/>
    <cellStyle name="40% - Accent5 2 2 7 3 4" xfId="21095" xr:uid="{00000000-0005-0000-0000-00007A840000}"/>
    <cellStyle name="40% - Accent5 2 2 7 3 5" xfId="26571" xr:uid="{00000000-0005-0000-0000-00007B840000}"/>
    <cellStyle name="40% - Accent5 2 2 7 3 6" xfId="38367" xr:uid="{00000000-0005-0000-0000-00007C840000}"/>
    <cellStyle name="40% - Accent5 2 2 7 3 7" xfId="43844" xr:uid="{00000000-0005-0000-0000-00007D840000}"/>
    <cellStyle name="40% - Accent5 2 2 7 3 8" xfId="49321" xr:uid="{00000000-0005-0000-0000-00007E840000}"/>
    <cellStyle name="40% - Accent5 2 2 7 3 9" xfId="54839" xr:uid="{00000000-0005-0000-0000-00007F840000}"/>
    <cellStyle name="40% - Accent5 2 2 7 4" xfId="6658" xr:uid="{00000000-0005-0000-0000-000080840000}"/>
    <cellStyle name="40% - Accent5 2 2 7 5" xfId="12138" xr:uid="{00000000-0005-0000-0000-000081840000}"/>
    <cellStyle name="40% - Accent5 2 2 7 6" xfId="17614" xr:uid="{00000000-0005-0000-0000-000082840000}"/>
    <cellStyle name="40% - Accent5 2 2 7 7" xfId="23090" xr:uid="{00000000-0005-0000-0000-000083840000}"/>
    <cellStyle name="40% - Accent5 2 2 7 8" xfId="34885" xr:uid="{00000000-0005-0000-0000-000084840000}"/>
    <cellStyle name="40% - Accent5 2 2 7 9" xfId="40362" xr:uid="{00000000-0005-0000-0000-000085840000}"/>
    <cellStyle name="40% - Accent5 2 2 8" xfId="1302" xr:uid="{00000000-0005-0000-0000-000086840000}"/>
    <cellStyle name="40% - Accent5 2 2 8 10" xfId="45840" xr:uid="{00000000-0005-0000-0000-000087840000}"/>
    <cellStyle name="40% - Accent5 2 2 8 11" xfId="51318" xr:uid="{00000000-0005-0000-0000-000088840000}"/>
    <cellStyle name="40% - Accent5 2 2 8 2" xfId="3063" xr:uid="{00000000-0005-0000-0000-000089840000}"/>
    <cellStyle name="40% - Accent5 2 2 8 2 2" xfId="8543" xr:uid="{00000000-0005-0000-0000-00008A840000}"/>
    <cellStyle name="40% - Accent5 2 2 8 2 3" xfId="14019" xr:uid="{00000000-0005-0000-0000-00008B840000}"/>
    <cellStyle name="40% - Accent5 2 2 8 2 4" xfId="19495" xr:uid="{00000000-0005-0000-0000-00008C840000}"/>
    <cellStyle name="40% - Accent5 2 2 8 2 5" xfId="24971" xr:uid="{00000000-0005-0000-0000-00008D840000}"/>
    <cellStyle name="40% - Accent5 2 2 8 2 6" xfId="36767" xr:uid="{00000000-0005-0000-0000-00008E840000}"/>
    <cellStyle name="40% - Accent5 2 2 8 2 7" xfId="42244" xr:uid="{00000000-0005-0000-0000-00008F840000}"/>
    <cellStyle name="40% - Accent5 2 2 8 2 8" xfId="47721" xr:uid="{00000000-0005-0000-0000-000090840000}"/>
    <cellStyle name="40% - Accent5 2 2 8 2 9" xfId="53239" xr:uid="{00000000-0005-0000-0000-000091840000}"/>
    <cellStyle name="40% - Accent5 2 2 8 3" xfId="4835" xr:uid="{00000000-0005-0000-0000-000092840000}"/>
    <cellStyle name="40% - Accent5 2 2 8 3 2" xfId="10315" xr:uid="{00000000-0005-0000-0000-000093840000}"/>
    <cellStyle name="40% - Accent5 2 2 8 3 3" xfId="15791" xr:uid="{00000000-0005-0000-0000-000094840000}"/>
    <cellStyle name="40% - Accent5 2 2 8 3 4" xfId="21267" xr:uid="{00000000-0005-0000-0000-000095840000}"/>
    <cellStyle name="40% - Accent5 2 2 8 3 5" xfId="26743" xr:uid="{00000000-0005-0000-0000-000096840000}"/>
    <cellStyle name="40% - Accent5 2 2 8 3 6" xfId="38539" xr:uid="{00000000-0005-0000-0000-000097840000}"/>
    <cellStyle name="40% - Accent5 2 2 8 3 7" xfId="44016" xr:uid="{00000000-0005-0000-0000-000098840000}"/>
    <cellStyle name="40% - Accent5 2 2 8 3 8" xfId="49493" xr:uid="{00000000-0005-0000-0000-000099840000}"/>
    <cellStyle name="40% - Accent5 2 2 8 3 9" xfId="55011" xr:uid="{00000000-0005-0000-0000-00009A840000}"/>
    <cellStyle name="40% - Accent5 2 2 8 4" xfId="6659" xr:uid="{00000000-0005-0000-0000-00009B840000}"/>
    <cellStyle name="40% - Accent5 2 2 8 5" xfId="12139" xr:uid="{00000000-0005-0000-0000-00009C840000}"/>
    <cellStyle name="40% - Accent5 2 2 8 6" xfId="17615" xr:uid="{00000000-0005-0000-0000-00009D840000}"/>
    <cellStyle name="40% - Accent5 2 2 8 7" xfId="23091" xr:uid="{00000000-0005-0000-0000-00009E840000}"/>
    <cellStyle name="40% - Accent5 2 2 8 8" xfId="34886" xr:uid="{00000000-0005-0000-0000-00009F840000}"/>
    <cellStyle name="40% - Accent5 2 2 8 9" xfId="40363" xr:uid="{00000000-0005-0000-0000-0000A0840000}"/>
    <cellStyle name="40% - Accent5 2 2 9" xfId="1474" xr:uid="{00000000-0005-0000-0000-0000A1840000}"/>
    <cellStyle name="40% - Accent5 2 2 9 10" xfId="45841" xr:uid="{00000000-0005-0000-0000-0000A2840000}"/>
    <cellStyle name="40% - Accent5 2 2 9 11" xfId="51319" xr:uid="{00000000-0005-0000-0000-0000A3840000}"/>
    <cellStyle name="40% - Accent5 2 2 9 2" xfId="3235" xr:uid="{00000000-0005-0000-0000-0000A4840000}"/>
    <cellStyle name="40% - Accent5 2 2 9 2 2" xfId="8715" xr:uid="{00000000-0005-0000-0000-0000A5840000}"/>
    <cellStyle name="40% - Accent5 2 2 9 2 3" xfId="14191" xr:uid="{00000000-0005-0000-0000-0000A6840000}"/>
    <cellStyle name="40% - Accent5 2 2 9 2 4" xfId="19667" xr:uid="{00000000-0005-0000-0000-0000A7840000}"/>
    <cellStyle name="40% - Accent5 2 2 9 2 5" xfId="25143" xr:uid="{00000000-0005-0000-0000-0000A8840000}"/>
    <cellStyle name="40% - Accent5 2 2 9 2 6" xfId="36939" xr:uid="{00000000-0005-0000-0000-0000A9840000}"/>
    <cellStyle name="40% - Accent5 2 2 9 2 7" xfId="42416" xr:uid="{00000000-0005-0000-0000-0000AA840000}"/>
    <cellStyle name="40% - Accent5 2 2 9 2 8" xfId="47893" xr:uid="{00000000-0005-0000-0000-0000AB840000}"/>
    <cellStyle name="40% - Accent5 2 2 9 2 9" xfId="53411" xr:uid="{00000000-0005-0000-0000-0000AC840000}"/>
    <cellStyle name="40% - Accent5 2 2 9 3" xfId="5007" xr:uid="{00000000-0005-0000-0000-0000AD840000}"/>
    <cellStyle name="40% - Accent5 2 2 9 3 2" xfId="10487" xr:uid="{00000000-0005-0000-0000-0000AE840000}"/>
    <cellStyle name="40% - Accent5 2 2 9 3 3" xfId="15963" xr:uid="{00000000-0005-0000-0000-0000AF840000}"/>
    <cellStyle name="40% - Accent5 2 2 9 3 4" xfId="21439" xr:uid="{00000000-0005-0000-0000-0000B0840000}"/>
    <cellStyle name="40% - Accent5 2 2 9 3 5" xfId="26915" xr:uid="{00000000-0005-0000-0000-0000B1840000}"/>
    <cellStyle name="40% - Accent5 2 2 9 3 6" xfId="38711" xr:uid="{00000000-0005-0000-0000-0000B2840000}"/>
    <cellStyle name="40% - Accent5 2 2 9 3 7" xfId="44188" xr:uid="{00000000-0005-0000-0000-0000B3840000}"/>
    <cellStyle name="40% - Accent5 2 2 9 3 8" xfId="49665" xr:uid="{00000000-0005-0000-0000-0000B4840000}"/>
    <cellStyle name="40% - Accent5 2 2 9 3 9" xfId="55183" xr:uid="{00000000-0005-0000-0000-0000B5840000}"/>
    <cellStyle name="40% - Accent5 2 2 9 4" xfId="6660" xr:uid="{00000000-0005-0000-0000-0000B6840000}"/>
    <cellStyle name="40% - Accent5 2 2 9 5" xfId="12140" xr:uid="{00000000-0005-0000-0000-0000B7840000}"/>
    <cellStyle name="40% - Accent5 2 2 9 6" xfId="17616" xr:uid="{00000000-0005-0000-0000-0000B8840000}"/>
    <cellStyle name="40% - Accent5 2 2 9 7" xfId="23092" xr:uid="{00000000-0005-0000-0000-0000B9840000}"/>
    <cellStyle name="40% - Accent5 2 2 9 8" xfId="34887" xr:uid="{00000000-0005-0000-0000-0000BA840000}"/>
    <cellStyle name="40% - Accent5 2 2 9 9" xfId="40364" xr:uid="{00000000-0005-0000-0000-0000BB840000}"/>
    <cellStyle name="40% - Accent5 2 20" xfId="6632" xr:uid="{00000000-0005-0000-0000-0000BC840000}"/>
    <cellStyle name="40% - Accent5 2 21" xfId="12112" xr:uid="{00000000-0005-0000-0000-0000BD840000}"/>
    <cellStyle name="40% - Accent5 2 22" xfId="17588" xr:uid="{00000000-0005-0000-0000-0000BE840000}"/>
    <cellStyle name="40% - Accent5 2 23" xfId="23064" xr:uid="{00000000-0005-0000-0000-0000BF840000}"/>
    <cellStyle name="40% - Accent5 2 24" xfId="32108" xr:uid="{00000000-0005-0000-0000-0000C0840000}"/>
    <cellStyle name="40% - Accent5 2 25" xfId="34859" xr:uid="{00000000-0005-0000-0000-0000C1840000}"/>
    <cellStyle name="40% - Accent5 2 26" xfId="40336" xr:uid="{00000000-0005-0000-0000-0000C2840000}"/>
    <cellStyle name="40% - Accent5 2 27" xfId="45813" xr:uid="{00000000-0005-0000-0000-0000C3840000}"/>
    <cellStyle name="40% - Accent5 2 28" xfId="51291" xr:uid="{00000000-0005-0000-0000-0000C4840000}"/>
    <cellStyle name="40% - Accent5 2 3" xfId="157" xr:uid="{00000000-0005-0000-0000-0000C5840000}"/>
    <cellStyle name="40% - Accent5 2 3 10" xfId="1648" xr:uid="{00000000-0005-0000-0000-0000C6840000}"/>
    <cellStyle name="40% - Accent5 2 3 10 10" xfId="45843" xr:uid="{00000000-0005-0000-0000-0000C7840000}"/>
    <cellStyle name="40% - Accent5 2 3 10 11" xfId="51321" xr:uid="{00000000-0005-0000-0000-0000C8840000}"/>
    <cellStyle name="40% - Accent5 2 3 10 2" xfId="3409" xr:uid="{00000000-0005-0000-0000-0000C9840000}"/>
    <cellStyle name="40% - Accent5 2 3 10 2 2" xfId="8889" xr:uid="{00000000-0005-0000-0000-0000CA840000}"/>
    <cellStyle name="40% - Accent5 2 3 10 2 3" xfId="14365" xr:uid="{00000000-0005-0000-0000-0000CB840000}"/>
    <cellStyle name="40% - Accent5 2 3 10 2 4" xfId="19841" xr:uid="{00000000-0005-0000-0000-0000CC840000}"/>
    <cellStyle name="40% - Accent5 2 3 10 2 5" xfId="25317" xr:uid="{00000000-0005-0000-0000-0000CD840000}"/>
    <cellStyle name="40% - Accent5 2 3 10 2 6" xfId="37113" xr:uid="{00000000-0005-0000-0000-0000CE840000}"/>
    <cellStyle name="40% - Accent5 2 3 10 2 7" xfId="42590" xr:uid="{00000000-0005-0000-0000-0000CF840000}"/>
    <cellStyle name="40% - Accent5 2 3 10 2 8" xfId="48067" xr:uid="{00000000-0005-0000-0000-0000D0840000}"/>
    <cellStyle name="40% - Accent5 2 3 10 2 9" xfId="53585" xr:uid="{00000000-0005-0000-0000-0000D1840000}"/>
    <cellStyle name="40% - Accent5 2 3 10 3" xfId="5181" xr:uid="{00000000-0005-0000-0000-0000D2840000}"/>
    <cellStyle name="40% - Accent5 2 3 10 3 2" xfId="10661" xr:uid="{00000000-0005-0000-0000-0000D3840000}"/>
    <cellStyle name="40% - Accent5 2 3 10 3 3" xfId="16137" xr:uid="{00000000-0005-0000-0000-0000D4840000}"/>
    <cellStyle name="40% - Accent5 2 3 10 3 4" xfId="21613" xr:uid="{00000000-0005-0000-0000-0000D5840000}"/>
    <cellStyle name="40% - Accent5 2 3 10 3 5" xfId="27089" xr:uid="{00000000-0005-0000-0000-0000D6840000}"/>
    <cellStyle name="40% - Accent5 2 3 10 3 6" xfId="38885" xr:uid="{00000000-0005-0000-0000-0000D7840000}"/>
    <cellStyle name="40% - Accent5 2 3 10 3 7" xfId="44362" xr:uid="{00000000-0005-0000-0000-0000D8840000}"/>
    <cellStyle name="40% - Accent5 2 3 10 3 8" xfId="49839" xr:uid="{00000000-0005-0000-0000-0000D9840000}"/>
    <cellStyle name="40% - Accent5 2 3 10 3 9" xfId="55357" xr:uid="{00000000-0005-0000-0000-0000DA840000}"/>
    <cellStyle name="40% - Accent5 2 3 10 4" xfId="6662" xr:uid="{00000000-0005-0000-0000-0000DB840000}"/>
    <cellStyle name="40% - Accent5 2 3 10 5" xfId="12142" xr:uid="{00000000-0005-0000-0000-0000DC840000}"/>
    <cellStyle name="40% - Accent5 2 3 10 6" xfId="17618" xr:uid="{00000000-0005-0000-0000-0000DD840000}"/>
    <cellStyle name="40% - Accent5 2 3 10 7" xfId="23094" xr:uid="{00000000-0005-0000-0000-0000DE840000}"/>
    <cellStyle name="40% - Accent5 2 3 10 8" xfId="34889" xr:uid="{00000000-0005-0000-0000-0000DF840000}"/>
    <cellStyle name="40% - Accent5 2 3 10 9" xfId="40366" xr:uid="{00000000-0005-0000-0000-0000E0840000}"/>
    <cellStyle name="40% - Accent5 2 3 11" xfId="1843" xr:uid="{00000000-0005-0000-0000-0000E1840000}"/>
    <cellStyle name="40% - Accent5 2 3 11 10" xfId="45844" xr:uid="{00000000-0005-0000-0000-0000E2840000}"/>
    <cellStyle name="40% - Accent5 2 3 11 11" xfId="51322" xr:uid="{00000000-0005-0000-0000-0000E3840000}"/>
    <cellStyle name="40% - Accent5 2 3 11 2" xfId="3604" xr:uid="{00000000-0005-0000-0000-0000E4840000}"/>
    <cellStyle name="40% - Accent5 2 3 11 2 2" xfId="9084" xr:uid="{00000000-0005-0000-0000-0000E5840000}"/>
    <cellStyle name="40% - Accent5 2 3 11 2 3" xfId="14560" xr:uid="{00000000-0005-0000-0000-0000E6840000}"/>
    <cellStyle name="40% - Accent5 2 3 11 2 4" xfId="20036" xr:uid="{00000000-0005-0000-0000-0000E7840000}"/>
    <cellStyle name="40% - Accent5 2 3 11 2 5" xfId="25512" xr:uid="{00000000-0005-0000-0000-0000E8840000}"/>
    <cellStyle name="40% - Accent5 2 3 11 2 6" xfId="37308" xr:uid="{00000000-0005-0000-0000-0000E9840000}"/>
    <cellStyle name="40% - Accent5 2 3 11 2 7" xfId="42785" xr:uid="{00000000-0005-0000-0000-0000EA840000}"/>
    <cellStyle name="40% - Accent5 2 3 11 2 8" xfId="48262" xr:uid="{00000000-0005-0000-0000-0000EB840000}"/>
    <cellStyle name="40% - Accent5 2 3 11 2 9" xfId="53780" xr:uid="{00000000-0005-0000-0000-0000EC840000}"/>
    <cellStyle name="40% - Accent5 2 3 11 3" xfId="5376" xr:uid="{00000000-0005-0000-0000-0000ED840000}"/>
    <cellStyle name="40% - Accent5 2 3 11 3 2" xfId="10856" xr:uid="{00000000-0005-0000-0000-0000EE840000}"/>
    <cellStyle name="40% - Accent5 2 3 11 3 3" xfId="16332" xr:uid="{00000000-0005-0000-0000-0000EF840000}"/>
    <cellStyle name="40% - Accent5 2 3 11 3 4" xfId="21808" xr:uid="{00000000-0005-0000-0000-0000F0840000}"/>
    <cellStyle name="40% - Accent5 2 3 11 3 5" xfId="27284" xr:uid="{00000000-0005-0000-0000-0000F1840000}"/>
    <cellStyle name="40% - Accent5 2 3 11 3 6" xfId="39080" xr:uid="{00000000-0005-0000-0000-0000F2840000}"/>
    <cellStyle name="40% - Accent5 2 3 11 3 7" xfId="44557" xr:uid="{00000000-0005-0000-0000-0000F3840000}"/>
    <cellStyle name="40% - Accent5 2 3 11 3 8" xfId="50034" xr:uid="{00000000-0005-0000-0000-0000F4840000}"/>
    <cellStyle name="40% - Accent5 2 3 11 3 9" xfId="55552" xr:uid="{00000000-0005-0000-0000-0000F5840000}"/>
    <cellStyle name="40% - Accent5 2 3 11 4" xfId="6663" xr:uid="{00000000-0005-0000-0000-0000F6840000}"/>
    <cellStyle name="40% - Accent5 2 3 11 5" xfId="12143" xr:uid="{00000000-0005-0000-0000-0000F7840000}"/>
    <cellStyle name="40% - Accent5 2 3 11 6" xfId="17619" xr:uid="{00000000-0005-0000-0000-0000F8840000}"/>
    <cellStyle name="40% - Accent5 2 3 11 7" xfId="23095" xr:uid="{00000000-0005-0000-0000-0000F9840000}"/>
    <cellStyle name="40% - Accent5 2 3 11 8" xfId="34890" xr:uid="{00000000-0005-0000-0000-0000FA840000}"/>
    <cellStyle name="40% - Accent5 2 3 11 9" xfId="40367" xr:uid="{00000000-0005-0000-0000-0000FB840000}"/>
    <cellStyle name="40% - Accent5 2 3 12" xfId="2010" xr:uid="{00000000-0005-0000-0000-0000FC840000}"/>
    <cellStyle name="40% - Accent5 2 3 12 10" xfId="52187" xr:uid="{00000000-0005-0000-0000-0000FD840000}"/>
    <cellStyle name="40% - Accent5 2 3 12 2" xfId="5542" xr:uid="{00000000-0005-0000-0000-0000FE840000}"/>
    <cellStyle name="40% - Accent5 2 3 12 2 2" xfId="11022" xr:uid="{00000000-0005-0000-0000-0000FF840000}"/>
    <cellStyle name="40% - Accent5 2 3 12 2 3" xfId="16498" xr:uid="{00000000-0005-0000-0000-000000850000}"/>
    <cellStyle name="40% - Accent5 2 3 12 2 4" xfId="21974" xr:uid="{00000000-0005-0000-0000-000001850000}"/>
    <cellStyle name="40% - Accent5 2 3 12 2 5" xfId="27450" xr:uid="{00000000-0005-0000-0000-000002850000}"/>
    <cellStyle name="40% - Accent5 2 3 12 2 6" xfId="39246" xr:uid="{00000000-0005-0000-0000-000003850000}"/>
    <cellStyle name="40% - Accent5 2 3 12 2 7" xfId="44723" xr:uid="{00000000-0005-0000-0000-000004850000}"/>
    <cellStyle name="40% - Accent5 2 3 12 2 8" xfId="50200" xr:uid="{00000000-0005-0000-0000-000005850000}"/>
    <cellStyle name="40% - Accent5 2 3 12 2 9" xfId="55718" xr:uid="{00000000-0005-0000-0000-000006850000}"/>
    <cellStyle name="40% - Accent5 2 3 12 3" xfId="7491" xr:uid="{00000000-0005-0000-0000-000007850000}"/>
    <cellStyle name="40% - Accent5 2 3 12 4" xfId="12967" xr:uid="{00000000-0005-0000-0000-000008850000}"/>
    <cellStyle name="40% - Accent5 2 3 12 5" xfId="18443" xr:uid="{00000000-0005-0000-0000-000009850000}"/>
    <cellStyle name="40% - Accent5 2 3 12 6" xfId="23919" xr:uid="{00000000-0005-0000-0000-00000A850000}"/>
    <cellStyle name="40% - Accent5 2 3 12 7" xfId="35715" xr:uid="{00000000-0005-0000-0000-00000B850000}"/>
    <cellStyle name="40% - Accent5 2 3 12 8" xfId="41192" xr:uid="{00000000-0005-0000-0000-00000C850000}"/>
    <cellStyle name="40% - Accent5 2 3 12 9" xfId="46669" xr:uid="{00000000-0005-0000-0000-00000D850000}"/>
    <cellStyle name="40% - Accent5 2 3 13" xfId="3729" xr:uid="{00000000-0005-0000-0000-00000E850000}"/>
    <cellStyle name="40% - Accent5 2 3 13 2" xfId="9209" xr:uid="{00000000-0005-0000-0000-00000F850000}"/>
    <cellStyle name="40% - Accent5 2 3 13 3" xfId="14685" xr:uid="{00000000-0005-0000-0000-000010850000}"/>
    <cellStyle name="40% - Accent5 2 3 13 4" xfId="20161" xr:uid="{00000000-0005-0000-0000-000011850000}"/>
    <cellStyle name="40% - Accent5 2 3 13 5" xfId="25637" xr:uid="{00000000-0005-0000-0000-000012850000}"/>
    <cellStyle name="40% - Accent5 2 3 13 6" xfId="37433" xr:uid="{00000000-0005-0000-0000-000013850000}"/>
    <cellStyle name="40% - Accent5 2 3 13 7" xfId="42910" xr:uid="{00000000-0005-0000-0000-000014850000}"/>
    <cellStyle name="40% - Accent5 2 3 13 8" xfId="48387" xr:uid="{00000000-0005-0000-0000-000015850000}"/>
    <cellStyle name="40% - Accent5 2 3 13 9" xfId="53905" xr:uid="{00000000-0005-0000-0000-000016850000}"/>
    <cellStyle name="40% - Accent5 2 3 14" xfId="6661" xr:uid="{00000000-0005-0000-0000-000017850000}"/>
    <cellStyle name="40% - Accent5 2 3 15" xfId="12141" xr:uid="{00000000-0005-0000-0000-000018850000}"/>
    <cellStyle name="40% - Accent5 2 3 16" xfId="17617" xr:uid="{00000000-0005-0000-0000-000019850000}"/>
    <cellStyle name="40% - Accent5 2 3 17" xfId="23093" xr:uid="{00000000-0005-0000-0000-00001A850000}"/>
    <cellStyle name="40% - Accent5 2 3 18" xfId="32113" xr:uid="{00000000-0005-0000-0000-00001B850000}"/>
    <cellStyle name="40% - Accent5 2 3 19" xfId="34888" xr:uid="{00000000-0005-0000-0000-00001C850000}"/>
    <cellStyle name="40% - Accent5 2 3 2" xfId="249" xr:uid="{00000000-0005-0000-0000-00001D850000}"/>
    <cellStyle name="40% - Accent5 2 3 2 10" xfId="1844" xr:uid="{00000000-0005-0000-0000-00001E850000}"/>
    <cellStyle name="40% - Accent5 2 3 2 10 10" xfId="45846" xr:uid="{00000000-0005-0000-0000-00001F850000}"/>
    <cellStyle name="40% - Accent5 2 3 2 10 11" xfId="51324" xr:uid="{00000000-0005-0000-0000-000020850000}"/>
    <cellStyle name="40% - Accent5 2 3 2 10 2" xfId="3605" xr:uid="{00000000-0005-0000-0000-000021850000}"/>
    <cellStyle name="40% - Accent5 2 3 2 10 2 2" xfId="9085" xr:uid="{00000000-0005-0000-0000-000022850000}"/>
    <cellStyle name="40% - Accent5 2 3 2 10 2 3" xfId="14561" xr:uid="{00000000-0005-0000-0000-000023850000}"/>
    <cellStyle name="40% - Accent5 2 3 2 10 2 4" xfId="20037" xr:uid="{00000000-0005-0000-0000-000024850000}"/>
    <cellStyle name="40% - Accent5 2 3 2 10 2 5" xfId="25513" xr:uid="{00000000-0005-0000-0000-000025850000}"/>
    <cellStyle name="40% - Accent5 2 3 2 10 2 6" xfId="37309" xr:uid="{00000000-0005-0000-0000-000026850000}"/>
    <cellStyle name="40% - Accent5 2 3 2 10 2 7" xfId="42786" xr:uid="{00000000-0005-0000-0000-000027850000}"/>
    <cellStyle name="40% - Accent5 2 3 2 10 2 8" xfId="48263" xr:uid="{00000000-0005-0000-0000-000028850000}"/>
    <cellStyle name="40% - Accent5 2 3 2 10 2 9" xfId="53781" xr:uid="{00000000-0005-0000-0000-000029850000}"/>
    <cellStyle name="40% - Accent5 2 3 2 10 3" xfId="5377" xr:uid="{00000000-0005-0000-0000-00002A850000}"/>
    <cellStyle name="40% - Accent5 2 3 2 10 3 2" xfId="10857" xr:uid="{00000000-0005-0000-0000-00002B850000}"/>
    <cellStyle name="40% - Accent5 2 3 2 10 3 3" xfId="16333" xr:uid="{00000000-0005-0000-0000-00002C850000}"/>
    <cellStyle name="40% - Accent5 2 3 2 10 3 4" xfId="21809" xr:uid="{00000000-0005-0000-0000-00002D850000}"/>
    <cellStyle name="40% - Accent5 2 3 2 10 3 5" xfId="27285" xr:uid="{00000000-0005-0000-0000-00002E850000}"/>
    <cellStyle name="40% - Accent5 2 3 2 10 3 6" xfId="39081" xr:uid="{00000000-0005-0000-0000-00002F850000}"/>
    <cellStyle name="40% - Accent5 2 3 2 10 3 7" xfId="44558" xr:uid="{00000000-0005-0000-0000-000030850000}"/>
    <cellStyle name="40% - Accent5 2 3 2 10 3 8" xfId="50035" xr:uid="{00000000-0005-0000-0000-000031850000}"/>
    <cellStyle name="40% - Accent5 2 3 2 10 3 9" xfId="55553" xr:uid="{00000000-0005-0000-0000-000032850000}"/>
    <cellStyle name="40% - Accent5 2 3 2 10 4" xfId="6665" xr:uid="{00000000-0005-0000-0000-000033850000}"/>
    <cellStyle name="40% - Accent5 2 3 2 10 5" xfId="12145" xr:uid="{00000000-0005-0000-0000-000034850000}"/>
    <cellStyle name="40% - Accent5 2 3 2 10 6" xfId="17621" xr:uid="{00000000-0005-0000-0000-000035850000}"/>
    <cellStyle name="40% - Accent5 2 3 2 10 7" xfId="23097" xr:uid="{00000000-0005-0000-0000-000036850000}"/>
    <cellStyle name="40% - Accent5 2 3 2 10 8" xfId="34892" xr:uid="{00000000-0005-0000-0000-000037850000}"/>
    <cellStyle name="40% - Accent5 2 3 2 10 9" xfId="40369" xr:uid="{00000000-0005-0000-0000-000038850000}"/>
    <cellStyle name="40% - Accent5 2 3 2 11" xfId="2011" xr:uid="{00000000-0005-0000-0000-000039850000}"/>
    <cellStyle name="40% - Accent5 2 3 2 11 10" xfId="52188" xr:uid="{00000000-0005-0000-0000-00003A850000}"/>
    <cellStyle name="40% - Accent5 2 3 2 11 2" xfId="5543" xr:uid="{00000000-0005-0000-0000-00003B850000}"/>
    <cellStyle name="40% - Accent5 2 3 2 11 2 2" xfId="11023" xr:uid="{00000000-0005-0000-0000-00003C850000}"/>
    <cellStyle name="40% - Accent5 2 3 2 11 2 3" xfId="16499" xr:uid="{00000000-0005-0000-0000-00003D850000}"/>
    <cellStyle name="40% - Accent5 2 3 2 11 2 4" xfId="21975" xr:uid="{00000000-0005-0000-0000-00003E850000}"/>
    <cellStyle name="40% - Accent5 2 3 2 11 2 5" xfId="27451" xr:uid="{00000000-0005-0000-0000-00003F850000}"/>
    <cellStyle name="40% - Accent5 2 3 2 11 2 6" xfId="39247" xr:uid="{00000000-0005-0000-0000-000040850000}"/>
    <cellStyle name="40% - Accent5 2 3 2 11 2 7" xfId="44724" xr:uid="{00000000-0005-0000-0000-000041850000}"/>
    <cellStyle name="40% - Accent5 2 3 2 11 2 8" xfId="50201" xr:uid="{00000000-0005-0000-0000-000042850000}"/>
    <cellStyle name="40% - Accent5 2 3 2 11 2 9" xfId="55719" xr:uid="{00000000-0005-0000-0000-000043850000}"/>
    <cellStyle name="40% - Accent5 2 3 2 11 3" xfId="7492" xr:uid="{00000000-0005-0000-0000-000044850000}"/>
    <cellStyle name="40% - Accent5 2 3 2 11 4" xfId="12968" xr:uid="{00000000-0005-0000-0000-000045850000}"/>
    <cellStyle name="40% - Accent5 2 3 2 11 5" xfId="18444" xr:uid="{00000000-0005-0000-0000-000046850000}"/>
    <cellStyle name="40% - Accent5 2 3 2 11 6" xfId="23920" xr:uid="{00000000-0005-0000-0000-000047850000}"/>
    <cellStyle name="40% - Accent5 2 3 2 11 7" xfId="35716" xr:uid="{00000000-0005-0000-0000-000048850000}"/>
    <cellStyle name="40% - Accent5 2 3 2 11 8" xfId="41193" xr:uid="{00000000-0005-0000-0000-000049850000}"/>
    <cellStyle name="40% - Accent5 2 3 2 11 9" xfId="46670" xr:uid="{00000000-0005-0000-0000-00004A850000}"/>
    <cellStyle name="40% - Accent5 2 3 2 12" xfId="3815" xr:uid="{00000000-0005-0000-0000-00004B850000}"/>
    <cellStyle name="40% - Accent5 2 3 2 12 2" xfId="9295" xr:uid="{00000000-0005-0000-0000-00004C850000}"/>
    <cellStyle name="40% - Accent5 2 3 2 12 3" xfId="14771" xr:uid="{00000000-0005-0000-0000-00004D850000}"/>
    <cellStyle name="40% - Accent5 2 3 2 12 4" xfId="20247" xr:uid="{00000000-0005-0000-0000-00004E850000}"/>
    <cellStyle name="40% - Accent5 2 3 2 12 5" xfId="25723" xr:uid="{00000000-0005-0000-0000-00004F850000}"/>
    <cellStyle name="40% - Accent5 2 3 2 12 6" xfId="37519" xr:uid="{00000000-0005-0000-0000-000050850000}"/>
    <cellStyle name="40% - Accent5 2 3 2 12 7" xfId="42996" xr:uid="{00000000-0005-0000-0000-000051850000}"/>
    <cellStyle name="40% - Accent5 2 3 2 12 8" xfId="48473" xr:uid="{00000000-0005-0000-0000-000052850000}"/>
    <cellStyle name="40% - Accent5 2 3 2 12 9" xfId="53991" xr:uid="{00000000-0005-0000-0000-000053850000}"/>
    <cellStyle name="40% - Accent5 2 3 2 13" xfId="6664" xr:uid="{00000000-0005-0000-0000-000054850000}"/>
    <cellStyle name="40% - Accent5 2 3 2 14" xfId="12144" xr:uid="{00000000-0005-0000-0000-000055850000}"/>
    <cellStyle name="40% - Accent5 2 3 2 15" xfId="17620" xr:uid="{00000000-0005-0000-0000-000056850000}"/>
    <cellStyle name="40% - Accent5 2 3 2 16" xfId="23096" xr:uid="{00000000-0005-0000-0000-000057850000}"/>
    <cellStyle name="40% - Accent5 2 3 2 17" xfId="32114" xr:uid="{00000000-0005-0000-0000-000058850000}"/>
    <cellStyle name="40% - Accent5 2 3 2 18" xfId="34891" xr:uid="{00000000-0005-0000-0000-000059850000}"/>
    <cellStyle name="40% - Accent5 2 3 2 19" xfId="40368" xr:uid="{00000000-0005-0000-0000-00005A850000}"/>
    <cellStyle name="40% - Accent5 2 3 2 2" xfId="382" xr:uid="{00000000-0005-0000-0000-00005B850000}"/>
    <cellStyle name="40% - Accent5 2 3 2 2 10" xfId="40370" xr:uid="{00000000-0005-0000-0000-00005C850000}"/>
    <cellStyle name="40% - Accent5 2 3 2 2 11" xfId="45847" xr:uid="{00000000-0005-0000-0000-00005D850000}"/>
    <cellStyle name="40% - Accent5 2 3 2 2 12" xfId="51325" xr:uid="{00000000-0005-0000-0000-00005E850000}"/>
    <cellStyle name="40% - Accent5 2 3 2 2 2" xfId="2174" xr:uid="{00000000-0005-0000-0000-00005F850000}"/>
    <cellStyle name="40% - Accent5 2 3 2 2 2 2" xfId="7654" xr:uid="{00000000-0005-0000-0000-000060850000}"/>
    <cellStyle name="40% - Accent5 2 3 2 2 2 3" xfId="13130" xr:uid="{00000000-0005-0000-0000-000061850000}"/>
    <cellStyle name="40% - Accent5 2 3 2 2 2 4" xfId="18606" xr:uid="{00000000-0005-0000-0000-000062850000}"/>
    <cellStyle name="40% - Accent5 2 3 2 2 2 5" xfId="24082" xr:uid="{00000000-0005-0000-0000-000063850000}"/>
    <cellStyle name="40% - Accent5 2 3 2 2 2 6" xfId="35878" xr:uid="{00000000-0005-0000-0000-000064850000}"/>
    <cellStyle name="40% - Accent5 2 3 2 2 2 7" xfId="41355" xr:uid="{00000000-0005-0000-0000-000065850000}"/>
    <cellStyle name="40% - Accent5 2 3 2 2 2 8" xfId="46832" xr:uid="{00000000-0005-0000-0000-000066850000}"/>
    <cellStyle name="40% - Accent5 2 3 2 2 2 9" xfId="52350" xr:uid="{00000000-0005-0000-0000-000067850000}"/>
    <cellStyle name="40% - Accent5 2 3 2 2 3" xfId="3944" xr:uid="{00000000-0005-0000-0000-000068850000}"/>
    <cellStyle name="40% - Accent5 2 3 2 2 3 2" xfId="9424" xr:uid="{00000000-0005-0000-0000-000069850000}"/>
    <cellStyle name="40% - Accent5 2 3 2 2 3 3" xfId="14900" xr:uid="{00000000-0005-0000-0000-00006A850000}"/>
    <cellStyle name="40% - Accent5 2 3 2 2 3 4" xfId="20376" xr:uid="{00000000-0005-0000-0000-00006B850000}"/>
    <cellStyle name="40% - Accent5 2 3 2 2 3 5" xfId="25852" xr:uid="{00000000-0005-0000-0000-00006C850000}"/>
    <cellStyle name="40% - Accent5 2 3 2 2 3 6" xfId="37648" xr:uid="{00000000-0005-0000-0000-00006D850000}"/>
    <cellStyle name="40% - Accent5 2 3 2 2 3 7" xfId="43125" xr:uid="{00000000-0005-0000-0000-00006E850000}"/>
    <cellStyle name="40% - Accent5 2 3 2 2 3 8" xfId="48602" xr:uid="{00000000-0005-0000-0000-00006F850000}"/>
    <cellStyle name="40% - Accent5 2 3 2 2 3 9" xfId="54120" xr:uid="{00000000-0005-0000-0000-000070850000}"/>
    <cellStyle name="40% - Accent5 2 3 2 2 4" xfId="6666" xr:uid="{00000000-0005-0000-0000-000071850000}"/>
    <cellStyle name="40% - Accent5 2 3 2 2 5" xfId="12146" xr:uid="{00000000-0005-0000-0000-000072850000}"/>
    <cellStyle name="40% - Accent5 2 3 2 2 6" xfId="17622" xr:uid="{00000000-0005-0000-0000-000073850000}"/>
    <cellStyle name="40% - Accent5 2 3 2 2 7" xfId="23098" xr:uid="{00000000-0005-0000-0000-000074850000}"/>
    <cellStyle name="40% - Accent5 2 3 2 2 8" xfId="32115" xr:uid="{00000000-0005-0000-0000-000075850000}"/>
    <cellStyle name="40% - Accent5 2 3 2 2 9" xfId="34893" xr:uid="{00000000-0005-0000-0000-000076850000}"/>
    <cellStyle name="40% - Accent5 2 3 2 20" xfId="45845" xr:uid="{00000000-0005-0000-0000-000077850000}"/>
    <cellStyle name="40% - Accent5 2 3 2 21" xfId="51323" xr:uid="{00000000-0005-0000-0000-000078850000}"/>
    <cellStyle name="40% - Accent5 2 3 2 3" xfId="583" xr:uid="{00000000-0005-0000-0000-000079850000}"/>
    <cellStyle name="40% - Accent5 2 3 2 3 10" xfId="45848" xr:uid="{00000000-0005-0000-0000-00007A850000}"/>
    <cellStyle name="40% - Accent5 2 3 2 3 11" xfId="51326" xr:uid="{00000000-0005-0000-0000-00007B850000}"/>
    <cellStyle name="40% - Accent5 2 3 2 3 2" xfId="2344" xr:uid="{00000000-0005-0000-0000-00007C850000}"/>
    <cellStyle name="40% - Accent5 2 3 2 3 2 2" xfId="7824" xr:uid="{00000000-0005-0000-0000-00007D850000}"/>
    <cellStyle name="40% - Accent5 2 3 2 3 2 3" xfId="13300" xr:uid="{00000000-0005-0000-0000-00007E850000}"/>
    <cellStyle name="40% - Accent5 2 3 2 3 2 4" xfId="18776" xr:uid="{00000000-0005-0000-0000-00007F850000}"/>
    <cellStyle name="40% - Accent5 2 3 2 3 2 5" xfId="24252" xr:uid="{00000000-0005-0000-0000-000080850000}"/>
    <cellStyle name="40% - Accent5 2 3 2 3 2 6" xfId="36048" xr:uid="{00000000-0005-0000-0000-000081850000}"/>
    <cellStyle name="40% - Accent5 2 3 2 3 2 7" xfId="41525" xr:uid="{00000000-0005-0000-0000-000082850000}"/>
    <cellStyle name="40% - Accent5 2 3 2 3 2 8" xfId="47002" xr:uid="{00000000-0005-0000-0000-000083850000}"/>
    <cellStyle name="40% - Accent5 2 3 2 3 2 9" xfId="52520" xr:uid="{00000000-0005-0000-0000-000084850000}"/>
    <cellStyle name="40% - Accent5 2 3 2 3 3" xfId="4116" xr:uid="{00000000-0005-0000-0000-000085850000}"/>
    <cellStyle name="40% - Accent5 2 3 2 3 3 2" xfId="9596" xr:uid="{00000000-0005-0000-0000-000086850000}"/>
    <cellStyle name="40% - Accent5 2 3 2 3 3 3" xfId="15072" xr:uid="{00000000-0005-0000-0000-000087850000}"/>
    <cellStyle name="40% - Accent5 2 3 2 3 3 4" xfId="20548" xr:uid="{00000000-0005-0000-0000-000088850000}"/>
    <cellStyle name="40% - Accent5 2 3 2 3 3 5" xfId="26024" xr:uid="{00000000-0005-0000-0000-000089850000}"/>
    <cellStyle name="40% - Accent5 2 3 2 3 3 6" xfId="37820" xr:uid="{00000000-0005-0000-0000-00008A850000}"/>
    <cellStyle name="40% - Accent5 2 3 2 3 3 7" xfId="43297" xr:uid="{00000000-0005-0000-0000-00008B850000}"/>
    <cellStyle name="40% - Accent5 2 3 2 3 3 8" xfId="48774" xr:uid="{00000000-0005-0000-0000-00008C850000}"/>
    <cellStyle name="40% - Accent5 2 3 2 3 3 9" xfId="54292" xr:uid="{00000000-0005-0000-0000-00008D850000}"/>
    <cellStyle name="40% - Accent5 2 3 2 3 4" xfId="6667" xr:uid="{00000000-0005-0000-0000-00008E850000}"/>
    <cellStyle name="40% - Accent5 2 3 2 3 5" xfId="12147" xr:uid="{00000000-0005-0000-0000-00008F850000}"/>
    <cellStyle name="40% - Accent5 2 3 2 3 6" xfId="17623" xr:uid="{00000000-0005-0000-0000-000090850000}"/>
    <cellStyle name="40% - Accent5 2 3 2 3 7" xfId="23099" xr:uid="{00000000-0005-0000-0000-000091850000}"/>
    <cellStyle name="40% - Accent5 2 3 2 3 8" xfId="34894" xr:uid="{00000000-0005-0000-0000-000092850000}"/>
    <cellStyle name="40% - Accent5 2 3 2 3 9" xfId="40371" xr:uid="{00000000-0005-0000-0000-000093850000}"/>
    <cellStyle name="40% - Accent5 2 3 2 4" xfId="755" xr:uid="{00000000-0005-0000-0000-000094850000}"/>
    <cellStyle name="40% - Accent5 2 3 2 4 10" xfId="45849" xr:uid="{00000000-0005-0000-0000-000095850000}"/>
    <cellStyle name="40% - Accent5 2 3 2 4 11" xfId="51327" xr:uid="{00000000-0005-0000-0000-000096850000}"/>
    <cellStyle name="40% - Accent5 2 3 2 4 2" xfId="2516" xr:uid="{00000000-0005-0000-0000-000097850000}"/>
    <cellStyle name="40% - Accent5 2 3 2 4 2 2" xfId="7996" xr:uid="{00000000-0005-0000-0000-000098850000}"/>
    <cellStyle name="40% - Accent5 2 3 2 4 2 3" xfId="13472" xr:uid="{00000000-0005-0000-0000-000099850000}"/>
    <cellStyle name="40% - Accent5 2 3 2 4 2 4" xfId="18948" xr:uid="{00000000-0005-0000-0000-00009A850000}"/>
    <cellStyle name="40% - Accent5 2 3 2 4 2 5" xfId="24424" xr:uid="{00000000-0005-0000-0000-00009B850000}"/>
    <cellStyle name="40% - Accent5 2 3 2 4 2 6" xfId="36220" xr:uid="{00000000-0005-0000-0000-00009C850000}"/>
    <cellStyle name="40% - Accent5 2 3 2 4 2 7" xfId="41697" xr:uid="{00000000-0005-0000-0000-00009D850000}"/>
    <cellStyle name="40% - Accent5 2 3 2 4 2 8" xfId="47174" xr:uid="{00000000-0005-0000-0000-00009E850000}"/>
    <cellStyle name="40% - Accent5 2 3 2 4 2 9" xfId="52692" xr:uid="{00000000-0005-0000-0000-00009F850000}"/>
    <cellStyle name="40% - Accent5 2 3 2 4 3" xfId="4288" xr:uid="{00000000-0005-0000-0000-0000A0850000}"/>
    <cellStyle name="40% - Accent5 2 3 2 4 3 2" xfId="9768" xr:uid="{00000000-0005-0000-0000-0000A1850000}"/>
    <cellStyle name="40% - Accent5 2 3 2 4 3 3" xfId="15244" xr:uid="{00000000-0005-0000-0000-0000A2850000}"/>
    <cellStyle name="40% - Accent5 2 3 2 4 3 4" xfId="20720" xr:uid="{00000000-0005-0000-0000-0000A3850000}"/>
    <cellStyle name="40% - Accent5 2 3 2 4 3 5" xfId="26196" xr:uid="{00000000-0005-0000-0000-0000A4850000}"/>
    <cellStyle name="40% - Accent5 2 3 2 4 3 6" xfId="37992" xr:uid="{00000000-0005-0000-0000-0000A5850000}"/>
    <cellStyle name="40% - Accent5 2 3 2 4 3 7" xfId="43469" xr:uid="{00000000-0005-0000-0000-0000A6850000}"/>
    <cellStyle name="40% - Accent5 2 3 2 4 3 8" xfId="48946" xr:uid="{00000000-0005-0000-0000-0000A7850000}"/>
    <cellStyle name="40% - Accent5 2 3 2 4 3 9" xfId="54464" xr:uid="{00000000-0005-0000-0000-0000A8850000}"/>
    <cellStyle name="40% - Accent5 2 3 2 4 4" xfId="6668" xr:uid="{00000000-0005-0000-0000-0000A9850000}"/>
    <cellStyle name="40% - Accent5 2 3 2 4 5" xfId="12148" xr:uid="{00000000-0005-0000-0000-0000AA850000}"/>
    <cellStyle name="40% - Accent5 2 3 2 4 6" xfId="17624" xr:uid="{00000000-0005-0000-0000-0000AB850000}"/>
    <cellStyle name="40% - Accent5 2 3 2 4 7" xfId="23100" xr:uid="{00000000-0005-0000-0000-0000AC850000}"/>
    <cellStyle name="40% - Accent5 2 3 2 4 8" xfId="34895" xr:uid="{00000000-0005-0000-0000-0000AD850000}"/>
    <cellStyle name="40% - Accent5 2 3 2 4 9" xfId="40372" xr:uid="{00000000-0005-0000-0000-0000AE850000}"/>
    <cellStyle name="40% - Accent5 2 3 2 5" xfId="927" xr:uid="{00000000-0005-0000-0000-0000AF850000}"/>
    <cellStyle name="40% - Accent5 2 3 2 5 10" xfId="45850" xr:uid="{00000000-0005-0000-0000-0000B0850000}"/>
    <cellStyle name="40% - Accent5 2 3 2 5 11" xfId="51328" xr:uid="{00000000-0005-0000-0000-0000B1850000}"/>
    <cellStyle name="40% - Accent5 2 3 2 5 2" xfId="2688" xr:uid="{00000000-0005-0000-0000-0000B2850000}"/>
    <cellStyle name="40% - Accent5 2 3 2 5 2 2" xfId="8168" xr:uid="{00000000-0005-0000-0000-0000B3850000}"/>
    <cellStyle name="40% - Accent5 2 3 2 5 2 3" xfId="13644" xr:uid="{00000000-0005-0000-0000-0000B4850000}"/>
    <cellStyle name="40% - Accent5 2 3 2 5 2 4" xfId="19120" xr:uid="{00000000-0005-0000-0000-0000B5850000}"/>
    <cellStyle name="40% - Accent5 2 3 2 5 2 5" xfId="24596" xr:uid="{00000000-0005-0000-0000-0000B6850000}"/>
    <cellStyle name="40% - Accent5 2 3 2 5 2 6" xfId="36392" xr:uid="{00000000-0005-0000-0000-0000B7850000}"/>
    <cellStyle name="40% - Accent5 2 3 2 5 2 7" xfId="41869" xr:uid="{00000000-0005-0000-0000-0000B8850000}"/>
    <cellStyle name="40% - Accent5 2 3 2 5 2 8" xfId="47346" xr:uid="{00000000-0005-0000-0000-0000B9850000}"/>
    <cellStyle name="40% - Accent5 2 3 2 5 2 9" xfId="52864" xr:uid="{00000000-0005-0000-0000-0000BA850000}"/>
    <cellStyle name="40% - Accent5 2 3 2 5 3" xfId="4460" xr:uid="{00000000-0005-0000-0000-0000BB850000}"/>
    <cellStyle name="40% - Accent5 2 3 2 5 3 2" xfId="9940" xr:uid="{00000000-0005-0000-0000-0000BC850000}"/>
    <cellStyle name="40% - Accent5 2 3 2 5 3 3" xfId="15416" xr:uid="{00000000-0005-0000-0000-0000BD850000}"/>
    <cellStyle name="40% - Accent5 2 3 2 5 3 4" xfId="20892" xr:uid="{00000000-0005-0000-0000-0000BE850000}"/>
    <cellStyle name="40% - Accent5 2 3 2 5 3 5" xfId="26368" xr:uid="{00000000-0005-0000-0000-0000BF850000}"/>
    <cellStyle name="40% - Accent5 2 3 2 5 3 6" xfId="38164" xr:uid="{00000000-0005-0000-0000-0000C0850000}"/>
    <cellStyle name="40% - Accent5 2 3 2 5 3 7" xfId="43641" xr:uid="{00000000-0005-0000-0000-0000C1850000}"/>
    <cellStyle name="40% - Accent5 2 3 2 5 3 8" xfId="49118" xr:uid="{00000000-0005-0000-0000-0000C2850000}"/>
    <cellStyle name="40% - Accent5 2 3 2 5 3 9" xfId="54636" xr:uid="{00000000-0005-0000-0000-0000C3850000}"/>
    <cellStyle name="40% - Accent5 2 3 2 5 4" xfId="6669" xr:uid="{00000000-0005-0000-0000-0000C4850000}"/>
    <cellStyle name="40% - Accent5 2 3 2 5 5" xfId="12149" xr:uid="{00000000-0005-0000-0000-0000C5850000}"/>
    <cellStyle name="40% - Accent5 2 3 2 5 6" xfId="17625" xr:uid="{00000000-0005-0000-0000-0000C6850000}"/>
    <cellStyle name="40% - Accent5 2 3 2 5 7" xfId="23101" xr:uid="{00000000-0005-0000-0000-0000C7850000}"/>
    <cellStyle name="40% - Accent5 2 3 2 5 8" xfId="34896" xr:uid="{00000000-0005-0000-0000-0000C8850000}"/>
    <cellStyle name="40% - Accent5 2 3 2 5 9" xfId="40373" xr:uid="{00000000-0005-0000-0000-0000C9850000}"/>
    <cellStyle name="40% - Accent5 2 3 2 6" xfId="1133" xr:uid="{00000000-0005-0000-0000-0000CA850000}"/>
    <cellStyle name="40% - Accent5 2 3 2 6 10" xfId="45851" xr:uid="{00000000-0005-0000-0000-0000CB850000}"/>
    <cellStyle name="40% - Accent5 2 3 2 6 11" xfId="51329" xr:uid="{00000000-0005-0000-0000-0000CC850000}"/>
    <cellStyle name="40% - Accent5 2 3 2 6 2" xfId="2894" xr:uid="{00000000-0005-0000-0000-0000CD850000}"/>
    <cellStyle name="40% - Accent5 2 3 2 6 2 2" xfId="8374" xr:uid="{00000000-0005-0000-0000-0000CE850000}"/>
    <cellStyle name="40% - Accent5 2 3 2 6 2 3" xfId="13850" xr:uid="{00000000-0005-0000-0000-0000CF850000}"/>
    <cellStyle name="40% - Accent5 2 3 2 6 2 4" xfId="19326" xr:uid="{00000000-0005-0000-0000-0000D0850000}"/>
    <cellStyle name="40% - Accent5 2 3 2 6 2 5" xfId="24802" xr:uid="{00000000-0005-0000-0000-0000D1850000}"/>
    <cellStyle name="40% - Accent5 2 3 2 6 2 6" xfId="36598" xr:uid="{00000000-0005-0000-0000-0000D2850000}"/>
    <cellStyle name="40% - Accent5 2 3 2 6 2 7" xfId="42075" xr:uid="{00000000-0005-0000-0000-0000D3850000}"/>
    <cellStyle name="40% - Accent5 2 3 2 6 2 8" xfId="47552" xr:uid="{00000000-0005-0000-0000-0000D4850000}"/>
    <cellStyle name="40% - Accent5 2 3 2 6 2 9" xfId="53070" xr:uid="{00000000-0005-0000-0000-0000D5850000}"/>
    <cellStyle name="40% - Accent5 2 3 2 6 3" xfId="4666" xr:uid="{00000000-0005-0000-0000-0000D6850000}"/>
    <cellStyle name="40% - Accent5 2 3 2 6 3 2" xfId="10146" xr:uid="{00000000-0005-0000-0000-0000D7850000}"/>
    <cellStyle name="40% - Accent5 2 3 2 6 3 3" xfId="15622" xr:uid="{00000000-0005-0000-0000-0000D8850000}"/>
    <cellStyle name="40% - Accent5 2 3 2 6 3 4" xfId="21098" xr:uid="{00000000-0005-0000-0000-0000D9850000}"/>
    <cellStyle name="40% - Accent5 2 3 2 6 3 5" xfId="26574" xr:uid="{00000000-0005-0000-0000-0000DA850000}"/>
    <cellStyle name="40% - Accent5 2 3 2 6 3 6" xfId="38370" xr:uid="{00000000-0005-0000-0000-0000DB850000}"/>
    <cellStyle name="40% - Accent5 2 3 2 6 3 7" xfId="43847" xr:uid="{00000000-0005-0000-0000-0000DC850000}"/>
    <cellStyle name="40% - Accent5 2 3 2 6 3 8" xfId="49324" xr:uid="{00000000-0005-0000-0000-0000DD850000}"/>
    <cellStyle name="40% - Accent5 2 3 2 6 3 9" xfId="54842" xr:uid="{00000000-0005-0000-0000-0000DE850000}"/>
    <cellStyle name="40% - Accent5 2 3 2 6 4" xfId="6670" xr:uid="{00000000-0005-0000-0000-0000DF850000}"/>
    <cellStyle name="40% - Accent5 2 3 2 6 5" xfId="12150" xr:uid="{00000000-0005-0000-0000-0000E0850000}"/>
    <cellStyle name="40% - Accent5 2 3 2 6 6" xfId="17626" xr:uid="{00000000-0005-0000-0000-0000E1850000}"/>
    <cellStyle name="40% - Accent5 2 3 2 6 7" xfId="23102" xr:uid="{00000000-0005-0000-0000-0000E2850000}"/>
    <cellStyle name="40% - Accent5 2 3 2 6 8" xfId="34897" xr:uid="{00000000-0005-0000-0000-0000E3850000}"/>
    <cellStyle name="40% - Accent5 2 3 2 6 9" xfId="40374" xr:uid="{00000000-0005-0000-0000-0000E4850000}"/>
    <cellStyle name="40% - Accent5 2 3 2 7" xfId="1305" xr:uid="{00000000-0005-0000-0000-0000E5850000}"/>
    <cellStyle name="40% - Accent5 2 3 2 7 10" xfId="45852" xr:uid="{00000000-0005-0000-0000-0000E6850000}"/>
    <cellStyle name="40% - Accent5 2 3 2 7 11" xfId="51330" xr:uid="{00000000-0005-0000-0000-0000E7850000}"/>
    <cellStyle name="40% - Accent5 2 3 2 7 2" xfId="3066" xr:uid="{00000000-0005-0000-0000-0000E8850000}"/>
    <cellStyle name="40% - Accent5 2 3 2 7 2 2" xfId="8546" xr:uid="{00000000-0005-0000-0000-0000E9850000}"/>
    <cellStyle name="40% - Accent5 2 3 2 7 2 3" xfId="14022" xr:uid="{00000000-0005-0000-0000-0000EA850000}"/>
    <cellStyle name="40% - Accent5 2 3 2 7 2 4" xfId="19498" xr:uid="{00000000-0005-0000-0000-0000EB850000}"/>
    <cellStyle name="40% - Accent5 2 3 2 7 2 5" xfId="24974" xr:uid="{00000000-0005-0000-0000-0000EC850000}"/>
    <cellStyle name="40% - Accent5 2 3 2 7 2 6" xfId="36770" xr:uid="{00000000-0005-0000-0000-0000ED850000}"/>
    <cellStyle name="40% - Accent5 2 3 2 7 2 7" xfId="42247" xr:uid="{00000000-0005-0000-0000-0000EE850000}"/>
    <cellStyle name="40% - Accent5 2 3 2 7 2 8" xfId="47724" xr:uid="{00000000-0005-0000-0000-0000EF850000}"/>
    <cellStyle name="40% - Accent5 2 3 2 7 2 9" xfId="53242" xr:uid="{00000000-0005-0000-0000-0000F0850000}"/>
    <cellStyle name="40% - Accent5 2 3 2 7 3" xfId="4838" xr:uid="{00000000-0005-0000-0000-0000F1850000}"/>
    <cellStyle name="40% - Accent5 2 3 2 7 3 2" xfId="10318" xr:uid="{00000000-0005-0000-0000-0000F2850000}"/>
    <cellStyle name="40% - Accent5 2 3 2 7 3 3" xfId="15794" xr:uid="{00000000-0005-0000-0000-0000F3850000}"/>
    <cellStyle name="40% - Accent5 2 3 2 7 3 4" xfId="21270" xr:uid="{00000000-0005-0000-0000-0000F4850000}"/>
    <cellStyle name="40% - Accent5 2 3 2 7 3 5" xfId="26746" xr:uid="{00000000-0005-0000-0000-0000F5850000}"/>
    <cellStyle name="40% - Accent5 2 3 2 7 3 6" xfId="38542" xr:uid="{00000000-0005-0000-0000-0000F6850000}"/>
    <cellStyle name="40% - Accent5 2 3 2 7 3 7" xfId="44019" xr:uid="{00000000-0005-0000-0000-0000F7850000}"/>
    <cellStyle name="40% - Accent5 2 3 2 7 3 8" xfId="49496" xr:uid="{00000000-0005-0000-0000-0000F8850000}"/>
    <cellStyle name="40% - Accent5 2 3 2 7 3 9" xfId="55014" xr:uid="{00000000-0005-0000-0000-0000F9850000}"/>
    <cellStyle name="40% - Accent5 2 3 2 7 4" xfId="6671" xr:uid="{00000000-0005-0000-0000-0000FA850000}"/>
    <cellStyle name="40% - Accent5 2 3 2 7 5" xfId="12151" xr:uid="{00000000-0005-0000-0000-0000FB850000}"/>
    <cellStyle name="40% - Accent5 2 3 2 7 6" xfId="17627" xr:uid="{00000000-0005-0000-0000-0000FC850000}"/>
    <cellStyle name="40% - Accent5 2 3 2 7 7" xfId="23103" xr:uid="{00000000-0005-0000-0000-0000FD850000}"/>
    <cellStyle name="40% - Accent5 2 3 2 7 8" xfId="34898" xr:uid="{00000000-0005-0000-0000-0000FE850000}"/>
    <cellStyle name="40% - Accent5 2 3 2 7 9" xfId="40375" xr:uid="{00000000-0005-0000-0000-0000FF850000}"/>
    <cellStyle name="40% - Accent5 2 3 2 8" xfId="1477" xr:uid="{00000000-0005-0000-0000-000000860000}"/>
    <cellStyle name="40% - Accent5 2 3 2 8 10" xfId="45853" xr:uid="{00000000-0005-0000-0000-000001860000}"/>
    <cellStyle name="40% - Accent5 2 3 2 8 11" xfId="51331" xr:uid="{00000000-0005-0000-0000-000002860000}"/>
    <cellStyle name="40% - Accent5 2 3 2 8 2" xfId="3238" xr:uid="{00000000-0005-0000-0000-000003860000}"/>
    <cellStyle name="40% - Accent5 2 3 2 8 2 2" xfId="8718" xr:uid="{00000000-0005-0000-0000-000004860000}"/>
    <cellStyle name="40% - Accent5 2 3 2 8 2 3" xfId="14194" xr:uid="{00000000-0005-0000-0000-000005860000}"/>
    <cellStyle name="40% - Accent5 2 3 2 8 2 4" xfId="19670" xr:uid="{00000000-0005-0000-0000-000006860000}"/>
    <cellStyle name="40% - Accent5 2 3 2 8 2 5" xfId="25146" xr:uid="{00000000-0005-0000-0000-000007860000}"/>
    <cellStyle name="40% - Accent5 2 3 2 8 2 6" xfId="36942" xr:uid="{00000000-0005-0000-0000-000008860000}"/>
    <cellStyle name="40% - Accent5 2 3 2 8 2 7" xfId="42419" xr:uid="{00000000-0005-0000-0000-000009860000}"/>
    <cellStyle name="40% - Accent5 2 3 2 8 2 8" xfId="47896" xr:uid="{00000000-0005-0000-0000-00000A860000}"/>
    <cellStyle name="40% - Accent5 2 3 2 8 2 9" xfId="53414" xr:uid="{00000000-0005-0000-0000-00000B860000}"/>
    <cellStyle name="40% - Accent5 2 3 2 8 3" xfId="5010" xr:uid="{00000000-0005-0000-0000-00000C860000}"/>
    <cellStyle name="40% - Accent5 2 3 2 8 3 2" xfId="10490" xr:uid="{00000000-0005-0000-0000-00000D860000}"/>
    <cellStyle name="40% - Accent5 2 3 2 8 3 3" xfId="15966" xr:uid="{00000000-0005-0000-0000-00000E860000}"/>
    <cellStyle name="40% - Accent5 2 3 2 8 3 4" xfId="21442" xr:uid="{00000000-0005-0000-0000-00000F860000}"/>
    <cellStyle name="40% - Accent5 2 3 2 8 3 5" xfId="26918" xr:uid="{00000000-0005-0000-0000-000010860000}"/>
    <cellStyle name="40% - Accent5 2 3 2 8 3 6" xfId="38714" xr:uid="{00000000-0005-0000-0000-000011860000}"/>
    <cellStyle name="40% - Accent5 2 3 2 8 3 7" xfId="44191" xr:uid="{00000000-0005-0000-0000-000012860000}"/>
    <cellStyle name="40% - Accent5 2 3 2 8 3 8" xfId="49668" xr:uid="{00000000-0005-0000-0000-000013860000}"/>
    <cellStyle name="40% - Accent5 2 3 2 8 3 9" xfId="55186" xr:uid="{00000000-0005-0000-0000-000014860000}"/>
    <cellStyle name="40% - Accent5 2 3 2 8 4" xfId="6672" xr:uid="{00000000-0005-0000-0000-000015860000}"/>
    <cellStyle name="40% - Accent5 2 3 2 8 5" xfId="12152" xr:uid="{00000000-0005-0000-0000-000016860000}"/>
    <cellStyle name="40% - Accent5 2 3 2 8 6" xfId="17628" xr:uid="{00000000-0005-0000-0000-000017860000}"/>
    <cellStyle name="40% - Accent5 2 3 2 8 7" xfId="23104" xr:uid="{00000000-0005-0000-0000-000018860000}"/>
    <cellStyle name="40% - Accent5 2 3 2 8 8" xfId="34899" xr:uid="{00000000-0005-0000-0000-000019860000}"/>
    <cellStyle name="40% - Accent5 2 3 2 8 9" xfId="40376" xr:uid="{00000000-0005-0000-0000-00001A860000}"/>
    <cellStyle name="40% - Accent5 2 3 2 9" xfId="1649" xr:uid="{00000000-0005-0000-0000-00001B860000}"/>
    <cellStyle name="40% - Accent5 2 3 2 9 10" xfId="45854" xr:uid="{00000000-0005-0000-0000-00001C860000}"/>
    <cellStyle name="40% - Accent5 2 3 2 9 11" xfId="51332" xr:uid="{00000000-0005-0000-0000-00001D860000}"/>
    <cellStyle name="40% - Accent5 2 3 2 9 2" xfId="3410" xr:uid="{00000000-0005-0000-0000-00001E860000}"/>
    <cellStyle name="40% - Accent5 2 3 2 9 2 2" xfId="8890" xr:uid="{00000000-0005-0000-0000-00001F860000}"/>
    <cellStyle name="40% - Accent5 2 3 2 9 2 3" xfId="14366" xr:uid="{00000000-0005-0000-0000-000020860000}"/>
    <cellStyle name="40% - Accent5 2 3 2 9 2 4" xfId="19842" xr:uid="{00000000-0005-0000-0000-000021860000}"/>
    <cellStyle name="40% - Accent5 2 3 2 9 2 5" xfId="25318" xr:uid="{00000000-0005-0000-0000-000022860000}"/>
    <cellStyle name="40% - Accent5 2 3 2 9 2 6" xfId="37114" xr:uid="{00000000-0005-0000-0000-000023860000}"/>
    <cellStyle name="40% - Accent5 2 3 2 9 2 7" xfId="42591" xr:uid="{00000000-0005-0000-0000-000024860000}"/>
    <cellStyle name="40% - Accent5 2 3 2 9 2 8" xfId="48068" xr:uid="{00000000-0005-0000-0000-000025860000}"/>
    <cellStyle name="40% - Accent5 2 3 2 9 2 9" xfId="53586" xr:uid="{00000000-0005-0000-0000-000026860000}"/>
    <cellStyle name="40% - Accent5 2 3 2 9 3" xfId="5182" xr:uid="{00000000-0005-0000-0000-000027860000}"/>
    <cellStyle name="40% - Accent5 2 3 2 9 3 2" xfId="10662" xr:uid="{00000000-0005-0000-0000-000028860000}"/>
    <cellStyle name="40% - Accent5 2 3 2 9 3 3" xfId="16138" xr:uid="{00000000-0005-0000-0000-000029860000}"/>
    <cellStyle name="40% - Accent5 2 3 2 9 3 4" xfId="21614" xr:uid="{00000000-0005-0000-0000-00002A860000}"/>
    <cellStyle name="40% - Accent5 2 3 2 9 3 5" xfId="27090" xr:uid="{00000000-0005-0000-0000-00002B860000}"/>
    <cellStyle name="40% - Accent5 2 3 2 9 3 6" xfId="38886" xr:uid="{00000000-0005-0000-0000-00002C860000}"/>
    <cellStyle name="40% - Accent5 2 3 2 9 3 7" xfId="44363" xr:uid="{00000000-0005-0000-0000-00002D860000}"/>
    <cellStyle name="40% - Accent5 2 3 2 9 3 8" xfId="49840" xr:uid="{00000000-0005-0000-0000-00002E860000}"/>
    <cellStyle name="40% - Accent5 2 3 2 9 3 9" xfId="55358" xr:uid="{00000000-0005-0000-0000-00002F860000}"/>
    <cellStyle name="40% - Accent5 2 3 2 9 4" xfId="6673" xr:uid="{00000000-0005-0000-0000-000030860000}"/>
    <cellStyle name="40% - Accent5 2 3 2 9 5" xfId="12153" xr:uid="{00000000-0005-0000-0000-000031860000}"/>
    <cellStyle name="40% - Accent5 2 3 2 9 6" xfId="17629" xr:uid="{00000000-0005-0000-0000-000032860000}"/>
    <cellStyle name="40% - Accent5 2 3 2 9 7" xfId="23105" xr:uid="{00000000-0005-0000-0000-000033860000}"/>
    <cellStyle name="40% - Accent5 2 3 2 9 8" xfId="34900" xr:uid="{00000000-0005-0000-0000-000034860000}"/>
    <cellStyle name="40% - Accent5 2 3 2 9 9" xfId="40377" xr:uid="{00000000-0005-0000-0000-000035860000}"/>
    <cellStyle name="40% - Accent5 2 3 20" xfId="40365" xr:uid="{00000000-0005-0000-0000-000036860000}"/>
    <cellStyle name="40% - Accent5 2 3 21" xfId="45842" xr:uid="{00000000-0005-0000-0000-000037860000}"/>
    <cellStyle name="40% - Accent5 2 3 22" xfId="51320" xr:uid="{00000000-0005-0000-0000-000038860000}"/>
    <cellStyle name="40% - Accent5 2 3 3" xfId="381" xr:uid="{00000000-0005-0000-0000-000039860000}"/>
    <cellStyle name="40% - Accent5 2 3 3 10" xfId="40378" xr:uid="{00000000-0005-0000-0000-00003A860000}"/>
    <cellStyle name="40% - Accent5 2 3 3 11" xfId="45855" xr:uid="{00000000-0005-0000-0000-00003B860000}"/>
    <cellStyle name="40% - Accent5 2 3 3 12" xfId="51333" xr:uid="{00000000-0005-0000-0000-00003C860000}"/>
    <cellStyle name="40% - Accent5 2 3 3 2" xfId="2173" xr:uid="{00000000-0005-0000-0000-00003D860000}"/>
    <cellStyle name="40% - Accent5 2 3 3 2 2" xfId="7653" xr:uid="{00000000-0005-0000-0000-00003E860000}"/>
    <cellStyle name="40% - Accent5 2 3 3 2 3" xfId="13129" xr:uid="{00000000-0005-0000-0000-00003F860000}"/>
    <cellStyle name="40% - Accent5 2 3 3 2 4" xfId="18605" xr:uid="{00000000-0005-0000-0000-000040860000}"/>
    <cellStyle name="40% - Accent5 2 3 3 2 5" xfId="24081" xr:uid="{00000000-0005-0000-0000-000041860000}"/>
    <cellStyle name="40% - Accent5 2 3 3 2 6" xfId="35877" xr:uid="{00000000-0005-0000-0000-000042860000}"/>
    <cellStyle name="40% - Accent5 2 3 3 2 7" xfId="41354" xr:uid="{00000000-0005-0000-0000-000043860000}"/>
    <cellStyle name="40% - Accent5 2 3 3 2 8" xfId="46831" xr:uid="{00000000-0005-0000-0000-000044860000}"/>
    <cellStyle name="40% - Accent5 2 3 3 2 9" xfId="52349" xr:uid="{00000000-0005-0000-0000-000045860000}"/>
    <cellStyle name="40% - Accent5 2 3 3 3" xfId="3943" xr:uid="{00000000-0005-0000-0000-000046860000}"/>
    <cellStyle name="40% - Accent5 2 3 3 3 2" xfId="9423" xr:uid="{00000000-0005-0000-0000-000047860000}"/>
    <cellStyle name="40% - Accent5 2 3 3 3 3" xfId="14899" xr:uid="{00000000-0005-0000-0000-000048860000}"/>
    <cellStyle name="40% - Accent5 2 3 3 3 4" xfId="20375" xr:uid="{00000000-0005-0000-0000-000049860000}"/>
    <cellStyle name="40% - Accent5 2 3 3 3 5" xfId="25851" xr:uid="{00000000-0005-0000-0000-00004A860000}"/>
    <cellStyle name="40% - Accent5 2 3 3 3 6" xfId="37647" xr:uid="{00000000-0005-0000-0000-00004B860000}"/>
    <cellStyle name="40% - Accent5 2 3 3 3 7" xfId="43124" xr:uid="{00000000-0005-0000-0000-00004C860000}"/>
    <cellStyle name="40% - Accent5 2 3 3 3 8" xfId="48601" xr:uid="{00000000-0005-0000-0000-00004D860000}"/>
    <cellStyle name="40% - Accent5 2 3 3 3 9" xfId="54119" xr:uid="{00000000-0005-0000-0000-00004E860000}"/>
    <cellStyle name="40% - Accent5 2 3 3 4" xfId="6674" xr:uid="{00000000-0005-0000-0000-00004F860000}"/>
    <cellStyle name="40% - Accent5 2 3 3 5" xfId="12154" xr:uid="{00000000-0005-0000-0000-000050860000}"/>
    <cellStyle name="40% - Accent5 2 3 3 6" xfId="17630" xr:uid="{00000000-0005-0000-0000-000051860000}"/>
    <cellStyle name="40% - Accent5 2 3 3 7" xfId="23106" xr:uid="{00000000-0005-0000-0000-000052860000}"/>
    <cellStyle name="40% - Accent5 2 3 3 8" xfId="32116" xr:uid="{00000000-0005-0000-0000-000053860000}"/>
    <cellStyle name="40% - Accent5 2 3 3 9" xfId="34901" xr:uid="{00000000-0005-0000-0000-000054860000}"/>
    <cellStyle name="40% - Accent5 2 3 4" xfId="582" xr:uid="{00000000-0005-0000-0000-000055860000}"/>
    <cellStyle name="40% - Accent5 2 3 4 10" xfId="45856" xr:uid="{00000000-0005-0000-0000-000056860000}"/>
    <cellStyle name="40% - Accent5 2 3 4 11" xfId="51334" xr:uid="{00000000-0005-0000-0000-000057860000}"/>
    <cellStyle name="40% - Accent5 2 3 4 2" xfId="2343" xr:uid="{00000000-0005-0000-0000-000058860000}"/>
    <cellStyle name="40% - Accent5 2 3 4 2 2" xfId="7823" xr:uid="{00000000-0005-0000-0000-000059860000}"/>
    <cellStyle name="40% - Accent5 2 3 4 2 3" xfId="13299" xr:uid="{00000000-0005-0000-0000-00005A860000}"/>
    <cellStyle name="40% - Accent5 2 3 4 2 4" xfId="18775" xr:uid="{00000000-0005-0000-0000-00005B860000}"/>
    <cellStyle name="40% - Accent5 2 3 4 2 5" xfId="24251" xr:uid="{00000000-0005-0000-0000-00005C860000}"/>
    <cellStyle name="40% - Accent5 2 3 4 2 6" xfId="36047" xr:uid="{00000000-0005-0000-0000-00005D860000}"/>
    <cellStyle name="40% - Accent5 2 3 4 2 7" xfId="41524" xr:uid="{00000000-0005-0000-0000-00005E860000}"/>
    <cellStyle name="40% - Accent5 2 3 4 2 8" xfId="47001" xr:uid="{00000000-0005-0000-0000-00005F860000}"/>
    <cellStyle name="40% - Accent5 2 3 4 2 9" xfId="52519" xr:uid="{00000000-0005-0000-0000-000060860000}"/>
    <cellStyle name="40% - Accent5 2 3 4 3" xfId="4115" xr:uid="{00000000-0005-0000-0000-000061860000}"/>
    <cellStyle name="40% - Accent5 2 3 4 3 2" xfId="9595" xr:uid="{00000000-0005-0000-0000-000062860000}"/>
    <cellStyle name="40% - Accent5 2 3 4 3 3" xfId="15071" xr:uid="{00000000-0005-0000-0000-000063860000}"/>
    <cellStyle name="40% - Accent5 2 3 4 3 4" xfId="20547" xr:uid="{00000000-0005-0000-0000-000064860000}"/>
    <cellStyle name="40% - Accent5 2 3 4 3 5" xfId="26023" xr:uid="{00000000-0005-0000-0000-000065860000}"/>
    <cellStyle name="40% - Accent5 2 3 4 3 6" xfId="37819" xr:uid="{00000000-0005-0000-0000-000066860000}"/>
    <cellStyle name="40% - Accent5 2 3 4 3 7" xfId="43296" xr:uid="{00000000-0005-0000-0000-000067860000}"/>
    <cellStyle name="40% - Accent5 2 3 4 3 8" xfId="48773" xr:uid="{00000000-0005-0000-0000-000068860000}"/>
    <cellStyle name="40% - Accent5 2 3 4 3 9" xfId="54291" xr:uid="{00000000-0005-0000-0000-000069860000}"/>
    <cellStyle name="40% - Accent5 2 3 4 4" xfId="6675" xr:uid="{00000000-0005-0000-0000-00006A860000}"/>
    <cellStyle name="40% - Accent5 2 3 4 5" xfId="12155" xr:uid="{00000000-0005-0000-0000-00006B860000}"/>
    <cellStyle name="40% - Accent5 2 3 4 6" xfId="17631" xr:uid="{00000000-0005-0000-0000-00006C860000}"/>
    <cellStyle name="40% - Accent5 2 3 4 7" xfId="23107" xr:uid="{00000000-0005-0000-0000-00006D860000}"/>
    <cellStyle name="40% - Accent5 2 3 4 8" xfId="34902" xr:uid="{00000000-0005-0000-0000-00006E860000}"/>
    <cellStyle name="40% - Accent5 2 3 4 9" xfId="40379" xr:uid="{00000000-0005-0000-0000-00006F860000}"/>
    <cellStyle name="40% - Accent5 2 3 5" xfId="754" xr:uid="{00000000-0005-0000-0000-000070860000}"/>
    <cellStyle name="40% - Accent5 2 3 5 10" xfId="45857" xr:uid="{00000000-0005-0000-0000-000071860000}"/>
    <cellStyle name="40% - Accent5 2 3 5 11" xfId="51335" xr:uid="{00000000-0005-0000-0000-000072860000}"/>
    <cellStyle name="40% - Accent5 2 3 5 2" xfId="2515" xr:uid="{00000000-0005-0000-0000-000073860000}"/>
    <cellStyle name="40% - Accent5 2 3 5 2 2" xfId="7995" xr:uid="{00000000-0005-0000-0000-000074860000}"/>
    <cellStyle name="40% - Accent5 2 3 5 2 3" xfId="13471" xr:uid="{00000000-0005-0000-0000-000075860000}"/>
    <cellStyle name="40% - Accent5 2 3 5 2 4" xfId="18947" xr:uid="{00000000-0005-0000-0000-000076860000}"/>
    <cellStyle name="40% - Accent5 2 3 5 2 5" xfId="24423" xr:uid="{00000000-0005-0000-0000-000077860000}"/>
    <cellStyle name="40% - Accent5 2 3 5 2 6" xfId="36219" xr:uid="{00000000-0005-0000-0000-000078860000}"/>
    <cellStyle name="40% - Accent5 2 3 5 2 7" xfId="41696" xr:uid="{00000000-0005-0000-0000-000079860000}"/>
    <cellStyle name="40% - Accent5 2 3 5 2 8" xfId="47173" xr:uid="{00000000-0005-0000-0000-00007A860000}"/>
    <cellStyle name="40% - Accent5 2 3 5 2 9" xfId="52691" xr:uid="{00000000-0005-0000-0000-00007B860000}"/>
    <cellStyle name="40% - Accent5 2 3 5 3" xfId="4287" xr:uid="{00000000-0005-0000-0000-00007C860000}"/>
    <cellStyle name="40% - Accent5 2 3 5 3 2" xfId="9767" xr:uid="{00000000-0005-0000-0000-00007D860000}"/>
    <cellStyle name="40% - Accent5 2 3 5 3 3" xfId="15243" xr:uid="{00000000-0005-0000-0000-00007E860000}"/>
    <cellStyle name="40% - Accent5 2 3 5 3 4" xfId="20719" xr:uid="{00000000-0005-0000-0000-00007F860000}"/>
    <cellStyle name="40% - Accent5 2 3 5 3 5" xfId="26195" xr:uid="{00000000-0005-0000-0000-000080860000}"/>
    <cellStyle name="40% - Accent5 2 3 5 3 6" xfId="37991" xr:uid="{00000000-0005-0000-0000-000081860000}"/>
    <cellStyle name="40% - Accent5 2 3 5 3 7" xfId="43468" xr:uid="{00000000-0005-0000-0000-000082860000}"/>
    <cellStyle name="40% - Accent5 2 3 5 3 8" xfId="48945" xr:uid="{00000000-0005-0000-0000-000083860000}"/>
    <cellStyle name="40% - Accent5 2 3 5 3 9" xfId="54463" xr:uid="{00000000-0005-0000-0000-000084860000}"/>
    <cellStyle name="40% - Accent5 2 3 5 4" xfId="6676" xr:uid="{00000000-0005-0000-0000-000085860000}"/>
    <cellStyle name="40% - Accent5 2 3 5 5" xfId="12156" xr:uid="{00000000-0005-0000-0000-000086860000}"/>
    <cellStyle name="40% - Accent5 2 3 5 6" xfId="17632" xr:uid="{00000000-0005-0000-0000-000087860000}"/>
    <cellStyle name="40% - Accent5 2 3 5 7" xfId="23108" xr:uid="{00000000-0005-0000-0000-000088860000}"/>
    <cellStyle name="40% - Accent5 2 3 5 8" xfId="34903" xr:uid="{00000000-0005-0000-0000-000089860000}"/>
    <cellStyle name="40% - Accent5 2 3 5 9" xfId="40380" xr:uid="{00000000-0005-0000-0000-00008A860000}"/>
    <cellStyle name="40% - Accent5 2 3 6" xfId="926" xr:uid="{00000000-0005-0000-0000-00008B860000}"/>
    <cellStyle name="40% - Accent5 2 3 6 10" xfId="45858" xr:uid="{00000000-0005-0000-0000-00008C860000}"/>
    <cellStyle name="40% - Accent5 2 3 6 11" xfId="51336" xr:uid="{00000000-0005-0000-0000-00008D860000}"/>
    <cellStyle name="40% - Accent5 2 3 6 2" xfId="2687" xr:uid="{00000000-0005-0000-0000-00008E860000}"/>
    <cellStyle name="40% - Accent5 2 3 6 2 2" xfId="8167" xr:uid="{00000000-0005-0000-0000-00008F860000}"/>
    <cellStyle name="40% - Accent5 2 3 6 2 3" xfId="13643" xr:uid="{00000000-0005-0000-0000-000090860000}"/>
    <cellStyle name="40% - Accent5 2 3 6 2 4" xfId="19119" xr:uid="{00000000-0005-0000-0000-000091860000}"/>
    <cellStyle name="40% - Accent5 2 3 6 2 5" xfId="24595" xr:uid="{00000000-0005-0000-0000-000092860000}"/>
    <cellStyle name="40% - Accent5 2 3 6 2 6" xfId="36391" xr:uid="{00000000-0005-0000-0000-000093860000}"/>
    <cellStyle name="40% - Accent5 2 3 6 2 7" xfId="41868" xr:uid="{00000000-0005-0000-0000-000094860000}"/>
    <cellStyle name="40% - Accent5 2 3 6 2 8" xfId="47345" xr:uid="{00000000-0005-0000-0000-000095860000}"/>
    <cellStyle name="40% - Accent5 2 3 6 2 9" xfId="52863" xr:uid="{00000000-0005-0000-0000-000096860000}"/>
    <cellStyle name="40% - Accent5 2 3 6 3" xfId="4459" xr:uid="{00000000-0005-0000-0000-000097860000}"/>
    <cellStyle name="40% - Accent5 2 3 6 3 2" xfId="9939" xr:uid="{00000000-0005-0000-0000-000098860000}"/>
    <cellStyle name="40% - Accent5 2 3 6 3 3" xfId="15415" xr:uid="{00000000-0005-0000-0000-000099860000}"/>
    <cellStyle name="40% - Accent5 2 3 6 3 4" xfId="20891" xr:uid="{00000000-0005-0000-0000-00009A860000}"/>
    <cellStyle name="40% - Accent5 2 3 6 3 5" xfId="26367" xr:uid="{00000000-0005-0000-0000-00009B860000}"/>
    <cellStyle name="40% - Accent5 2 3 6 3 6" xfId="38163" xr:uid="{00000000-0005-0000-0000-00009C860000}"/>
    <cellStyle name="40% - Accent5 2 3 6 3 7" xfId="43640" xr:uid="{00000000-0005-0000-0000-00009D860000}"/>
    <cellStyle name="40% - Accent5 2 3 6 3 8" xfId="49117" xr:uid="{00000000-0005-0000-0000-00009E860000}"/>
    <cellStyle name="40% - Accent5 2 3 6 3 9" xfId="54635" xr:uid="{00000000-0005-0000-0000-00009F860000}"/>
    <cellStyle name="40% - Accent5 2 3 6 4" xfId="6677" xr:uid="{00000000-0005-0000-0000-0000A0860000}"/>
    <cellStyle name="40% - Accent5 2 3 6 5" xfId="12157" xr:uid="{00000000-0005-0000-0000-0000A1860000}"/>
    <cellStyle name="40% - Accent5 2 3 6 6" xfId="17633" xr:uid="{00000000-0005-0000-0000-0000A2860000}"/>
    <cellStyle name="40% - Accent5 2 3 6 7" xfId="23109" xr:uid="{00000000-0005-0000-0000-0000A3860000}"/>
    <cellStyle name="40% - Accent5 2 3 6 8" xfId="34904" xr:uid="{00000000-0005-0000-0000-0000A4860000}"/>
    <cellStyle name="40% - Accent5 2 3 6 9" xfId="40381" xr:uid="{00000000-0005-0000-0000-0000A5860000}"/>
    <cellStyle name="40% - Accent5 2 3 7" xfId="1132" xr:uid="{00000000-0005-0000-0000-0000A6860000}"/>
    <cellStyle name="40% - Accent5 2 3 7 10" xfId="45859" xr:uid="{00000000-0005-0000-0000-0000A7860000}"/>
    <cellStyle name="40% - Accent5 2 3 7 11" xfId="51337" xr:uid="{00000000-0005-0000-0000-0000A8860000}"/>
    <cellStyle name="40% - Accent5 2 3 7 2" xfId="2893" xr:uid="{00000000-0005-0000-0000-0000A9860000}"/>
    <cellStyle name="40% - Accent5 2 3 7 2 2" xfId="8373" xr:uid="{00000000-0005-0000-0000-0000AA860000}"/>
    <cellStyle name="40% - Accent5 2 3 7 2 3" xfId="13849" xr:uid="{00000000-0005-0000-0000-0000AB860000}"/>
    <cellStyle name="40% - Accent5 2 3 7 2 4" xfId="19325" xr:uid="{00000000-0005-0000-0000-0000AC860000}"/>
    <cellStyle name="40% - Accent5 2 3 7 2 5" xfId="24801" xr:uid="{00000000-0005-0000-0000-0000AD860000}"/>
    <cellStyle name="40% - Accent5 2 3 7 2 6" xfId="36597" xr:uid="{00000000-0005-0000-0000-0000AE860000}"/>
    <cellStyle name="40% - Accent5 2 3 7 2 7" xfId="42074" xr:uid="{00000000-0005-0000-0000-0000AF860000}"/>
    <cellStyle name="40% - Accent5 2 3 7 2 8" xfId="47551" xr:uid="{00000000-0005-0000-0000-0000B0860000}"/>
    <cellStyle name="40% - Accent5 2 3 7 2 9" xfId="53069" xr:uid="{00000000-0005-0000-0000-0000B1860000}"/>
    <cellStyle name="40% - Accent5 2 3 7 3" xfId="4665" xr:uid="{00000000-0005-0000-0000-0000B2860000}"/>
    <cellStyle name="40% - Accent5 2 3 7 3 2" xfId="10145" xr:uid="{00000000-0005-0000-0000-0000B3860000}"/>
    <cellStyle name="40% - Accent5 2 3 7 3 3" xfId="15621" xr:uid="{00000000-0005-0000-0000-0000B4860000}"/>
    <cellStyle name="40% - Accent5 2 3 7 3 4" xfId="21097" xr:uid="{00000000-0005-0000-0000-0000B5860000}"/>
    <cellStyle name="40% - Accent5 2 3 7 3 5" xfId="26573" xr:uid="{00000000-0005-0000-0000-0000B6860000}"/>
    <cellStyle name="40% - Accent5 2 3 7 3 6" xfId="38369" xr:uid="{00000000-0005-0000-0000-0000B7860000}"/>
    <cellStyle name="40% - Accent5 2 3 7 3 7" xfId="43846" xr:uid="{00000000-0005-0000-0000-0000B8860000}"/>
    <cellStyle name="40% - Accent5 2 3 7 3 8" xfId="49323" xr:uid="{00000000-0005-0000-0000-0000B9860000}"/>
    <cellStyle name="40% - Accent5 2 3 7 3 9" xfId="54841" xr:uid="{00000000-0005-0000-0000-0000BA860000}"/>
    <cellStyle name="40% - Accent5 2 3 7 4" xfId="6678" xr:uid="{00000000-0005-0000-0000-0000BB860000}"/>
    <cellStyle name="40% - Accent5 2 3 7 5" xfId="12158" xr:uid="{00000000-0005-0000-0000-0000BC860000}"/>
    <cellStyle name="40% - Accent5 2 3 7 6" xfId="17634" xr:uid="{00000000-0005-0000-0000-0000BD860000}"/>
    <cellStyle name="40% - Accent5 2 3 7 7" xfId="23110" xr:uid="{00000000-0005-0000-0000-0000BE860000}"/>
    <cellStyle name="40% - Accent5 2 3 7 8" xfId="34905" xr:uid="{00000000-0005-0000-0000-0000BF860000}"/>
    <cellStyle name="40% - Accent5 2 3 7 9" xfId="40382" xr:uid="{00000000-0005-0000-0000-0000C0860000}"/>
    <cellStyle name="40% - Accent5 2 3 8" xfId="1304" xr:uid="{00000000-0005-0000-0000-0000C1860000}"/>
    <cellStyle name="40% - Accent5 2 3 8 10" xfId="45860" xr:uid="{00000000-0005-0000-0000-0000C2860000}"/>
    <cellStyle name="40% - Accent5 2 3 8 11" xfId="51338" xr:uid="{00000000-0005-0000-0000-0000C3860000}"/>
    <cellStyle name="40% - Accent5 2 3 8 2" xfId="3065" xr:uid="{00000000-0005-0000-0000-0000C4860000}"/>
    <cellStyle name="40% - Accent5 2 3 8 2 2" xfId="8545" xr:uid="{00000000-0005-0000-0000-0000C5860000}"/>
    <cellStyle name="40% - Accent5 2 3 8 2 3" xfId="14021" xr:uid="{00000000-0005-0000-0000-0000C6860000}"/>
    <cellStyle name="40% - Accent5 2 3 8 2 4" xfId="19497" xr:uid="{00000000-0005-0000-0000-0000C7860000}"/>
    <cellStyle name="40% - Accent5 2 3 8 2 5" xfId="24973" xr:uid="{00000000-0005-0000-0000-0000C8860000}"/>
    <cellStyle name="40% - Accent5 2 3 8 2 6" xfId="36769" xr:uid="{00000000-0005-0000-0000-0000C9860000}"/>
    <cellStyle name="40% - Accent5 2 3 8 2 7" xfId="42246" xr:uid="{00000000-0005-0000-0000-0000CA860000}"/>
    <cellStyle name="40% - Accent5 2 3 8 2 8" xfId="47723" xr:uid="{00000000-0005-0000-0000-0000CB860000}"/>
    <cellStyle name="40% - Accent5 2 3 8 2 9" xfId="53241" xr:uid="{00000000-0005-0000-0000-0000CC860000}"/>
    <cellStyle name="40% - Accent5 2 3 8 3" xfId="4837" xr:uid="{00000000-0005-0000-0000-0000CD860000}"/>
    <cellStyle name="40% - Accent5 2 3 8 3 2" xfId="10317" xr:uid="{00000000-0005-0000-0000-0000CE860000}"/>
    <cellStyle name="40% - Accent5 2 3 8 3 3" xfId="15793" xr:uid="{00000000-0005-0000-0000-0000CF860000}"/>
    <cellStyle name="40% - Accent5 2 3 8 3 4" xfId="21269" xr:uid="{00000000-0005-0000-0000-0000D0860000}"/>
    <cellStyle name="40% - Accent5 2 3 8 3 5" xfId="26745" xr:uid="{00000000-0005-0000-0000-0000D1860000}"/>
    <cellStyle name="40% - Accent5 2 3 8 3 6" xfId="38541" xr:uid="{00000000-0005-0000-0000-0000D2860000}"/>
    <cellStyle name="40% - Accent5 2 3 8 3 7" xfId="44018" xr:uid="{00000000-0005-0000-0000-0000D3860000}"/>
    <cellStyle name="40% - Accent5 2 3 8 3 8" xfId="49495" xr:uid="{00000000-0005-0000-0000-0000D4860000}"/>
    <cellStyle name="40% - Accent5 2 3 8 3 9" xfId="55013" xr:uid="{00000000-0005-0000-0000-0000D5860000}"/>
    <cellStyle name="40% - Accent5 2 3 8 4" xfId="6679" xr:uid="{00000000-0005-0000-0000-0000D6860000}"/>
    <cellStyle name="40% - Accent5 2 3 8 5" xfId="12159" xr:uid="{00000000-0005-0000-0000-0000D7860000}"/>
    <cellStyle name="40% - Accent5 2 3 8 6" xfId="17635" xr:uid="{00000000-0005-0000-0000-0000D8860000}"/>
    <cellStyle name="40% - Accent5 2 3 8 7" xfId="23111" xr:uid="{00000000-0005-0000-0000-0000D9860000}"/>
    <cellStyle name="40% - Accent5 2 3 8 8" xfId="34906" xr:uid="{00000000-0005-0000-0000-0000DA860000}"/>
    <cellStyle name="40% - Accent5 2 3 8 9" xfId="40383" xr:uid="{00000000-0005-0000-0000-0000DB860000}"/>
    <cellStyle name="40% - Accent5 2 3 9" xfId="1476" xr:uid="{00000000-0005-0000-0000-0000DC860000}"/>
    <cellStyle name="40% - Accent5 2 3 9 10" xfId="45861" xr:uid="{00000000-0005-0000-0000-0000DD860000}"/>
    <cellStyle name="40% - Accent5 2 3 9 11" xfId="51339" xr:uid="{00000000-0005-0000-0000-0000DE860000}"/>
    <cellStyle name="40% - Accent5 2 3 9 2" xfId="3237" xr:uid="{00000000-0005-0000-0000-0000DF860000}"/>
    <cellStyle name="40% - Accent5 2 3 9 2 2" xfId="8717" xr:uid="{00000000-0005-0000-0000-0000E0860000}"/>
    <cellStyle name="40% - Accent5 2 3 9 2 3" xfId="14193" xr:uid="{00000000-0005-0000-0000-0000E1860000}"/>
    <cellStyle name="40% - Accent5 2 3 9 2 4" xfId="19669" xr:uid="{00000000-0005-0000-0000-0000E2860000}"/>
    <cellStyle name="40% - Accent5 2 3 9 2 5" xfId="25145" xr:uid="{00000000-0005-0000-0000-0000E3860000}"/>
    <cellStyle name="40% - Accent5 2 3 9 2 6" xfId="36941" xr:uid="{00000000-0005-0000-0000-0000E4860000}"/>
    <cellStyle name="40% - Accent5 2 3 9 2 7" xfId="42418" xr:uid="{00000000-0005-0000-0000-0000E5860000}"/>
    <cellStyle name="40% - Accent5 2 3 9 2 8" xfId="47895" xr:uid="{00000000-0005-0000-0000-0000E6860000}"/>
    <cellStyle name="40% - Accent5 2 3 9 2 9" xfId="53413" xr:uid="{00000000-0005-0000-0000-0000E7860000}"/>
    <cellStyle name="40% - Accent5 2 3 9 3" xfId="5009" xr:uid="{00000000-0005-0000-0000-0000E8860000}"/>
    <cellStyle name="40% - Accent5 2 3 9 3 2" xfId="10489" xr:uid="{00000000-0005-0000-0000-0000E9860000}"/>
    <cellStyle name="40% - Accent5 2 3 9 3 3" xfId="15965" xr:uid="{00000000-0005-0000-0000-0000EA860000}"/>
    <cellStyle name="40% - Accent5 2 3 9 3 4" xfId="21441" xr:uid="{00000000-0005-0000-0000-0000EB860000}"/>
    <cellStyle name="40% - Accent5 2 3 9 3 5" xfId="26917" xr:uid="{00000000-0005-0000-0000-0000EC860000}"/>
    <cellStyle name="40% - Accent5 2 3 9 3 6" xfId="38713" xr:uid="{00000000-0005-0000-0000-0000ED860000}"/>
    <cellStyle name="40% - Accent5 2 3 9 3 7" xfId="44190" xr:uid="{00000000-0005-0000-0000-0000EE860000}"/>
    <cellStyle name="40% - Accent5 2 3 9 3 8" xfId="49667" xr:uid="{00000000-0005-0000-0000-0000EF860000}"/>
    <cellStyle name="40% - Accent5 2 3 9 3 9" xfId="55185" xr:uid="{00000000-0005-0000-0000-0000F0860000}"/>
    <cellStyle name="40% - Accent5 2 3 9 4" xfId="6680" xr:uid="{00000000-0005-0000-0000-0000F1860000}"/>
    <cellStyle name="40% - Accent5 2 3 9 5" xfId="12160" xr:uid="{00000000-0005-0000-0000-0000F2860000}"/>
    <cellStyle name="40% - Accent5 2 3 9 6" xfId="17636" xr:uid="{00000000-0005-0000-0000-0000F3860000}"/>
    <cellStyle name="40% - Accent5 2 3 9 7" xfId="23112" xr:uid="{00000000-0005-0000-0000-0000F4860000}"/>
    <cellStyle name="40% - Accent5 2 3 9 8" xfId="34907" xr:uid="{00000000-0005-0000-0000-0000F5860000}"/>
    <cellStyle name="40% - Accent5 2 3 9 9" xfId="40384" xr:uid="{00000000-0005-0000-0000-0000F6860000}"/>
    <cellStyle name="40% - Accent5 2 4" xfId="174" xr:uid="{00000000-0005-0000-0000-0000F7860000}"/>
    <cellStyle name="40% - Accent5 2 4 10" xfId="1650" xr:uid="{00000000-0005-0000-0000-0000F8860000}"/>
    <cellStyle name="40% - Accent5 2 4 10 10" xfId="45863" xr:uid="{00000000-0005-0000-0000-0000F9860000}"/>
    <cellStyle name="40% - Accent5 2 4 10 11" xfId="51341" xr:uid="{00000000-0005-0000-0000-0000FA860000}"/>
    <cellStyle name="40% - Accent5 2 4 10 2" xfId="3411" xr:uid="{00000000-0005-0000-0000-0000FB860000}"/>
    <cellStyle name="40% - Accent5 2 4 10 2 2" xfId="8891" xr:uid="{00000000-0005-0000-0000-0000FC860000}"/>
    <cellStyle name="40% - Accent5 2 4 10 2 3" xfId="14367" xr:uid="{00000000-0005-0000-0000-0000FD860000}"/>
    <cellStyle name="40% - Accent5 2 4 10 2 4" xfId="19843" xr:uid="{00000000-0005-0000-0000-0000FE860000}"/>
    <cellStyle name="40% - Accent5 2 4 10 2 5" xfId="25319" xr:uid="{00000000-0005-0000-0000-0000FF860000}"/>
    <cellStyle name="40% - Accent5 2 4 10 2 6" xfId="37115" xr:uid="{00000000-0005-0000-0000-000000870000}"/>
    <cellStyle name="40% - Accent5 2 4 10 2 7" xfId="42592" xr:uid="{00000000-0005-0000-0000-000001870000}"/>
    <cellStyle name="40% - Accent5 2 4 10 2 8" xfId="48069" xr:uid="{00000000-0005-0000-0000-000002870000}"/>
    <cellStyle name="40% - Accent5 2 4 10 2 9" xfId="53587" xr:uid="{00000000-0005-0000-0000-000003870000}"/>
    <cellStyle name="40% - Accent5 2 4 10 3" xfId="5183" xr:uid="{00000000-0005-0000-0000-000004870000}"/>
    <cellStyle name="40% - Accent5 2 4 10 3 2" xfId="10663" xr:uid="{00000000-0005-0000-0000-000005870000}"/>
    <cellStyle name="40% - Accent5 2 4 10 3 3" xfId="16139" xr:uid="{00000000-0005-0000-0000-000006870000}"/>
    <cellStyle name="40% - Accent5 2 4 10 3 4" xfId="21615" xr:uid="{00000000-0005-0000-0000-000007870000}"/>
    <cellStyle name="40% - Accent5 2 4 10 3 5" xfId="27091" xr:uid="{00000000-0005-0000-0000-000008870000}"/>
    <cellStyle name="40% - Accent5 2 4 10 3 6" xfId="38887" xr:uid="{00000000-0005-0000-0000-000009870000}"/>
    <cellStyle name="40% - Accent5 2 4 10 3 7" xfId="44364" xr:uid="{00000000-0005-0000-0000-00000A870000}"/>
    <cellStyle name="40% - Accent5 2 4 10 3 8" xfId="49841" xr:uid="{00000000-0005-0000-0000-00000B870000}"/>
    <cellStyle name="40% - Accent5 2 4 10 3 9" xfId="55359" xr:uid="{00000000-0005-0000-0000-00000C870000}"/>
    <cellStyle name="40% - Accent5 2 4 10 4" xfId="6682" xr:uid="{00000000-0005-0000-0000-00000D870000}"/>
    <cellStyle name="40% - Accent5 2 4 10 5" xfId="12162" xr:uid="{00000000-0005-0000-0000-00000E870000}"/>
    <cellStyle name="40% - Accent5 2 4 10 6" xfId="17638" xr:uid="{00000000-0005-0000-0000-00000F870000}"/>
    <cellStyle name="40% - Accent5 2 4 10 7" xfId="23114" xr:uid="{00000000-0005-0000-0000-000010870000}"/>
    <cellStyle name="40% - Accent5 2 4 10 8" xfId="34909" xr:uid="{00000000-0005-0000-0000-000011870000}"/>
    <cellStyle name="40% - Accent5 2 4 10 9" xfId="40386" xr:uid="{00000000-0005-0000-0000-000012870000}"/>
    <cellStyle name="40% - Accent5 2 4 11" xfId="1845" xr:uid="{00000000-0005-0000-0000-000013870000}"/>
    <cellStyle name="40% - Accent5 2 4 11 10" xfId="45864" xr:uid="{00000000-0005-0000-0000-000014870000}"/>
    <cellStyle name="40% - Accent5 2 4 11 11" xfId="51342" xr:uid="{00000000-0005-0000-0000-000015870000}"/>
    <cellStyle name="40% - Accent5 2 4 11 2" xfId="3606" xr:uid="{00000000-0005-0000-0000-000016870000}"/>
    <cellStyle name="40% - Accent5 2 4 11 2 2" xfId="9086" xr:uid="{00000000-0005-0000-0000-000017870000}"/>
    <cellStyle name="40% - Accent5 2 4 11 2 3" xfId="14562" xr:uid="{00000000-0005-0000-0000-000018870000}"/>
    <cellStyle name="40% - Accent5 2 4 11 2 4" xfId="20038" xr:uid="{00000000-0005-0000-0000-000019870000}"/>
    <cellStyle name="40% - Accent5 2 4 11 2 5" xfId="25514" xr:uid="{00000000-0005-0000-0000-00001A870000}"/>
    <cellStyle name="40% - Accent5 2 4 11 2 6" xfId="37310" xr:uid="{00000000-0005-0000-0000-00001B870000}"/>
    <cellStyle name="40% - Accent5 2 4 11 2 7" xfId="42787" xr:uid="{00000000-0005-0000-0000-00001C870000}"/>
    <cellStyle name="40% - Accent5 2 4 11 2 8" xfId="48264" xr:uid="{00000000-0005-0000-0000-00001D870000}"/>
    <cellStyle name="40% - Accent5 2 4 11 2 9" xfId="53782" xr:uid="{00000000-0005-0000-0000-00001E870000}"/>
    <cellStyle name="40% - Accent5 2 4 11 3" xfId="5378" xr:uid="{00000000-0005-0000-0000-00001F870000}"/>
    <cellStyle name="40% - Accent5 2 4 11 3 2" xfId="10858" xr:uid="{00000000-0005-0000-0000-000020870000}"/>
    <cellStyle name="40% - Accent5 2 4 11 3 3" xfId="16334" xr:uid="{00000000-0005-0000-0000-000021870000}"/>
    <cellStyle name="40% - Accent5 2 4 11 3 4" xfId="21810" xr:uid="{00000000-0005-0000-0000-000022870000}"/>
    <cellStyle name="40% - Accent5 2 4 11 3 5" xfId="27286" xr:uid="{00000000-0005-0000-0000-000023870000}"/>
    <cellStyle name="40% - Accent5 2 4 11 3 6" xfId="39082" xr:uid="{00000000-0005-0000-0000-000024870000}"/>
    <cellStyle name="40% - Accent5 2 4 11 3 7" xfId="44559" xr:uid="{00000000-0005-0000-0000-000025870000}"/>
    <cellStyle name="40% - Accent5 2 4 11 3 8" xfId="50036" xr:uid="{00000000-0005-0000-0000-000026870000}"/>
    <cellStyle name="40% - Accent5 2 4 11 3 9" xfId="55554" xr:uid="{00000000-0005-0000-0000-000027870000}"/>
    <cellStyle name="40% - Accent5 2 4 11 4" xfId="6683" xr:uid="{00000000-0005-0000-0000-000028870000}"/>
    <cellStyle name="40% - Accent5 2 4 11 5" xfId="12163" xr:uid="{00000000-0005-0000-0000-000029870000}"/>
    <cellStyle name="40% - Accent5 2 4 11 6" xfId="17639" xr:uid="{00000000-0005-0000-0000-00002A870000}"/>
    <cellStyle name="40% - Accent5 2 4 11 7" xfId="23115" xr:uid="{00000000-0005-0000-0000-00002B870000}"/>
    <cellStyle name="40% - Accent5 2 4 11 8" xfId="34910" xr:uid="{00000000-0005-0000-0000-00002C870000}"/>
    <cellStyle name="40% - Accent5 2 4 11 9" xfId="40387" xr:uid="{00000000-0005-0000-0000-00002D870000}"/>
    <cellStyle name="40% - Accent5 2 4 12" xfId="2012" xr:uid="{00000000-0005-0000-0000-00002E870000}"/>
    <cellStyle name="40% - Accent5 2 4 12 10" xfId="52189" xr:uid="{00000000-0005-0000-0000-00002F870000}"/>
    <cellStyle name="40% - Accent5 2 4 12 2" xfId="5544" xr:uid="{00000000-0005-0000-0000-000030870000}"/>
    <cellStyle name="40% - Accent5 2 4 12 2 2" xfId="11024" xr:uid="{00000000-0005-0000-0000-000031870000}"/>
    <cellStyle name="40% - Accent5 2 4 12 2 3" xfId="16500" xr:uid="{00000000-0005-0000-0000-000032870000}"/>
    <cellStyle name="40% - Accent5 2 4 12 2 4" xfId="21976" xr:uid="{00000000-0005-0000-0000-000033870000}"/>
    <cellStyle name="40% - Accent5 2 4 12 2 5" xfId="27452" xr:uid="{00000000-0005-0000-0000-000034870000}"/>
    <cellStyle name="40% - Accent5 2 4 12 2 6" xfId="39248" xr:uid="{00000000-0005-0000-0000-000035870000}"/>
    <cellStyle name="40% - Accent5 2 4 12 2 7" xfId="44725" xr:uid="{00000000-0005-0000-0000-000036870000}"/>
    <cellStyle name="40% - Accent5 2 4 12 2 8" xfId="50202" xr:uid="{00000000-0005-0000-0000-000037870000}"/>
    <cellStyle name="40% - Accent5 2 4 12 2 9" xfId="55720" xr:uid="{00000000-0005-0000-0000-000038870000}"/>
    <cellStyle name="40% - Accent5 2 4 12 3" xfId="7493" xr:uid="{00000000-0005-0000-0000-000039870000}"/>
    <cellStyle name="40% - Accent5 2 4 12 4" xfId="12969" xr:uid="{00000000-0005-0000-0000-00003A870000}"/>
    <cellStyle name="40% - Accent5 2 4 12 5" xfId="18445" xr:uid="{00000000-0005-0000-0000-00003B870000}"/>
    <cellStyle name="40% - Accent5 2 4 12 6" xfId="23921" xr:uid="{00000000-0005-0000-0000-00003C870000}"/>
    <cellStyle name="40% - Accent5 2 4 12 7" xfId="35717" xr:uid="{00000000-0005-0000-0000-00003D870000}"/>
    <cellStyle name="40% - Accent5 2 4 12 8" xfId="41194" xr:uid="{00000000-0005-0000-0000-00003E870000}"/>
    <cellStyle name="40% - Accent5 2 4 12 9" xfId="46671" xr:uid="{00000000-0005-0000-0000-00003F870000}"/>
    <cellStyle name="40% - Accent5 2 4 13" xfId="3746" xr:uid="{00000000-0005-0000-0000-000040870000}"/>
    <cellStyle name="40% - Accent5 2 4 13 2" xfId="9226" xr:uid="{00000000-0005-0000-0000-000041870000}"/>
    <cellStyle name="40% - Accent5 2 4 13 3" xfId="14702" xr:uid="{00000000-0005-0000-0000-000042870000}"/>
    <cellStyle name="40% - Accent5 2 4 13 4" xfId="20178" xr:uid="{00000000-0005-0000-0000-000043870000}"/>
    <cellStyle name="40% - Accent5 2 4 13 5" xfId="25654" xr:uid="{00000000-0005-0000-0000-000044870000}"/>
    <cellStyle name="40% - Accent5 2 4 13 6" xfId="37450" xr:uid="{00000000-0005-0000-0000-000045870000}"/>
    <cellStyle name="40% - Accent5 2 4 13 7" xfId="42927" xr:uid="{00000000-0005-0000-0000-000046870000}"/>
    <cellStyle name="40% - Accent5 2 4 13 8" xfId="48404" xr:uid="{00000000-0005-0000-0000-000047870000}"/>
    <cellStyle name="40% - Accent5 2 4 13 9" xfId="53922" xr:uid="{00000000-0005-0000-0000-000048870000}"/>
    <cellStyle name="40% - Accent5 2 4 14" xfId="6681" xr:uid="{00000000-0005-0000-0000-000049870000}"/>
    <cellStyle name="40% - Accent5 2 4 15" xfId="12161" xr:uid="{00000000-0005-0000-0000-00004A870000}"/>
    <cellStyle name="40% - Accent5 2 4 16" xfId="17637" xr:uid="{00000000-0005-0000-0000-00004B870000}"/>
    <cellStyle name="40% - Accent5 2 4 17" xfId="23113" xr:uid="{00000000-0005-0000-0000-00004C870000}"/>
    <cellStyle name="40% - Accent5 2 4 18" xfId="32117" xr:uid="{00000000-0005-0000-0000-00004D870000}"/>
    <cellStyle name="40% - Accent5 2 4 19" xfId="34908" xr:uid="{00000000-0005-0000-0000-00004E870000}"/>
    <cellStyle name="40% - Accent5 2 4 2" xfId="266" xr:uid="{00000000-0005-0000-0000-00004F870000}"/>
    <cellStyle name="40% - Accent5 2 4 2 10" xfId="1846" xr:uid="{00000000-0005-0000-0000-000050870000}"/>
    <cellStyle name="40% - Accent5 2 4 2 10 10" xfId="45866" xr:uid="{00000000-0005-0000-0000-000051870000}"/>
    <cellStyle name="40% - Accent5 2 4 2 10 11" xfId="51344" xr:uid="{00000000-0005-0000-0000-000052870000}"/>
    <cellStyle name="40% - Accent5 2 4 2 10 2" xfId="3607" xr:uid="{00000000-0005-0000-0000-000053870000}"/>
    <cellStyle name="40% - Accent5 2 4 2 10 2 2" xfId="9087" xr:uid="{00000000-0005-0000-0000-000054870000}"/>
    <cellStyle name="40% - Accent5 2 4 2 10 2 3" xfId="14563" xr:uid="{00000000-0005-0000-0000-000055870000}"/>
    <cellStyle name="40% - Accent5 2 4 2 10 2 4" xfId="20039" xr:uid="{00000000-0005-0000-0000-000056870000}"/>
    <cellStyle name="40% - Accent5 2 4 2 10 2 5" xfId="25515" xr:uid="{00000000-0005-0000-0000-000057870000}"/>
    <cellStyle name="40% - Accent5 2 4 2 10 2 6" xfId="37311" xr:uid="{00000000-0005-0000-0000-000058870000}"/>
    <cellStyle name="40% - Accent5 2 4 2 10 2 7" xfId="42788" xr:uid="{00000000-0005-0000-0000-000059870000}"/>
    <cellStyle name="40% - Accent5 2 4 2 10 2 8" xfId="48265" xr:uid="{00000000-0005-0000-0000-00005A870000}"/>
    <cellStyle name="40% - Accent5 2 4 2 10 2 9" xfId="53783" xr:uid="{00000000-0005-0000-0000-00005B870000}"/>
    <cellStyle name="40% - Accent5 2 4 2 10 3" xfId="5379" xr:uid="{00000000-0005-0000-0000-00005C870000}"/>
    <cellStyle name="40% - Accent5 2 4 2 10 3 2" xfId="10859" xr:uid="{00000000-0005-0000-0000-00005D870000}"/>
    <cellStyle name="40% - Accent5 2 4 2 10 3 3" xfId="16335" xr:uid="{00000000-0005-0000-0000-00005E870000}"/>
    <cellStyle name="40% - Accent5 2 4 2 10 3 4" xfId="21811" xr:uid="{00000000-0005-0000-0000-00005F870000}"/>
    <cellStyle name="40% - Accent5 2 4 2 10 3 5" xfId="27287" xr:uid="{00000000-0005-0000-0000-000060870000}"/>
    <cellStyle name="40% - Accent5 2 4 2 10 3 6" xfId="39083" xr:uid="{00000000-0005-0000-0000-000061870000}"/>
    <cellStyle name="40% - Accent5 2 4 2 10 3 7" xfId="44560" xr:uid="{00000000-0005-0000-0000-000062870000}"/>
    <cellStyle name="40% - Accent5 2 4 2 10 3 8" xfId="50037" xr:uid="{00000000-0005-0000-0000-000063870000}"/>
    <cellStyle name="40% - Accent5 2 4 2 10 3 9" xfId="55555" xr:uid="{00000000-0005-0000-0000-000064870000}"/>
    <cellStyle name="40% - Accent5 2 4 2 10 4" xfId="6685" xr:uid="{00000000-0005-0000-0000-000065870000}"/>
    <cellStyle name="40% - Accent5 2 4 2 10 5" xfId="12165" xr:uid="{00000000-0005-0000-0000-000066870000}"/>
    <cellStyle name="40% - Accent5 2 4 2 10 6" xfId="17641" xr:uid="{00000000-0005-0000-0000-000067870000}"/>
    <cellStyle name="40% - Accent5 2 4 2 10 7" xfId="23117" xr:uid="{00000000-0005-0000-0000-000068870000}"/>
    <cellStyle name="40% - Accent5 2 4 2 10 8" xfId="34912" xr:uid="{00000000-0005-0000-0000-000069870000}"/>
    <cellStyle name="40% - Accent5 2 4 2 10 9" xfId="40389" xr:uid="{00000000-0005-0000-0000-00006A870000}"/>
    <cellStyle name="40% - Accent5 2 4 2 11" xfId="2013" xr:uid="{00000000-0005-0000-0000-00006B870000}"/>
    <cellStyle name="40% - Accent5 2 4 2 11 10" xfId="52190" xr:uid="{00000000-0005-0000-0000-00006C870000}"/>
    <cellStyle name="40% - Accent5 2 4 2 11 2" xfId="5545" xr:uid="{00000000-0005-0000-0000-00006D870000}"/>
    <cellStyle name="40% - Accent5 2 4 2 11 2 2" xfId="11025" xr:uid="{00000000-0005-0000-0000-00006E870000}"/>
    <cellStyle name="40% - Accent5 2 4 2 11 2 3" xfId="16501" xr:uid="{00000000-0005-0000-0000-00006F870000}"/>
    <cellStyle name="40% - Accent5 2 4 2 11 2 4" xfId="21977" xr:uid="{00000000-0005-0000-0000-000070870000}"/>
    <cellStyle name="40% - Accent5 2 4 2 11 2 5" xfId="27453" xr:uid="{00000000-0005-0000-0000-000071870000}"/>
    <cellStyle name="40% - Accent5 2 4 2 11 2 6" xfId="39249" xr:uid="{00000000-0005-0000-0000-000072870000}"/>
    <cellStyle name="40% - Accent5 2 4 2 11 2 7" xfId="44726" xr:uid="{00000000-0005-0000-0000-000073870000}"/>
    <cellStyle name="40% - Accent5 2 4 2 11 2 8" xfId="50203" xr:uid="{00000000-0005-0000-0000-000074870000}"/>
    <cellStyle name="40% - Accent5 2 4 2 11 2 9" xfId="55721" xr:uid="{00000000-0005-0000-0000-000075870000}"/>
    <cellStyle name="40% - Accent5 2 4 2 11 3" xfId="7494" xr:uid="{00000000-0005-0000-0000-000076870000}"/>
    <cellStyle name="40% - Accent5 2 4 2 11 4" xfId="12970" xr:uid="{00000000-0005-0000-0000-000077870000}"/>
    <cellStyle name="40% - Accent5 2 4 2 11 5" xfId="18446" xr:uid="{00000000-0005-0000-0000-000078870000}"/>
    <cellStyle name="40% - Accent5 2 4 2 11 6" xfId="23922" xr:uid="{00000000-0005-0000-0000-000079870000}"/>
    <cellStyle name="40% - Accent5 2 4 2 11 7" xfId="35718" xr:uid="{00000000-0005-0000-0000-00007A870000}"/>
    <cellStyle name="40% - Accent5 2 4 2 11 8" xfId="41195" xr:uid="{00000000-0005-0000-0000-00007B870000}"/>
    <cellStyle name="40% - Accent5 2 4 2 11 9" xfId="46672" xr:uid="{00000000-0005-0000-0000-00007C870000}"/>
    <cellStyle name="40% - Accent5 2 4 2 12" xfId="3832" xr:uid="{00000000-0005-0000-0000-00007D870000}"/>
    <cellStyle name="40% - Accent5 2 4 2 12 2" xfId="9312" xr:uid="{00000000-0005-0000-0000-00007E870000}"/>
    <cellStyle name="40% - Accent5 2 4 2 12 3" xfId="14788" xr:uid="{00000000-0005-0000-0000-00007F870000}"/>
    <cellStyle name="40% - Accent5 2 4 2 12 4" xfId="20264" xr:uid="{00000000-0005-0000-0000-000080870000}"/>
    <cellStyle name="40% - Accent5 2 4 2 12 5" xfId="25740" xr:uid="{00000000-0005-0000-0000-000081870000}"/>
    <cellStyle name="40% - Accent5 2 4 2 12 6" xfId="37536" xr:uid="{00000000-0005-0000-0000-000082870000}"/>
    <cellStyle name="40% - Accent5 2 4 2 12 7" xfId="43013" xr:uid="{00000000-0005-0000-0000-000083870000}"/>
    <cellStyle name="40% - Accent5 2 4 2 12 8" xfId="48490" xr:uid="{00000000-0005-0000-0000-000084870000}"/>
    <cellStyle name="40% - Accent5 2 4 2 12 9" xfId="54008" xr:uid="{00000000-0005-0000-0000-000085870000}"/>
    <cellStyle name="40% - Accent5 2 4 2 13" xfId="6684" xr:uid="{00000000-0005-0000-0000-000086870000}"/>
    <cellStyle name="40% - Accent5 2 4 2 14" xfId="12164" xr:uid="{00000000-0005-0000-0000-000087870000}"/>
    <cellStyle name="40% - Accent5 2 4 2 15" xfId="17640" xr:uid="{00000000-0005-0000-0000-000088870000}"/>
    <cellStyle name="40% - Accent5 2 4 2 16" xfId="23116" xr:uid="{00000000-0005-0000-0000-000089870000}"/>
    <cellStyle name="40% - Accent5 2 4 2 17" xfId="32118" xr:uid="{00000000-0005-0000-0000-00008A870000}"/>
    <cellStyle name="40% - Accent5 2 4 2 18" xfId="34911" xr:uid="{00000000-0005-0000-0000-00008B870000}"/>
    <cellStyle name="40% - Accent5 2 4 2 19" xfId="40388" xr:uid="{00000000-0005-0000-0000-00008C870000}"/>
    <cellStyle name="40% - Accent5 2 4 2 2" xfId="384" xr:uid="{00000000-0005-0000-0000-00008D870000}"/>
    <cellStyle name="40% - Accent5 2 4 2 2 10" xfId="40390" xr:uid="{00000000-0005-0000-0000-00008E870000}"/>
    <cellStyle name="40% - Accent5 2 4 2 2 11" xfId="45867" xr:uid="{00000000-0005-0000-0000-00008F870000}"/>
    <cellStyle name="40% - Accent5 2 4 2 2 12" xfId="51345" xr:uid="{00000000-0005-0000-0000-000090870000}"/>
    <cellStyle name="40% - Accent5 2 4 2 2 2" xfId="2176" xr:uid="{00000000-0005-0000-0000-000091870000}"/>
    <cellStyle name="40% - Accent5 2 4 2 2 2 2" xfId="7656" xr:uid="{00000000-0005-0000-0000-000092870000}"/>
    <cellStyle name="40% - Accent5 2 4 2 2 2 3" xfId="13132" xr:uid="{00000000-0005-0000-0000-000093870000}"/>
    <cellStyle name="40% - Accent5 2 4 2 2 2 4" xfId="18608" xr:uid="{00000000-0005-0000-0000-000094870000}"/>
    <cellStyle name="40% - Accent5 2 4 2 2 2 5" xfId="24084" xr:uid="{00000000-0005-0000-0000-000095870000}"/>
    <cellStyle name="40% - Accent5 2 4 2 2 2 6" xfId="35880" xr:uid="{00000000-0005-0000-0000-000096870000}"/>
    <cellStyle name="40% - Accent5 2 4 2 2 2 7" xfId="41357" xr:uid="{00000000-0005-0000-0000-000097870000}"/>
    <cellStyle name="40% - Accent5 2 4 2 2 2 8" xfId="46834" xr:uid="{00000000-0005-0000-0000-000098870000}"/>
    <cellStyle name="40% - Accent5 2 4 2 2 2 9" xfId="52352" xr:uid="{00000000-0005-0000-0000-000099870000}"/>
    <cellStyle name="40% - Accent5 2 4 2 2 3" xfId="3946" xr:uid="{00000000-0005-0000-0000-00009A870000}"/>
    <cellStyle name="40% - Accent5 2 4 2 2 3 2" xfId="9426" xr:uid="{00000000-0005-0000-0000-00009B870000}"/>
    <cellStyle name="40% - Accent5 2 4 2 2 3 3" xfId="14902" xr:uid="{00000000-0005-0000-0000-00009C870000}"/>
    <cellStyle name="40% - Accent5 2 4 2 2 3 4" xfId="20378" xr:uid="{00000000-0005-0000-0000-00009D870000}"/>
    <cellStyle name="40% - Accent5 2 4 2 2 3 5" xfId="25854" xr:uid="{00000000-0005-0000-0000-00009E870000}"/>
    <cellStyle name="40% - Accent5 2 4 2 2 3 6" xfId="37650" xr:uid="{00000000-0005-0000-0000-00009F870000}"/>
    <cellStyle name="40% - Accent5 2 4 2 2 3 7" xfId="43127" xr:uid="{00000000-0005-0000-0000-0000A0870000}"/>
    <cellStyle name="40% - Accent5 2 4 2 2 3 8" xfId="48604" xr:uid="{00000000-0005-0000-0000-0000A1870000}"/>
    <cellStyle name="40% - Accent5 2 4 2 2 3 9" xfId="54122" xr:uid="{00000000-0005-0000-0000-0000A2870000}"/>
    <cellStyle name="40% - Accent5 2 4 2 2 4" xfId="6686" xr:uid="{00000000-0005-0000-0000-0000A3870000}"/>
    <cellStyle name="40% - Accent5 2 4 2 2 5" xfId="12166" xr:uid="{00000000-0005-0000-0000-0000A4870000}"/>
    <cellStyle name="40% - Accent5 2 4 2 2 6" xfId="17642" xr:uid="{00000000-0005-0000-0000-0000A5870000}"/>
    <cellStyle name="40% - Accent5 2 4 2 2 7" xfId="23118" xr:uid="{00000000-0005-0000-0000-0000A6870000}"/>
    <cellStyle name="40% - Accent5 2 4 2 2 8" xfId="32119" xr:uid="{00000000-0005-0000-0000-0000A7870000}"/>
    <cellStyle name="40% - Accent5 2 4 2 2 9" xfId="34913" xr:uid="{00000000-0005-0000-0000-0000A8870000}"/>
    <cellStyle name="40% - Accent5 2 4 2 20" xfId="45865" xr:uid="{00000000-0005-0000-0000-0000A9870000}"/>
    <cellStyle name="40% - Accent5 2 4 2 21" xfId="51343" xr:uid="{00000000-0005-0000-0000-0000AA870000}"/>
    <cellStyle name="40% - Accent5 2 4 2 3" xfId="585" xr:uid="{00000000-0005-0000-0000-0000AB870000}"/>
    <cellStyle name="40% - Accent5 2 4 2 3 10" xfId="45868" xr:uid="{00000000-0005-0000-0000-0000AC870000}"/>
    <cellStyle name="40% - Accent5 2 4 2 3 11" xfId="51346" xr:uid="{00000000-0005-0000-0000-0000AD870000}"/>
    <cellStyle name="40% - Accent5 2 4 2 3 2" xfId="2346" xr:uid="{00000000-0005-0000-0000-0000AE870000}"/>
    <cellStyle name="40% - Accent5 2 4 2 3 2 2" xfId="7826" xr:uid="{00000000-0005-0000-0000-0000AF870000}"/>
    <cellStyle name="40% - Accent5 2 4 2 3 2 3" xfId="13302" xr:uid="{00000000-0005-0000-0000-0000B0870000}"/>
    <cellStyle name="40% - Accent5 2 4 2 3 2 4" xfId="18778" xr:uid="{00000000-0005-0000-0000-0000B1870000}"/>
    <cellStyle name="40% - Accent5 2 4 2 3 2 5" xfId="24254" xr:uid="{00000000-0005-0000-0000-0000B2870000}"/>
    <cellStyle name="40% - Accent5 2 4 2 3 2 6" xfId="36050" xr:uid="{00000000-0005-0000-0000-0000B3870000}"/>
    <cellStyle name="40% - Accent5 2 4 2 3 2 7" xfId="41527" xr:uid="{00000000-0005-0000-0000-0000B4870000}"/>
    <cellStyle name="40% - Accent5 2 4 2 3 2 8" xfId="47004" xr:uid="{00000000-0005-0000-0000-0000B5870000}"/>
    <cellStyle name="40% - Accent5 2 4 2 3 2 9" xfId="52522" xr:uid="{00000000-0005-0000-0000-0000B6870000}"/>
    <cellStyle name="40% - Accent5 2 4 2 3 3" xfId="4118" xr:uid="{00000000-0005-0000-0000-0000B7870000}"/>
    <cellStyle name="40% - Accent5 2 4 2 3 3 2" xfId="9598" xr:uid="{00000000-0005-0000-0000-0000B8870000}"/>
    <cellStyle name="40% - Accent5 2 4 2 3 3 3" xfId="15074" xr:uid="{00000000-0005-0000-0000-0000B9870000}"/>
    <cellStyle name="40% - Accent5 2 4 2 3 3 4" xfId="20550" xr:uid="{00000000-0005-0000-0000-0000BA870000}"/>
    <cellStyle name="40% - Accent5 2 4 2 3 3 5" xfId="26026" xr:uid="{00000000-0005-0000-0000-0000BB870000}"/>
    <cellStyle name="40% - Accent5 2 4 2 3 3 6" xfId="37822" xr:uid="{00000000-0005-0000-0000-0000BC870000}"/>
    <cellStyle name="40% - Accent5 2 4 2 3 3 7" xfId="43299" xr:uid="{00000000-0005-0000-0000-0000BD870000}"/>
    <cellStyle name="40% - Accent5 2 4 2 3 3 8" xfId="48776" xr:uid="{00000000-0005-0000-0000-0000BE870000}"/>
    <cellStyle name="40% - Accent5 2 4 2 3 3 9" xfId="54294" xr:uid="{00000000-0005-0000-0000-0000BF870000}"/>
    <cellStyle name="40% - Accent5 2 4 2 3 4" xfId="6687" xr:uid="{00000000-0005-0000-0000-0000C0870000}"/>
    <cellStyle name="40% - Accent5 2 4 2 3 5" xfId="12167" xr:uid="{00000000-0005-0000-0000-0000C1870000}"/>
    <cellStyle name="40% - Accent5 2 4 2 3 6" xfId="17643" xr:uid="{00000000-0005-0000-0000-0000C2870000}"/>
    <cellStyle name="40% - Accent5 2 4 2 3 7" xfId="23119" xr:uid="{00000000-0005-0000-0000-0000C3870000}"/>
    <cellStyle name="40% - Accent5 2 4 2 3 8" xfId="34914" xr:uid="{00000000-0005-0000-0000-0000C4870000}"/>
    <cellStyle name="40% - Accent5 2 4 2 3 9" xfId="40391" xr:uid="{00000000-0005-0000-0000-0000C5870000}"/>
    <cellStyle name="40% - Accent5 2 4 2 4" xfId="757" xr:uid="{00000000-0005-0000-0000-0000C6870000}"/>
    <cellStyle name="40% - Accent5 2 4 2 4 10" xfId="45869" xr:uid="{00000000-0005-0000-0000-0000C7870000}"/>
    <cellStyle name="40% - Accent5 2 4 2 4 11" xfId="51347" xr:uid="{00000000-0005-0000-0000-0000C8870000}"/>
    <cellStyle name="40% - Accent5 2 4 2 4 2" xfId="2518" xr:uid="{00000000-0005-0000-0000-0000C9870000}"/>
    <cellStyle name="40% - Accent5 2 4 2 4 2 2" xfId="7998" xr:uid="{00000000-0005-0000-0000-0000CA870000}"/>
    <cellStyle name="40% - Accent5 2 4 2 4 2 3" xfId="13474" xr:uid="{00000000-0005-0000-0000-0000CB870000}"/>
    <cellStyle name="40% - Accent5 2 4 2 4 2 4" xfId="18950" xr:uid="{00000000-0005-0000-0000-0000CC870000}"/>
    <cellStyle name="40% - Accent5 2 4 2 4 2 5" xfId="24426" xr:uid="{00000000-0005-0000-0000-0000CD870000}"/>
    <cellStyle name="40% - Accent5 2 4 2 4 2 6" xfId="36222" xr:uid="{00000000-0005-0000-0000-0000CE870000}"/>
    <cellStyle name="40% - Accent5 2 4 2 4 2 7" xfId="41699" xr:uid="{00000000-0005-0000-0000-0000CF870000}"/>
    <cellStyle name="40% - Accent5 2 4 2 4 2 8" xfId="47176" xr:uid="{00000000-0005-0000-0000-0000D0870000}"/>
    <cellStyle name="40% - Accent5 2 4 2 4 2 9" xfId="52694" xr:uid="{00000000-0005-0000-0000-0000D1870000}"/>
    <cellStyle name="40% - Accent5 2 4 2 4 3" xfId="4290" xr:uid="{00000000-0005-0000-0000-0000D2870000}"/>
    <cellStyle name="40% - Accent5 2 4 2 4 3 2" xfId="9770" xr:uid="{00000000-0005-0000-0000-0000D3870000}"/>
    <cellStyle name="40% - Accent5 2 4 2 4 3 3" xfId="15246" xr:uid="{00000000-0005-0000-0000-0000D4870000}"/>
    <cellStyle name="40% - Accent5 2 4 2 4 3 4" xfId="20722" xr:uid="{00000000-0005-0000-0000-0000D5870000}"/>
    <cellStyle name="40% - Accent5 2 4 2 4 3 5" xfId="26198" xr:uid="{00000000-0005-0000-0000-0000D6870000}"/>
    <cellStyle name="40% - Accent5 2 4 2 4 3 6" xfId="37994" xr:uid="{00000000-0005-0000-0000-0000D7870000}"/>
    <cellStyle name="40% - Accent5 2 4 2 4 3 7" xfId="43471" xr:uid="{00000000-0005-0000-0000-0000D8870000}"/>
    <cellStyle name="40% - Accent5 2 4 2 4 3 8" xfId="48948" xr:uid="{00000000-0005-0000-0000-0000D9870000}"/>
    <cellStyle name="40% - Accent5 2 4 2 4 3 9" xfId="54466" xr:uid="{00000000-0005-0000-0000-0000DA870000}"/>
    <cellStyle name="40% - Accent5 2 4 2 4 4" xfId="6688" xr:uid="{00000000-0005-0000-0000-0000DB870000}"/>
    <cellStyle name="40% - Accent5 2 4 2 4 5" xfId="12168" xr:uid="{00000000-0005-0000-0000-0000DC870000}"/>
    <cellStyle name="40% - Accent5 2 4 2 4 6" xfId="17644" xr:uid="{00000000-0005-0000-0000-0000DD870000}"/>
    <cellStyle name="40% - Accent5 2 4 2 4 7" xfId="23120" xr:uid="{00000000-0005-0000-0000-0000DE870000}"/>
    <cellStyle name="40% - Accent5 2 4 2 4 8" xfId="34915" xr:uid="{00000000-0005-0000-0000-0000DF870000}"/>
    <cellStyle name="40% - Accent5 2 4 2 4 9" xfId="40392" xr:uid="{00000000-0005-0000-0000-0000E0870000}"/>
    <cellStyle name="40% - Accent5 2 4 2 5" xfId="929" xr:uid="{00000000-0005-0000-0000-0000E1870000}"/>
    <cellStyle name="40% - Accent5 2 4 2 5 10" xfId="45870" xr:uid="{00000000-0005-0000-0000-0000E2870000}"/>
    <cellStyle name="40% - Accent5 2 4 2 5 11" xfId="51348" xr:uid="{00000000-0005-0000-0000-0000E3870000}"/>
    <cellStyle name="40% - Accent5 2 4 2 5 2" xfId="2690" xr:uid="{00000000-0005-0000-0000-0000E4870000}"/>
    <cellStyle name="40% - Accent5 2 4 2 5 2 2" xfId="8170" xr:uid="{00000000-0005-0000-0000-0000E5870000}"/>
    <cellStyle name="40% - Accent5 2 4 2 5 2 3" xfId="13646" xr:uid="{00000000-0005-0000-0000-0000E6870000}"/>
    <cellStyle name="40% - Accent5 2 4 2 5 2 4" xfId="19122" xr:uid="{00000000-0005-0000-0000-0000E7870000}"/>
    <cellStyle name="40% - Accent5 2 4 2 5 2 5" xfId="24598" xr:uid="{00000000-0005-0000-0000-0000E8870000}"/>
    <cellStyle name="40% - Accent5 2 4 2 5 2 6" xfId="36394" xr:uid="{00000000-0005-0000-0000-0000E9870000}"/>
    <cellStyle name="40% - Accent5 2 4 2 5 2 7" xfId="41871" xr:uid="{00000000-0005-0000-0000-0000EA870000}"/>
    <cellStyle name="40% - Accent5 2 4 2 5 2 8" xfId="47348" xr:uid="{00000000-0005-0000-0000-0000EB870000}"/>
    <cellStyle name="40% - Accent5 2 4 2 5 2 9" xfId="52866" xr:uid="{00000000-0005-0000-0000-0000EC870000}"/>
    <cellStyle name="40% - Accent5 2 4 2 5 3" xfId="4462" xr:uid="{00000000-0005-0000-0000-0000ED870000}"/>
    <cellStyle name="40% - Accent5 2 4 2 5 3 2" xfId="9942" xr:uid="{00000000-0005-0000-0000-0000EE870000}"/>
    <cellStyle name="40% - Accent5 2 4 2 5 3 3" xfId="15418" xr:uid="{00000000-0005-0000-0000-0000EF870000}"/>
    <cellStyle name="40% - Accent5 2 4 2 5 3 4" xfId="20894" xr:uid="{00000000-0005-0000-0000-0000F0870000}"/>
    <cellStyle name="40% - Accent5 2 4 2 5 3 5" xfId="26370" xr:uid="{00000000-0005-0000-0000-0000F1870000}"/>
    <cellStyle name="40% - Accent5 2 4 2 5 3 6" xfId="38166" xr:uid="{00000000-0005-0000-0000-0000F2870000}"/>
    <cellStyle name="40% - Accent5 2 4 2 5 3 7" xfId="43643" xr:uid="{00000000-0005-0000-0000-0000F3870000}"/>
    <cellStyle name="40% - Accent5 2 4 2 5 3 8" xfId="49120" xr:uid="{00000000-0005-0000-0000-0000F4870000}"/>
    <cellStyle name="40% - Accent5 2 4 2 5 3 9" xfId="54638" xr:uid="{00000000-0005-0000-0000-0000F5870000}"/>
    <cellStyle name="40% - Accent5 2 4 2 5 4" xfId="6689" xr:uid="{00000000-0005-0000-0000-0000F6870000}"/>
    <cellStyle name="40% - Accent5 2 4 2 5 5" xfId="12169" xr:uid="{00000000-0005-0000-0000-0000F7870000}"/>
    <cellStyle name="40% - Accent5 2 4 2 5 6" xfId="17645" xr:uid="{00000000-0005-0000-0000-0000F8870000}"/>
    <cellStyle name="40% - Accent5 2 4 2 5 7" xfId="23121" xr:uid="{00000000-0005-0000-0000-0000F9870000}"/>
    <cellStyle name="40% - Accent5 2 4 2 5 8" xfId="34916" xr:uid="{00000000-0005-0000-0000-0000FA870000}"/>
    <cellStyle name="40% - Accent5 2 4 2 5 9" xfId="40393" xr:uid="{00000000-0005-0000-0000-0000FB870000}"/>
    <cellStyle name="40% - Accent5 2 4 2 6" xfId="1135" xr:uid="{00000000-0005-0000-0000-0000FC870000}"/>
    <cellStyle name="40% - Accent5 2 4 2 6 10" xfId="45871" xr:uid="{00000000-0005-0000-0000-0000FD870000}"/>
    <cellStyle name="40% - Accent5 2 4 2 6 11" xfId="51349" xr:uid="{00000000-0005-0000-0000-0000FE870000}"/>
    <cellStyle name="40% - Accent5 2 4 2 6 2" xfId="2896" xr:uid="{00000000-0005-0000-0000-0000FF870000}"/>
    <cellStyle name="40% - Accent5 2 4 2 6 2 2" xfId="8376" xr:uid="{00000000-0005-0000-0000-000000880000}"/>
    <cellStyle name="40% - Accent5 2 4 2 6 2 3" xfId="13852" xr:uid="{00000000-0005-0000-0000-000001880000}"/>
    <cellStyle name="40% - Accent5 2 4 2 6 2 4" xfId="19328" xr:uid="{00000000-0005-0000-0000-000002880000}"/>
    <cellStyle name="40% - Accent5 2 4 2 6 2 5" xfId="24804" xr:uid="{00000000-0005-0000-0000-000003880000}"/>
    <cellStyle name="40% - Accent5 2 4 2 6 2 6" xfId="36600" xr:uid="{00000000-0005-0000-0000-000004880000}"/>
    <cellStyle name="40% - Accent5 2 4 2 6 2 7" xfId="42077" xr:uid="{00000000-0005-0000-0000-000005880000}"/>
    <cellStyle name="40% - Accent5 2 4 2 6 2 8" xfId="47554" xr:uid="{00000000-0005-0000-0000-000006880000}"/>
    <cellStyle name="40% - Accent5 2 4 2 6 2 9" xfId="53072" xr:uid="{00000000-0005-0000-0000-000007880000}"/>
    <cellStyle name="40% - Accent5 2 4 2 6 3" xfId="4668" xr:uid="{00000000-0005-0000-0000-000008880000}"/>
    <cellStyle name="40% - Accent5 2 4 2 6 3 2" xfId="10148" xr:uid="{00000000-0005-0000-0000-000009880000}"/>
    <cellStyle name="40% - Accent5 2 4 2 6 3 3" xfId="15624" xr:uid="{00000000-0005-0000-0000-00000A880000}"/>
    <cellStyle name="40% - Accent5 2 4 2 6 3 4" xfId="21100" xr:uid="{00000000-0005-0000-0000-00000B880000}"/>
    <cellStyle name="40% - Accent5 2 4 2 6 3 5" xfId="26576" xr:uid="{00000000-0005-0000-0000-00000C880000}"/>
    <cellStyle name="40% - Accent5 2 4 2 6 3 6" xfId="38372" xr:uid="{00000000-0005-0000-0000-00000D880000}"/>
    <cellStyle name="40% - Accent5 2 4 2 6 3 7" xfId="43849" xr:uid="{00000000-0005-0000-0000-00000E880000}"/>
    <cellStyle name="40% - Accent5 2 4 2 6 3 8" xfId="49326" xr:uid="{00000000-0005-0000-0000-00000F880000}"/>
    <cellStyle name="40% - Accent5 2 4 2 6 3 9" xfId="54844" xr:uid="{00000000-0005-0000-0000-000010880000}"/>
    <cellStyle name="40% - Accent5 2 4 2 6 4" xfId="6690" xr:uid="{00000000-0005-0000-0000-000011880000}"/>
    <cellStyle name="40% - Accent5 2 4 2 6 5" xfId="12170" xr:uid="{00000000-0005-0000-0000-000012880000}"/>
    <cellStyle name="40% - Accent5 2 4 2 6 6" xfId="17646" xr:uid="{00000000-0005-0000-0000-000013880000}"/>
    <cellStyle name="40% - Accent5 2 4 2 6 7" xfId="23122" xr:uid="{00000000-0005-0000-0000-000014880000}"/>
    <cellStyle name="40% - Accent5 2 4 2 6 8" xfId="34917" xr:uid="{00000000-0005-0000-0000-000015880000}"/>
    <cellStyle name="40% - Accent5 2 4 2 6 9" xfId="40394" xr:uid="{00000000-0005-0000-0000-000016880000}"/>
    <cellStyle name="40% - Accent5 2 4 2 7" xfId="1307" xr:uid="{00000000-0005-0000-0000-000017880000}"/>
    <cellStyle name="40% - Accent5 2 4 2 7 10" xfId="45872" xr:uid="{00000000-0005-0000-0000-000018880000}"/>
    <cellStyle name="40% - Accent5 2 4 2 7 11" xfId="51350" xr:uid="{00000000-0005-0000-0000-000019880000}"/>
    <cellStyle name="40% - Accent5 2 4 2 7 2" xfId="3068" xr:uid="{00000000-0005-0000-0000-00001A880000}"/>
    <cellStyle name="40% - Accent5 2 4 2 7 2 2" xfId="8548" xr:uid="{00000000-0005-0000-0000-00001B880000}"/>
    <cellStyle name="40% - Accent5 2 4 2 7 2 3" xfId="14024" xr:uid="{00000000-0005-0000-0000-00001C880000}"/>
    <cellStyle name="40% - Accent5 2 4 2 7 2 4" xfId="19500" xr:uid="{00000000-0005-0000-0000-00001D880000}"/>
    <cellStyle name="40% - Accent5 2 4 2 7 2 5" xfId="24976" xr:uid="{00000000-0005-0000-0000-00001E880000}"/>
    <cellStyle name="40% - Accent5 2 4 2 7 2 6" xfId="36772" xr:uid="{00000000-0005-0000-0000-00001F880000}"/>
    <cellStyle name="40% - Accent5 2 4 2 7 2 7" xfId="42249" xr:uid="{00000000-0005-0000-0000-000020880000}"/>
    <cellStyle name="40% - Accent5 2 4 2 7 2 8" xfId="47726" xr:uid="{00000000-0005-0000-0000-000021880000}"/>
    <cellStyle name="40% - Accent5 2 4 2 7 2 9" xfId="53244" xr:uid="{00000000-0005-0000-0000-000022880000}"/>
    <cellStyle name="40% - Accent5 2 4 2 7 3" xfId="4840" xr:uid="{00000000-0005-0000-0000-000023880000}"/>
    <cellStyle name="40% - Accent5 2 4 2 7 3 2" xfId="10320" xr:uid="{00000000-0005-0000-0000-000024880000}"/>
    <cellStyle name="40% - Accent5 2 4 2 7 3 3" xfId="15796" xr:uid="{00000000-0005-0000-0000-000025880000}"/>
    <cellStyle name="40% - Accent5 2 4 2 7 3 4" xfId="21272" xr:uid="{00000000-0005-0000-0000-000026880000}"/>
    <cellStyle name="40% - Accent5 2 4 2 7 3 5" xfId="26748" xr:uid="{00000000-0005-0000-0000-000027880000}"/>
    <cellStyle name="40% - Accent5 2 4 2 7 3 6" xfId="38544" xr:uid="{00000000-0005-0000-0000-000028880000}"/>
    <cellStyle name="40% - Accent5 2 4 2 7 3 7" xfId="44021" xr:uid="{00000000-0005-0000-0000-000029880000}"/>
    <cellStyle name="40% - Accent5 2 4 2 7 3 8" xfId="49498" xr:uid="{00000000-0005-0000-0000-00002A880000}"/>
    <cellStyle name="40% - Accent5 2 4 2 7 3 9" xfId="55016" xr:uid="{00000000-0005-0000-0000-00002B880000}"/>
    <cellStyle name="40% - Accent5 2 4 2 7 4" xfId="6691" xr:uid="{00000000-0005-0000-0000-00002C880000}"/>
    <cellStyle name="40% - Accent5 2 4 2 7 5" xfId="12171" xr:uid="{00000000-0005-0000-0000-00002D880000}"/>
    <cellStyle name="40% - Accent5 2 4 2 7 6" xfId="17647" xr:uid="{00000000-0005-0000-0000-00002E880000}"/>
    <cellStyle name="40% - Accent5 2 4 2 7 7" xfId="23123" xr:uid="{00000000-0005-0000-0000-00002F880000}"/>
    <cellStyle name="40% - Accent5 2 4 2 7 8" xfId="34918" xr:uid="{00000000-0005-0000-0000-000030880000}"/>
    <cellStyle name="40% - Accent5 2 4 2 7 9" xfId="40395" xr:uid="{00000000-0005-0000-0000-000031880000}"/>
    <cellStyle name="40% - Accent5 2 4 2 8" xfId="1479" xr:uid="{00000000-0005-0000-0000-000032880000}"/>
    <cellStyle name="40% - Accent5 2 4 2 8 10" xfId="45873" xr:uid="{00000000-0005-0000-0000-000033880000}"/>
    <cellStyle name="40% - Accent5 2 4 2 8 11" xfId="51351" xr:uid="{00000000-0005-0000-0000-000034880000}"/>
    <cellStyle name="40% - Accent5 2 4 2 8 2" xfId="3240" xr:uid="{00000000-0005-0000-0000-000035880000}"/>
    <cellStyle name="40% - Accent5 2 4 2 8 2 2" xfId="8720" xr:uid="{00000000-0005-0000-0000-000036880000}"/>
    <cellStyle name="40% - Accent5 2 4 2 8 2 3" xfId="14196" xr:uid="{00000000-0005-0000-0000-000037880000}"/>
    <cellStyle name="40% - Accent5 2 4 2 8 2 4" xfId="19672" xr:uid="{00000000-0005-0000-0000-000038880000}"/>
    <cellStyle name="40% - Accent5 2 4 2 8 2 5" xfId="25148" xr:uid="{00000000-0005-0000-0000-000039880000}"/>
    <cellStyle name="40% - Accent5 2 4 2 8 2 6" xfId="36944" xr:uid="{00000000-0005-0000-0000-00003A880000}"/>
    <cellStyle name="40% - Accent5 2 4 2 8 2 7" xfId="42421" xr:uid="{00000000-0005-0000-0000-00003B880000}"/>
    <cellStyle name="40% - Accent5 2 4 2 8 2 8" xfId="47898" xr:uid="{00000000-0005-0000-0000-00003C880000}"/>
    <cellStyle name="40% - Accent5 2 4 2 8 2 9" xfId="53416" xr:uid="{00000000-0005-0000-0000-00003D880000}"/>
    <cellStyle name="40% - Accent5 2 4 2 8 3" xfId="5012" xr:uid="{00000000-0005-0000-0000-00003E880000}"/>
    <cellStyle name="40% - Accent5 2 4 2 8 3 2" xfId="10492" xr:uid="{00000000-0005-0000-0000-00003F880000}"/>
    <cellStyle name="40% - Accent5 2 4 2 8 3 3" xfId="15968" xr:uid="{00000000-0005-0000-0000-000040880000}"/>
    <cellStyle name="40% - Accent5 2 4 2 8 3 4" xfId="21444" xr:uid="{00000000-0005-0000-0000-000041880000}"/>
    <cellStyle name="40% - Accent5 2 4 2 8 3 5" xfId="26920" xr:uid="{00000000-0005-0000-0000-000042880000}"/>
    <cellStyle name="40% - Accent5 2 4 2 8 3 6" xfId="38716" xr:uid="{00000000-0005-0000-0000-000043880000}"/>
    <cellStyle name="40% - Accent5 2 4 2 8 3 7" xfId="44193" xr:uid="{00000000-0005-0000-0000-000044880000}"/>
    <cellStyle name="40% - Accent5 2 4 2 8 3 8" xfId="49670" xr:uid="{00000000-0005-0000-0000-000045880000}"/>
    <cellStyle name="40% - Accent5 2 4 2 8 3 9" xfId="55188" xr:uid="{00000000-0005-0000-0000-000046880000}"/>
    <cellStyle name="40% - Accent5 2 4 2 8 4" xfId="6692" xr:uid="{00000000-0005-0000-0000-000047880000}"/>
    <cellStyle name="40% - Accent5 2 4 2 8 5" xfId="12172" xr:uid="{00000000-0005-0000-0000-000048880000}"/>
    <cellStyle name="40% - Accent5 2 4 2 8 6" xfId="17648" xr:uid="{00000000-0005-0000-0000-000049880000}"/>
    <cellStyle name="40% - Accent5 2 4 2 8 7" xfId="23124" xr:uid="{00000000-0005-0000-0000-00004A880000}"/>
    <cellStyle name="40% - Accent5 2 4 2 8 8" xfId="34919" xr:uid="{00000000-0005-0000-0000-00004B880000}"/>
    <cellStyle name="40% - Accent5 2 4 2 8 9" xfId="40396" xr:uid="{00000000-0005-0000-0000-00004C880000}"/>
    <cellStyle name="40% - Accent5 2 4 2 9" xfId="1651" xr:uid="{00000000-0005-0000-0000-00004D880000}"/>
    <cellStyle name="40% - Accent5 2 4 2 9 10" xfId="45874" xr:uid="{00000000-0005-0000-0000-00004E880000}"/>
    <cellStyle name="40% - Accent5 2 4 2 9 11" xfId="51352" xr:uid="{00000000-0005-0000-0000-00004F880000}"/>
    <cellStyle name="40% - Accent5 2 4 2 9 2" xfId="3412" xr:uid="{00000000-0005-0000-0000-000050880000}"/>
    <cellStyle name="40% - Accent5 2 4 2 9 2 2" xfId="8892" xr:uid="{00000000-0005-0000-0000-000051880000}"/>
    <cellStyle name="40% - Accent5 2 4 2 9 2 3" xfId="14368" xr:uid="{00000000-0005-0000-0000-000052880000}"/>
    <cellStyle name="40% - Accent5 2 4 2 9 2 4" xfId="19844" xr:uid="{00000000-0005-0000-0000-000053880000}"/>
    <cellStyle name="40% - Accent5 2 4 2 9 2 5" xfId="25320" xr:uid="{00000000-0005-0000-0000-000054880000}"/>
    <cellStyle name="40% - Accent5 2 4 2 9 2 6" xfId="37116" xr:uid="{00000000-0005-0000-0000-000055880000}"/>
    <cellStyle name="40% - Accent5 2 4 2 9 2 7" xfId="42593" xr:uid="{00000000-0005-0000-0000-000056880000}"/>
    <cellStyle name="40% - Accent5 2 4 2 9 2 8" xfId="48070" xr:uid="{00000000-0005-0000-0000-000057880000}"/>
    <cellStyle name="40% - Accent5 2 4 2 9 2 9" xfId="53588" xr:uid="{00000000-0005-0000-0000-000058880000}"/>
    <cellStyle name="40% - Accent5 2 4 2 9 3" xfId="5184" xr:uid="{00000000-0005-0000-0000-000059880000}"/>
    <cellStyle name="40% - Accent5 2 4 2 9 3 2" xfId="10664" xr:uid="{00000000-0005-0000-0000-00005A880000}"/>
    <cellStyle name="40% - Accent5 2 4 2 9 3 3" xfId="16140" xr:uid="{00000000-0005-0000-0000-00005B880000}"/>
    <cellStyle name="40% - Accent5 2 4 2 9 3 4" xfId="21616" xr:uid="{00000000-0005-0000-0000-00005C880000}"/>
    <cellStyle name="40% - Accent5 2 4 2 9 3 5" xfId="27092" xr:uid="{00000000-0005-0000-0000-00005D880000}"/>
    <cellStyle name="40% - Accent5 2 4 2 9 3 6" xfId="38888" xr:uid="{00000000-0005-0000-0000-00005E880000}"/>
    <cellStyle name="40% - Accent5 2 4 2 9 3 7" xfId="44365" xr:uid="{00000000-0005-0000-0000-00005F880000}"/>
    <cellStyle name="40% - Accent5 2 4 2 9 3 8" xfId="49842" xr:uid="{00000000-0005-0000-0000-000060880000}"/>
    <cellStyle name="40% - Accent5 2 4 2 9 3 9" xfId="55360" xr:uid="{00000000-0005-0000-0000-000061880000}"/>
    <cellStyle name="40% - Accent5 2 4 2 9 4" xfId="6693" xr:uid="{00000000-0005-0000-0000-000062880000}"/>
    <cellStyle name="40% - Accent5 2 4 2 9 5" xfId="12173" xr:uid="{00000000-0005-0000-0000-000063880000}"/>
    <cellStyle name="40% - Accent5 2 4 2 9 6" xfId="17649" xr:uid="{00000000-0005-0000-0000-000064880000}"/>
    <cellStyle name="40% - Accent5 2 4 2 9 7" xfId="23125" xr:uid="{00000000-0005-0000-0000-000065880000}"/>
    <cellStyle name="40% - Accent5 2 4 2 9 8" xfId="34920" xr:uid="{00000000-0005-0000-0000-000066880000}"/>
    <cellStyle name="40% - Accent5 2 4 2 9 9" xfId="40397" xr:uid="{00000000-0005-0000-0000-000067880000}"/>
    <cellStyle name="40% - Accent5 2 4 20" xfId="40385" xr:uid="{00000000-0005-0000-0000-000068880000}"/>
    <cellStyle name="40% - Accent5 2 4 21" xfId="45862" xr:uid="{00000000-0005-0000-0000-000069880000}"/>
    <cellStyle name="40% - Accent5 2 4 22" xfId="51340" xr:uid="{00000000-0005-0000-0000-00006A880000}"/>
    <cellStyle name="40% - Accent5 2 4 3" xfId="383" xr:uid="{00000000-0005-0000-0000-00006B880000}"/>
    <cellStyle name="40% - Accent5 2 4 3 10" xfId="40398" xr:uid="{00000000-0005-0000-0000-00006C880000}"/>
    <cellStyle name="40% - Accent5 2 4 3 11" xfId="45875" xr:uid="{00000000-0005-0000-0000-00006D880000}"/>
    <cellStyle name="40% - Accent5 2 4 3 12" xfId="51353" xr:uid="{00000000-0005-0000-0000-00006E880000}"/>
    <cellStyle name="40% - Accent5 2 4 3 2" xfId="2175" xr:uid="{00000000-0005-0000-0000-00006F880000}"/>
    <cellStyle name="40% - Accent5 2 4 3 2 2" xfId="7655" xr:uid="{00000000-0005-0000-0000-000070880000}"/>
    <cellStyle name="40% - Accent5 2 4 3 2 3" xfId="13131" xr:uid="{00000000-0005-0000-0000-000071880000}"/>
    <cellStyle name="40% - Accent5 2 4 3 2 4" xfId="18607" xr:uid="{00000000-0005-0000-0000-000072880000}"/>
    <cellStyle name="40% - Accent5 2 4 3 2 5" xfId="24083" xr:uid="{00000000-0005-0000-0000-000073880000}"/>
    <cellStyle name="40% - Accent5 2 4 3 2 6" xfId="35879" xr:uid="{00000000-0005-0000-0000-000074880000}"/>
    <cellStyle name="40% - Accent5 2 4 3 2 7" xfId="41356" xr:uid="{00000000-0005-0000-0000-000075880000}"/>
    <cellStyle name="40% - Accent5 2 4 3 2 8" xfId="46833" xr:uid="{00000000-0005-0000-0000-000076880000}"/>
    <cellStyle name="40% - Accent5 2 4 3 2 9" xfId="52351" xr:uid="{00000000-0005-0000-0000-000077880000}"/>
    <cellStyle name="40% - Accent5 2 4 3 3" xfId="3945" xr:uid="{00000000-0005-0000-0000-000078880000}"/>
    <cellStyle name="40% - Accent5 2 4 3 3 2" xfId="9425" xr:uid="{00000000-0005-0000-0000-000079880000}"/>
    <cellStyle name="40% - Accent5 2 4 3 3 3" xfId="14901" xr:uid="{00000000-0005-0000-0000-00007A880000}"/>
    <cellStyle name="40% - Accent5 2 4 3 3 4" xfId="20377" xr:uid="{00000000-0005-0000-0000-00007B880000}"/>
    <cellStyle name="40% - Accent5 2 4 3 3 5" xfId="25853" xr:uid="{00000000-0005-0000-0000-00007C880000}"/>
    <cellStyle name="40% - Accent5 2 4 3 3 6" xfId="37649" xr:uid="{00000000-0005-0000-0000-00007D880000}"/>
    <cellStyle name="40% - Accent5 2 4 3 3 7" xfId="43126" xr:uid="{00000000-0005-0000-0000-00007E880000}"/>
    <cellStyle name="40% - Accent5 2 4 3 3 8" xfId="48603" xr:uid="{00000000-0005-0000-0000-00007F880000}"/>
    <cellStyle name="40% - Accent5 2 4 3 3 9" xfId="54121" xr:uid="{00000000-0005-0000-0000-000080880000}"/>
    <cellStyle name="40% - Accent5 2 4 3 4" xfId="6694" xr:uid="{00000000-0005-0000-0000-000081880000}"/>
    <cellStyle name="40% - Accent5 2 4 3 5" xfId="12174" xr:uid="{00000000-0005-0000-0000-000082880000}"/>
    <cellStyle name="40% - Accent5 2 4 3 6" xfId="17650" xr:uid="{00000000-0005-0000-0000-000083880000}"/>
    <cellStyle name="40% - Accent5 2 4 3 7" xfId="23126" xr:uid="{00000000-0005-0000-0000-000084880000}"/>
    <cellStyle name="40% - Accent5 2 4 3 8" xfId="32120" xr:uid="{00000000-0005-0000-0000-000085880000}"/>
    <cellStyle name="40% - Accent5 2 4 3 9" xfId="34921" xr:uid="{00000000-0005-0000-0000-000086880000}"/>
    <cellStyle name="40% - Accent5 2 4 4" xfId="584" xr:uid="{00000000-0005-0000-0000-000087880000}"/>
    <cellStyle name="40% - Accent5 2 4 4 10" xfId="45876" xr:uid="{00000000-0005-0000-0000-000088880000}"/>
    <cellStyle name="40% - Accent5 2 4 4 11" xfId="51354" xr:uid="{00000000-0005-0000-0000-000089880000}"/>
    <cellStyle name="40% - Accent5 2 4 4 2" xfId="2345" xr:uid="{00000000-0005-0000-0000-00008A880000}"/>
    <cellStyle name="40% - Accent5 2 4 4 2 2" xfId="7825" xr:uid="{00000000-0005-0000-0000-00008B880000}"/>
    <cellStyle name="40% - Accent5 2 4 4 2 3" xfId="13301" xr:uid="{00000000-0005-0000-0000-00008C880000}"/>
    <cellStyle name="40% - Accent5 2 4 4 2 4" xfId="18777" xr:uid="{00000000-0005-0000-0000-00008D880000}"/>
    <cellStyle name="40% - Accent5 2 4 4 2 5" xfId="24253" xr:uid="{00000000-0005-0000-0000-00008E880000}"/>
    <cellStyle name="40% - Accent5 2 4 4 2 6" xfId="36049" xr:uid="{00000000-0005-0000-0000-00008F880000}"/>
    <cellStyle name="40% - Accent5 2 4 4 2 7" xfId="41526" xr:uid="{00000000-0005-0000-0000-000090880000}"/>
    <cellStyle name="40% - Accent5 2 4 4 2 8" xfId="47003" xr:uid="{00000000-0005-0000-0000-000091880000}"/>
    <cellStyle name="40% - Accent5 2 4 4 2 9" xfId="52521" xr:uid="{00000000-0005-0000-0000-000092880000}"/>
    <cellStyle name="40% - Accent5 2 4 4 3" xfId="4117" xr:uid="{00000000-0005-0000-0000-000093880000}"/>
    <cellStyle name="40% - Accent5 2 4 4 3 2" xfId="9597" xr:uid="{00000000-0005-0000-0000-000094880000}"/>
    <cellStyle name="40% - Accent5 2 4 4 3 3" xfId="15073" xr:uid="{00000000-0005-0000-0000-000095880000}"/>
    <cellStyle name="40% - Accent5 2 4 4 3 4" xfId="20549" xr:uid="{00000000-0005-0000-0000-000096880000}"/>
    <cellStyle name="40% - Accent5 2 4 4 3 5" xfId="26025" xr:uid="{00000000-0005-0000-0000-000097880000}"/>
    <cellStyle name="40% - Accent5 2 4 4 3 6" xfId="37821" xr:uid="{00000000-0005-0000-0000-000098880000}"/>
    <cellStyle name="40% - Accent5 2 4 4 3 7" xfId="43298" xr:uid="{00000000-0005-0000-0000-000099880000}"/>
    <cellStyle name="40% - Accent5 2 4 4 3 8" xfId="48775" xr:uid="{00000000-0005-0000-0000-00009A880000}"/>
    <cellStyle name="40% - Accent5 2 4 4 3 9" xfId="54293" xr:uid="{00000000-0005-0000-0000-00009B880000}"/>
    <cellStyle name="40% - Accent5 2 4 4 4" xfId="6695" xr:uid="{00000000-0005-0000-0000-00009C880000}"/>
    <cellStyle name="40% - Accent5 2 4 4 5" xfId="12175" xr:uid="{00000000-0005-0000-0000-00009D880000}"/>
    <cellStyle name="40% - Accent5 2 4 4 6" xfId="17651" xr:uid="{00000000-0005-0000-0000-00009E880000}"/>
    <cellStyle name="40% - Accent5 2 4 4 7" xfId="23127" xr:uid="{00000000-0005-0000-0000-00009F880000}"/>
    <cellStyle name="40% - Accent5 2 4 4 8" xfId="34922" xr:uid="{00000000-0005-0000-0000-0000A0880000}"/>
    <cellStyle name="40% - Accent5 2 4 4 9" xfId="40399" xr:uid="{00000000-0005-0000-0000-0000A1880000}"/>
    <cellStyle name="40% - Accent5 2 4 5" xfId="756" xr:uid="{00000000-0005-0000-0000-0000A2880000}"/>
    <cellStyle name="40% - Accent5 2 4 5 10" xfId="45877" xr:uid="{00000000-0005-0000-0000-0000A3880000}"/>
    <cellStyle name="40% - Accent5 2 4 5 11" xfId="51355" xr:uid="{00000000-0005-0000-0000-0000A4880000}"/>
    <cellStyle name="40% - Accent5 2 4 5 2" xfId="2517" xr:uid="{00000000-0005-0000-0000-0000A5880000}"/>
    <cellStyle name="40% - Accent5 2 4 5 2 2" xfId="7997" xr:uid="{00000000-0005-0000-0000-0000A6880000}"/>
    <cellStyle name="40% - Accent5 2 4 5 2 3" xfId="13473" xr:uid="{00000000-0005-0000-0000-0000A7880000}"/>
    <cellStyle name="40% - Accent5 2 4 5 2 4" xfId="18949" xr:uid="{00000000-0005-0000-0000-0000A8880000}"/>
    <cellStyle name="40% - Accent5 2 4 5 2 5" xfId="24425" xr:uid="{00000000-0005-0000-0000-0000A9880000}"/>
    <cellStyle name="40% - Accent5 2 4 5 2 6" xfId="36221" xr:uid="{00000000-0005-0000-0000-0000AA880000}"/>
    <cellStyle name="40% - Accent5 2 4 5 2 7" xfId="41698" xr:uid="{00000000-0005-0000-0000-0000AB880000}"/>
    <cellStyle name="40% - Accent5 2 4 5 2 8" xfId="47175" xr:uid="{00000000-0005-0000-0000-0000AC880000}"/>
    <cellStyle name="40% - Accent5 2 4 5 2 9" xfId="52693" xr:uid="{00000000-0005-0000-0000-0000AD880000}"/>
    <cellStyle name="40% - Accent5 2 4 5 3" xfId="4289" xr:uid="{00000000-0005-0000-0000-0000AE880000}"/>
    <cellStyle name="40% - Accent5 2 4 5 3 2" xfId="9769" xr:uid="{00000000-0005-0000-0000-0000AF880000}"/>
    <cellStyle name="40% - Accent5 2 4 5 3 3" xfId="15245" xr:uid="{00000000-0005-0000-0000-0000B0880000}"/>
    <cellStyle name="40% - Accent5 2 4 5 3 4" xfId="20721" xr:uid="{00000000-0005-0000-0000-0000B1880000}"/>
    <cellStyle name="40% - Accent5 2 4 5 3 5" xfId="26197" xr:uid="{00000000-0005-0000-0000-0000B2880000}"/>
    <cellStyle name="40% - Accent5 2 4 5 3 6" xfId="37993" xr:uid="{00000000-0005-0000-0000-0000B3880000}"/>
    <cellStyle name="40% - Accent5 2 4 5 3 7" xfId="43470" xr:uid="{00000000-0005-0000-0000-0000B4880000}"/>
    <cellStyle name="40% - Accent5 2 4 5 3 8" xfId="48947" xr:uid="{00000000-0005-0000-0000-0000B5880000}"/>
    <cellStyle name="40% - Accent5 2 4 5 3 9" xfId="54465" xr:uid="{00000000-0005-0000-0000-0000B6880000}"/>
    <cellStyle name="40% - Accent5 2 4 5 4" xfId="6696" xr:uid="{00000000-0005-0000-0000-0000B7880000}"/>
    <cellStyle name="40% - Accent5 2 4 5 5" xfId="12176" xr:uid="{00000000-0005-0000-0000-0000B8880000}"/>
    <cellStyle name="40% - Accent5 2 4 5 6" xfId="17652" xr:uid="{00000000-0005-0000-0000-0000B9880000}"/>
    <cellStyle name="40% - Accent5 2 4 5 7" xfId="23128" xr:uid="{00000000-0005-0000-0000-0000BA880000}"/>
    <cellStyle name="40% - Accent5 2 4 5 8" xfId="34923" xr:uid="{00000000-0005-0000-0000-0000BB880000}"/>
    <cellStyle name="40% - Accent5 2 4 5 9" xfId="40400" xr:uid="{00000000-0005-0000-0000-0000BC880000}"/>
    <cellStyle name="40% - Accent5 2 4 6" xfId="928" xr:uid="{00000000-0005-0000-0000-0000BD880000}"/>
    <cellStyle name="40% - Accent5 2 4 6 10" xfId="45878" xr:uid="{00000000-0005-0000-0000-0000BE880000}"/>
    <cellStyle name="40% - Accent5 2 4 6 11" xfId="51356" xr:uid="{00000000-0005-0000-0000-0000BF880000}"/>
    <cellStyle name="40% - Accent5 2 4 6 2" xfId="2689" xr:uid="{00000000-0005-0000-0000-0000C0880000}"/>
    <cellStyle name="40% - Accent5 2 4 6 2 2" xfId="8169" xr:uid="{00000000-0005-0000-0000-0000C1880000}"/>
    <cellStyle name="40% - Accent5 2 4 6 2 3" xfId="13645" xr:uid="{00000000-0005-0000-0000-0000C2880000}"/>
    <cellStyle name="40% - Accent5 2 4 6 2 4" xfId="19121" xr:uid="{00000000-0005-0000-0000-0000C3880000}"/>
    <cellStyle name="40% - Accent5 2 4 6 2 5" xfId="24597" xr:uid="{00000000-0005-0000-0000-0000C4880000}"/>
    <cellStyle name="40% - Accent5 2 4 6 2 6" xfId="36393" xr:uid="{00000000-0005-0000-0000-0000C5880000}"/>
    <cellStyle name="40% - Accent5 2 4 6 2 7" xfId="41870" xr:uid="{00000000-0005-0000-0000-0000C6880000}"/>
    <cellStyle name="40% - Accent5 2 4 6 2 8" xfId="47347" xr:uid="{00000000-0005-0000-0000-0000C7880000}"/>
    <cellStyle name="40% - Accent5 2 4 6 2 9" xfId="52865" xr:uid="{00000000-0005-0000-0000-0000C8880000}"/>
    <cellStyle name="40% - Accent5 2 4 6 3" xfId="4461" xr:uid="{00000000-0005-0000-0000-0000C9880000}"/>
    <cellStyle name="40% - Accent5 2 4 6 3 2" xfId="9941" xr:uid="{00000000-0005-0000-0000-0000CA880000}"/>
    <cellStyle name="40% - Accent5 2 4 6 3 3" xfId="15417" xr:uid="{00000000-0005-0000-0000-0000CB880000}"/>
    <cellStyle name="40% - Accent5 2 4 6 3 4" xfId="20893" xr:uid="{00000000-0005-0000-0000-0000CC880000}"/>
    <cellStyle name="40% - Accent5 2 4 6 3 5" xfId="26369" xr:uid="{00000000-0005-0000-0000-0000CD880000}"/>
    <cellStyle name="40% - Accent5 2 4 6 3 6" xfId="38165" xr:uid="{00000000-0005-0000-0000-0000CE880000}"/>
    <cellStyle name="40% - Accent5 2 4 6 3 7" xfId="43642" xr:uid="{00000000-0005-0000-0000-0000CF880000}"/>
    <cellStyle name="40% - Accent5 2 4 6 3 8" xfId="49119" xr:uid="{00000000-0005-0000-0000-0000D0880000}"/>
    <cellStyle name="40% - Accent5 2 4 6 3 9" xfId="54637" xr:uid="{00000000-0005-0000-0000-0000D1880000}"/>
    <cellStyle name="40% - Accent5 2 4 6 4" xfId="6697" xr:uid="{00000000-0005-0000-0000-0000D2880000}"/>
    <cellStyle name="40% - Accent5 2 4 6 5" xfId="12177" xr:uid="{00000000-0005-0000-0000-0000D3880000}"/>
    <cellStyle name="40% - Accent5 2 4 6 6" xfId="17653" xr:uid="{00000000-0005-0000-0000-0000D4880000}"/>
    <cellStyle name="40% - Accent5 2 4 6 7" xfId="23129" xr:uid="{00000000-0005-0000-0000-0000D5880000}"/>
    <cellStyle name="40% - Accent5 2 4 6 8" xfId="34924" xr:uid="{00000000-0005-0000-0000-0000D6880000}"/>
    <cellStyle name="40% - Accent5 2 4 6 9" xfId="40401" xr:uid="{00000000-0005-0000-0000-0000D7880000}"/>
    <cellStyle name="40% - Accent5 2 4 7" xfId="1134" xr:uid="{00000000-0005-0000-0000-0000D8880000}"/>
    <cellStyle name="40% - Accent5 2 4 7 10" xfId="45879" xr:uid="{00000000-0005-0000-0000-0000D9880000}"/>
    <cellStyle name="40% - Accent5 2 4 7 11" xfId="51357" xr:uid="{00000000-0005-0000-0000-0000DA880000}"/>
    <cellStyle name="40% - Accent5 2 4 7 2" xfId="2895" xr:uid="{00000000-0005-0000-0000-0000DB880000}"/>
    <cellStyle name="40% - Accent5 2 4 7 2 2" xfId="8375" xr:uid="{00000000-0005-0000-0000-0000DC880000}"/>
    <cellStyle name="40% - Accent5 2 4 7 2 3" xfId="13851" xr:uid="{00000000-0005-0000-0000-0000DD880000}"/>
    <cellStyle name="40% - Accent5 2 4 7 2 4" xfId="19327" xr:uid="{00000000-0005-0000-0000-0000DE880000}"/>
    <cellStyle name="40% - Accent5 2 4 7 2 5" xfId="24803" xr:uid="{00000000-0005-0000-0000-0000DF880000}"/>
    <cellStyle name="40% - Accent5 2 4 7 2 6" xfId="36599" xr:uid="{00000000-0005-0000-0000-0000E0880000}"/>
    <cellStyle name="40% - Accent5 2 4 7 2 7" xfId="42076" xr:uid="{00000000-0005-0000-0000-0000E1880000}"/>
    <cellStyle name="40% - Accent5 2 4 7 2 8" xfId="47553" xr:uid="{00000000-0005-0000-0000-0000E2880000}"/>
    <cellStyle name="40% - Accent5 2 4 7 2 9" xfId="53071" xr:uid="{00000000-0005-0000-0000-0000E3880000}"/>
    <cellStyle name="40% - Accent5 2 4 7 3" xfId="4667" xr:uid="{00000000-0005-0000-0000-0000E4880000}"/>
    <cellStyle name="40% - Accent5 2 4 7 3 2" xfId="10147" xr:uid="{00000000-0005-0000-0000-0000E5880000}"/>
    <cellStyle name="40% - Accent5 2 4 7 3 3" xfId="15623" xr:uid="{00000000-0005-0000-0000-0000E6880000}"/>
    <cellStyle name="40% - Accent5 2 4 7 3 4" xfId="21099" xr:uid="{00000000-0005-0000-0000-0000E7880000}"/>
    <cellStyle name="40% - Accent5 2 4 7 3 5" xfId="26575" xr:uid="{00000000-0005-0000-0000-0000E8880000}"/>
    <cellStyle name="40% - Accent5 2 4 7 3 6" xfId="38371" xr:uid="{00000000-0005-0000-0000-0000E9880000}"/>
    <cellStyle name="40% - Accent5 2 4 7 3 7" xfId="43848" xr:uid="{00000000-0005-0000-0000-0000EA880000}"/>
    <cellStyle name="40% - Accent5 2 4 7 3 8" xfId="49325" xr:uid="{00000000-0005-0000-0000-0000EB880000}"/>
    <cellStyle name="40% - Accent5 2 4 7 3 9" xfId="54843" xr:uid="{00000000-0005-0000-0000-0000EC880000}"/>
    <cellStyle name="40% - Accent5 2 4 7 4" xfId="6698" xr:uid="{00000000-0005-0000-0000-0000ED880000}"/>
    <cellStyle name="40% - Accent5 2 4 7 5" xfId="12178" xr:uid="{00000000-0005-0000-0000-0000EE880000}"/>
    <cellStyle name="40% - Accent5 2 4 7 6" xfId="17654" xr:uid="{00000000-0005-0000-0000-0000EF880000}"/>
    <cellStyle name="40% - Accent5 2 4 7 7" xfId="23130" xr:uid="{00000000-0005-0000-0000-0000F0880000}"/>
    <cellStyle name="40% - Accent5 2 4 7 8" xfId="34925" xr:uid="{00000000-0005-0000-0000-0000F1880000}"/>
    <cellStyle name="40% - Accent5 2 4 7 9" xfId="40402" xr:uid="{00000000-0005-0000-0000-0000F2880000}"/>
    <cellStyle name="40% - Accent5 2 4 8" xfId="1306" xr:uid="{00000000-0005-0000-0000-0000F3880000}"/>
    <cellStyle name="40% - Accent5 2 4 8 10" xfId="45880" xr:uid="{00000000-0005-0000-0000-0000F4880000}"/>
    <cellStyle name="40% - Accent5 2 4 8 11" xfId="51358" xr:uid="{00000000-0005-0000-0000-0000F5880000}"/>
    <cellStyle name="40% - Accent5 2 4 8 2" xfId="3067" xr:uid="{00000000-0005-0000-0000-0000F6880000}"/>
    <cellStyle name="40% - Accent5 2 4 8 2 2" xfId="8547" xr:uid="{00000000-0005-0000-0000-0000F7880000}"/>
    <cellStyle name="40% - Accent5 2 4 8 2 3" xfId="14023" xr:uid="{00000000-0005-0000-0000-0000F8880000}"/>
    <cellStyle name="40% - Accent5 2 4 8 2 4" xfId="19499" xr:uid="{00000000-0005-0000-0000-0000F9880000}"/>
    <cellStyle name="40% - Accent5 2 4 8 2 5" xfId="24975" xr:uid="{00000000-0005-0000-0000-0000FA880000}"/>
    <cellStyle name="40% - Accent5 2 4 8 2 6" xfId="36771" xr:uid="{00000000-0005-0000-0000-0000FB880000}"/>
    <cellStyle name="40% - Accent5 2 4 8 2 7" xfId="42248" xr:uid="{00000000-0005-0000-0000-0000FC880000}"/>
    <cellStyle name="40% - Accent5 2 4 8 2 8" xfId="47725" xr:uid="{00000000-0005-0000-0000-0000FD880000}"/>
    <cellStyle name="40% - Accent5 2 4 8 2 9" xfId="53243" xr:uid="{00000000-0005-0000-0000-0000FE880000}"/>
    <cellStyle name="40% - Accent5 2 4 8 3" xfId="4839" xr:uid="{00000000-0005-0000-0000-0000FF880000}"/>
    <cellStyle name="40% - Accent5 2 4 8 3 2" xfId="10319" xr:uid="{00000000-0005-0000-0000-000000890000}"/>
    <cellStyle name="40% - Accent5 2 4 8 3 3" xfId="15795" xr:uid="{00000000-0005-0000-0000-000001890000}"/>
    <cellStyle name="40% - Accent5 2 4 8 3 4" xfId="21271" xr:uid="{00000000-0005-0000-0000-000002890000}"/>
    <cellStyle name="40% - Accent5 2 4 8 3 5" xfId="26747" xr:uid="{00000000-0005-0000-0000-000003890000}"/>
    <cellStyle name="40% - Accent5 2 4 8 3 6" xfId="38543" xr:uid="{00000000-0005-0000-0000-000004890000}"/>
    <cellStyle name="40% - Accent5 2 4 8 3 7" xfId="44020" xr:uid="{00000000-0005-0000-0000-000005890000}"/>
    <cellStyle name="40% - Accent5 2 4 8 3 8" xfId="49497" xr:uid="{00000000-0005-0000-0000-000006890000}"/>
    <cellStyle name="40% - Accent5 2 4 8 3 9" xfId="55015" xr:uid="{00000000-0005-0000-0000-000007890000}"/>
    <cellStyle name="40% - Accent5 2 4 8 4" xfId="6699" xr:uid="{00000000-0005-0000-0000-000008890000}"/>
    <cellStyle name="40% - Accent5 2 4 8 5" xfId="12179" xr:uid="{00000000-0005-0000-0000-000009890000}"/>
    <cellStyle name="40% - Accent5 2 4 8 6" xfId="17655" xr:uid="{00000000-0005-0000-0000-00000A890000}"/>
    <cellStyle name="40% - Accent5 2 4 8 7" xfId="23131" xr:uid="{00000000-0005-0000-0000-00000B890000}"/>
    <cellStyle name="40% - Accent5 2 4 8 8" xfId="34926" xr:uid="{00000000-0005-0000-0000-00000C890000}"/>
    <cellStyle name="40% - Accent5 2 4 8 9" xfId="40403" xr:uid="{00000000-0005-0000-0000-00000D890000}"/>
    <cellStyle name="40% - Accent5 2 4 9" xfId="1478" xr:uid="{00000000-0005-0000-0000-00000E890000}"/>
    <cellStyle name="40% - Accent5 2 4 9 10" xfId="45881" xr:uid="{00000000-0005-0000-0000-00000F890000}"/>
    <cellStyle name="40% - Accent5 2 4 9 11" xfId="51359" xr:uid="{00000000-0005-0000-0000-000010890000}"/>
    <cellStyle name="40% - Accent5 2 4 9 2" xfId="3239" xr:uid="{00000000-0005-0000-0000-000011890000}"/>
    <cellStyle name="40% - Accent5 2 4 9 2 2" xfId="8719" xr:uid="{00000000-0005-0000-0000-000012890000}"/>
    <cellStyle name="40% - Accent5 2 4 9 2 3" xfId="14195" xr:uid="{00000000-0005-0000-0000-000013890000}"/>
    <cellStyle name="40% - Accent5 2 4 9 2 4" xfId="19671" xr:uid="{00000000-0005-0000-0000-000014890000}"/>
    <cellStyle name="40% - Accent5 2 4 9 2 5" xfId="25147" xr:uid="{00000000-0005-0000-0000-000015890000}"/>
    <cellStyle name="40% - Accent5 2 4 9 2 6" xfId="36943" xr:uid="{00000000-0005-0000-0000-000016890000}"/>
    <cellStyle name="40% - Accent5 2 4 9 2 7" xfId="42420" xr:uid="{00000000-0005-0000-0000-000017890000}"/>
    <cellStyle name="40% - Accent5 2 4 9 2 8" xfId="47897" xr:uid="{00000000-0005-0000-0000-000018890000}"/>
    <cellStyle name="40% - Accent5 2 4 9 2 9" xfId="53415" xr:uid="{00000000-0005-0000-0000-000019890000}"/>
    <cellStyle name="40% - Accent5 2 4 9 3" xfId="5011" xr:uid="{00000000-0005-0000-0000-00001A890000}"/>
    <cellStyle name="40% - Accent5 2 4 9 3 2" xfId="10491" xr:uid="{00000000-0005-0000-0000-00001B890000}"/>
    <cellStyle name="40% - Accent5 2 4 9 3 3" xfId="15967" xr:uid="{00000000-0005-0000-0000-00001C890000}"/>
    <cellStyle name="40% - Accent5 2 4 9 3 4" xfId="21443" xr:uid="{00000000-0005-0000-0000-00001D890000}"/>
    <cellStyle name="40% - Accent5 2 4 9 3 5" xfId="26919" xr:uid="{00000000-0005-0000-0000-00001E890000}"/>
    <cellStyle name="40% - Accent5 2 4 9 3 6" xfId="38715" xr:uid="{00000000-0005-0000-0000-00001F890000}"/>
    <cellStyle name="40% - Accent5 2 4 9 3 7" xfId="44192" xr:uid="{00000000-0005-0000-0000-000020890000}"/>
    <cellStyle name="40% - Accent5 2 4 9 3 8" xfId="49669" xr:uid="{00000000-0005-0000-0000-000021890000}"/>
    <cellStyle name="40% - Accent5 2 4 9 3 9" xfId="55187" xr:uid="{00000000-0005-0000-0000-000022890000}"/>
    <cellStyle name="40% - Accent5 2 4 9 4" xfId="6700" xr:uid="{00000000-0005-0000-0000-000023890000}"/>
    <cellStyle name="40% - Accent5 2 4 9 5" xfId="12180" xr:uid="{00000000-0005-0000-0000-000024890000}"/>
    <cellStyle name="40% - Accent5 2 4 9 6" xfId="17656" xr:uid="{00000000-0005-0000-0000-000025890000}"/>
    <cellStyle name="40% - Accent5 2 4 9 7" xfId="23132" xr:uid="{00000000-0005-0000-0000-000026890000}"/>
    <cellStyle name="40% - Accent5 2 4 9 8" xfId="34927" xr:uid="{00000000-0005-0000-0000-000027890000}"/>
    <cellStyle name="40% - Accent5 2 4 9 9" xfId="40404" xr:uid="{00000000-0005-0000-0000-000028890000}"/>
    <cellStyle name="40% - Accent5 2 5" xfId="215" xr:uid="{00000000-0005-0000-0000-000029890000}"/>
    <cellStyle name="40% - Accent5 2 5 10" xfId="1847" xr:uid="{00000000-0005-0000-0000-00002A890000}"/>
    <cellStyle name="40% - Accent5 2 5 10 10" xfId="45883" xr:uid="{00000000-0005-0000-0000-00002B890000}"/>
    <cellStyle name="40% - Accent5 2 5 10 11" xfId="51361" xr:uid="{00000000-0005-0000-0000-00002C890000}"/>
    <cellStyle name="40% - Accent5 2 5 10 2" xfId="3608" xr:uid="{00000000-0005-0000-0000-00002D890000}"/>
    <cellStyle name="40% - Accent5 2 5 10 2 2" xfId="9088" xr:uid="{00000000-0005-0000-0000-00002E890000}"/>
    <cellStyle name="40% - Accent5 2 5 10 2 3" xfId="14564" xr:uid="{00000000-0005-0000-0000-00002F890000}"/>
    <cellStyle name="40% - Accent5 2 5 10 2 4" xfId="20040" xr:uid="{00000000-0005-0000-0000-000030890000}"/>
    <cellStyle name="40% - Accent5 2 5 10 2 5" xfId="25516" xr:uid="{00000000-0005-0000-0000-000031890000}"/>
    <cellStyle name="40% - Accent5 2 5 10 2 6" xfId="37312" xr:uid="{00000000-0005-0000-0000-000032890000}"/>
    <cellStyle name="40% - Accent5 2 5 10 2 7" xfId="42789" xr:uid="{00000000-0005-0000-0000-000033890000}"/>
    <cellStyle name="40% - Accent5 2 5 10 2 8" xfId="48266" xr:uid="{00000000-0005-0000-0000-000034890000}"/>
    <cellStyle name="40% - Accent5 2 5 10 2 9" xfId="53784" xr:uid="{00000000-0005-0000-0000-000035890000}"/>
    <cellStyle name="40% - Accent5 2 5 10 3" xfId="5380" xr:uid="{00000000-0005-0000-0000-000036890000}"/>
    <cellStyle name="40% - Accent5 2 5 10 3 2" xfId="10860" xr:uid="{00000000-0005-0000-0000-000037890000}"/>
    <cellStyle name="40% - Accent5 2 5 10 3 3" xfId="16336" xr:uid="{00000000-0005-0000-0000-000038890000}"/>
    <cellStyle name="40% - Accent5 2 5 10 3 4" xfId="21812" xr:uid="{00000000-0005-0000-0000-000039890000}"/>
    <cellStyle name="40% - Accent5 2 5 10 3 5" xfId="27288" xr:uid="{00000000-0005-0000-0000-00003A890000}"/>
    <cellStyle name="40% - Accent5 2 5 10 3 6" xfId="39084" xr:uid="{00000000-0005-0000-0000-00003B890000}"/>
    <cellStyle name="40% - Accent5 2 5 10 3 7" xfId="44561" xr:uid="{00000000-0005-0000-0000-00003C890000}"/>
    <cellStyle name="40% - Accent5 2 5 10 3 8" xfId="50038" xr:uid="{00000000-0005-0000-0000-00003D890000}"/>
    <cellStyle name="40% - Accent5 2 5 10 3 9" xfId="55556" xr:uid="{00000000-0005-0000-0000-00003E890000}"/>
    <cellStyle name="40% - Accent5 2 5 10 4" xfId="6702" xr:uid="{00000000-0005-0000-0000-00003F890000}"/>
    <cellStyle name="40% - Accent5 2 5 10 5" xfId="12182" xr:uid="{00000000-0005-0000-0000-000040890000}"/>
    <cellStyle name="40% - Accent5 2 5 10 6" xfId="17658" xr:uid="{00000000-0005-0000-0000-000041890000}"/>
    <cellStyle name="40% - Accent5 2 5 10 7" xfId="23134" xr:uid="{00000000-0005-0000-0000-000042890000}"/>
    <cellStyle name="40% - Accent5 2 5 10 8" xfId="34929" xr:uid="{00000000-0005-0000-0000-000043890000}"/>
    <cellStyle name="40% - Accent5 2 5 10 9" xfId="40406" xr:uid="{00000000-0005-0000-0000-000044890000}"/>
    <cellStyle name="40% - Accent5 2 5 11" xfId="2014" xr:uid="{00000000-0005-0000-0000-000045890000}"/>
    <cellStyle name="40% - Accent5 2 5 11 10" xfId="52191" xr:uid="{00000000-0005-0000-0000-000046890000}"/>
    <cellStyle name="40% - Accent5 2 5 11 2" xfId="5546" xr:uid="{00000000-0005-0000-0000-000047890000}"/>
    <cellStyle name="40% - Accent5 2 5 11 2 2" xfId="11026" xr:uid="{00000000-0005-0000-0000-000048890000}"/>
    <cellStyle name="40% - Accent5 2 5 11 2 3" xfId="16502" xr:uid="{00000000-0005-0000-0000-000049890000}"/>
    <cellStyle name="40% - Accent5 2 5 11 2 4" xfId="21978" xr:uid="{00000000-0005-0000-0000-00004A890000}"/>
    <cellStyle name="40% - Accent5 2 5 11 2 5" xfId="27454" xr:uid="{00000000-0005-0000-0000-00004B890000}"/>
    <cellStyle name="40% - Accent5 2 5 11 2 6" xfId="39250" xr:uid="{00000000-0005-0000-0000-00004C890000}"/>
    <cellStyle name="40% - Accent5 2 5 11 2 7" xfId="44727" xr:uid="{00000000-0005-0000-0000-00004D890000}"/>
    <cellStyle name="40% - Accent5 2 5 11 2 8" xfId="50204" xr:uid="{00000000-0005-0000-0000-00004E890000}"/>
    <cellStyle name="40% - Accent5 2 5 11 2 9" xfId="55722" xr:uid="{00000000-0005-0000-0000-00004F890000}"/>
    <cellStyle name="40% - Accent5 2 5 11 3" xfId="7495" xr:uid="{00000000-0005-0000-0000-000050890000}"/>
    <cellStyle name="40% - Accent5 2 5 11 4" xfId="12971" xr:uid="{00000000-0005-0000-0000-000051890000}"/>
    <cellStyle name="40% - Accent5 2 5 11 5" xfId="18447" xr:uid="{00000000-0005-0000-0000-000052890000}"/>
    <cellStyle name="40% - Accent5 2 5 11 6" xfId="23923" xr:uid="{00000000-0005-0000-0000-000053890000}"/>
    <cellStyle name="40% - Accent5 2 5 11 7" xfId="35719" xr:uid="{00000000-0005-0000-0000-000054890000}"/>
    <cellStyle name="40% - Accent5 2 5 11 8" xfId="41196" xr:uid="{00000000-0005-0000-0000-000055890000}"/>
    <cellStyle name="40% - Accent5 2 5 11 9" xfId="46673" xr:uid="{00000000-0005-0000-0000-000056890000}"/>
    <cellStyle name="40% - Accent5 2 5 12" xfId="3781" xr:uid="{00000000-0005-0000-0000-000057890000}"/>
    <cellStyle name="40% - Accent5 2 5 12 2" xfId="9261" xr:uid="{00000000-0005-0000-0000-000058890000}"/>
    <cellStyle name="40% - Accent5 2 5 12 3" xfId="14737" xr:uid="{00000000-0005-0000-0000-000059890000}"/>
    <cellStyle name="40% - Accent5 2 5 12 4" xfId="20213" xr:uid="{00000000-0005-0000-0000-00005A890000}"/>
    <cellStyle name="40% - Accent5 2 5 12 5" xfId="25689" xr:uid="{00000000-0005-0000-0000-00005B890000}"/>
    <cellStyle name="40% - Accent5 2 5 12 6" xfId="37485" xr:uid="{00000000-0005-0000-0000-00005C890000}"/>
    <cellStyle name="40% - Accent5 2 5 12 7" xfId="42962" xr:uid="{00000000-0005-0000-0000-00005D890000}"/>
    <cellStyle name="40% - Accent5 2 5 12 8" xfId="48439" xr:uid="{00000000-0005-0000-0000-00005E890000}"/>
    <cellStyle name="40% - Accent5 2 5 12 9" xfId="53957" xr:uid="{00000000-0005-0000-0000-00005F890000}"/>
    <cellStyle name="40% - Accent5 2 5 13" xfId="6701" xr:uid="{00000000-0005-0000-0000-000060890000}"/>
    <cellStyle name="40% - Accent5 2 5 14" xfId="12181" xr:uid="{00000000-0005-0000-0000-000061890000}"/>
    <cellStyle name="40% - Accent5 2 5 15" xfId="17657" xr:uid="{00000000-0005-0000-0000-000062890000}"/>
    <cellStyle name="40% - Accent5 2 5 16" xfId="23133" xr:uid="{00000000-0005-0000-0000-000063890000}"/>
    <cellStyle name="40% - Accent5 2 5 17" xfId="32121" xr:uid="{00000000-0005-0000-0000-000064890000}"/>
    <cellStyle name="40% - Accent5 2 5 18" xfId="34928" xr:uid="{00000000-0005-0000-0000-000065890000}"/>
    <cellStyle name="40% - Accent5 2 5 19" xfId="40405" xr:uid="{00000000-0005-0000-0000-000066890000}"/>
    <cellStyle name="40% - Accent5 2 5 2" xfId="385" xr:uid="{00000000-0005-0000-0000-000067890000}"/>
    <cellStyle name="40% - Accent5 2 5 2 10" xfId="40407" xr:uid="{00000000-0005-0000-0000-000068890000}"/>
    <cellStyle name="40% - Accent5 2 5 2 11" xfId="45884" xr:uid="{00000000-0005-0000-0000-000069890000}"/>
    <cellStyle name="40% - Accent5 2 5 2 12" xfId="51362" xr:uid="{00000000-0005-0000-0000-00006A890000}"/>
    <cellStyle name="40% - Accent5 2 5 2 2" xfId="2177" xr:uid="{00000000-0005-0000-0000-00006B890000}"/>
    <cellStyle name="40% - Accent5 2 5 2 2 10" xfId="52353" xr:uid="{00000000-0005-0000-0000-00006C890000}"/>
    <cellStyle name="40% - Accent5 2 5 2 2 2" xfId="7657" xr:uid="{00000000-0005-0000-0000-00006D890000}"/>
    <cellStyle name="40% - Accent5 2 5 2 2 3" xfId="13133" xr:uid="{00000000-0005-0000-0000-00006E890000}"/>
    <cellStyle name="40% - Accent5 2 5 2 2 4" xfId="18609" xr:uid="{00000000-0005-0000-0000-00006F890000}"/>
    <cellStyle name="40% - Accent5 2 5 2 2 5" xfId="24085" xr:uid="{00000000-0005-0000-0000-000070890000}"/>
    <cellStyle name="40% - Accent5 2 5 2 2 6" xfId="32123" xr:uid="{00000000-0005-0000-0000-000071890000}"/>
    <cellStyle name="40% - Accent5 2 5 2 2 7" xfId="35881" xr:uid="{00000000-0005-0000-0000-000072890000}"/>
    <cellStyle name="40% - Accent5 2 5 2 2 8" xfId="41358" xr:uid="{00000000-0005-0000-0000-000073890000}"/>
    <cellStyle name="40% - Accent5 2 5 2 2 9" xfId="46835" xr:uid="{00000000-0005-0000-0000-000074890000}"/>
    <cellStyle name="40% - Accent5 2 5 2 3" xfId="3947" xr:uid="{00000000-0005-0000-0000-000075890000}"/>
    <cellStyle name="40% - Accent5 2 5 2 3 2" xfId="9427" xr:uid="{00000000-0005-0000-0000-000076890000}"/>
    <cellStyle name="40% - Accent5 2 5 2 3 3" xfId="14903" xr:uid="{00000000-0005-0000-0000-000077890000}"/>
    <cellStyle name="40% - Accent5 2 5 2 3 4" xfId="20379" xr:uid="{00000000-0005-0000-0000-000078890000}"/>
    <cellStyle name="40% - Accent5 2 5 2 3 5" xfId="25855" xr:uid="{00000000-0005-0000-0000-000079890000}"/>
    <cellStyle name="40% - Accent5 2 5 2 3 6" xfId="37651" xr:uid="{00000000-0005-0000-0000-00007A890000}"/>
    <cellStyle name="40% - Accent5 2 5 2 3 7" xfId="43128" xr:uid="{00000000-0005-0000-0000-00007B890000}"/>
    <cellStyle name="40% - Accent5 2 5 2 3 8" xfId="48605" xr:uid="{00000000-0005-0000-0000-00007C890000}"/>
    <cellStyle name="40% - Accent5 2 5 2 3 9" xfId="54123" xr:uid="{00000000-0005-0000-0000-00007D890000}"/>
    <cellStyle name="40% - Accent5 2 5 2 4" xfId="6703" xr:uid="{00000000-0005-0000-0000-00007E890000}"/>
    <cellStyle name="40% - Accent5 2 5 2 5" xfId="12183" xr:uid="{00000000-0005-0000-0000-00007F890000}"/>
    <cellStyle name="40% - Accent5 2 5 2 6" xfId="17659" xr:uid="{00000000-0005-0000-0000-000080890000}"/>
    <cellStyle name="40% - Accent5 2 5 2 7" xfId="23135" xr:uid="{00000000-0005-0000-0000-000081890000}"/>
    <cellStyle name="40% - Accent5 2 5 2 8" xfId="32122" xr:uid="{00000000-0005-0000-0000-000082890000}"/>
    <cellStyle name="40% - Accent5 2 5 2 9" xfId="34930" xr:uid="{00000000-0005-0000-0000-000083890000}"/>
    <cellStyle name="40% - Accent5 2 5 20" xfId="45882" xr:uid="{00000000-0005-0000-0000-000084890000}"/>
    <cellStyle name="40% - Accent5 2 5 21" xfId="51360" xr:uid="{00000000-0005-0000-0000-000085890000}"/>
    <cellStyle name="40% - Accent5 2 5 3" xfId="586" xr:uid="{00000000-0005-0000-0000-000086890000}"/>
    <cellStyle name="40% - Accent5 2 5 3 10" xfId="40408" xr:uid="{00000000-0005-0000-0000-000087890000}"/>
    <cellStyle name="40% - Accent5 2 5 3 11" xfId="45885" xr:uid="{00000000-0005-0000-0000-000088890000}"/>
    <cellStyle name="40% - Accent5 2 5 3 12" xfId="51363" xr:uid="{00000000-0005-0000-0000-000089890000}"/>
    <cellStyle name="40% - Accent5 2 5 3 2" xfId="2347" xr:uid="{00000000-0005-0000-0000-00008A890000}"/>
    <cellStyle name="40% - Accent5 2 5 3 2 2" xfId="7827" xr:uid="{00000000-0005-0000-0000-00008B890000}"/>
    <cellStyle name="40% - Accent5 2 5 3 2 3" xfId="13303" xr:uid="{00000000-0005-0000-0000-00008C890000}"/>
    <cellStyle name="40% - Accent5 2 5 3 2 4" xfId="18779" xr:uid="{00000000-0005-0000-0000-00008D890000}"/>
    <cellStyle name="40% - Accent5 2 5 3 2 5" xfId="24255" xr:uid="{00000000-0005-0000-0000-00008E890000}"/>
    <cellStyle name="40% - Accent5 2 5 3 2 6" xfId="36051" xr:uid="{00000000-0005-0000-0000-00008F890000}"/>
    <cellStyle name="40% - Accent5 2 5 3 2 7" xfId="41528" xr:uid="{00000000-0005-0000-0000-000090890000}"/>
    <cellStyle name="40% - Accent5 2 5 3 2 8" xfId="47005" xr:uid="{00000000-0005-0000-0000-000091890000}"/>
    <cellStyle name="40% - Accent5 2 5 3 2 9" xfId="52523" xr:uid="{00000000-0005-0000-0000-000092890000}"/>
    <cellStyle name="40% - Accent5 2 5 3 3" xfId="4119" xr:uid="{00000000-0005-0000-0000-000093890000}"/>
    <cellStyle name="40% - Accent5 2 5 3 3 2" xfId="9599" xr:uid="{00000000-0005-0000-0000-000094890000}"/>
    <cellStyle name="40% - Accent5 2 5 3 3 3" xfId="15075" xr:uid="{00000000-0005-0000-0000-000095890000}"/>
    <cellStyle name="40% - Accent5 2 5 3 3 4" xfId="20551" xr:uid="{00000000-0005-0000-0000-000096890000}"/>
    <cellStyle name="40% - Accent5 2 5 3 3 5" xfId="26027" xr:uid="{00000000-0005-0000-0000-000097890000}"/>
    <cellStyle name="40% - Accent5 2 5 3 3 6" xfId="37823" xr:uid="{00000000-0005-0000-0000-000098890000}"/>
    <cellStyle name="40% - Accent5 2 5 3 3 7" xfId="43300" xr:uid="{00000000-0005-0000-0000-000099890000}"/>
    <cellStyle name="40% - Accent5 2 5 3 3 8" xfId="48777" xr:uid="{00000000-0005-0000-0000-00009A890000}"/>
    <cellStyle name="40% - Accent5 2 5 3 3 9" xfId="54295" xr:uid="{00000000-0005-0000-0000-00009B890000}"/>
    <cellStyle name="40% - Accent5 2 5 3 4" xfId="6704" xr:uid="{00000000-0005-0000-0000-00009C890000}"/>
    <cellStyle name="40% - Accent5 2 5 3 5" xfId="12184" xr:uid="{00000000-0005-0000-0000-00009D890000}"/>
    <cellStyle name="40% - Accent5 2 5 3 6" xfId="17660" xr:uid="{00000000-0005-0000-0000-00009E890000}"/>
    <cellStyle name="40% - Accent5 2 5 3 7" xfId="23136" xr:uid="{00000000-0005-0000-0000-00009F890000}"/>
    <cellStyle name="40% - Accent5 2 5 3 8" xfId="32124" xr:uid="{00000000-0005-0000-0000-0000A0890000}"/>
    <cellStyle name="40% - Accent5 2 5 3 9" xfId="34931" xr:uid="{00000000-0005-0000-0000-0000A1890000}"/>
    <cellStyle name="40% - Accent5 2 5 4" xfId="758" xr:uid="{00000000-0005-0000-0000-0000A2890000}"/>
    <cellStyle name="40% - Accent5 2 5 4 10" xfId="45886" xr:uid="{00000000-0005-0000-0000-0000A3890000}"/>
    <cellStyle name="40% - Accent5 2 5 4 11" xfId="51364" xr:uid="{00000000-0005-0000-0000-0000A4890000}"/>
    <cellStyle name="40% - Accent5 2 5 4 2" xfId="2519" xr:uid="{00000000-0005-0000-0000-0000A5890000}"/>
    <cellStyle name="40% - Accent5 2 5 4 2 2" xfId="7999" xr:uid="{00000000-0005-0000-0000-0000A6890000}"/>
    <cellStyle name="40% - Accent5 2 5 4 2 3" xfId="13475" xr:uid="{00000000-0005-0000-0000-0000A7890000}"/>
    <cellStyle name="40% - Accent5 2 5 4 2 4" xfId="18951" xr:uid="{00000000-0005-0000-0000-0000A8890000}"/>
    <cellStyle name="40% - Accent5 2 5 4 2 5" xfId="24427" xr:uid="{00000000-0005-0000-0000-0000A9890000}"/>
    <cellStyle name="40% - Accent5 2 5 4 2 6" xfId="36223" xr:uid="{00000000-0005-0000-0000-0000AA890000}"/>
    <cellStyle name="40% - Accent5 2 5 4 2 7" xfId="41700" xr:uid="{00000000-0005-0000-0000-0000AB890000}"/>
    <cellStyle name="40% - Accent5 2 5 4 2 8" xfId="47177" xr:uid="{00000000-0005-0000-0000-0000AC890000}"/>
    <cellStyle name="40% - Accent5 2 5 4 2 9" xfId="52695" xr:uid="{00000000-0005-0000-0000-0000AD890000}"/>
    <cellStyle name="40% - Accent5 2 5 4 3" xfId="4291" xr:uid="{00000000-0005-0000-0000-0000AE890000}"/>
    <cellStyle name="40% - Accent5 2 5 4 3 2" xfId="9771" xr:uid="{00000000-0005-0000-0000-0000AF890000}"/>
    <cellStyle name="40% - Accent5 2 5 4 3 3" xfId="15247" xr:uid="{00000000-0005-0000-0000-0000B0890000}"/>
    <cellStyle name="40% - Accent5 2 5 4 3 4" xfId="20723" xr:uid="{00000000-0005-0000-0000-0000B1890000}"/>
    <cellStyle name="40% - Accent5 2 5 4 3 5" xfId="26199" xr:uid="{00000000-0005-0000-0000-0000B2890000}"/>
    <cellStyle name="40% - Accent5 2 5 4 3 6" xfId="37995" xr:uid="{00000000-0005-0000-0000-0000B3890000}"/>
    <cellStyle name="40% - Accent5 2 5 4 3 7" xfId="43472" xr:uid="{00000000-0005-0000-0000-0000B4890000}"/>
    <cellStyle name="40% - Accent5 2 5 4 3 8" xfId="48949" xr:uid="{00000000-0005-0000-0000-0000B5890000}"/>
    <cellStyle name="40% - Accent5 2 5 4 3 9" xfId="54467" xr:uid="{00000000-0005-0000-0000-0000B6890000}"/>
    <cellStyle name="40% - Accent5 2 5 4 4" xfId="6705" xr:uid="{00000000-0005-0000-0000-0000B7890000}"/>
    <cellStyle name="40% - Accent5 2 5 4 5" xfId="12185" xr:uid="{00000000-0005-0000-0000-0000B8890000}"/>
    <cellStyle name="40% - Accent5 2 5 4 6" xfId="17661" xr:uid="{00000000-0005-0000-0000-0000B9890000}"/>
    <cellStyle name="40% - Accent5 2 5 4 7" xfId="23137" xr:uid="{00000000-0005-0000-0000-0000BA890000}"/>
    <cellStyle name="40% - Accent5 2 5 4 8" xfId="34932" xr:uid="{00000000-0005-0000-0000-0000BB890000}"/>
    <cellStyle name="40% - Accent5 2 5 4 9" xfId="40409" xr:uid="{00000000-0005-0000-0000-0000BC890000}"/>
    <cellStyle name="40% - Accent5 2 5 5" xfId="930" xr:uid="{00000000-0005-0000-0000-0000BD890000}"/>
    <cellStyle name="40% - Accent5 2 5 5 10" xfId="45887" xr:uid="{00000000-0005-0000-0000-0000BE890000}"/>
    <cellStyle name="40% - Accent5 2 5 5 11" xfId="51365" xr:uid="{00000000-0005-0000-0000-0000BF890000}"/>
    <cellStyle name="40% - Accent5 2 5 5 2" xfId="2691" xr:uid="{00000000-0005-0000-0000-0000C0890000}"/>
    <cellStyle name="40% - Accent5 2 5 5 2 2" xfId="8171" xr:uid="{00000000-0005-0000-0000-0000C1890000}"/>
    <cellStyle name="40% - Accent5 2 5 5 2 3" xfId="13647" xr:uid="{00000000-0005-0000-0000-0000C2890000}"/>
    <cellStyle name="40% - Accent5 2 5 5 2 4" xfId="19123" xr:uid="{00000000-0005-0000-0000-0000C3890000}"/>
    <cellStyle name="40% - Accent5 2 5 5 2 5" xfId="24599" xr:uid="{00000000-0005-0000-0000-0000C4890000}"/>
    <cellStyle name="40% - Accent5 2 5 5 2 6" xfId="36395" xr:uid="{00000000-0005-0000-0000-0000C5890000}"/>
    <cellStyle name="40% - Accent5 2 5 5 2 7" xfId="41872" xr:uid="{00000000-0005-0000-0000-0000C6890000}"/>
    <cellStyle name="40% - Accent5 2 5 5 2 8" xfId="47349" xr:uid="{00000000-0005-0000-0000-0000C7890000}"/>
    <cellStyle name="40% - Accent5 2 5 5 2 9" xfId="52867" xr:uid="{00000000-0005-0000-0000-0000C8890000}"/>
    <cellStyle name="40% - Accent5 2 5 5 3" xfId="4463" xr:uid="{00000000-0005-0000-0000-0000C9890000}"/>
    <cellStyle name="40% - Accent5 2 5 5 3 2" xfId="9943" xr:uid="{00000000-0005-0000-0000-0000CA890000}"/>
    <cellStyle name="40% - Accent5 2 5 5 3 3" xfId="15419" xr:uid="{00000000-0005-0000-0000-0000CB890000}"/>
    <cellStyle name="40% - Accent5 2 5 5 3 4" xfId="20895" xr:uid="{00000000-0005-0000-0000-0000CC890000}"/>
    <cellStyle name="40% - Accent5 2 5 5 3 5" xfId="26371" xr:uid="{00000000-0005-0000-0000-0000CD890000}"/>
    <cellStyle name="40% - Accent5 2 5 5 3 6" xfId="38167" xr:uid="{00000000-0005-0000-0000-0000CE890000}"/>
    <cellStyle name="40% - Accent5 2 5 5 3 7" xfId="43644" xr:uid="{00000000-0005-0000-0000-0000CF890000}"/>
    <cellStyle name="40% - Accent5 2 5 5 3 8" xfId="49121" xr:uid="{00000000-0005-0000-0000-0000D0890000}"/>
    <cellStyle name="40% - Accent5 2 5 5 3 9" xfId="54639" xr:uid="{00000000-0005-0000-0000-0000D1890000}"/>
    <cellStyle name="40% - Accent5 2 5 5 4" xfId="6706" xr:uid="{00000000-0005-0000-0000-0000D2890000}"/>
    <cellStyle name="40% - Accent5 2 5 5 5" xfId="12186" xr:uid="{00000000-0005-0000-0000-0000D3890000}"/>
    <cellStyle name="40% - Accent5 2 5 5 6" xfId="17662" xr:uid="{00000000-0005-0000-0000-0000D4890000}"/>
    <cellStyle name="40% - Accent5 2 5 5 7" xfId="23138" xr:uid="{00000000-0005-0000-0000-0000D5890000}"/>
    <cellStyle name="40% - Accent5 2 5 5 8" xfId="34933" xr:uid="{00000000-0005-0000-0000-0000D6890000}"/>
    <cellStyle name="40% - Accent5 2 5 5 9" xfId="40410" xr:uid="{00000000-0005-0000-0000-0000D7890000}"/>
    <cellStyle name="40% - Accent5 2 5 6" xfId="1136" xr:uid="{00000000-0005-0000-0000-0000D8890000}"/>
    <cellStyle name="40% - Accent5 2 5 6 10" xfId="45888" xr:uid="{00000000-0005-0000-0000-0000D9890000}"/>
    <cellStyle name="40% - Accent5 2 5 6 11" xfId="51366" xr:uid="{00000000-0005-0000-0000-0000DA890000}"/>
    <cellStyle name="40% - Accent5 2 5 6 2" xfId="2897" xr:uid="{00000000-0005-0000-0000-0000DB890000}"/>
    <cellStyle name="40% - Accent5 2 5 6 2 2" xfId="8377" xr:uid="{00000000-0005-0000-0000-0000DC890000}"/>
    <cellStyle name="40% - Accent5 2 5 6 2 3" xfId="13853" xr:uid="{00000000-0005-0000-0000-0000DD890000}"/>
    <cellStyle name="40% - Accent5 2 5 6 2 4" xfId="19329" xr:uid="{00000000-0005-0000-0000-0000DE890000}"/>
    <cellStyle name="40% - Accent5 2 5 6 2 5" xfId="24805" xr:uid="{00000000-0005-0000-0000-0000DF890000}"/>
    <cellStyle name="40% - Accent5 2 5 6 2 6" xfId="36601" xr:uid="{00000000-0005-0000-0000-0000E0890000}"/>
    <cellStyle name="40% - Accent5 2 5 6 2 7" xfId="42078" xr:uid="{00000000-0005-0000-0000-0000E1890000}"/>
    <cellStyle name="40% - Accent5 2 5 6 2 8" xfId="47555" xr:uid="{00000000-0005-0000-0000-0000E2890000}"/>
    <cellStyle name="40% - Accent5 2 5 6 2 9" xfId="53073" xr:uid="{00000000-0005-0000-0000-0000E3890000}"/>
    <cellStyle name="40% - Accent5 2 5 6 3" xfId="4669" xr:uid="{00000000-0005-0000-0000-0000E4890000}"/>
    <cellStyle name="40% - Accent5 2 5 6 3 2" xfId="10149" xr:uid="{00000000-0005-0000-0000-0000E5890000}"/>
    <cellStyle name="40% - Accent5 2 5 6 3 3" xfId="15625" xr:uid="{00000000-0005-0000-0000-0000E6890000}"/>
    <cellStyle name="40% - Accent5 2 5 6 3 4" xfId="21101" xr:uid="{00000000-0005-0000-0000-0000E7890000}"/>
    <cellStyle name="40% - Accent5 2 5 6 3 5" xfId="26577" xr:uid="{00000000-0005-0000-0000-0000E8890000}"/>
    <cellStyle name="40% - Accent5 2 5 6 3 6" xfId="38373" xr:uid="{00000000-0005-0000-0000-0000E9890000}"/>
    <cellStyle name="40% - Accent5 2 5 6 3 7" xfId="43850" xr:uid="{00000000-0005-0000-0000-0000EA890000}"/>
    <cellStyle name="40% - Accent5 2 5 6 3 8" xfId="49327" xr:uid="{00000000-0005-0000-0000-0000EB890000}"/>
    <cellStyle name="40% - Accent5 2 5 6 3 9" xfId="54845" xr:uid="{00000000-0005-0000-0000-0000EC890000}"/>
    <cellStyle name="40% - Accent5 2 5 6 4" xfId="6707" xr:uid="{00000000-0005-0000-0000-0000ED890000}"/>
    <cellStyle name="40% - Accent5 2 5 6 5" xfId="12187" xr:uid="{00000000-0005-0000-0000-0000EE890000}"/>
    <cellStyle name="40% - Accent5 2 5 6 6" xfId="17663" xr:uid="{00000000-0005-0000-0000-0000EF890000}"/>
    <cellStyle name="40% - Accent5 2 5 6 7" xfId="23139" xr:uid="{00000000-0005-0000-0000-0000F0890000}"/>
    <cellStyle name="40% - Accent5 2 5 6 8" xfId="34934" xr:uid="{00000000-0005-0000-0000-0000F1890000}"/>
    <cellStyle name="40% - Accent5 2 5 6 9" xfId="40411" xr:uid="{00000000-0005-0000-0000-0000F2890000}"/>
    <cellStyle name="40% - Accent5 2 5 7" xfId="1308" xr:uid="{00000000-0005-0000-0000-0000F3890000}"/>
    <cellStyle name="40% - Accent5 2 5 7 10" xfId="45889" xr:uid="{00000000-0005-0000-0000-0000F4890000}"/>
    <cellStyle name="40% - Accent5 2 5 7 11" xfId="51367" xr:uid="{00000000-0005-0000-0000-0000F5890000}"/>
    <cellStyle name="40% - Accent5 2 5 7 2" xfId="3069" xr:uid="{00000000-0005-0000-0000-0000F6890000}"/>
    <cellStyle name="40% - Accent5 2 5 7 2 2" xfId="8549" xr:uid="{00000000-0005-0000-0000-0000F7890000}"/>
    <cellStyle name="40% - Accent5 2 5 7 2 3" xfId="14025" xr:uid="{00000000-0005-0000-0000-0000F8890000}"/>
    <cellStyle name="40% - Accent5 2 5 7 2 4" xfId="19501" xr:uid="{00000000-0005-0000-0000-0000F9890000}"/>
    <cellStyle name="40% - Accent5 2 5 7 2 5" xfId="24977" xr:uid="{00000000-0005-0000-0000-0000FA890000}"/>
    <cellStyle name="40% - Accent5 2 5 7 2 6" xfId="36773" xr:uid="{00000000-0005-0000-0000-0000FB890000}"/>
    <cellStyle name="40% - Accent5 2 5 7 2 7" xfId="42250" xr:uid="{00000000-0005-0000-0000-0000FC890000}"/>
    <cellStyle name="40% - Accent5 2 5 7 2 8" xfId="47727" xr:uid="{00000000-0005-0000-0000-0000FD890000}"/>
    <cellStyle name="40% - Accent5 2 5 7 2 9" xfId="53245" xr:uid="{00000000-0005-0000-0000-0000FE890000}"/>
    <cellStyle name="40% - Accent5 2 5 7 3" xfId="4841" xr:uid="{00000000-0005-0000-0000-0000FF890000}"/>
    <cellStyle name="40% - Accent5 2 5 7 3 2" xfId="10321" xr:uid="{00000000-0005-0000-0000-0000008A0000}"/>
    <cellStyle name="40% - Accent5 2 5 7 3 3" xfId="15797" xr:uid="{00000000-0005-0000-0000-0000018A0000}"/>
    <cellStyle name="40% - Accent5 2 5 7 3 4" xfId="21273" xr:uid="{00000000-0005-0000-0000-0000028A0000}"/>
    <cellStyle name="40% - Accent5 2 5 7 3 5" xfId="26749" xr:uid="{00000000-0005-0000-0000-0000038A0000}"/>
    <cellStyle name="40% - Accent5 2 5 7 3 6" xfId="38545" xr:uid="{00000000-0005-0000-0000-0000048A0000}"/>
    <cellStyle name="40% - Accent5 2 5 7 3 7" xfId="44022" xr:uid="{00000000-0005-0000-0000-0000058A0000}"/>
    <cellStyle name="40% - Accent5 2 5 7 3 8" xfId="49499" xr:uid="{00000000-0005-0000-0000-0000068A0000}"/>
    <cellStyle name="40% - Accent5 2 5 7 3 9" xfId="55017" xr:uid="{00000000-0005-0000-0000-0000078A0000}"/>
    <cellStyle name="40% - Accent5 2 5 7 4" xfId="6708" xr:uid="{00000000-0005-0000-0000-0000088A0000}"/>
    <cellStyle name="40% - Accent5 2 5 7 5" xfId="12188" xr:uid="{00000000-0005-0000-0000-0000098A0000}"/>
    <cellStyle name="40% - Accent5 2 5 7 6" xfId="17664" xr:uid="{00000000-0005-0000-0000-00000A8A0000}"/>
    <cellStyle name="40% - Accent5 2 5 7 7" xfId="23140" xr:uid="{00000000-0005-0000-0000-00000B8A0000}"/>
    <cellStyle name="40% - Accent5 2 5 7 8" xfId="34935" xr:uid="{00000000-0005-0000-0000-00000C8A0000}"/>
    <cellStyle name="40% - Accent5 2 5 7 9" xfId="40412" xr:uid="{00000000-0005-0000-0000-00000D8A0000}"/>
    <cellStyle name="40% - Accent5 2 5 8" xfId="1480" xr:uid="{00000000-0005-0000-0000-00000E8A0000}"/>
    <cellStyle name="40% - Accent5 2 5 8 10" xfId="45890" xr:uid="{00000000-0005-0000-0000-00000F8A0000}"/>
    <cellStyle name="40% - Accent5 2 5 8 11" xfId="51368" xr:uid="{00000000-0005-0000-0000-0000108A0000}"/>
    <cellStyle name="40% - Accent5 2 5 8 2" xfId="3241" xr:uid="{00000000-0005-0000-0000-0000118A0000}"/>
    <cellStyle name="40% - Accent5 2 5 8 2 2" xfId="8721" xr:uid="{00000000-0005-0000-0000-0000128A0000}"/>
    <cellStyle name="40% - Accent5 2 5 8 2 3" xfId="14197" xr:uid="{00000000-0005-0000-0000-0000138A0000}"/>
    <cellStyle name="40% - Accent5 2 5 8 2 4" xfId="19673" xr:uid="{00000000-0005-0000-0000-0000148A0000}"/>
    <cellStyle name="40% - Accent5 2 5 8 2 5" xfId="25149" xr:uid="{00000000-0005-0000-0000-0000158A0000}"/>
    <cellStyle name="40% - Accent5 2 5 8 2 6" xfId="36945" xr:uid="{00000000-0005-0000-0000-0000168A0000}"/>
    <cellStyle name="40% - Accent5 2 5 8 2 7" xfId="42422" xr:uid="{00000000-0005-0000-0000-0000178A0000}"/>
    <cellStyle name="40% - Accent5 2 5 8 2 8" xfId="47899" xr:uid="{00000000-0005-0000-0000-0000188A0000}"/>
    <cellStyle name="40% - Accent5 2 5 8 2 9" xfId="53417" xr:uid="{00000000-0005-0000-0000-0000198A0000}"/>
    <cellStyle name="40% - Accent5 2 5 8 3" xfId="5013" xr:uid="{00000000-0005-0000-0000-00001A8A0000}"/>
    <cellStyle name="40% - Accent5 2 5 8 3 2" xfId="10493" xr:uid="{00000000-0005-0000-0000-00001B8A0000}"/>
    <cellStyle name="40% - Accent5 2 5 8 3 3" xfId="15969" xr:uid="{00000000-0005-0000-0000-00001C8A0000}"/>
    <cellStyle name="40% - Accent5 2 5 8 3 4" xfId="21445" xr:uid="{00000000-0005-0000-0000-00001D8A0000}"/>
    <cellStyle name="40% - Accent5 2 5 8 3 5" xfId="26921" xr:uid="{00000000-0005-0000-0000-00001E8A0000}"/>
    <cellStyle name="40% - Accent5 2 5 8 3 6" xfId="38717" xr:uid="{00000000-0005-0000-0000-00001F8A0000}"/>
    <cellStyle name="40% - Accent5 2 5 8 3 7" xfId="44194" xr:uid="{00000000-0005-0000-0000-0000208A0000}"/>
    <cellStyle name="40% - Accent5 2 5 8 3 8" xfId="49671" xr:uid="{00000000-0005-0000-0000-0000218A0000}"/>
    <cellStyle name="40% - Accent5 2 5 8 3 9" xfId="55189" xr:uid="{00000000-0005-0000-0000-0000228A0000}"/>
    <cellStyle name="40% - Accent5 2 5 8 4" xfId="6709" xr:uid="{00000000-0005-0000-0000-0000238A0000}"/>
    <cellStyle name="40% - Accent5 2 5 8 5" xfId="12189" xr:uid="{00000000-0005-0000-0000-0000248A0000}"/>
    <cellStyle name="40% - Accent5 2 5 8 6" xfId="17665" xr:uid="{00000000-0005-0000-0000-0000258A0000}"/>
    <cellStyle name="40% - Accent5 2 5 8 7" xfId="23141" xr:uid="{00000000-0005-0000-0000-0000268A0000}"/>
    <cellStyle name="40% - Accent5 2 5 8 8" xfId="34936" xr:uid="{00000000-0005-0000-0000-0000278A0000}"/>
    <cellStyle name="40% - Accent5 2 5 8 9" xfId="40413" xr:uid="{00000000-0005-0000-0000-0000288A0000}"/>
    <cellStyle name="40% - Accent5 2 5 9" xfId="1652" xr:uid="{00000000-0005-0000-0000-0000298A0000}"/>
    <cellStyle name="40% - Accent5 2 5 9 10" xfId="45891" xr:uid="{00000000-0005-0000-0000-00002A8A0000}"/>
    <cellStyle name="40% - Accent5 2 5 9 11" xfId="51369" xr:uid="{00000000-0005-0000-0000-00002B8A0000}"/>
    <cellStyle name="40% - Accent5 2 5 9 2" xfId="3413" xr:uid="{00000000-0005-0000-0000-00002C8A0000}"/>
    <cellStyle name="40% - Accent5 2 5 9 2 2" xfId="8893" xr:uid="{00000000-0005-0000-0000-00002D8A0000}"/>
    <cellStyle name="40% - Accent5 2 5 9 2 3" xfId="14369" xr:uid="{00000000-0005-0000-0000-00002E8A0000}"/>
    <cellStyle name="40% - Accent5 2 5 9 2 4" xfId="19845" xr:uid="{00000000-0005-0000-0000-00002F8A0000}"/>
    <cellStyle name="40% - Accent5 2 5 9 2 5" xfId="25321" xr:uid="{00000000-0005-0000-0000-0000308A0000}"/>
    <cellStyle name="40% - Accent5 2 5 9 2 6" xfId="37117" xr:uid="{00000000-0005-0000-0000-0000318A0000}"/>
    <cellStyle name="40% - Accent5 2 5 9 2 7" xfId="42594" xr:uid="{00000000-0005-0000-0000-0000328A0000}"/>
    <cellStyle name="40% - Accent5 2 5 9 2 8" xfId="48071" xr:uid="{00000000-0005-0000-0000-0000338A0000}"/>
    <cellStyle name="40% - Accent5 2 5 9 2 9" xfId="53589" xr:uid="{00000000-0005-0000-0000-0000348A0000}"/>
    <cellStyle name="40% - Accent5 2 5 9 3" xfId="5185" xr:uid="{00000000-0005-0000-0000-0000358A0000}"/>
    <cellStyle name="40% - Accent5 2 5 9 3 2" xfId="10665" xr:uid="{00000000-0005-0000-0000-0000368A0000}"/>
    <cellStyle name="40% - Accent5 2 5 9 3 3" xfId="16141" xr:uid="{00000000-0005-0000-0000-0000378A0000}"/>
    <cellStyle name="40% - Accent5 2 5 9 3 4" xfId="21617" xr:uid="{00000000-0005-0000-0000-0000388A0000}"/>
    <cellStyle name="40% - Accent5 2 5 9 3 5" xfId="27093" xr:uid="{00000000-0005-0000-0000-0000398A0000}"/>
    <cellStyle name="40% - Accent5 2 5 9 3 6" xfId="38889" xr:uid="{00000000-0005-0000-0000-00003A8A0000}"/>
    <cellStyle name="40% - Accent5 2 5 9 3 7" xfId="44366" xr:uid="{00000000-0005-0000-0000-00003B8A0000}"/>
    <cellStyle name="40% - Accent5 2 5 9 3 8" xfId="49843" xr:uid="{00000000-0005-0000-0000-00003C8A0000}"/>
    <cellStyle name="40% - Accent5 2 5 9 3 9" xfId="55361" xr:uid="{00000000-0005-0000-0000-00003D8A0000}"/>
    <cellStyle name="40% - Accent5 2 5 9 4" xfId="6710" xr:uid="{00000000-0005-0000-0000-00003E8A0000}"/>
    <cellStyle name="40% - Accent5 2 5 9 5" xfId="12190" xr:uid="{00000000-0005-0000-0000-00003F8A0000}"/>
    <cellStyle name="40% - Accent5 2 5 9 6" xfId="17666" xr:uid="{00000000-0005-0000-0000-0000408A0000}"/>
    <cellStyle name="40% - Accent5 2 5 9 7" xfId="23142" xr:uid="{00000000-0005-0000-0000-0000418A0000}"/>
    <cellStyle name="40% - Accent5 2 5 9 8" xfId="34937" xr:uid="{00000000-0005-0000-0000-0000428A0000}"/>
    <cellStyle name="40% - Accent5 2 5 9 9" xfId="40414" xr:uid="{00000000-0005-0000-0000-0000438A0000}"/>
    <cellStyle name="40% - Accent5 2 6" xfId="378" xr:uid="{00000000-0005-0000-0000-0000448A0000}"/>
    <cellStyle name="40% - Accent5 2 6 10" xfId="40415" xr:uid="{00000000-0005-0000-0000-0000458A0000}"/>
    <cellStyle name="40% - Accent5 2 6 11" xfId="45892" xr:uid="{00000000-0005-0000-0000-0000468A0000}"/>
    <cellStyle name="40% - Accent5 2 6 12" xfId="51370" xr:uid="{00000000-0005-0000-0000-0000478A0000}"/>
    <cellStyle name="40% - Accent5 2 6 2" xfId="2170" xr:uid="{00000000-0005-0000-0000-0000488A0000}"/>
    <cellStyle name="40% - Accent5 2 6 2 10" xfId="52346" xr:uid="{00000000-0005-0000-0000-0000498A0000}"/>
    <cellStyle name="40% - Accent5 2 6 2 2" xfId="7650" xr:uid="{00000000-0005-0000-0000-00004A8A0000}"/>
    <cellStyle name="40% - Accent5 2 6 2 2 2" xfId="32127" xr:uid="{00000000-0005-0000-0000-00004B8A0000}"/>
    <cellStyle name="40% - Accent5 2 6 2 3" xfId="13126" xr:uid="{00000000-0005-0000-0000-00004C8A0000}"/>
    <cellStyle name="40% - Accent5 2 6 2 4" xfId="18602" xr:uid="{00000000-0005-0000-0000-00004D8A0000}"/>
    <cellStyle name="40% - Accent5 2 6 2 5" xfId="24078" xr:uid="{00000000-0005-0000-0000-00004E8A0000}"/>
    <cellStyle name="40% - Accent5 2 6 2 6" xfId="32126" xr:uid="{00000000-0005-0000-0000-00004F8A0000}"/>
    <cellStyle name="40% - Accent5 2 6 2 7" xfId="35874" xr:uid="{00000000-0005-0000-0000-0000508A0000}"/>
    <cellStyle name="40% - Accent5 2 6 2 8" xfId="41351" xr:uid="{00000000-0005-0000-0000-0000518A0000}"/>
    <cellStyle name="40% - Accent5 2 6 2 9" xfId="46828" xr:uid="{00000000-0005-0000-0000-0000528A0000}"/>
    <cellStyle name="40% - Accent5 2 6 3" xfId="3940" xr:uid="{00000000-0005-0000-0000-0000538A0000}"/>
    <cellStyle name="40% - Accent5 2 6 3 10" xfId="54116" xr:uid="{00000000-0005-0000-0000-0000548A0000}"/>
    <cellStyle name="40% - Accent5 2 6 3 2" xfId="9420" xr:uid="{00000000-0005-0000-0000-0000558A0000}"/>
    <cellStyle name="40% - Accent5 2 6 3 3" xfId="14896" xr:uid="{00000000-0005-0000-0000-0000568A0000}"/>
    <cellStyle name="40% - Accent5 2 6 3 4" xfId="20372" xr:uid="{00000000-0005-0000-0000-0000578A0000}"/>
    <cellStyle name="40% - Accent5 2 6 3 5" xfId="25848" xr:uid="{00000000-0005-0000-0000-0000588A0000}"/>
    <cellStyle name="40% - Accent5 2 6 3 6" xfId="32128" xr:uid="{00000000-0005-0000-0000-0000598A0000}"/>
    <cellStyle name="40% - Accent5 2 6 3 7" xfId="37644" xr:uid="{00000000-0005-0000-0000-00005A8A0000}"/>
    <cellStyle name="40% - Accent5 2 6 3 8" xfId="43121" xr:uid="{00000000-0005-0000-0000-00005B8A0000}"/>
    <cellStyle name="40% - Accent5 2 6 3 9" xfId="48598" xr:uid="{00000000-0005-0000-0000-00005C8A0000}"/>
    <cellStyle name="40% - Accent5 2 6 4" xfId="6711" xr:uid="{00000000-0005-0000-0000-00005D8A0000}"/>
    <cellStyle name="40% - Accent5 2 6 5" xfId="12191" xr:uid="{00000000-0005-0000-0000-00005E8A0000}"/>
    <cellStyle name="40% - Accent5 2 6 6" xfId="17667" xr:uid="{00000000-0005-0000-0000-00005F8A0000}"/>
    <cellStyle name="40% - Accent5 2 6 7" xfId="23143" xr:uid="{00000000-0005-0000-0000-0000608A0000}"/>
    <cellStyle name="40% - Accent5 2 6 8" xfId="32125" xr:uid="{00000000-0005-0000-0000-0000618A0000}"/>
    <cellStyle name="40% - Accent5 2 6 9" xfId="34938" xr:uid="{00000000-0005-0000-0000-0000628A0000}"/>
    <cellStyle name="40% - Accent5 2 7" xfId="579" xr:uid="{00000000-0005-0000-0000-0000638A0000}"/>
    <cellStyle name="40% - Accent5 2 7 10" xfId="40416" xr:uid="{00000000-0005-0000-0000-0000648A0000}"/>
    <cellStyle name="40% - Accent5 2 7 11" xfId="45893" xr:uid="{00000000-0005-0000-0000-0000658A0000}"/>
    <cellStyle name="40% - Accent5 2 7 12" xfId="51371" xr:uid="{00000000-0005-0000-0000-0000668A0000}"/>
    <cellStyle name="40% - Accent5 2 7 2" xfId="2340" xr:uid="{00000000-0005-0000-0000-0000678A0000}"/>
    <cellStyle name="40% - Accent5 2 7 2 10" xfId="52516" xr:uid="{00000000-0005-0000-0000-0000688A0000}"/>
    <cellStyle name="40% - Accent5 2 7 2 2" xfId="7820" xr:uid="{00000000-0005-0000-0000-0000698A0000}"/>
    <cellStyle name="40% - Accent5 2 7 2 2 2" xfId="32131" xr:uid="{00000000-0005-0000-0000-00006A8A0000}"/>
    <cellStyle name="40% - Accent5 2 7 2 3" xfId="13296" xr:uid="{00000000-0005-0000-0000-00006B8A0000}"/>
    <cellStyle name="40% - Accent5 2 7 2 4" xfId="18772" xr:uid="{00000000-0005-0000-0000-00006C8A0000}"/>
    <cellStyle name="40% - Accent5 2 7 2 5" xfId="24248" xr:uid="{00000000-0005-0000-0000-00006D8A0000}"/>
    <cellStyle name="40% - Accent5 2 7 2 6" xfId="32130" xr:uid="{00000000-0005-0000-0000-00006E8A0000}"/>
    <cellStyle name="40% - Accent5 2 7 2 7" xfId="36044" xr:uid="{00000000-0005-0000-0000-00006F8A0000}"/>
    <cellStyle name="40% - Accent5 2 7 2 8" xfId="41521" xr:uid="{00000000-0005-0000-0000-0000708A0000}"/>
    <cellStyle name="40% - Accent5 2 7 2 9" xfId="46998" xr:uid="{00000000-0005-0000-0000-0000718A0000}"/>
    <cellStyle name="40% - Accent5 2 7 3" xfId="4112" xr:uid="{00000000-0005-0000-0000-0000728A0000}"/>
    <cellStyle name="40% - Accent5 2 7 3 10" xfId="54288" xr:uid="{00000000-0005-0000-0000-0000738A0000}"/>
    <cellStyle name="40% - Accent5 2 7 3 2" xfId="9592" xr:uid="{00000000-0005-0000-0000-0000748A0000}"/>
    <cellStyle name="40% - Accent5 2 7 3 3" xfId="15068" xr:uid="{00000000-0005-0000-0000-0000758A0000}"/>
    <cellStyle name="40% - Accent5 2 7 3 4" xfId="20544" xr:uid="{00000000-0005-0000-0000-0000768A0000}"/>
    <cellStyle name="40% - Accent5 2 7 3 5" xfId="26020" xr:uid="{00000000-0005-0000-0000-0000778A0000}"/>
    <cellStyle name="40% - Accent5 2 7 3 6" xfId="32132" xr:uid="{00000000-0005-0000-0000-0000788A0000}"/>
    <cellStyle name="40% - Accent5 2 7 3 7" xfId="37816" xr:uid="{00000000-0005-0000-0000-0000798A0000}"/>
    <cellStyle name="40% - Accent5 2 7 3 8" xfId="43293" xr:uid="{00000000-0005-0000-0000-00007A8A0000}"/>
    <cellStyle name="40% - Accent5 2 7 3 9" xfId="48770" xr:uid="{00000000-0005-0000-0000-00007B8A0000}"/>
    <cellStyle name="40% - Accent5 2 7 4" xfId="6712" xr:uid="{00000000-0005-0000-0000-00007C8A0000}"/>
    <cellStyle name="40% - Accent5 2 7 5" xfId="12192" xr:uid="{00000000-0005-0000-0000-00007D8A0000}"/>
    <cellStyle name="40% - Accent5 2 7 6" xfId="17668" xr:uid="{00000000-0005-0000-0000-00007E8A0000}"/>
    <cellStyle name="40% - Accent5 2 7 7" xfId="23144" xr:uid="{00000000-0005-0000-0000-00007F8A0000}"/>
    <cellStyle name="40% - Accent5 2 7 8" xfId="32129" xr:uid="{00000000-0005-0000-0000-0000808A0000}"/>
    <cellStyle name="40% - Accent5 2 7 9" xfId="34939" xr:uid="{00000000-0005-0000-0000-0000818A0000}"/>
    <cellStyle name="40% - Accent5 2 8" xfId="751" xr:uid="{00000000-0005-0000-0000-0000828A0000}"/>
    <cellStyle name="40% - Accent5 2 8 10" xfId="40417" xr:uid="{00000000-0005-0000-0000-0000838A0000}"/>
    <cellStyle name="40% - Accent5 2 8 11" xfId="45894" xr:uid="{00000000-0005-0000-0000-0000848A0000}"/>
    <cellStyle name="40% - Accent5 2 8 12" xfId="51372" xr:uid="{00000000-0005-0000-0000-0000858A0000}"/>
    <cellStyle name="40% - Accent5 2 8 2" xfId="2512" xr:uid="{00000000-0005-0000-0000-0000868A0000}"/>
    <cellStyle name="40% - Accent5 2 8 2 10" xfId="52688" xr:uid="{00000000-0005-0000-0000-0000878A0000}"/>
    <cellStyle name="40% - Accent5 2 8 2 2" xfId="7992" xr:uid="{00000000-0005-0000-0000-0000888A0000}"/>
    <cellStyle name="40% - Accent5 2 8 2 3" xfId="13468" xr:uid="{00000000-0005-0000-0000-0000898A0000}"/>
    <cellStyle name="40% - Accent5 2 8 2 4" xfId="18944" xr:uid="{00000000-0005-0000-0000-00008A8A0000}"/>
    <cellStyle name="40% - Accent5 2 8 2 5" xfId="24420" xr:uid="{00000000-0005-0000-0000-00008B8A0000}"/>
    <cellStyle name="40% - Accent5 2 8 2 6" xfId="32134" xr:uid="{00000000-0005-0000-0000-00008C8A0000}"/>
    <cellStyle name="40% - Accent5 2 8 2 7" xfId="36216" xr:uid="{00000000-0005-0000-0000-00008D8A0000}"/>
    <cellStyle name="40% - Accent5 2 8 2 8" xfId="41693" xr:uid="{00000000-0005-0000-0000-00008E8A0000}"/>
    <cellStyle name="40% - Accent5 2 8 2 9" xfId="47170" xr:uid="{00000000-0005-0000-0000-00008F8A0000}"/>
    <cellStyle name="40% - Accent5 2 8 3" xfId="4284" xr:uid="{00000000-0005-0000-0000-0000908A0000}"/>
    <cellStyle name="40% - Accent5 2 8 3 2" xfId="9764" xr:uid="{00000000-0005-0000-0000-0000918A0000}"/>
    <cellStyle name="40% - Accent5 2 8 3 3" xfId="15240" xr:uid="{00000000-0005-0000-0000-0000928A0000}"/>
    <cellStyle name="40% - Accent5 2 8 3 4" xfId="20716" xr:uid="{00000000-0005-0000-0000-0000938A0000}"/>
    <cellStyle name="40% - Accent5 2 8 3 5" xfId="26192" xr:uid="{00000000-0005-0000-0000-0000948A0000}"/>
    <cellStyle name="40% - Accent5 2 8 3 6" xfId="37988" xr:uid="{00000000-0005-0000-0000-0000958A0000}"/>
    <cellStyle name="40% - Accent5 2 8 3 7" xfId="43465" xr:uid="{00000000-0005-0000-0000-0000968A0000}"/>
    <cellStyle name="40% - Accent5 2 8 3 8" xfId="48942" xr:uid="{00000000-0005-0000-0000-0000978A0000}"/>
    <cellStyle name="40% - Accent5 2 8 3 9" xfId="54460" xr:uid="{00000000-0005-0000-0000-0000988A0000}"/>
    <cellStyle name="40% - Accent5 2 8 4" xfId="6713" xr:uid="{00000000-0005-0000-0000-0000998A0000}"/>
    <cellStyle name="40% - Accent5 2 8 5" xfId="12193" xr:uid="{00000000-0005-0000-0000-00009A8A0000}"/>
    <cellStyle name="40% - Accent5 2 8 6" xfId="17669" xr:uid="{00000000-0005-0000-0000-00009B8A0000}"/>
    <cellStyle name="40% - Accent5 2 8 7" xfId="23145" xr:uid="{00000000-0005-0000-0000-00009C8A0000}"/>
    <cellStyle name="40% - Accent5 2 8 8" xfId="32133" xr:uid="{00000000-0005-0000-0000-00009D8A0000}"/>
    <cellStyle name="40% - Accent5 2 8 9" xfId="34940" xr:uid="{00000000-0005-0000-0000-00009E8A0000}"/>
    <cellStyle name="40% - Accent5 2 9" xfId="923" xr:uid="{00000000-0005-0000-0000-00009F8A0000}"/>
    <cellStyle name="40% - Accent5 2 9 10" xfId="40418" xr:uid="{00000000-0005-0000-0000-0000A08A0000}"/>
    <cellStyle name="40% - Accent5 2 9 11" xfId="45895" xr:uid="{00000000-0005-0000-0000-0000A18A0000}"/>
    <cellStyle name="40% - Accent5 2 9 12" xfId="51373" xr:uid="{00000000-0005-0000-0000-0000A28A0000}"/>
    <cellStyle name="40% - Accent5 2 9 2" xfId="2684" xr:uid="{00000000-0005-0000-0000-0000A38A0000}"/>
    <cellStyle name="40% - Accent5 2 9 2 2" xfId="8164" xr:uid="{00000000-0005-0000-0000-0000A48A0000}"/>
    <cellStyle name="40% - Accent5 2 9 2 3" xfId="13640" xr:uid="{00000000-0005-0000-0000-0000A58A0000}"/>
    <cellStyle name="40% - Accent5 2 9 2 4" xfId="19116" xr:uid="{00000000-0005-0000-0000-0000A68A0000}"/>
    <cellStyle name="40% - Accent5 2 9 2 5" xfId="24592" xr:uid="{00000000-0005-0000-0000-0000A78A0000}"/>
    <cellStyle name="40% - Accent5 2 9 2 6" xfId="36388" xr:uid="{00000000-0005-0000-0000-0000A88A0000}"/>
    <cellStyle name="40% - Accent5 2 9 2 7" xfId="41865" xr:uid="{00000000-0005-0000-0000-0000A98A0000}"/>
    <cellStyle name="40% - Accent5 2 9 2 8" xfId="47342" xr:uid="{00000000-0005-0000-0000-0000AA8A0000}"/>
    <cellStyle name="40% - Accent5 2 9 2 9" xfId="52860" xr:uid="{00000000-0005-0000-0000-0000AB8A0000}"/>
    <cellStyle name="40% - Accent5 2 9 3" xfId="4456" xr:uid="{00000000-0005-0000-0000-0000AC8A0000}"/>
    <cellStyle name="40% - Accent5 2 9 3 2" xfId="9936" xr:uid="{00000000-0005-0000-0000-0000AD8A0000}"/>
    <cellStyle name="40% - Accent5 2 9 3 3" xfId="15412" xr:uid="{00000000-0005-0000-0000-0000AE8A0000}"/>
    <cellStyle name="40% - Accent5 2 9 3 4" xfId="20888" xr:uid="{00000000-0005-0000-0000-0000AF8A0000}"/>
    <cellStyle name="40% - Accent5 2 9 3 5" xfId="26364" xr:uid="{00000000-0005-0000-0000-0000B08A0000}"/>
    <cellStyle name="40% - Accent5 2 9 3 6" xfId="38160" xr:uid="{00000000-0005-0000-0000-0000B18A0000}"/>
    <cellStyle name="40% - Accent5 2 9 3 7" xfId="43637" xr:uid="{00000000-0005-0000-0000-0000B28A0000}"/>
    <cellStyle name="40% - Accent5 2 9 3 8" xfId="49114" xr:uid="{00000000-0005-0000-0000-0000B38A0000}"/>
    <cellStyle name="40% - Accent5 2 9 3 9" xfId="54632" xr:uid="{00000000-0005-0000-0000-0000B48A0000}"/>
    <cellStyle name="40% - Accent5 2 9 4" xfId="6714" xr:uid="{00000000-0005-0000-0000-0000B58A0000}"/>
    <cellStyle name="40% - Accent5 2 9 5" xfId="12194" xr:uid="{00000000-0005-0000-0000-0000B68A0000}"/>
    <cellStyle name="40% - Accent5 2 9 6" xfId="17670" xr:uid="{00000000-0005-0000-0000-0000B78A0000}"/>
    <cellStyle name="40% - Accent5 2 9 7" xfId="23146" xr:uid="{00000000-0005-0000-0000-0000B88A0000}"/>
    <cellStyle name="40% - Accent5 2 9 8" xfId="32135" xr:uid="{00000000-0005-0000-0000-0000B98A0000}"/>
    <cellStyle name="40% - Accent5 2 9 9" xfId="34941" xr:uid="{00000000-0005-0000-0000-0000BA8A0000}"/>
    <cellStyle name="40% - Accent5 20" xfId="32136" xr:uid="{00000000-0005-0000-0000-0000BB8A0000}"/>
    <cellStyle name="40% - Accent5 20 2" xfId="32137" xr:uid="{00000000-0005-0000-0000-0000BC8A0000}"/>
    <cellStyle name="40% - Accent5 20 2 2" xfId="32138" xr:uid="{00000000-0005-0000-0000-0000BD8A0000}"/>
    <cellStyle name="40% - Accent5 20 3" xfId="32139" xr:uid="{00000000-0005-0000-0000-0000BE8A0000}"/>
    <cellStyle name="40% - Accent5 21" xfId="32140" xr:uid="{00000000-0005-0000-0000-0000BF8A0000}"/>
    <cellStyle name="40% - Accent5 21 2" xfId="32141" xr:uid="{00000000-0005-0000-0000-0000C08A0000}"/>
    <cellStyle name="40% - Accent5 22" xfId="32142" xr:uid="{00000000-0005-0000-0000-0000C18A0000}"/>
    <cellStyle name="40% - Accent5 23" xfId="32143" xr:uid="{00000000-0005-0000-0000-0000C28A0000}"/>
    <cellStyle name="40% - Accent5 23 2" xfId="32144" xr:uid="{00000000-0005-0000-0000-0000C38A0000}"/>
    <cellStyle name="40% - Accent5 24" xfId="32145" xr:uid="{00000000-0005-0000-0000-0000C48A0000}"/>
    <cellStyle name="40% - Accent5 24 2" xfId="32146" xr:uid="{00000000-0005-0000-0000-0000C58A0000}"/>
    <cellStyle name="40% - Accent5 25" xfId="32147" xr:uid="{00000000-0005-0000-0000-0000C68A0000}"/>
    <cellStyle name="40% - Accent5 26" xfId="27564" xr:uid="{00000000-0005-0000-0000-0000C78A0000}"/>
    <cellStyle name="40% - Accent5 27" xfId="35609" xr:uid="{00000000-0005-0000-0000-0000C88A0000}"/>
    <cellStyle name="40% - Accent5 28" xfId="41086" xr:uid="{00000000-0005-0000-0000-0000C98A0000}"/>
    <cellStyle name="40% - Accent5 29" xfId="46563" xr:uid="{00000000-0005-0000-0000-0000CA8A0000}"/>
    <cellStyle name="40% - Accent5 3" xfId="193" xr:uid="{00000000-0005-0000-0000-0000CB8A0000}"/>
    <cellStyle name="40% - Accent5 3 10" xfId="1848" xr:uid="{00000000-0005-0000-0000-0000CC8A0000}"/>
    <cellStyle name="40% - Accent5 3 10 10" xfId="45897" xr:uid="{00000000-0005-0000-0000-0000CD8A0000}"/>
    <cellStyle name="40% - Accent5 3 10 11" xfId="51375" xr:uid="{00000000-0005-0000-0000-0000CE8A0000}"/>
    <cellStyle name="40% - Accent5 3 10 2" xfId="3609" xr:uid="{00000000-0005-0000-0000-0000CF8A0000}"/>
    <cellStyle name="40% - Accent5 3 10 2 2" xfId="9089" xr:uid="{00000000-0005-0000-0000-0000D08A0000}"/>
    <cellStyle name="40% - Accent5 3 10 2 3" xfId="14565" xr:uid="{00000000-0005-0000-0000-0000D18A0000}"/>
    <cellStyle name="40% - Accent5 3 10 2 4" xfId="20041" xr:uid="{00000000-0005-0000-0000-0000D28A0000}"/>
    <cellStyle name="40% - Accent5 3 10 2 5" xfId="25517" xr:uid="{00000000-0005-0000-0000-0000D38A0000}"/>
    <cellStyle name="40% - Accent5 3 10 2 6" xfId="37313" xr:uid="{00000000-0005-0000-0000-0000D48A0000}"/>
    <cellStyle name="40% - Accent5 3 10 2 7" xfId="42790" xr:uid="{00000000-0005-0000-0000-0000D58A0000}"/>
    <cellStyle name="40% - Accent5 3 10 2 8" xfId="48267" xr:uid="{00000000-0005-0000-0000-0000D68A0000}"/>
    <cellStyle name="40% - Accent5 3 10 2 9" xfId="53785" xr:uid="{00000000-0005-0000-0000-0000D78A0000}"/>
    <cellStyle name="40% - Accent5 3 10 3" xfId="5381" xr:uid="{00000000-0005-0000-0000-0000D88A0000}"/>
    <cellStyle name="40% - Accent5 3 10 3 2" xfId="10861" xr:uid="{00000000-0005-0000-0000-0000D98A0000}"/>
    <cellStyle name="40% - Accent5 3 10 3 3" xfId="16337" xr:uid="{00000000-0005-0000-0000-0000DA8A0000}"/>
    <cellStyle name="40% - Accent5 3 10 3 4" xfId="21813" xr:uid="{00000000-0005-0000-0000-0000DB8A0000}"/>
    <cellStyle name="40% - Accent5 3 10 3 5" xfId="27289" xr:uid="{00000000-0005-0000-0000-0000DC8A0000}"/>
    <cellStyle name="40% - Accent5 3 10 3 6" xfId="39085" xr:uid="{00000000-0005-0000-0000-0000DD8A0000}"/>
    <cellStyle name="40% - Accent5 3 10 3 7" xfId="44562" xr:uid="{00000000-0005-0000-0000-0000DE8A0000}"/>
    <cellStyle name="40% - Accent5 3 10 3 8" xfId="50039" xr:uid="{00000000-0005-0000-0000-0000DF8A0000}"/>
    <cellStyle name="40% - Accent5 3 10 3 9" xfId="55557" xr:uid="{00000000-0005-0000-0000-0000E08A0000}"/>
    <cellStyle name="40% - Accent5 3 10 4" xfId="6716" xr:uid="{00000000-0005-0000-0000-0000E18A0000}"/>
    <cellStyle name="40% - Accent5 3 10 5" xfId="12196" xr:uid="{00000000-0005-0000-0000-0000E28A0000}"/>
    <cellStyle name="40% - Accent5 3 10 6" xfId="17672" xr:uid="{00000000-0005-0000-0000-0000E38A0000}"/>
    <cellStyle name="40% - Accent5 3 10 7" xfId="23148" xr:uid="{00000000-0005-0000-0000-0000E48A0000}"/>
    <cellStyle name="40% - Accent5 3 10 8" xfId="34943" xr:uid="{00000000-0005-0000-0000-0000E58A0000}"/>
    <cellStyle name="40% - Accent5 3 10 9" xfId="40420" xr:uid="{00000000-0005-0000-0000-0000E68A0000}"/>
    <cellStyle name="40% - Accent5 3 11" xfId="2015" xr:uid="{00000000-0005-0000-0000-0000E78A0000}"/>
    <cellStyle name="40% - Accent5 3 11 10" xfId="52192" xr:uid="{00000000-0005-0000-0000-0000E88A0000}"/>
    <cellStyle name="40% - Accent5 3 11 2" xfId="5547" xr:uid="{00000000-0005-0000-0000-0000E98A0000}"/>
    <cellStyle name="40% - Accent5 3 11 2 2" xfId="11027" xr:uid="{00000000-0005-0000-0000-0000EA8A0000}"/>
    <cellStyle name="40% - Accent5 3 11 2 3" xfId="16503" xr:uid="{00000000-0005-0000-0000-0000EB8A0000}"/>
    <cellStyle name="40% - Accent5 3 11 2 4" xfId="21979" xr:uid="{00000000-0005-0000-0000-0000EC8A0000}"/>
    <cellStyle name="40% - Accent5 3 11 2 5" xfId="27455" xr:uid="{00000000-0005-0000-0000-0000ED8A0000}"/>
    <cellStyle name="40% - Accent5 3 11 2 6" xfId="39251" xr:uid="{00000000-0005-0000-0000-0000EE8A0000}"/>
    <cellStyle name="40% - Accent5 3 11 2 7" xfId="44728" xr:uid="{00000000-0005-0000-0000-0000EF8A0000}"/>
    <cellStyle name="40% - Accent5 3 11 2 8" xfId="50205" xr:uid="{00000000-0005-0000-0000-0000F08A0000}"/>
    <cellStyle name="40% - Accent5 3 11 2 9" xfId="55723" xr:uid="{00000000-0005-0000-0000-0000F18A0000}"/>
    <cellStyle name="40% - Accent5 3 11 3" xfId="7496" xr:uid="{00000000-0005-0000-0000-0000F28A0000}"/>
    <cellStyle name="40% - Accent5 3 11 4" xfId="12972" xr:uid="{00000000-0005-0000-0000-0000F38A0000}"/>
    <cellStyle name="40% - Accent5 3 11 5" xfId="18448" xr:uid="{00000000-0005-0000-0000-0000F48A0000}"/>
    <cellStyle name="40% - Accent5 3 11 6" xfId="23924" xr:uid="{00000000-0005-0000-0000-0000F58A0000}"/>
    <cellStyle name="40% - Accent5 3 11 7" xfId="35720" xr:uid="{00000000-0005-0000-0000-0000F68A0000}"/>
    <cellStyle name="40% - Accent5 3 11 8" xfId="41197" xr:uid="{00000000-0005-0000-0000-0000F78A0000}"/>
    <cellStyle name="40% - Accent5 3 11 9" xfId="46674" xr:uid="{00000000-0005-0000-0000-0000F88A0000}"/>
    <cellStyle name="40% - Accent5 3 12" xfId="3763" xr:uid="{00000000-0005-0000-0000-0000F98A0000}"/>
    <cellStyle name="40% - Accent5 3 12 2" xfId="9243" xr:uid="{00000000-0005-0000-0000-0000FA8A0000}"/>
    <cellStyle name="40% - Accent5 3 12 3" xfId="14719" xr:uid="{00000000-0005-0000-0000-0000FB8A0000}"/>
    <cellStyle name="40% - Accent5 3 12 4" xfId="20195" xr:uid="{00000000-0005-0000-0000-0000FC8A0000}"/>
    <cellStyle name="40% - Accent5 3 12 5" xfId="25671" xr:uid="{00000000-0005-0000-0000-0000FD8A0000}"/>
    <cellStyle name="40% - Accent5 3 12 6" xfId="37467" xr:uid="{00000000-0005-0000-0000-0000FE8A0000}"/>
    <cellStyle name="40% - Accent5 3 12 7" xfId="42944" xr:uid="{00000000-0005-0000-0000-0000FF8A0000}"/>
    <cellStyle name="40% - Accent5 3 12 8" xfId="48421" xr:uid="{00000000-0005-0000-0000-0000008B0000}"/>
    <cellStyle name="40% - Accent5 3 12 9" xfId="53939" xr:uid="{00000000-0005-0000-0000-0000018B0000}"/>
    <cellStyle name="40% - Accent5 3 13" xfId="6715" xr:uid="{00000000-0005-0000-0000-0000028B0000}"/>
    <cellStyle name="40% - Accent5 3 14" xfId="12195" xr:uid="{00000000-0005-0000-0000-0000038B0000}"/>
    <cellStyle name="40% - Accent5 3 15" xfId="17671" xr:uid="{00000000-0005-0000-0000-0000048B0000}"/>
    <cellStyle name="40% - Accent5 3 16" xfId="23147" xr:uid="{00000000-0005-0000-0000-0000058B0000}"/>
    <cellStyle name="40% - Accent5 3 17" xfId="32148" xr:uid="{00000000-0005-0000-0000-0000068B0000}"/>
    <cellStyle name="40% - Accent5 3 18" xfId="34942" xr:uid="{00000000-0005-0000-0000-0000078B0000}"/>
    <cellStyle name="40% - Accent5 3 19" xfId="40419" xr:uid="{00000000-0005-0000-0000-0000088B0000}"/>
    <cellStyle name="40% - Accent5 3 2" xfId="386" xr:uid="{00000000-0005-0000-0000-0000098B0000}"/>
    <cellStyle name="40% - Accent5 3 2 10" xfId="40421" xr:uid="{00000000-0005-0000-0000-00000A8B0000}"/>
    <cellStyle name="40% - Accent5 3 2 11" xfId="45898" xr:uid="{00000000-0005-0000-0000-00000B8B0000}"/>
    <cellStyle name="40% - Accent5 3 2 12" xfId="51376" xr:uid="{00000000-0005-0000-0000-00000C8B0000}"/>
    <cellStyle name="40% - Accent5 3 2 2" xfId="2178" xr:uid="{00000000-0005-0000-0000-00000D8B0000}"/>
    <cellStyle name="40% - Accent5 3 2 2 10" xfId="52354" xr:uid="{00000000-0005-0000-0000-00000E8B0000}"/>
    <cellStyle name="40% - Accent5 3 2 2 2" xfId="7658" xr:uid="{00000000-0005-0000-0000-00000F8B0000}"/>
    <cellStyle name="40% - Accent5 3 2 2 2 2" xfId="32151" xr:uid="{00000000-0005-0000-0000-0000108B0000}"/>
    <cellStyle name="40% - Accent5 3 2 2 3" xfId="13134" xr:uid="{00000000-0005-0000-0000-0000118B0000}"/>
    <cellStyle name="40% - Accent5 3 2 2 4" xfId="18610" xr:uid="{00000000-0005-0000-0000-0000128B0000}"/>
    <cellStyle name="40% - Accent5 3 2 2 5" xfId="24086" xr:uid="{00000000-0005-0000-0000-0000138B0000}"/>
    <cellStyle name="40% - Accent5 3 2 2 6" xfId="32150" xr:uid="{00000000-0005-0000-0000-0000148B0000}"/>
    <cellStyle name="40% - Accent5 3 2 2 7" xfId="35882" xr:uid="{00000000-0005-0000-0000-0000158B0000}"/>
    <cellStyle name="40% - Accent5 3 2 2 8" xfId="41359" xr:uid="{00000000-0005-0000-0000-0000168B0000}"/>
    <cellStyle name="40% - Accent5 3 2 2 9" xfId="46836" xr:uid="{00000000-0005-0000-0000-0000178B0000}"/>
    <cellStyle name="40% - Accent5 3 2 3" xfId="3948" xr:uid="{00000000-0005-0000-0000-0000188B0000}"/>
    <cellStyle name="40% - Accent5 3 2 3 10" xfId="54124" xr:uid="{00000000-0005-0000-0000-0000198B0000}"/>
    <cellStyle name="40% - Accent5 3 2 3 2" xfId="9428" xr:uid="{00000000-0005-0000-0000-00001A8B0000}"/>
    <cellStyle name="40% - Accent5 3 2 3 3" xfId="14904" xr:uid="{00000000-0005-0000-0000-00001B8B0000}"/>
    <cellStyle name="40% - Accent5 3 2 3 4" xfId="20380" xr:uid="{00000000-0005-0000-0000-00001C8B0000}"/>
    <cellStyle name="40% - Accent5 3 2 3 5" xfId="25856" xr:uid="{00000000-0005-0000-0000-00001D8B0000}"/>
    <cellStyle name="40% - Accent5 3 2 3 6" xfId="32152" xr:uid="{00000000-0005-0000-0000-00001E8B0000}"/>
    <cellStyle name="40% - Accent5 3 2 3 7" xfId="37652" xr:uid="{00000000-0005-0000-0000-00001F8B0000}"/>
    <cellStyle name="40% - Accent5 3 2 3 8" xfId="43129" xr:uid="{00000000-0005-0000-0000-0000208B0000}"/>
    <cellStyle name="40% - Accent5 3 2 3 9" xfId="48606" xr:uid="{00000000-0005-0000-0000-0000218B0000}"/>
    <cellStyle name="40% - Accent5 3 2 4" xfId="6717" xr:uid="{00000000-0005-0000-0000-0000228B0000}"/>
    <cellStyle name="40% - Accent5 3 2 5" xfId="12197" xr:uid="{00000000-0005-0000-0000-0000238B0000}"/>
    <cellStyle name="40% - Accent5 3 2 6" xfId="17673" xr:uid="{00000000-0005-0000-0000-0000248B0000}"/>
    <cellStyle name="40% - Accent5 3 2 7" xfId="23149" xr:uid="{00000000-0005-0000-0000-0000258B0000}"/>
    <cellStyle name="40% - Accent5 3 2 8" xfId="32149" xr:uid="{00000000-0005-0000-0000-0000268B0000}"/>
    <cellStyle name="40% - Accent5 3 2 9" xfId="34944" xr:uid="{00000000-0005-0000-0000-0000278B0000}"/>
    <cellStyle name="40% - Accent5 3 20" xfId="45896" xr:uid="{00000000-0005-0000-0000-0000288B0000}"/>
    <cellStyle name="40% - Accent5 3 21" xfId="51374" xr:uid="{00000000-0005-0000-0000-0000298B0000}"/>
    <cellStyle name="40% - Accent5 3 3" xfId="587" xr:uid="{00000000-0005-0000-0000-00002A8B0000}"/>
    <cellStyle name="40% - Accent5 3 3 10" xfId="40422" xr:uid="{00000000-0005-0000-0000-00002B8B0000}"/>
    <cellStyle name="40% - Accent5 3 3 11" xfId="45899" xr:uid="{00000000-0005-0000-0000-00002C8B0000}"/>
    <cellStyle name="40% - Accent5 3 3 12" xfId="51377" xr:uid="{00000000-0005-0000-0000-00002D8B0000}"/>
    <cellStyle name="40% - Accent5 3 3 2" xfId="2348" xr:uid="{00000000-0005-0000-0000-00002E8B0000}"/>
    <cellStyle name="40% - Accent5 3 3 2 10" xfId="52524" xr:uid="{00000000-0005-0000-0000-00002F8B0000}"/>
    <cellStyle name="40% - Accent5 3 3 2 2" xfId="7828" xr:uid="{00000000-0005-0000-0000-0000308B0000}"/>
    <cellStyle name="40% - Accent5 3 3 2 2 2" xfId="32155" xr:uid="{00000000-0005-0000-0000-0000318B0000}"/>
    <cellStyle name="40% - Accent5 3 3 2 3" xfId="13304" xr:uid="{00000000-0005-0000-0000-0000328B0000}"/>
    <cellStyle name="40% - Accent5 3 3 2 4" xfId="18780" xr:uid="{00000000-0005-0000-0000-0000338B0000}"/>
    <cellStyle name="40% - Accent5 3 3 2 5" xfId="24256" xr:uid="{00000000-0005-0000-0000-0000348B0000}"/>
    <cellStyle name="40% - Accent5 3 3 2 6" xfId="32154" xr:uid="{00000000-0005-0000-0000-0000358B0000}"/>
    <cellStyle name="40% - Accent5 3 3 2 7" xfId="36052" xr:uid="{00000000-0005-0000-0000-0000368B0000}"/>
    <cellStyle name="40% - Accent5 3 3 2 8" xfId="41529" xr:uid="{00000000-0005-0000-0000-0000378B0000}"/>
    <cellStyle name="40% - Accent5 3 3 2 9" xfId="47006" xr:uid="{00000000-0005-0000-0000-0000388B0000}"/>
    <cellStyle name="40% - Accent5 3 3 3" xfId="4120" xr:uid="{00000000-0005-0000-0000-0000398B0000}"/>
    <cellStyle name="40% - Accent5 3 3 3 10" xfId="54296" xr:uid="{00000000-0005-0000-0000-00003A8B0000}"/>
    <cellStyle name="40% - Accent5 3 3 3 2" xfId="9600" xr:uid="{00000000-0005-0000-0000-00003B8B0000}"/>
    <cellStyle name="40% - Accent5 3 3 3 3" xfId="15076" xr:uid="{00000000-0005-0000-0000-00003C8B0000}"/>
    <cellStyle name="40% - Accent5 3 3 3 4" xfId="20552" xr:uid="{00000000-0005-0000-0000-00003D8B0000}"/>
    <cellStyle name="40% - Accent5 3 3 3 5" xfId="26028" xr:uid="{00000000-0005-0000-0000-00003E8B0000}"/>
    <cellStyle name="40% - Accent5 3 3 3 6" xfId="32156" xr:uid="{00000000-0005-0000-0000-00003F8B0000}"/>
    <cellStyle name="40% - Accent5 3 3 3 7" xfId="37824" xr:uid="{00000000-0005-0000-0000-0000408B0000}"/>
    <cellStyle name="40% - Accent5 3 3 3 8" xfId="43301" xr:uid="{00000000-0005-0000-0000-0000418B0000}"/>
    <cellStyle name="40% - Accent5 3 3 3 9" xfId="48778" xr:uid="{00000000-0005-0000-0000-0000428B0000}"/>
    <cellStyle name="40% - Accent5 3 3 4" xfId="6718" xr:uid="{00000000-0005-0000-0000-0000438B0000}"/>
    <cellStyle name="40% - Accent5 3 3 5" xfId="12198" xr:uid="{00000000-0005-0000-0000-0000448B0000}"/>
    <cellStyle name="40% - Accent5 3 3 6" xfId="17674" xr:uid="{00000000-0005-0000-0000-0000458B0000}"/>
    <cellStyle name="40% - Accent5 3 3 7" xfId="23150" xr:uid="{00000000-0005-0000-0000-0000468B0000}"/>
    <cellStyle name="40% - Accent5 3 3 8" xfId="32153" xr:uid="{00000000-0005-0000-0000-0000478B0000}"/>
    <cellStyle name="40% - Accent5 3 3 9" xfId="34945" xr:uid="{00000000-0005-0000-0000-0000488B0000}"/>
    <cellStyle name="40% - Accent5 3 4" xfId="759" xr:uid="{00000000-0005-0000-0000-0000498B0000}"/>
    <cellStyle name="40% - Accent5 3 4 10" xfId="40423" xr:uid="{00000000-0005-0000-0000-00004A8B0000}"/>
    <cellStyle name="40% - Accent5 3 4 11" xfId="45900" xr:uid="{00000000-0005-0000-0000-00004B8B0000}"/>
    <cellStyle name="40% - Accent5 3 4 12" xfId="51378" xr:uid="{00000000-0005-0000-0000-00004C8B0000}"/>
    <cellStyle name="40% - Accent5 3 4 2" xfId="2520" xr:uid="{00000000-0005-0000-0000-00004D8B0000}"/>
    <cellStyle name="40% - Accent5 3 4 2 10" xfId="52696" xr:uid="{00000000-0005-0000-0000-00004E8B0000}"/>
    <cellStyle name="40% - Accent5 3 4 2 2" xfId="8000" xr:uid="{00000000-0005-0000-0000-00004F8B0000}"/>
    <cellStyle name="40% - Accent5 3 4 2 2 2" xfId="32159" xr:uid="{00000000-0005-0000-0000-0000508B0000}"/>
    <cellStyle name="40% - Accent5 3 4 2 3" xfId="13476" xr:uid="{00000000-0005-0000-0000-0000518B0000}"/>
    <cellStyle name="40% - Accent5 3 4 2 4" xfId="18952" xr:uid="{00000000-0005-0000-0000-0000528B0000}"/>
    <cellStyle name="40% - Accent5 3 4 2 5" xfId="24428" xr:uid="{00000000-0005-0000-0000-0000538B0000}"/>
    <cellStyle name="40% - Accent5 3 4 2 6" xfId="32158" xr:uid="{00000000-0005-0000-0000-0000548B0000}"/>
    <cellStyle name="40% - Accent5 3 4 2 7" xfId="36224" xr:uid="{00000000-0005-0000-0000-0000558B0000}"/>
    <cellStyle name="40% - Accent5 3 4 2 8" xfId="41701" xr:uid="{00000000-0005-0000-0000-0000568B0000}"/>
    <cellStyle name="40% - Accent5 3 4 2 9" xfId="47178" xr:uid="{00000000-0005-0000-0000-0000578B0000}"/>
    <cellStyle name="40% - Accent5 3 4 3" xfId="4292" xr:uid="{00000000-0005-0000-0000-0000588B0000}"/>
    <cellStyle name="40% - Accent5 3 4 3 10" xfId="54468" xr:uid="{00000000-0005-0000-0000-0000598B0000}"/>
    <cellStyle name="40% - Accent5 3 4 3 2" xfId="9772" xr:uid="{00000000-0005-0000-0000-00005A8B0000}"/>
    <cellStyle name="40% - Accent5 3 4 3 3" xfId="15248" xr:uid="{00000000-0005-0000-0000-00005B8B0000}"/>
    <cellStyle name="40% - Accent5 3 4 3 4" xfId="20724" xr:uid="{00000000-0005-0000-0000-00005C8B0000}"/>
    <cellStyle name="40% - Accent5 3 4 3 5" xfId="26200" xr:uid="{00000000-0005-0000-0000-00005D8B0000}"/>
    <cellStyle name="40% - Accent5 3 4 3 6" xfId="32160" xr:uid="{00000000-0005-0000-0000-00005E8B0000}"/>
    <cellStyle name="40% - Accent5 3 4 3 7" xfId="37996" xr:uid="{00000000-0005-0000-0000-00005F8B0000}"/>
    <cellStyle name="40% - Accent5 3 4 3 8" xfId="43473" xr:uid="{00000000-0005-0000-0000-0000608B0000}"/>
    <cellStyle name="40% - Accent5 3 4 3 9" xfId="48950" xr:uid="{00000000-0005-0000-0000-0000618B0000}"/>
    <cellStyle name="40% - Accent5 3 4 4" xfId="6719" xr:uid="{00000000-0005-0000-0000-0000628B0000}"/>
    <cellStyle name="40% - Accent5 3 4 5" xfId="12199" xr:uid="{00000000-0005-0000-0000-0000638B0000}"/>
    <cellStyle name="40% - Accent5 3 4 6" xfId="17675" xr:uid="{00000000-0005-0000-0000-0000648B0000}"/>
    <cellStyle name="40% - Accent5 3 4 7" xfId="23151" xr:uid="{00000000-0005-0000-0000-0000658B0000}"/>
    <cellStyle name="40% - Accent5 3 4 8" xfId="32157" xr:uid="{00000000-0005-0000-0000-0000668B0000}"/>
    <cellStyle name="40% - Accent5 3 4 9" xfId="34946" xr:uid="{00000000-0005-0000-0000-0000678B0000}"/>
    <cellStyle name="40% - Accent5 3 5" xfId="931" xr:uid="{00000000-0005-0000-0000-0000688B0000}"/>
    <cellStyle name="40% - Accent5 3 5 10" xfId="40424" xr:uid="{00000000-0005-0000-0000-0000698B0000}"/>
    <cellStyle name="40% - Accent5 3 5 11" xfId="45901" xr:uid="{00000000-0005-0000-0000-00006A8B0000}"/>
    <cellStyle name="40% - Accent5 3 5 12" xfId="51379" xr:uid="{00000000-0005-0000-0000-00006B8B0000}"/>
    <cellStyle name="40% - Accent5 3 5 2" xfId="2692" xr:uid="{00000000-0005-0000-0000-00006C8B0000}"/>
    <cellStyle name="40% - Accent5 3 5 2 10" xfId="52868" xr:uid="{00000000-0005-0000-0000-00006D8B0000}"/>
    <cellStyle name="40% - Accent5 3 5 2 2" xfId="8172" xr:uid="{00000000-0005-0000-0000-00006E8B0000}"/>
    <cellStyle name="40% - Accent5 3 5 2 2 2" xfId="32163" xr:uid="{00000000-0005-0000-0000-00006F8B0000}"/>
    <cellStyle name="40% - Accent5 3 5 2 3" xfId="13648" xr:uid="{00000000-0005-0000-0000-0000708B0000}"/>
    <cellStyle name="40% - Accent5 3 5 2 4" xfId="19124" xr:uid="{00000000-0005-0000-0000-0000718B0000}"/>
    <cellStyle name="40% - Accent5 3 5 2 5" xfId="24600" xr:uid="{00000000-0005-0000-0000-0000728B0000}"/>
    <cellStyle name="40% - Accent5 3 5 2 6" xfId="32162" xr:uid="{00000000-0005-0000-0000-0000738B0000}"/>
    <cellStyle name="40% - Accent5 3 5 2 7" xfId="36396" xr:uid="{00000000-0005-0000-0000-0000748B0000}"/>
    <cellStyle name="40% - Accent5 3 5 2 8" xfId="41873" xr:uid="{00000000-0005-0000-0000-0000758B0000}"/>
    <cellStyle name="40% - Accent5 3 5 2 9" xfId="47350" xr:uid="{00000000-0005-0000-0000-0000768B0000}"/>
    <cellStyle name="40% - Accent5 3 5 3" xfId="4464" xr:uid="{00000000-0005-0000-0000-0000778B0000}"/>
    <cellStyle name="40% - Accent5 3 5 3 10" xfId="54640" xr:uid="{00000000-0005-0000-0000-0000788B0000}"/>
    <cellStyle name="40% - Accent5 3 5 3 2" xfId="9944" xr:uid="{00000000-0005-0000-0000-0000798B0000}"/>
    <cellStyle name="40% - Accent5 3 5 3 3" xfId="15420" xr:uid="{00000000-0005-0000-0000-00007A8B0000}"/>
    <cellStyle name="40% - Accent5 3 5 3 4" xfId="20896" xr:uid="{00000000-0005-0000-0000-00007B8B0000}"/>
    <cellStyle name="40% - Accent5 3 5 3 5" xfId="26372" xr:uid="{00000000-0005-0000-0000-00007C8B0000}"/>
    <cellStyle name="40% - Accent5 3 5 3 6" xfId="32164" xr:uid="{00000000-0005-0000-0000-00007D8B0000}"/>
    <cellStyle name="40% - Accent5 3 5 3 7" xfId="38168" xr:uid="{00000000-0005-0000-0000-00007E8B0000}"/>
    <cellStyle name="40% - Accent5 3 5 3 8" xfId="43645" xr:uid="{00000000-0005-0000-0000-00007F8B0000}"/>
    <cellStyle name="40% - Accent5 3 5 3 9" xfId="49122" xr:uid="{00000000-0005-0000-0000-0000808B0000}"/>
    <cellStyle name="40% - Accent5 3 5 4" xfId="6720" xr:uid="{00000000-0005-0000-0000-0000818B0000}"/>
    <cellStyle name="40% - Accent5 3 5 5" xfId="12200" xr:uid="{00000000-0005-0000-0000-0000828B0000}"/>
    <cellStyle name="40% - Accent5 3 5 6" xfId="17676" xr:uid="{00000000-0005-0000-0000-0000838B0000}"/>
    <cellStyle name="40% - Accent5 3 5 7" xfId="23152" xr:uid="{00000000-0005-0000-0000-0000848B0000}"/>
    <cellStyle name="40% - Accent5 3 5 8" xfId="32161" xr:uid="{00000000-0005-0000-0000-0000858B0000}"/>
    <cellStyle name="40% - Accent5 3 5 9" xfId="34947" xr:uid="{00000000-0005-0000-0000-0000868B0000}"/>
    <cellStyle name="40% - Accent5 3 6" xfId="1137" xr:uid="{00000000-0005-0000-0000-0000878B0000}"/>
    <cellStyle name="40% - Accent5 3 6 10" xfId="40425" xr:uid="{00000000-0005-0000-0000-0000888B0000}"/>
    <cellStyle name="40% - Accent5 3 6 11" xfId="45902" xr:uid="{00000000-0005-0000-0000-0000898B0000}"/>
    <cellStyle name="40% - Accent5 3 6 12" xfId="51380" xr:uid="{00000000-0005-0000-0000-00008A8B0000}"/>
    <cellStyle name="40% - Accent5 3 6 2" xfId="2898" xr:uid="{00000000-0005-0000-0000-00008B8B0000}"/>
    <cellStyle name="40% - Accent5 3 6 2 10" xfId="53074" xr:uid="{00000000-0005-0000-0000-00008C8B0000}"/>
    <cellStyle name="40% - Accent5 3 6 2 2" xfId="8378" xr:uid="{00000000-0005-0000-0000-00008D8B0000}"/>
    <cellStyle name="40% - Accent5 3 6 2 2 2" xfId="32167" xr:uid="{00000000-0005-0000-0000-00008E8B0000}"/>
    <cellStyle name="40% - Accent5 3 6 2 3" xfId="13854" xr:uid="{00000000-0005-0000-0000-00008F8B0000}"/>
    <cellStyle name="40% - Accent5 3 6 2 4" xfId="19330" xr:uid="{00000000-0005-0000-0000-0000908B0000}"/>
    <cellStyle name="40% - Accent5 3 6 2 5" xfId="24806" xr:uid="{00000000-0005-0000-0000-0000918B0000}"/>
    <cellStyle name="40% - Accent5 3 6 2 6" xfId="32166" xr:uid="{00000000-0005-0000-0000-0000928B0000}"/>
    <cellStyle name="40% - Accent5 3 6 2 7" xfId="36602" xr:uid="{00000000-0005-0000-0000-0000938B0000}"/>
    <cellStyle name="40% - Accent5 3 6 2 8" xfId="42079" xr:uid="{00000000-0005-0000-0000-0000948B0000}"/>
    <cellStyle name="40% - Accent5 3 6 2 9" xfId="47556" xr:uid="{00000000-0005-0000-0000-0000958B0000}"/>
    <cellStyle name="40% - Accent5 3 6 3" xfId="4670" xr:uid="{00000000-0005-0000-0000-0000968B0000}"/>
    <cellStyle name="40% - Accent5 3 6 3 10" xfId="54846" xr:uid="{00000000-0005-0000-0000-0000978B0000}"/>
    <cellStyle name="40% - Accent5 3 6 3 2" xfId="10150" xr:uid="{00000000-0005-0000-0000-0000988B0000}"/>
    <cellStyle name="40% - Accent5 3 6 3 3" xfId="15626" xr:uid="{00000000-0005-0000-0000-0000998B0000}"/>
    <cellStyle name="40% - Accent5 3 6 3 4" xfId="21102" xr:uid="{00000000-0005-0000-0000-00009A8B0000}"/>
    <cellStyle name="40% - Accent5 3 6 3 5" xfId="26578" xr:uid="{00000000-0005-0000-0000-00009B8B0000}"/>
    <cellStyle name="40% - Accent5 3 6 3 6" xfId="32168" xr:uid="{00000000-0005-0000-0000-00009C8B0000}"/>
    <cellStyle name="40% - Accent5 3 6 3 7" xfId="38374" xr:uid="{00000000-0005-0000-0000-00009D8B0000}"/>
    <cellStyle name="40% - Accent5 3 6 3 8" xfId="43851" xr:uid="{00000000-0005-0000-0000-00009E8B0000}"/>
    <cellStyle name="40% - Accent5 3 6 3 9" xfId="49328" xr:uid="{00000000-0005-0000-0000-00009F8B0000}"/>
    <cellStyle name="40% - Accent5 3 6 4" xfId="6721" xr:uid="{00000000-0005-0000-0000-0000A08B0000}"/>
    <cellStyle name="40% - Accent5 3 6 5" xfId="12201" xr:uid="{00000000-0005-0000-0000-0000A18B0000}"/>
    <cellStyle name="40% - Accent5 3 6 6" xfId="17677" xr:uid="{00000000-0005-0000-0000-0000A28B0000}"/>
    <cellStyle name="40% - Accent5 3 6 7" xfId="23153" xr:uid="{00000000-0005-0000-0000-0000A38B0000}"/>
    <cellStyle name="40% - Accent5 3 6 8" xfId="32165" xr:uid="{00000000-0005-0000-0000-0000A48B0000}"/>
    <cellStyle name="40% - Accent5 3 6 9" xfId="34948" xr:uid="{00000000-0005-0000-0000-0000A58B0000}"/>
    <cellStyle name="40% - Accent5 3 7" xfId="1309" xr:uid="{00000000-0005-0000-0000-0000A68B0000}"/>
    <cellStyle name="40% - Accent5 3 7 10" xfId="40426" xr:uid="{00000000-0005-0000-0000-0000A78B0000}"/>
    <cellStyle name="40% - Accent5 3 7 11" xfId="45903" xr:uid="{00000000-0005-0000-0000-0000A88B0000}"/>
    <cellStyle name="40% - Accent5 3 7 12" xfId="51381" xr:uid="{00000000-0005-0000-0000-0000A98B0000}"/>
    <cellStyle name="40% - Accent5 3 7 2" xfId="3070" xr:uid="{00000000-0005-0000-0000-0000AA8B0000}"/>
    <cellStyle name="40% - Accent5 3 7 2 10" xfId="53246" xr:uid="{00000000-0005-0000-0000-0000AB8B0000}"/>
    <cellStyle name="40% - Accent5 3 7 2 2" xfId="8550" xr:uid="{00000000-0005-0000-0000-0000AC8B0000}"/>
    <cellStyle name="40% - Accent5 3 7 2 2 2" xfId="32171" xr:uid="{00000000-0005-0000-0000-0000AD8B0000}"/>
    <cellStyle name="40% - Accent5 3 7 2 3" xfId="14026" xr:uid="{00000000-0005-0000-0000-0000AE8B0000}"/>
    <cellStyle name="40% - Accent5 3 7 2 4" xfId="19502" xr:uid="{00000000-0005-0000-0000-0000AF8B0000}"/>
    <cellStyle name="40% - Accent5 3 7 2 5" xfId="24978" xr:uid="{00000000-0005-0000-0000-0000B08B0000}"/>
    <cellStyle name="40% - Accent5 3 7 2 6" xfId="32170" xr:uid="{00000000-0005-0000-0000-0000B18B0000}"/>
    <cellStyle name="40% - Accent5 3 7 2 7" xfId="36774" xr:uid="{00000000-0005-0000-0000-0000B28B0000}"/>
    <cellStyle name="40% - Accent5 3 7 2 8" xfId="42251" xr:uid="{00000000-0005-0000-0000-0000B38B0000}"/>
    <cellStyle name="40% - Accent5 3 7 2 9" xfId="47728" xr:uid="{00000000-0005-0000-0000-0000B48B0000}"/>
    <cellStyle name="40% - Accent5 3 7 3" xfId="4842" xr:uid="{00000000-0005-0000-0000-0000B58B0000}"/>
    <cellStyle name="40% - Accent5 3 7 3 10" xfId="55018" xr:uid="{00000000-0005-0000-0000-0000B68B0000}"/>
    <cellStyle name="40% - Accent5 3 7 3 2" xfId="10322" xr:uid="{00000000-0005-0000-0000-0000B78B0000}"/>
    <cellStyle name="40% - Accent5 3 7 3 3" xfId="15798" xr:uid="{00000000-0005-0000-0000-0000B88B0000}"/>
    <cellStyle name="40% - Accent5 3 7 3 4" xfId="21274" xr:uid="{00000000-0005-0000-0000-0000B98B0000}"/>
    <cellStyle name="40% - Accent5 3 7 3 5" xfId="26750" xr:uid="{00000000-0005-0000-0000-0000BA8B0000}"/>
    <cellStyle name="40% - Accent5 3 7 3 6" xfId="32172" xr:uid="{00000000-0005-0000-0000-0000BB8B0000}"/>
    <cellStyle name="40% - Accent5 3 7 3 7" xfId="38546" xr:uid="{00000000-0005-0000-0000-0000BC8B0000}"/>
    <cellStyle name="40% - Accent5 3 7 3 8" xfId="44023" xr:uid="{00000000-0005-0000-0000-0000BD8B0000}"/>
    <cellStyle name="40% - Accent5 3 7 3 9" xfId="49500" xr:uid="{00000000-0005-0000-0000-0000BE8B0000}"/>
    <cellStyle name="40% - Accent5 3 7 4" xfId="6722" xr:uid="{00000000-0005-0000-0000-0000BF8B0000}"/>
    <cellStyle name="40% - Accent5 3 7 5" xfId="12202" xr:uid="{00000000-0005-0000-0000-0000C08B0000}"/>
    <cellStyle name="40% - Accent5 3 7 6" xfId="17678" xr:uid="{00000000-0005-0000-0000-0000C18B0000}"/>
    <cellStyle name="40% - Accent5 3 7 7" xfId="23154" xr:uid="{00000000-0005-0000-0000-0000C28B0000}"/>
    <cellStyle name="40% - Accent5 3 7 8" xfId="32169" xr:uid="{00000000-0005-0000-0000-0000C38B0000}"/>
    <cellStyle name="40% - Accent5 3 7 9" xfId="34949" xr:uid="{00000000-0005-0000-0000-0000C48B0000}"/>
    <cellStyle name="40% - Accent5 3 8" xfId="1481" xr:uid="{00000000-0005-0000-0000-0000C58B0000}"/>
    <cellStyle name="40% - Accent5 3 8 10" xfId="40427" xr:uid="{00000000-0005-0000-0000-0000C68B0000}"/>
    <cellStyle name="40% - Accent5 3 8 11" xfId="45904" xr:uid="{00000000-0005-0000-0000-0000C78B0000}"/>
    <cellStyle name="40% - Accent5 3 8 12" xfId="51382" xr:uid="{00000000-0005-0000-0000-0000C88B0000}"/>
    <cellStyle name="40% - Accent5 3 8 2" xfId="3242" xr:uid="{00000000-0005-0000-0000-0000C98B0000}"/>
    <cellStyle name="40% - Accent5 3 8 2 10" xfId="53418" xr:uid="{00000000-0005-0000-0000-0000CA8B0000}"/>
    <cellStyle name="40% - Accent5 3 8 2 2" xfId="8722" xr:uid="{00000000-0005-0000-0000-0000CB8B0000}"/>
    <cellStyle name="40% - Accent5 3 8 2 3" xfId="14198" xr:uid="{00000000-0005-0000-0000-0000CC8B0000}"/>
    <cellStyle name="40% - Accent5 3 8 2 4" xfId="19674" xr:uid="{00000000-0005-0000-0000-0000CD8B0000}"/>
    <cellStyle name="40% - Accent5 3 8 2 5" xfId="25150" xr:uid="{00000000-0005-0000-0000-0000CE8B0000}"/>
    <cellStyle name="40% - Accent5 3 8 2 6" xfId="32174" xr:uid="{00000000-0005-0000-0000-0000CF8B0000}"/>
    <cellStyle name="40% - Accent5 3 8 2 7" xfId="36946" xr:uid="{00000000-0005-0000-0000-0000D08B0000}"/>
    <cellStyle name="40% - Accent5 3 8 2 8" xfId="42423" xr:uid="{00000000-0005-0000-0000-0000D18B0000}"/>
    <cellStyle name="40% - Accent5 3 8 2 9" xfId="47900" xr:uid="{00000000-0005-0000-0000-0000D28B0000}"/>
    <cellStyle name="40% - Accent5 3 8 3" xfId="5014" xr:uid="{00000000-0005-0000-0000-0000D38B0000}"/>
    <cellStyle name="40% - Accent5 3 8 3 2" xfId="10494" xr:uid="{00000000-0005-0000-0000-0000D48B0000}"/>
    <cellStyle name="40% - Accent5 3 8 3 3" xfId="15970" xr:uid="{00000000-0005-0000-0000-0000D58B0000}"/>
    <cellStyle name="40% - Accent5 3 8 3 4" xfId="21446" xr:uid="{00000000-0005-0000-0000-0000D68B0000}"/>
    <cellStyle name="40% - Accent5 3 8 3 5" xfId="26922" xr:uid="{00000000-0005-0000-0000-0000D78B0000}"/>
    <cellStyle name="40% - Accent5 3 8 3 6" xfId="38718" xr:uid="{00000000-0005-0000-0000-0000D88B0000}"/>
    <cellStyle name="40% - Accent5 3 8 3 7" xfId="44195" xr:uid="{00000000-0005-0000-0000-0000D98B0000}"/>
    <cellStyle name="40% - Accent5 3 8 3 8" xfId="49672" xr:uid="{00000000-0005-0000-0000-0000DA8B0000}"/>
    <cellStyle name="40% - Accent5 3 8 3 9" xfId="55190" xr:uid="{00000000-0005-0000-0000-0000DB8B0000}"/>
    <cellStyle name="40% - Accent5 3 8 4" xfId="6723" xr:uid="{00000000-0005-0000-0000-0000DC8B0000}"/>
    <cellStyle name="40% - Accent5 3 8 5" xfId="12203" xr:uid="{00000000-0005-0000-0000-0000DD8B0000}"/>
    <cellStyle name="40% - Accent5 3 8 6" xfId="17679" xr:uid="{00000000-0005-0000-0000-0000DE8B0000}"/>
    <cellStyle name="40% - Accent5 3 8 7" xfId="23155" xr:uid="{00000000-0005-0000-0000-0000DF8B0000}"/>
    <cellStyle name="40% - Accent5 3 8 8" xfId="32173" xr:uid="{00000000-0005-0000-0000-0000E08B0000}"/>
    <cellStyle name="40% - Accent5 3 8 9" xfId="34950" xr:uid="{00000000-0005-0000-0000-0000E18B0000}"/>
    <cellStyle name="40% - Accent5 3 9" xfId="1653" xr:uid="{00000000-0005-0000-0000-0000E28B0000}"/>
    <cellStyle name="40% - Accent5 3 9 10" xfId="40428" xr:uid="{00000000-0005-0000-0000-0000E38B0000}"/>
    <cellStyle name="40% - Accent5 3 9 11" xfId="45905" xr:uid="{00000000-0005-0000-0000-0000E48B0000}"/>
    <cellStyle name="40% - Accent5 3 9 12" xfId="51383" xr:uid="{00000000-0005-0000-0000-0000E58B0000}"/>
    <cellStyle name="40% - Accent5 3 9 2" xfId="3414" xr:uid="{00000000-0005-0000-0000-0000E68B0000}"/>
    <cellStyle name="40% - Accent5 3 9 2 2" xfId="8894" xr:uid="{00000000-0005-0000-0000-0000E78B0000}"/>
    <cellStyle name="40% - Accent5 3 9 2 3" xfId="14370" xr:uid="{00000000-0005-0000-0000-0000E88B0000}"/>
    <cellStyle name="40% - Accent5 3 9 2 4" xfId="19846" xr:uid="{00000000-0005-0000-0000-0000E98B0000}"/>
    <cellStyle name="40% - Accent5 3 9 2 5" xfId="25322" xr:uid="{00000000-0005-0000-0000-0000EA8B0000}"/>
    <cellStyle name="40% - Accent5 3 9 2 6" xfId="37118" xr:uid="{00000000-0005-0000-0000-0000EB8B0000}"/>
    <cellStyle name="40% - Accent5 3 9 2 7" xfId="42595" xr:uid="{00000000-0005-0000-0000-0000EC8B0000}"/>
    <cellStyle name="40% - Accent5 3 9 2 8" xfId="48072" xr:uid="{00000000-0005-0000-0000-0000ED8B0000}"/>
    <cellStyle name="40% - Accent5 3 9 2 9" xfId="53590" xr:uid="{00000000-0005-0000-0000-0000EE8B0000}"/>
    <cellStyle name="40% - Accent5 3 9 3" xfId="5186" xr:uid="{00000000-0005-0000-0000-0000EF8B0000}"/>
    <cellStyle name="40% - Accent5 3 9 3 2" xfId="10666" xr:uid="{00000000-0005-0000-0000-0000F08B0000}"/>
    <cellStyle name="40% - Accent5 3 9 3 3" xfId="16142" xr:uid="{00000000-0005-0000-0000-0000F18B0000}"/>
    <cellStyle name="40% - Accent5 3 9 3 4" xfId="21618" xr:uid="{00000000-0005-0000-0000-0000F28B0000}"/>
    <cellStyle name="40% - Accent5 3 9 3 5" xfId="27094" xr:uid="{00000000-0005-0000-0000-0000F38B0000}"/>
    <cellStyle name="40% - Accent5 3 9 3 6" xfId="38890" xr:uid="{00000000-0005-0000-0000-0000F48B0000}"/>
    <cellStyle name="40% - Accent5 3 9 3 7" xfId="44367" xr:uid="{00000000-0005-0000-0000-0000F58B0000}"/>
    <cellStyle name="40% - Accent5 3 9 3 8" xfId="49844" xr:uid="{00000000-0005-0000-0000-0000F68B0000}"/>
    <cellStyle name="40% - Accent5 3 9 3 9" xfId="55362" xr:uid="{00000000-0005-0000-0000-0000F78B0000}"/>
    <cellStyle name="40% - Accent5 3 9 4" xfId="6724" xr:uid="{00000000-0005-0000-0000-0000F88B0000}"/>
    <cellStyle name="40% - Accent5 3 9 5" xfId="12204" xr:uid="{00000000-0005-0000-0000-0000F98B0000}"/>
    <cellStyle name="40% - Accent5 3 9 6" xfId="17680" xr:uid="{00000000-0005-0000-0000-0000FA8B0000}"/>
    <cellStyle name="40% - Accent5 3 9 7" xfId="23156" xr:uid="{00000000-0005-0000-0000-0000FB8B0000}"/>
    <cellStyle name="40% - Accent5 3 9 8" xfId="32175" xr:uid="{00000000-0005-0000-0000-0000FC8B0000}"/>
    <cellStyle name="40% - Accent5 3 9 9" xfId="34951" xr:uid="{00000000-0005-0000-0000-0000FD8B0000}"/>
    <cellStyle name="40% - Accent5 4" xfId="387" xr:uid="{00000000-0005-0000-0000-0000FE8B0000}"/>
    <cellStyle name="40% - Accent5 4 10" xfId="2016" xr:uid="{00000000-0005-0000-0000-0000FF8B0000}"/>
    <cellStyle name="40% - Accent5 4 10 10" xfId="52193" xr:uid="{00000000-0005-0000-0000-0000008C0000}"/>
    <cellStyle name="40% - Accent5 4 10 2" xfId="5548" xr:uid="{00000000-0005-0000-0000-0000018C0000}"/>
    <cellStyle name="40% - Accent5 4 10 2 2" xfId="11028" xr:uid="{00000000-0005-0000-0000-0000028C0000}"/>
    <cellStyle name="40% - Accent5 4 10 2 3" xfId="16504" xr:uid="{00000000-0005-0000-0000-0000038C0000}"/>
    <cellStyle name="40% - Accent5 4 10 2 4" xfId="21980" xr:uid="{00000000-0005-0000-0000-0000048C0000}"/>
    <cellStyle name="40% - Accent5 4 10 2 5" xfId="27456" xr:uid="{00000000-0005-0000-0000-0000058C0000}"/>
    <cellStyle name="40% - Accent5 4 10 2 6" xfId="39252" xr:uid="{00000000-0005-0000-0000-0000068C0000}"/>
    <cellStyle name="40% - Accent5 4 10 2 7" xfId="44729" xr:uid="{00000000-0005-0000-0000-0000078C0000}"/>
    <cellStyle name="40% - Accent5 4 10 2 8" xfId="50206" xr:uid="{00000000-0005-0000-0000-0000088C0000}"/>
    <cellStyle name="40% - Accent5 4 10 2 9" xfId="55724" xr:uid="{00000000-0005-0000-0000-0000098C0000}"/>
    <cellStyle name="40% - Accent5 4 10 3" xfId="7497" xr:uid="{00000000-0005-0000-0000-00000A8C0000}"/>
    <cellStyle name="40% - Accent5 4 10 4" xfId="12973" xr:uid="{00000000-0005-0000-0000-00000B8C0000}"/>
    <cellStyle name="40% - Accent5 4 10 5" xfId="18449" xr:uid="{00000000-0005-0000-0000-00000C8C0000}"/>
    <cellStyle name="40% - Accent5 4 10 6" xfId="23925" xr:uid="{00000000-0005-0000-0000-00000D8C0000}"/>
    <cellStyle name="40% - Accent5 4 10 7" xfId="35721" xr:uid="{00000000-0005-0000-0000-00000E8C0000}"/>
    <cellStyle name="40% - Accent5 4 10 8" xfId="41198" xr:uid="{00000000-0005-0000-0000-00000F8C0000}"/>
    <cellStyle name="40% - Accent5 4 10 9" xfId="46675" xr:uid="{00000000-0005-0000-0000-0000108C0000}"/>
    <cellStyle name="40% - Accent5 4 11" xfId="3949" xr:uid="{00000000-0005-0000-0000-0000118C0000}"/>
    <cellStyle name="40% - Accent5 4 11 2" xfId="9429" xr:uid="{00000000-0005-0000-0000-0000128C0000}"/>
    <cellStyle name="40% - Accent5 4 11 3" xfId="14905" xr:uid="{00000000-0005-0000-0000-0000138C0000}"/>
    <cellStyle name="40% - Accent5 4 11 4" xfId="20381" xr:uid="{00000000-0005-0000-0000-0000148C0000}"/>
    <cellStyle name="40% - Accent5 4 11 5" xfId="25857" xr:uid="{00000000-0005-0000-0000-0000158C0000}"/>
    <cellStyle name="40% - Accent5 4 11 6" xfId="37653" xr:uid="{00000000-0005-0000-0000-0000168C0000}"/>
    <cellStyle name="40% - Accent5 4 11 7" xfId="43130" xr:uid="{00000000-0005-0000-0000-0000178C0000}"/>
    <cellStyle name="40% - Accent5 4 11 8" xfId="48607" xr:uid="{00000000-0005-0000-0000-0000188C0000}"/>
    <cellStyle name="40% - Accent5 4 11 9" xfId="54125" xr:uid="{00000000-0005-0000-0000-0000198C0000}"/>
    <cellStyle name="40% - Accent5 4 12" xfId="6725" xr:uid="{00000000-0005-0000-0000-00001A8C0000}"/>
    <cellStyle name="40% - Accent5 4 13" xfId="12205" xr:uid="{00000000-0005-0000-0000-00001B8C0000}"/>
    <cellStyle name="40% - Accent5 4 14" xfId="17681" xr:uid="{00000000-0005-0000-0000-00001C8C0000}"/>
    <cellStyle name="40% - Accent5 4 15" xfId="23157" xr:uid="{00000000-0005-0000-0000-00001D8C0000}"/>
    <cellStyle name="40% - Accent5 4 16" xfId="32176" xr:uid="{00000000-0005-0000-0000-00001E8C0000}"/>
    <cellStyle name="40% - Accent5 4 17" xfId="34952" xr:uid="{00000000-0005-0000-0000-00001F8C0000}"/>
    <cellStyle name="40% - Accent5 4 18" xfId="40429" xr:uid="{00000000-0005-0000-0000-0000208C0000}"/>
    <cellStyle name="40% - Accent5 4 19" xfId="45906" xr:uid="{00000000-0005-0000-0000-0000218C0000}"/>
    <cellStyle name="40% - Accent5 4 2" xfId="588" xr:uid="{00000000-0005-0000-0000-0000228C0000}"/>
    <cellStyle name="40% - Accent5 4 2 10" xfId="40430" xr:uid="{00000000-0005-0000-0000-0000238C0000}"/>
    <cellStyle name="40% - Accent5 4 2 11" xfId="45907" xr:uid="{00000000-0005-0000-0000-0000248C0000}"/>
    <cellStyle name="40% - Accent5 4 2 12" xfId="51385" xr:uid="{00000000-0005-0000-0000-0000258C0000}"/>
    <cellStyle name="40% - Accent5 4 2 2" xfId="2349" xr:uid="{00000000-0005-0000-0000-0000268C0000}"/>
    <cellStyle name="40% - Accent5 4 2 2 10" xfId="52525" xr:uid="{00000000-0005-0000-0000-0000278C0000}"/>
    <cellStyle name="40% - Accent5 4 2 2 2" xfId="7829" xr:uid="{00000000-0005-0000-0000-0000288C0000}"/>
    <cellStyle name="40% - Accent5 4 2 2 2 2" xfId="32179" xr:uid="{00000000-0005-0000-0000-0000298C0000}"/>
    <cellStyle name="40% - Accent5 4 2 2 3" xfId="13305" xr:uid="{00000000-0005-0000-0000-00002A8C0000}"/>
    <cellStyle name="40% - Accent5 4 2 2 4" xfId="18781" xr:uid="{00000000-0005-0000-0000-00002B8C0000}"/>
    <cellStyle name="40% - Accent5 4 2 2 5" xfId="24257" xr:uid="{00000000-0005-0000-0000-00002C8C0000}"/>
    <cellStyle name="40% - Accent5 4 2 2 6" xfId="32178" xr:uid="{00000000-0005-0000-0000-00002D8C0000}"/>
    <cellStyle name="40% - Accent5 4 2 2 7" xfId="36053" xr:uid="{00000000-0005-0000-0000-00002E8C0000}"/>
    <cellStyle name="40% - Accent5 4 2 2 8" xfId="41530" xr:uid="{00000000-0005-0000-0000-00002F8C0000}"/>
    <cellStyle name="40% - Accent5 4 2 2 9" xfId="47007" xr:uid="{00000000-0005-0000-0000-0000308C0000}"/>
    <cellStyle name="40% - Accent5 4 2 3" xfId="4121" xr:uid="{00000000-0005-0000-0000-0000318C0000}"/>
    <cellStyle name="40% - Accent5 4 2 3 10" xfId="54297" xr:uid="{00000000-0005-0000-0000-0000328C0000}"/>
    <cellStyle name="40% - Accent5 4 2 3 2" xfId="9601" xr:uid="{00000000-0005-0000-0000-0000338C0000}"/>
    <cellStyle name="40% - Accent5 4 2 3 3" xfId="15077" xr:uid="{00000000-0005-0000-0000-0000348C0000}"/>
    <cellStyle name="40% - Accent5 4 2 3 4" xfId="20553" xr:uid="{00000000-0005-0000-0000-0000358C0000}"/>
    <cellStyle name="40% - Accent5 4 2 3 5" xfId="26029" xr:uid="{00000000-0005-0000-0000-0000368C0000}"/>
    <cellStyle name="40% - Accent5 4 2 3 6" xfId="32180" xr:uid="{00000000-0005-0000-0000-0000378C0000}"/>
    <cellStyle name="40% - Accent5 4 2 3 7" xfId="37825" xr:uid="{00000000-0005-0000-0000-0000388C0000}"/>
    <cellStyle name="40% - Accent5 4 2 3 8" xfId="43302" xr:uid="{00000000-0005-0000-0000-0000398C0000}"/>
    <cellStyle name="40% - Accent5 4 2 3 9" xfId="48779" xr:uid="{00000000-0005-0000-0000-00003A8C0000}"/>
    <cellStyle name="40% - Accent5 4 2 4" xfId="6726" xr:uid="{00000000-0005-0000-0000-00003B8C0000}"/>
    <cellStyle name="40% - Accent5 4 2 5" xfId="12206" xr:uid="{00000000-0005-0000-0000-00003C8C0000}"/>
    <cellStyle name="40% - Accent5 4 2 6" xfId="17682" xr:uid="{00000000-0005-0000-0000-00003D8C0000}"/>
    <cellStyle name="40% - Accent5 4 2 7" xfId="23158" xr:uid="{00000000-0005-0000-0000-00003E8C0000}"/>
    <cellStyle name="40% - Accent5 4 2 8" xfId="32177" xr:uid="{00000000-0005-0000-0000-00003F8C0000}"/>
    <cellStyle name="40% - Accent5 4 2 9" xfId="34953" xr:uid="{00000000-0005-0000-0000-0000408C0000}"/>
    <cellStyle name="40% - Accent5 4 20" xfId="51384" xr:uid="{00000000-0005-0000-0000-0000418C0000}"/>
    <cellStyle name="40% - Accent5 4 3" xfId="760" xr:uid="{00000000-0005-0000-0000-0000428C0000}"/>
    <cellStyle name="40% - Accent5 4 3 10" xfId="40431" xr:uid="{00000000-0005-0000-0000-0000438C0000}"/>
    <cellStyle name="40% - Accent5 4 3 11" xfId="45908" xr:uid="{00000000-0005-0000-0000-0000448C0000}"/>
    <cellStyle name="40% - Accent5 4 3 12" xfId="51386" xr:uid="{00000000-0005-0000-0000-0000458C0000}"/>
    <cellStyle name="40% - Accent5 4 3 2" xfId="2521" xr:uid="{00000000-0005-0000-0000-0000468C0000}"/>
    <cellStyle name="40% - Accent5 4 3 2 10" xfId="52697" xr:uid="{00000000-0005-0000-0000-0000478C0000}"/>
    <cellStyle name="40% - Accent5 4 3 2 2" xfId="8001" xr:uid="{00000000-0005-0000-0000-0000488C0000}"/>
    <cellStyle name="40% - Accent5 4 3 2 2 2" xfId="32183" xr:uid="{00000000-0005-0000-0000-0000498C0000}"/>
    <cellStyle name="40% - Accent5 4 3 2 3" xfId="13477" xr:uid="{00000000-0005-0000-0000-00004A8C0000}"/>
    <cellStyle name="40% - Accent5 4 3 2 4" xfId="18953" xr:uid="{00000000-0005-0000-0000-00004B8C0000}"/>
    <cellStyle name="40% - Accent5 4 3 2 5" xfId="24429" xr:uid="{00000000-0005-0000-0000-00004C8C0000}"/>
    <cellStyle name="40% - Accent5 4 3 2 6" xfId="32182" xr:uid="{00000000-0005-0000-0000-00004D8C0000}"/>
    <cellStyle name="40% - Accent5 4 3 2 7" xfId="36225" xr:uid="{00000000-0005-0000-0000-00004E8C0000}"/>
    <cellStyle name="40% - Accent5 4 3 2 8" xfId="41702" xr:uid="{00000000-0005-0000-0000-00004F8C0000}"/>
    <cellStyle name="40% - Accent5 4 3 2 9" xfId="47179" xr:uid="{00000000-0005-0000-0000-0000508C0000}"/>
    <cellStyle name="40% - Accent5 4 3 3" xfId="4293" xr:uid="{00000000-0005-0000-0000-0000518C0000}"/>
    <cellStyle name="40% - Accent5 4 3 3 10" xfId="54469" xr:uid="{00000000-0005-0000-0000-0000528C0000}"/>
    <cellStyle name="40% - Accent5 4 3 3 2" xfId="9773" xr:uid="{00000000-0005-0000-0000-0000538C0000}"/>
    <cellStyle name="40% - Accent5 4 3 3 3" xfId="15249" xr:uid="{00000000-0005-0000-0000-0000548C0000}"/>
    <cellStyle name="40% - Accent5 4 3 3 4" xfId="20725" xr:uid="{00000000-0005-0000-0000-0000558C0000}"/>
    <cellStyle name="40% - Accent5 4 3 3 5" xfId="26201" xr:uid="{00000000-0005-0000-0000-0000568C0000}"/>
    <cellStyle name="40% - Accent5 4 3 3 6" xfId="32184" xr:uid="{00000000-0005-0000-0000-0000578C0000}"/>
    <cellStyle name="40% - Accent5 4 3 3 7" xfId="37997" xr:uid="{00000000-0005-0000-0000-0000588C0000}"/>
    <cellStyle name="40% - Accent5 4 3 3 8" xfId="43474" xr:uid="{00000000-0005-0000-0000-0000598C0000}"/>
    <cellStyle name="40% - Accent5 4 3 3 9" xfId="48951" xr:uid="{00000000-0005-0000-0000-00005A8C0000}"/>
    <cellStyle name="40% - Accent5 4 3 4" xfId="6727" xr:uid="{00000000-0005-0000-0000-00005B8C0000}"/>
    <cellStyle name="40% - Accent5 4 3 5" xfId="12207" xr:uid="{00000000-0005-0000-0000-00005C8C0000}"/>
    <cellStyle name="40% - Accent5 4 3 6" xfId="17683" xr:uid="{00000000-0005-0000-0000-00005D8C0000}"/>
    <cellStyle name="40% - Accent5 4 3 7" xfId="23159" xr:uid="{00000000-0005-0000-0000-00005E8C0000}"/>
    <cellStyle name="40% - Accent5 4 3 8" xfId="32181" xr:uid="{00000000-0005-0000-0000-00005F8C0000}"/>
    <cellStyle name="40% - Accent5 4 3 9" xfId="34954" xr:uid="{00000000-0005-0000-0000-0000608C0000}"/>
    <cellStyle name="40% - Accent5 4 4" xfId="932" xr:uid="{00000000-0005-0000-0000-0000618C0000}"/>
    <cellStyle name="40% - Accent5 4 4 10" xfId="40432" xr:uid="{00000000-0005-0000-0000-0000628C0000}"/>
    <cellStyle name="40% - Accent5 4 4 11" xfId="45909" xr:uid="{00000000-0005-0000-0000-0000638C0000}"/>
    <cellStyle name="40% - Accent5 4 4 12" xfId="51387" xr:uid="{00000000-0005-0000-0000-0000648C0000}"/>
    <cellStyle name="40% - Accent5 4 4 2" xfId="2693" xr:uid="{00000000-0005-0000-0000-0000658C0000}"/>
    <cellStyle name="40% - Accent5 4 4 2 10" xfId="52869" xr:uid="{00000000-0005-0000-0000-0000668C0000}"/>
    <cellStyle name="40% - Accent5 4 4 2 2" xfId="8173" xr:uid="{00000000-0005-0000-0000-0000678C0000}"/>
    <cellStyle name="40% - Accent5 4 4 2 2 2" xfId="32187" xr:uid="{00000000-0005-0000-0000-0000688C0000}"/>
    <cellStyle name="40% - Accent5 4 4 2 3" xfId="13649" xr:uid="{00000000-0005-0000-0000-0000698C0000}"/>
    <cellStyle name="40% - Accent5 4 4 2 4" xfId="19125" xr:uid="{00000000-0005-0000-0000-00006A8C0000}"/>
    <cellStyle name="40% - Accent5 4 4 2 5" xfId="24601" xr:uid="{00000000-0005-0000-0000-00006B8C0000}"/>
    <cellStyle name="40% - Accent5 4 4 2 6" xfId="32186" xr:uid="{00000000-0005-0000-0000-00006C8C0000}"/>
    <cellStyle name="40% - Accent5 4 4 2 7" xfId="36397" xr:uid="{00000000-0005-0000-0000-00006D8C0000}"/>
    <cellStyle name="40% - Accent5 4 4 2 8" xfId="41874" xr:uid="{00000000-0005-0000-0000-00006E8C0000}"/>
    <cellStyle name="40% - Accent5 4 4 2 9" xfId="47351" xr:uid="{00000000-0005-0000-0000-00006F8C0000}"/>
    <cellStyle name="40% - Accent5 4 4 3" xfId="4465" xr:uid="{00000000-0005-0000-0000-0000708C0000}"/>
    <cellStyle name="40% - Accent5 4 4 3 10" xfId="54641" xr:uid="{00000000-0005-0000-0000-0000718C0000}"/>
    <cellStyle name="40% - Accent5 4 4 3 2" xfId="9945" xr:uid="{00000000-0005-0000-0000-0000728C0000}"/>
    <cellStyle name="40% - Accent5 4 4 3 3" xfId="15421" xr:uid="{00000000-0005-0000-0000-0000738C0000}"/>
    <cellStyle name="40% - Accent5 4 4 3 4" xfId="20897" xr:uid="{00000000-0005-0000-0000-0000748C0000}"/>
    <cellStyle name="40% - Accent5 4 4 3 5" xfId="26373" xr:uid="{00000000-0005-0000-0000-0000758C0000}"/>
    <cellStyle name="40% - Accent5 4 4 3 6" xfId="32188" xr:uid="{00000000-0005-0000-0000-0000768C0000}"/>
    <cellStyle name="40% - Accent5 4 4 3 7" xfId="38169" xr:uid="{00000000-0005-0000-0000-0000778C0000}"/>
    <cellStyle name="40% - Accent5 4 4 3 8" xfId="43646" xr:uid="{00000000-0005-0000-0000-0000788C0000}"/>
    <cellStyle name="40% - Accent5 4 4 3 9" xfId="49123" xr:uid="{00000000-0005-0000-0000-0000798C0000}"/>
    <cellStyle name="40% - Accent5 4 4 4" xfId="6728" xr:uid="{00000000-0005-0000-0000-00007A8C0000}"/>
    <cellStyle name="40% - Accent5 4 4 5" xfId="12208" xr:uid="{00000000-0005-0000-0000-00007B8C0000}"/>
    <cellStyle name="40% - Accent5 4 4 6" xfId="17684" xr:uid="{00000000-0005-0000-0000-00007C8C0000}"/>
    <cellStyle name="40% - Accent5 4 4 7" xfId="23160" xr:uid="{00000000-0005-0000-0000-00007D8C0000}"/>
    <cellStyle name="40% - Accent5 4 4 8" xfId="32185" xr:uid="{00000000-0005-0000-0000-00007E8C0000}"/>
    <cellStyle name="40% - Accent5 4 4 9" xfId="34955" xr:uid="{00000000-0005-0000-0000-00007F8C0000}"/>
    <cellStyle name="40% - Accent5 4 5" xfId="1138" xr:uid="{00000000-0005-0000-0000-0000808C0000}"/>
    <cellStyle name="40% - Accent5 4 5 10" xfId="40433" xr:uid="{00000000-0005-0000-0000-0000818C0000}"/>
    <cellStyle name="40% - Accent5 4 5 11" xfId="45910" xr:uid="{00000000-0005-0000-0000-0000828C0000}"/>
    <cellStyle name="40% - Accent5 4 5 12" xfId="51388" xr:uid="{00000000-0005-0000-0000-0000838C0000}"/>
    <cellStyle name="40% - Accent5 4 5 2" xfId="2899" xr:uid="{00000000-0005-0000-0000-0000848C0000}"/>
    <cellStyle name="40% - Accent5 4 5 2 10" xfId="53075" xr:uid="{00000000-0005-0000-0000-0000858C0000}"/>
    <cellStyle name="40% - Accent5 4 5 2 2" xfId="8379" xr:uid="{00000000-0005-0000-0000-0000868C0000}"/>
    <cellStyle name="40% - Accent5 4 5 2 2 2" xfId="32191" xr:uid="{00000000-0005-0000-0000-0000878C0000}"/>
    <cellStyle name="40% - Accent5 4 5 2 3" xfId="13855" xr:uid="{00000000-0005-0000-0000-0000888C0000}"/>
    <cellStyle name="40% - Accent5 4 5 2 4" xfId="19331" xr:uid="{00000000-0005-0000-0000-0000898C0000}"/>
    <cellStyle name="40% - Accent5 4 5 2 5" xfId="24807" xr:uid="{00000000-0005-0000-0000-00008A8C0000}"/>
    <cellStyle name="40% - Accent5 4 5 2 6" xfId="32190" xr:uid="{00000000-0005-0000-0000-00008B8C0000}"/>
    <cellStyle name="40% - Accent5 4 5 2 7" xfId="36603" xr:uid="{00000000-0005-0000-0000-00008C8C0000}"/>
    <cellStyle name="40% - Accent5 4 5 2 8" xfId="42080" xr:uid="{00000000-0005-0000-0000-00008D8C0000}"/>
    <cellStyle name="40% - Accent5 4 5 2 9" xfId="47557" xr:uid="{00000000-0005-0000-0000-00008E8C0000}"/>
    <cellStyle name="40% - Accent5 4 5 3" xfId="4671" xr:uid="{00000000-0005-0000-0000-00008F8C0000}"/>
    <cellStyle name="40% - Accent5 4 5 3 10" xfId="54847" xr:uid="{00000000-0005-0000-0000-0000908C0000}"/>
    <cellStyle name="40% - Accent5 4 5 3 2" xfId="10151" xr:uid="{00000000-0005-0000-0000-0000918C0000}"/>
    <cellStyle name="40% - Accent5 4 5 3 3" xfId="15627" xr:uid="{00000000-0005-0000-0000-0000928C0000}"/>
    <cellStyle name="40% - Accent5 4 5 3 4" xfId="21103" xr:uid="{00000000-0005-0000-0000-0000938C0000}"/>
    <cellStyle name="40% - Accent5 4 5 3 5" xfId="26579" xr:uid="{00000000-0005-0000-0000-0000948C0000}"/>
    <cellStyle name="40% - Accent5 4 5 3 6" xfId="32192" xr:uid="{00000000-0005-0000-0000-0000958C0000}"/>
    <cellStyle name="40% - Accent5 4 5 3 7" xfId="38375" xr:uid="{00000000-0005-0000-0000-0000968C0000}"/>
    <cellStyle name="40% - Accent5 4 5 3 8" xfId="43852" xr:uid="{00000000-0005-0000-0000-0000978C0000}"/>
    <cellStyle name="40% - Accent5 4 5 3 9" xfId="49329" xr:uid="{00000000-0005-0000-0000-0000988C0000}"/>
    <cellStyle name="40% - Accent5 4 5 4" xfId="6729" xr:uid="{00000000-0005-0000-0000-0000998C0000}"/>
    <cellStyle name="40% - Accent5 4 5 5" xfId="12209" xr:uid="{00000000-0005-0000-0000-00009A8C0000}"/>
    <cellStyle name="40% - Accent5 4 5 6" xfId="17685" xr:uid="{00000000-0005-0000-0000-00009B8C0000}"/>
    <cellStyle name="40% - Accent5 4 5 7" xfId="23161" xr:uid="{00000000-0005-0000-0000-00009C8C0000}"/>
    <cellStyle name="40% - Accent5 4 5 8" xfId="32189" xr:uid="{00000000-0005-0000-0000-00009D8C0000}"/>
    <cellStyle name="40% - Accent5 4 5 9" xfId="34956" xr:uid="{00000000-0005-0000-0000-00009E8C0000}"/>
    <cellStyle name="40% - Accent5 4 6" xfId="1310" xr:uid="{00000000-0005-0000-0000-00009F8C0000}"/>
    <cellStyle name="40% - Accent5 4 6 10" xfId="40434" xr:uid="{00000000-0005-0000-0000-0000A08C0000}"/>
    <cellStyle name="40% - Accent5 4 6 11" xfId="45911" xr:uid="{00000000-0005-0000-0000-0000A18C0000}"/>
    <cellStyle name="40% - Accent5 4 6 12" xfId="51389" xr:uid="{00000000-0005-0000-0000-0000A28C0000}"/>
    <cellStyle name="40% - Accent5 4 6 2" xfId="3071" xr:uid="{00000000-0005-0000-0000-0000A38C0000}"/>
    <cellStyle name="40% - Accent5 4 6 2 10" xfId="53247" xr:uid="{00000000-0005-0000-0000-0000A48C0000}"/>
    <cellStyle name="40% - Accent5 4 6 2 2" xfId="8551" xr:uid="{00000000-0005-0000-0000-0000A58C0000}"/>
    <cellStyle name="40% - Accent5 4 6 2 2 2" xfId="32195" xr:uid="{00000000-0005-0000-0000-0000A68C0000}"/>
    <cellStyle name="40% - Accent5 4 6 2 3" xfId="14027" xr:uid="{00000000-0005-0000-0000-0000A78C0000}"/>
    <cellStyle name="40% - Accent5 4 6 2 4" xfId="19503" xr:uid="{00000000-0005-0000-0000-0000A88C0000}"/>
    <cellStyle name="40% - Accent5 4 6 2 5" xfId="24979" xr:uid="{00000000-0005-0000-0000-0000A98C0000}"/>
    <cellStyle name="40% - Accent5 4 6 2 6" xfId="32194" xr:uid="{00000000-0005-0000-0000-0000AA8C0000}"/>
    <cellStyle name="40% - Accent5 4 6 2 7" xfId="36775" xr:uid="{00000000-0005-0000-0000-0000AB8C0000}"/>
    <cellStyle name="40% - Accent5 4 6 2 8" xfId="42252" xr:uid="{00000000-0005-0000-0000-0000AC8C0000}"/>
    <cellStyle name="40% - Accent5 4 6 2 9" xfId="47729" xr:uid="{00000000-0005-0000-0000-0000AD8C0000}"/>
    <cellStyle name="40% - Accent5 4 6 3" xfId="4843" xr:uid="{00000000-0005-0000-0000-0000AE8C0000}"/>
    <cellStyle name="40% - Accent5 4 6 3 10" xfId="55019" xr:uid="{00000000-0005-0000-0000-0000AF8C0000}"/>
    <cellStyle name="40% - Accent5 4 6 3 2" xfId="10323" xr:uid="{00000000-0005-0000-0000-0000B08C0000}"/>
    <cellStyle name="40% - Accent5 4 6 3 3" xfId="15799" xr:uid="{00000000-0005-0000-0000-0000B18C0000}"/>
    <cellStyle name="40% - Accent5 4 6 3 4" xfId="21275" xr:uid="{00000000-0005-0000-0000-0000B28C0000}"/>
    <cellStyle name="40% - Accent5 4 6 3 5" xfId="26751" xr:uid="{00000000-0005-0000-0000-0000B38C0000}"/>
    <cellStyle name="40% - Accent5 4 6 3 6" xfId="32196" xr:uid="{00000000-0005-0000-0000-0000B48C0000}"/>
    <cellStyle name="40% - Accent5 4 6 3 7" xfId="38547" xr:uid="{00000000-0005-0000-0000-0000B58C0000}"/>
    <cellStyle name="40% - Accent5 4 6 3 8" xfId="44024" xr:uid="{00000000-0005-0000-0000-0000B68C0000}"/>
    <cellStyle name="40% - Accent5 4 6 3 9" xfId="49501" xr:uid="{00000000-0005-0000-0000-0000B78C0000}"/>
    <cellStyle name="40% - Accent5 4 6 4" xfId="6730" xr:uid="{00000000-0005-0000-0000-0000B88C0000}"/>
    <cellStyle name="40% - Accent5 4 6 5" xfId="12210" xr:uid="{00000000-0005-0000-0000-0000B98C0000}"/>
    <cellStyle name="40% - Accent5 4 6 6" xfId="17686" xr:uid="{00000000-0005-0000-0000-0000BA8C0000}"/>
    <cellStyle name="40% - Accent5 4 6 7" xfId="23162" xr:uid="{00000000-0005-0000-0000-0000BB8C0000}"/>
    <cellStyle name="40% - Accent5 4 6 8" xfId="32193" xr:uid="{00000000-0005-0000-0000-0000BC8C0000}"/>
    <cellStyle name="40% - Accent5 4 6 9" xfId="34957" xr:uid="{00000000-0005-0000-0000-0000BD8C0000}"/>
    <cellStyle name="40% - Accent5 4 7" xfId="1482" xr:uid="{00000000-0005-0000-0000-0000BE8C0000}"/>
    <cellStyle name="40% - Accent5 4 7 10" xfId="40435" xr:uid="{00000000-0005-0000-0000-0000BF8C0000}"/>
    <cellStyle name="40% - Accent5 4 7 11" xfId="45912" xr:uid="{00000000-0005-0000-0000-0000C08C0000}"/>
    <cellStyle name="40% - Accent5 4 7 12" xfId="51390" xr:uid="{00000000-0005-0000-0000-0000C18C0000}"/>
    <cellStyle name="40% - Accent5 4 7 2" xfId="3243" xr:uid="{00000000-0005-0000-0000-0000C28C0000}"/>
    <cellStyle name="40% - Accent5 4 7 2 10" xfId="53419" xr:uid="{00000000-0005-0000-0000-0000C38C0000}"/>
    <cellStyle name="40% - Accent5 4 7 2 2" xfId="8723" xr:uid="{00000000-0005-0000-0000-0000C48C0000}"/>
    <cellStyle name="40% - Accent5 4 7 2 2 2" xfId="32199" xr:uid="{00000000-0005-0000-0000-0000C58C0000}"/>
    <cellStyle name="40% - Accent5 4 7 2 3" xfId="14199" xr:uid="{00000000-0005-0000-0000-0000C68C0000}"/>
    <cellStyle name="40% - Accent5 4 7 2 4" xfId="19675" xr:uid="{00000000-0005-0000-0000-0000C78C0000}"/>
    <cellStyle name="40% - Accent5 4 7 2 5" xfId="25151" xr:uid="{00000000-0005-0000-0000-0000C88C0000}"/>
    <cellStyle name="40% - Accent5 4 7 2 6" xfId="32198" xr:uid="{00000000-0005-0000-0000-0000C98C0000}"/>
    <cellStyle name="40% - Accent5 4 7 2 7" xfId="36947" xr:uid="{00000000-0005-0000-0000-0000CA8C0000}"/>
    <cellStyle name="40% - Accent5 4 7 2 8" xfId="42424" xr:uid="{00000000-0005-0000-0000-0000CB8C0000}"/>
    <cellStyle name="40% - Accent5 4 7 2 9" xfId="47901" xr:uid="{00000000-0005-0000-0000-0000CC8C0000}"/>
    <cellStyle name="40% - Accent5 4 7 3" xfId="5015" xr:uid="{00000000-0005-0000-0000-0000CD8C0000}"/>
    <cellStyle name="40% - Accent5 4 7 3 10" xfId="55191" xr:uid="{00000000-0005-0000-0000-0000CE8C0000}"/>
    <cellStyle name="40% - Accent5 4 7 3 2" xfId="10495" xr:uid="{00000000-0005-0000-0000-0000CF8C0000}"/>
    <cellStyle name="40% - Accent5 4 7 3 3" xfId="15971" xr:uid="{00000000-0005-0000-0000-0000D08C0000}"/>
    <cellStyle name="40% - Accent5 4 7 3 4" xfId="21447" xr:uid="{00000000-0005-0000-0000-0000D18C0000}"/>
    <cellStyle name="40% - Accent5 4 7 3 5" xfId="26923" xr:uid="{00000000-0005-0000-0000-0000D28C0000}"/>
    <cellStyle name="40% - Accent5 4 7 3 6" xfId="32200" xr:uid="{00000000-0005-0000-0000-0000D38C0000}"/>
    <cellStyle name="40% - Accent5 4 7 3 7" xfId="38719" xr:uid="{00000000-0005-0000-0000-0000D48C0000}"/>
    <cellStyle name="40% - Accent5 4 7 3 8" xfId="44196" xr:uid="{00000000-0005-0000-0000-0000D58C0000}"/>
    <cellStyle name="40% - Accent5 4 7 3 9" xfId="49673" xr:uid="{00000000-0005-0000-0000-0000D68C0000}"/>
    <cellStyle name="40% - Accent5 4 7 4" xfId="6731" xr:uid="{00000000-0005-0000-0000-0000D78C0000}"/>
    <cellStyle name="40% - Accent5 4 7 5" xfId="12211" xr:uid="{00000000-0005-0000-0000-0000D88C0000}"/>
    <cellStyle name="40% - Accent5 4 7 6" xfId="17687" xr:uid="{00000000-0005-0000-0000-0000D98C0000}"/>
    <cellStyle name="40% - Accent5 4 7 7" xfId="23163" xr:uid="{00000000-0005-0000-0000-0000DA8C0000}"/>
    <cellStyle name="40% - Accent5 4 7 8" xfId="32197" xr:uid="{00000000-0005-0000-0000-0000DB8C0000}"/>
    <cellStyle name="40% - Accent5 4 7 9" xfId="34958" xr:uid="{00000000-0005-0000-0000-0000DC8C0000}"/>
    <cellStyle name="40% - Accent5 4 8" xfId="1654" xr:uid="{00000000-0005-0000-0000-0000DD8C0000}"/>
    <cellStyle name="40% - Accent5 4 8 10" xfId="40436" xr:uid="{00000000-0005-0000-0000-0000DE8C0000}"/>
    <cellStyle name="40% - Accent5 4 8 11" xfId="45913" xr:uid="{00000000-0005-0000-0000-0000DF8C0000}"/>
    <cellStyle name="40% - Accent5 4 8 12" xfId="51391" xr:uid="{00000000-0005-0000-0000-0000E08C0000}"/>
    <cellStyle name="40% - Accent5 4 8 2" xfId="3415" xr:uid="{00000000-0005-0000-0000-0000E18C0000}"/>
    <cellStyle name="40% - Accent5 4 8 2 10" xfId="53591" xr:uid="{00000000-0005-0000-0000-0000E28C0000}"/>
    <cellStyle name="40% - Accent5 4 8 2 2" xfId="8895" xr:uid="{00000000-0005-0000-0000-0000E38C0000}"/>
    <cellStyle name="40% - Accent5 4 8 2 3" xfId="14371" xr:uid="{00000000-0005-0000-0000-0000E48C0000}"/>
    <cellStyle name="40% - Accent5 4 8 2 4" xfId="19847" xr:uid="{00000000-0005-0000-0000-0000E58C0000}"/>
    <cellStyle name="40% - Accent5 4 8 2 5" xfId="25323" xr:uid="{00000000-0005-0000-0000-0000E68C0000}"/>
    <cellStyle name="40% - Accent5 4 8 2 6" xfId="32202" xr:uid="{00000000-0005-0000-0000-0000E78C0000}"/>
    <cellStyle name="40% - Accent5 4 8 2 7" xfId="37119" xr:uid="{00000000-0005-0000-0000-0000E88C0000}"/>
    <cellStyle name="40% - Accent5 4 8 2 8" xfId="42596" xr:uid="{00000000-0005-0000-0000-0000E98C0000}"/>
    <cellStyle name="40% - Accent5 4 8 2 9" xfId="48073" xr:uid="{00000000-0005-0000-0000-0000EA8C0000}"/>
    <cellStyle name="40% - Accent5 4 8 3" xfId="5187" xr:uid="{00000000-0005-0000-0000-0000EB8C0000}"/>
    <cellStyle name="40% - Accent5 4 8 3 2" xfId="10667" xr:uid="{00000000-0005-0000-0000-0000EC8C0000}"/>
    <cellStyle name="40% - Accent5 4 8 3 3" xfId="16143" xr:uid="{00000000-0005-0000-0000-0000ED8C0000}"/>
    <cellStyle name="40% - Accent5 4 8 3 4" xfId="21619" xr:uid="{00000000-0005-0000-0000-0000EE8C0000}"/>
    <cellStyle name="40% - Accent5 4 8 3 5" xfId="27095" xr:uid="{00000000-0005-0000-0000-0000EF8C0000}"/>
    <cellStyle name="40% - Accent5 4 8 3 6" xfId="38891" xr:uid="{00000000-0005-0000-0000-0000F08C0000}"/>
    <cellStyle name="40% - Accent5 4 8 3 7" xfId="44368" xr:uid="{00000000-0005-0000-0000-0000F18C0000}"/>
    <cellStyle name="40% - Accent5 4 8 3 8" xfId="49845" xr:uid="{00000000-0005-0000-0000-0000F28C0000}"/>
    <cellStyle name="40% - Accent5 4 8 3 9" xfId="55363" xr:uid="{00000000-0005-0000-0000-0000F38C0000}"/>
    <cellStyle name="40% - Accent5 4 8 4" xfId="6732" xr:uid="{00000000-0005-0000-0000-0000F48C0000}"/>
    <cellStyle name="40% - Accent5 4 8 5" xfId="12212" xr:uid="{00000000-0005-0000-0000-0000F58C0000}"/>
    <cellStyle name="40% - Accent5 4 8 6" xfId="17688" xr:uid="{00000000-0005-0000-0000-0000F68C0000}"/>
    <cellStyle name="40% - Accent5 4 8 7" xfId="23164" xr:uid="{00000000-0005-0000-0000-0000F78C0000}"/>
    <cellStyle name="40% - Accent5 4 8 8" xfId="32201" xr:uid="{00000000-0005-0000-0000-0000F88C0000}"/>
    <cellStyle name="40% - Accent5 4 8 9" xfId="34959" xr:uid="{00000000-0005-0000-0000-0000F98C0000}"/>
    <cellStyle name="40% - Accent5 4 9" xfId="1849" xr:uid="{00000000-0005-0000-0000-0000FA8C0000}"/>
    <cellStyle name="40% - Accent5 4 9 10" xfId="40437" xr:uid="{00000000-0005-0000-0000-0000FB8C0000}"/>
    <cellStyle name="40% - Accent5 4 9 11" xfId="45914" xr:uid="{00000000-0005-0000-0000-0000FC8C0000}"/>
    <cellStyle name="40% - Accent5 4 9 12" xfId="51392" xr:uid="{00000000-0005-0000-0000-0000FD8C0000}"/>
    <cellStyle name="40% - Accent5 4 9 2" xfId="3610" xr:uid="{00000000-0005-0000-0000-0000FE8C0000}"/>
    <cellStyle name="40% - Accent5 4 9 2 2" xfId="9090" xr:uid="{00000000-0005-0000-0000-0000FF8C0000}"/>
    <cellStyle name="40% - Accent5 4 9 2 3" xfId="14566" xr:uid="{00000000-0005-0000-0000-0000008D0000}"/>
    <cellStyle name="40% - Accent5 4 9 2 4" xfId="20042" xr:uid="{00000000-0005-0000-0000-0000018D0000}"/>
    <cellStyle name="40% - Accent5 4 9 2 5" xfId="25518" xr:uid="{00000000-0005-0000-0000-0000028D0000}"/>
    <cellStyle name="40% - Accent5 4 9 2 6" xfId="37314" xr:uid="{00000000-0005-0000-0000-0000038D0000}"/>
    <cellStyle name="40% - Accent5 4 9 2 7" xfId="42791" xr:uid="{00000000-0005-0000-0000-0000048D0000}"/>
    <cellStyle name="40% - Accent5 4 9 2 8" xfId="48268" xr:uid="{00000000-0005-0000-0000-0000058D0000}"/>
    <cellStyle name="40% - Accent5 4 9 2 9" xfId="53786" xr:uid="{00000000-0005-0000-0000-0000068D0000}"/>
    <cellStyle name="40% - Accent5 4 9 3" xfId="5382" xr:uid="{00000000-0005-0000-0000-0000078D0000}"/>
    <cellStyle name="40% - Accent5 4 9 3 2" xfId="10862" xr:uid="{00000000-0005-0000-0000-0000088D0000}"/>
    <cellStyle name="40% - Accent5 4 9 3 3" xfId="16338" xr:uid="{00000000-0005-0000-0000-0000098D0000}"/>
    <cellStyle name="40% - Accent5 4 9 3 4" xfId="21814" xr:uid="{00000000-0005-0000-0000-00000A8D0000}"/>
    <cellStyle name="40% - Accent5 4 9 3 5" xfId="27290" xr:uid="{00000000-0005-0000-0000-00000B8D0000}"/>
    <cellStyle name="40% - Accent5 4 9 3 6" xfId="39086" xr:uid="{00000000-0005-0000-0000-00000C8D0000}"/>
    <cellStyle name="40% - Accent5 4 9 3 7" xfId="44563" xr:uid="{00000000-0005-0000-0000-00000D8D0000}"/>
    <cellStyle name="40% - Accent5 4 9 3 8" xfId="50040" xr:uid="{00000000-0005-0000-0000-00000E8D0000}"/>
    <cellStyle name="40% - Accent5 4 9 3 9" xfId="55558" xr:uid="{00000000-0005-0000-0000-00000F8D0000}"/>
    <cellStyle name="40% - Accent5 4 9 4" xfId="6733" xr:uid="{00000000-0005-0000-0000-0000108D0000}"/>
    <cellStyle name="40% - Accent5 4 9 5" xfId="12213" xr:uid="{00000000-0005-0000-0000-0000118D0000}"/>
    <cellStyle name="40% - Accent5 4 9 6" xfId="17689" xr:uid="{00000000-0005-0000-0000-0000128D0000}"/>
    <cellStyle name="40% - Accent5 4 9 7" xfId="23165" xr:uid="{00000000-0005-0000-0000-0000138D0000}"/>
    <cellStyle name="40% - Accent5 4 9 8" xfId="32203" xr:uid="{00000000-0005-0000-0000-0000148D0000}"/>
    <cellStyle name="40% - Accent5 4 9 9" xfId="34960" xr:uid="{00000000-0005-0000-0000-0000158D0000}"/>
    <cellStyle name="40% - Accent5 5" xfId="3679" xr:uid="{00000000-0005-0000-0000-0000168D0000}"/>
    <cellStyle name="40% - Accent5 5 10" xfId="32204" xr:uid="{00000000-0005-0000-0000-0000178D0000}"/>
    <cellStyle name="40% - Accent5 5 11" xfId="37383" xr:uid="{00000000-0005-0000-0000-0000188D0000}"/>
    <cellStyle name="40% - Accent5 5 12" xfId="42860" xr:uid="{00000000-0005-0000-0000-0000198D0000}"/>
    <cellStyle name="40% - Accent5 5 13" xfId="48337" xr:uid="{00000000-0005-0000-0000-00001A8D0000}"/>
    <cellStyle name="40% - Accent5 5 14" xfId="52042" xr:uid="{00000000-0005-0000-0000-00001B8D0000}"/>
    <cellStyle name="40% - Accent5 5 2" xfId="9159" xr:uid="{00000000-0005-0000-0000-00001C8D0000}"/>
    <cellStyle name="40% - Accent5 5 2 2" xfId="32206" xr:uid="{00000000-0005-0000-0000-00001D8D0000}"/>
    <cellStyle name="40% - Accent5 5 2 2 2" xfId="32207" xr:uid="{00000000-0005-0000-0000-00001E8D0000}"/>
    <cellStyle name="40% - Accent5 5 2 3" xfId="32208" xr:uid="{00000000-0005-0000-0000-00001F8D0000}"/>
    <cellStyle name="40% - Accent5 5 2 4" xfId="32205" xr:uid="{00000000-0005-0000-0000-0000208D0000}"/>
    <cellStyle name="40% - Accent5 5 2 5" xfId="53855" xr:uid="{00000000-0005-0000-0000-0000218D0000}"/>
    <cellStyle name="40% - Accent5 5 3" xfId="14635" xr:uid="{00000000-0005-0000-0000-0000228D0000}"/>
    <cellStyle name="40% - Accent5 5 3 2" xfId="32210" xr:uid="{00000000-0005-0000-0000-0000238D0000}"/>
    <cellStyle name="40% - Accent5 5 3 2 2" xfId="32211" xr:uid="{00000000-0005-0000-0000-0000248D0000}"/>
    <cellStyle name="40% - Accent5 5 3 3" xfId="32212" xr:uid="{00000000-0005-0000-0000-0000258D0000}"/>
    <cellStyle name="40% - Accent5 5 3 4" xfId="32209" xr:uid="{00000000-0005-0000-0000-0000268D0000}"/>
    <cellStyle name="40% - Accent5 5 4" xfId="20111" xr:uid="{00000000-0005-0000-0000-0000278D0000}"/>
    <cellStyle name="40% - Accent5 5 4 2" xfId="32214" xr:uid="{00000000-0005-0000-0000-0000288D0000}"/>
    <cellStyle name="40% - Accent5 5 4 2 2" xfId="32215" xr:uid="{00000000-0005-0000-0000-0000298D0000}"/>
    <cellStyle name="40% - Accent5 5 4 3" xfId="32216" xr:uid="{00000000-0005-0000-0000-00002A8D0000}"/>
    <cellStyle name="40% - Accent5 5 4 4" xfId="32213" xr:uid="{00000000-0005-0000-0000-00002B8D0000}"/>
    <cellStyle name="40% - Accent5 5 5" xfId="25587" xr:uid="{00000000-0005-0000-0000-00002C8D0000}"/>
    <cellStyle name="40% - Accent5 5 5 2" xfId="32218" xr:uid="{00000000-0005-0000-0000-00002D8D0000}"/>
    <cellStyle name="40% - Accent5 5 5 2 2" xfId="32219" xr:uid="{00000000-0005-0000-0000-00002E8D0000}"/>
    <cellStyle name="40% - Accent5 5 5 3" xfId="32220" xr:uid="{00000000-0005-0000-0000-00002F8D0000}"/>
    <cellStyle name="40% - Accent5 5 5 4" xfId="32217" xr:uid="{00000000-0005-0000-0000-0000308D0000}"/>
    <cellStyle name="40% - Accent5 5 6" xfId="32221" xr:uid="{00000000-0005-0000-0000-0000318D0000}"/>
    <cellStyle name="40% - Accent5 5 6 2" xfId="32222" xr:uid="{00000000-0005-0000-0000-0000328D0000}"/>
    <cellStyle name="40% - Accent5 5 6 2 2" xfId="32223" xr:uid="{00000000-0005-0000-0000-0000338D0000}"/>
    <cellStyle name="40% - Accent5 5 6 3" xfId="32224" xr:uid="{00000000-0005-0000-0000-0000348D0000}"/>
    <cellStyle name="40% - Accent5 5 7" xfId="32225" xr:uid="{00000000-0005-0000-0000-0000358D0000}"/>
    <cellStyle name="40% - Accent5 5 7 2" xfId="32226" xr:uid="{00000000-0005-0000-0000-0000368D0000}"/>
    <cellStyle name="40% - Accent5 5 7 2 2" xfId="32227" xr:uid="{00000000-0005-0000-0000-0000378D0000}"/>
    <cellStyle name="40% - Accent5 5 7 3" xfId="32228" xr:uid="{00000000-0005-0000-0000-0000388D0000}"/>
    <cellStyle name="40% - Accent5 5 8" xfId="32229" xr:uid="{00000000-0005-0000-0000-0000398D0000}"/>
    <cellStyle name="40% - Accent5 5 8 2" xfId="32230" xr:uid="{00000000-0005-0000-0000-00003A8D0000}"/>
    <cellStyle name="40% - Accent5 5 9" xfId="32231" xr:uid="{00000000-0005-0000-0000-00003B8D0000}"/>
    <cellStyle name="40% - Accent5 6" xfId="7384" xr:uid="{00000000-0005-0000-0000-00003C8D0000}"/>
    <cellStyle name="40% - Accent5 6 10" xfId="32232" xr:uid="{00000000-0005-0000-0000-00003D8D0000}"/>
    <cellStyle name="40% - Accent5 6 2" xfId="32233" xr:uid="{00000000-0005-0000-0000-00003E8D0000}"/>
    <cellStyle name="40% - Accent5 6 2 2" xfId="32234" xr:uid="{00000000-0005-0000-0000-00003F8D0000}"/>
    <cellStyle name="40% - Accent5 6 2 2 2" xfId="32235" xr:uid="{00000000-0005-0000-0000-0000408D0000}"/>
    <cellStyle name="40% - Accent5 6 2 3" xfId="32236" xr:uid="{00000000-0005-0000-0000-0000418D0000}"/>
    <cellStyle name="40% - Accent5 6 3" xfId="32237" xr:uid="{00000000-0005-0000-0000-0000428D0000}"/>
    <cellStyle name="40% - Accent5 6 3 2" xfId="32238" xr:uid="{00000000-0005-0000-0000-0000438D0000}"/>
    <cellStyle name="40% - Accent5 6 3 2 2" xfId="32239" xr:uid="{00000000-0005-0000-0000-0000448D0000}"/>
    <cellStyle name="40% - Accent5 6 3 3" xfId="32240" xr:uid="{00000000-0005-0000-0000-0000458D0000}"/>
    <cellStyle name="40% - Accent5 6 4" xfId="32241" xr:uid="{00000000-0005-0000-0000-0000468D0000}"/>
    <cellStyle name="40% - Accent5 6 4 2" xfId="32242" xr:uid="{00000000-0005-0000-0000-0000478D0000}"/>
    <cellStyle name="40% - Accent5 6 4 2 2" xfId="32243" xr:uid="{00000000-0005-0000-0000-0000488D0000}"/>
    <cellStyle name="40% - Accent5 6 4 3" xfId="32244" xr:uid="{00000000-0005-0000-0000-0000498D0000}"/>
    <cellStyle name="40% - Accent5 6 5" xfId="32245" xr:uid="{00000000-0005-0000-0000-00004A8D0000}"/>
    <cellStyle name="40% - Accent5 6 5 2" xfId="32246" xr:uid="{00000000-0005-0000-0000-00004B8D0000}"/>
    <cellStyle name="40% - Accent5 6 5 2 2" xfId="32247" xr:uid="{00000000-0005-0000-0000-00004C8D0000}"/>
    <cellStyle name="40% - Accent5 6 5 3" xfId="32248" xr:uid="{00000000-0005-0000-0000-00004D8D0000}"/>
    <cellStyle name="40% - Accent5 6 6" xfId="32249" xr:uid="{00000000-0005-0000-0000-00004E8D0000}"/>
    <cellStyle name="40% - Accent5 6 6 2" xfId="32250" xr:uid="{00000000-0005-0000-0000-00004F8D0000}"/>
    <cellStyle name="40% - Accent5 6 6 2 2" xfId="32251" xr:uid="{00000000-0005-0000-0000-0000508D0000}"/>
    <cellStyle name="40% - Accent5 6 6 3" xfId="32252" xr:uid="{00000000-0005-0000-0000-0000518D0000}"/>
    <cellStyle name="40% - Accent5 6 7" xfId="32253" xr:uid="{00000000-0005-0000-0000-0000528D0000}"/>
    <cellStyle name="40% - Accent5 6 7 2" xfId="32254" xr:uid="{00000000-0005-0000-0000-0000538D0000}"/>
    <cellStyle name="40% - Accent5 6 7 2 2" xfId="32255" xr:uid="{00000000-0005-0000-0000-0000548D0000}"/>
    <cellStyle name="40% - Accent5 6 7 3" xfId="32256" xr:uid="{00000000-0005-0000-0000-0000558D0000}"/>
    <cellStyle name="40% - Accent5 6 8" xfId="32257" xr:uid="{00000000-0005-0000-0000-0000568D0000}"/>
    <cellStyle name="40% - Accent5 6 8 2" xfId="32258" xr:uid="{00000000-0005-0000-0000-0000578D0000}"/>
    <cellStyle name="40% - Accent5 6 9" xfId="32259" xr:uid="{00000000-0005-0000-0000-0000588D0000}"/>
    <cellStyle name="40% - Accent5 7" xfId="12861" xr:uid="{00000000-0005-0000-0000-0000598D0000}"/>
    <cellStyle name="40% - Accent5 7 10" xfId="32260" xr:uid="{00000000-0005-0000-0000-00005A8D0000}"/>
    <cellStyle name="40% - Accent5 7 2" xfId="32261" xr:uid="{00000000-0005-0000-0000-00005B8D0000}"/>
    <cellStyle name="40% - Accent5 7 2 2" xfId="32262" xr:uid="{00000000-0005-0000-0000-00005C8D0000}"/>
    <cellStyle name="40% - Accent5 7 2 2 2" xfId="32263" xr:uid="{00000000-0005-0000-0000-00005D8D0000}"/>
    <cellStyle name="40% - Accent5 7 2 3" xfId="32264" xr:uid="{00000000-0005-0000-0000-00005E8D0000}"/>
    <cellStyle name="40% - Accent5 7 3" xfId="32265" xr:uid="{00000000-0005-0000-0000-00005F8D0000}"/>
    <cellStyle name="40% - Accent5 7 3 2" xfId="32266" xr:uid="{00000000-0005-0000-0000-0000608D0000}"/>
    <cellStyle name="40% - Accent5 7 3 2 2" xfId="32267" xr:uid="{00000000-0005-0000-0000-0000618D0000}"/>
    <cellStyle name="40% - Accent5 7 3 3" xfId="32268" xr:uid="{00000000-0005-0000-0000-0000628D0000}"/>
    <cellStyle name="40% - Accent5 7 4" xfId="32269" xr:uid="{00000000-0005-0000-0000-0000638D0000}"/>
    <cellStyle name="40% - Accent5 7 4 2" xfId="32270" xr:uid="{00000000-0005-0000-0000-0000648D0000}"/>
    <cellStyle name="40% - Accent5 7 4 2 2" xfId="32271" xr:uid="{00000000-0005-0000-0000-0000658D0000}"/>
    <cellStyle name="40% - Accent5 7 4 3" xfId="32272" xr:uid="{00000000-0005-0000-0000-0000668D0000}"/>
    <cellStyle name="40% - Accent5 7 5" xfId="32273" xr:uid="{00000000-0005-0000-0000-0000678D0000}"/>
    <cellStyle name="40% - Accent5 7 5 2" xfId="32274" xr:uid="{00000000-0005-0000-0000-0000688D0000}"/>
    <cellStyle name="40% - Accent5 7 5 2 2" xfId="32275" xr:uid="{00000000-0005-0000-0000-0000698D0000}"/>
    <cellStyle name="40% - Accent5 7 5 3" xfId="32276" xr:uid="{00000000-0005-0000-0000-00006A8D0000}"/>
    <cellStyle name="40% - Accent5 7 6" xfId="32277" xr:uid="{00000000-0005-0000-0000-00006B8D0000}"/>
    <cellStyle name="40% - Accent5 7 6 2" xfId="32278" xr:uid="{00000000-0005-0000-0000-00006C8D0000}"/>
    <cellStyle name="40% - Accent5 7 6 2 2" xfId="32279" xr:uid="{00000000-0005-0000-0000-00006D8D0000}"/>
    <cellStyle name="40% - Accent5 7 6 3" xfId="32280" xr:uid="{00000000-0005-0000-0000-00006E8D0000}"/>
    <cellStyle name="40% - Accent5 7 7" xfId="32281" xr:uid="{00000000-0005-0000-0000-00006F8D0000}"/>
    <cellStyle name="40% - Accent5 7 7 2" xfId="32282" xr:uid="{00000000-0005-0000-0000-0000708D0000}"/>
    <cellStyle name="40% - Accent5 7 7 2 2" xfId="32283" xr:uid="{00000000-0005-0000-0000-0000718D0000}"/>
    <cellStyle name="40% - Accent5 7 7 3" xfId="32284" xr:uid="{00000000-0005-0000-0000-0000728D0000}"/>
    <cellStyle name="40% - Accent5 7 8" xfId="32285" xr:uid="{00000000-0005-0000-0000-0000738D0000}"/>
    <cellStyle name="40% - Accent5 7 8 2" xfId="32286" xr:uid="{00000000-0005-0000-0000-0000748D0000}"/>
    <cellStyle name="40% - Accent5 7 9" xfId="32287" xr:uid="{00000000-0005-0000-0000-0000758D0000}"/>
    <cellStyle name="40% - Accent5 8" xfId="18337" xr:uid="{00000000-0005-0000-0000-0000768D0000}"/>
    <cellStyle name="40% - Accent5 8 2" xfId="32289" xr:uid="{00000000-0005-0000-0000-0000778D0000}"/>
    <cellStyle name="40% - Accent5 8 2 2" xfId="32290" xr:uid="{00000000-0005-0000-0000-0000788D0000}"/>
    <cellStyle name="40% - Accent5 8 3" xfId="32291" xr:uid="{00000000-0005-0000-0000-0000798D0000}"/>
    <cellStyle name="40% - Accent5 8 4" xfId="32288" xr:uid="{00000000-0005-0000-0000-00007A8D0000}"/>
    <cellStyle name="40% - Accent5 9" xfId="23813" xr:uid="{00000000-0005-0000-0000-00007B8D0000}"/>
    <cellStyle name="40% - Accent5 9 10" xfId="32292" xr:uid="{00000000-0005-0000-0000-00007C8D0000}"/>
    <cellStyle name="40% - Accent5 9 2" xfId="32293" xr:uid="{00000000-0005-0000-0000-00007D8D0000}"/>
    <cellStyle name="40% - Accent5 9 2 2" xfId="32294" xr:uid="{00000000-0005-0000-0000-00007E8D0000}"/>
    <cellStyle name="40% - Accent5 9 2 2 2" xfId="32295" xr:uid="{00000000-0005-0000-0000-00007F8D0000}"/>
    <cellStyle name="40% - Accent5 9 2 3" xfId="32296" xr:uid="{00000000-0005-0000-0000-0000808D0000}"/>
    <cellStyle name="40% - Accent5 9 3" xfId="32297" xr:uid="{00000000-0005-0000-0000-0000818D0000}"/>
    <cellStyle name="40% - Accent5 9 3 2" xfId="32298" xr:uid="{00000000-0005-0000-0000-0000828D0000}"/>
    <cellStyle name="40% - Accent5 9 3 2 2" xfId="32299" xr:uid="{00000000-0005-0000-0000-0000838D0000}"/>
    <cellStyle name="40% - Accent5 9 3 3" xfId="32300" xr:uid="{00000000-0005-0000-0000-0000848D0000}"/>
    <cellStyle name="40% - Accent5 9 4" xfId="32301" xr:uid="{00000000-0005-0000-0000-0000858D0000}"/>
    <cellStyle name="40% - Accent5 9 4 2" xfId="32302" xr:uid="{00000000-0005-0000-0000-0000868D0000}"/>
    <cellStyle name="40% - Accent5 9 4 2 2" xfId="32303" xr:uid="{00000000-0005-0000-0000-0000878D0000}"/>
    <cellStyle name="40% - Accent5 9 4 3" xfId="32304" xr:uid="{00000000-0005-0000-0000-0000888D0000}"/>
    <cellStyle name="40% - Accent5 9 5" xfId="32305" xr:uid="{00000000-0005-0000-0000-0000898D0000}"/>
    <cellStyle name="40% - Accent5 9 5 2" xfId="32306" xr:uid="{00000000-0005-0000-0000-00008A8D0000}"/>
    <cellStyle name="40% - Accent5 9 5 2 2" xfId="32307" xr:uid="{00000000-0005-0000-0000-00008B8D0000}"/>
    <cellStyle name="40% - Accent5 9 5 3" xfId="32308" xr:uid="{00000000-0005-0000-0000-00008C8D0000}"/>
    <cellStyle name="40% - Accent5 9 6" xfId="32309" xr:uid="{00000000-0005-0000-0000-00008D8D0000}"/>
    <cellStyle name="40% - Accent5 9 6 2" xfId="32310" xr:uid="{00000000-0005-0000-0000-00008E8D0000}"/>
    <cellStyle name="40% - Accent5 9 6 2 2" xfId="32311" xr:uid="{00000000-0005-0000-0000-00008F8D0000}"/>
    <cellStyle name="40% - Accent5 9 6 3" xfId="32312" xr:uid="{00000000-0005-0000-0000-0000908D0000}"/>
    <cellStyle name="40% - Accent5 9 7" xfId="32313" xr:uid="{00000000-0005-0000-0000-0000918D0000}"/>
    <cellStyle name="40% - Accent5 9 7 2" xfId="32314" xr:uid="{00000000-0005-0000-0000-0000928D0000}"/>
    <cellStyle name="40% - Accent5 9 7 2 2" xfId="32315" xr:uid="{00000000-0005-0000-0000-0000938D0000}"/>
    <cellStyle name="40% - Accent5 9 7 3" xfId="32316" xr:uid="{00000000-0005-0000-0000-0000948D0000}"/>
    <cellStyle name="40% - Accent5 9 8" xfId="32317" xr:uid="{00000000-0005-0000-0000-0000958D0000}"/>
    <cellStyle name="40% - Accent5 9 8 2" xfId="32318" xr:uid="{00000000-0005-0000-0000-0000968D0000}"/>
    <cellStyle name="40% - Accent5 9 9" xfId="32319" xr:uid="{00000000-0005-0000-0000-0000978D0000}"/>
    <cellStyle name="40% - Accent6" xfId="78" builtinId="51" customBuiltin="1"/>
    <cellStyle name="40% - Accent6 10" xfId="32320" xr:uid="{00000000-0005-0000-0000-0000998D0000}"/>
    <cellStyle name="40% - Accent6 10 2" xfId="32321" xr:uid="{00000000-0005-0000-0000-00009A8D0000}"/>
    <cellStyle name="40% - Accent6 10 2 2" xfId="32322" xr:uid="{00000000-0005-0000-0000-00009B8D0000}"/>
    <cellStyle name="40% - Accent6 10 2 2 2" xfId="32323" xr:uid="{00000000-0005-0000-0000-00009C8D0000}"/>
    <cellStyle name="40% - Accent6 10 2 3" xfId="32324" xr:uid="{00000000-0005-0000-0000-00009D8D0000}"/>
    <cellStyle name="40% - Accent6 10 3" xfId="32325" xr:uid="{00000000-0005-0000-0000-00009E8D0000}"/>
    <cellStyle name="40% - Accent6 10 3 2" xfId="32326" xr:uid="{00000000-0005-0000-0000-00009F8D0000}"/>
    <cellStyle name="40% - Accent6 10 3 2 2" xfId="32327" xr:uid="{00000000-0005-0000-0000-0000A08D0000}"/>
    <cellStyle name="40% - Accent6 10 3 3" xfId="32328" xr:uid="{00000000-0005-0000-0000-0000A18D0000}"/>
    <cellStyle name="40% - Accent6 10 4" xfId="32329" xr:uid="{00000000-0005-0000-0000-0000A28D0000}"/>
    <cellStyle name="40% - Accent6 10 4 2" xfId="32330" xr:uid="{00000000-0005-0000-0000-0000A38D0000}"/>
    <cellStyle name="40% - Accent6 10 5" xfId="32331" xr:uid="{00000000-0005-0000-0000-0000A48D0000}"/>
    <cellStyle name="40% - Accent6 11" xfId="32332" xr:uid="{00000000-0005-0000-0000-0000A58D0000}"/>
    <cellStyle name="40% - Accent6 11 2" xfId="32333" xr:uid="{00000000-0005-0000-0000-0000A68D0000}"/>
    <cellStyle name="40% - Accent6 11 2 2" xfId="32334" xr:uid="{00000000-0005-0000-0000-0000A78D0000}"/>
    <cellStyle name="40% - Accent6 11 3" xfId="32335" xr:uid="{00000000-0005-0000-0000-0000A88D0000}"/>
    <cellStyle name="40% - Accent6 12" xfId="32336" xr:uid="{00000000-0005-0000-0000-0000A98D0000}"/>
    <cellStyle name="40% - Accent6 12 2" xfId="32337" xr:uid="{00000000-0005-0000-0000-0000AA8D0000}"/>
    <cellStyle name="40% - Accent6 12 2 2" xfId="32338" xr:uid="{00000000-0005-0000-0000-0000AB8D0000}"/>
    <cellStyle name="40% - Accent6 12 3" xfId="32339" xr:uid="{00000000-0005-0000-0000-0000AC8D0000}"/>
    <cellStyle name="40% - Accent6 13" xfId="32340" xr:uid="{00000000-0005-0000-0000-0000AD8D0000}"/>
    <cellStyle name="40% - Accent6 13 2" xfId="32341" xr:uid="{00000000-0005-0000-0000-0000AE8D0000}"/>
    <cellStyle name="40% - Accent6 13 2 2" xfId="32342" xr:uid="{00000000-0005-0000-0000-0000AF8D0000}"/>
    <cellStyle name="40% - Accent6 13 3" xfId="32343" xr:uid="{00000000-0005-0000-0000-0000B08D0000}"/>
    <cellStyle name="40% - Accent6 14" xfId="32344" xr:uid="{00000000-0005-0000-0000-0000B18D0000}"/>
    <cellStyle name="40% - Accent6 14 2" xfId="32345" xr:uid="{00000000-0005-0000-0000-0000B28D0000}"/>
    <cellStyle name="40% - Accent6 14 2 2" xfId="32346" xr:uid="{00000000-0005-0000-0000-0000B38D0000}"/>
    <cellStyle name="40% - Accent6 14 3" xfId="32347" xr:uid="{00000000-0005-0000-0000-0000B48D0000}"/>
    <cellStyle name="40% - Accent6 15" xfId="32348" xr:uid="{00000000-0005-0000-0000-0000B58D0000}"/>
    <cellStyle name="40% - Accent6 15 2" xfId="32349" xr:uid="{00000000-0005-0000-0000-0000B68D0000}"/>
    <cellStyle name="40% - Accent6 15 2 2" xfId="32350" xr:uid="{00000000-0005-0000-0000-0000B78D0000}"/>
    <cellStyle name="40% - Accent6 15 3" xfId="32351" xr:uid="{00000000-0005-0000-0000-0000B88D0000}"/>
    <cellStyle name="40% - Accent6 16" xfId="32352" xr:uid="{00000000-0005-0000-0000-0000B98D0000}"/>
    <cellStyle name="40% - Accent6 16 2" xfId="32353" xr:uid="{00000000-0005-0000-0000-0000BA8D0000}"/>
    <cellStyle name="40% - Accent6 16 2 2" xfId="32354" xr:uid="{00000000-0005-0000-0000-0000BB8D0000}"/>
    <cellStyle name="40% - Accent6 16 2 2 2" xfId="32355" xr:uid="{00000000-0005-0000-0000-0000BC8D0000}"/>
    <cellStyle name="40% - Accent6 16 2 2 2 2" xfId="32356" xr:uid="{00000000-0005-0000-0000-0000BD8D0000}"/>
    <cellStyle name="40% - Accent6 16 2 2 2 2 2" xfId="32357" xr:uid="{00000000-0005-0000-0000-0000BE8D0000}"/>
    <cellStyle name="40% - Accent6 16 2 2 2 3" xfId="32358" xr:uid="{00000000-0005-0000-0000-0000BF8D0000}"/>
    <cellStyle name="40% - Accent6 16 2 2 3" xfId="32359" xr:uid="{00000000-0005-0000-0000-0000C08D0000}"/>
    <cellStyle name="40% - Accent6 16 2 2 3 2" xfId="32360" xr:uid="{00000000-0005-0000-0000-0000C18D0000}"/>
    <cellStyle name="40% - Accent6 16 2 2 3 2 2" xfId="32361" xr:uid="{00000000-0005-0000-0000-0000C28D0000}"/>
    <cellStyle name="40% - Accent6 16 2 2 3 3" xfId="32362" xr:uid="{00000000-0005-0000-0000-0000C38D0000}"/>
    <cellStyle name="40% - Accent6 16 2 2 4" xfId="32363" xr:uid="{00000000-0005-0000-0000-0000C48D0000}"/>
    <cellStyle name="40% - Accent6 16 2 2 4 2" xfId="32364" xr:uid="{00000000-0005-0000-0000-0000C58D0000}"/>
    <cellStyle name="40% - Accent6 16 2 2 5" xfId="32365" xr:uid="{00000000-0005-0000-0000-0000C68D0000}"/>
    <cellStyle name="40% - Accent6 16 2 3" xfId="32366" xr:uid="{00000000-0005-0000-0000-0000C78D0000}"/>
    <cellStyle name="40% - Accent6 16 2 3 2" xfId="32367" xr:uid="{00000000-0005-0000-0000-0000C88D0000}"/>
    <cellStyle name="40% - Accent6 16 2 3 2 2" xfId="32368" xr:uid="{00000000-0005-0000-0000-0000C98D0000}"/>
    <cellStyle name="40% - Accent6 16 2 3 2 2 2" xfId="32369" xr:uid="{00000000-0005-0000-0000-0000CA8D0000}"/>
    <cellStyle name="40% - Accent6 16 2 3 2 3" xfId="32370" xr:uid="{00000000-0005-0000-0000-0000CB8D0000}"/>
    <cellStyle name="40% - Accent6 16 2 3 3" xfId="32371" xr:uid="{00000000-0005-0000-0000-0000CC8D0000}"/>
    <cellStyle name="40% - Accent6 16 2 3 3 2" xfId="32372" xr:uid="{00000000-0005-0000-0000-0000CD8D0000}"/>
    <cellStyle name="40% - Accent6 16 2 3 3 2 2" xfId="32373" xr:uid="{00000000-0005-0000-0000-0000CE8D0000}"/>
    <cellStyle name="40% - Accent6 16 2 3 3 3" xfId="32374" xr:uid="{00000000-0005-0000-0000-0000CF8D0000}"/>
    <cellStyle name="40% - Accent6 16 2 3 4" xfId="32375" xr:uid="{00000000-0005-0000-0000-0000D08D0000}"/>
    <cellStyle name="40% - Accent6 16 2 3 4 2" xfId="32376" xr:uid="{00000000-0005-0000-0000-0000D18D0000}"/>
    <cellStyle name="40% - Accent6 16 2 3 5" xfId="32377" xr:uid="{00000000-0005-0000-0000-0000D28D0000}"/>
    <cellStyle name="40% - Accent6 16 2 4" xfId="32378" xr:uid="{00000000-0005-0000-0000-0000D38D0000}"/>
    <cellStyle name="40% - Accent6 16 2 4 2" xfId="32379" xr:uid="{00000000-0005-0000-0000-0000D48D0000}"/>
    <cellStyle name="40% - Accent6 16 2 4 2 2" xfId="32380" xr:uid="{00000000-0005-0000-0000-0000D58D0000}"/>
    <cellStyle name="40% - Accent6 16 2 4 2 2 2" xfId="32381" xr:uid="{00000000-0005-0000-0000-0000D68D0000}"/>
    <cellStyle name="40% - Accent6 16 2 4 2 3" xfId="32382" xr:uid="{00000000-0005-0000-0000-0000D78D0000}"/>
    <cellStyle name="40% - Accent6 16 2 4 3" xfId="32383" xr:uid="{00000000-0005-0000-0000-0000D88D0000}"/>
    <cellStyle name="40% - Accent6 16 2 4 3 2" xfId="32384" xr:uid="{00000000-0005-0000-0000-0000D98D0000}"/>
    <cellStyle name="40% - Accent6 16 2 4 3 2 2" xfId="32385" xr:uid="{00000000-0005-0000-0000-0000DA8D0000}"/>
    <cellStyle name="40% - Accent6 16 2 4 3 3" xfId="32386" xr:uid="{00000000-0005-0000-0000-0000DB8D0000}"/>
    <cellStyle name="40% - Accent6 16 2 4 4" xfId="32387" xr:uid="{00000000-0005-0000-0000-0000DC8D0000}"/>
    <cellStyle name="40% - Accent6 16 2 4 4 2" xfId="32388" xr:uid="{00000000-0005-0000-0000-0000DD8D0000}"/>
    <cellStyle name="40% - Accent6 16 2 4 5" xfId="32389" xr:uid="{00000000-0005-0000-0000-0000DE8D0000}"/>
    <cellStyle name="40% - Accent6 16 2 5" xfId="32390" xr:uid="{00000000-0005-0000-0000-0000DF8D0000}"/>
    <cellStyle name="40% - Accent6 16 2 5 2" xfId="32391" xr:uid="{00000000-0005-0000-0000-0000E08D0000}"/>
    <cellStyle name="40% - Accent6 16 2 5 2 2" xfId="32392" xr:uid="{00000000-0005-0000-0000-0000E18D0000}"/>
    <cellStyle name="40% - Accent6 16 2 5 2 2 2" xfId="32393" xr:uid="{00000000-0005-0000-0000-0000E28D0000}"/>
    <cellStyle name="40% - Accent6 16 2 5 2 3" xfId="32394" xr:uid="{00000000-0005-0000-0000-0000E38D0000}"/>
    <cellStyle name="40% - Accent6 16 2 5 3" xfId="32395" xr:uid="{00000000-0005-0000-0000-0000E48D0000}"/>
    <cellStyle name="40% - Accent6 16 2 5 3 2" xfId="32396" xr:uid="{00000000-0005-0000-0000-0000E58D0000}"/>
    <cellStyle name="40% - Accent6 16 2 5 4" xfId="32397" xr:uid="{00000000-0005-0000-0000-0000E68D0000}"/>
    <cellStyle name="40% - Accent6 16 2 6" xfId="32398" xr:uid="{00000000-0005-0000-0000-0000E78D0000}"/>
    <cellStyle name="40% - Accent6 16 2 6 2" xfId="32399" xr:uid="{00000000-0005-0000-0000-0000E88D0000}"/>
    <cellStyle name="40% - Accent6 16 2 6 2 2" xfId="32400" xr:uid="{00000000-0005-0000-0000-0000E98D0000}"/>
    <cellStyle name="40% - Accent6 16 2 6 3" xfId="32401" xr:uid="{00000000-0005-0000-0000-0000EA8D0000}"/>
    <cellStyle name="40% - Accent6 16 2 7" xfId="32402" xr:uid="{00000000-0005-0000-0000-0000EB8D0000}"/>
    <cellStyle name="40% - Accent6 16 2 7 2" xfId="32403" xr:uid="{00000000-0005-0000-0000-0000EC8D0000}"/>
    <cellStyle name="40% - Accent6 16 2 8" xfId="32404" xr:uid="{00000000-0005-0000-0000-0000ED8D0000}"/>
    <cellStyle name="40% - Accent6 16 3" xfId="32405" xr:uid="{00000000-0005-0000-0000-0000EE8D0000}"/>
    <cellStyle name="40% - Accent6 16 3 2" xfId="32406" xr:uid="{00000000-0005-0000-0000-0000EF8D0000}"/>
    <cellStyle name="40% - Accent6 16 3 2 2" xfId="32407" xr:uid="{00000000-0005-0000-0000-0000F08D0000}"/>
    <cellStyle name="40% - Accent6 16 3 2 2 2" xfId="32408" xr:uid="{00000000-0005-0000-0000-0000F18D0000}"/>
    <cellStyle name="40% - Accent6 16 3 2 3" xfId="32409" xr:uid="{00000000-0005-0000-0000-0000F28D0000}"/>
    <cellStyle name="40% - Accent6 16 3 3" xfId="32410" xr:uid="{00000000-0005-0000-0000-0000F38D0000}"/>
    <cellStyle name="40% - Accent6 16 3 3 2" xfId="32411" xr:uid="{00000000-0005-0000-0000-0000F48D0000}"/>
    <cellStyle name="40% - Accent6 16 3 3 2 2" xfId="32412" xr:uid="{00000000-0005-0000-0000-0000F58D0000}"/>
    <cellStyle name="40% - Accent6 16 3 3 3" xfId="32413" xr:uid="{00000000-0005-0000-0000-0000F68D0000}"/>
    <cellStyle name="40% - Accent6 16 3 4" xfId="32414" xr:uid="{00000000-0005-0000-0000-0000F78D0000}"/>
    <cellStyle name="40% - Accent6 16 3 4 2" xfId="32415" xr:uid="{00000000-0005-0000-0000-0000F88D0000}"/>
    <cellStyle name="40% - Accent6 16 3 4 2 2" xfId="32416" xr:uid="{00000000-0005-0000-0000-0000F98D0000}"/>
    <cellStyle name="40% - Accent6 16 3 4 3" xfId="32417" xr:uid="{00000000-0005-0000-0000-0000FA8D0000}"/>
    <cellStyle name="40% - Accent6 16 3 5" xfId="32418" xr:uid="{00000000-0005-0000-0000-0000FB8D0000}"/>
    <cellStyle name="40% - Accent6 16 3 5 2" xfId="32419" xr:uid="{00000000-0005-0000-0000-0000FC8D0000}"/>
    <cellStyle name="40% - Accent6 16 3 6" xfId="32420" xr:uid="{00000000-0005-0000-0000-0000FD8D0000}"/>
    <cellStyle name="40% - Accent6 16 4" xfId="32421" xr:uid="{00000000-0005-0000-0000-0000FE8D0000}"/>
    <cellStyle name="40% - Accent6 16 4 2" xfId="32422" xr:uid="{00000000-0005-0000-0000-0000FF8D0000}"/>
    <cellStyle name="40% - Accent6 16 4 2 2" xfId="32423" xr:uid="{00000000-0005-0000-0000-0000008E0000}"/>
    <cellStyle name="40% - Accent6 16 4 2 2 2" xfId="32424" xr:uid="{00000000-0005-0000-0000-0000018E0000}"/>
    <cellStyle name="40% - Accent6 16 4 2 3" xfId="32425" xr:uid="{00000000-0005-0000-0000-0000028E0000}"/>
    <cellStyle name="40% - Accent6 16 4 3" xfId="32426" xr:uid="{00000000-0005-0000-0000-0000038E0000}"/>
    <cellStyle name="40% - Accent6 16 4 3 2" xfId="32427" xr:uid="{00000000-0005-0000-0000-0000048E0000}"/>
    <cellStyle name="40% - Accent6 16 4 3 2 2" xfId="32428" xr:uid="{00000000-0005-0000-0000-0000058E0000}"/>
    <cellStyle name="40% - Accent6 16 4 3 3" xfId="32429" xr:uid="{00000000-0005-0000-0000-0000068E0000}"/>
    <cellStyle name="40% - Accent6 16 4 4" xfId="32430" xr:uid="{00000000-0005-0000-0000-0000078E0000}"/>
    <cellStyle name="40% - Accent6 16 4 4 2" xfId="32431" xr:uid="{00000000-0005-0000-0000-0000088E0000}"/>
    <cellStyle name="40% - Accent6 16 4 5" xfId="32432" xr:uid="{00000000-0005-0000-0000-0000098E0000}"/>
    <cellStyle name="40% - Accent6 16 5" xfId="32433" xr:uid="{00000000-0005-0000-0000-00000A8E0000}"/>
    <cellStyle name="40% - Accent6 16 5 2" xfId="32434" xr:uid="{00000000-0005-0000-0000-00000B8E0000}"/>
    <cellStyle name="40% - Accent6 16 5 2 2" xfId="32435" xr:uid="{00000000-0005-0000-0000-00000C8E0000}"/>
    <cellStyle name="40% - Accent6 16 5 2 2 2" xfId="32436" xr:uid="{00000000-0005-0000-0000-00000D8E0000}"/>
    <cellStyle name="40% - Accent6 16 5 2 3" xfId="32437" xr:uid="{00000000-0005-0000-0000-00000E8E0000}"/>
    <cellStyle name="40% - Accent6 16 5 3" xfId="32438" xr:uid="{00000000-0005-0000-0000-00000F8E0000}"/>
    <cellStyle name="40% - Accent6 16 5 3 2" xfId="32439" xr:uid="{00000000-0005-0000-0000-0000108E0000}"/>
    <cellStyle name="40% - Accent6 16 5 3 2 2" xfId="32440" xr:uid="{00000000-0005-0000-0000-0000118E0000}"/>
    <cellStyle name="40% - Accent6 16 5 3 3" xfId="32441" xr:uid="{00000000-0005-0000-0000-0000128E0000}"/>
    <cellStyle name="40% - Accent6 16 5 4" xfId="32442" xr:uid="{00000000-0005-0000-0000-0000138E0000}"/>
    <cellStyle name="40% - Accent6 16 5 4 2" xfId="32443" xr:uid="{00000000-0005-0000-0000-0000148E0000}"/>
    <cellStyle name="40% - Accent6 16 5 5" xfId="32444" xr:uid="{00000000-0005-0000-0000-0000158E0000}"/>
    <cellStyle name="40% - Accent6 16 6" xfId="32445" xr:uid="{00000000-0005-0000-0000-0000168E0000}"/>
    <cellStyle name="40% - Accent6 16 6 2" xfId="32446" xr:uid="{00000000-0005-0000-0000-0000178E0000}"/>
    <cellStyle name="40% - Accent6 16 6 2 2" xfId="32447" xr:uid="{00000000-0005-0000-0000-0000188E0000}"/>
    <cellStyle name="40% - Accent6 16 6 2 2 2" xfId="32448" xr:uid="{00000000-0005-0000-0000-0000198E0000}"/>
    <cellStyle name="40% - Accent6 16 6 2 3" xfId="32449" xr:uid="{00000000-0005-0000-0000-00001A8E0000}"/>
    <cellStyle name="40% - Accent6 16 6 3" xfId="32450" xr:uid="{00000000-0005-0000-0000-00001B8E0000}"/>
    <cellStyle name="40% - Accent6 16 6 3 2" xfId="32451" xr:uid="{00000000-0005-0000-0000-00001C8E0000}"/>
    <cellStyle name="40% - Accent6 16 6 4" xfId="32452" xr:uid="{00000000-0005-0000-0000-00001D8E0000}"/>
    <cellStyle name="40% - Accent6 16 7" xfId="32453" xr:uid="{00000000-0005-0000-0000-00001E8E0000}"/>
    <cellStyle name="40% - Accent6 16 7 2" xfId="32454" xr:uid="{00000000-0005-0000-0000-00001F8E0000}"/>
    <cellStyle name="40% - Accent6 16 7 2 2" xfId="32455" xr:uid="{00000000-0005-0000-0000-0000208E0000}"/>
    <cellStyle name="40% - Accent6 16 7 3" xfId="32456" xr:uid="{00000000-0005-0000-0000-0000218E0000}"/>
    <cellStyle name="40% - Accent6 16 8" xfId="32457" xr:uid="{00000000-0005-0000-0000-0000228E0000}"/>
    <cellStyle name="40% - Accent6 16 8 2" xfId="32458" xr:uid="{00000000-0005-0000-0000-0000238E0000}"/>
    <cellStyle name="40% - Accent6 16 9" xfId="32459" xr:uid="{00000000-0005-0000-0000-0000248E0000}"/>
    <cellStyle name="40% - Accent6 17" xfId="32460" xr:uid="{00000000-0005-0000-0000-0000258E0000}"/>
    <cellStyle name="40% - Accent6 17 2" xfId="32461" xr:uid="{00000000-0005-0000-0000-0000268E0000}"/>
    <cellStyle name="40% - Accent6 17 2 2" xfId="32462" xr:uid="{00000000-0005-0000-0000-0000278E0000}"/>
    <cellStyle name="40% - Accent6 17 2 2 2" xfId="32463" xr:uid="{00000000-0005-0000-0000-0000288E0000}"/>
    <cellStyle name="40% - Accent6 17 2 2 2 2" xfId="32464" xr:uid="{00000000-0005-0000-0000-0000298E0000}"/>
    <cellStyle name="40% - Accent6 17 2 2 3" xfId="32465" xr:uid="{00000000-0005-0000-0000-00002A8E0000}"/>
    <cellStyle name="40% - Accent6 17 2 3" xfId="32466" xr:uid="{00000000-0005-0000-0000-00002B8E0000}"/>
    <cellStyle name="40% - Accent6 17 2 3 2" xfId="32467" xr:uid="{00000000-0005-0000-0000-00002C8E0000}"/>
    <cellStyle name="40% - Accent6 17 2 3 2 2" xfId="32468" xr:uid="{00000000-0005-0000-0000-00002D8E0000}"/>
    <cellStyle name="40% - Accent6 17 2 3 3" xfId="32469" xr:uid="{00000000-0005-0000-0000-00002E8E0000}"/>
    <cellStyle name="40% - Accent6 17 2 4" xfId="32470" xr:uid="{00000000-0005-0000-0000-00002F8E0000}"/>
    <cellStyle name="40% - Accent6 17 2 4 2" xfId="32471" xr:uid="{00000000-0005-0000-0000-0000308E0000}"/>
    <cellStyle name="40% - Accent6 17 2 5" xfId="32472" xr:uid="{00000000-0005-0000-0000-0000318E0000}"/>
    <cellStyle name="40% - Accent6 17 3" xfId="32473" xr:uid="{00000000-0005-0000-0000-0000328E0000}"/>
    <cellStyle name="40% - Accent6 17 3 2" xfId="32474" xr:uid="{00000000-0005-0000-0000-0000338E0000}"/>
    <cellStyle name="40% - Accent6 17 3 2 2" xfId="32475" xr:uid="{00000000-0005-0000-0000-0000348E0000}"/>
    <cellStyle name="40% - Accent6 17 3 2 2 2" xfId="32476" xr:uid="{00000000-0005-0000-0000-0000358E0000}"/>
    <cellStyle name="40% - Accent6 17 3 2 3" xfId="32477" xr:uid="{00000000-0005-0000-0000-0000368E0000}"/>
    <cellStyle name="40% - Accent6 17 3 3" xfId="32478" xr:uid="{00000000-0005-0000-0000-0000378E0000}"/>
    <cellStyle name="40% - Accent6 17 3 3 2" xfId="32479" xr:uid="{00000000-0005-0000-0000-0000388E0000}"/>
    <cellStyle name="40% - Accent6 17 3 3 2 2" xfId="32480" xr:uid="{00000000-0005-0000-0000-0000398E0000}"/>
    <cellStyle name="40% - Accent6 17 3 3 3" xfId="32481" xr:uid="{00000000-0005-0000-0000-00003A8E0000}"/>
    <cellStyle name="40% - Accent6 17 3 4" xfId="32482" xr:uid="{00000000-0005-0000-0000-00003B8E0000}"/>
    <cellStyle name="40% - Accent6 17 3 4 2" xfId="32483" xr:uid="{00000000-0005-0000-0000-00003C8E0000}"/>
    <cellStyle name="40% - Accent6 17 3 5" xfId="32484" xr:uid="{00000000-0005-0000-0000-00003D8E0000}"/>
    <cellStyle name="40% - Accent6 17 4" xfId="32485" xr:uid="{00000000-0005-0000-0000-00003E8E0000}"/>
    <cellStyle name="40% - Accent6 17 4 2" xfId="32486" xr:uid="{00000000-0005-0000-0000-00003F8E0000}"/>
    <cellStyle name="40% - Accent6 17 4 2 2" xfId="32487" xr:uid="{00000000-0005-0000-0000-0000408E0000}"/>
    <cellStyle name="40% - Accent6 17 4 2 2 2" xfId="32488" xr:uid="{00000000-0005-0000-0000-0000418E0000}"/>
    <cellStyle name="40% - Accent6 17 4 2 3" xfId="32489" xr:uid="{00000000-0005-0000-0000-0000428E0000}"/>
    <cellStyle name="40% - Accent6 17 4 3" xfId="32490" xr:uid="{00000000-0005-0000-0000-0000438E0000}"/>
    <cellStyle name="40% - Accent6 17 4 3 2" xfId="32491" xr:uid="{00000000-0005-0000-0000-0000448E0000}"/>
    <cellStyle name="40% - Accent6 17 4 3 2 2" xfId="32492" xr:uid="{00000000-0005-0000-0000-0000458E0000}"/>
    <cellStyle name="40% - Accent6 17 4 3 3" xfId="32493" xr:uid="{00000000-0005-0000-0000-0000468E0000}"/>
    <cellStyle name="40% - Accent6 17 4 4" xfId="32494" xr:uid="{00000000-0005-0000-0000-0000478E0000}"/>
    <cellStyle name="40% - Accent6 17 4 4 2" xfId="32495" xr:uid="{00000000-0005-0000-0000-0000488E0000}"/>
    <cellStyle name="40% - Accent6 17 4 5" xfId="32496" xr:uid="{00000000-0005-0000-0000-0000498E0000}"/>
    <cellStyle name="40% - Accent6 17 5" xfId="32497" xr:uid="{00000000-0005-0000-0000-00004A8E0000}"/>
    <cellStyle name="40% - Accent6 17 5 2" xfId="32498" xr:uid="{00000000-0005-0000-0000-00004B8E0000}"/>
    <cellStyle name="40% - Accent6 17 5 2 2" xfId="32499" xr:uid="{00000000-0005-0000-0000-00004C8E0000}"/>
    <cellStyle name="40% - Accent6 17 5 2 2 2" xfId="32500" xr:uid="{00000000-0005-0000-0000-00004D8E0000}"/>
    <cellStyle name="40% - Accent6 17 5 2 3" xfId="32501" xr:uid="{00000000-0005-0000-0000-00004E8E0000}"/>
    <cellStyle name="40% - Accent6 17 5 3" xfId="32502" xr:uid="{00000000-0005-0000-0000-00004F8E0000}"/>
    <cellStyle name="40% - Accent6 17 5 3 2" xfId="32503" xr:uid="{00000000-0005-0000-0000-0000508E0000}"/>
    <cellStyle name="40% - Accent6 17 5 4" xfId="32504" xr:uid="{00000000-0005-0000-0000-0000518E0000}"/>
    <cellStyle name="40% - Accent6 17 6" xfId="32505" xr:uid="{00000000-0005-0000-0000-0000528E0000}"/>
    <cellStyle name="40% - Accent6 17 6 2" xfId="32506" xr:uid="{00000000-0005-0000-0000-0000538E0000}"/>
    <cellStyle name="40% - Accent6 17 6 2 2" xfId="32507" xr:uid="{00000000-0005-0000-0000-0000548E0000}"/>
    <cellStyle name="40% - Accent6 17 6 3" xfId="32508" xr:uid="{00000000-0005-0000-0000-0000558E0000}"/>
    <cellStyle name="40% - Accent6 17 7" xfId="32509" xr:uid="{00000000-0005-0000-0000-0000568E0000}"/>
    <cellStyle name="40% - Accent6 17 7 2" xfId="32510" xr:uid="{00000000-0005-0000-0000-0000578E0000}"/>
    <cellStyle name="40% - Accent6 17 8" xfId="32511" xr:uid="{00000000-0005-0000-0000-0000588E0000}"/>
    <cellStyle name="40% - Accent6 18" xfId="32512" xr:uid="{00000000-0005-0000-0000-0000598E0000}"/>
    <cellStyle name="40% - Accent6 18 2" xfId="32513" xr:uid="{00000000-0005-0000-0000-00005A8E0000}"/>
    <cellStyle name="40% - Accent6 18 2 2" xfId="32514" xr:uid="{00000000-0005-0000-0000-00005B8E0000}"/>
    <cellStyle name="40% - Accent6 18 2 2 2" xfId="32515" xr:uid="{00000000-0005-0000-0000-00005C8E0000}"/>
    <cellStyle name="40% - Accent6 18 2 2 2 2" xfId="32516" xr:uid="{00000000-0005-0000-0000-00005D8E0000}"/>
    <cellStyle name="40% - Accent6 18 2 2 3" xfId="32517" xr:uid="{00000000-0005-0000-0000-00005E8E0000}"/>
    <cellStyle name="40% - Accent6 18 2 3" xfId="32518" xr:uid="{00000000-0005-0000-0000-00005F8E0000}"/>
    <cellStyle name="40% - Accent6 18 2 3 2" xfId="32519" xr:uid="{00000000-0005-0000-0000-0000608E0000}"/>
    <cellStyle name="40% - Accent6 18 2 4" xfId="32520" xr:uid="{00000000-0005-0000-0000-0000618E0000}"/>
    <cellStyle name="40% - Accent6 18 3" xfId="32521" xr:uid="{00000000-0005-0000-0000-0000628E0000}"/>
    <cellStyle name="40% - Accent6 18 3 2" xfId="32522" xr:uid="{00000000-0005-0000-0000-0000638E0000}"/>
    <cellStyle name="40% - Accent6 18 3 2 2" xfId="32523" xr:uid="{00000000-0005-0000-0000-0000648E0000}"/>
    <cellStyle name="40% - Accent6 18 3 2 2 2" xfId="32524" xr:uid="{00000000-0005-0000-0000-0000658E0000}"/>
    <cellStyle name="40% - Accent6 18 3 2 3" xfId="32525" xr:uid="{00000000-0005-0000-0000-0000668E0000}"/>
    <cellStyle name="40% - Accent6 18 3 3" xfId="32526" xr:uid="{00000000-0005-0000-0000-0000678E0000}"/>
    <cellStyle name="40% - Accent6 18 3 3 2" xfId="32527" xr:uid="{00000000-0005-0000-0000-0000688E0000}"/>
    <cellStyle name="40% - Accent6 18 3 4" xfId="32528" xr:uid="{00000000-0005-0000-0000-0000698E0000}"/>
    <cellStyle name="40% - Accent6 18 4" xfId="32529" xr:uid="{00000000-0005-0000-0000-00006A8E0000}"/>
    <cellStyle name="40% - Accent6 18 4 2" xfId="32530" xr:uid="{00000000-0005-0000-0000-00006B8E0000}"/>
    <cellStyle name="40% - Accent6 18 4 2 2" xfId="32531" xr:uid="{00000000-0005-0000-0000-00006C8E0000}"/>
    <cellStyle name="40% - Accent6 18 4 3" xfId="32532" xr:uid="{00000000-0005-0000-0000-00006D8E0000}"/>
    <cellStyle name="40% - Accent6 18 5" xfId="32533" xr:uid="{00000000-0005-0000-0000-00006E8E0000}"/>
    <cellStyle name="40% - Accent6 18 5 2" xfId="32534" xr:uid="{00000000-0005-0000-0000-00006F8E0000}"/>
    <cellStyle name="40% - Accent6 18 6" xfId="32535" xr:uid="{00000000-0005-0000-0000-0000708E0000}"/>
    <cellStyle name="40% - Accent6 19" xfId="32536" xr:uid="{00000000-0005-0000-0000-0000718E0000}"/>
    <cellStyle name="40% - Accent6 19 2" xfId="32537" xr:uid="{00000000-0005-0000-0000-0000728E0000}"/>
    <cellStyle name="40% - Accent6 19 2 2" xfId="32538" xr:uid="{00000000-0005-0000-0000-0000738E0000}"/>
    <cellStyle name="40% - Accent6 19 3" xfId="32539" xr:uid="{00000000-0005-0000-0000-0000748E0000}"/>
    <cellStyle name="40% - Accent6 2" xfId="94" xr:uid="{00000000-0005-0000-0000-0000758E0000}"/>
    <cellStyle name="40% - Accent6 2 10" xfId="1006" xr:uid="{00000000-0005-0000-0000-0000768E0000}"/>
    <cellStyle name="40% - Accent6 2 10 10" xfId="45916" xr:uid="{00000000-0005-0000-0000-0000778E0000}"/>
    <cellStyle name="40% - Accent6 2 10 11" xfId="51394" xr:uid="{00000000-0005-0000-0000-0000788E0000}"/>
    <cellStyle name="40% - Accent6 2 10 2" xfId="2767" xr:uid="{00000000-0005-0000-0000-0000798E0000}"/>
    <cellStyle name="40% - Accent6 2 10 2 2" xfId="8247" xr:uid="{00000000-0005-0000-0000-00007A8E0000}"/>
    <cellStyle name="40% - Accent6 2 10 2 3" xfId="13723" xr:uid="{00000000-0005-0000-0000-00007B8E0000}"/>
    <cellStyle name="40% - Accent6 2 10 2 4" xfId="19199" xr:uid="{00000000-0005-0000-0000-00007C8E0000}"/>
    <cellStyle name="40% - Accent6 2 10 2 5" xfId="24675" xr:uid="{00000000-0005-0000-0000-00007D8E0000}"/>
    <cellStyle name="40% - Accent6 2 10 2 6" xfId="36471" xr:uid="{00000000-0005-0000-0000-00007E8E0000}"/>
    <cellStyle name="40% - Accent6 2 10 2 7" xfId="41948" xr:uid="{00000000-0005-0000-0000-00007F8E0000}"/>
    <cellStyle name="40% - Accent6 2 10 2 8" xfId="47425" xr:uid="{00000000-0005-0000-0000-0000808E0000}"/>
    <cellStyle name="40% - Accent6 2 10 2 9" xfId="52943" xr:uid="{00000000-0005-0000-0000-0000818E0000}"/>
    <cellStyle name="40% - Accent6 2 10 3" xfId="4539" xr:uid="{00000000-0005-0000-0000-0000828E0000}"/>
    <cellStyle name="40% - Accent6 2 10 3 2" xfId="10019" xr:uid="{00000000-0005-0000-0000-0000838E0000}"/>
    <cellStyle name="40% - Accent6 2 10 3 3" xfId="15495" xr:uid="{00000000-0005-0000-0000-0000848E0000}"/>
    <cellStyle name="40% - Accent6 2 10 3 4" xfId="20971" xr:uid="{00000000-0005-0000-0000-0000858E0000}"/>
    <cellStyle name="40% - Accent6 2 10 3 5" xfId="26447" xr:uid="{00000000-0005-0000-0000-0000868E0000}"/>
    <cellStyle name="40% - Accent6 2 10 3 6" xfId="38243" xr:uid="{00000000-0005-0000-0000-0000878E0000}"/>
    <cellStyle name="40% - Accent6 2 10 3 7" xfId="43720" xr:uid="{00000000-0005-0000-0000-0000888E0000}"/>
    <cellStyle name="40% - Accent6 2 10 3 8" xfId="49197" xr:uid="{00000000-0005-0000-0000-0000898E0000}"/>
    <cellStyle name="40% - Accent6 2 10 3 9" xfId="54715" xr:uid="{00000000-0005-0000-0000-00008A8E0000}"/>
    <cellStyle name="40% - Accent6 2 10 4" xfId="6735" xr:uid="{00000000-0005-0000-0000-00008B8E0000}"/>
    <cellStyle name="40% - Accent6 2 10 5" xfId="12215" xr:uid="{00000000-0005-0000-0000-00008C8E0000}"/>
    <cellStyle name="40% - Accent6 2 10 6" xfId="17691" xr:uid="{00000000-0005-0000-0000-00008D8E0000}"/>
    <cellStyle name="40% - Accent6 2 10 7" xfId="23167" xr:uid="{00000000-0005-0000-0000-00008E8E0000}"/>
    <cellStyle name="40% - Accent6 2 10 8" xfId="34962" xr:uid="{00000000-0005-0000-0000-00008F8E0000}"/>
    <cellStyle name="40% - Accent6 2 10 9" xfId="40439" xr:uid="{00000000-0005-0000-0000-0000908E0000}"/>
    <cellStyle name="40% - Accent6 2 11" xfId="1023" xr:uid="{00000000-0005-0000-0000-0000918E0000}"/>
    <cellStyle name="40% - Accent6 2 11 10" xfId="45917" xr:uid="{00000000-0005-0000-0000-0000928E0000}"/>
    <cellStyle name="40% - Accent6 2 11 11" xfId="51395" xr:uid="{00000000-0005-0000-0000-0000938E0000}"/>
    <cellStyle name="40% - Accent6 2 11 2" xfId="2784" xr:uid="{00000000-0005-0000-0000-0000948E0000}"/>
    <cellStyle name="40% - Accent6 2 11 2 2" xfId="8264" xr:uid="{00000000-0005-0000-0000-0000958E0000}"/>
    <cellStyle name="40% - Accent6 2 11 2 3" xfId="13740" xr:uid="{00000000-0005-0000-0000-0000968E0000}"/>
    <cellStyle name="40% - Accent6 2 11 2 4" xfId="19216" xr:uid="{00000000-0005-0000-0000-0000978E0000}"/>
    <cellStyle name="40% - Accent6 2 11 2 5" xfId="24692" xr:uid="{00000000-0005-0000-0000-0000988E0000}"/>
    <cellStyle name="40% - Accent6 2 11 2 6" xfId="36488" xr:uid="{00000000-0005-0000-0000-0000998E0000}"/>
    <cellStyle name="40% - Accent6 2 11 2 7" xfId="41965" xr:uid="{00000000-0005-0000-0000-00009A8E0000}"/>
    <cellStyle name="40% - Accent6 2 11 2 8" xfId="47442" xr:uid="{00000000-0005-0000-0000-00009B8E0000}"/>
    <cellStyle name="40% - Accent6 2 11 2 9" xfId="52960" xr:uid="{00000000-0005-0000-0000-00009C8E0000}"/>
    <cellStyle name="40% - Accent6 2 11 3" xfId="4556" xr:uid="{00000000-0005-0000-0000-00009D8E0000}"/>
    <cellStyle name="40% - Accent6 2 11 3 2" xfId="10036" xr:uid="{00000000-0005-0000-0000-00009E8E0000}"/>
    <cellStyle name="40% - Accent6 2 11 3 3" xfId="15512" xr:uid="{00000000-0005-0000-0000-00009F8E0000}"/>
    <cellStyle name="40% - Accent6 2 11 3 4" xfId="20988" xr:uid="{00000000-0005-0000-0000-0000A08E0000}"/>
    <cellStyle name="40% - Accent6 2 11 3 5" xfId="26464" xr:uid="{00000000-0005-0000-0000-0000A18E0000}"/>
    <cellStyle name="40% - Accent6 2 11 3 6" xfId="38260" xr:uid="{00000000-0005-0000-0000-0000A28E0000}"/>
    <cellStyle name="40% - Accent6 2 11 3 7" xfId="43737" xr:uid="{00000000-0005-0000-0000-0000A38E0000}"/>
    <cellStyle name="40% - Accent6 2 11 3 8" xfId="49214" xr:uid="{00000000-0005-0000-0000-0000A48E0000}"/>
    <cellStyle name="40% - Accent6 2 11 3 9" xfId="54732" xr:uid="{00000000-0005-0000-0000-0000A58E0000}"/>
    <cellStyle name="40% - Accent6 2 11 4" xfId="6736" xr:uid="{00000000-0005-0000-0000-0000A68E0000}"/>
    <cellStyle name="40% - Accent6 2 11 5" xfId="12216" xr:uid="{00000000-0005-0000-0000-0000A78E0000}"/>
    <cellStyle name="40% - Accent6 2 11 6" xfId="17692" xr:uid="{00000000-0005-0000-0000-0000A88E0000}"/>
    <cellStyle name="40% - Accent6 2 11 7" xfId="23168" xr:uid="{00000000-0005-0000-0000-0000A98E0000}"/>
    <cellStyle name="40% - Accent6 2 11 8" xfId="34963" xr:uid="{00000000-0005-0000-0000-0000AA8E0000}"/>
    <cellStyle name="40% - Accent6 2 11 9" xfId="40440" xr:uid="{00000000-0005-0000-0000-0000AB8E0000}"/>
    <cellStyle name="40% - Accent6 2 12" xfId="1139" xr:uid="{00000000-0005-0000-0000-0000AC8E0000}"/>
    <cellStyle name="40% - Accent6 2 12 10" xfId="45918" xr:uid="{00000000-0005-0000-0000-0000AD8E0000}"/>
    <cellStyle name="40% - Accent6 2 12 11" xfId="51396" xr:uid="{00000000-0005-0000-0000-0000AE8E0000}"/>
    <cellStyle name="40% - Accent6 2 12 2" xfId="2900" xr:uid="{00000000-0005-0000-0000-0000AF8E0000}"/>
    <cellStyle name="40% - Accent6 2 12 2 2" xfId="8380" xr:uid="{00000000-0005-0000-0000-0000B08E0000}"/>
    <cellStyle name="40% - Accent6 2 12 2 3" xfId="13856" xr:uid="{00000000-0005-0000-0000-0000B18E0000}"/>
    <cellStyle name="40% - Accent6 2 12 2 4" xfId="19332" xr:uid="{00000000-0005-0000-0000-0000B28E0000}"/>
    <cellStyle name="40% - Accent6 2 12 2 5" xfId="24808" xr:uid="{00000000-0005-0000-0000-0000B38E0000}"/>
    <cellStyle name="40% - Accent6 2 12 2 6" xfId="36604" xr:uid="{00000000-0005-0000-0000-0000B48E0000}"/>
    <cellStyle name="40% - Accent6 2 12 2 7" xfId="42081" xr:uid="{00000000-0005-0000-0000-0000B58E0000}"/>
    <cellStyle name="40% - Accent6 2 12 2 8" xfId="47558" xr:uid="{00000000-0005-0000-0000-0000B68E0000}"/>
    <cellStyle name="40% - Accent6 2 12 2 9" xfId="53076" xr:uid="{00000000-0005-0000-0000-0000B78E0000}"/>
    <cellStyle name="40% - Accent6 2 12 3" xfId="4672" xr:uid="{00000000-0005-0000-0000-0000B88E0000}"/>
    <cellStyle name="40% - Accent6 2 12 3 2" xfId="10152" xr:uid="{00000000-0005-0000-0000-0000B98E0000}"/>
    <cellStyle name="40% - Accent6 2 12 3 3" xfId="15628" xr:uid="{00000000-0005-0000-0000-0000BA8E0000}"/>
    <cellStyle name="40% - Accent6 2 12 3 4" xfId="21104" xr:uid="{00000000-0005-0000-0000-0000BB8E0000}"/>
    <cellStyle name="40% - Accent6 2 12 3 5" xfId="26580" xr:uid="{00000000-0005-0000-0000-0000BC8E0000}"/>
    <cellStyle name="40% - Accent6 2 12 3 6" xfId="38376" xr:uid="{00000000-0005-0000-0000-0000BD8E0000}"/>
    <cellStyle name="40% - Accent6 2 12 3 7" xfId="43853" xr:uid="{00000000-0005-0000-0000-0000BE8E0000}"/>
    <cellStyle name="40% - Accent6 2 12 3 8" xfId="49330" xr:uid="{00000000-0005-0000-0000-0000BF8E0000}"/>
    <cellStyle name="40% - Accent6 2 12 3 9" xfId="54848" xr:uid="{00000000-0005-0000-0000-0000C08E0000}"/>
    <cellStyle name="40% - Accent6 2 12 4" xfId="6737" xr:uid="{00000000-0005-0000-0000-0000C18E0000}"/>
    <cellStyle name="40% - Accent6 2 12 5" xfId="12217" xr:uid="{00000000-0005-0000-0000-0000C28E0000}"/>
    <cellStyle name="40% - Accent6 2 12 6" xfId="17693" xr:uid="{00000000-0005-0000-0000-0000C38E0000}"/>
    <cellStyle name="40% - Accent6 2 12 7" xfId="23169" xr:uid="{00000000-0005-0000-0000-0000C48E0000}"/>
    <cellStyle name="40% - Accent6 2 12 8" xfId="34964" xr:uid="{00000000-0005-0000-0000-0000C58E0000}"/>
    <cellStyle name="40% - Accent6 2 12 9" xfId="40441" xr:uid="{00000000-0005-0000-0000-0000C68E0000}"/>
    <cellStyle name="40% - Accent6 2 13" xfId="1311" xr:uid="{00000000-0005-0000-0000-0000C78E0000}"/>
    <cellStyle name="40% - Accent6 2 13 10" xfId="45919" xr:uid="{00000000-0005-0000-0000-0000C88E0000}"/>
    <cellStyle name="40% - Accent6 2 13 11" xfId="51397" xr:uid="{00000000-0005-0000-0000-0000C98E0000}"/>
    <cellStyle name="40% - Accent6 2 13 2" xfId="3072" xr:uid="{00000000-0005-0000-0000-0000CA8E0000}"/>
    <cellStyle name="40% - Accent6 2 13 2 2" xfId="8552" xr:uid="{00000000-0005-0000-0000-0000CB8E0000}"/>
    <cellStyle name="40% - Accent6 2 13 2 3" xfId="14028" xr:uid="{00000000-0005-0000-0000-0000CC8E0000}"/>
    <cellStyle name="40% - Accent6 2 13 2 4" xfId="19504" xr:uid="{00000000-0005-0000-0000-0000CD8E0000}"/>
    <cellStyle name="40% - Accent6 2 13 2 5" xfId="24980" xr:uid="{00000000-0005-0000-0000-0000CE8E0000}"/>
    <cellStyle name="40% - Accent6 2 13 2 6" xfId="36776" xr:uid="{00000000-0005-0000-0000-0000CF8E0000}"/>
    <cellStyle name="40% - Accent6 2 13 2 7" xfId="42253" xr:uid="{00000000-0005-0000-0000-0000D08E0000}"/>
    <cellStyle name="40% - Accent6 2 13 2 8" xfId="47730" xr:uid="{00000000-0005-0000-0000-0000D18E0000}"/>
    <cellStyle name="40% - Accent6 2 13 2 9" xfId="53248" xr:uid="{00000000-0005-0000-0000-0000D28E0000}"/>
    <cellStyle name="40% - Accent6 2 13 3" xfId="4844" xr:uid="{00000000-0005-0000-0000-0000D38E0000}"/>
    <cellStyle name="40% - Accent6 2 13 3 2" xfId="10324" xr:uid="{00000000-0005-0000-0000-0000D48E0000}"/>
    <cellStyle name="40% - Accent6 2 13 3 3" xfId="15800" xr:uid="{00000000-0005-0000-0000-0000D58E0000}"/>
    <cellStyle name="40% - Accent6 2 13 3 4" xfId="21276" xr:uid="{00000000-0005-0000-0000-0000D68E0000}"/>
    <cellStyle name="40% - Accent6 2 13 3 5" xfId="26752" xr:uid="{00000000-0005-0000-0000-0000D78E0000}"/>
    <cellStyle name="40% - Accent6 2 13 3 6" xfId="38548" xr:uid="{00000000-0005-0000-0000-0000D88E0000}"/>
    <cellStyle name="40% - Accent6 2 13 3 7" xfId="44025" xr:uid="{00000000-0005-0000-0000-0000D98E0000}"/>
    <cellStyle name="40% - Accent6 2 13 3 8" xfId="49502" xr:uid="{00000000-0005-0000-0000-0000DA8E0000}"/>
    <cellStyle name="40% - Accent6 2 13 3 9" xfId="55020" xr:uid="{00000000-0005-0000-0000-0000DB8E0000}"/>
    <cellStyle name="40% - Accent6 2 13 4" xfId="6738" xr:uid="{00000000-0005-0000-0000-0000DC8E0000}"/>
    <cellStyle name="40% - Accent6 2 13 5" xfId="12218" xr:uid="{00000000-0005-0000-0000-0000DD8E0000}"/>
    <cellStyle name="40% - Accent6 2 13 6" xfId="17694" xr:uid="{00000000-0005-0000-0000-0000DE8E0000}"/>
    <cellStyle name="40% - Accent6 2 13 7" xfId="23170" xr:uid="{00000000-0005-0000-0000-0000DF8E0000}"/>
    <cellStyle name="40% - Accent6 2 13 8" xfId="34965" xr:uid="{00000000-0005-0000-0000-0000E08E0000}"/>
    <cellStyle name="40% - Accent6 2 13 9" xfId="40442" xr:uid="{00000000-0005-0000-0000-0000E18E0000}"/>
    <cellStyle name="40% - Accent6 2 14" xfId="1483" xr:uid="{00000000-0005-0000-0000-0000E28E0000}"/>
    <cellStyle name="40% - Accent6 2 14 10" xfId="45920" xr:uid="{00000000-0005-0000-0000-0000E38E0000}"/>
    <cellStyle name="40% - Accent6 2 14 11" xfId="51398" xr:uid="{00000000-0005-0000-0000-0000E48E0000}"/>
    <cellStyle name="40% - Accent6 2 14 2" xfId="3244" xr:uid="{00000000-0005-0000-0000-0000E58E0000}"/>
    <cellStyle name="40% - Accent6 2 14 2 2" xfId="8724" xr:uid="{00000000-0005-0000-0000-0000E68E0000}"/>
    <cellStyle name="40% - Accent6 2 14 2 3" xfId="14200" xr:uid="{00000000-0005-0000-0000-0000E78E0000}"/>
    <cellStyle name="40% - Accent6 2 14 2 4" xfId="19676" xr:uid="{00000000-0005-0000-0000-0000E88E0000}"/>
    <cellStyle name="40% - Accent6 2 14 2 5" xfId="25152" xr:uid="{00000000-0005-0000-0000-0000E98E0000}"/>
    <cellStyle name="40% - Accent6 2 14 2 6" xfId="36948" xr:uid="{00000000-0005-0000-0000-0000EA8E0000}"/>
    <cellStyle name="40% - Accent6 2 14 2 7" xfId="42425" xr:uid="{00000000-0005-0000-0000-0000EB8E0000}"/>
    <cellStyle name="40% - Accent6 2 14 2 8" xfId="47902" xr:uid="{00000000-0005-0000-0000-0000EC8E0000}"/>
    <cellStyle name="40% - Accent6 2 14 2 9" xfId="53420" xr:uid="{00000000-0005-0000-0000-0000ED8E0000}"/>
    <cellStyle name="40% - Accent6 2 14 3" xfId="5016" xr:uid="{00000000-0005-0000-0000-0000EE8E0000}"/>
    <cellStyle name="40% - Accent6 2 14 3 2" xfId="10496" xr:uid="{00000000-0005-0000-0000-0000EF8E0000}"/>
    <cellStyle name="40% - Accent6 2 14 3 3" xfId="15972" xr:uid="{00000000-0005-0000-0000-0000F08E0000}"/>
    <cellStyle name="40% - Accent6 2 14 3 4" xfId="21448" xr:uid="{00000000-0005-0000-0000-0000F18E0000}"/>
    <cellStyle name="40% - Accent6 2 14 3 5" xfId="26924" xr:uid="{00000000-0005-0000-0000-0000F28E0000}"/>
    <cellStyle name="40% - Accent6 2 14 3 6" xfId="38720" xr:uid="{00000000-0005-0000-0000-0000F38E0000}"/>
    <cellStyle name="40% - Accent6 2 14 3 7" xfId="44197" xr:uid="{00000000-0005-0000-0000-0000F48E0000}"/>
    <cellStyle name="40% - Accent6 2 14 3 8" xfId="49674" xr:uid="{00000000-0005-0000-0000-0000F58E0000}"/>
    <cellStyle name="40% - Accent6 2 14 3 9" xfId="55192" xr:uid="{00000000-0005-0000-0000-0000F68E0000}"/>
    <cellStyle name="40% - Accent6 2 14 4" xfId="6739" xr:uid="{00000000-0005-0000-0000-0000F78E0000}"/>
    <cellStyle name="40% - Accent6 2 14 5" xfId="12219" xr:uid="{00000000-0005-0000-0000-0000F88E0000}"/>
    <cellStyle name="40% - Accent6 2 14 6" xfId="17695" xr:uid="{00000000-0005-0000-0000-0000F98E0000}"/>
    <cellStyle name="40% - Accent6 2 14 7" xfId="23171" xr:uid="{00000000-0005-0000-0000-0000FA8E0000}"/>
    <cellStyle name="40% - Accent6 2 14 8" xfId="34966" xr:uid="{00000000-0005-0000-0000-0000FB8E0000}"/>
    <cellStyle name="40% - Accent6 2 14 9" xfId="40443" xr:uid="{00000000-0005-0000-0000-0000FC8E0000}"/>
    <cellStyle name="40% - Accent6 2 15" xfId="1655" xr:uid="{00000000-0005-0000-0000-0000FD8E0000}"/>
    <cellStyle name="40% - Accent6 2 15 10" xfId="45921" xr:uid="{00000000-0005-0000-0000-0000FE8E0000}"/>
    <cellStyle name="40% - Accent6 2 15 11" xfId="51399" xr:uid="{00000000-0005-0000-0000-0000FF8E0000}"/>
    <cellStyle name="40% - Accent6 2 15 2" xfId="3416" xr:uid="{00000000-0005-0000-0000-0000008F0000}"/>
    <cellStyle name="40% - Accent6 2 15 2 2" xfId="8896" xr:uid="{00000000-0005-0000-0000-0000018F0000}"/>
    <cellStyle name="40% - Accent6 2 15 2 3" xfId="14372" xr:uid="{00000000-0005-0000-0000-0000028F0000}"/>
    <cellStyle name="40% - Accent6 2 15 2 4" xfId="19848" xr:uid="{00000000-0005-0000-0000-0000038F0000}"/>
    <cellStyle name="40% - Accent6 2 15 2 5" xfId="25324" xr:uid="{00000000-0005-0000-0000-0000048F0000}"/>
    <cellStyle name="40% - Accent6 2 15 2 6" xfId="37120" xr:uid="{00000000-0005-0000-0000-0000058F0000}"/>
    <cellStyle name="40% - Accent6 2 15 2 7" xfId="42597" xr:uid="{00000000-0005-0000-0000-0000068F0000}"/>
    <cellStyle name="40% - Accent6 2 15 2 8" xfId="48074" xr:uid="{00000000-0005-0000-0000-0000078F0000}"/>
    <cellStyle name="40% - Accent6 2 15 2 9" xfId="53592" xr:uid="{00000000-0005-0000-0000-0000088F0000}"/>
    <cellStyle name="40% - Accent6 2 15 3" xfId="5188" xr:uid="{00000000-0005-0000-0000-0000098F0000}"/>
    <cellStyle name="40% - Accent6 2 15 3 2" xfId="10668" xr:uid="{00000000-0005-0000-0000-00000A8F0000}"/>
    <cellStyle name="40% - Accent6 2 15 3 3" xfId="16144" xr:uid="{00000000-0005-0000-0000-00000B8F0000}"/>
    <cellStyle name="40% - Accent6 2 15 3 4" xfId="21620" xr:uid="{00000000-0005-0000-0000-00000C8F0000}"/>
    <cellStyle name="40% - Accent6 2 15 3 5" xfId="27096" xr:uid="{00000000-0005-0000-0000-00000D8F0000}"/>
    <cellStyle name="40% - Accent6 2 15 3 6" xfId="38892" xr:uid="{00000000-0005-0000-0000-00000E8F0000}"/>
    <cellStyle name="40% - Accent6 2 15 3 7" xfId="44369" xr:uid="{00000000-0005-0000-0000-00000F8F0000}"/>
    <cellStyle name="40% - Accent6 2 15 3 8" xfId="49846" xr:uid="{00000000-0005-0000-0000-0000108F0000}"/>
    <cellStyle name="40% - Accent6 2 15 3 9" xfId="55364" xr:uid="{00000000-0005-0000-0000-0000118F0000}"/>
    <cellStyle name="40% - Accent6 2 15 4" xfId="6740" xr:uid="{00000000-0005-0000-0000-0000128F0000}"/>
    <cellStyle name="40% - Accent6 2 15 5" xfId="12220" xr:uid="{00000000-0005-0000-0000-0000138F0000}"/>
    <cellStyle name="40% - Accent6 2 15 6" xfId="17696" xr:uid="{00000000-0005-0000-0000-0000148F0000}"/>
    <cellStyle name="40% - Accent6 2 15 7" xfId="23172" xr:uid="{00000000-0005-0000-0000-0000158F0000}"/>
    <cellStyle name="40% - Accent6 2 15 8" xfId="34967" xr:uid="{00000000-0005-0000-0000-0000168F0000}"/>
    <cellStyle name="40% - Accent6 2 15 9" xfId="40444" xr:uid="{00000000-0005-0000-0000-0000178F0000}"/>
    <cellStyle name="40% - Accent6 2 16" xfId="1728" xr:uid="{00000000-0005-0000-0000-0000188F0000}"/>
    <cellStyle name="40% - Accent6 2 16 10" xfId="45922" xr:uid="{00000000-0005-0000-0000-0000198F0000}"/>
    <cellStyle name="40% - Accent6 2 16 11" xfId="51400" xr:uid="{00000000-0005-0000-0000-00001A8F0000}"/>
    <cellStyle name="40% - Accent6 2 16 2" xfId="3489" xr:uid="{00000000-0005-0000-0000-00001B8F0000}"/>
    <cellStyle name="40% - Accent6 2 16 2 2" xfId="8969" xr:uid="{00000000-0005-0000-0000-00001C8F0000}"/>
    <cellStyle name="40% - Accent6 2 16 2 3" xfId="14445" xr:uid="{00000000-0005-0000-0000-00001D8F0000}"/>
    <cellStyle name="40% - Accent6 2 16 2 4" xfId="19921" xr:uid="{00000000-0005-0000-0000-00001E8F0000}"/>
    <cellStyle name="40% - Accent6 2 16 2 5" xfId="25397" xr:uid="{00000000-0005-0000-0000-00001F8F0000}"/>
    <cellStyle name="40% - Accent6 2 16 2 6" xfId="37193" xr:uid="{00000000-0005-0000-0000-0000208F0000}"/>
    <cellStyle name="40% - Accent6 2 16 2 7" xfId="42670" xr:uid="{00000000-0005-0000-0000-0000218F0000}"/>
    <cellStyle name="40% - Accent6 2 16 2 8" xfId="48147" xr:uid="{00000000-0005-0000-0000-0000228F0000}"/>
    <cellStyle name="40% - Accent6 2 16 2 9" xfId="53665" xr:uid="{00000000-0005-0000-0000-0000238F0000}"/>
    <cellStyle name="40% - Accent6 2 16 3" xfId="5261" xr:uid="{00000000-0005-0000-0000-0000248F0000}"/>
    <cellStyle name="40% - Accent6 2 16 3 2" xfId="10741" xr:uid="{00000000-0005-0000-0000-0000258F0000}"/>
    <cellStyle name="40% - Accent6 2 16 3 3" xfId="16217" xr:uid="{00000000-0005-0000-0000-0000268F0000}"/>
    <cellStyle name="40% - Accent6 2 16 3 4" xfId="21693" xr:uid="{00000000-0005-0000-0000-0000278F0000}"/>
    <cellStyle name="40% - Accent6 2 16 3 5" xfId="27169" xr:uid="{00000000-0005-0000-0000-0000288F0000}"/>
    <cellStyle name="40% - Accent6 2 16 3 6" xfId="38965" xr:uid="{00000000-0005-0000-0000-0000298F0000}"/>
    <cellStyle name="40% - Accent6 2 16 3 7" xfId="44442" xr:uid="{00000000-0005-0000-0000-00002A8F0000}"/>
    <cellStyle name="40% - Accent6 2 16 3 8" xfId="49919" xr:uid="{00000000-0005-0000-0000-00002B8F0000}"/>
    <cellStyle name="40% - Accent6 2 16 3 9" xfId="55437" xr:uid="{00000000-0005-0000-0000-00002C8F0000}"/>
    <cellStyle name="40% - Accent6 2 16 4" xfId="6741" xr:uid="{00000000-0005-0000-0000-00002D8F0000}"/>
    <cellStyle name="40% - Accent6 2 16 5" xfId="12221" xr:uid="{00000000-0005-0000-0000-00002E8F0000}"/>
    <cellStyle name="40% - Accent6 2 16 6" xfId="17697" xr:uid="{00000000-0005-0000-0000-00002F8F0000}"/>
    <cellStyle name="40% - Accent6 2 16 7" xfId="23173" xr:uid="{00000000-0005-0000-0000-0000308F0000}"/>
    <cellStyle name="40% - Accent6 2 16 8" xfId="34968" xr:uid="{00000000-0005-0000-0000-0000318F0000}"/>
    <cellStyle name="40% - Accent6 2 16 9" xfId="40445" xr:uid="{00000000-0005-0000-0000-0000328F0000}"/>
    <cellStyle name="40% - Accent6 2 17" xfId="1746" xr:uid="{00000000-0005-0000-0000-0000338F0000}"/>
    <cellStyle name="40% - Accent6 2 17 10" xfId="45923" xr:uid="{00000000-0005-0000-0000-0000348F0000}"/>
    <cellStyle name="40% - Accent6 2 17 11" xfId="51401" xr:uid="{00000000-0005-0000-0000-0000358F0000}"/>
    <cellStyle name="40% - Accent6 2 17 2" xfId="3507" xr:uid="{00000000-0005-0000-0000-0000368F0000}"/>
    <cellStyle name="40% - Accent6 2 17 2 2" xfId="8987" xr:uid="{00000000-0005-0000-0000-0000378F0000}"/>
    <cellStyle name="40% - Accent6 2 17 2 3" xfId="14463" xr:uid="{00000000-0005-0000-0000-0000388F0000}"/>
    <cellStyle name="40% - Accent6 2 17 2 4" xfId="19939" xr:uid="{00000000-0005-0000-0000-0000398F0000}"/>
    <cellStyle name="40% - Accent6 2 17 2 5" xfId="25415" xr:uid="{00000000-0005-0000-0000-00003A8F0000}"/>
    <cellStyle name="40% - Accent6 2 17 2 6" xfId="37211" xr:uid="{00000000-0005-0000-0000-00003B8F0000}"/>
    <cellStyle name="40% - Accent6 2 17 2 7" xfId="42688" xr:uid="{00000000-0005-0000-0000-00003C8F0000}"/>
    <cellStyle name="40% - Accent6 2 17 2 8" xfId="48165" xr:uid="{00000000-0005-0000-0000-00003D8F0000}"/>
    <cellStyle name="40% - Accent6 2 17 2 9" xfId="53683" xr:uid="{00000000-0005-0000-0000-00003E8F0000}"/>
    <cellStyle name="40% - Accent6 2 17 3" xfId="5279" xr:uid="{00000000-0005-0000-0000-00003F8F0000}"/>
    <cellStyle name="40% - Accent6 2 17 3 2" xfId="10759" xr:uid="{00000000-0005-0000-0000-0000408F0000}"/>
    <cellStyle name="40% - Accent6 2 17 3 3" xfId="16235" xr:uid="{00000000-0005-0000-0000-0000418F0000}"/>
    <cellStyle name="40% - Accent6 2 17 3 4" xfId="21711" xr:uid="{00000000-0005-0000-0000-0000428F0000}"/>
    <cellStyle name="40% - Accent6 2 17 3 5" xfId="27187" xr:uid="{00000000-0005-0000-0000-0000438F0000}"/>
    <cellStyle name="40% - Accent6 2 17 3 6" xfId="38983" xr:uid="{00000000-0005-0000-0000-0000448F0000}"/>
    <cellStyle name="40% - Accent6 2 17 3 7" xfId="44460" xr:uid="{00000000-0005-0000-0000-0000458F0000}"/>
    <cellStyle name="40% - Accent6 2 17 3 8" xfId="49937" xr:uid="{00000000-0005-0000-0000-0000468F0000}"/>
    <cellStyle name="40% - Accent6 2 17 3 9" xfId="55455" xr:uid="{00000000-0005-0000-0000-0000478F0000}"/>
    <cellStyle name="40% - Accent6 2 17 4" xfId="6742" xr:uid="{00000000-0005-0000-0000-0000488F0000}"/>
    <cellStyle name="40% - Accent6 2 17 5" xfId="12222" xr:uid="{00000000-0005-0000-0000-0000498F0000}"/>
    <cellStyle name="40% - Accent6 2 17 6" xfId="17698" xr:uid="{00000000-0005-0000-0000-00004A8F0000}"/>
    <cellStyle name="40% - Accent6 2 17 7" xfId="23174" xr:uid="{00000000-0005-0000-0000-00004B8F0000}"/>
    <cellStyle name="40% - Accent6 2 17 8" xfId="34969" xr:uid="{00000000-0005-0000-0000-00004C8F0000}"/>
    <cellStyle name="40% - Accent6 2 17 9" xfId="40446" xr:uid="{00000000-0005-0000-0000-00004D8F0000}"/>
    <cellStyle name="40% - Accent6 2 18" xfId="2017" xr:uid="{00000000-0005-0000-0000-00004E8F0000}"/>
    <cellStyle name="40% - Accent6 2 18 10" xfId="52194" xr:uid="{00000000-0005-0000-0000-00004F8F0000}"/>
    <cellStyle name="40% - Accent6 2 18 2" xfId="5549" xr:uid="{00000000-0005-0000-0000-0000508F0000}"/>
    <cellStyle name="40% - Accent6 2 18 2 2" xfId="11029" xr:uid="{00000000-0005-0000-0000-0000518F0000}"/>
    <cellStyle name="40% - Accent6 2 18 2 3" xfId="16505" xr:uid="{00000000-0005-0000-0000-0000528F0000}"/>
    <cellStyle name="40% - Accent6 2 18 2 4" xfId="21981" xr:uid="{00000000-0005-0000-0000-0000538F0000}"/>
    <cellStyle name="40% - Accent6 2 18 2 5" xfId="27457" xr:uid="{00000000-0005-0000-0000-0000548F0000}"/>
    <cellStyle name="40% - Accent6 2 18 2 6" xfId="39253" xr:uid="{00000000-0005-0000-0000-0000558F0000}"/>
    <cellStyle name="40% - Accent6 2 18 2 7" xfId="44730" xr:uid="{00000000-0005-0000-0000-0000568F0000}"/>
    <cellStyle name="40% - Accent6 2 18 2 8" xfId="50207" xr:uid="{00000000-0005-0000-0000-0000578F0000}"/>
    <cellStyle name="40% - Accent6 2 18 2 9" xfId="55725" xr:uid="{00000000-0005-0000-0000-0000588F0000}"/>
    <cellStyle name="40% - Accent6 2 18 3" xfId="7498" xr:uid="{00000000-0005-0000-0000-0000598F0000}"/>
    <cellStyle name="40% - Accent6 2 18 4" xfId="12974" xr:uid="{00000000-0005-0000-0000-00005A8F0000}"/>
    <cellStyle name="40% - Accent6 2 18 5" xfId="18450" xr:uid="{00000000-0005-0000-0000-00005B8F0000}"/>
    <cellStyle name="40% - Accent6 2 18 6" xfId="23926" xr:uid="{00000000-0005-0000-0000-00005C8F0000}"/>
    <cellStyle name="40% - Accent6 2 18 7" xfId="35722" xr:uid="{00000000-0005-0000-0000-00005D8F0000}"/>
    <cellStyle name="40% - Accent6 2 18 8" xfId="41199" xr:uid="{00000000-0005-0000-0000-00005E8F0000}"/>
    <cellStyle name="40% - Accent6 2 18 9" xfId="46676" xr:uid="{00000000-0005-0000-0000-00005F8F0000}"/>
    <cellStyle name="40% - Accent6 2 19" xfId="3696" xr:uid="{00000000-0005-0000-0000-0000608F0000}"/>
    <cellStyle name="40% - Accent6 2 19 2" xfId="9176" xr:uid="{00000000-0005-0000-0000-0000618F0000}"/>
    <cellStyle name="40% - Accent6 2 19 3" xfId="14652" xr:uid="{00000000-0005-0000-0000-0000628F0000}"/>
    <cellStyle name="40% - Accent6 2 19 4" xfId="20128" xr:uid="{00000000-0005-0000-0000-0000638F0000}"/>
    <cellStyle name="40% - Accent6 2 19 5" xfId="25604" xr:uid="{00000000-0005-0000-0000-0000648F0000}"/>
    <cellStyle name="40% - Accent6 2 19 6" xfId="37400" xr:uid="{00000000-0005-0000-0000-0000658F0000}"/>
    <cellStyle name="40% - Accent6 2 19 7" xfId="42877" xr:uid="{00000000-0005-0000-0000-0000668F0000}"/>
    <cellStyle name="40% - Accent6 2 19 8" xfId="48354" xr:uid="{00000000-0005-0000-0000-0000678F0000}"/>
    <cellStyle name="40% - Accent6 2 19 9" xfId="53872" xr:uid="{00000000-0005-0000-0000-0000688F0000}"/>
    <cellStyle name="40% - Accent6 2 2" xfId="141" xr:uid="{00000000-0005-0000-0000-0000698F0000}"/>
    <cellStyle name="40% - Accent6 2 2 10" xfId="1656" xr:uid="{00000000-0005-0000-0000-00006A8F0000}"/>
    <cellStyle name="40% - Accent6 2 2 10 10" xfId="45925" xr:uid="{00000000-0005-0000-0000-00006B8F0000}"/>
    <cellStyle name="40% - Accent6 2 2 10 11" xfId="51403" xr:uid="{00000000-0005-0000-0000-00006C8F0000}"/>
    <cellStyle name="40% - Accent6 2 2 10 2" xfId="3417" xr:uid="{00000000-0005-0000-0000-00006D8F0000}"/>
    <cellStyle name="40% - Accent6 2 2 10 2 2" xfId="8897" xr:uid="{00000000-0005-0000-0000-00006E8F0000}"/>
    <cellStyle name="40% - Accent6 2 2 10 2 3" xfId="14373" xr:uid="{00000000-0005-0000-0000-00006F8F0000}"/>
    <cellStyle name="40% - Accent6 2 2 10 2 4" xfId="19849" xr:uid="{00000000-0005-0000-0000-0000708F0000}"/>
    <cellStyle name="40% - Accent6 2 2 10 2 5" xfId="25325" xr:uid="{00000000-0005-0000-0000-0000718F0000}"/>
    <cellStyle name="40% - Accent6 2 2 10 2 6" xfId="37121" xr:uid="{00000000-0005-0000-0000-0000728F0000}"/>
    <cellStyle name="40% - Accent6 2 2 10 2 7" xfId="42598" xr:uid="{00000000-0005-0000-0000-0000738F0000}"/>
    <cellStyle name="40% - Accent6 2 2 10 2 8" xfId="48075" xr:uid="{00000000-0005-0000-0000-0000748F0000}"/>
    <cellStyle name="40% - Accent6 2 2 10 2 9" xfId="53593" xr:uid="{00000000-0005-0000-0000-0000758F0000}"/>
    <cellStyle name="40% - Accent6 2 2 10 3" xfId="5189" xr:uid="{00000000-0005-0000-0000-0000768F0000}"/>
    <cellStyle name="40% - Accent6 2 2 10 3 2" xfId="10669" xr:uid="{00000000-0005-0000-0000-0000778F0000}"/>
    <cellStyle name="40% - Accent6 2 2 10 3 3" xfId="16145" xr:uid="{00000000-0005-0000-0000-0000788F0000}"/>
    <cellStyle name="40% - Accent6 2 2 10 3 4" xfId="21621" xr:uid="{00000000-0005-0000-0000-0000798F0000}"/>
    <cellStyle name="40% - Accent6 2 2 10 3 5" xfId="27097" xr:uid="{00000000-0005-0000-0000-00007A8F0000}"/>
    <cellStyle name="40% - Accent6 2 2 10 3 6" xfId="38893" xr:uid="{00000000-0005-0000-0000-00007B8F0000}"/>
    <cellStyle name="40% - Accent6 2 2 10 3 7" xfId="44370" xr:uid="{00000000-0005-0000-0000-00007C8F0000}"/>
    <cellStyle name="40% - Accent6 2 2 10 3 8" xfId="49847" xr:uid="{00000000-0005-0000-0000-00007D8F0000}"/>
    <cellStyle name="40% - Accent6 2 2 10 3 9" xfId="55365" xr:uid="{00000000-0005-0000-0000-00007E8F0000}"/>
    <cellStyle name="40% - Accent6 2 2 10 4" xfId="6744" xr:uid="{00000000-0005-0000-0000-00007F8F0000}"/>
    <cellStyle name="40% - Accent6 2 2 10 5" xfId="12224" xr:uid="{00000000-0005-0000-0000-0000808F0000}"/>
    <cellStyle name="40% - Accent6 2 2 10 6" xfId="17700" xr:uid="{00000000-0005-0000-0000-0000818F0000}"/>
    <cellStyle name="40% - Accent6 2 2 10 7" xfId="23176" xr:uid="{00000000-0005-0000-0000-0000828F0000}"/>
    <cellStyle name="40% - Accent6 2 2 10 8" xfId="34971" xr:uid="{00000000-0005-0000-0000-0000838F0000}"/>
    <cellStyle name="40% - Accent6 2 2 10 9" xfId="40448" xr:uid="{00000000-0005-0000-0000-0000848F0000}"/>
    <cellStyle name="40% - Accent6 2 2 11" xfId="1850" xr:uid="{00000000-0005-0000-0000-0000858F0000}"/>
    <cellStyle name="40% - Accent6 2 2 11 10" xfId="45926" xr:uid="{00000000-0005-0000-0000-0000868F0000}"/>
    <cellStyle name="40% - Accent6 2 2 11 11" xfId="51404" xr:uid="{00000000-0005-0000-0000-0000878F0000}"/>
    <cellStyle name="40% - Accent6 2 2 11 2" xfId="3611" xr:uid="{00000000-0005-0000-0000-0000888F0000}"/>
    <cellStyle name="40% - Accent6 2 2 11 2 2" xfId="9091" xr:uid="{00000000-0005-0000-0000-0000898F0000}"/>
    <cellStyle name="40% - Accent6 2 2 11 2 3" xfId="14567" xr:uid="{00000000-0005-0000-0000-00008A8F0000}"/>
    <cellStyle name="40% - Accent6 2 2 11 2 4" xfId="20043" xr:uid="{00000000-0005-0000-0000-00008B8F0000}"/>
    <cellStyle name="40% - Accent6 2 2 11 2 5" xfId="25519" xr:uid="{00000000-0005-0000-0000-00008C8F0000}"/>
    <cellStyle name="40% - Accent6 2 2 11 2 6" xfId="37315" xr:uid="{00000000-0005-0000-0000-00008D8F0000}"/>
    <cellStyle name="40% - Accent6 2 2 11 2 7" xfId="42792" xr:uid="{00000000-0005-0000-0000-00008E8F0000}"/>
    <cellStyle name="40% - Accent6 2 2 11 2 8" xfId="48269" xr:uid="{00000000-0005-0000-0000-00008F8F0000}"/>
    <cellStyle name="40% - Accent6 2 2 11 2 9" xfId="53787" xr:uid="{00000000-0005-0000-0000-0000908F0000}"/>
    <cellStyle name="40% - Accent6 2 2 11 3" xfId="5383" xr:uid="{00000000-0005-0000-0000-0000918F0000}"/>
    <cellStyle name="40% - Accent6 2 2 11 3 2" xfId="10863" xr:uid="{00000000-0005-0000-0000-0000928F0000}"/>
    <cellStyle name="40% - Accent6 2 2 11 3 3" xfId="16339" xr:uid="{00000000-0005-0000-0000-0000938F0000}"/>
    <cellStyle name="40% - Accent6 2 2 11 3 4" xfId="21815" xr:uid="{00000000-0005-0000-0000-0000948F0000}"/>
    <cellStyle name="40% - Accent6 2 2 11 3 5" xfId="27291" xr:uid="{00000000-0005-0000-0000-0000958F0000}"/>
    <cellStyle name="40% - Accent6 2 2 11 3 6" xfId="39087" xr:uid="{00000000-0005-0000-0000-0000968F0000}"/>
    <cellStyle name="40% - Accent6 2 2 11 3 7" xfId="44564" xr:uid="{00000000-0005-0000-0000-0000978F0000}"/>
    <cellStyle name="40% - Accent6 2 2 11 3 8" xfId="50041" xr:uid="{00000000-0005-0000-0000-0000988F0000}"/>
    <cellStyle name="40% - Accent6 2 2 11 3 9" xfId="55559" xr:uid="{00000000-0005-0000-0000-0000998F0000}"/>
    <cellStyle name="40% - Accent6 2 2 11 4" xfId="6745" xr:uid="{00000000-0005-0000-0000-00009A8F0000}"/>
    <cellStyle name="40% - Accent6 2 2 11 5" xfId="12225" xr:uid="{00000000-0005-0000-0000-00009B8F0000}"/>
    <cellStyle name="40% - Accent6 2 2 11 6" xfId="17701" xr:uid="{00000000-0005-0000-0000-00009C8F0000}"/>
    <cellStyle name="40% - Accent6 2 2 11 7" xfId="23177" xr:uid="{00000000-0005-0000-0000-00009D8F0000}"/>
    <cellStyle name="40% - Accent6 2 2 11 8" xfId="34972" xr:uid="{00000000-0005-0000-0000-00009E8F0000}"/>
    <cellStyle name="40% - Accent6 2 2 11 9" xfId="40449" xr:uid="{00000000-0005-0000-0000-00009F8F0000}"/>
    <cellStyle name="40% - Accent6 2 2 12" xfId="2018" xr:uid="{00000000-0005-0000-0000-0000A08F0000}"/>
    <cellStyle name="40% - Accent6 2 2 12 10" xfId="52195" xr:uid="{00000000-0005-0000-0000-0000A18F0000}"/>
    <cellStyle name="40% - Accent6 2 2 12 2" xfId="5550" xr:uid="{00000000-0005-0000-0000-0000A28F0000}"/>
    <cellStyle name="40% - Accent6 2 2 12 2 2" xfId="11030" xr:uid="{00000000-0005-0000-0000-0000A38F0000}"/>
    <cellStyle name="40% - Accent6 2 2 12 2 3" xfId="16506" xr:uid="{00000000-0005-0000-0000-0000A48F0000}"/>
    <cellStyle name="40% - Accent6 2 2 12 2 4" xfId="21982" xr:uid="{00000000-0005-0000-0000-0000A58F0000}"/>
    <cellStyle name="40% - Accent6 2 2 12 2 5" xfId="27458" xr:uid="{00000000-0005-0000-0000-0000A68F0000}"/>
    <cellStyle name="40% - Accent6 2 2 12 2 6" xfId="39254" xr:uid="{00000000-0005-0000-0000-0000A78F0000}"/>
    <cellStyle name="40% - Accent6 2 2 12 2 7" xfId="44731" xr:uid="{00000000-0005-0000-0000-0000A88F0000}"/>
    <cellStyle name="40% - Accent6 2 2 12 2 8" xfId="50208" xr:uid="{00000000-0005-0000-0000-0000A98F0000}"/>
    <cellStyle name="40% - Accent6 2 2 12 2 9" xfId="55726" xr:uid="{00000000-0005-0000-0000-0000AA8F0000}"/>
    <cellStyle name="40% - Accent6 2 2 12 3" xfId="7499" xr:uid="{00000000-0005-0000-0000-0000AB8F0000}"/>
    <cellStyle name="40% - Accent6 2 2 12 4" xfId="12975" xr:uid="{00000000-0005-0000-0000-0000AC8F0000}"/>
    <cellStyle name="40% - Accent6 2 2 12 5" xfId="18451" xr:uid="{00000000-0005-0000-0000-0000AD8F0000}"/>
    <cellStyle name="40% - Accent6 2 2 12 6" xfId="23927" xr:uid="{00000000-0005-0000-0000-0000AE8F0000}"/>
    <cellStyle name="40% - Accent6 2 2 12 7" xfId="35723" xr:uid="{00000000-0005-0000-0000-0000AF8F0000}"/>
    <cellStyle name="40% - Accent6 2 2 12 8" xfId="41200" xr:uid="{00000000-0005-0000-0000-0000B08F0000}"/>
    <cellStyle name="40% - Accent6 2 2 12 9" xfId="46677" xr:uid="{00000000-0005-0000-0000-0000B18F0000}"/>
    <cellStyle name="40% - Accent6 2 2 13" xfId="3713" xr:uid="{00000000-0005-0000-0000-0000B28F0000}"/>
    <cellStyle name="40% - Accent6 2 2 13 2" xfId="9193" xr:uid="{00000000-0005-0000-0000-0000B38F0000}"/>
    <cellStyle name="40% - Accent6 2 2 13 3" xfId="14669" xr:uid="{00000000-0005-0000-0000-0000B48F0000}"/>
    <cellStyle name="40% - Accent6 2 2 13 4" xfId="20145" xr:uid="{00000000-0005-0000-0000-0000B58F0000}"/>
    <cellStyle name="40% - Accent6 2 2 13 5" xfId="25621" xr:uid="{00000000-0005-0000-0000-0000B68F0000}"/>
    <cellStyle name="40% - Accent6 2 2 13 6" xfId="37417" xr:uid="{00000000-0005-0000-0000-0000B78F0000}"/>
    <cellStyle name="40% - Accent6 2 2 13 7" xfId="42894" xr:uid="{00000000-0005-0000-0000-0000B88F0000}"/>
    <cellStyle name="40% - Accent6 2 2 13 8" xfId="48371" xr:uid="{00000000-0005-0000-0000-0000B98F0000}"/>
    <cellStyle name="40% - Accent6 2 2 13 9" xfId="53889" xr:uid="{00000000-0005-0000-0000-0000BA8F0000}"/>
    <cellStyle name="40% - Accent6 2 2 14" xfId="6743" xr:uid="{00000000-0005-0000-0000-0000BB8F0000}"/>
    <cellStyle name="40% - Accent6 2 2 15" xfId="12223" xr:uid="{00000000-0005-0000-0000-0000BC8F0000}"/>
    <cellStyle name="40% - Accent6 2 2 16" xfId="17699" xr:uid="{00000000-0005-0000-0000-0000BD8F0000}"/>
    <cellStyle name="40% - Accent6 2 2 17" xfId="23175" xr:uid="{00000000-0005-0000-0000-0000BE8F0000}"/>
    <cellStyle name="40% - Accent6 2 2 18" xfId="32541" xr:uid="{00000000-0005-0000-0000-0000BF8F0000}"/>
    <cellStyle name="40% - Accent6 2 2 19" xfId="34970" xr:uid="{00000000-0005-0000-0000-0000C08F0000}"/>
    <cellStyle name="40% - Accent6 2 2 2" xfId="233" xr:uid="{00000000-0005-0000-0000-0000C18F0000}"/>
    <cellStyle name="40% - Accent6 2 2 2 10" xfId="1851" xr:uid="{00000000-0005-0000-0000-0000C28F0000}"/>
    <cellStyle name="40% - Accent6 2 2 2 10 10" xfId="45928" xr:uid="{00000000-0005-0000-0000-0000C38F0000}"/>
    <cellStyle name="40% - Accent6 2 2 2 10 11" xfId="51406" xr:uid="{00000000-0005-0000-0000-0000C48F0000}"/>
    <cellStyle name="40% - Accent6 2 2 2 10 2" xfId="3612" xr:uid="{00000000-0005-0000-0000-0000C58F0000}"/>
    <cellStyle name="40% - Accent6 2 2 2 10 2 2" xfId="9092" xr:uid="{00000000-0005-0000-0000-0000C68F0000}"/>
    <cellStyle name="40% - Accent6 2 2 2 10 2 3" xfId="14568" xr:uid="{00000000-0005-0000-0000-0000C78F0000}"/>
    <cellStyle name="40% - Accent6 2 2 2 10 2 4" xfId="20044" xr:uid="{00000000-0005-0000-0000-0000C88F0000}"/>
    <cellStyle name="40% - Accent6 2 2 2 10 2 5" xfId="25520" xr:uid="{00000000-0005-0000-0000-0000C98F0000}"/>
    <cellStyle name="40% - Accent6 2 2 2 10 2 6" xfId="37316" xr:uid="{00000000-0005-0000-0000-0000CA8F0000}"/>
    <cellStyle name="40% - Accent6 2 2 2 10 2 7" xfId="42793" xr:uid="{00000000-0005-0000-0000-0000CB8F0000}"/>
    <cellStyle name="40% - Accent6 2 2 2 10 2 8" xfId="48270" xr:uid="{00000000-0005-0000-0000-0000CC8F0000}"/>
    <cellStyle name="40% - Accent6 2 2 2 10 2 9" xfId="53788" xr:uid="{00000000-0005-0000-0000-0000CD8F0000}"/>
    <cellStyle name="40% - Accent6 2 2 2 10 3" xfId="5384" xr:uid="{00000000-0005-0000-0000-0000CE8F0000}"/>
    <cellStyle name="40% - Accent6 2 2 2 10 3 2" xfId="10864" xr:uid="{00000000-0005-0000-0000-0000CF8F0000}"/>
    <cellStyle name="40% - Accent6 2 2 2 10 3 3" xfId="16340" xr:uid="{00000000-0005-0000-0000-0000D08F0000}"/>
    <cellStyle name="40% - Accent6 2 2 2 10 3 4" xfId="21816" xr:uid="{00000000-0005-0000-0000-0000D18F0000}"/>
    <cellStyle name="40% - Accent6 2 2 2 10 3 5" xfId="27292" xr:uid="{00000000-0005-0000-0000-0000D28F0000}"/>
    <cellStyle name="40% - Accent6 2 2 2 10 3 6" xfId="39088" xr:uid="{00000000-0005-0000-0000-0000D38F0000}"/>
    <cellStyle name="40% - Accent6 2 2 2 10 3 7" xfId="44565" xr:uid="{00000000-0005-0000-0000-0000D48F0000}"/>
    <cellStyle name="40% - Accent6 2 2 2 10 3 8" xfId="50042" xr:uid="{00000000-0005-0000-0000-0000D58F0000}"/>
    <cellStyle name="40% - Accent6 2 2 2 10 3 9" xfId="55560" xr:uid="{00000000-0005-0000-0000-0000D68F0000}"/>
    <cellStyle name="40% - Accent6 2 2 2 10 4" xfId="6747" xr:uid="{00000000-0005-0000-0000-0000D78F0000}"/>
    <cellStyle name="40% - Accent6 2 2 2 10 5" xfId="12227" xr:uid="{00000000-0005-0000-0000-0000D88F0000}"/>
    <cellStyle name="40% - Accent6 2 2 2 10 6" xfId="17703" xr:uid="{00000000-0005-0000-0000-0000D98F0000}"/>
    <cellStyle name="40% - Accent6 2 2 2 10 7" xfId="23179" xr:uid="{00000000-0005-0000-0000-0000DA8F0000}"/>
    <cellStyle name="40% - Accent6 2 2 2 10 8" xfId="34974" xr:uid="{00000000-0005-0000-0000-0000DB8F0000}"/>
    <cellStyle name="40% - Accent6 2 2 2 10 9" xfId="40451" xr:uid="{00000000-0005-0000-0000-0000DC8F0000}"/>
    <cellStyle name="40% - Accent6 2 2 2 11" xfId="2019" xr:uid="{00000000-0005-0000-0000-0000DD8F0000}"/>
    <cellStyle name="40% - Accent6 2 2 2 11 10" xfId="52196" xr:uid="{00000000-0005-0000-0000-0000DE8F0000}"/>
    <cellStyle name="40% - Accent6 2 2 2 11 2" xfId="5551" xr:uid="{00000000-0005-0000-0000-0000DF8F0000}"/>
    <cellStyle name="40% - Accent6 2 2 2 11 2 2" xfId="11031" xr:uid="{00000000-0005-0000-0000-0000E08F0000}"/>
    <cellStyle name="40% - Accent6 2 2 2 11 2 3" xfId="16507" xr:uid="{00000000-0005-0000-0000-0000E18F0000}"/>
    <cellStyle name="40% - Accent6 2 2 2 11 2 4" xfId="21983" xr:uid="{00000000-0005-0000-0000-0000E28F0000}"/>
    <cellStyle name="40% - Accent6 2 2 2 11 2 5" xfId="27459" xr:uid="{00000000-0005-0000-0000-0000E38F0000}"/>
    <cellStyle name="40% - Accent6 2 2 2 11 2 6" xfId="39255" xr:uid="{00000000-0005-0000-0000-0000E48F0000}"/>
    <cellStyle name="40% - Accent6 2 2 2 11 2 7" xfId="44732" xr:uid="{00000000-0005-0000-0000-0000E58F0000}"/>
    <cellStyle name="40% - Accent6 2 2 2 11 2 8" xfId="50209" xr:uid="{00000000-0005-0000-0000-0000E68F0000}"/>
    <cellStyle name="40% - Accent6 2 2 2 11 2 9" xfId="55727" xr:uid="{00000000-0005-0000-0000-0000E78F0000}"/>
    <cellStyle name="40% - Accent6 2 2 2 11 3" xfId="7500" xr:uid="{00000000-0005-0000-0000-0000E88F0000}"/>
    <cellStyle name="40% - Accent6 2 2 2 11 4" xfId="12976" xr:uid="{00000000-0005-0000-0000-0000E98F0000}"/>
    <cellStyle name="40% - Accent6 2 2 2 11 5" xfId="18452" xr:uid="{00000000-0005-0000-0000-0000EA8F0000}"/>
    <cellStyle name="40% - Accent6 2 2 2 11 6" xfId="23928" xr:uid="{00000000-0005-0000-0000-0000EB8F0000}"/>
    <cellStyle name="40% - Accent6 2 2 2 11 7" xfId="35724" xr:uid="{00000000-0005-0000-0000-0000EC8F0000}"/>
    <cellStyle name="40% - Accent6 2 2 2 11 8" xfId="41201" xr:uid="{00000000-0005-0000-0000-0000ED8F0000}"/>
    <cellStyle name="40% - Accent6 2 2 2 11 9" xfId="46678" xr:uid="{00000000-0005-0000-0000-0000EE8F0000}"/>
    <cellStyle name="40% - Accent6 2 2 2 12" xfId="3799" xr:uid="{00000000-0005-0000-0000-0000EF8F0000}"/>
    <cellStyle name="40% - Accent6 2 2 2 12 2" xfId="9279" xr:uid="{00000000-0005-0000-0000-0000F08F0000}"/>
    <cellStyle name="40% - Accent6 2 2 2 12 3" xfId="14755" xr:uid="{00000000-0005-0000-0000-0000F18F0000}"/>
    <cellStyle name="40% - Accent6 2 2 2 12 4" xfId="20231" xr:uid="{00000000-0005-0000-0000-0000F28F0000}"/>
    <cellStyle name="40% - Accent6 2 2 2 12 5" xfId="25707" xr:uid="{00000000-0005-0000-0000-0000F38F0000}"/>
    <cellStyle name="40% - Accent6 2 2 2 12 6" xfId="37503" xr:uid="{00000000-0005-0000-0000-0000F48F0000}"/>
    <cellStyle name="40% - Accent6 2 2 2 12 7" xfId="42980" xr:uid="{00000000-0005-0000-0000-0000F58F0000}"/>
    <cellStyle name="40% - Accent6 2 2 2 12 8" xfId="48457" xr:uid="{00000000-0005-0000-0000-0000F68F0000}"/>
    <cellStyle name="40% - Accent6 2 2 2 12 9" xfId="53975" xr:uid="{00000000-0005-0000-0000-0000F78F0000}"/>
    <cellStyle name="40% - Accent6 2 2 2 13" xfId="6746" xr:uid="{00000000-0005-0000-0000-0000F88F0000}"/>
    <cellStyle name="40% - Accent6 2 2 2 14" xfId="12226" xr:uid="{00000000-0005-0000-0000-0000F98F0000}"/>
    <cellStyle name="40% - Accent6 2 2 2 15" xfId="17702" xr:uid="{00000000-0005-0000-0000-0000FA8F0000}"/>
    <cellStyle name="40% - Accent6 2 2 2 16" xfId="23178" xr:uid="{00000000-0005-0000-0000-0000FB8F0000}"/>
    <cellStyle name="40% - Accent6 2 2 2 17" xfId="32542" xr:uid="{00000000-0005-0000-0000-0000FC8F0000}"/>
    <cellStyle name="40% - Accent6 2 2 2 18" xfId="34973" xr:uid="{00000000-0005-0000-0000-0000FD8F0000}"/>
    <cellStyle name="40% - Accent6 2 2 2 19" xfId="40450" xr:uid="{00000000-0005-0000-0000-0000FE8F0000}"/>
    <cellStyle name="40% - Accent6 2 2 2 2" xfId="390" xr:uid="{00000000-0005-0000-0000-0000FF8F0000}"/>
    <cellStyle name="40% - Accent6 2 2 2 2 10" xfId="40452" xr:uid="{00000000-0005-0000-0000-000000900000}"/>
    <cellStyle name="40% - Accent6 2 2 2 2 11" xfId="45929" xr:uid="{00000000-0005-0000-0000-000001900000}"/>
    <cellStyle name="40% - Accent6 2 2 2 2 12" xfId="51407" xr:uid="{00000000-0005-0000-0000-000002900000}"/>
    <cellStyle name="40% - Accent6 2 2 2 2 2" xfId="2181" xr:uid="{00000000-0005-0000-0000-000003900000}"/>
    <cellStyle name="40% - Accent6 2 2 2 2 2 2" xfId="7661" xr:uid="{00000000-0005-0000-0000-000004900000}"/>
    <cellStyle name="40% - Accent6 2 2 2 2 2 3" xfId="13137" xr:uid="{00000000-0005-0000-0000-000005900000}"/>
    <cellStyle name="40% - Accent6 2 2 2 2 2 4" xfId="18613" xr:uid="{00000000-0005-0000-0000-000006900000}"/>
    <cellStyle name="40% - Accent6 2 2 2 2 2 5" xfId="24089" xr:uid="{00000000-0005-0000-0000-000007900000}"/>
    <cellStyle name="40% - Accent6 2 2 2 2 2 6" xfId="35885" xr:uid="{00000000-0005-0000-0000-000008900000}"/>
    <cellStyle name="40% - Accent6 2 2 2 2 2 7" xfId="41362" xr:uid="{00000000-0005-0000-0000-000009900000}"/>
    <cellStyle name="40% - Accent6 2 2 2 2 2 8" xfId="46839" xr:uid="{00000000-0005-0000-0000-00000A900000}"/>
    <cellStyle name="40% - Accent6 2 2 2 2 2 9" xfId="52357" xr:uid="{00000000-0005-0000-0000-00000B900000}"/>
    <cellStyle name="40% - Accent6 2 2 2 2 3" xfId="3952" xr:uid="{00000000-0005-0000-0000-00000C900000}"/>
    <cellStyle name="40% - Accent6 2 2 2 2 3 2" xfId="9432" xr:uid="{00000000-0005-0000-0000-00000D900000}"/>
    <cellStyle name="40% - Accent6 2 2 2 2 3 3" xfId="14908" xr:uid="{00000000-0005-0000-0000-00000E900000}"/>
    <cellStyle name="40% - Accent6 2 2 2 2 3 4" xfId="20384" xr:uid="{00000000-0005-0000-0000-00000F900000}"/>
    <cellStyle name="40% - Accent6 2 2 2 2 3 5" xfId="25860" xr:uid="{00000000-0005-0000-0000-000010900000}"/>
    <cellStyle name="40% - Accent6 2 2 2 2 3 6" xfId="37656" xr:uid="{00000000-0005-0000-0000-000011900000}"/>
    <cellStyle name="40% - Accent6 2 2 2 2 3 7" xfId="43133" xr:uid="{00000000-0005-0000-0000-000012900000}"/>
    <cellStyle name="40% - Accent6 2 2 2 2 3 8" xfId="48610" xr:uid="{00000000-0005-0000-0000-000013900000}"/>
    <cellStyle name="40% - Accent6 2 2 2 2 3 9" xfId="54128" xr:uid="{00000000-0005-0000-0000-000014900000}"/>
    <cellStyle name="40% - Accent6 2 2 2 2 4" xfId="6748" xr:uid="{00000000-0005-0000-0000-000015900000}"/>
    <cellStyle name="40% - Accent6 2 2 2 2 5" xfId="12228" xr:uid="{00000000-0005-0000-0000-000016900000}"/>
    <cellStyle name="40% - Accent6 2 2 2 2 6" xfId="17704" xr:uid="{00000000-0005-0000-0000-000017900000}"/>
    <cellStyle name="40% - Accent6 2 2 2 2 7" xfId="23180" xr:uid="{00000000-0005-0000-0000-000018900000}"/>
    <cellStyle name="40% - Accent6 2 2 2 2 8" xfId="32543" xr:uid="{00000000-0005-0000-0000-000019900000}"/>
    <cellStyle name="40% - Accent6 2 2 2 2 9" xfId="34975" xr:uid="{00000000-0005-0000-0000-00001A900000}"/>
    <cellStyle name="40% - Accent6 2 2 2 20" xfId="45927" xr:uid="{00000000-0005-0000-0000-00001B900000}"/>
    <cellStyle name="40% - Accent6 2 2 2 21" xfId="51405" xr:uid="{00000000-0005-0000-0000-00001C900000}"/>
    <cellStyle name="40% - Accent6 2 2 2 3" xfId="591" xr:uid="{00000000-0005-0000-0000-00001D900000}"/>
    <cellStyle name="40% - Accent6 2 2 2 3 10" xfId="45930" xr:uid="{00000000-0005-0000-0000-00001E900000}"/>
    <cellStyle name="40% - Accent6 2 2 2 3 11" xfId="51408" xr:uid="{00000000-0005-0000-0000-00001F900000}"/>
    <cellStyle name="40% - Accent6 2 2 2 3 2" xfId="2352" xr:uid="{00000000-0005-0000-0000-000020900000}"/>
    <cellStyle name="40% - Accent6 2 2 2 3 2 2" xfId="7832" xr:uid="{00000000-0005-0000-0000-000021900000}"/>
    <cellStyle name="40% - Accent6 2 2 2 3 2 3" xfId="13308" xr:uid="{00000000-0005-0000-0000-000022900000}"/>
    <cellStyle name="40% - Accent6 2 2 2 3 2 4" xfId="18784" xr:uid="{00000000-0005-0000-0000-000023900000}"/>
    <cellStyle name="40% - Accent6 2 2 2 3 2 5" xfId="24260" xr:uid="{00000000-0005-0000-0000-000024900000}"/>
    <cellStyle name="40% - Accent6 2 2 2 3 2 6" xfId="36056" xr:uid="{00000000-0005-0000-0000-000025900000}"/>
    <cellStyle name="40% - Accent6 2 2 2 3 2 7" xfId="41533" xr:uid="{00000000-0005-0000-0000-000026900000}"/>
    <cellStyle name="40% - Accent6 2 2 2 3 2 8" xfId="47010" xr:uid="{00000000-0005-0000-0000-000027900000}"/>
    <cellStyle name="40% - Accent6 2 2 2 3 2 9" xfId="52528" xr:uid="{00000000-0005-0000-0000-000028900000}"/>
    <cellStyle name="40% - Accent6 2 2 2 3 3" xfId="4124" xr:uid="{00000000-0005-0000-0000-000029900000}"/>
    <cellStyle name="40% - Accent6 2 2 2 3 3 2" xfId="9604" xr:uid="{00000000-0005-0000-0000-00002A900000}"/>
    <cellStyle name="40% - Accent6 2 2 2 3 3 3" xfId="15080" xr:uid="{00000000-0005-0000-0000-00002B900000}"/>
    <cellStyle name="40% - Accent6 2 2 2 3 3 4" xfId="20556" xr:uid="{00000000-0005-0000-0000-00002C900000}"/>
    <cellStyle name="40% - Accent6 2 2 2 3 3 5" xfId="26032" xr:uid="{00000000-0005-0000-0000-00002D900000}"/>
    <cellStyle name="40% - Accent6 2 2 2 3 3 6" xfId="37828" xr:uid="{00000000-0005-0000-0000-00002E900000}"/>
    <cellStyle name="40% - Accent6 2 2 2 3 3 7" xfId="43305" xr:uid="{00000000-0005-0000-0000-00002F900000}"/>
    <cellStyle name="40% - Accent6 2 2 2 3 3 8" xfId="48782" xr:uid="{00000000-0005-0000-0000-000030900000}"/>
    <cellStyle name="40% - Accent6 2 2 2 3 3 9" xfId="54300" xr:uid="{00000000-0005-0000-0000-000031900000}"/>
    <cellStyle name="40% - Accent6 2 2 2 3 4" xfId="6749" xr:uid="{00000000-0005-0000-0000-000032900000}"/>
    <cellStyle name="40% - Accent6 2 2 2 3 5" xfId="12229" xr:uid="{00000000-0005-0000-0000-000033900000}"/>
    <cellStyle name="40% - Accent6 2 2 2 3 6" xfId="17705" xr:uid="{00000000-0005-0000-0000-000034900000}"/>
    <cellStyle name="40% - Accent6 2 2 2 3 7" xfId="23181" xr:uid="{00000000-0005-0000-0000-000035900000}"/>
    <cellStyle name="40% - Accent6 2 2 2 3 8" xfId="34976" xr:uid="{00000000-0005-0000-0000-000036900000}"/>
    <cellStyle name="40% - Accent6 2 2 2 3 9" xfId="40453" xr:uid="{00000000-0005-0000-0000-000037900000}"/>
    <cellStyle name="40% - Accent6 2 2 2 4" xfId="763" xr:uid="{00000000-0005-0000-0000-000038900000}"/>
    <cellStyle name="40% - Accent6 2 2 2 4 10" xfId="45931" xr:uid="{00000000-0005-0000-0000-000039900000}"/>
    <cellStyle name="40% - Accent6 2 2 2 4 11" xfId="51409" xr:uid="{00000000-0005-0000-0000-00003A900000}"/>
    <cellStyle name="40% - Accent6 2 2 2 4 2" xfId="2524" xr:uid="{00000000-0005-0000-0000-00003B900000}"/>
    <cellStyle name="40% - Accent6 2 2 2 4 2 2" xfId="8004" xr:uid="{00000000-0005-0000-0000-00003C900000}"/>
    <cellStyle name="40% - Accent6 2 2 2 4 2 3" xfId="13480" xr:uid="{00000000-0005-0000-0000-00003D900000}"/>
    <cellStyle name="40% - Accent6 2 2 2 4 2 4" xfId="18956" xr:uid="{00000000-0005-0000-0000-00003E900000}"/>
    <cellStyle name="40% - Accent6 2 2 2 4 2 5" xfId="24432" xr:uid="{00000000-0005-0000-0000-00003F900000}"/>
    <cellStyle name="40% - Accent6 2 2 2 4 2 6" xfId="36228" xr:uid="{00000000-0005-0000-0000-000040900000}"/>
    <cellStyle name="40% - Accent6 2 2 2 4 2 7" xfId="41705" xr:uid="{00000000-0005-0000-0000-000041900000}"/>
    <cellStyle name="40% - Accent6 2 2 2 4 2 8" xfId="47182" xr:uid="{00000000-0005-0000-0000-000042900000}"/>
    <cellStyle name="40% - Accent6 2 2 2 4 2 9" xfId="52700" xr:uid="{00000000-0005-0000-0000-000043900000}"/>
    <cellStyle name="40% - Accent6 2 2 2 4 3" xfId="4296" xr:uid="{00000000-0005-0000-0000-000044900000}"/>
    <cellStyle name="40% - Accent6 2 2 2 4 3 2" xfId="9776" xr:uid="{00000000-0005-0000-0000-000045900000}"/>
    <cellStyle name="40% - Accent6 2 2 2 4 3 3" xfId="15252" xr:uid="{00000000-0005-0000-0000-000046900000}"/>
    <cellStyle name="40% - Accent6 2 2 2 4 3 4" xfId="20728" xr:uid="{00000000-0005-0000-0000-000047900000}"/>
    <cellStyle name="40% - Accent6 2 2 2 4 3 5" xfId="26204" xr:uid="{00000000-0005-0000-0000-000048900000}"/>
    <cellStyle name="40% - Accent6 2 2 2 4 3 6" xfId="38000" xr:uid="{00000000-0005-0000-0000-000049900000}"/>
    <cellStyle name="40% - Accent6 2 2 2 4 3 7" xfId="43477" xr:uid="{00000000-0005-0000-0000-00004A900000}"/>
    <cellStyle name="40% - Accent6 2 2 2 4 3 8" xfId="48954" xr:uid="{00000000-0005-0000-0000-00004B900000}"/>
    <cellStyle name="40% - Accent6 2 2 2 4 3 9" xfId="54472" xr:uid="{00000000-0005-0000-0000-00004C900000}"/>
    <cellStyle name="40% - Accent6 2 2 2 4 4" xfId="6750" xr:uid="{00000000-0005-0000-0000-00004D900000}"/>
    <cellStyle name="40% - Accent6 2 2 2 4 5" xfId="12230" xr:uid="{00000000-0005-0000-0000-00004E900000}"/>
    <cellStyle name="40% - Accent6 2 2 2 4 6" xfId="17706" xr:uid="{00000000-0005-0000-0000-00004F900000}"/>
    <cellStyle name="40% - Accent6 2 2 2 4 7" xfId="23182" xr:uid="{00000000-0005-0000-0000-000050900000}"/>
    <cellStyle name="40% - Accent6 2 2 2 4 8" xfId="34977" xr:uid="{00000000-0005-0000-0000-000051900000}"/>
    <cellStyle name="40% - Accent6 2 2 2 4 9" xfId="40454" xr:uid="{00000000-0005-0000-0000-000052900000}"/>
    <cellStyle name="40% - Accent6 2 2 2 5" xfId="935" xr:uid="{00000000-0005-0000-0000-000053900000}"/>
    <cellStyle name="40% - Accent6 2 2 2 5 10" xfId="45932" xr:uid="{00000000-0005-0000-0000-000054900000}"/>
    <cellStyle name="40% - Accent6 2 2 2 5 11" xfId="51410" xr:uid="{00000000-0005-0000-0000-000055900000}"/>
    <cellStyle name="40% - Accent6 2 2 2 5 2" xfId="2696" xr:uid="{00000000-0005-0000-0000-000056900000}"/>
    <cellStyle name="40% - Accent6 2 2 2 5 2 2" xfId="8176" xr:uid="{00000000-0005-0000-0000-000057900000}"/>
    <cellStyle name="40% - Accent6 2 2 2 5 2 3" xfId="13652" xr:uid="{00000000-0005-0000-0000-000058900000}"/>
    <cellStyle name="40% - Accent6 2 2 2 5 2 4" xfId="19128" xr:uid="{00000000-0005-0000-0000-000059900000}"/>
    <cellStyle name="40% - Accent6 2 2 2 5 2 5" xfId="24604" xr:uid="{00000000-0005-0000-0000-00005A900000}"/>
    <cellStyle name="40% - Accent6 2 2 2 5 2 6" xfId="36400" xr:uid="{00000000-0005-0000-0000-00005B900000}"/>
    <cellStyle name="40% - Accent6 2 2 2 5 2 7" xfId="41877" xr:uid="{00000000-0005-0000-0000-00005C900000}"/>
    <cellStyle name="40% - Accent6 2 2 2 5 2 8" xfId="47354" xr:uid="{00000000-0005-0000-0000-00005D900000}"/>
    <cellStyle name="40% - Accent6 2 2 2 5 2 9" xfId="52872" xr:uid="{00000000-0005-0000-0000-00005E900000}"/>
    <cellStyle name="40% - Accent6 2 2 2 5 3" xfId="4468" xr:uid="{00000000-0005-0000-0000-00005F900000}"/>
    <cellStyle name="40% - Accent6 2 2 2 5 3 2" xfId="9948" xr:uid="{00000000-0005-0000-0000-000060900000}"/>
    <cellStyle name="40% - Accent6 2 2 2 5 3 3" xfId="15424" xr:uid="{00000000-0005-0000-0000-000061900000}"/>
    <cellStyle name="40% - Accent6 2 2 2 5 3 4" xfId="20900" xr:uid="{00000000-0005-0000-0000-000062900000}"/>
    <cellStyle name="40% - Accent6 2 2 2 5 3 5" xfId="26376" xr:uid="{00000000-0005-0000-0000-000063900000}"/>
    <cellStyle name="40% - Accent6 2 2 2 5 3 6" xfId="38172" xr:uid="{00000000-0005-0000-0000-000064900000}"/>
    <cellStyle name="40% - Accent6 2 2 2 5 3 7" xfId="43649" xr:uid="{00000000-0005-0000-0000-000065900000}"/>
    <cellStyle name="40% - Accent6 2 2 2 5 3 8" xfId="49126" xr:uid="{00000000-0005-0000-0000-000066900000}"/>
    <cellStyle name="40% - Accent6 2 2 2 5 3 9" xfId="54644" xr:uid="{00000000-0005-0000-0000-000067900000}"/>
    <cellStyle name="40% - Accent6 2 2 2 5 4" xfId="6751" xr:uid="{00000000-0005-0000-0000-000068900000}"/>
    <cellStyle name="40% - Accent6 2 2 2 5 5" xfId="12231" xr:uid="{00000000-0005-0000-0000-000069900000}"/>
    <cellStyle name="40% - Accent6 2 2 2 5 6" xfId="17707" xr:uid="{00000000-0005-0000-0000-00006A900000}"/>
    <cellStyle name="40% - Accent6 2 2 2 5 7" xfId="23183" xr:uid="{00000000-0005-0000-0000-00006B900000}"/>
    <cellStyle name="40% - Accent6 2 2 2 5 8" xfId="34978" xr:uid="{00000000-0005-0000-0000-00006C900000}"/>
    <cellStyle name="40% - Accent6 2 2 2 5 9" xfId="40455" xr:uid="{00000000-0005-0000-0000-00006D900000}"/>
    <cellStyle name="40% - Accent6 2 2 2 6" xfId="1141" xr:uid="{00000000-0005-0000-0000-00006E900000}"/>
    <cellStyle name="40% - Accent6 2 2 2 6 10" xfId="45933" xr:uid="{00000000-0005-0000-0000-00006F900000}"/>
    <cellStyle name="40% - Accent6 2 2 2 6 11" xfId="51411" xr:uid="{00000000-0005-0000-0000-000070900000}"/>
    <cellStyle name="40% - Accent6 2 2 2 6 2" xfId="2902" xr:uid="{00000000-0005-0000-0000-000071900000}"/>
    <cellStyle name="40% - Accent6 2 2 2 6 2 2" xfId="8382" xr:uid="{00000000-0005-0000-0000-000072900000}"/>
    <cellStyle name="40% - Accent6 2 2 2 6 2 3" xfId="13858" xr:uid="{00000000-0005-0000-0000-000073900000}"/>
    <cellStyle name="40% - Accent6 2 2 2 6 2 4" xfId="19334" xr:uid="{00000000-0005-0000-0000-000074900000}"/>
    <cellStyle name="40% - Accent6 2 2 2 6 2 5" xfId="24810" xr:uid="{00000000-0005-0000-0000-000075900000}"/>
    <cellStyle name="40% - Accent6 2 2 2 6 2 6" xfId="36606" xr:uid="{00000000-0005-0000-0000-000076900000}"/>
    <cellStyle name="40% - Accent6 2 2 2 6 2 7" xfId="42083" xr:uid="{00000000-0005-0000-0000-000077900000}"/>
    <cellStyle name="40% - Accent6 2 2 2 6 2 8" xfId="47560" xr:uid="{00000000-0005-0000-0000-000078900000}"/>
    <cellStyle name="40% - Accent6 2 2 2 6 2 9" xfId="53078" xr:uid="{00000000-0005-0000-0000-000079900000}"/>
    <cellStyle name="40% - Accent6 2 2 2 6 3" xfId="4674" xr:uid="{00000000-0005-0000-0000-00007A900000}"/>
    <cellStyle name="40% - Accent6 2 2 2 6 3 2" xfId="10154" xr:uid="{00000000-0005-0000-0000-00007B900000}"/>
    <cellStyle name="40% - Accent6 2 2 2 6 3 3" xfId="15630" xr:uid="{00000000-0005-0000-0000-00007C900000}"/>
    <cellStyle name="40% - Accent6 2 2 2 6 3 4" xfId="21106" xr:uid="{00000000-0005-0000-0000-00007D900000}"/>
    <cellStyle name="40% - Accent6 2 2 2 6 3 5" xfId="26582" xr:uid="{00000000-0005-0000-0000-00007E900000}"/>
    <cellStyle name="40% - Accent6 2 2 2 6 3 6" xfId="38378" xr:uid="{00000000-0005-0000-0000-00007F900000}"/>
    <cellStyle name="40% - Accent6 2 2 2 6 3 7" xfId="43855" xr:uid="{00000000-0005-0000-0000-000080900000}"/>
    <cellStyle name="40% - Accent6 2 2 2 6 3 8" xfId="49332" xr:uid="{00000000-0005-0000-0000-000081900000}"/>
    <cellStyle name="40% - Accent6 2 2 2 6 3 9" xfId="54850" xr:uid="{00000000-0005-0000-0000-000082900000}"/>
    <cellStyle name="40% - Accent6 2 2 2 6 4" xfId="6752" xr:uid="{00000000-0005-0000-0000-000083900000}"/>
    <cellStyle name="40% - Accent6 2 2 2 6 5" xfId="12232" xr:uid="{00000000-0005-0000-0000-000084900000}"/>
    <cellStyle name="40% - Accent6 2 2 2 6 6" xfId="17708" xr:uid="{00000000-0005-0000-0000-000085900000}"/>
    <cellStyle name="40% - Accent6 2 2 2 6 7" xfId="23184" xr:uid="{00000000-0005-0000-0000-000086900000}"/>
    <cellStyle name="40% - Accent6 2 2 2 6 8" xfId="34979" xr:uid="{00000000-0005-0000-0000-000087900000}"/>
    <cellStyle name="40% - Accent6 2 2 2 6 9" xfId="40456" xr:uid="{00000000-0005-0000-0000-000088900000}"/>
    <cellStyle name="40% - Accent6 2 2 2 7" xfId="1313" xr:uid="{00000000-0005-0000-0000-000089900000}"/>
    <cellStyle name="40% - Accent6 2 2 2 7 10" xfId="45934" xr:uid="{00000000-0005-0000-0000-00008A900000}"/>
    <cellStyle name="40% - Accent6 2 2 2 7 11" xfId="51412" xr:uid="{00000000-0005-0000-0000-00008B900000}"/>
    <cellStyle name="40% - Accent6 2 2 2 7 2" xfId="3074" xr:uid="{00000000-0005-0000-0000-00008C900000}"/>
    <cellStyle name="40% - Accent6 2 2 2 7 2 2" xfId="8554" xr:uid="{00000000-0005-0000-0000-00008D900000}"/>
    <cellStyle name="40% - Accent6 2 2 2 7 2 3" xfId="14030" xr:uid="{00000000-0005-0000-0000-00008E900000}"/>
    <cellStyle name="40% - Accent6 2 2 2 7 2 4" xfId="19506" xr:uid="{00000000-0005-0000-0000-00008F900000}"/>
    <cellStyle name="40% - Accent6 2 2 2 7 2 5" xfId="24982" xr:uid="{00000000-0005-0000-0000-000090900000}"/>
    <cellStyle name="40% - Accent6 2 2 2 7 2 6" xfId="36778" xr:uid="{00000000-0005-0000-0000-000091900000}"/>
    <cellStyle name="40% - Accent6 2 2 2 7 2 7" xfId="42255" xr:uid="{00000000-0005-0000-0000-000092900000}"/>
    <cellStyle name="40% - Accent6 2 2 2 7 2 8" xfId="47732" xr:uid="{00000000-0005-0000-0000-000093900000}"/>
    <cellStyle name="40% - Accent6 2 2 2 7 2 9" xfId="53250" xr:uid="{00000000-0005-0000-0000-000094900000}"/>
    <cellStyle name="40% - Accent6 2 2 2 7 3" xfId="4846" xr:uid="{00000000-0005-0000-0000-000095900000}"/>
    <cellStyle name="40% - Accent6 2 2 2 7 3 2" xfId="10326" xr:uid="{00000000-0005-0000-0000-000096900000}"/>
    <cellStyle name="40% - Accent6 2 2 2 7 3 3" xfId="15802" xr:uid="{00000000-0005-0000-0000-000097900000}"/>
    <cellStyle name="40% - Accent6 2 2 2 7 3 4" xfId="21278" xr:uid="{00000000-0005-0000-0000-000098900000}"/>
    <cellStyle name="40% - Accent6 2 2 2 7 3 5" xfId="26754" xr:uid="{00000000-0005-0000-0000-000099900000}"/>
    <cellStyle name="40% - Accent6 2 2 2 7 3 6" xfId="38550" xr:uid="{00000000-0005-0000-0000-00009A900000}"/>
    <cellStyle name="40% - Accent6 2 2 2 7 3 7" xfId="44027" xr:uid="{00000000-0005-0000-0000-00009B900000}"/>
    <cellStyle name="40% - Accent6 2 2 2 7 3 8" xfId="49504" xr:uid="{00000000-0005-0000-0000-00009C900000}"/>
    <cellStyle name="40% - Accent6 2 2 2 7 3 9" xfId="55022" xr:uid="{00000000-0005-0000-0000-00009D900000}"/>
    <cellStyle name="40% - Accent6 2 2 2 7 4" xfId="6753" xr:uid="{00000000-0005-0000-0000-00009E900000}"/>
    <cellStyle name="40% - Accent6 2 2 2 7 5" xfId="12233" xr:uid="{00000000-0005-0000-0000-00009F900000}"/>
    <cellStyle name="40% - Accent6 2 2 2 7 6" xfId="17709" xr:uid="{00000000-0005-0000-0000-0000A0900000}"/>
    <cellStyle name="40% - Accent6 2 2 2 7 7" xfId="23185" xr:uid="{00000000-0005-0000-0000-0000A1900000}"/>
    <cellStyle name="40% - Accent6 2 2 2 7 8" xfId="34980" xr:uid="{00000000-0005-0000-0000-0000A2900000}"/>
    <cellStyle name="40% - Accent6 2 2 2 7 9" xfId="40457" xr:uid="{00000000-0005-0000-0000-0000A3900000}"/>
    <cellStyle name="40% - Accent6 2 2 2 8" xfId="1485" xr:uid="{00000000-0005-0000-0000-0000A4900000}"/>
    <cellStyle name="40% - Accent6 2 2 2 8 10" xfId="45935" xr:uid="{00000000-0005-0000-0000-0000A5900000}"/>
    <cellStyle name="40% - Accent6 2 2 2 8 11" xfId="51413" xr:uid="{00000000-0005-0000-0000-0000A6900000}"/>
    <cellStyle name="40% - Accent6 2 2 2 8 2" xfId="3246" xr:uid="{00000000-0005-0000-0000-0000A7900000}"/>
    <cellStyle name="40% - Accent6 2 2 2 8 2 2" xfId="8726" xr:uid="{00000000-0005-0000-0000-0000A8900000}"/>
    <cellStyle name="40% - Accent6 2 2 2 8 2 3" xfId="14202" xr:uid="{00000000-0005-0000-0000-0000A9900000}"/>
    <cellStyle name="40% - Accent6 2 2 2 8 2 4" xfId="19678" xr:uid="{00000000-0005-0000-0000-0000AA900000}"/>
    <cellStyle name="40% - Accent6 2 2 2 8 2 5" xfId="25154" xr:uid="{00000000-0005-0000-0000-0000AB900000}"/>
    <cellStyle name="40% - Accent6 2 2 2 8 2 6" xfId="36950" xr:uid="{00000000-0005-0000-0000-0000AC900000}"/>
    <cellStyle name="40% - Accent6 2 2 2 8 2 7" xfId="42427" xr:uid="{00000000-0005-0000-0000-0000AD900000}"/>
    <cellStyle name="40% - Accent6 2 2 2 8 2 8" xfId="47904" xr:uid="{00000000-0005-0000-0000-0000AE900000}"/>
    <cellStyle name="40% - Accent6 2 2 2 8 2 9" xfId="53422" xr:uid="{00000000-0005-0000-0000-0000AF900000}"/>
    <cellStyle name="40% - Accent6 2 2 2 8 3" xfId="5018" xr:uid="{00000000-0005-0000-0000-0000B0900000}"/>
    <cellStyle name="40% - Accent6 2 2 2 8 3 2" xfId="10498" xr:uid="{00000000-0005-0000-0000-0000B1900000}"/>
    <cellStyle name="40% - Accent6 2 2 2 8 3 3" xfId="15974" xr:uid="{00000000-0005-0000-0000-0000B2900000}"/>
    <cellStyle name="40% - Accent6 2 2 2 8 3 4" xfId="21450" xr:uid="{00000000-0005-0000-0000-0000B3900000}"/>
    <cellStyle name="40% - Accent6 2 2 2 8 3 5" xfId="26926" xr:uid="{00000000-0005-0000-0000-0000B4900000}"/>
    <cellStyle name="40% - Accent6 2 2 2 8 3 6" xfId="38722" xr:uid="{00000000-0005-0000-0000-0000B5900000}"/>
    <cellStyle name="40% - Accent6 2 2 2 8 3 7" xfId="44199" xr:uid="{00000000-0005-0000-0000-0000B6900000}"/>
    <cellStyle name="40% - Accent6 2 2 2 8 3 8" xfId="49676" xr:uid="{00000000-0005-0000-0000-0000B7900000}"/>
    <cellStyle name="40% - Accent6 2 2 2 8 3 9" xfId="55194" xr:uid="{00000000-0005-0000-0000-0000B8900000}"/>
    <cellStyle name="40% - Accent6 2 2 2 8 4" xfId="6754" xr:uid="{00000000-0005-0000-0000-0000B9900000}"/>
    <cellStyle name="40% - Accent6 2 2 2 8 5" xfId="12234" xr:uid="{00000000-0005-0000-0000-0000BA900000}"/>
    <cellStyle name="40% - Accent6 2 2 2 8 6" xfId="17710" xr:uid="{00000000-0005-0000-0000-0000BB900000}"/>
    <cellStyle name="40% - Accent6 2 2 2 8 7" xfId="23186" xr:uid="{00000000-0005-0000-0000-0000BC900000}"/>
    <cellStyle name="40% - Accent6 2 2 2 8 8" xfId="34981" xr:uid="{00000000-0005-0000-0000-0000BD900000}"/>
    <cellStyle name="40% - Accent6 2 2 2 8 9" xfId="40458" xr:uid="{00000000-0005-0000-0000-0000BE900000}"/>
    <cellStyle name="40% - Accent6 2 2 2 9" xfId="1657" xr:uid="{00000000-0005-0000-0000-0000BF900000}"/>
    <cellStyle name="40% - Accent6 2 2 2 9 10" xfId="45936" xr:uid="{00000000-0005-0000-0000-0000C0900000}"/>
    <cellStyle name="40% - Accent6 2 2 2 9 11" xfId="51414" xr:uid="{00000000-0005-0000-0000-0000C1900000}"/>
    <cellStyle name="40% - Accent6 2 2 2 9 2" xfId="3418" xr:uid="{00000000-0005-0000-0000-0000C2900000}"/>
    <cellStyle name="40% - Accent6 2 2 2 9 2 2" xfId="8898" xr:uid="{00000000-0005-0000-0000-0000C3900000}"/>
    <cellStyle name="40% - Accent6 2 2 2 9 2 3" xfId="14374" xr:uid="{00000000-0005-0000-0000-0000C4900000}"/>
    <cellStyle name="40% - Accent6 2 2 2 9 2 4" xfId="19850" xr:uid="{00000000-0005-0000-0000-0000C5900000}"/>
    <cellStyle name="40% - Accent6 2 2 2 9 2 5" xfId="25326" xr:uid="{00000000-0005-0000-0000-0000C6900000}"/>
    <cellStyle name="40% - Accent6 2 2 2 9 2 6" xfId="37122" xr:uid="{00000000-0005-0000-0000-0000C7900000}"/>
    <cellStyle name="40% - Accent6 2 2 2 9 2 7" xfId="42599" xr:uid="{00000000-0005-0000-0000-0000C8900000}"/>
    <cellStyle name="40% - Accent6 2 2 2 9 2 8" xfId="48076" xr:uid="{00000000-0005-0000-0000-0000C9900000}"/>
    <cellStyle name="40% - Accent6 2 2 2 9 2 9" xfId="53594" xr:uid="{00000000-0005-0000-0000-0000CA900000}"/>
    <cellStyle name="40% - Accent6 2 2 2 9 3" xfId="5190" xr:uid="{00000000-0005-0000-0000-0000CB900000}"/>
    <cellStyle name="40% - Accent6 2 2 2 9 3 2" xfId="10670" xr:uid="{00000000-0005-0000-0000-0000CC900000}"/>
    <cellStyle name="40% - Accent6 2 2 2 9 3 3" xfId="16146" xr:uid="{00000000-0005-0000-0000-0000CD900000}"/>
    <cellStyle name="40% - Accent6 2 2 2 9 3 4" xfId="21622" xr:uid="{00000000-0005-0000-0000-0000CE900000}"/>
    <cellStyle name="40% - Accent6 2 2 2 9 3 5" xfId="27098" xr:uid="{00000000-0005-0000-0000-0000CF900000}"/>
    <cellStyle name="40% - Accent6 2 2 2 9 3 6" xfId="38894" xr:uid="{00000000-0005-0000-0000-0000D0900000}"/>
    <cellStyle name="40% - Accent6 2 2 2 9 3 7" xfId="44371" xr:uid="{00000000-0005-0000-0000-0000D1900000}"/>
    <cellStyle name="40% - Accent6 2 2 2 9 3 8" xfId="49848" xr:uid="{00000000-0005-0000-0000-0000D2900000}"/>
    <cellStyle name="40% - Accent6 2 2 2 9 3 9" xfId="55366" xr:uid="{00000000-0005-0000-0000-0000D3900000}"/>
    <cellStyle name="40% - Accent6 2 2 2 9 4" xfId="6755" xr:uid="{00000000-0005-0000-0000-0000D4900000}"/>
    <cellStyle name="40% - Accent6 2 2 2 9 5" xfId="12235" xr:uid="{00000000-0005-0000-0000-0000D5900000}"/>
    <cellStyle name="40% - Accent6 2 2 2 9 6" xfId="17711" xr:uid="{00000000-0005-0000-0000-0000D6900000}"/>
    <cellStyle name="40% - Accent6 2 2 2 9 7" xfId="23187" xr:uid="{00000000-0005-0000-0000-0000D7900000}"/>
    <cellStyle name="40% - Accent6 2 2 2 9 8" xfId="34982" xr:uid="{00000000-0005-0000-0000-0000D8900000}"/>
    <cellStyle name="40% - Accent6 2 2 2 9 9" xfId="40459" xr:uid="{00000000-0005-0000-0000-0000D9900000}"/>
    <cellStyle name="40% - Accent6 2 2 20" xfId="40447" xr:uid="{00000000-0005-0000-0000-0000DA900000}"/>
    <cellStyle name="40% - Accent6 2 2 21" xfId="45924" xr:uid="{00000000-0005-0000-0000-0000DB900000}"/>
    <cellStyle name="40% - Accent6 2 2 22" xfId="51402" xr:uid="{00000000-0005-0000-0000-0000DC900000}"/>
    <cellStyle name="40% - Accent6 2 2 3" xfId="389" xr:uid="{00000000-0005-0000-0000-0000DD900000}"/>
    <cellStyle name="40% - Accent6 2 2 3 10" xfId="40460" xr:uid="{00000000-0005-0000-0000-0000DE900000}"/>
    <cellStyle name="40% - Accent6 2 2 3 11" xfId="45937" xr:uid="{00000000-0005-0000-0000-0000DF900000}"/>
    <cellStyle name="40% - Accent6 2 2 3 12" xfId="51415" xr:uid="{00000000-0005-0000-0000-0000E0900000}"/>
    <cellStyle name="40% - Accent6 2 2 3 2" xfId="2180" xr:uid="{00000000-0005-0000-0000-0000E1900000}"/>
    <cellStyle name="40% - Accent6 2 2 3 2 2" xfId="7660" xr:uid="{00000000-0005-0000-0000-0000E2900000}"/>
    <cellStyle name="40% - Accent6 2 2 3 2 3" xfId="13136" xr:uid="{00000000-0005-0000-0000-0000E3900000}"/>
    <cellStyle name="40% - Accent6 2 2 3 2 4" xfId="18612" xr:uid="{00000000-0005-0000-0000-0000E4900000}"/>
    <cellStyle name="40% - Accent6 2 2 3 2 5" xfId="24088" xr:uid="{00000000-0005-0000-0000-0000E5900000}"/>
    <cellStyle name="40% - Accent6 2 2 3 2 6" xfId="35884" xr:uid="{00000000-0005-0000-0000-0000E6900000}"/>
    <cellStyle name="40% - Accent6 2 2 3 2 7" xfId="41361" xr:uid="{00000000-0005-0000-0000-0000E7900000}"/>
    <cellStyle name="40% - Accent6 2 2 3 2 8" xfId="46838" xr:uid="{00000000-0005-0000-0000-0000E8900000}"/>
    <cellStyle name="40% - Accent6 2 2 3 2 9" xfId="52356" xr:uid="{00000000-0005-0000-0000-0000E9900000}"/>
    <cellStyle name="40% - Accent6 2 2 3 3" xfId="3951" xr:uid="{00000000-0005-0000-0000-0000EA900000}"/>
    <cellStyle name="40% - Accent6 2 2 3 3 2" xfId="9431" xr:uid="{00000000-0005-0000-0000-0000EB900000}"/>
    <cellStyle name="40% - Accent6 2 2 3 3 3" xfId="14907" xr:uid="{00000000-0005-0000-0000-0000EC900000}"/>
    <cellStyle name="40% - Accent6 2 2 3 3 4" xfId="20383" xr:uid="{00000000-0005-0000-0000-0000ED900000}"/>
    <cellStyle name="40% - Accent6 2 2 3 3 5" xfId="25859" xr:uid="{00000000-0005-0000-0000-0000EE900000}"/>
    <cellStyle name="40% - Accent6 2 2 3 3 6" xfId="37655" xr:uid="{00000000-0005-0000-0000-0000EF900000}"/>
    <cellStyle name="40% - Accent6 2 2 3 3 7" xfId="43132" xr:uid="{00000000-0005-0000-0000-0000F0900000}"/>
    <cellStyle name="40% - Accent6 2 2 3 3 8" xfId="48609" xr:uid="{00000000-0005-0000-0000-0000F1900000}"/>
    <cellStyle name="40% - Accent6 2 2 3 3 9" xfId="54127" xr:uid="{00000000-0005-0000-0000-0000F2900000}"/>
    <cellStyle name="40% - Accent6 2 2 3 4" xfId="6756" xr:uid="{00000000-0005-0000-0000-0000F3900000}"/>
    <cellStyle name="40% - Accent6 2 2 3 5" xfId="12236" xr:uid="{00000000-0005-0000-0000-0000F4900000}"/>
    <cellStyle name="40% - Accent6 2 2 3 6" xfId="17712" xr:uid="{00000000-0005-0000-0000-0000F5900000}"/>
    <cellStyle name="40% - Accent6 2 2 3 7" xfId="23188" xr:uid="{00000000-0005-0000-0000-0000F6900000}"/>
    <cellStyle name="40% - Accent6 2 2 3 8" xfId="32544" xr:uid="{00000000-0005-0000-0000-0000F7900000}"/>
    <cellStyle name="40% - Accent6 2 2 3 9" xfId="34983" xr:uid="{00000000-0005-0000-0000-0000F8900000}"/>
    <cellStyle name="40% - Accent6 2 2 4" xfId="590" xr:uid="{00000000-0005-0000-0000-0000F9900000}"/>
    <cellStyle name="40% - Accent6 2 2 4 10" xfId="45938" xr:uid="{00000000-0005-0000-0000-0000FA900000}"/>
    <cellStyle name="40% - Accent6 2 2 4 11" xfId="51416" xr:uid="{00000000-0005-0000-0000-0000FB900000}"/>
    <cellStyle name="40% - Accent6 2 2 4 2" xfId="2351" xr:uid="{00000000-0005-0000-0000-0000FC900000}"/>
    <cellStyle name="40% - Accent6 2 2 4 2 2" xfId="7831" xr:uid="{00000000-0005-0000-0000-0000FD900000}"/>
    <cellStyle name="40% - Accent6 2 2 4 2 3" xfId="13307" xr:uid="{00000000-0005-0000-0000-0000FE900000}"/>
    <cellStyle name="40% - Accent6 2 2 4 2 4" xfId="18783" xr:uid="{00000000-0005-0000-0000-0000FF900000}"/>
    <cellStyle name="40% - Accent6 2 2 4 2 5" xfId="24259" xr:uid="{00000000-0005-0000-0000-000000910000}"/>
    <cellStyle name="40% - Accent6 2 2 4 2 6" xfId="36055" xr:uid="{00000000-0005-0000-0000-000001910000}"/>
    <cellStyle name="40% - Accent6 2 2 4 2 7" xfId="41532" xr:uid="{00000000-0005-0000-0000-000002910000}"/>
    <cellStyle name="40% - Accent6 2 2 4 2 8" xfId="47009" xr:uid="{00000000-0005-0000-0000-000003910000}"/>
    <cellStyle name="40% - Accent6 2 2 4 2 9" xfId="52527" xr:uid="{00000000-0005-0000-0000-000004910000}"/>
    <cellStyle name="40% - Accent6 2 2 4 3" xfId="4123" xr:uid="{00000000-0005-0000-0000-000005910000}"/>
    <cellStyle name="40% - Accent6 2 2 4 3 2" xfId="9603" xr:uid="{00000000-0005-0000-0000-000006910000}"/>
    <cellStyle name="40% - Accent6 2 2 4 3 3" xfId="15079" xr:uid="{00000000-0005-0000-0000-000007910000}"/>
    <cellStyle name="40% - Accent6 2 2 4 3 4" xfId="20555" xr:uid="{00000000-0005-0000-0000-000008910000}"/>
    <cellStyle name="40% - Accent6 2 2 4 3 5" xfId="26031" xr:uid="{00000000-0005-0000-0000-000009910000}"/>
    <cellStyle name="40% - Accent6 2 2 4 3 6" xfId="37827" xr:uid="{00000000-0005-0000-0000-00000A910000}"/>
    <cellStyle name="40% - Accent6 2 2 4 3 7" xfId="43304" xr:uid="{00000000-0005-0000-0000-00000B910000}"/>
    <cellStyle name="40% - Accent6 2 2 4 3 8" xfId="48781" xr:uid="{00000000-0005-0000-0000-00000C910000}"/>
    <cellStyle name="40% - Accent6 2 2 4 3 9" xfId="54299" xr:uid="{00000000-0005-0000-0000-00000D910000}"/>
    <cellStyle name="40% - Accent6 2 2 4 4" xfId="6757" xr:uid="{00000000-0005-0000-0000-00000E910000}"/>
    <cellStyle name="40% - Accent6 2 2 4 5" xfId="12237" xr:uid="{00000000-0005-0000-0000-00000F910000}"/>
    <cellStyle name="40% - Accent6 2 2 4 6" xfId="17713" xr:uid="{00000000-0005-0000-0000-000010910000}"/>
    <cellStyle name="40% - Accent6 2 2 4 7" xfId="23189" xr:uid="{00000000-0005-0000-0000-000011910000}"/>
    <cellStyle name="40% - Accent6 2 2 4 8" xfId="34984" xr:uid="{00000000-0005-0000-0000-000012910000}"/>
    <cellStyle name="40% - Accent6 2 2 4 9" xfId="40461" xr:uid="{00000000-0005-0000-0000-000013910000}"/>
    <cellStyle name="40% - Accent6 2 2 5" xfId="762" xr:uid="{00000000-0005-0000-0000-000014910000}"/>
    <cellStyle name="40% - Accent6 2 2 5 10" xfId="45939" xr:uid="{00000000-0005-0000-0000-000015910000}"/>
    <cellStyle name="40% - Accent6 2 2 5 11" xfId="51417" xr:uid="{00000000-0005-0000-0000-000016910000}"/>
    <cellStyle name="40% - Accent6 2 2 5 2" xfId="2523" xr:uid="{00000000-0005-0000-0000-000017910000}"/>
    <cellStyle name="40% - Accent6 2 2 5 2 2" xfId="8003" xr:uid="{00000000-0005-0000-0000-000018910000}"/>
    <cellStyle name="40% - Accent6 2 2 5 2 3" xfId="13479" xr:uid="{00000000-0005-0000-0000-000019910000}"/>
    <cellStyle name="40% - Accent6 2 2 5 2 4" xfId="18955" xr:uid="{00000000-0005-0000-0000-00001A910000}"/>
    <cellStyle name="40% - Accent6 2 2 5 2 5" xfId="24431" xr:uid="{00000000-0005-0000-0000-00001B910000}"/>
    <cellStyle name="40% - Accent6 2 2 5 2 6" xfId="36227" xr:uid="{00000000-0005-0000-0000-00001C910000}"/>
    <cellStyle name="40% - Accent6 2 2 5 2 7" xfId="41704" xr:uid="{00000000-0005-0000-0000-00001D910000}"/>
    <cellStyle name="40% - Accent6 2 2 5 2 8" xfId="47181" xr:uid="{00000000-0005-0000-0000-00001E910000}"/>
    <cellStyle name="40% - Accent6 2 2 5 2 9" xfId="52699" xr:uid="{00000000-0005-0000-0000-00001F910000}"/>
    <cellStyle name="40% - Accent6 2 2 5 3" xfId="4295" xr:uid="{00000000-0005-0000-0000-000020910000}"/>
    <cellStyle name="40% - Accent6 2 2 5 3 2" xfId="9775" xr:uid="{00000000-0005-0000-0000-000021910000}"/>
    <cellStyle name="40% - Accent6 2 2 5 3 3" xfId="15251" xr:uid="{00000000-0005-0000-0000-000022910000}"/>
    <cellStyle name="40% - Accent6 2 2 5 3 4" xfId="20727" xr:uid="{00000000-0005-0000-0000-000023910000}"/>
    <cellStyle name="40% - Accent6 2 2 5 3 5" xfId="26203" xr:uid="{00000000-0005-0000-0000-000024910000}"/>
    <cellStyle name="40% - Accent6 2 2 5 3 6" xfId="37999" xr:uid="{00000000-0005-0000-0000-000025910000}"/>
    <cellStyle name="40% - Accent6 2 2 5 3 7" xfId="43476" xr:uid="{00000000-0005-0000-0000-000026910000}"/>
    <cellStyle name="40% - Accent6 2 2 5 3 8" xfId="48953" xr:uid="{00000000-0005-0000-0000-000027910000}"/>
    <cellStyle name="40% - Accent6 2 2 5 3 9" xfId="54471" xr:uid="{00000000-0005-0000-0000-000028910000}"/>
    <cellStyle name="40% - Accent6 2 2 5 4" xfId="6758" xr:uid="{00000000-0005-0000-0000-000029910000}"/>
    <cellStyle name="40% - Accent6 2 2 5 5" xfId="12238" xr:uid="{00000000-0005-0000-0000-00002A910000}"/>
    <cellStyle name="40% - Accent6 2 2 5 6" xfId="17714" xr:uid="{00000000-0005-0000-0000-00002B910000}"/>
    <cellStyle name="40% - Accent6 2 2 5 7" xfId="23190" xr:uid="{00000000-0005-0000-0000-00002C910000}"/>
    <cellStyle name="40% - Accent6 2 2 5 8" xfId="34985" xr:uid="{00000000-0005-0000-0000-00002D910000}"/>
    <cellStyle name="40% - Accent6 2 2 5 9" xfId="40462" xr:uid="{00000000-0005-0000-0000-00002E910000}"/>
    <cellStyle name="40% - Accent6 2 2 6" xfId="934" xr:uid="{00000000-0005-0000-0000-00002F910000}"/>
    <cellStyle name="40% - Accent6 2 2 6 10" xfId="45940" xr:uid="{00000000-0005-0000-0000-000030910000}"/>
    <cellStyle name="40% - Accent6 2 2 6 11" xfId="51418" xr:uid="{00000000-0005-0000-0000-000031910000}"/>
    <cellStyle name="40% - Accent6 2 2 6 2" xfId="2695" xr:uid="{00000000-0005-0000-0000-000032910000}"/>
    <cellStyle name="40% - Accent6 2 2 6 2 2" xfId="8175" xr:uid="{00000000-0005-0000-0000-000033910000}"/>
    <cellStyle name="40% - Accent6 2 2 6 2 3" xfId="13651" xr:uid="{00000000-0005-0000-0000-000034910000}"/>
    <cellStyle name="40% - Accent6 2 2 6 2 4" xfId="19127" xr:uid="{00000000-0005-0000-0000-000035910000}"/>
    <cellStyle name="40% - Accent6 2 2 6 2 5" xfId="24603" xr:uid="{00000000-0005-0000-0000-000036910000}"/>
    <cellStyle name="40% - Accent6 2 2 6 2 6" xfId="36399" xr:uid="{00000000-0005-0000-0000-000037910000}"/>
    <cellStyle name="40% - Accent6 2 2 6 2 7" xfId="41876" xr:uid="{00000000-0005-0000-0000-000038910000}"/>
    <cellStyle name="40% - Accent6 2 2 6 2 8" xfId="47353" xr:uid="{00000000-0005-0000-0000-000039910000}"/>
    <cellStyle name="40% - Accent6 2 2 6 2 9" xfId="52871" xr:uid="{00000000-0005-0000-0000-00003A910000}"/>
    <cellStyle name="40% - Accent6 2 2 6 3" xfId="4467" xr:uid="{00000000-0005-0000-0000-00003B910000}"/>
    <cellStyle name="40% - Accent6 2 2 6 3 2" xfId="9947" xr:uid="{00000000-0005-0000-0000-00003C910000}"/>
    <cellStyle name="40% - Accent6 2 2 6 3 3" xfId="15423" xr:uid="{00000000-0005-0000-0000-00003D910000}"/>
    <cellStyle name="40% - Accent6 2 2 6 3 4" xfId="20899" xr:uid="{00000000-0005-0000-0000-00003E910000}"/>
    <cellStyle name="40% - Accent6 2 2 6 3 5" xfId="26375" xr:uid="{00000000-0005-0000-0000-00003F910000}"/>
    <cellStyle name="40% - Accent6 2 2 6 3 6" xfId="38171" xr:uid="{00000000-0005-0000-0000-000040910000}"/>
    <cellStyle name="40% - Accent6 2 2 6 3 7" xfId="43648" xr:uid="{00000000-0005-0000-0000-000041910000}"/>
    <cellStyle name="40% - Accent6 2 2 6 3 8" xfId="49125" xr:uid="{00000000-0005-0000-0000-000042910000}"/>
    <cellStyle name="40% - Accent6 2 2 6 3 9" xfId="54643" xr:uid="{00000000-0005-0000-0000-000043910000}"/>
    <cellStyle name="40% - Accent6 2 2 6 4" xfId="6759" xr:uid="{00000000-0005-0000-0000-000044910000}"/>
    <cellStyle name="40% - Accent6 2 2 6 5" xfId="12239" xr:uid="{00000000-0005-0000-0000-000045910000}"/>
    <cellStyle name="40% - Accent6 2 2 6 6" xfId="17715" xr:uid="{00000000-0005-0000-0000-000046910000}"/>
    <cellStyle name="40% - Accent6 2 2 6 7" xfId="23191" xr:uid="{00000000-0005-0000-0000-000047910000}"/>
    <cellStyle name="40% - Accent6 2 2 6 8" xfId="34986" xr:uid="{00000000-0005-0000-0000-000048910000}"/>
    <cellStyle name="40% - Accent6 2 2 6 9" xfId="40463" xr:uid="{00000000-0005-0000-0000-000049910000}"/>
    <cellStyle name="40% - Accent6 2 2 7" xfId="1140" xr:uid="{00000000-0005-0000-0000-00004A910000}"/>
    <cellStyle name="40% - Accent6 2 2 7 10" xfId="45941" xr:uid="{00000000-0005-0000-0000-00004B910000}"/>
    <cellStyle name="40% - Accent6 2 2 7 11" xfId="51419" xr:uid="{00000000-0005-0000-0000-00004C910000}"/>
    <cellStyle name="40% - Accent6 2 2 7 2" xfId="2901" xr:uid="{00000000-0005-0000-0000-00004D910000}"/>
    <cellStyle name="40% - Accent6 2 2 7 2 2" xfId="8381" xr:uid="{00000000-0005-0000-0000-00004E910000}"/>
    <cellStyle name="40% - Accent6 2 2 7 2 3" xfId="13857" xr:uid="{00000000-0005-0000-0000-00004F910000}"/>
    <cellStyle name="40% - Accent6 2 2 7 2 4" xfId="19333" xr:uid="{00000000-0005-0000-0000-000050910000}"/>
    <cellStyle name="40% - Accent6 2 2 7 2 5" xfId="24809" xr:uid="{00000000-0005-0000-0000-000051910000}"/>
    <cellStyle name="40% - Accent6 2 2 7 2 6" xfId="36605" xr:uid="{00000000-0005-0000-0000-000052910000}"/>
    <cellStyle name="40% - Accent6 2 2 7 2 7" xfId="42082" xr:uid="{00000000-0005-0000-0000-000053910000}"/>
    <cellStyle name="40% - Accent6 2 2 7 2 8" xfId="47559" xr:uid="{00000000-0005-0000-0000-000054910000}"/>
    <cellStyle name="40% - Accent6 2 2 7 2 9" xfId="53077" xr:uid="{00000000-0005-0000-0000-000055910000}"/>
    <cellStyle name="40% - Accent6 2 2 7 3" xfId="4673" xr:uid="{00000000-0005-0000-0000-000056910000}"/>
    <cellStyle name="40% - Accent6 2 2 7 3 2" xfId="10153" xr:uid="{00000000-0005-0000-0000-000057910000}"/>
    <cellStyle name="40% - Accent6 2 2 7 3 3" xfId="15629" xr:uid="{00000000-0005-0000-0000-000058910000}"/>
    <cellStyle name="40% - Accent6 2 2 7 3 4" xfId="21105" xr:uid="{00000000-0005-0000-0000-000059910000}"/>
    <cellStyle name="40% - Accent6 2 2 7 3 5" xfId="26581" xr:uid="{00000000-0005-0000-0000-00005A910000}"/>
    <cellStyle name="40% - Accent6 2 2 7 3 6" xfId="38377" xr:uid="{00000000-0005-0000-0000-00005B910000}"/>
    <cellStyle name="40% - Accent6 2 2 7 3 7" xfId="43854" xr:uid="{00000000-0005-0000-0000-00005C910000}"/>
    <cellStyle name="40% - Accent6 2 2 7 3 8" xfId="49331" xr:uid="{00000000-0005-0000-0000-00005D910000}"/>
    <cellStyle name="40% - Accent6 2 2 7 3 9" xfId="54849" xr:uid="{00000000-0005-0000-0000-00005E910000}"/>
    <cellStyle name="40% - Accent6 2 2 7 4" xfId="6760" xr:uid="{00000000-0005-0000-0000-00005F910000}"/>
    <cellStyle name="40% - Accent6 2 2 7 5" xfId="12240" xr:uid="{00000000-0005-0000-0000-000060910000}"/>
    <cellStyle name="40% - Accent6 2 2 7 6" xfId="17716" xr:uid="{00000000-0005-0000-0000-000061910000}"/>
    <cellStyle name="40% - Accent6 2 2 7 7" xfId="23192" xr:uid="{00000000-0005-0000-0000-000062910000}"/>
    <cellStyle name="40% - Accent6 2 2 7 8" xfId="34987" xr:uid="{00000000-0005-0000-0000-000063910000}"/>
    <cellStyle name="40% - Accent6 2 2 7 9" xfId="40464" xr:uid="{00000000-0005-0000-0000-000064910000}"/>
    <cellStyle name="40% - Accent6 2 2 8" xfId="1312" xr:uid="{00000000-0005-0000-0000-000065910000}"/>
    <cellStyle name="40% - Accent6 2 2 8 10" xfId="45942" xr:uid="{00000000-0005-0000-0000-000066910000}"/>
    <cellStyle name="40% - Accent6 2 2 8 11" xfId="51420" xr:uid="{00000000-0005-0000-0000-000067910000}"/>
    <cellStyle name="40% - Accent6 2 2 8 2" xfId="3073" xr:uid="{00000000-0005-0000-0000-000068910000}"/>
    <cellStyle name="40% - Accent6 2 2 8 2 2" xfId="8553" xr:uid="{00000000-0005-0000-0000-000069910000}"/>
    <cellStyle name="40% - Accent6 2 2 8 2 3" xfId="14029" xr:uid="{00000000-0005-0000-0000-00006A910000}"/>
    <cellStyle name="40% - Accent6 2 2 8 2 4" xfId="19505" xr:uid="{00000000-0005-0000-0000-00006B910000}"/>
    <cellStyle name="40% - Accent6 2 2 8 2 5" xfId="24981" xr:uid="{00000000-0005-0000-0000-00006C910000}"/>
    <cellStyle name="40% - Accent6 2 2 8 2 6" xfId="36777" xr:uid="{00000000-0005-0000-0000-00006D910000}"/>
    <cellStyle name="40% - Accent6 2 2 8 2 7" xfId="42254" xr:uid="{00000000-0005-0000-0000-00006E910000}"/>
    <cellStyle name="40% - Accent6 2 2 8 2 8" xfId="47731" xr:uid="{00000000-0005-0000-0000-00006F910000}"/>
    <cellStyle name="40% - Accent6 2 2 8 2 9" xfId="53249" xr:uid="{00000000-0005-0000-0000-000070910000}"/>
    <cellStyle name="40% - Accent6 2 2 8 3" xfId="4845" xr:uid="{00000000-0005-0000-0000-000071910000}"/>
    <cellStyle name="40% - Accent6 2 2 8 3 2" xfId="10325" xr:uid="{00000000-0005-0000-0000-000072910000}"/>
    <cellStyle name="40% - Accent6 2 2 8 3 3" xfId="15801" xr:uid="{00000000-0005-0000-0000-000073910000}"/>
    <cellStyle name="40% - Accent6 2 2 8 3 4" xfId="21277" xr:uid="{00000000-0005-0000-0000-000074910000}"/>
    <cellStyle name="40% - Accent6 2 2 8 3 5" xfId="26753" xr:uid="{00000000-0005-0000-0000-000075910000}"/>
    <cellStyle name="40% - Accent6 2 2 8 3 6" xfId="38549" xr:uid="{00000000-0005-0000-0000-000076910000}"/>
    <cellStyle name="40% - Accent6 2 2 8 3 7" xfId="44026" xr:uid="{00000000-0005-0000-0000-000077910000}"/>
    <cellStyle name="40% - Accent6 2 2 8 3 8" xfId="49503" xr:uid="{00000000-0005-0000-0000-000078910000}"/>
    <cellStyle name="40% - Accent6 2 2 8 3 9" xfId="55021" xr:uid="{00000000-0005-0000-0000-000079910000}"/>
    <cellStyle name="40% - Accent6 2 2 8 4" xfId="6761" xr:uid="{00000000-0005-0000-0000-00007A910000}"/>
    <cellStyle name="40% - Accent6 2 2 8 5" xfId="12241" xr:uid="{00000000-0005-0000-0000-00007B910000}"/>
    <cellStyle name="40% - Accent6 2 2 8 6" xfId="17717" xr:uid="{00000000-0005-0000-0000-00007C910000}"/>
    <cellStyle name="40% - Accent6 2 2 8 7" xfId="23193" xr:uid="{00000000-0005-0000-0000-00007D910000}"/>
    <cellStyle name="40% - Accent6 2 2 8 8" xfId="34988" xr:uid="{00000000-0005-0000-0000-00007E910000}"/>
    <cellStyle name="40% - Accent6 2 2 8 9" xfId="40465" xr:uid="{00000000-0005-0000-0000-00007F910000}"/>
    <cellStyle name="40% - Accent6 2 2 9" xfId="1484" xr:uid="{00000000-0005-0000-0000-000080910000}"/>
    <cellStyle name="40% - Accent6 2 2 9 10" xfId="45943" xr:uid="{00000000-0005-0000-0000-000081910000}"/>
    <cellStyle name="40% - Accent6 2 2 9 11" xfId="51421" xr:uid="{00000000-0005-0000-0000-000082910000}"/>
    <cellStyle name="40% - Accent6 2 2 9 2" xfId="3245" xr:uid="{00000000-0005-0000-0000-000083910000}"/>
    <cellStyle name="40% - Accent6 2 2 9 2 2" xfId="8725" xr:uid="{00000000-0005-0000-0000-000084910000}"/>
    <cellStyle name="40% - Accent6 2 2 9 2 3" xfId="14201" xr:uid="{00000000-0005-0000-0000-000085910000}"/>
    <cellStyle name="40% - Accent6 2 2 9 2 4" xfId="19677" xr:uid="{00000000-0005-0000-0000-000086910000}"/>
    <cellStyle name="40% - Accent6 2 2 9 2 5" xfId="25153" xr:uid="{00000000-0005-0000-0000-000087910000}"/>
    <cellStyle name="40% - Accent6 2 2 9 2 6" xfId="36949" xr:uid="{00000000-0005-0000-0000-000088910000}"/>
    <cellStyle name="40% - Accent6 2 2 9 2 7" xfId="42426" xr:uid="{00000000-0005-0000-0000-000089910000}"/>
    <cellStyle name="40% - Accent6 2 2 9 2 8" xfId="47903" xr:uid="{00000000-0005-0000-0000-00008A910000}"/>
    <cellStyle name="40% - Accent6 2 2 9 2 9" xfId="53421" xr:uid="{00000000-0005-0000-0000-00008B910000}"/>
    <cellStyle name="40% - Accent6 2 2 9 3" xfId="5017" xr:uid="{00000000-0005-0000-0000-00008C910000}"/>
    <cellStyle name="40% - Accent6 2 2 9 3 2" xfId="10497" xr:uid="{00000000-0005-0000-0000-00008D910000}"/>
    <cellStyle name="40% - Accent6 2 2 9 3 3" xfId="15973" xr:uid="{00000000-0005-0000-0000-00008E910000}"/>
    <cellStyle name="40% - Accent6 2 2 9 3 4" xfId="21449" xr:uid="{00000000-0005-0000-0000-00008F910000}"/>
    <cellStyle name="40% - Accent6 2 2 9 3 5" xfId="26925" xr:uid="{00000000-0005-0000-0000-000090910000}"/>
    <cellStyle name="40% - Accent6 2 2 9 3 6" xfId="38721" xr:uid="{00000000-0005-0000-0000-000091910000}"/>
    <cellStyle name="40% - Accent6 2 2 9 3 7" xfId="44198" xr:uid="{00000000-0005-0000-0000-000092910000}"/>
    <cellStyle name="40% - Accent6 2 2 9 3 8" xfId="49675" xr:uid="{00000000-0005-0000-0000-000093910000}"/>
    <cellStyle name="40% - Accent6 2 2 9 3 9" xfId="55193" xr:uid="{00000000-0005-0000-0000-000094910000}"/>
    <cellStyle name="40% - Accent6 2 2 9 4" xfId="6762" xr:uid="{00000000-0005-0000-0000-000095910000}"/>
    <cellStyle name="40% - Accent6 2 2 9 5" xfId="12242" xr:uid="{00000000-0005-0000-0000-000096910000}"/>
    <cellStyle name="40% - Accent6 2 2 9 6" xfId="17718" xr:uid="{00000000-0005-0000-0000-000097910000}"/>
    <cellStyle name="40% - Accent6 2 2 9 7" xfId="23194" xr:uid="{00000000-0005-0000-0000-000098910000}"/>
    <cellStyle name="40% - Accent6 2 2 9 8" xfId="34989" xr:uid="{00000000-0005-0000-0000-000099910000}"/>
    <cellStyle name="40% - Accent6 2 2 9 9" xfId="40466" xr:uid="{00000000-0005-0000-0000-00009A910000}"/>
    <cellStyle name="40% - Accent6 2 20" xfId="6734" xr:uid="{00000000-0005-0000-0000-00009B910000}"/>
    <cellStyle name="40% - Accent6 2 21" xfId="12214" xr:uid="{00000000-0005-0000-0000-00009C910000}"/>
    <cellStyle name="40% - Accent6 2 22" xfId="17690" xr:uid="{00000000-0005-0000-0000-00009D910000}"/>
    <cellStyle name="40% - Accent6 2 23" xfId="23166" xr:uid="{00000000-0005-0000-0000-00009E910000}"/>
    <cellStyle name="40% - Accent6 2 24" xfId="32540" xr:uid="{00000000-0005-0000-0000-00009F910000}"/>
    <cellStyle name="40% - Accent6 2 25" xfId="34961" xr:uid="{00000000-0005-0000-0000-0000A0910000}"/>
    <cellStyle name="40% - Accent6 2 26" xfId="40438" xr:uid="{00000000-0005-0000-0000-0000A1910000}"/>
    <cellStyle name="40% - Accent6 2 27" xfId="45915" xr:uid="{00000000-0005-0000-0000-0000A2910000}"/>
    <cellStyle name="40% - Accent6 2 28" xfId="51393" xr:uid="{00000000-0005-0000-0000-0000A3910000}"/>
    <cellStyle name="40% - Accent6 2 3" xfId="158" xr:uid="{00000000-0005-0000-0000-0000A4910000}"/>
    <cellStyle name="40% - Accent6 2 3 10" xfId="1658" xr:uid="{00000000-0005-0000-0000-0000A5910000}"/>
    <cellStyle name="40% - Accent6 2 3 10 10" xfId="45945" xr:uid="{00000000-0005-0000-0000-0000A6910000}"/>
    <cellStyle name="40% - Accent6 2 3 10 11" xfId="51423" xr:uid="{00000000-0005-0000-0000-0000A7910000}"/>
    <cellStyle name="40% - Accent6 2 3 10 2" xfId="3419" xr:uid="{00000000-0005-0000-0000-0000A8910000}"/>
    <cellStyle name="40% - Accent6 2 3 10 2 2" xfId="8899" xr:uid="{00000000-0005-0000-0000-0000A9910000}"/>
    <cellStyle name="40% - Accent6 2 3 10 2 3" xfId="14375" xr:uid="{00000000-0005-0000-0000-0000AA910000}"/>
    <cellStyle name="40% - Accent6 2 3 10 2 4" xfId="19851" xr:uid="{00000000-0005-0000-0000-0000AB910000}"/>
    <cellStyle name="40% - Accent6 2 3 10 2 5" xfId="25327" xr:uid="{00000000-0005-0000-0000-0000AC910000}"/>
    <cellStyle name="40% - Accent6 2 3 10 2 6" xfId="37123" xr:uid="{00000000-0005-0000-0000-0000AD910000}"/>
    <cellStyle name="40% - Accent6 2 3 10 2 7" xfId="42600" xr:uid="{00000000-0005-0000-0000-0000AE910000}"/>
    <cellStyle name="40% - Accent6 2 3 10 2 8" xfId="48077" xr:uid="{00000000-0005-0000-0000-0000AF910000}"/>
    <cellStyle name="40% - Accent6 2 3 10 2 9" xfId="53595" xr:uid="{00000000-0005-0000-0000-0000B0910000}"/>
    <cellStyle name="40% - Accent6 2 3 10 3" xfId="5191" xr:uid="{00000000-0005-0000-0000-0000B1910000}"/>
    <cellStyle name="40% - Accent6 2 3 10 3 2" xfId="10671" xr:uid="{00000000-0005-0000-0000-0000B2910000}"/>
    <cellStyle name="40% - Accent6 2 3 10 3 3" xfId="16147" xr:uid="{00000000-0005-0000-0000-0000B3910000}"/>
    <cellStyle name="40% - Accent6 2 3 10 3 4" xfId="21623" xr:uid="{00000000-0005-0000-0000-0000B4910000}"/>
    <cellStyle name="40% - Accent6 2 3 10 3 5" xfId="27099" xr:uid="{00000000-0005-0000-0000-0000B5910000}"/>
    <cellStyle name="40% - Accent6 2 3 10 3 6" xfId="38895" xr:uid="{00000000-0005-0000-0000-0000B6910000}"/>
    <cellStyle name="40% - Accent6 2 3 10 3 7" xfId="44372" xr:uid="{00000000-0005-0000-0000-0000B7910000}"/>
    <cellStyle name="40% - Accent6 2 3 10 3 8" xfId="49849" xr:uid="{00000000-0005-0000-0000-0000B8910000}"/>
    <cellStyle name="40% - Accent6 2 3 10 3 9" xfId="55367" xr:uid="{00000000-0005-0000-0000-0000B9910000}"/>
    <cellStyle name="40% - Accent6 2 3 10 4" xfId="6764" xr:uid="{00000000-0005-0000-0000-0000BA910000}"/>
    <cellStyle name="40% - Accent6 2 3 10 5" xfId="12244" xr:uid="{00000000-0005-0000-0000-0000BB910000}"/>
    <cellStyle name="40% - Accent6 2 3 10 6" xfId="17720" xr:uid="{00000000-0005-0000-0000-0000BC910000}"/>
    <cellStyle name="40% - Accent6 2 3 10 7" xfId="23196" xr:uid="{00000000-0005-0000-0000-0000BD910000}"/>
    <cellStyle name="40% - Accent6 2 3 10 8" xfId="34991" xr:uid="{00000000-0005-0000-0000-0000BE910000}"/>
    <cellStyle name="40% - Accent6 2 3 10 9" xfId="40468" xr:uid="{00000000-0005-0000-0000-0000BF910000}"/>
    <cellStyle name="40% - Accent6 2 3 11" xfId="1852" xr:uid="{00000000-0005-0000-0000-0000C0910000}"/>
    <cellStyle name="40% - Accent6 2 3 11 10" xfId="45946" xr:uid="{00000000-0005-0000-0000-0000C1910000}"/>
    <cellStyle name="40% - Accent6 2 3 11 11" xfId="51424" xr:uid="{00000000-0005-0000-0000-0000C2910000}"/>
    <cellStyle name="40% - Accent6 2 3 11 2" xfId="3613" xr:uid="{00000000-0005-0000-0000-0000C3910000}"/>
    <cellStyle name="40% - Accent6 2 3 11 2 2" xfId="9093" xr:uid="{00000000-0005-0000-0000-0000C4910000}"/>
    <cellStyle name="40% - Accent6 2 3 11 2 3" xfId="14569" xr:uid="{00000000-0005-0000-0000-0000C5910000}"/>
    <cellStyle name="40% - Accent6 2 3 11 2 4" xfId="20045" xr:uid="{00000000-0005-0000-0000-0000C6910000}"/>
    <cellStyle name="40% - Accent6 2 3 11 2 5" xfId="25521" xr:uid="{00000000-0005-0000-0000-0000C7910000}"/>
    <cellStyle name="40% - Accent6 2 3 11 2 6" xfId="37317" xr:uid="{00000000-0005-0000-0000-0000C8910000}"/>
    <cellStyle name="40% - Accent6 2 3 11 2 7" xfId="42794" xr:uid="{00000000-0005-0000-0000-0000C9910000}"/>
    <cellStyle name="40% - Accent6 2 3 11 2 8" xfId="48271" xr:uid="{00000000-0005-0000-0000-0000CA910000}"/>
    <cellStyle name="40% - Accent6 2 3 11 2 9" xfId="53789" xr:uid="{00000000-0005-0000-0000-0000CB910000}"/>
    <cellStyle name="40% - Accent6 2 3 11 3" xfId="5385" xr:uid="{00000000-0005-0000-0000-0000CC910000}"/>
    <cellStyle name="40% - Accent6 2 3 11 3 2" xfId="10865" xr:uid="{00000000-0005-0000-0000-0000CD910000}"/>
    <cellStyle name="40% - Accent6 2 3 11 3 3" xfId="16341" xr:uid="{00000000-0005-0000-0000-0000CE910000}"/>
    <cellStyle name="40% - Accent6 2 3 11 3 4" xfId="21817" xr:uid="{00000000-0005-0000-0000-0000CF910000}"/>
    <cellStyle name="40% - Accent6 2 3 11 3 5" xfId="27293" xr:uid="{00000000-0005-0000-0000-0000D0910000}"/>
    <cellStyle name="40% - Accent6 2 3 11 3 6" xfId="39089" xr:uid="{00000000-0005-0000-0000-0000D1910000}"/>
    <cellStyle name="40% - Accent6 2 3 11 3 7" xfId="44566" xr:uid="{00000000-0005-0000-0000-0000D2910000}"/>
    <cellStyle name="40% - Accent6 2 3 11 3 8" xfId="50043" xr:uid="{00000000-0005-0000-0000-0000D3910000}"/>
    <cellStyle name="40% - Accent6 2 3 11 3 9" xfId="55561" xr:uid="{00000000-0005-0000-0000-0000D4910000}"/>
    <cellStyle name="40% - Accent6 2 3 11 4" xfId="6765" xr:uid="{00000000-0005-0000-0000-0000D5910000}"/>
    <cellStyle name="40% - Accent6 2 3 11 5" xfId="12245" xr:uid="{00000000-0005-0000-0000-0000D6910000}"/>
    <cellStyle name="40% - Accent6 2 3 11 6" xfId="17721" xr:uid="{00000000-0005-0000-0000-0000D7910000}"/>
    <cellStyle name="40% - Accent6 2 3 11 7" xfId="23197" xr:uid="{00000000-0005-0000-0000-0000D8910000}"/>
    <cellStyle name="40% - Accent6 2 3 11 8" xfId="34992" xr:uid="{00000000-0005-0000-0000-0000D9910000}"/>
    <cellStyle name="40% - Accent6 2 3 11 9" xfId="40469" xr:uid="{00000000-0005-0000-0000-0000DA910000}"/>
    <cellStyle name="40% - Accent6 2 3 12" xfId="2020" xr:uid="{00000000-0005-0000-0000-0000DB910000}"/>
    <cellStyle name="40% - Accent6 2 3 12 10" xfId="52197" xr:uid="{00000000-0005-0000-0000-0000DC910000}"/>
    <cellStyle name="40% - Accent6 2 3 12 2" xfId="5552" xr:uid="{00000000-0005-0000-0000-0000DD910000}"/>
    <cellStyle name="40% - Accent6 2 3 12 2 2" xfId="11032" xr:uid="{00000000-0005-0000-0000-0000DE910000}"/>
    <cellStyle name="40% - Accent6 2 3 12 2 3" xfId="16508" xr:uid="{00000000-0005-0000-0000-0000DF910000}"/>
    <cellStyle name="40% - Accent6 2 3 12 2 4" xfId="21984" xr:uid="{00000000-0005-0000-0000-0000E0910000}"/>
    <cellStyle name="40% - Accent6 2 3 12 2 5" xfId="27460" xr:uid="{00000000-0005-0000-0000-0000E1910000}"/>
    <cellStyle name="40% - Accent6 2 3 12 2 6" xfId="39256" xr:uid="{00000000-0005-0000-0000-0000E2910000}"/>
    <cellStyle name="40% - Accent6 2 3 12 2 7" xfId="44733" xr:uid="{00000000-0005-0000-0000-0000E3910000}"/>
    <cellStyle name="40% - Accent6 2 3 12 2 8" xfId="50210" xr:uid="{00000000-0005-0000-0000-0000E4910000}"/>
    <cellStyle name="40% - Accent6 2 3 12 2 9" xfId="55728" xr:uid="{00000000-0005-0000-0000-0000E5910000}"/>
    <cellStyle name="40% - Accent6 2 3 12 3" xfId="7501" xr:uid="{00000000-0005-0000-0000-0000E6910000}"/>
    <cellStyle name="40% - Accent6 2 3 12 4" xfId="12977" xr:uid="{00000000-0005-0000-0000-0000E7910000}"/>
    <cellStyle name="40% - Accent6 2 3 12 5" xfId="18453" xr:uid="{00000000-0005-0000-0000-0000E8910000}"/>
    <cellStyle name="40% - Accent6 2 3 12 6" xfId="23929" xr:uid="{00000000-0005-0000-0000-0000E9910000}"/>
    <cellStyle name="40% - Accent6 2 3 12 7" xfId="35725" xr:uid="{00000000-0005-0000-0000-0000EA910000}"/>
    <cellStyle name="40% - Accent6 2 3 12 8" xfId="41202" xr:uid="{00000000-0005-0000-0000-0000EB910000}"/>
    <cellStyle name="40% - Accent6 2 3 12 9" xfId="46679" xr:uid="{00000000-0005-0000-0000-0000EC910000}"/>
    <cellStyle name="40% - Accent6 2 3 13" xfId="3730" xr:uid="{00000000-0005-0000-0000-0000ED910000}"/>
    <cellStyle name="40% - Accent6 2 3 13 2" xfId="9210" xr:uid="{00000000-0005-0000-0000-0000EE910000}"/>
    <cellStyle name="40% - Accent6 2 3 13 3" xfId="14686" xr:uid="{00000000-0005-0000-0000-0000EF910000}"/>
    <cellStyle name="40% - Accent6 2 3 13 4" xfId="20162" xr:uid="{00000000-0005-0000-0000-0000F0910000}"/>
    <cellStyle name="40% - Accent6 2 3 13 5" xfId="25638" xr:uid="{00000000-0005-0000-0000-0000F1910000}"/>
    <cellStyle name="40% - Accent6 2 3 13 6" xfId="37434" xr:uid="{00000000-0005-0000-0000-0000F2910000}"/>
    <cellStyle name="40% - Accent6 2 3 13 7" xfId="42911" xr:uid="{00000000-0005-0000-0000-0000F3910000}"/>
    <cellStyle name="40% - Accent6 2 3 13 8" xfId="48388" xr:uid="{00000000-0005-0000-0000-0000F4910000}"/>
    <cellStyle name="40% - Accent6 2 3 13 9" xfId="53906" xr:uid="{00000000-0005-0000-0000-0000F5910000}"/>
    <cellStyle name="40% - Accent6 2 3 14" xfId="6763" xr:uid="{00000000-0005-0000-0000-0000F6910000}"/>
    <cellStyle name="40% - Accent6 2 3 15" xfId="12243" xr:uid="{00000000-0005-0000-0000-0000F7910000}"/>
    <cellStyle name="40% - Accent6 2 3 16" xfId="17719" xr:uid="{00000000-0005-0000-0000-0000F8910000}"/>
    <cellStyle name="40% - Accent6 2 3 17" xfId="23195" xr:uid="{00000000-0005-0000-0000-0000F9910000}"/>
    <cellStyle name="40% - Accent6 2 3 18" xfId="32545" xr:uid="{00000000-0005-0000-0000-0000FA910000}"/>
    <cellStyle name="40% - Accent6 2 3 19" xfId="34990" xr:uid="{00000000-0005-0000-0000-0000FB910000}"/>
    <cellStyle name="40% - Accent6 2 3 2" xfId="250" xr:uid="{00000000-0005-0000-0000-0000FC910000}"/>
    <cellStyle name="40% - Accent6 2 3 2 10" xfId="1853" xr:uid="{00000000-0005-0000-0000-0000FD910000}"/>
    <cellStyle name="40% - Accent6 2 3 2 10 10" xfId="45948" xr:uid="{00000000-0005-0000-0000-0000FE910000}"/>
    <cellStyle name="40% - Accent6 2 3 2 10 11" xfId="51426" xr:uid="{00000000-0005-0000-0000-0000FF910000}"/>
    <cellStyle name="40% - Accent6 2 3 2 10 2" xfId="3614" xr:uid="{00000000-0005-0000-0000-000000920000}"/>
    <cellStyle name="40% - Accent6 2 3 2 10 2 2" xfId="9094" xr:uid="{00000000-0005-0000-0000-000001920000}"/>
    <cellStyle name="40% - Accent6 2 3 2 10 2 3" xfId="14570" xr:uid="{00000000-0005-0000-0000-000002920000}"/>
    <cellStyle name="40% - Accent6 2 3 2 10 2 4" xfId="20046" xr:uid="{00000000-0005-0000-0000-000003920000}"/>
    <cellStyle name="40% - Accent6 2 3 2 10 2 5" xfId="25522" xr:uid="{00000000-0005-0000-0000-000004920000}"/>
    <cellStyle name="40% - Accent6 2 3 2 10 2 6" xfId="37318" xr:uid="{00000000-0005-0000-0000-000005920000}"/>
    <cellStyle name="40% - Accent6 2 3 2 10 2 7" xfId="42795" xr:uid="{00000000-0005-0000-0000-000006920000}"/>
    <cellStyle name="40% - Accent6 2 3 2 10 2 8" xfId="48272" xr:uid="{00000000-0005-0000-0000-000007920000}"/>
    <cellStyle name="40% - Accent6 2 3 2 10 2 9" xfId="53790" xr:uid="{00000000-0005-0000-0000-000008920000}"/>
    <cellStyle name="40% - Accent6 2 3 2 10 3" xfId="5386" xr:uid="{00000000-0005-0000-0000-000009920000}"/>
    <cellStyle name="40% - Accent6 2 3 2 10 3 2" xfId="10866" xr:uid="{00000000-0005-0000-0000-00000A920000}"/>
    <cellStyle name="40% - Accent6 2 3 2 10 3 3" xfId="16342" xr:uid="{00000000-0005-0000-0000-00000B920000}"/>
    <cellStyle name="40% - Accent6 2 3 2 10 3 4" xfId="21818" xr:uid="{00000000-0005-0000-0000-00000C920000}"/>
    <cellStyle name="40% - Accent6 2 3 2 10 3 5" xfId="27294" xr:uid="{00000000-0005-0000-0000-00000D920000}"/>
    <cellStyle name="40% - Accent6 2 3 2 10 3 6" xfId="39090" xr:uid="{00000000-0005-0000-0000-00000E920000}"/>
    <cellStyle name="40% - Accent6 2 3 2 10 3 7" xfId="44567" xr:uid="{00000000-0005-0000-0000-00000F920000}"/>
    <cellStyle name="40% - Accent6 2 3 2 10 3 8" xfId="50044" xr:uid="{00000000-0005-0000-0000-000010920000}"/>
    <cellStyle name="40% - Accent6 2 3 2 10 3 9" xfId="55562" xr:uid="{00000000-0005-0000-0000-000011920000}"/>
    <cellStyle name="40% - Accent6 2 3 2 10 4" xfId="6767" xr:uid="{00000000-0005-0000-0000-000012920000}"/>
    <cellStyle name="40% - Accent6 2 3 2 10 5" xfId="12247" xr:uid="{00000000-0005-0000-0000-000013920000}"/>
    <cellStyle name="40% - Accent6 2 3 2 10 6" xfId="17723" xr:uid="{00000000-0005-0000-0000-000014920000}"/>
    <cellStyle name="40% - Accent6 2 3 2 10 7" xfId="23199" xr:uid="{00000000-0005-0000-0000-000015920000}"/>
    <cellStyle name="40% - Accent6 2 3 2 10 8" xfId="34994" xr:uid="{00000000-0005-0000-0000-000016920000}"/>
    <cellStyle name="40% - Accent6 2 3 2 10 9" xfId="40471" xr:uid="{00000000-0005-0000-0000-000017920000}"/>
    <cellStyle name="40% - Accent6 2 3 2 11" xfId="2021" xr:uid="{00000000-0005-0000-0000-000018920000}"/>
    <cellStyle name="40% - Accent6 2 3 2 11 10" xfId="52198" xr:uid="{00000000-0005-0000-0000-000019920000}"/>
    <cellStyle name="40% - Accent6 2 3 2 11 2" xfId="5553" xr:uid="{00000000-0005-0000-0000-00001A920000}"/>
    <cellStyle name="40% - Accent6 2 3 2 11 2 2" xfId="11033" xr:uid="{00000000-0005-0000-0000-00001B920000}"/>
    <cellStyle name="40% - Accent6 2 3 2 11 2 3" xfId="16509" xr:uid="{00000000-0005-0000-0000-00001C920000}"/>
    <cellStyle name="40% - Accent6 2 3 2 11 2 4" xfId="21985" xr:uid="{00000000-0005-0000-0000-00001D920000}"/>
    <cellStyle name="40% - Accent6 2 3 2 11 2 5" xfId="27461" xr:uid="{00000000-0005-0000-0000-00001E920000}"/>
    <cellStyle name="40% - Accent6 2 3 2 11 2 6" xfId="39257" xr:uid="{00000000-0005-0000-0000-00001F920000}"/>
    <cellStyle name="40% - Accent6 2 3 2 11 2 7" xfId="44734" xr:uid="{00000000-0005-0000-0000-000020920000}"/>
    <cellStyle name="40% - Accent6 2 3 2 11 2 8" xfId="50211" xr:uid="{00000000-0005-0000-0000-000021920000}"/>
    <cellStyle name="40% - Accent6 2 3 2 11 2 9" xfId="55729" xr:uid="{00000000-0005-0000-0000-000022920000}"/>
    <cellStyle name="40% - Accent6 2 3 2 11 3" xfId="7502" xr:uid="{00000000-0005-0000-0000-000023920000}"/>
    <cellStyle name="40% - Accent6 2 3 2 11 4" xfId="12978" xr:uid="{00000000-0005-0000-0000-000024920000}"/>
    <cellStyle name="40% - Accent6 2 3 2 11 5" xfId="18454" xr:uid="{00000000-0005-0000-0000-000025920000}"/>
    <cellStyle name="40% - Accent6 2 3 2 11 6" xfId="23930" xr:uid="{00000000-0005-0000-0000-000026920000}"/>
    <cellStyle name="40% - Accent6 2 3 2 11 7" xfId="35726" xr:uid="{00000000-0005-0000-0000-000027920000}"/>
    <cellStyle name="40% - Accent6 2 3 2 11 8" xfId="41203" xr:uid="{00000000-0005-0000-0000-000028920000}"/>
    <cellStyle name="40% - Accent6 2 3 2 11 9" xfId="46680" xr:uid="{00000000-0005-0000-0000-000029920000}"/>
    <cellStyle name="40% - Accent6 2 3 2 12" xfId="3816" xr:uid="{00000000-0005-0000-0000-00002A920000}"/>
    <cellStyle name="40% - Accent6 2 3 2 12 2" xfId="9296" xr:uid="{00000000-0005-0000-0000-00002B920000}"/>
    <cellStyle name="40% - Accent6 2 3 2 12 3" xfId="14772" xr:uid="{00000000-0005-0000-0000-00002C920000}"/>
    <cellStyle name="40% - Accent6 2 3 2 12 4" xfId="20248" xr:uid="{00000000-0005-0000-0000-00002D920000}"/>
    <cellStyle name="40% - Accent6 2 3 2 12 5" xfId="25724" xr:uid="{00000000-0005-0000-0000-00002E920000}"/>
    <cellStyle name="40% - Accent6 2 3 2 12 6" xfId="37520" xr:uid="{00000000-0005-0000-0000-00002F920000}"/>
    <cellStyle name="40% - Accent6 2 3 2 12 7" xfId="42997" xr:uid="{00000000-0005-0000-0000-000030920000}"/>
    <cellStyle name="40% - Accent6 2 3 2 12 8" xfId="48474" xr:uid="{00000000-0005-0000-0000-000031920000}"/>
    <cellStyle name="40% - Accent6 2 3 2 12 9" xfId="53992" xr:uid="{00000000-0005-0000-0000-000032920000}"/>
    <cellStyle name="40% - Accent6 2 3 2 13" xfId="6766" xr:uid="{00000000-0005-0000-0000-000033920000}"/>
    <cellStyle name="40% - Accent6 2 3 2 14" xfId="12246" xr:uid="{00000000-0005-0000-0000-000034920000}"/>
    <cellStyle name="40% - Accent6 2 3 2 15" xfId="17722" xr:uid="{00000000-0005-0000-0000-000035920000}"/>
    <cellStyle name="40% - Accent6 2 3 2 16" xfId="23198" xr:uid="{00000000-0005-0000-0000-000036920000}"/>
    <cellStyle name="40% - Accent6 2 3 2 17" xfId="32546" xr:uid="{00000000-0005-0000-0000-000037920000}"/>
    <cellStyle name="40% - Accent6 2 3 2 18" xfId="34993" xr:uid="{00000000-0005-0000-0000-000038920000}"/>
    <cellStyle name="40% - Accent6 2 3 2 19" xfId="40470" xr:uid="{00000000-0005-0000-0000-000039920000}"/>
    <cellStyle name="40% - Accent6 2 3 2 2" xfId="392" xr:uid="{00000000-0005-0000-0000-00003A920000}"/>
    <cellStyle name="40% - Accent6 2 3 2 2 10" xfId="40472" xr:uid="{00000000-0005-0000-0000-00003B920000}"/>
    <cellStyle name="40% - Accent6 2 3 2 2 11" xfId="45949" xr:uid="{00000000-0005-0000-0000-00003C920000}"/>
    <cellStyle name="40% - Accent6 2 3 2 2 12" xfId="51427" xr:uid="{00000000-0005-0000-0000-00003D920000}"/>
    <cellStyle name="40% - Accent6 2 3 2 2 2" xfId="2183" xr:uid="{00000000-0005-0000-0000-00003E920000}"/>
    <cellStyle name="40% - Accent6 2 3 2 2 2 2" xfId="7663" xr:uid="{00000000-0005-0000-0000-00003F920000}"/>
    <cellStyle name="40% - Accent6 2 3 2 2 2 3" xfId="13139" xr:uid="{00000000-0005-0000-0000-000040920000}"/>
    <cellStyle name="40% - Accent6 2 3 2 2 2 4" xfId="18615" xr:uid="{00000000-0005-0000-0000-000041920000}"/>
    <cellStyle name="40% - Accent6 2 3 2 2 2 5" xfId="24091" xr:uid="{00000000-0005-0000-0000-000042920000}"/>
    <cellStyle name="40% - Accent6 2 3 2 2 2 6" xfId="35887" xr:uid="{00000000-0005-0000-0000-000043920000}"/>
    <cellStyle name="40% - Accent6 2 3 2 2 2 7" xfId="41364" xr:uid="{00000000-0005-0000-0000-000044920000}"/>
    <cellStyle name="40% - Accent6 2 3 2 2 2 8" xfId="46841" xr:uid="{00000000-0005-0000-0000-000045920000}"/>
    <cellStyle name="40% - Accent6 2 3 2 2 2 9" xfId="52359" xr:uid="{00000000-0005-0000-0000-000046920000}"/>
    <cellStyle name="40% - Accent6 2 3 2 2 3" xfId="3954" xr:uid="{00000000-0005-0000-0000-000047920000}"/>
    <cellStyle name="40% - Accent6 2 3 2 2 3 2" xfId="9434" xr:uid="{00000000-0005-0000-0000-000048920000}"/>
    <cellStyle name="40% - Accent6 2 3 2 2 3 3" xfId="14910" xr:uid="{00000000-0005-0000-0000-000049920000}"/>
    <cellStyle name="40% - Accent6 2 3 2 2 3 4" xfId="20386" xr:uid="{00000000-0005-0000-0000-00004A920000}"/>
    <cellStyle name="40% - Accent6 2 3 2 2 3 5" xfId="25862" xr:uid="{00000000-0005-0000-0000-00004B920000}"/>
    <cellStyle name="40% - Accent6 2 3 2 2 3 6" xfId="37658" xr:uid="{00000000-0005-0000-0000-00004C920000}"/>
    <cellStyle name="40% - Accent6 2 3 2 2 3 7" xfId="43135" xr:uid="{00000000-0005-0000-0000-00004D920000}"/>
    <cellStyle name="40% - Accent6 2 3 2 2 3 8" xfId="48612" xr:uid="{00000000-0005-0000-0000-00004E920000}"/>
    <cellStyle name="40% - Accent6 2 3 2 2 3 9" xfId="54130" xr:uid="{00000000-0005-0000-0000-00004F920000}"/>
    <cellStyle name="40% - Accent6 2 3 2 2 4" xfId="6768" xr:uid="{00000000-0005-0000-0000-000050920000}"/>
    <cellStyle name="40% - Accent6 2 3 2 2 5" xfId="12248" xr:uid="{00000000-0005-0000-0000-000051920000}"/>
    <cellStyle name="40% - Accent6 2 3 2 2 6" xfId="17724" xr:uid="{00000000-0005-0000-0000-000052920000}"/>
    <cellStyle name="40% - Accent6 2 3 2 2 7" xfId="23200" xr:uid="{00000000-0005-0000-0000-000053920000}"/>
    <cellStyle name="40% - Accent6 2 3 2 2 8" xfId="32547" xr:uid="{00000000-0005-0000-0000-000054920000}"/>
    <cellStyle name="40% - Accent6 2 3 2 2 9" xfId="34995" xr:uid="{00000000-0005-0000-0000-000055920000}"/>
    <cellStyle name="40% - Accent6 2 3 2 20" xfId="45947" xr:uid="{00000000-0005-0000-0000-000056920000}"/>
    <cellStyle name="40% - Accent6 2 3 2 21" xfId="51425" xr:uid="{00000000-0005-0000-0000-000057920000}"/>
    <cellStyle name="40% - Accent6 2 3 2 3" xfId="593" xr:uid="{00000000-0005-0000-0000-000058920000}"/>
    <cellStyle name="40% - Accent6 2 3 2 3 10" xfId="45950" xr:uid="{00000000-0005-0000-0000-000059920000}"/>
    <cellStyle name="40% - Accent6 2 3 2 3 11" xfId="51428" xr:uid="{00000000-0005-0000-0000-00005A920000}"/>
    <cellStyle name="40% - Accent6 2 3 2 3 2" xfId="2354" xr:uid="{00000000-0005-0000-0000-00005B920000}"/>
    <cellStyle name="40% - Accent6 2 3 2 3 2 2" xfId="7834" xr:uid="{00000000-0005-0000-0000-00005C920000}"/>
    <cellStyle name="40% - Accent6 2 3 2 3 2 3" xfId="13310" xr:uid="{00000000-0005-0000-0000-00005D920000}"/>
    <cellStyle name="40% - Accent6 2 3 2 3 2 4" xfId="18786" xr:uid="{00000000-0005-0000-0000-00005E920000}"/>
    <cellStyle name="40% - Accent6 2 3 2 3 2 5" xfId="24262" xr:uid="{00000000-0005-0000-0000-00005F920000}"/>
    <cellStyle name="40% - Accent6 2 3 2 3 2 6" xfId="36058" xr:uid="{00000000-0005-0000-0000-000060920000}"/>
    <cellStyle name="40% - Accent6 2 3 2 3 2 7" xfId="41535" xr:uid="{00000000-0005-0000-0000-000061920000}"/>
    <cellStyle name="40% - Accent6 2 3 2 3 2 8" xfId="47012" xr:uid="{00000000-0005-0000-0000-000062920000}"/>
    <cellStyle name="40% - Accent6 2 3 2 3 2 9" xfId="52530" xr:uid="{00000000-0005-0000-0000-000063920000}"/>
    <cellStyle name="40% - Accent6 2 3 2 3 3" xfId="4126" xr:uid="{00000000-0005-0000-0000-000064920000}"/>
    <cellStyle name="40% - Accent6 2 3 2 3 3 2" xfId="9606" xr:uid="{00000000-0005-0000-0000-000065920000}"/>
    <cellStyle name="40% - Accent6 2 3 2 3 3 3" xfId="15082" xr:uid="{00000000-0005-0000-0000-000066920000}"/>
    <cellStyle name="40% - Accent6 2 3 2 3 3 4" xfId="20558" xr:uid="{00000000-0005-0000-0000-000067920000}"/>
    <cellStyle name="40% - Accent6 2 3 2 3 3 5" xfId="26034" xr:uid="{00000000-0005-0000-0000-000068920000}"/>
    <cellStyle name="40% - Accent6 2 3 2 3 3 6" xfId="37830" xr:uid="{00000000-0005-0000-0000-000069920000}"/>
    <cellStyle name="40% - Accent6 2 3 2 3 3 7" xfId="43307" xr:uid="{00000000-0005-0000-0000-00006A920000}"/>
    <cellStyle name="40% - Accent6 2 3 2 3 3 8" xfId="48784" xr:uid="{00000000-0005-0000-0000-00006B920000}"/>
    <cellStyle name="40% - Accent6 2 3 2 3 3 9" xfId="54302" xr:uid="{00000000-0005-0000-0000-00006C920000}"/>
    <cellStyle name="40% - Accent6 2 3 2 3 4" xfId="6769" xr:uid="{00000000-0005-0000-0000-00006D920000}"/>
    <cellStyle name="40% - Accent6 2 3 2 3 5" xfId="12249" xr:uid="{00000000-0005-0000-0000-00006E920000}"/>
    <cellStyle name="40% - Accent6 2 3 2 3 6" xfId="17725" xr:uid="{00000000-0005-0000-0000-00006F920000}"/>
    <cellStyle name="40% - Accent6 2 3 2 3 7" xfId="23201" xr:uid="{00000000-0005-0000-0000-000070920000}"/>
    <cellStyle name="40% - Accent6 2 3 2 3 8" xfId="34996" xr:uid="{00000000-0005-0000-0000-000071920000}"/>
    <cellStyle name="40% - Accent6 2 3 2 3 9" xfId="40473" xr:uid="{00000000-0005-0000-0000-000072920000}"/>
    <cellStyle name="40% - Accent6 2 3 2 4" xfId="765" xr:uid="{00000000-0005-0000-0000-000073920000}"/>
    <cellStyle name="40% - Accent6 2 3 2 4 10" xfId="45951" xr:uid="{00000000-0005-0000-0000-000074920000}"/>
    <cellStyle name="40% - Accent6 2 3 2 4 11" xfId="51429" xr:uid="{00000000-0005-0000-0000-000075920000}"/>
    <cellStyle name="40% - Accent6 2 3 2 4 2" xfId="2526" xr:uid="{00000000-0005-0000-0000-000076920000}"/>
    <cellStyle name="40% - Accent6 2 3 2 4 2 2" xfId="8006" xr:uid="{00000000-0005-0000-0000-000077920000}"/>
    <cellStyle name="40% - Accent6 2 3 2 4 2 3" xfId="13482" xr:uid="{00000000-0005-0000-0000-000078920000}"/>
    <cellStyle name="40% - Accent6 2 3 2 4 2 4" xfId="18958" xr:uid="{00000000-0005-0000-0000-000079920000}"/>
    <cellStyle name="40% - Accent6 2 3 2 4 2 5" xfId="24434" xr:uid="{00000000-0005-0000-0000-00007A920000}"/>
    <cellStyle name="40% - Accent6 2 3 2 4 2 6" xfId="36230" xr:uid="{00000000-0005-0000-0000-00007B920000}"/>
    <cellStyle name="40% - Accent6 2 3 2 4 2 7" xfId="41707" xr:uid="{00000000-0005-0000-0000-00007C920000}"/>
    <cellStyle name="40% - Accent6 2 3 2 4 2 8" xfId="47184" xr:uid="{00000000-0005-0000-0000-00007D920000}"/>
    <cellStyle name="40% - Accent6 2 3 2 4 2 9" xfId="52702" xr:uid="{00000000-0005-0000-0000-00007E920000}"/>
    <cellStyle name="40% - Accent6 2 3 2 4 3" xfId="4298" xr:uid="{00000000-0005-0000-0000-00007F920000}"/>
    <cellStyle name="40% - Accent6 2 3 2 4 3 2" xfId="9778" xr:uid="{00000000-0005-0000-0000-000080920000}"/>
    <cellStyle name="40% - Accent6 2 3 2 4 3 3" xfId="15254" xr:uid="{00000000-0005-0000-0000-000081920000}"/>
    <cellStyle name="40% - Accent6 2 3 2 4 3 4" xfId="20730" xr:uid="{00000000-0005-0000-0000-000082920000}"/>
    <cellStyle name="40% - Accent6 2 3 2 4 3 5" xfId="26206" xr:uid="{00000000-0005-0000-0000-000083920000}"/>
    <cellStyle name="40% - Accent6 2 3 2 4 3 6" xfId="38002" xr:uid="{00000000-0005-0000-0000-000084920000}"/>
    <cellStyle name="40% - Accent6 2 3 2 4 3 7" xfId="43479" xr:uid="{00000000-0005-0000-0000-000085920000}"/>
    <cellStyle name="40% - Accent6 2 3 2 4 3 8" xfId="48956" xr:uid="{00000000-0005-0000-0000-000086920000}"/>
    <cellStyle name="40% - Accent6 2 3 2 4 3 9" xfId="54474" xr:uid="{00000000-0005-0000-0000-000087920000}"/>
    <cellStyle name="40% - Accent6 2 3 2 4 4" xfId="6770" xr:uid="{00000000-0005-0000-0000-000088920000}"/>
    <cellStyle name="40% - Accent6 2 3 2 4 5" xfId="12250" xr:uid="{00000000-0005-0000-0000-000089920000}"/>
    <cellStyle name="40% - Accent6 2 3 2 4 6" xfId="17726" xr:uid="{00000000-0005-0000-0000-00008A920000}"/>
    <cellStyle name="40% - Accent6 2 3 2 4 7" xfId="23202" xr:uid="{00000000-0005-0000-0000-00008B920000}"/>
    <cellStyle name="40% - Accent6 2 3 2 4 8" xfId="34997" xr:uid="{00000000-0005-0000-0000-00008C920000}"/>
    <cellStyle name="40% - Accent6 2 3 2 4 9" xfId="40474" xr:uid="{00000000-0005-0000-0000-00008D920000}"/>
    <cellStyle name="40% - Accent6 2 3 2 5" xfId="937" xr:uid="{00000000-0005-0000-0000-00008E920000}"/>
    <cellStyle name="40% - Accent6 2 3 2 5 10" xfId="45952" xr:uid="{00000000-0005-0000-0000-00008F920000}"/>
    <cellStyle name="40% - Accent6 2 3 2 5 11" xfId="51430" xr:uid="{00000000-0005-0000-0000-000090920000}"/>
    <cellStyle name="40% - Accent6 2 3 2 5 2" xfId="2698" xr:uid="{00000000-0005-0000-0000-000091920000}"/>
    <cellStyle name="40% - Accent6 2 3 2 5 2 2" xfId="8178" xr:uid="{00000000-0005-0000-0000-000092920000}"/>
    <cellStyle name="40% - Accent6 2 3 2 5 2 3" xfId="13654" xr:uid="{00000000-0005-0000-0000-000093920000}"/>
    <cellStyle name="40% - Accent6 2 3 2 5 2 4" xfId="19130" xr:uid="{00000000-0005-0000-0000-000094920000}"/>
    <cellStyle name="40% - Accent6 2 3 2 5 2 5" xfId="24606" xr:uid="{00000000-0005-0000-0000-000095920000}"/>
    <cellStyle name="40% - Accent6 2 3 2 5 2 6" xfId="36402" xr:uid="{00000000-0005-0000-0000-000096920000}"/>
    <cellStyle name="40% - Accent6 2 3 2 5 2 7" xfId="41879" xr:uid="{00000000-0005-0000-0000-000097920000}"/>
    <cellStyle name="40% - Accent6 2 3 2 5 2 8" xfId="47356" xr:uid="{00000000-0005-0000-0000-000098920000}"/>
    <cellStyle name="40% - Accent6 2 3 2 5 2 9" xfId="52874" xr:uid="{00000000-0005-0000-0000-000099920000}"/>
    <cellStyle name="40% - Accent6 2 3 2 5 3" xfId="4470" xr:uid="{00000000-0005-0000-0000-00009A920000}"/>
    <cellStyle name="40% - Accent6 2 3 2 5 3 2" xfId="9950" xr:uid="{00000000-0005-0000-0000-00009B920000}"/>
    <cellStyle name="40% - Accent6 2 3 2 5 3 3" xfId="15426" xr:uid="{00000000-0005-0000-0000-00009C920000}"/>
    <cellStyle name="40% - Accent6 2 3 2 5 3 4" xfId="20902" xr:uid="{00000000-0005-0000-0000-00009D920000}"/>
    <cellStyle name="40% - Accent6 2 3 2 5 3 5" xfId="26378" xr:uid="{00000000-0005-0000-0000-00009E920000}"/>
    <cellStyle name="40% - Accent6 2 3 2 5 3 6" xfId="38174" xr:uid="{00000000-0005-0000-0000-00009F920000}"/>
    <cellStyle name="40% - Accent6 2 3 2 5 3 7" xfId="43651" xr:uid="{00000000-0005-0000-0000-0000A0920000}"/>
    <cellStyle name="40% - Accent6 2 3 2 5 3 8" xfId="49128" xr:uid="{00000000-0005-0000-0000-0000A1920000}"/>
    <cellStyle name="40% - Accent6 2 3 2 5 3 9" xfId="54646" xr:uid="{00000000-0005-0000-0000-0000A2920000}"/>
    <cellStyle name="40% - Accent6 2 3 2 5 4" xfId="6771" xr:uid="{00000000-0005-0000-0000-0000A3920000}"/>
    <cellStyle name="40% - Accent6 2 3 2 5 5" xfId="12251" xr:uid="{00000000-0005-0000-0000-0000A4920000}"/>
    <cellStyle name="40% - Accent6 2 3 2 5 6" xfId="17727" xr:uid="{00000000-0005-0000-0000-0000A5920000}"/>
    <cellStyle name="40% - Accent6 2 3 2 5 7" xfId="23203" xr:uid="{00000000-0005-0000-0000-0000A6920000}"/>
    <cellStyle name="40% - Accent6 2 3 2 5 8" xfId="34998" xr:uid="{00000000-0005-0000-0000-0000A7920000}"/>
    <cellStyle name="40% - Accent6 2 3 2 5 9" xfId="40475" xr:uid="{00000000-0005-0000-0000-0000A8920000}"/>
    <cellStyle name="40% - Accent6 2 3 2 6" xfId="1143" xr:uid="{00000000-0005-0000-0000-0000A9920000}"/>
    <cellStyle name="40% - Accent6 2 3 2 6 10" xfId="45953" xr:uid="{00000000-0005-0000-0000-0000AA920000}"/>
    <cellStyle name="40% - Accent6 2 3 2 6 11" xfId="51431" xr:uid="{00000000-0005-0000-0000-0000AB920000}"/>
    <cellStyle name="40% - Accent6 2 3 2 6 2" xfId="2904" xr:uid="{00000000-0005-0000-0000-0000AC920000}"/>
    <cellStyle name="40% - Accent6 2 3 2 6 2 2" xfId="8384" xr:uid="{00000000-0005-0000-0000-0000AD920000}"/>
    <cellStyle name="40% - Accent6 2 3 2 6 2 3" xfId="13860" xr:uid="{00000000-0005-0000-0000-0000AE920000}"/>
    <cellStyle name="40% - Accent6 2 3 2 6 2 4" xfId="19336" xr:uid="{00000000-0005-0000-0000-0000AF920000}"/>
    <cellStyle name="40% - Accent6 2 3 2 6 2 5" xfId="24812" xr:uid="{00000000-0005-0000-0000-0000B0920000}"/>
    <cellStyle name="40% - Accent6 2 3 2 6 2 6" xfId="36608" xr:uid="{00000000-0005-0000-0000-0000B1920000}"/>
    <cellStyle name="40% - Accent6 2 3 2 6 2 7" xfId="42085" xr:uid="{00000000-0005-0000-0000-0000B2920000}"/>
    <cellStyle name="40% - Accent6 2 3 2 6 2 8" xfId="47562" xr:uid="{00000000-0005-0000-0000-0000B3920000}"/>
    <cellStyle name="40% - Accent6 2 3 2 6 2 9" xfId="53080" xr:uid="{00000000-0005-0000-0000-0000B4920000}"/>
    <cellStyle name="40% - Accent6 2 3 2 6 3" xfId="4676" xr:uid="{00000000-0005-0000-0000-0000B5920000}"/>
    <cellStyle name="40% - Accent6 2 3 2 6 3 2" xfId="10156" xr:uid="{00000000-0005-0000-0000-0000B6920000}"/>
    <cellStyle name="40% - Accent6 2 3 2 6 3 3" xfId="15632" xr:uid="{00000000-0005-0000-0000-0000B7920000}"/>
    <cellStyle name="40% - Accent6 2 3 2 6 3 4" xfId="21108" xr:uid="{00000000-0005-0000-0000-0000B8920000}"/>
    <cellStyle name="40% - Accent6 2 3 2 6 3 5" xfId="26584" xr:uid="{00000000-0005-0000-0000-0000B9920000}"/>
    <cellStyle name="40% - Accent6 2 3 2 6 3 6" xfId="38380" xr:uid="{00000000-0005-0000-0000-0000BA920000}"/>
    <cellStyle name="40% - Accent6 2 3 2 6 3 7" xfId="43857" xr:uid="{00000000-0005-0000-0000-0000BB920000}"/>
    <cellStyle name="40% - Accent6 2 3 2 6 3 8" xfId="49334" xr:uid="{00000000-0005-0000-0000-0000BC920000}"/>
    <cellStyle name="40% - Accent6 2 3 2 6 3 9" xfId="54852" xr:uid="{00000000-0005-0000-0000-0000BD920000}"/>
    <cellStyle name="40% - Accent6 2 3 2 6 4" xfId="6772" xr:uid="{00000000-0005-0000-0000-0000BE920000}"/>
    <cellStyle name="40% - Accent6 2 3 2 6 5" xfId="12252" xr:uid="{00000000-0005-0000-0000-0000BF920000}"/>
    <cellStyle name="40% - Accent6 2 3 2 6 6" xfId="17728" xr:uid="{00000000-0005-0000-0000-0000C0920000}"/>
    <cellStyle name="40% - Accent6 2 3 2 6 7" xfId="23204" xr:uid="{00000000-0005-0000-0000-0000C1920000}"/>
    <cellStyle name="40% - Accent6 2 3 2 6 8" xfId="34999" xr:uid="{00000000-0005-0000-0000-0000C2920000}"/>
    <cellStyle name="40% - Accent6 2 3 2 6 9" xfId="40476" xr:uid="{00000000-0005-0000-0000-0000C3920000}"/>
    <cellStyle name="40% - Accent6 2 3 2 7" xfId="1315" xr:uid="{00000000-0005-0000-0000-0000C4920000}"/>
    <cellStyle name="40% - Accent6 2 3 2 7 10" xfId="45954" xr:uid="{00000000-0005-0000-0000-0000C5920000}"/>
    <cellStyle name="40% - Accent6 2 3 2 7 11" xfId="51432" xr:uid="{00000000-0005-0000-0000-0000C6920000}"/>
    <cellStyle name="40% - Accent6 2 3 2 7 2" xfId="3076" xr:uid="{00000000-0005-0000-0000-0000C7920000}"/>
    <cellStyle name="40% - Accent6 2 3 2 7 2 2" xfId="8556" xr:uid="{00000000-0005-0000-0000-0000C8920000}"/>
    <cellStyle name="40% - Accent6 2 3 2 7 2 3" xfId="14032" xr:uid="{00000000-0005-0000-0000-0000C9920000}"/>
    <cellStyle name="40% - Accent6 2 3 2 7 2 4" xfId="19508" xr:uid="{00000000-0005-0000-0000-0000CA920000}"/>
    <cellStyle name="40% - Accent6 2 3 2 7 2 5" xfId="24984" xr:uid="{00000000-0005-0000-0000-0000CB920000}"/>
    <cellStyle name="40% - Accent6 2 3 2 7 2 6" xfId="36780" xr:uid="{00000000-0005-0000-0000-0000CC920000}"/>
    <cellStyle name="40% - Accent6 2 3 2 7 2 7" xfId="42257" xr:uid="{00000000-0005-0000-0000-0000CD920000}"/>
    <cellStyle name="40% - Accent6 2 3 2 7 2 8" xfId="47734" xr:uid="{00000000-0005-0000-0000-0000CE920000}"/>
    <cellStyle name="40% - Accent6 2 3 2 7 2 9" xfId="53252" xr:uid="{00000000-0005-0000-0000-0000CF920000}"/>
    <cellStyle name="40% - Accent6 2 3 2 7 3" xfId="4848" xr:uid="{00000000-0005-0000-0000-0000D0920000}"/>
    <cellStyle name="40% - Accent6 2 3 2 7 3 2" xfId="10328" xr:uid="{00000000-0005-0000-0000-0000D1920000}"/>
    <cellStyle name="40% - Accent6 2 3 2 7 3 3" xfId="15804" xr:uid="{00000000-0005-0000-0000-0000D2920000}"/>
    <cellStyle name="40% - Accent6 2 3 2 7 3 4" xfId="21280" xr:uid="{00000000-0005-0000-0000-0000D3920000}"/>
    <cellStyle name="40% - Accent6 2 3 2 7 3 5" xfId="26756" xr:uid="{00000000-0005-0000-0000-0000D4920000}"/>
    <cellStyle name="40% - Accent6 2 3 2 7 3 6" xfId="38552" xr:uid="{00000000-0005-0000-0000-0000D5920000}"/>
    <cellStyle name="40% - Accent6 2 3 2 7 3 7" xfId="44029" xr:uid="{00000000-0005-0000-0000-0000D6920000}"/>
    <cellStyle name="40% - Accent6 2 3 2 7 3 8" xfId="49506" xr:uid="{00000000-0005-0000-0000-0000D7920000}"/>
    <cellStyle name="40% - Accent6 2 3 2 7 3 9" xfId="55024" xr:uid="{00000000-0005-0000-0000-0000D8920000}"/>
    <cellStyle name="40% - Accent6 2 3 2 7 4" xfId="6773" xr:uid="{00000000-0005-0000-0000-0000D9920000}"/>
    <cellStyle name="40% - Accent6 2 3 2 7 5" xfId="12253" xr:uid="{00000000-0005-0000-0000-0000DA920000}"/>
    <cellStyle name="40% - Accent6 2 3 2 7 6" xfId="17729" xr:uid="{00000000-0005-0000-0000-0000DB920000}"/>
    <cellStyle name="40% - Accent6 2 3 2 7 7" xfId="23205" xr:uid="{00000000-0005-0000-0000-0000DC920000}"/>
    <cellStyle name="40% - Accent6 2 3 2 7 8" xfId="35000" xr:uid="{00000000-0005-0000-0000-0000DD920000}"/>
    <cellStyle name="40% - Accent6 2 3 2 7 9" xfId="40477" xr:uid="{00000000-0005-0000-0000-0000DE920000}"/>
    <cellStyle name="40% - Accent6 2 3 2 8" xfId="1487" xr:uid="{00000000-0005-0000-0000-0000DF920000}"/>
    <cellStyle name="40% - Accent6 2 3 2 8 10" xfId="45955" xr:uid="{00000000-0005-0000-0000-0000E0920000}"/>
    <cellStyle name="40% - Accent6 2 3 2 8 11" xfId="51433" xr:uid="{00000000-0005-0000-0000-0000E1920000}"/>
    <cellStyle name="40% - Accent6 2 3 2 8 2" xfId="3248" xr:uid="{00000000-0005-0000-0000-0000E2920000}"/>
    <cellStyle name="40% - Accent6 2 3 2 8 2 2" xfId="8728" xr:uid="{00000000-0005-0000-0000-0000E3920000}"/>
    <cellStyle name="40% - Accent6 2 3 2 8 2 3" xfId="14204" xr:uid="{00000000-0005-0000-0000-0000E4920000}"/>
    <cellStyle name="40% - Accent6 2 3 2 8 2 4" xfId="19680" xr:uid="{00000000-0005-0000-0000-0000E5920000}"/>
    <cellStyle name="40% - Accent6 2 3 2 8 2 5" xfId="25156" xr:uid="{00000000-0005-0000-0000-0000E6920000}"/>
    <cellStyle name="40% - Accent6 2 3 2 8 2 6" xfId="36952" xr:uid="{00000000-0005-0000-0000-0000E7920000}"/>
    <cellStyle name="40% - Accent6 2 3 2 8 2 7" xfId="42429" xr:uid="{00000000-0005-0000-0000-0000E8920000}"/>
    <cellStyle name="40% - Accent6 2 3 2 8 2 8" xfId="47906" xr:uid="{00000000-0005-0000-0000-0000E9920000}"/>
    <cellStyle name="40% - Accent6 2 3 2 8 2 9" xfId="53424" xr:uid="{00000000-0005-0000-0000-0000EA920000}"/>
    <cellStyle name="40% - Accent6 2 3 2 8 3" xfId="5020" xr:uid="{00000000-0005-0000-0000-0000EB920000}"/>
    <cellStyle name="40% - Accent6 2 3 2 8 3 2" xfId="10500" xr:uid="{00000000-0005-0000-0000-0000EC920000}"/>
    <cellStyle name="40% - Accent6 2 3 2 8 3 3" xfId="15976" xr:uid="{00000000-0005-0000-0000-0000ED920000}"/>
    <cellStyle name="40% - Accent6 2 3 2 8 3 4" xfId="21452" xr:uid="{00000000-0005-0000-0000-0000EE920000}"/>
    <cellStyle name="40% - Accent6 2 3 2 8 3 5" xfId="26928" xr:uid="{00000000-0005-0000-0000-0000EF920000}"/>
    <cellStyle name="40% - Accent6 2 3 2 8 3 6" xfId="38724" xr:uid="{00000000-0005-0000-0000-0000F0920000}"/>
    <cellStyle name="40% - Accent6 2 3 2 8 3 7" xfId="44201" xr:uid="{00000000-0005-0000-0000-0000F1920000}"/>
    <cellStyle name="40% - Accent6 2 3 2 8 3 8" xfId="49678" xr:uid="{00000000-0005-0000-0000-0000F2920000}"/>
    <cellStyle name="40% - Accent6 2 3 2 8 3 9" xfId="55196" xr:uid="{00000000-0005-0000-0000-0000F3920000}"/>
    <cellStyle name="40% - Accent6 2 3 2 8 4" xfId="6774" xr:uid="{00000000-0005-0000-0000-0000F4920000}"/>
    <cellStyle name="40% - Accent6 2 3 2 8 5" xfId="12254" xr:uid="{00000000-0005-0000-0000-0000F5920000}"/>
    <cellStyle name="40% - Accent6 2 3 2 8 6" xfId="17730" xr:uid="{00000000-0005-0000-0000-0000F6920000}"/>
    <cellStyle name="40% - Accent6 2 3 2 8 7" xfId="23206" xr:uid="{00000000-0005-0000-0000-0000F7920000}"/>
    <cellStyle name="40% - Accent6 2 3 2 8 8" xfId="35001" xr:uid="{00000000-0005-0000-0000-0000F8920000}"/>
    <cellStyle name="40% - Accent6 2 3 2 8 9" xfId="40478" xr:uid="{00000000-0005-0000-0000-0000F9920000}"/>
    <cellStyle name="40% - Accent6 2 3 2 9" xfId="1659" xr:uid="{00000000-0005-0000-0000-0000FA920000}"/>
    <cellStyle name="40% - Accent6 2 3 2 9 10" xfId="45956" xr:uid="{00000000-0005-0000-0000-0000FB920000}"/>
    <cellStyle name="40% - Accent6 2 3 2 9 11" xfId="51434" xr:uid="{00000000-0005-0000-0000-0000FC920000}"/>
    <cellStyle name="40% - Accent6 2 3 2 9 2" xfId="3420" xr:uid="{00000000-0005-0000-0000-0000FD920000}"/>
    <cellStyle name="40% - Accent6 2 3 2 9 2 2" xfId="8900" xr:uid="{00000000-0005-0000-0000-0000FE920000}"/>
    <cellStyle name="40% - Accent6 2 3 2 9 2 3" xfId="14376" xr:uid="{00000000-0005-0000-0000-0000FF920000}"/>
    <cellStyle name="40% - Accent6 2 3 2 9 2 4" xfId="19852" xr:uid="{00000000-0005-0000-0000-000000930000}"/>
    <cellStyle name="40% - Accent6 2 3 2 9 2 5" xfId="25328" xr:uid="{00000000-0005-0000-0000-000001930000}"/>
    <cellStyle name="40% - Accent6 2 3 2 9 2 6" xfId="37124" xr:uid="{00000000-0005-0000-0000-000002930000}"/>
    <cellStyle name="40% - Accent6 2 3 2 9 2 7" xfId="42601" xr:uid="{00000000-0005-0000-0000-000003930000}"/>
    <cellStyle name="40% - Accent6 2 3 2 9 2 8" xfId="48078" xr:uid="{00000000-0005-0000-0000-000004930000}"/>
    <cellStyle name="40% - Accent6 2 3 2 9 2 9" xfId="53596" xr:uid="{00000000-0005-0000-0000-000005930000}"/>
    <cellStyle name="40% - Accent6 2 3 2 9 3" xfId="5192" xr:uid="{00000000-0005-0000-0000-000006930000}"/>
    <cellStyle name="40% - Accent6 2 3 2 9 3 2" xfId="10672" xr:uid="{00000000-0005-0000-0000-000007930000}"/>
    <cellStyle name="40% - Accent6 2 3 2 9 3 3" xfId="16148" xr:uid="{00000000-0005-0000-0000-000008930000}"/>
    <cellStyle name="40% - Accent6 2 3 2 9 3 4" xfId="21624" xr:uid="{00000000-0005-0000-0000-000009930000}"/>
    <cellStyle name="40% - Accent6 2 3 2 9 3 5" xfId="27100" xr:uid="{00000000-0005-0000-0000-00000A930000}"/>
    <cellStyle name="40% - Accent6 2 3 2 9 3 6" xfId="38896" xr:uid="{00000000-0005-0000-0000-00000B930000}"/>
    <cellStyle name="40% - Accent6 2 3 2 9 3 7" xfId="44373" xr:uid="{00000000-0005-0000-0000-00000C930000}"/>
    <cellStyle name="40% - Accent6 2 3 2 9 3 8" xfId="49850" xr:uid="{00000000-0005-0000-0000-00000D930000}"/>
    <cellStyle name="40% - Accent6 2 3 2 9 3 9" xfId="55368" xr:uid="{00000000-0005-0000-0000-00000E930000}"/>
    <cellStyle name="40% - Accent6 2 3 2 9 4" xfId="6775" xr:uid="{00000000-0005-0000-0000-00000F930000}"/>
    <cellStyle name="40% - Accent6 2 3 2 9 5" xfId="12255" xr:uid="{00000000-0005-0000-0000-000010930000}"/>
    <cellStyle name="40% - Accent6 2 3 2 9 6" xfId="17731" xr:uid="{00000000-0005-0000-0000-000011930000}"/>
    <cellStyle name="40% - Accent6 2 3 2 9 7" xfId="23207" xr:uid="{00000000-0005-0000-0000-000012930000}"/>
    <cellStyle name="40% - Accent6 2 3 2 9 8" xfId="35002" xr:uid="{00000000-0005-0000-0000-000013930000}"/>
    <cellStyle name="40% - Accent6 2 3 2 9 9" xfId="40479" xr:uid="{00000000-0005-0000-0000-000014930000}"/>
    <cellStyle name="40% - Accent6 2 3 20" xfId="40467" xr:uid="{00000000-0005-0000-0000-000015930000}"/>
    <cellStyle name="40% - Accent6 2 3 21" xfId="45944" xr:uid="{00000000-0005-0000-0000-000016930000}"/>
    <cellStyle name="40% - Accent6 2 3 22" xfId="51422" xr:uid="{00000000-0005-0000-0000-000017930000}"/>
    <cellStyle name="40% - Accent6 2 3 3" xfId="391" xr:uid="{00000000-0005-0000-0000-000018930000}"/>
    <cellStyle name="40% - Accent6 2 3 3 10" xfId="40480" xr:uid="{00000000-0005-0000-0000-000019930000}"/>
    <cellStyle name="40% - Accent6 2 3 3 11" xfId="45957" xr:uid="{00000000-0005-0000-0000-00001A930000}"/>
    <cellStyle name="40% - Accent6 2 3 3 12" xfId="51435" xr:uid="{00000000-0005-0000-0000-00001B930000}"/>
    <cellStyle name="40% - Accent6 2 3 3 2" xfId="2182" xr:uid="{00000000-0005-0000-0000-00001C930000}"/>
    <cellStyle name="40% - Accent6 2 3 3 2 2" xfId="7662" xr:uid="{00000000-0005-0000-0000-00001D930000}"/>
    <cellStyle name="40% - Accent6 2 3 3 2 3" xfId="13138" xr:uid="{00000000-0005-0000-0000-00001E930000}"/>
    <cellStyle name="40% - Accent6 2 3 3 2 4" xfId="18614" xr:uid="{00000000-0005-0000-0000-00001F930000}"/>
    <cellStyle name="40% - Accent6 2 3 3 2 5" xfId="24090" xr:uid="{00000000-0005-0000-0000-000020930000}"/>
    <cellStyle name="40% - Accent6 2 3 3 2 6" xfId="35886" xr:uid="{00000000-0005-0000-0000-000021930000}"/>
    <cellStyle name="40% - Accent6 2 3 3 2 7" xfId="41363" xr:uid="{00000000-0005-0000-0000-000022930000}"/>
    <cellStyle name="40% - Accent6 2 3 3 2 8" xfId="46840" xr:uid="{00000000-0005-0000-0000-000023930000}"/>
    <cellStyle name="40% - Accent6 2 3 3 2 9" xfId="52358" xr:uid="{00000000-0005-0000-0000-000024930000}"/>
    <cellStyle name="40% - Accent6 2 3 3 3" xfId="3953" xr:uid="{00000000-0005-0000-0000-000025930000}"/>
    <cellStyle name="40% - Accent6 2 3 3 3 2" xfId="9433" xr:uid="{00000000-0005-0000-0000-000026930000}"/>
    <cellStyle name="40% - Accent6 2 3 3 3 3" xfId="14909" xr:uid="{00000000-0005-0000-0000-000027930000}"/>
    <cellStyle name="40% - Accent6 2 3 3 3 4" xfId="20385" xr:uid="{00000000-0005-0000-0000-000028930000}"/>
    <cellStyle name="40% - Accent6 2 3 3 3 5" xfId="25861" xr:uid="{00000000-0005-0000-0000-000029930000}"/>
    <cellStyle name="40% - Accent6 2 3 3 3 6" xfId="37657" xr:uid="{00000000-0005-0000-0000-00002A930000}"/>
    <cellStyle name="40% - Accent6 2 3 3 3 7" xfId="43134" xr:uid="{00000000-0005-0000-0000-00002B930000}"/>
    <cellStyle name="40% - Accent6 2 3 3 3 8" xfId="48611" xr:uid="{00000000-0005-0000-0000-00002C930000}"/>
    <cellStyle name="40% - Accent6 2 3 3 3 9" xfId="54129" xr:uid="{00000000-0005-0000-0000-00002D930000}"/>
    <cellStyle name="40% - Accent6 2 3 3 4" xfId="6776" xr:uid="{00000000-0005-0000-0000-00002E930000}"/>
    <cellStyle name="40% - Accent6 2 3 3 5" xfId="12256" xr:uid="{00000000-0005-0000-0000-00002F930000}"/>
    <cellStyle name="40% - Accent6 2 3 3 6" xfId="17732" xr:uid="{00000000-0005-0000-0000-000030930000}"/>
    <cellStyle name="40% - Accent6 2 3 3 7" xfId="23208" xr:uid="{00000000-0005-0000-0000-000031930000}"/>
    <cellStyle name="40% - Accent6 2 3 3 8" xfId="32548" xr:uid="{00000000-0005-0000-0000-000032930000}"/>
    <cellStyle name="40% - Accent6 2 3 3 9" xfId="35003" xr:uid="{00000000-0005-0000-0000-000033930000}"/>
    <cellStyle name="40% - Accent6 2 3 4" xfId="592" xr:uid="{00000000-0005-0000-0000-000034930000}"/>
    <cellStyle name="40% - Accent6 2 3 4 10" xfId="45958" xr:uid="{00000000-0005-0000-0000-000035930000}"/>
    <cellStyle name="40% - Accent6 2 3 4 11" xfId="51436" xr:uid="{00000000-0005-0000-0000-000036930000}"/>
    <cellStyle name="40% - Accent6 2 3 4 2" xfId="2353" xr:uid="{00000000-0005-0000-0000-000037930000}"/>
    <cellStyle name="40% - Accent6 2 3 4 2 2" xfId="7833" xr:uid="{00000000-0005-0000-0000-000038930000}"/>
    <cellStyle name="40% - Accent6 2 3 4 2 3" xfId="13309" xr:uid="{00000000-0005-0000-0000-000039930000}"/>
    <cellStyle name="40% - Accent6 2 3 4 2 4" xfId="18785" xr:uid="{00000000-0005-0000-0000-00003A930000}"/>
    <cellStyle name="40% - Accent6 2 3 4 2 5" xfId="24261" xr:uid="{00000000-0005-0000-0000-00003B930000}"/>
    <cellStyle name="40% - Accent6 2 3 4 2 6" xfId="36057" xr:uid="{00000000-0005-0000-0000-00003C930000}"/>
    <cellStyle name="40% - Accent6 2 3 4 2 7" xfId="41534" xr:uid="{00000000-0005-0000-0000-00003D930000}"/>
    <cellStyle name="40% - Accent6 2 3 4 2 8" xfId="47011" xr:uid="{00000000-0005-0000-0000-00003E930000}"/>
    <cellStyle name="40% - Accent6 2 3 4 2 9" xfId="52529" xr:uid="{00000000-0005-0000-0000-00003F930000}"/>
    <cellStyle name="40% - Accent6 2 3 4 3" xfId="4125" xr:uid="{00000000-0005-0000-0000-000040930000}"/>
    <cellStyle name="40% - Accent6 2 3 4 3 2" xfId="9605" xr:uid="{00000000-0005-0000-0000-000041930000}"/>
    <cellStyle name="40% - Accent6 2 3 4 3 3" xfId="15081" xr:uid="{00000000-0005-0000-0000-000042930000}"/>
    <cellStyle name="40% - Accent6 2 3 4 3 4" xfId="20557" xr:uid="{00000000-0005-0000-0000-000043930000}"/>
    <cellStyle name="40% - Accent6 2 3 4 3 5" xfId="26033" xr:uid="{00000000-0005-0000-0000-000044930000}"/>
    <cellStyle name="40% - Accent6 2 3 4 3 6" xfId="37829" xr:uid="{00000000-0005-0000-0000-000045930000}"/>
    <cellStyle name="40% - Accent6 2 3 4 3 7" xfId="43306" xr:uid="{00000000-0005-0000-0000-000046930000}"/>
    <cellStyle name="40% - Accent6 2 3 4 3 8" xfId="48783" xr:uid="{00000000-0005-0000-0000-000047930000}"/>
    <cellStyle name="40% - Accent6 2 3 4 3 9" xfId="54301" xr:uid="{00000000-0005-0000-0000-000048930000}"/>
    <cellStyle name="40% - Accent6 2 3 4 4" xfId="6777" xr:uid="{00000000-0005-0000-0000-000049930000}"/>
    <cellStyle name="40% - Accent6 2 3 4 5" xfId="12257" xr:uid="{00000000-0005-0000-0000-00004A930000}"/>
    <cellStyle name="40% - Accent6 2 3 4 6" xfId="17733" xr:uid="{00000000-0005-0000-0000-00004B930000}"/>
    <cellStyle name="40% - Accent6 2 3 4 7" xfId="23209" xr:uid="{00000000-0005-0000-0000-00004C930000}"/>
    <cellStyle name="40% - Accent6 2 3 4 8" xfId="35004" xr:uid="{00000000-0005-0000-0000-00004D930000}"/>
    <cellStyle name="40% - Accent6 2 3 4 9" xfId="40481" xr:uid="{00000000-0005-0000-0000-00004E930000}"/>
    <cellStyle name="40% - Accent6 2 3 5" xfId="764" xr:uid="{00000000-0005-0000-0000-00004F930000}"/>
    <cellStyle name="40% - Accent6 2 3 5 10" xfId="45959" xr:uid="{00000000-0005-0000-0000-000050930000}"/>
    <cellStyle name="40% - Accent6 2 3 5 11" xfId="51437" xr:uid="{00000000-0005-0000-0000-000051930000}"/>
    <cellStyle name="40% - Accent6 2 3 5 2" xfId="2525" xr:uid="{00000000-0005-0000-0000-000052930000}"/>
    <cellStyle name="40% - Accent6 2 3 5 2 2" xfId="8005" xr:uid="{00000000-0005-0000-0000-000053930000}"/>
    <cellStyle name="40% - Accent6 2 3 5 2 3" xfId="13481" xr:uid="{00000000-0005-0000-0000-000054930000}"/>
    <cellStyle name="40% - Accent6 2 3 5 2 4" xfId="18957" xr:uid="{00000000-0005-0000-0000-000055930000}"/>
    <cellStyle name="40% - Accent6 2 3 5 2 5" xfId="24433" xr:uid="{00000000-0005-0000-0000-000056930000}"/>
    <cellStyle name="40% - Accent6 2 3 5 2 6" xfId="36229" xr:uid="{00000000-0005-0000-0000-000057930000}"/>
    <cellStyle name="40% - Accent6 2 3 5 2 7" xfId="41706" xr:uid="{00000000-0005-0000-0000-000058930000}"/>
    <cellStyle name="40% - Accent6 2 3 5 2 8" xfId="47183" xr:uid="{00000000-0005-0000-0000-000059930000}"/>
    <cellStyle name="40% - Accent6 2 3 5 2 9" xfId="52701" xr:uid="{00000000-0005-0000-0000-00005A930000}"/>
    <cellStyle name="40% - Accent6 2 3 5 3" xfId="4297" xr:uid="{00000000-0005-0000-0000-00005B930000}"/>
    <cellStyle name="40% - Accent6 2 3 5 3 2" xfId="9777" xr:uid="{00000000-0005-0000-0000-00005C930000}"/>
    <cellStyle name="40% - Accent6 2 3 5 3 3" xfId="15253" xr:uid="{00000000-0005-0000-0000-00005D930000}"/>
    <cellStyle name="40% - Accent6 2 3 5 3 4" xfId="20729" xr:uid="{00000000-0005-0000-0000-00005E930000}"/>
    <cellStyle name="40% - Accent6 2 3 5 3 5" xfId="26205" xr:uid="{00000000-0005-0000-0000-00005F930000}"/>
    <cellStyle name="40% - Accent6 2 3 5 3 6" xfId="38001" xr:uid="{00000000-0005-0000-0000-000060930000}"/>
    <cellStyle name="40% - Accent6 2 3 5 3 7" xfId="43478" xr:uid="{00000000-0005-0000-0000-000061930000}"/>
    <cellStyle name="40% - Accent6 2 3 5 3 8" xfId="48955" xr:uid="{00000000-0005-0000-0000-000062930000}"/>
    <cellStyle name="40% - Accent6 2 3 5 3 9" xfId="54473" xr:uid="{00000000-0005-0000-0000-000063930000}"/>
    <cellStyle name="40% - Accent6 2 3 5 4" xfId="6778" xr:uid="{00000000-0005-0000-0000-000064930000}"/>
    <cellStyle name="40% - Accent6 2 3 5 5" xfId="12258" xr:uid="{00000000-0005-0000-0000-000065930000}"/>
    <cellStyle name="40% - Accent6 2 3 5 6" xfId="17734" xr:uid="{00000000-0005-0000-0000-000066930000}"/>
    <cellStyle name="40% - Accent6 2 3 5 7" xfId="23210" xr:uid="{00000000-0005-0000-0000-000067930000}"/>
    <cellStyle name="40% - Accent6 2 3 5 8" xfId="35005" xr:uid="{00000000-0005-0000-0000-000068930000}"/>
    <cellStyle name="40% - Accent6 2 3 5 9" xfId="40482" xr:uid="{00000000-0005-0000-0000-000069930000}"/>
    <cellStyle name="40% - Accent6 2 3 6" xfId="936" xr:uid="{00000000-0005-0000-0000-00006A930000}"/>
    <cellStyle name="40% - Accent6 2 3 6 10" xfId="45960" xr:uid="{00000000-0005-0000-0000-00006B930000}"/>
    <cellStyle name="40% - Accent6 2 3 6 11" xfId="51438" xr:uid="{00000000-0005-0000-0000-00006C930000}"/>
    <cellStyle name="40% - Accent6 2 3 6 2" xfId="2697" xr:uid="{00000000-0005-0000-0000-00006D930000}"/>
    <cellStyle name="40% - Accent6 2 3 6 2 2" xfId="8177" xr:uid="{00000000-0005-0000-0000-00006E930000}"/>
    <cellStyle name="40% - Accent6 2 3 6 2 3" xfId="13653" xr:uid="{00000000-0005-0000-0000-00006F930000}"/>
    <cellStyle name="40% - Accent6 2 3 6 2 4" xfId="19129" xr:uid="{00000000-0005-0000-0000-000070930000}"/>
    <cellStyle name="40% - Accent6 2 3 6 2 5" xfId="24605" xr:uid="{00000000-0005-0000-0000-000071930000}"/>
    <cellStyle name="40% - Accent6 2 3 6 2 6" xfId="36401" xr:uid="{00000000-0005-0000-0000-000072930000}"/>
    <cellStyle name="40% - Accent6 2 3 6 2 7" xfId="41878" xr:uid="{00000000-0005-0000-0000-000073930000}"/>
    <cellStyle name="40% - Accent6 2 3 6 2 8" xfId="47355" xr:uid="{00000000-0005-0000-0000-000074930000}"/>
    <cellStyle name="40% - Accent6 2 3 6 2 9" xfId="52873" xr:uid="{00000000-0005-0000-0000-000075930000}"/>
    <cellStyle name="40% - Accent6 2 3 6 3" xfId="4469" xr:uid="{00000000-0005-0000-0000-000076930000}"/>
    <cellStyle name="40% - Accent6 2 3 6 3 2" xfId="9949" xr:uid="{00000000-0005-0000-0000-000077930000}"/>
    <cellStyle name="40% - Accent6 2 3 6 3 3" xfId="15425" xr:uid="{00000000-0005-0000-0000-000078930000}"/>
    <cellStyle name="40% - Accent6 2 3 6 3 4" xfId="20901" xr:uid="{00000000-0005-0000-0000-000079930000}"/>
    <cellStyle name="40% - Accent6 2 3 6 3 5" xfId="26377" xr:uid="{00000000-0005-0000-0000-00007A930000}"/>
    <cellStyle name="40% - Accent6 2 3 6 3 6" xfId="38173" xr:uid="{00000000-0005-0000-0000-00007B930000}"/>
    <cellStyle name="40% - Accent6 2 3 6 3 7" xfId="43650" xr:uid="{00000000-0005-0000-0000-00007C930000}"/>
    <cellStyle name="40% - Accent6 2 3 6 3 8" xfId="49127" xr:uid="{00000000-0005-0000-0000-00007D930000}"/>
    <cellStyle name="40% - Accent6 2 3 6 3 9" xfId="54645" xr:uid="{00000000-0005-0000-0000-00007E930000}"/>
    <cellStyle name="40% - Accent6 2 3 6 4" xfId="6779" xr:uid="{00000000-0005-0000-0000-00007F930000}"/>
    <cellStyle name="40% - Accent6 2 3 6 5" xfId="12259" xr:uid="{00000000-0005-0000-0000-000080930000}"/>
    <cellStyle name="40% - Accent6 2 3 6 6" xfId="17735" xr:uid="{00000000-0005-0000-0000-000081930000}"/>
    <cellStyle name="40% - Accent6 2 3 6 7" xfId="23211" xr:uid="{00000000-0005-0000-0000-000082930000}"/>
    <cellStyle name="40% - Accent6 2 3 6 8" xfId="35006" xr:uid="{00000000-0005-0000-0000-000083930000}"/>
    <cellStyle name="40% - Accent6 2 3 6 9" xfId="40483" xr:uid="{00000000-0005-0000-0000-000084930000}"/>
    <cellStyle name="40% - Accent6 2 3 7" xfId="1142" xr:uid="{00000000-0005-0000-0000-000085930000}"/>
    <cellStyle name="40% - Accent6 2 3 7 10" xfId="45961" xr:uid="{00000000-0005-0000-0000-000086930000}"/>
    <cellStyle name="40% - Accent6 2 3 7 11" xfId="51439" xr:uid="{00000000-0005-0000-0000-000087930000}"/>
    <cellStyle name="40% - Accent6 2 3 7 2" xfId="2903" xr:uid="{00000000-0005-0000-0000-000088930000}"/>
    <cellStyle name="40% - Accent6 2 3 7 2 2" xfId="8383" xr:uid="{00000000-0005-0000-0000-000089930000}"/>
    <cellStyle name="40% - Accent6 2 3 7 2 3" xfId="13859" xr:uid="{00000000-0005-0000-0000-00008A930000}"/>
    <cellStyle name="40% - Accent6 2 3 7 2 4" xfId="19335" xr:uid="{00000000-0005-0000-0000-00008B930000}"/>
    <cellStyle name="40% - Accent6 2 3 7 2 5" xfId="24811" xr:uid="{00000000-0005-0000-0000-00008C930000}"/>
    <cellStyle name="40% - Accent6 2 3 7 2 6" xfId="36607" xr:uid="{00000000-0005-0000-0000-00008D930000}"/>
    <cellStyle name="40% - Accent6 2 3 7 2 7" xfId="42084" xr:uid="{00000000-0005-0000-0000-00008E930000}"/>
    <cellStyle name="40% - Accent6 2 3 7 2 8" xfId="47561" xr:uid="{00000000-0005-0000-0000-00008F930000}"/>
    <cellStyle name="40% - Accent6 2 3 7 2 9" xfId="53079" xr:uid="{00000000-0005-0000-0000-000090930000}"/>
    <cellStyle name="40% - Accent6 2 3 7 3" xfId="4675" xr:uid="{00000000-0005-0000-0000-000091930000}"/>
    <cellStyle name="40% - Accent6 2 3 7 3 2" xfId="10155" xr:uid="{00000000-0005-0000-0000-000092930000}"/>
    <cellStyle name="40% - Accent6 2 3 7 3 3" xfId="15631" xr:uid="{00000000-0005-0000-0000-000093930000}"/>
    <cellStyle name="40% - Accent6 2 3 7 3 4" xfId="21107" xr:uid="{00000000-0005-0000-0000-000094930000}"/>
    <cellStyle name="40% - Accent6 2 3 7 3 5" xfId="26583" xr:uid="{00000000-0005-0000-0000-000095930000}"/>
    <cellStyle name="40% - Accent6 2 3 7 3 6" xfId="38379" xr:uid="{00000000-0005-0000-0000-000096930000}"/>
    <cellStyle name="40% - Accent6 2 3 7 3 7" xfId="43856" xr:uid="{00000000-0005-0000-0000-000097930000}"/>
    <cellStyle name="40% - Accent6 2 3 7 3 8" xfId="49333" xr:uid="{00000000-0005-0000-0000-000098930000}"/>
    <cellStyle name="40% - Accent6 2 3 7 3 9" xfId="54851" xr:uid="{00000000-0005-0000-0000-000099930000}"/>
    <cellStyle name="40% - Accent6 2 3 7 4" xfId="6780" xr:uid="{00000000-0005-0000-0000-00009A930000}"/>
    <cellStyle name="40% - Accent6 2 3 7 5" xfId="12260" xr:uid="{00000000-0005-0000-0000-00009B930000}"/>
    <cellStyle name="40% - Accent6 2 3 7 6" xfId="17736" xr:uid="{00000000-0005-0000-0000-00009C930000}"/>
    <cellStyle name="40% - Accent6 2 3 7 7" xfId="23212" xr:uid="{00000000-0005-0000-0000-00009D930000}"/>
    <cellStyle name="40% - Accent6 2 3 7 8" xfId="35007" xr:uid="{00000000-0005-0000-0000-00009E930000}"/>
    <cellStyle name="40% - Accent6 2 3 7 9" xfId="40484" xr:uid="{00000000-0005-0000-0000-00009F930000}"/>
    <cellStyle name="40% - Accent6 2 3 8" xfId="1314" xr:uid="{00000000-0005-0000-0000-0000A0930000}"/>
    <cellStyle name="40% - Accent6 2 3 8 10" xfId="45962" xr:uid="{00000000-0005-0000-0000-0000A1930000}"/>
    <cellStyle name="40% - Accent6 2 3 8 11" xfId="51440" xr:uid="{00000000-0005-0000-0000-0000A2930000}"/>
    <cellStyle name="40% - Accent6 2 3 8 2" xfId="3075" xr:uid="{00000000-0005-0000-0000-0000A3930000}"/>
    <cellStyle name="40% - Accent6 2 3 8 2 2" xfId="8555" xr:uid="{00000000-0005-0000-0000-0000A4930000}"/>
    <cellStyle name="40% - Accent6 2 3 8 2 3" xfId="14031" xr:uid="{00000000-0005-0000-0000-0000A5930000}"/>
    <cellStyle name="40% - Accent6 2 3 8 2 4" xfId="19507" xr:uid="{00000000-0005-0000-0000-0000A6930000}"/>
    <cellStyle name="40% - Accent6 2 3 8 2 5" xfId="24983" xr:uid="{00000000-0005-0000-0000-0000A7930000}"/>
    <cellStyle name="40% - Accent6 2 3 8 2 6" xfId="36779" xr:uid="{00000000-0005-0000-0000-0000A8930000}"/>
    <cellStyle name="40% - Accent6 2 3 8 2 7" xfId="42256" xr:uid="{00000000-0005-0000-0000-0000A9930000}"/>
    <cellStyle name="40% - Accent6 2 3 8 2 8" xfId="47733" xr:uid="{00000000-0005-0000-0000-0000AA930000}"/>
    <cellStyle name="40% - Accent6 2 3 8 2 9" xfId="53251" xr:uid="{00000000-0005-0000-0000-0000AB930000}"/>
    <cellStyle name="40% - Accent6 2 3 8 3" xfId="4847" xr:uid="{00000000-0005-0000-0000-0000AC930000}"/>
    <cellStyle name="40% - Accent6 2 3 8 3 2" xfId="10327" xr:uid="{00000000-0005-0000-0000-0000AD930000}"/>
    <cellStyle name="40% - Accent6 2 3 8 3 3" xfId="15803" xr:uid="{00000000-0005-0000-0000-0000AE930000}"/>
    <cellStyle name="40% - Accent6 2 3 8 3 4" xfId="21279" xr:uid="{00000000-0005-0000-0000-0000AF930000}"/>
    <cellStyle name="40% - Accent6 2 3 8 3 5" xfId="26755" xr:uid="{00000000-0005-0000-0000-0000B0930000}"/>
    <cellStyle name="40% - Accent6 2 3 8 3 6" xfId="38551" xr:uid="{00000000-0005-0000-0000-0000B1930000}"/>
    <cellStyle name="40% - Accent6 2 3 8 3 7" xfId="44028" xr:uid="{00000000-0005-0000-0000-0000B2930000}"/>
    <cellStyle name="40% - Accent6 2 3 8 3 8" xfId="49505" xr:uid="{00000000-0005-0000-0000-0000B3930000}"/>
    <cellStyle name="40% - Accent6 2 3 8 3 9" xfId="55023" xr:uid="{00000000-0005-0000-0000-0000B4930000}"/>
    <cellStyle name="40% - Accent6 2 3 8 4" xfId="6781" xr:uid="{00000000-0005-0000-0000-0000B5930000}"/>
    <cellStyle name="40% - Accent6 2 3 8 5" xfId="12261" xr:uid="{00000000-0005-0000-0000-0000B6930000}"/>
    <cellStyle name="40% - Accent6 2 3 8 6" xfId="17737" xr:uid="{00000000-0005-0000-0000-0000B7930000}"/>
    <cellStyle name="40% - Accent6 2 3 8 7" xfId="23213" xr:uid="{00000000-0005-0000-0000-0000B8930000}"/>
    <cellStyle name="40% - Accent6 2 3 8 8" xfId="35008" xr:uid="{00000000-0005-0000-0000-0000B9930000}"/>
    <cellStyle name="40% - Accent6 2 3 8 9" xfId="40485" xr:uid="{00000000-0005-0000-0000-0000BA930000}"/>
    <cellStyle name="40% - Accent6 2 3 9" xfId="1486" xr:uid="{00000000-0005-0000-0000-0000BB930000}"/>
    <cellStyle name="40% - Accent6 2 3 9 10" xfId="45963" xr:uid="{00000000-0005-0000-0000-0000BC930000}"/>
    <cellStyle name="40% - Accent6 2 3 9 11" xfId="51441" xr:uid="{00000000-0005-0000-0000-0000BD930000}"/>
    <cellStyle name="40% - Accent6 2 3 9 2" xfId="3247" xr:uid="{00000000-0005-0000-0000-0000BE930000}"/>
    <cellStyle name="40% - Accent6 2 3 9 2 2" xfId="8727" xr:uid="{00000000-0005-0000-0000-0000BF930000}"/>
    <cellStyle name="40% - Accent6 2 3 9 2 3" xfId="14203" xr:uid="{00000000-0005-0000-0000-0000C0930000}"/>
    <cellStyle name="40% - Accent6 2 3 9 2 4" xfId="19679" xr:uid="{00000000-0005-0000-0000-0000C1930000}"/>
    <cellStyle name="40% - Accent6 2 3 9 2 5" xfId="25155" xr:uid="{00000000-0005-0000-0000-0000C2930000}"/>
    <cellStyle name="40% - Accent6 2 3 9 2 6" xfId="36951" xr:uid="{00000000-0005-0000-0000-0000C3930000}"/>
    <cellStyle name="40% - Accent6 2 3 9 2 7" xfId="42428" xr:uid="{00000000-0005-0000-0000-0000C4930000}"/>
    <cellStyle name="40% - Accent6 2 3 9 2 8" xfId="47905" xr:uid="{00000000-0005-0000-0000-0000C5930000}"/>
    <cellStyle name="40% - Accent6 2 3 9 2 9" xfId="53423" xr:uid="{00000000-0005-0000-0000-0000C6930000}"/>
    <cellStyle name="40% - Accent6 2 3 9 3" xfId="5019" xr:uid="{00000000-0005-0000-0000-0000C7930000}"/>
    <cellStyle name="40% - Accent6 2 3 9 3 2" xfId="10499" xr:uid="{00000000-0005-0000-0000-0000C8930000}"/>
    <cellStyle name="40% - Accent6 2 3 9 3 3" xfId="15975" xr:uid="{00000000-0005-0000-0000-0000C9930000}"/>
    <cellStyle name="40% - Accent6 2 3 9 3 4" xfId="21451" xr:uid="{00000000-0005-0000-0000-0000CA930000}"/>
    <cellStyle name="40% - Accent6 2 3 9 3 5" xfId="26927" xr:uid="{00000000-0005-0000-0000-0000CB930000}"/>
    <cellStyle name="40% - Accent6 2 3 9 3 6" xfId="38723" xr:uid="{00000000-0005-0000-0000-0000CC930000}"/>
    <cellStyle name="40% - Accent6 2 3 9 3 7" xfId="44200" xr:uid="{00000000-0005-0000-0000-0000CD930000}"/>
    <cellStyle name="40% - Accent6 2 3 9 3 8" xfId="49677" xr:uid="{00000000-0005-0000-0000-0000CE930000}"/>
    <cellStyle name="40% - Accent6 2 3 9 3 9" xfId="55195" xr:uid="{00000000-0005-0000-0000-0000CF930000}"/>
    <cellStyle name="40% - Accent6 2 3 9 4" xfId="6782" xr:uid="{00000000-0005-0000-0000-0000D0930000}"/>
    <cellStyle name="40% - Accent6 2 3 9 5" xfId="12262" xr:uid="{00000000-0005-0000-0000-0000D1930000}"/>
    <cellStyle name="40% - Accent6 2 3 9 6" xfId="17738" xr:uid="{00000000-0005-0000-0000-0000D2930000}"/>
    <cellStyle name="40% - Accent6 2 3 9 7" xfId="23214" xr:uid="{00000000-0005-0000-0000-0000D3930000}"/>
    <cellStyle name="40% - Accent6 2 3 9 8" xfId="35009" xr:uid="{00000000-0005-0000-0000-0000D4930000}"/>
    <cellStyle name="40% - Accent6 2 3 9 9" xfId="40486" xr:uid="{00000000-0005-0000-0000-0000D5930000}"/>
    <cellStyle name="40% - Accent6 2 4" xfId="175" xr:uid="{00000000-0005-0000-0000-0000D6930000}"/>
    <cellStyle name="40% - Accent6 2 4 10" xfId="1660" xr:uid="{00000000-0005-0000-0000-0000D7930000}"/>
    <cellStyle name="40% - Accent6 2 4 10 10" xfId="45965" xr:uid="{00000000-0005-0000-0000-0000D8930000}"/>
    <cellStyle name="40% - Accent6 2 4 10 11" xfId="51443" xr:uid="{00000000-0005-0000-0000-0000D9930000}"/>
    <cellStyle name="40% - Accent6 2 4 10 2" xfId="3421" xr:uid="{00000000-0005-0000-0000-0000DA930000}"/>
    <cellStyle name="40% - Accent6 2 4 10 2 2" xfId="8901" xr:uid="{00000000-0005-0000-0000-0000DB930000}"/>
    <cellStyle name="40% - Accent6 2 4 10 2 3" xfId="14377" xr:uid="{00000000-0005-0000-0000-0000DC930000}"/>
    <cellStyle name="40% - Accent6 2 4 10 2 4" xfId="19853" xr:uid="{00000000-0005-0000-0000-0000DD930000}"/>
    <cellStyle name="40% - Accent6 2 4 10 2 5" xfId="25329" xr:uid="{00000000-0005-0000-0000-0000DE930000}"/>
    <cellStyle name="40% - Accent6 2 4 10 2 6" xfId="37125" xr:uid="{00000000-0005-0000-0000-0000DF930000}"/>
    <cellStyle name="40% - Accent6 2 4 10 2 7" xfId="42602" xr:uid="{00000000-0005-0000-0000-0000E0930000}"/>
    <cellStyle name="40% - Accent6 2 4 10 2 8" xfId="48079" xr:uid="{00000000-0005-0000-0000-0000E1930000}"/>
    <cellStyle name="40% - Accent6 2 4 10 2 9" xfId="53597" xr:uid="{00000000-0005-0000-0000-0000E2930000}"/>
    <cellStyle name="40% - Accent6 2 4 10 3" xfId="5193" xr:uid="{00000000-0005-0000-0000-0000E3930000}"/>
    <cellStyle name="40% - Accent6 2 4 10 3 2" xfId="10673" xr:uid="{00000000-0005-0000-0000-0000E4930000}"/>
    <cellStyle name="40% - Accent6 2 4 10 3 3" xfId="16149" xr:uid="{00000000-0005-0000-0000-0000E5930000}"/>
    <cellStyle name="40% - Accent6 2 4 10 3 4" xfId="21625" xr:uid="{00000000-0005-0000-0000-0000E6930000}"/>
    <cellStyle name="40% - Accent6 2 4 10 3 5" xfId="27101" xr:uid="{00000000-0005-0000-0000-0000E7930000}"/>
    <cellStyle name="40% - Accent6 2 4 10 3 6" xfId="38897" xr:uid="{00000000-0005-0000-0000-0000E8930000}"/>
    <cellStyle name="40% - Accent6 2 4 10 3 7" xfId="44374" xr:uid="{00000000-0005-0000-0000-0000E9930000}"/>
    <cellStyle name="40% - Accent6 2 4 10 3 8" xfId="49851" xr:uid="{00000000-0005-0000-0000-0000EA930000}"/>
    <cellStyle name="40% - Accent6 2 4 10 3 9" xfId="55369" xr:uid="{00000000-0005-0000-0000-0000EB930000}"/>
    <cellStyle name="40% - Accent6 2 4 10 4" xfId="6784" xr:uid="{00000000-0005-0000-0000-0000EC930000}"/>
    <cellStyle name="40% - Accent6 2 4 10 5" xfId="12264" xr:uid="{00000000-0005-0000-0000-0000ED930000}"/>
    <cellStyle name="40% - Accent6 2 4 10 6" xfId="17740" xr:uid="{00000000-0005-0000-0000-0000EE930000}"/>
    <cellStyle name="40% - Accent6 2 4 10 7" xfId="23216" xr:uid="{00000000-0005-0000-0000-0000EF930000}"/>
    <cellStyle name="40% - Accent6 2 4 10 8" xfId="35011" xr:uid="{00000000-0005-0000-0000-0000F0930000}"/>
    <cellStyle name="40% - Accent6 2 4 10 9" xfId="40488" xr:uid="{00000000-0005-0000-0000-0000F1930000}"/>
    <cellStyle name="40% - Accent6 2 4 11" xfId="1854" xr:uid="{00000000-0005-0000-0000-0000F2930000}"/>
    <cellStyle name="40% - Accent6 2 4 11 10" xfId="45966" xr:uid="{00000000-0005-0000-0000-0000F3930000}"/>
    <cellStyle name="40% - Accent6 2 4 11 11" xfId="51444" xr:uid="{00000000-0005-0000-0000-0000F4930000}"/>
    <cellStyle name="40% - Accent6 2 4 11 2" xfId="3615" xr:uid="{00000000-0005-0000-0000-0000F5930000}"/>
    <cellStyle name="40% - Accent6 2 4 11 2 2" xfId="9095" xr:uid="{00000000-0005-0000-0000-0000F6930000}"/>
    <cellStyle name="40% - Accent6 2 4 11 2 3" xfId="14571" xr:uid="{00000000-0005-0000-0000-0000F7930000}"/>
    <cellStyle name="40% - Accent6 2 4 11 2 4" xfId="20047" xr:uid="{00000000-0005-0000-0000-0000F8930000}"/>
    <cellStyle name="40% - Accent6 2 4 11 2 5" xfId="25523" xr:uid="{00000000-0005-0000-0000-0000F9930000}"/>
    <cellStyle name="40% - Accent6 2 4 11 2 6" xfId="37319" xr:uid="{00000000-0005-0000-0000-0000FA930000}"/>
    <cellStyle name="40% - Accent6 2 4 11 2 7" xfId="42796" xr:uid="{00000000-0005-0000-0000-0000FB930000}"/>
    <cellStyle name="40% - Accent6 2 4 11 2 8" xfId="48273" xr:uid="{00000000-0005-0000-0000-0000FC930000}"/>
    <cellStyle name="40% - Accent6 2 4 11 2 9" xfId="53791" xr:uid="{00000000-0005-0000-0000-0000FD930000}"/>
    <cellStyle name="40% - Accent6 2 4 11 3" xfId="5387" xr:uid="{00000000-0005-0000-0000-0000FE930000}"/>
    <cellStyle name="40% - Accent6 2 4 11 3 2" xfId="10867" xr:uid="{00000000-0005-0000-0000-0000FF930000}"/>
    <cellStyle name="40% - Accent6 2 4 11 3 3" xfId="16343" xr:uid="{00000000-0005-0000-0000-000000940000}"/>
    <cellStyle name="40% - Accent6 2 4 11 3 4" xfId="21819" xr:uid="{00000000-0005-0000-0000-000001940000}"/>
    <cellStyle name="40% - Accent6 2 4 11 3 5" xfId="27295" xr:uid="{00000000-0005-0000-0000-000002940000}"/>
    <cellStyle name="40% - Accent6 2 4 11 3 6" xfId="39091" xr:uid="{00000000-0005-0000-0000-000003940000}"/>
    <cellStyle name="40% - Accent6 2 4 11 3 7" xfId="44568" xr:uid="{00000000-0005-0000-0000-000004940000}"/>
    <cellStyle name="40% - Accent6 2 4 11 3 8" xfId="50045" xr:uid="{00000000-0005-0000-0000-000005940000}"/>
    <cellStyle name="40% - Accent6 2 4 11 3 9" xfId="55563" xr:uid="{00000000-0005-0000-0000-000006940000}"/>
    <cellStyle name="40% - Accent6 2 4 11 4" xfId="6785" xr:uid="{00000000-0005-0000-0000-000007940000}"/>
    <cellStyle name="40% - Accent6 2 4 11 5" xfId="12265" xr:uid="{00000000-0005-0000-0000-000008940000}"/>
    <cellStyle name="40% - Accent6 2 4 11 6" xfId="17741" xr:uid="{00000000-0005-0000-0000-000009940000}"/>
    <cellStyle name="40% - Accent6 2 4 11 7" xfId="23217" xr:uid="{00000000-0005-0000-0000-00000A940000}"/>
    <cellStyle name="40% - Accent6 2 4 11 8" xfId="35012" xr:uid="{00000000-0005-0000-0000-00000B940000}"/>
    <cellStyle name="40% - Accent6 2 4 11 9" xfId="40489" xr:uid="{00000000-0005-0000-0000-00000C940000}"/>
    <cellStyle name="40% - Accent6 2 4 12" xfId="2022" xr:uid="{00000000-0005-0000-0000-00000D940000}"/>
    <cellStyle name="40% - Accent6 2 4 12 10" xfId="52199" xr:uid="{00000000-0005-0000-0000-00000E940000}"/>
    <cellStyle name="40% - Accent6 2 4 12 2" xfId="5554" xr:uid="{00000000-0005-0000-0000-00000F940000}"/>
    <cellStyle name="40% - Accent6 2 4 12 2 2" xfId="11034" xr:uid="{00000000-0005-0000-0000-000010940000}"/>
    <cellStyle name="40% - Accent6 2 4 12 2 3" xfId="16510" xr:uid="{00000000-0005-0000-0000-000011940000}"/>
    <cellStyle name="40% - Accent6 2 4 12 2 4" xfId="21986" xr:uid="{00000000-0005-0000-0000-000012940000}"/>
    <cellStyle name="40% - Accent6 2 4 12 2 5" xfId="27462" xr:uid="{00000000-0005-0000-0000-000013940000}"/>
    <cellStyle name="40% - Accent6 2 4 12 2 6" xfId="39258" xr:uid="{00000000-0005-0000-0000-000014940000}"/>
    <cellStyle name="40% - Accent6 2 4 12 2 7" xfId="44735" xr:uid="{00000000-0005-0000-0000-000015940000}"/>
    <cellStyle name="40% - Accent6 2 4 12 2 8" xfId="50212" xr:uid="{00000000-0005-0000-0000-000016940000}"/>
    <cellStyle name="40% - Accent6 2 4 12 2 9" xfId="55730" xr:uid="{00000000-0005-0000-0000-000017940000}"/>
    <cellStyle name="40% - Accent6 2 4 12 3" xfId="7503" xr:uid="{00000000-0005-0000-0000-000018940000}"/>
    <cellStyle name="40% - Accent6 2 4 12 4" xfId="12979" xr:uid="{00000000-0005-0000-0000-000019940000}"/>
    <cellStyle name="40% - Accent6 2 4 12 5" xfId="18455" xr:uid="{00000000-0005-0000-0000-00001A940000}"/>
    <cellStyle name="40% - Accent6 2 4 12 6" xfId="23931" xr:uid="{00000000-0005-0000-0000-00001B940000}"/>
    <cellStyle name="40% - Accent6 2 4 12 7" xfId="35727" xr:uid="{00000000-0005-0000-0000-00001C940000}"/>
    <cellStyle name="40% - Accent6 2 4 12 8" xfId="41204" xr:uid="{00000000-0005-0000-0000-00001D940000}"/>
    <cellStyle name="40% - Accent6 2 4 12 9" xfId="46681" xr:uid="{00000000-0005-0000-0000-00001E940000}"/>
    <cellStyle name="40% - Accent6 2 4 13" xfId="3747" xr:uid="{00000000-0005-0000-0000-00001F940000}"/>
    <cellStyle name="40% - Accent6 2 4 13 2" xfId="9227" xr:uid="{00000000-0005-0000-0000-000020940000}"/>
    <cellStyle name="40% - Accent6 2 4 13 3" xfId="14703" xr:uid="{00000000-0005-0000-0000-000021940000}"/>
    <cellStyle name="40% - Accent6 2 4 13 4" xfId="20179" xr:uid="{00000000-0005-0000-0000-000022940000}"/>
    <cellStyle name="40% - Accent6 2 4 13 5" xfId="25655" xr:uid="{00000000-0005-0000-0000-000023940000}"/>
    <cellStyle name="40% - Accent6 2 4 13 6" xfId="37451" xr:uid="{00000000-0005-0000-0000-000024940000}"/>
    <cellStyle name="40% - Accent6 2 4 13 7" xfId="42928" xr:uid="{00000000-0005-0000-0000-000025940000}"/>
    <cellStyle name="40% - Accent6 2 4 13 8" xfId="48405" xr:uid="{00000000-0005-0000-0000-000026940000}"/>
    <cellStyle name="40% - Accent6 2 4 13 9" xfId="53923" xr:uid="{00000000-0005-0000-0000-000027940000}"/>
    <cellStyle name="40% - Accent6 2 4 14" xfId="6783" xr:uid="{00000000-0005-0000-0000-000028940000}"/>
    <cellStyle name="40% - Accent6 2 4 15" xfId="12263" xr:uid="{00000000-0005-0000-0000-000029940000}"/>
    <cellStyle name="40% - Accent6 2 4 16" xfId="17739" xr:uid="{00000000-0005-0000-0000-00002A940000}"/>
    <cellStyle name="40% - Accent6 2 4 17" xfId="23215" xr:uid="{00000000-0005-0000-0000-00002B940000}"/>
    <cellStyle name="40% - Accent6 2 4 18" xfId="32549" xr:uid="{00000000-0005-0000-0000-00002C940000}"/>
    <cellStyle name="40% - Accent6 2 4 19" xfId="35010" xr:uid="{00000000-0005-0000-0000-00002D940000}"/>
    <cellStyle name="40% - Accent6 2 4 2" xfId="267" xr:uid="{00000000-0005-0000-0000-00002E940000}"/>
    <cellStyle name="40% - Accent6 2 4 2 10" xfId="1855" xr:uid="{00000000-0005-0000-0000-00002F940000}"/>
    <cellStyle name="40% - Accent6 2 4 2 10 10" xfId="45968" xr:uid="{00000000-0005-0000-0000-000030940000}"/>
    <cellStyle name="40% - Accent6 2 4 2 10 11" xfId="51446" xr:uid="{00000000-0005-0000-0000-000031940000}"/>
    <cellStyle name="40% - Accent6 2 4 2 10 2" xfId="3616" xr:uid="{00000000-0005-0000-0000-000032940000}"/>
    <cellStyle name="40% - Accent6 2 4 2 10 2 2" xfId="9096" xr:uid="{00000000-0005-0000-0000-000033940000}"/>
    <cellStyle name="40% - Accent6 2 4 2 10 2 3" xfId="14572" xr:uid="{00000000-0005-0000-0000-000034940000}"/>
    <cellStyle name="40% - Accent6 2 4 2 10 2 4" xfId="20048" xr:uid="{00000000-0005-0000-0000-000035940000}"/>
    <cellStyle name="40% - Accent6 2 4 2 10 2 5" xfId="25524" xr:uid="{00000000-0005-0000-0000-000036940000}"/>
    <cellStyle name="40% - Accent6 2 4 2 10 2 6" xfId="37320" xr:uid="{00000000-0005-0000-0000-000037940000}"/>
    <cellStyle name="40% - Accent6 2 4 2 10 2 7" xfId="42797" xr:uid="{00000000-0005-0000-0000-000038940000}"/>
    <cellStyle name="40% - Accent6 2 4 2 10 2 8" xfId="48274" xr:uid="{00000000-0005-0000-0000-000039940000}"/>
    <cellStyle name="40% - Accent6 2 4 2 10 2 9" xfId="53792" xr:uid="{00000000-0005-0000-0000-00003A940000}"/>
    <cellStyle name="40% - Accent6 2 4 2 10 3" xfId="5388" xr:uid="{00000000-0005-0000-0000-00003B940000}"/>
    <cellStyle name="40% - Accent6 2 4 2 10 3 2" xfId="10868" xr:uid="{00000000-0005-0000-0000-00003C940000}"/>
    <cellStyle name="40% - Accent6 2 4 2 10 3 3" xfId="16344" xr:uid="{00000000-0005-0000-0000-00003D940000}"/>
    <cellStyle name="40% - Accent6 2 4 2 10 3 4" xfId="21820" xr:uid="{00000000-0005-0000-0000-00003E940000}"/>
    <cellStyle name="40% - Accent6 2 4 2 10 3 5" xfId="27296" xr:uid="{00000000-0005-0000-0000-00003F940000}"/>
    <cellStyle name="40% - Accent6 2 4 2 10 3 6" xfId="39092" xr:uid="{00000000-0005-0000-0000-000040940000}"/>
    <cellStyle name="40% - Accent6 2 4 2 10 3 7" xfId="44569" xr:uid="{00000000-0005-0000-0000-000041940000}"/>
    <cellStyle name="40% - Accent6 2 4 2 10 3 8" xfId="50046" xr:uid="{00000000-0005-0000-0000-000042940000}"/>
    <cellStyle name="40% - Accent6 2 4 2 10 3 9" xfId="55564" xr:uid="{00000000-0005-0000-0000-000043940000}"/>
    <cellStyle name="40% - Accent6 2 4 2 10 4" xfId="6787" xr:uid="{00000000-0005-0000-0000-000044940000}"/>
    <cellStyle name="40% - Accent6 2 4 2 10 5" xfId="12267" xr:uid="{00000000-0005-0000-0000-000045940000}"/>
    <cellStyle name="40% - Accent6 2 4 2 10 6" xfId="17743" xr:uid="{00000000-0005-0000-0000-000046940000}"/>
    <cellStyle name="40% - Accent6 2 4 2 10 7" xfId="23219" xr:uid="{00000000-0005-0000-0000-000047940000}"/>
    <cellStyle name="40% - Accent6 2 4 2 10 8" xfId="35014" xr:uid="{00000000-0005-0000-0000-000048940000}"/>
    <cellStyle name="40% - Accent6 2 4 2 10 9" xfId="40491" xr:uid="{00000000-0005-0000-0000-000049940000}"/>
    <cellStyle name="40% - Accent6 2 4 2 11" xfId="2023" xr:uid="{00000000-0005-0000-0000-00004A940000}"/>
    <cellStyle name="40% - Accent6 2 4 2 11 10" xfId="52200" xr:uid="{00000000-0005-0000-0000-00004B940000}"/>
    <cellStyle name="40% - Accent6 2 4 2 11 2" xfId="5555" xr:uid="{00000000-0005-0000-0000-00004C940000}"/>
    <cellStyle name="40% - Accent6 2 4 2 11 2 2" xfId="11035" xr:uid="{00000000-0005-0000-0000-00004D940000}"/>
    <cellStyle name="40% - Accent6 2 4 2 11 2 3" xfId="16511" xr:uid="{00000000-0005-0000-0000-00004E940000}"/>
    <cellStyle name="40% - Accent6 2 4 2 11 2 4" xfId="21987" xr:uid="{00000000-0005-0000-0000-00004F940000}"/>
    <cellStyle name="40% - Accent6 2 4 2 11 2 5" xfId="27463" xr:uid="{00000000-0005-0000-0000-000050940000}"/>
    <cellStyle name="40% - Accent6 2 4 2 11 2 6" xfId="39259" xr:uid="{00000000-0005-0000-0000-000051940000}"/>
    <cellStyle name="40% - Accent6 2 4 2 11 2 7" xfId="44736" xr:uid="{00000000-0005-0000-0000-000052940000}"/>
    <cellStyle name="40% - Accent6 2 4 2 11 2 8" xfId="50213" xr:uid="{00000000-0005-0000-0000-000053940000}"/>
    <cellStyle name="40% - Accent6 2 4 2 11 2 9" xfId="55731" xr:uid="{00000000-0005-0000-0000-000054940000}"/>
    <cellStyle name="40% - Accent6 2 4 2 11 3" xfId="7504" xr:uid="{00000000-0005-0000-0000-000055940000}"/>
    <cellStyle name="40% - Accent6 2 4 2 11 4" xfId="12980" xr:uid="{00000000-0005-0000-0000-000056940000}"/>
    <cellStyle name="40% - Accent6 2 4 2 11 5" xfId="18456" xr:uid="{00000000-0005-0000-0000-000057940000}"/>
    <cellStyle name="40% - Accent6 2 4 2 11 6" xfId="23932" xr:uid="{00000000-0005-0000-0000-000058940000}"/>
    <cellStyle name="40% - Accent6 2 4 2 11 7" xfId="35728" xr:uid="{00000000-0005-0000-0000-000059940000}"/>
    <cellStyle name="40% - Accent6 2 4 2 11 8" xfId="41205" xr:uid="{00000000-0005-0000-0000-00005A940000}"/>
    <cellStyle name="40% - Accent6 2 4 2 11 9" xfId="46682" xr:uid="{00000000-0005-0000-0000-00005B940000}"/>
    <cellStyle name="40% - Accent6 2 4 2 12" xfId="3833" xr:uid="{00000000-0005-0000-0000-00005C940000}"/>
    <cellStyle name="40% - Accent6 2 4 2 12 2" xfId="9313" xr:uid="{00000000-0005-0000-0000-00005D940000}"/>
    <cellStyle name="40% - Accent6 2 4 2 12 3" xfId="14789" xr:uid="{00000000-0005-0000-0000-00005E940000}"/>
    <cellStyle name="40% - Accent6 2 4 2 12 4" xfId="20265" xr:uid="{00000000-0005-0000-0000-00005F940000}"/>
    <cellStyle name="40% - Accent6 2 4 2 12 5" xfId="25741" xr:uid="{00000000-0005-0000-0000-000060940000}"/>
    <cellStyle name="40% - Accent6 2 4 2 12 6" xfId="37537" xr:uid="{00000000-0005-0000-0000-000061940000}"/>
    <cellStyle name="40% - Accent6 2 4 2 12 7" xfId="43014" xr:uid="{00000000-0005-0000-0000-000062940000}"/>
    <cellStyle name="40% - Accent6 2 4 2 12 8" xfId="48491" xr:uid="{00000000-0005-0000-0000-000063940000}"/>
    <cellStyle name="40% - Accent6 2 4 2 12 9" xfId="54009" xr:uid="{00000000-0005-0000-0000-000064940000}"/>
    <cellStyle name="40% - Accent6 2 4 2 13" xfId="6786" xr:uid="{00000000-0005-0000-0000-000065940000}"/>
    <cellStyle name="40% - Accent6 2 4 2 14" xfId="12266" xr:uid="{00000000-0005-0000-0000-000066940000}"/>
    <cellStyle name="40% - Accent6 2 4 2 15" xfId="17742" xr:uid="{00000000-0005-0000-0000-000067940000}"/>
    <cellStyle name="40% - Accent6 2 4 2 16" xfId="23218" xr:uid="{00000000-0005-0000-0000-000068940000}"/>
    <cellStyle name="40% - Accent6 2 4 2 17" xfId="32550" xr:uid="{00000000-0005-0000-0000-000069940000}"/>
    <cellStyle name="40% - Accent6 2 4 2 18" xfId="35013" xr:uid="{00000000-0005-0000-0000-00006A940000}"/>
    <cellStyle name="40% - Accent6 2 4 2 19" xfId="40490" xr:uid="{00000000-0005-0000-0000-00006B940000}"/>
    <cellStyle name="40% - Accent6 2 4 2 2" xfId="394" xr:uid="{00000000-0005-0000-0000-00006C940000}"/>
    <cellStyle name="40% - Accent6 2 4 2 2 10" xfId="40492" xr:uid="{00000000-0005-0000-0000-00006D940000}"/>
    <cellStyle name="40% - Accent6 2 4 2 2 11" xfId="45969" xr:uid="{00000000-0005-0000-0000-00006E940000}"/>
    <cellStyle name="40% - Accent6 2 4 2 2 12" xfId="51447" xr:uid="{00000000-0005-0000-0000-00006F940000}"/>
    <cellStyle name="40% - Accent6 2 4 2 2 2" xfId="2185" xr:uid="{00000000-0005-0000-0000-000070940000}"/>
    <cellStyle name="40% - Accent6 2 4 2 2 2 2" xfId="7665" xr:uid="{00000000-0005-0000-0000-000071940000}"/>
    <cellStyle name="40% - Accent6 2 4 2 2 2 3" xfId="13141" xr:uid="{00000000-0005-0000-0000-000072940000}"/>
    <cellStyle name="40% - Accent6 2 4 2 2 2 4" xfId="18617" xr:uid="{00000000-0005-0000-0000-000073940000}"/>
    <cellStyle name="40% - Accent6 2 4 2 2 2 5" xfId="24093" xr:uid="{00000000-0005-0000-0000-000074940000}"/>
    <cellStyle name="40% - Accent6 2 4 2 2 2 6" xfId="35889" xr:uid="{00000000-0005-0000-0000-000075940000}"/>
    <cellStyle name="40% - Accent6 2 4 2 2 2 7" xfId="41366" xr:uid="{00000000-0005-0000-0000-000076940000}"/>
    <cellStyle name="40% - Accent6 2 4 2 2 2 8" xfId="46843" xr:uid="{00000000-0005-0000-0000-000077940000}"/>
    <cellStyle name="40% - Accent6 2 4 2 2 2 9" xfId="52361" xr:uid="{00000000-0005-0000-0000-000078940000}"/>
    <cellStyle name="40% - Accent6 2 4 2 2 3" xfId="3956" xr:uid="{00000000-0005-0000-0000-000079940000}"/>
    <cellStyle name="40% - Accent6 2 4 2 2 3 2" xfId="9436" xr:uid="{00000000-0005-0000-0000-00007A940000}"/>
    <cellStyle name="40% - Accent6 2 4 2 2 3 3" xfId="14912" xr:uid="{00000000-0005-0000-0000-00007B940000}"/>
    <cellStyle name="40% - Accent6 2 4 2 2 3 4" xfId="20388" xr:uid="{00000000-0005-0000-0000-00007C940000}"/>
    <cellStyle name="40% - Accent6 2 4 2 2 3 5" xfId="25864" xr:uid="{00000000-0005-0000-0000-00007D940000}"/>
    <cellStyle name="40% - Accent6 2 4 2 2 3 6" xfId="37660" xr:uid="{00000000-0005-0000-0000-00007E940000}"/>
    <cellStyle name="40% - Accent6 2 4 2 2 3 7" xfId="43137" xr:uid="{00000000-0005-0000-0000-00007F940000}"/>
    <cellStyle name="40% - Accent6 2 4 2 2 3 8" xfId="48614" xr:uid="{00000000-0005-0000-0000-000080940000}"/>
    <cellStyle name="40% - Accent6 2 4 2 2 3 9" xfId="54132" xr:uid="{00000000-0005-0000-0000-000081940000}"/>
    <cellStyle name="40% - Accent6 2 4 2 2 4" xfId="6788" xr:uid="{00000000-0005-0000-0000-000082940000}"/>
    <cellStyle name="40% - Accent6 2 4 2 2 5" xfId="12268" xr:uid="{00000000-0005-0000-0000-000083940000}"/>
    <cellStyle name="40% - Accent6 2 4 2 2 6" xfId="17744" xr:uid="{00000000-0005-0000-0000-000084940000}"/>
    <cellStyle name="40% - Accent6 2 4 2 2 7" xfId="23220" xr:uid="{00000000-0005-0000-0000-000085940000}"/>
    <cellStyle name="40% - Accent6 2 4 2 2 8" xfId="32551" xr:uid="{00000000-0005-0000-0000-000086940000}"/>
    <cellStyle name="40% - Accent6 2 4 2 2 9" xfId="35015" xr:uid="{00000000-0005-0000-0000-000087940000}"/>
    <cellStyle name="40% - Accent6 2 4 2 20" xfId="45967" xr:uid="{00000000-0005-0000-0000-000088940000}"/>
    <cellStyle name="40% - Accent6 2 4 2 21" xfId="51445" xr:uid="{00000000-0005-0000-0000-000089940000}"/>
    <cellStyle name="40% - Accent6 2 4 2 3" xfId="595" xr:uid="{00000000-0005-0000-0000-00008A940000}"/>
    <cellStyle name="40% - Accent6 2 4 2 3 10" xfId="45970" xr:uid="{00000000-0005-0000-0000-00008B940000}"/>
    <cellStyle name="40% - Accent6 2 4 2 3 11" xfId="51448" xr:uid="{00000000-0005-0000-0000-00008C940000}"/>
    <cellStyle name="40% - Accent6 2 4 2 3 2" xfId="2356" xr:uid="{00000000-0005-0000-0000-00008D940000}"/>
    <cellStyle name="40% - Accent6 2 4 2 3 2 2" xfId="7836" xr:uid="{00000000-0005-0000-0000-00008E940000}"/>
    <cellStyle name="40% - Accent6 2 4 2 3 2 3" xfId="13312" xr:uid="{00000000-0005-0000-0000-00008F940000}"/>
    <cellStyle name="40% - Accent6 2 4 2 3 2 4" xfId="18788" xr:uid="{00000000-0005-0000-0000-000090940000}"/>
    <cellStyle name="40% - Accent6 2 4 2 3 2 5" xfId="24264" xr:uid="{00000000-0005-0000-0000-000091940000}"/>
    <cellStyle name="40% - Accent6 2 4 2 3 2 6" xfId="36060" xr:uid="{00000000-0005-0000-0000-000092940000}"/>
    <cellStyle name="40% - Accent6 2 4 2 3 2 7" xfId="41537" xr:uid="{00000000-0005-0000-0000-000093940000}"/>
    <cellStyle name="40% - Accent6 2 4 2 3 2 8" xfId="47014" xr:uid="{00000000-0005-0000-0000-000094940000}"/>
    <cellStyle name="40% - Accent6 2 4 2 3 2 9" xfId="52532" xr:uid="{00000000-0005-0000-0000-000095940000}"/>
    <cellStyle name="40% - Accent6 2 4 2 3 3" xfId="4128" xr:uid="{00000000-0005-0000-0000-000096940000}"/>
    <cellStyle name="40% - Accent6 2 4 2 3 3 2" xfId="9608" xr:uid="{00000000-0005-0000-0000-000097940000}"/>
    <cellStyle name="40% - Accent6 2 4 2 3 3 3" xfId="15084" xr:uid="{00000000-0005-0000-0000-000098940000}"/>
    <cellStyle name="40% - Accent6 2 4 2 3 3 4" xfId="20560" xr:uid="{00000000-0005-0000-0000-000099940000}"/>
    <cellStyle name="40% - Accent6 2 4 2 3 3 5" xfId="26036" xr:uid="{00000000-0005-0000-0000-00009A940000}"/>
    <cellStyle name="40% - Accent6 2 4 2 3 3 6" xfId="37832" xr:uid="{00000000-0005-0000-0000-00009B940000}"/>
    <cellStyle name="40% - Accent6 2 4 2 3 3 7" xfId="43309" xr:uid="{00000000-0005-0000-0000-00009C940000}"/>
    <cellStyle name="40% - Accent6 2 4 2 3 3 8" xfId="48786" xr:uid="{00000000-0005-0000-0000-00009D940000}"/>
    <cellStyle name="40% - Accent6 2 4 2 3 3 9" xfId="54304" xr:uid="{00000000-0005-0000-0000-00009E940000}"/>
    <cellStyle name="40% - Accent6 2 4 2 3 4" xfId="6789" xr:uid="{00000000-0005-0000-0000-00009F940000}"/>
    <cellStyle name="40% - Accent6 2 4 2 3 5" xfId="12269" xr:uid="{00000000-0005-0000-0000-0000A0940000}"/>
    <cellStyle name="40% - Accent6 2 4 2 3 6" xfId="17745" xr:uid="{00000000-0005-0000-0000-0000A1940000}"/>
    <cellStyle name="40% - Accent6 2 4 2 3 7" xfId="23221" xr:uid="{00000000-0005-0000-0000-0000A2940000}"/>
    <cellStyle name="40% - Accent6 2 4 2 3 8" xfId="35016" xr:uid="{00000000-0005-0000-0000-0000A3940000}"/>
    <cellStyle name="40% - Accent6 2 4 2 3 9" xfId="40493" xr:uid="{00000000-0005-0000-0000-0000A4940000}"/>
    <cellStyle name="40% - Accent6 2 4 2 4" xfId="767" xr:uid="{00000000-0005-0000-0000-0000A5940000}"/>
    <cellStyle name="40% - Accent6 2 4 2 4 10" xfId="45971" xr:uid="{00000000-0005-0000-0000-0000A6940000}"/>
    <cellStyle name="40% - Accent6 2 4 2 4 11" xfId="51449" xr:uid="{00000000-0005-0000-0000-0000A7940000}"/>
    <cellStyle name="40% - Accent6 2 4 2 4 2" xfId="2528" xr:uid="{00000000-0005-0000-0000-0000A8940000}"/>
    <cellStyle name="40% - Accent6 2 4 2 4 2 2" xfId="8008" xr:uid="{00000000-0005-0000-0000-0000A9940000}"/>
    <cellStyle name="40% - Accent6 2 4 2 4 2 3" xfId="13484" xr:uid="{00000000-0005-0000-0000-0000AA940000}"/>
    <cellStyle name="40% - Accent6 2 4 2 4 2 4" xfId="18960" xr:uid="{00000000-0005-0000-0000-0000AB940000}"/>
    <cellStyle name="40% - Accent6 2 4 2 4 2 5" xfId="24436" xr:uid="{00000000-0005-0000-0000-0000AC940000}"/>
    <cellStyle name="40% - Accent6 2 4 2 4 2 6" xfId="36232" xr:uid="{00000000-0005-0000-0000-0000AD940000}"/>
    <cellStyle name="40% - Accent6 2 4 2 4 2 7" xfId="41709" xr:uid="{00000000-0005-0000-0000-0000AE940000}"/>
    <cellStyle name="40% - Accent6 2 4 2 4 2 8" xfId="47186" xr:uid="{00000000-0005-0000-0000-0000AF940000}"/>
    <cellStyle name="40% - Accent6 2 4 2 4 2 9" xfId="52704" xr:uid="{00000000-0005-0000-0000-0000B0940000}"/>
    <cellStyle name="40% - Accent6 2 4 2 4 3" xfId="4300" xr:uid="{00000000-0005-0000-0000-0000B1940000}"/>
    <cellStyle name="40% - Accent6 2 4 2 4 3 2" xfId="9780" xr:uid="{00000000-0005-0000-0000-0000B2940000}"/>
    <cellStyle name="40% - Accent6 2 4 2 4 3 3" xfId="15256" xr:uid="{00000000-0005-0000-0000-0000B3940000}"/>
    <cellStyle name="40% - Accent6 2 4 2 4 3 4" xfId="20732" xr:uid="{00000000-0005-0000-0000-0000B4940000}"/>
    <cellStyle name="40% - Accent6 2 4 2 4 3 5" xfId="26208" xr:uid="{00000000-0005-0000-0000-0000B5940000}"/>
    <cellStyle name="40% - Accent6 2 4 2 4 3 6" xfId="38004" xr:uid="{00000000-0005-0000-0000-0000B6940000}"/>
    <cellStyle name="40% - Accent6 2 4 2 4 3 7" xfId="43481" xr:uid="{00000000-0005-0000-0000-0000B7940000}"/>
    <cellStyle name="40% - Accent6 2 4 2 4 3 8" xfId="48958" xr:uid="{00000000-0005-0000-0000-0000B8940000}"/>
    <cellStyle name="40% - Accent6 2 4 2 4 3 9" xfId="54476" xr:uid="{00000000-0005-0000-0000-0000B9940000}"/>
    <cellStyle name="40% - Accent6 2 4 2 4 4" xfId="6790" xr:uid="{00000000-0005-0000-0000-0000BA940000}"/>
    <cellStyle name="40% - Accent6 2 4 2 4 5" xfId="12270" xr:uid="{00000000-0005-0000-0000-0000BB940000}"/>
    <cellStyle name="40% - Accent6 2 4 2 4 6" xfId="17746" xr:uid="{00000000-0005-0000-0000-0000BC940000}"/>
    <cellStyle name="40% - Accent6 2 4 2 4 7" xfId="23222" xr:uid="{00000000-0005-0000-0000-0000BD940000}"/>
    <cellStyle name="40% - Accent6 2 4 2 4 8" xfId="35017" xr:uid="{00000000-0005-0000-0000-0000BE940000}"/>
    <cellStyle name="40% - Accent6 2 4 2 4 9" xfId="40494" xr:uid="{00000000-0005-0000-0000-0000BF940000}"/>
    <cellStyle name="40% - Accent6 2 4 2 5" xfId="939" xr:uid="{00000000-0005-0000-0000-0000C0940000}"/>
    <cellStyle name="40% - Accent6 2 4 2 5 10" xfId="45972" xr:uid="{00000000-0005-0000-0000-0000C1940000}"/>
    <cellStyle name="40% - Accent6 2 4 2 5 11" xfId="51450" xr:uid="{00000000-0005-0000-0000-0000C2940000}"/>
    <cellStyle name="40% - Accent6 2 4 2 5 2" xfId="2700" xr:uid="{00000000-0005-0000-0000-0000C3940000}"/>
    <cellStyle name="40% - Accent6 2 4 2 5 2 2" xfId="8180" xr:uid="{00000000-0005-0000-0000-0000C4940000}"/>
    <cellStyle name="40% - Accent6 2 4 2 5 2 3" xfId="13656" xr:uid="{00000000-0005-0000-0000-0000C5940000}"/>
    <cellStyle name="40% - Accent6 2 4 2 5 2 4" xfId="19132" xr:uid="{00000000-0005-0000-0000-0000C6940000}"/>
    <cellStyle name="40% - Accent6 2 4 2 5 2 5" xfId="24608" xr:uid="{00000000-0005-0000-0000-0000C7940000}"/>
    <cellStyle name="40% - Accent6 2 4 2 5 2 6" xfId="36404" xr:uid="{00000000-0005-0000-0000-0000C8940000}"/>
    <cellStyle name="40% - Accent6 2 4 2 5 2 7" xfId="41881" xr:uid="{00000000-0005-0000-0000-0000C9940000}"/>
    <cellStyle name="40% - Accent6 2 4 2 5 2 8" xfId="47358" xr:uid="{00000000-0005-0000-0000-0000CA940000}"/>
    <cellStyle name="40% - Accent6 2 4 2 5 2 9" xfId="52876" xr:uid="{00000000-0005-0000-0000-0000CB940000}"/>
    <cellStyle name="40% - Accent6 2 4 2 5 3" xfId="4472" xr:uid="{00000000-0005-0000-0000-0000CC940000}"/>
    <cellStyle name="40% - Accent6 2 4 2 5 3 2" xfId="9952" xr:uid="{00000000-0005-0000-0000-0000CD940000}"/>
    <cellStyle name="40% - Accent6 2 4 2 5 3 3" xfId="15428" xr:uid="{00000000-0005-0000-0000-0000CE940000}"/>
    <cellStyle name="40% - Accent6 2 4 2 5 3 4" xfId="20904" xr:uid="{00000000-0005-0000-0000-0000CF940000}"/>
    <cellStyle name="40% - Accent6 2 4 2 5 3 5" xfId="26380" xr:uid="{00000000-0005-0000-0000-0000D0940000}"/>
    <cellStyle name="40% - Accent6 2 4 2 5 3 6" xfId="38176" xr:uid="{00000000-0005-0000-0000-0000D1940000}"/>
    <cellStyle name="40% - Accent6 2 4 2 5 3 7" xfId="43653" xr:uid="{00000000-0005-0000-0000-0000D2940000}"/>
    <cellStyle name="40% - Accent6 2 4 2 5 3 8" xfId="49130" xr:uid="{00000000-0005-0000-0000-0000D3940000}"/>
    <cellStyle name="40% - Accent6 2 4 2 5 3 9" xfId="54648" xr:uid="{00000000-0005-0000-0000-0000D4940000}"/>
    <cellStyle name="40% - Accent6 2 4 2 5 4" xfId="6791" xr:uid="{00000000-0005-0000-0000-0000D5940000}"/>
    <cellStyle name="40% - Accent6 2 4 2 5 5" xfId="12271" xr:uid="{00000000-0005-0000-0000-0000D6940000}"/>
    <cellStyle name="40% - Accent6 2 4 2 5 6" xfId="17747" xr:uid="{00000000-0005-0000-0000-0000D7940000}"/>
    <cellStyle name="40% - Accent6 2 4 2 5 7" xfId="23223" xr:uid="{00000000-0005-0000-0000-0000D8940000}"/>
    <cellStyle name="40% - Accent6 2 4 2 5 8" xfId="35018" xr:uid="{00000000-0005-0000-0000-0000D9940000}"/>
    <cellStyle name="40% - Accent6 2 4 2 5 9" xfId="40495" xr:uid="{00000000-0005-0000-0000-0000DA940000}"/>
    <cellStyle name="40% - Accent6 2 4 2 6" xfId="1145" xr:uid="{00000000-0005-0000-0000-0000DB940000}"/>
    <cellStyle name="40% - Accent6 2 4 2 6 10" xfId="45973" xr:uid="{00000000-0005-0000-0000-0000DC940000}"/>
    <cellStyle name="40% - Accent6 2 4 2 6 11" xfId="51451" xr:uid="{00000000-0005-0000-0000-0000DD940000}"/>
    <cellStyle name="40% - Accent6 2 4 2 6 2" xfId="2906" xr:uid="{00000000-0005-0000-0000-0000DE940000}"/>
    <cellStyle name="40% - Accent6 2 4 2 6 2 2" xfId="8386" xr:uid="{00000000-0005-0000-0000-0000DF940000}"/>
    <cellStyle name="40% - Accent6 2 4 2 6 2 3" xfId="13862" xr:uid="{00000000-0005-0000-0000-0000E0940000}"/>
    <cellStyle name="40% - Accent6 2 4 2 6 2 4" xfId="19338" xr:uid="{00000000-0005-0000-0000-0000E1940000}"/>
    <cellStyle name="40% - Accent6 2 4 2 6 2 5" xfId="24814" xr:uid="{00000000-0005-0000-0000-0000E2940000}"/>
    <cellStyle name="40% - Accent6 2 4 2 6 2 6" xfId="36610" xr:uid="{00000000-0005-0000-0000-0000E3940000}"/>
    <cellStyle name="40% - Accent6 2 4 2 6 2 7" xfId="42087" xr:uid="{00000000-0005-0000-0000-0000E4940000}"/>
    <cellStyle name="40% - Accent6 2 4 2 6 2 8" xfId="47564" xr:uid="{00000000-0005-0000-0000-0000E5940000}"/>
    <cellStyle name="40% - Accent6 2 4 2 6 2 9" xfId="53082" xr:uid="{00000000-0005-0000-0000-0000E6940000}"/>
    <cellStyle name="40% - Accent6 2 4 2 6 3" xfId="4678" xr:uid="{00000000-0005-0000-0000-0000E7940000}"/>
    <cellStyle name="40% - Accent6 2 4 2 6 3 2" xfId="10158" xr:uid="{00000000-0005-0000-0000-0000E8940000}"/>
    <cellStyle name="40% - Accent6 2 4 2 6 3 3" xfId="15634" xr:uid="{00000000-0005-0000-0000-0000E9940000}"/>
    <cellStyle name="40% - Accent6 2 4 2 6 3 4" xfId="21110" xr:uid="{00000000-0005-0000-0000-0000EA940000}"/>
    <cellStyle name="40% - Accent6 2 4 2 6 3 5" xfId="26586" xr:uid="{00000000-0005-0000-0000-0000EB940000}"/>
    <cellStyle name="40% - Accent6 2 4 2 6 3 6" xfId="38382" xr:uid="{00000000-0005-0000-0000-0000EC940000}"/>
    <cellStyle name="40% - Accent6 2 4 2 6 3 7" xfId="43859" xr:uid="{00000000-0005-0000-0000-0000ED940000}"/>
    <cellStyle name="40% - Accent6 2 4 2 6 3 8" xfId="49336" xr:uid="{00000000-0005-0000-0000-0000EE940000}"/>
    <cellStyle name="40% - Accent6 2 4 2 6 3 9" xfId="54854" xr:uid="{00000000-0005-0000-0000-0000EF940000}"/>
    <cellStyle name="40% - Accent6 2 4 2 6 4" xfId="6792" xr:uid="{00000000-0005-0000-0000-0000F0940000}"/>
    <cellStyle name="40% - Accent6 2 4 2 6 5" xfId="12272" xr:uid="{00000000-0005-0000-0000-0000F1940000}"/>
    <cellStyle name="40% - Accent6 2 4 2 6 6" xfId="17748" xr:uid="{00000000-0005-0000-0000-0000F2940000}"/>
    <cellStyle name="40% - Accent6 2 4 2 6 7" xfId="23224" xr:uid="{00000000-0005-0000-0000-0000F3940000}"/>
    <cellStyle name="40% - Accent6 2 4 2 6 8" xfId="35019" xr:uid="{00000000-0005-0000-0000-0000F4940000}"/>
    <cellStyle name="40% - Accent6 2 4 2 6 9" xfId="40496" xr:uid="{00000000-0005-0000-0000-0000F5940000}"/>
    <cellStyle name="40% - Accent6 2 4 2 7" xfId="1317" xr:uid="{00000000-0005-0000-0000-0000F6940000}"/>
    <cellStyle name="40% - Accent6 2 4 2 7 10" xfId="45974" xr:uid="{00000000-0005-0000-0000-0000F7940000}"/>
    <cellStyle name="40% - Accent6 2 4 2 7 11" xfId="51452" xr:uid="{00000000-0005-0000-0000-0000F8940000}"/>
    <cellStyle name="40% - Accent6 2 4 2 7 2" xfId="3078" xr:uid="{00000000-0005-0000-0000-0000F9940000}"/>
    <cellStyle name="40% - Accent6 2 4 2 7 2 2" xfId="8558" xr:uid="{00000000-0005-0000-0000-0000FA940000}"/>
    <cellStyle name="40% - Accent6 2 4 2 7 2 3" xfId="14034" xr:uid="{00000000-0005-0000-0000-0000FB940000}"/>
    <cellStyle name="40% - Accent6 2 4 2 7 2 4" xfId="19510" xr:uid="{00000000-0005-0000-0000-0000FC940000}"/>
    <cellStyle name="40% - Accent6 2 4 2 7 2 5" xfId="24986" xr:uid="{00000000-0005-0000-0000-0000FD940000}"/>
    <cellStyle name="40% - Accent6 2 4 2 7 2 6" xfId="36782" xr:uid="{00000000-0005-0000-0000-0000FE940000}"/>
    <cellStyle name="40% - Accent6 2 4 2 7 2 7" xfId="42259" xr:uid="{00000000-0005-0000-0000-0000FF940000}"/>
    <cellStyle name="40% - Accent6 2 4 2 7 2 8" xfId="47736" xr:uid="{00000000-0005-0000-0000-000000950000}"/>
    <cellStyle name="40% - Accent6 2 4 2 7 2 9" xfId="53254" xr:uid="{00000000-0005-0000-0000-000001950000}"/>
    <cellStyle name="40% - Accent6 2 4 2 7 3" xfId="4850" xr:uid="{00000000-0005-0000-0000-000002950000}"/>
    <cellStyle name="40% - Accent6 2 4 2 7 3 2" xfId="10330" xr:uid="{00000000-0005-0000-0000-000003950000}"/>
    <cellStyle name="40% - Accent6 2 4 2 7 3 3" xfId="15806" xr:uid="{00000000-0005-0000-0000-000004950000}"/>
    <cellStyle name="40% - Accent6 2 4 2 7 3 4" xfId="21282" xr:uid="{00000000-0005-0000-0000-000005950000}"/>
    <cellStyle name="40% - Accent6 2 4 2 7 3 5" xfId="26758" xr:uid="{00000000-0005-0000-0000-000006950000}"/>
    <cellStyle name="40% - Accent6 2 4 2 7 3 6" xfId="38554" xr:uid="{00000000-0005-0000-0000-000007950000}"/>
    <cellStyle name="40% - Accent6 2 4 2 7 3 7" xfId="44031" xr:uid="{00000000-0005-0000-0000-000008950000}"/>
    <cellStyle name="40% - Accent6 2 4 2 7 3 8" xfId="49508" xr:uid="{00000000-0005-0000-0000-000009950000}"/>
    <cellStyle name="40% - Accent6 2 4 2 7 3 9" xfId="55026" xr:uid="{00000000-0005-0000-0000-00000A950000}"/>
    <cellStyle name="40% - Accent6 2 4 2 7 4" xfId="6793" xr:uid="{00000000-0005-0000-0000-00000B950000}"/>
    <cellStyle name="40% - Accent6 2 4 2 7 5" xfId="12273" xr:uid="{00000000-0005-0000-0000-00000C950000}"/>
    <cellStyle name="40% - Accent6 2 4 2 7 6" xfId="17749" xr:uid="{00000000-0005-0000-0000-00000D950000}"/>
    <cellStyle name="40% - Accent6 2 4 2 7 7" xfId="23225" xr:uid="{00000000-0005-0000-0000-00000E950000}"/>
    <cellStyle name="40% - Accent6 2 4 2 7 8" xfId="35020" xr:uid="{00000000-0005-0000-0000-00000F950000}"/>
    <cellStyle name="40% - Accent6 2 4 2 7 9" xfId="40497" xr:uid="{00000000-0005-0000-0000-000010950000}"/>
    <cellStyle name="40% - Accent6 2 4 2 8" xfId="1489" xr:uid="{00000000-0005-0000-0000-000011950000}"/>
    <cellStyle name="40% - Accent6 2 4 2 8 10" xfId="45975" xr:uid="{00000000-0005-0000-0000-000012950000}"/>
    <cellStyle name="40% - Accent6 2 4 2 8 11" xfId="51453" xr:uid="{00000000-0005-0000-0000-000013950000}"/>
    <cellStyle name="40% - Accent6 2 4 2 8 2" xfId="3250" xr:uid="{00000000-0005-0000-0000-000014950000}"/>
    <cellStyle name="40% - Accent6 2 4 2 8 2 2" xfId="8730" xr:uid="{00000000-0005-0000-0000-000015950000}"/>
    <cellStyle name="40% - Accent6 2 4 2 8 2 3" xfId="14206" xr:uid="{00000000-0005-0000-0000-000016950000}"/>
    <cellStyle name="40% - Accent6 2 4 2 8 2 4" xfId="19682" xr:uid="{00000000-0005-0000-0000-000017950000}"/>
    <cellStyle name="40% - Accent6 2 4 2 8 2 5" xfId="25158" xr:uid="{00000000-0005-0000-0000-000018950000}"/>
    <cellStyle name="40% - Accent6 2 4 2 8 2 6" xfId="36954" xr:uid="{00000000-0005-0000-0000-000019950000}"/>
    <cellStyle name="40% - Accent6 2 4 2 8 2 7" xfId="42431" xr:uid="{00000000-0005-0000-0000-00001A950000}"/>
    <cellStyle name="40% - Accent6 2 4 2 8 2 8" xfId="47908" xr:uid="{00000000-0005-0000-0000-00001B950000}"/>
    <cellStyle name="40% - Accent6 2 4 2 8 2 9" xfId="53426" xr:uid="{00000000-0005-0000-0000-00001C950000}"/>
    <cellStyle name="40% - Accent6 2 4 2 8 3" xfId="5022" xr:uid="{00000000-0005-0000-0000-00001D950000}"/>
    <cellStyle name="40% - Accent6 2 4 2 8 3 2" xfId="10502" xr:uid="{00000000-0005-0000-0000-00001E950000}"/>
    <cellStyle name="40% - Accent6 2 4 2 8 3 3" xfId="15978" xr:uid="{00000000-0005-0000-0000-00001F950000}"/>
    <cellStyle name="40% - Accent6 2 4 2 8 3 4" xfId="21454" xr:uid="{00000000-0005-0000-0000-000020950000}"/>
    <cellStyle name="40% - Accent6 2 4 2 8 3 5" xfId="26930" xr:uid="{00000000-0005-0000-0000-000021950000}"/>
    <cellStyle name="40% - Accent6 2 4 2 8 3 6" xfId="38726" xr:uid="{00000000-0005-0000-0000-000022950000}"/>
    <cellStyle name="40% - Accent6 2 4 2 8 3 7" xfId="44203" xr:uid="{00000000-0005-0000-0000-000023950000}"/>
    <cellStyle name="40% - Accent6 2 4 2 8 3 8" xfId="49680" xr:uid="{00000000-0005-0000-0000-000024950000}"/>
    <cellStyle name="40% - Accent6 2 4 2 8 3 9" xfId="55198" xr:uid="{00000000-0005-0000-0000-000025950000}"/>
    <cellStyle name="40% - Accent6 2 4 2 8 4" xfId="6794" xr:uid="{00000000-0005-0000-0000-000026950000}"/>
    <cellStyle name="40% - Accent6 2 4 2 8 5" xfId="12274" xr:uid="{00000000-0005-0000-0000-000027950000}"/>
    <cellStyle name="40% - Accent6 2 4 2 8 6" xfId="17750" xr:uid="{00000000-0005-0000-0000-000028950000}"/>
    <cellStyle name="40% - Accent6 2 4 2 8 7" xfId="23226" xr:uid="{00000000-0005-0000-0000-000029950000}"/>
    <cellStyle name="40% - Accent6 2 4 2 8 8" xfId="35021" xr:uid="{00000000-0005-0000-0000-00002A950000}"/>
    <cellStyle name="40% - Accent6 2 4 2 8 9" xfId="40498" xr:uid="{00000000-0005-0000-0000-00002B950000}"/>
    <cellStyle name="40% - Accent6 2 4 2 9" xfId="1661" xr:uid="{00000000-0005-0000-0000-00002C950000}"/>
    <cellStyle name="40% - Accent6 2 4 2 9 10" xfId="45976" xr:uid="{00000000-0005-0000-0000-00002D950000}"/>
    <cellStyle name="40% - Accent6 2 4 2 9 11" xfId="51454" xr:uid="{00000000-0005-0000-0000-00002E950000}"/>
    <cellStyle name="40% - Accent6 2 4 2 9 2" xfId="3422" xr:uid="{00000000-0005-0000-0000-00002F950000}"/>
    <cellStyle name="40% - Accent6 2 4 2 9 2 2" xfId="8902" xr:uid="{00000000-0005-0000-0000-000030950000}"/>
    <cellStyle name="40% - Accent6 2 4 2 9 2 3" xfId="14378" xr:uid="{00000000-0005-0000-0000-000031950000}"/>
    <cellStyle name="40% - Accent6 2 4 2 9 2 4" xfId="19854" xr:uid="{00000000-0005-0000-0000-000032950000}"/>
    <cellStyle name="40% - Accent6 2 4 2 9 2 5" xfId="25330" xr:uid="{00000000-0005-0000-0000-000033950000}"/>
    <cellStyle name="40% - Accent6 2 4 2 9 2 6" xfId="37126" xr:uid="{00000000-0005-0000-0000-000034950000}"/>
    <cellStyle name="40% - Accent6 2 4 2 9 2 7" xfId="42603" xr:uid="{00000000-0005-0000-0000-000035950000}"/>
    <cellStyle name="40% - Accent6 2 4 2 9 2 8" xfId="48080" xr:uid="{00000000-0005-0000-0000-000036950000}"/>
    <cellStyle name="40% - Accent6 2 4 2 9 2 9" xfId="53598" xr:uid="{00000000-0005-0000-0000-000037950000}"/>
    <cellStyle name="40% - Accent6 2 4 2 9 3" xfId="5194" xr:uid="{00000000-0005-0000-0000-000038950000}"/>
    <cellStyle name="40% - Accent6 2 4 2 9 3 2" xfId="10674" xr:uid="{00000000-0005-0000-0000-000039950000}"/>
    <cellStyle name="40% - Accent6 2 4 2 9 3 3" xfId="16150" xr:uid="{00000000-0005-0000-0000-00003A950000}"/>
    <cellStyle name="40% - Accent6 2 4 2 9 3 4" xfId="21626" xr:uid="{00000000-0005-0000-0000-00003B950000}"/>
    <cellStyle name="40% - Accent6 2 4 2 9 3 5" xfId="27102" xr:uid="{00000000-0005-0000-0000-00003C950000}"/>
    <cellStyle name="40% - Accent6 2 4 2 9 3 6" xfId="38898" xr:uid="{00000000-0005-0000-0000-00003D950000}"/>
    <cellStyle name="40% - Accent6 2 4 2 9 3 7" xfId="44375" xr:uid="{00000000-0005-0000-0000-00003E950000}"/>
    <cellStyle name="40% - Accent6 2 4 2 9 3 8" xfId="49852" xr:uid="{00000000-0005-0000-0000-00003F950000}"/>
    <cellStyle name="40% - Accent6 2 4 2 9 3 9" xfId="55370" xr:uid="{00000000-0005-0000-0000-000040950000}"/>
    <cellStyle name="40% - Accent6 2 4 2 9 4" xfId="6795" xr:uid="{00000000-0005-0000-0000-000041950000}"/>
    <cellStyle name="40% - Accent6 2 4 2 9 5" xfId="12275" xr:uid="{00000000-0005-0000-0000-000042950000}"/>
    <cellStyle name="40% - Accent6 2 4 2 9 6" xfId="17751" xr:uid="{00000000-0005-0000-0000-000043950000}"/>
    <cellStyle name="40% - Accent6 2 4 2 9 7" xfId="23227" xr:uid="{00000000-0005-0000-0000-000044950000}"/>
    <cellStyle name="40% - Accent6 2 4 2 9 8" xfId="35022" xr:uid="{00000000-0005-0000-0000-000045950000}"/>
    <cellStyle name="40% - Accent6 2 4 2 9 9" xfId="40499" xr:uid="{00000000-0005-0000-0000-000046950000}"/>
    <cellStyle name="40% - Accent6 2 4 20" xfId="40487" xr:uid="{00000000-0005-0000-0000-000047950000}"/>
    <cellStyle name="40% - Accent6 2 4 21" xfId="45964" xr:uid="{00000000-0005-0000-0000-000048950000}"/>
    <cellStyle name="40% - Accent6 2 4 22" xfId="51442" xr:uid="{00000000-0005-0000-0000-000049950000}"/>
    <cellStyle name="40% - Accent6 2 4 3" xfId="393" xr:uid="{00000000-0005-0000-0000-00004A950000}"/>
    <cellStyle name="40% - Accent6 2 4 3 10" xfId="40500" xr:uid="{00000000-0005-0000-0000-00004B950000}"/>
    <cellStyle name="40% - Accent6 2 4 3 11" xfId="45977" xr:uid="{00000000-0005-0000-0000-00004C950000}"/>
    <cellStyle name="40% - Accent6 2 4 3 12" xfId="51455" xr:uid="{00000000-0005-0000-0000-00004D950000}"/>
    <cellStyle name="40% - Accent6 2 4 3 2" xfId="2184" xr:uid="{00000000-0005-0000-0000-00004E950000}"/>
    <cellStyle name="40% - Accent6 2 4 3 2 2" xfId="7664" xr:uid="{00000000-0005-0000-0000-00004F950000}"/>
    <cellStyle name="40% - Accent6 2 4 3 2 3" xfId="13140" xr:uid="{00000000-0005-0000-0000-000050950000}"/>
    <cellStyle name="40% - Accent6 2 4 3 2 4" xfId="18616" xr:uid="{00000000-0005-0000-0000-000051950000}"/>
    <cellStyle name="40% - Accent6 2 4 3 2 5" xfId="24092" xr:uid="{00000000-0005-0000-0000-000052950000}"/>
    <cellStyle name="40% - Accent6 2 4 3 2 6" xfId="35888" xr:uid="{00000000-0005-0000-0000-000053950000}"/>
    <cellStyle name="40% - Accent6 2 4 3 2 7" xfId="41365" xr:uid="{00000000-0005-0000-0000-000054950000}"/>
    <cellStyle name="40% - Accent6 2 4 3 2 8" xfId="46842" xr:uid="{00000000-0005-0000-0000-000055950000}"/>
    <cellStyle name="40% - Accent6 2 4 3 2 9" xfId="52360" xr:uid="{00000000-0005-0000-0000-000056950000}"/>
    <cellStyle name="40% - Accent6 2 4 3 3" xfId="3955" xr:uid="{00000000-0005-0000-0000-000057950000}"/>
    <cellStyle name="40% - Accent6 2 4 3 3 2" xfId="9435" xr:uid="{00000000-0005-0000-0000-000058950000}"/>
    <cellStyle name="40% - Accent6 2 4 3 3 3" xfId="14911" xr:uid="{00000000-0005-0000-0000-000059950000}"/>
    <cellStyle name="40% - Accent6 2 4 3 3 4" xfId="20387" xr:uid="{00000000-0005-0000-0000-00005A950000}"/>
    <cellStyle name="40% - Accent6 2 4 3 3 5" xfId="25863" xr:uid="{00000000-0005-0000-0000-00005B950000}"/>
    <cellStyle name="40% - Accent6 2 4 3 3 6" xfId="37659" xr:uid="{00000000-0005-0000-0000-00005C950000}"/>
    <cellStyle name="40% - Accent6 2 4 3 3 7" xfId="43136" xr:uid="{00000000-0005-0000-0000-00005D950000}"/>
    <cellStyle name="40% - Accent6 2 4 3 3 8" xfId="48613" xr:uid="{00000000-0005-0000-0000-00005E950000}"/>
    <cellStyle name="40% - Accent6 2 4 3 3 9" xfId="54131" xr:uid="{00000000-0005-0000-0000-00005F950000}"/>
    <cellStyle name="40% - Accent6 2 4 3 4" xfId="6796" xr:uid="{00000000-0005-0000-0000-000060950000}"/>
    <cellStyle name="40% - Accent6 2 4 3 5" xfId="12276" xr:uid="{00000000-0005-0000-0000-000061950000}"/>
    <cellStyle name="40% - Accent6 2 4 3 6" xfId="17752" xr:uid="{00000000-0005-0000-0000-000062950000}"/>
    <cellStyle name="40% - Accent6 2 4 3 7" xfId="23228" xr:uid="{00000000-0005-0000-0000-000063950000}"/>
    <cellStyle name="40% - Accent6 2 4 3 8" xfId="32552" xr:uid="{00000000-0005-0000-0000-000064950000}"/>
    <cellStyle name="40% - Accent6 2 4 3 9" xfId="35023" xr:uid="{00000000-0005-0000-0000-000065950000}"/>
    <cellStyle name="40% - Accent6 2 4 4" xfId="594" xr:uid="{00000000-0005-0000-0000-000066950000}"/>
    <cellStyle name="40% - Accent6 2 4 4 10" xfId="45978" xr:uid="{00000000-0005-0000-0000-000067950000}"/>
    <cellStyle name="40% - Accent6 2 4 4 11" xfId="51456" xr:uid="{00000000-0005-0000-0000-000068950000}"/>
    <cellStyle name="40% - Accent6 2 4 4 2" xfId="2355" xr:uid="{00000000-0005-0000-0000-000069950000}"/>
    <cellStyle name="40% - Accent6 2 4 4 2 2" xfId="7835" xr:uid="{00000000-0005-0000-0000-00006A950000}"/>
    <cellStyle name="40% - Accent6 2 4 4 2 3" xfId="13311" xr:uid="{00000000-0005-0000-0000-00006B950000}"/>
    <cellStyle name="40% - Accent6 2 4 4 2 4" xfId="18787" xr:uid="{00000000-0005-0000-0000-00006C950000}"/>
    <cellStyle name="40% - Accent6 2 4 4 2 5" xfId="24263" xr:uid="{00000000-0005-0000-0000-00006D950000}"/>
    <cellStyle name="40% - Accent6 2 4 4 2 6" xfId="36059" xr:uid="{00000000-0005-0000-0000-00006E950000}"/>
    <cellStyle name="40% - Accent6 2 4 4 2 7" xfId="41536" xr:uid="{00000000-0005-0000-0000-00006F950000}"/>
    <cellStyle name="40% - Accent6 2 4 4 2 8" xfId="47013" xr:uid="{00000000-0005-0000-0000-000070950000}"/>
    <cellStyle name="40% - Accent6 2 4 4 2 9" xfId="52531" xr:uid="{00000000-0005-0000-0000-000071950000}"/>
    <cellStyle name="40% - Accent6 2 4 4 3" xfId="4127" xr:uid="{00000000-0005-0000-0000-000072950000}"/>
    <cellStyle name="40% - Accent6 2 4 4 3 2" xfId="9607" xr:uid="{00000000-0005-0000-0000-000073950000}"/>
    <cellStyle name="40% - Accent6 2 4 4 3 3" xfId="15083" xr:uid="{00000000-0005-0000-0000-000074950000}"/>
    <cellStyle name="40% - Accent6 2 4 4 3 4" xfId="20559" xr:uid="{00000000-0005-0000-0000-000075950000}"/>
    <cellStyle name="40% - Accent6 2 4 4 3 5" xfId="26035" xr:uid="{00000000-0005-0000-0000-000076950000}"/>
    <cellStyle name="40% - Accent6 2 4 4 3 6" xfId="37831" xr:uid="{00000000-0005-0000-0000-000077950000}"/>
    <cellStyle name="40% - Accent6 2 4 4 3 7" xfId="43308" xr:uid="{00000000-0005-0000-0000-000078950000}"/>
    <cellStyle name="40% - Accent6 2 4 4 3 8" xfId="48785" xr:uid="{00000000-0005-0000-0000-000079950000}"/>
    <cellStyle name="40% - Accent6 2 4 4 3 9" xfId="54303" xr:uid="{00000000-0005-0000-0000-00007A950000}"/>
    <cellStyle name="40% - Accent6 2 4 4 4" xfId="6797" xr:uid="{00000000-0005-0000-0000-00007B950000}"/>
    <cellStyle name="40% - Accent6 2 4 4 5" xfId="12277" xr:uid="{00000000-0005-0000-0000-00007C950000}"/>
    <cellStyle name="40% - Accent6 2 4 4 6" xfId="17753" xr:uid="{00000000-0005-0000-0000-00007D950000}"/>
    <cellStyle name="40% - Accent6 2 4 4 7" xfId="23229" xr:uid="{00000000-0005-0000-0000-00007E950000}"/>
    <cellStyle name="40% - Accent6 2 4 4 8" xfId="35024" xr:uid="{00000000-0005-0000-0000-00007F950000}"/>
    <cellStyle name="40% - Accent6 2 4 4 9" xfId="40501" xr:uid="{00000000-0005-0000-0000-000080950000}"/>
    <cellStyle name="40% - Accent6 2 4 5" xfId="766" xr:uid="{00000000-0005-0000-0000-000081950000}"/>
    <cellStyle name="40% - Accent6 2 4 5 10" xfId="45979" xr:uid="{00000000-0005-0000-0000-000082950000}"/>
    <cellStyle name="40% - Accent6 2 4 5 11" xfId="51457" xr:uid="{00000000-0005-0000-0000-000083950000}"/>
    <cellStyle name="40% - Accent6 2 4 5 2" xfId="2527" xr:uid="{00000000-0005-0000-0000-000084950000}"/>
    <cellStyle name="40% - Accent6 2 4 5 2 2" xfId="8007" xr:uid="{00000000-0005-0000-0000-000085950000}"/>
    <cellStyle name="40% - Accent6 2 4 5 2 3" xfId="13483" xr:uid="{00000000-0005-0000-0000-000086950000}"/>
    <cellStyle name="40% - Accent6 2 4 5 2 4" xfId="18959" xr:uid="{00000000-0005-0000-0000-000087950000}"/>
    <cellStyle name="40% - Accent6 2 4 5 2 5" xfId="24435" xr:uid="{00000000-0005-0000-0000-000088950000}"/>
    <cellStyle name="40% - Accent6 2 4 5 2 6" xfId="36231" xr:uid="{00000000-0005-0000-0000-000089950000}"/>
    <cellStyle name="40% - Accent6 2 4 5 2 7" xfId="41708" xr:uid="{00000000-0005-0000-0000-00008A950000}"/>
    <cellStyle name="40% - Accent6 2 4 5 2 8" xfId="47185" xr:uid="{00000000-0005-0000-0000-00008B950000}"/>
    <cellStyle name="40% - Accent6 2 4 5 2 9" xfId="52703" xr:uid="{00000000-0005-0000-0000-00008C950000}"/>
    <cellStyle name="40% - Accent6 2 4 5 3" xfId="4299" xr:uid="{00000000-0005-0000-0000-00008D950000}"/>
    <cellStyle name="40% - Accent6 2 4 5 3 2" xfId="9779" xr:uid="{00000000-0005-0000-0000-00008E950000}"/>
    <cellStyle name="40% - Accent6 2 4 5 3 3" xfId="15255" xr:uid="{00000000-0005-0000-0000-00008F950000}"/>
    <cellStyle name="40% - Accent6 2 4 5 3 4" xfId="20731" xr:uid="{00000000-0005-0000-0000-000090950000}"/>
    <cellStyle name="40% - Accent6 2 4 5 3 5" xfId="26207" xr:uid="{00000000-0005-0000-0000-000091950000}"/>
    <cellStyle name="40% - Accent6 2 4 5 3 6" xfId="38003" xr:uid="{00000000-0005-0000-0000-000092950000}"/>
    <cellStyle name="40% - Accent6 2 4 5 3 7" xfId="43480" xr:uid="{00000000-0005-0000-0000-000093950000}"/>
    <cellStyle name="40% - Accent6 2 4 5 3 8" xfId="48957" xr:uid="{00000000-0005-0000-0000-000094950000}"/>
    <cellStyle name="40% - Accent6 2 4 5 3 9" xfId="54475" xr:uid="{00000000-0005-0000-0000-000095950000}"/>
    <cellStyle name="40% - Accent6 2 4 5 4" xfId="6798" xr:uid="{00000000-0005-0000-0000-000096950000}"/>
    <cellStyle name="40% - Accent6 2 4 5 5" xfId="12278" xr:uid="{00000000-0005-0000-0000-000097950000}"/>
    <cellStyle name="40% - Accent6 2 4 5 6" xfId="17754" xr:uid="{00000000-0005-0000-0000-000098950000}"/>
    <cellStyle name="40% - Accent6 2 4 5 7" xfId="23230" xr:uid="{00000000-0005-0000-0000-000099950000}"/>
    <cellStyle name="40% - Accent6 2 4 5 8" xfId="35025" xr:uid="{00000000-0005-0000-0000-00009A950000}"/>
    <cellStyle name="40% - Accent6 2 4 5 9" xfId="40502" xr:uid="{00000000-0005-0000-0000-00009B950000}"/>
    <cellStyle name="40% - Accent6 2 4 6" xfId="938" xr:uid="{00000000-0005-0000-0000-00009C950000}"/>
    <cellStyle name="40% - Accent6 2 4 6 10" xfId="45980" xr:uid="{00000000-0005-0000-0000-00009D950000}"/>
    <cellStyle name="40% - Accent6 2 4 6 11" xfId="51458" xr:uid="{00000000-0005-0000-0000-00009E950000}"/>
    <cellStyle name="40% - Accent6 2 4 6 2" xfId="2699" xr:uid="{00000000-0005-0000-0000-00009F950000}"/>
    <cellStyle name="40% - Accent6 2 4 6 2 2" xfId="8179" xr:uid="{00000000-0005-0000-0000-0000A0950000}"/>
    <cellStyle name="40% - Accent6 2 4 6 2 3" xfId="13655" xr:uid="{00000000-0005-0000-0000-0000A1950000}"/>
    <cellStyle name="40% - Accent6 2 4 6 2 4" xfId="19131" xr:uid="{00000000-0005-0000-0000-0000A2950000}"/>
    <cellStyle name="40% - Accent6 2 4 6 2 5" xfId="24607" xr:uid="{00000000-0005-0000-0000-0000A3950000}"/>
    <cellStyle name="40% - Accent6 2 4 6 2 6" xfId="36403" xr:uid="{00000000-0005-0000-0000-0000A4950000}"/>
    <cellStyle name="40% - Accent6 2 4 6 2 7" xfId="41880" xr:uid="{00000000-0005-0000-0000-0000A5950000}"/>
    <cellStyle name="40% - Accent6 2 4 6 2 8" xfId="47357" xr:uid="{00000000-0005-0000-0000-0000A6950000}"/>
    <cellStyle name="40% - Accent6 2 4 6 2 9" xfId="52875" xr:uid="{00000000-0005-0000-0000-0000A7950000}"/>
    <cellStyle name="40% - Accent6 2 4 6 3" xfId="4471" xr:uid="{00000000-0005-0000-0000-0000A8950000}"/>
    <cellStyle name="40% - Accent6 2 4 6 3 2" xfId="9951" xr:uid="{00000000-0005-0000-0000-0000A9950000}"/>
    <cellStyle name="40% - Accent6 2 4 6 3 3" xfId="15427" xr:uid="{00000000-0005-0000-0000-0000AA950000}"/>
    <cellStyle name="40% - Accent6 2 4 6 3 4" xfId="20903" xr:uid="{00000000-0005-0000-0000-0000AB950000}"/>
    <cellStyle name="40% - Accent6 2 4 6 3 5" xfId="26379" xr:uid="{00000000-0005-0000-0000-0000AC950000}"/>
    <cellStyle name="40% - Accent6 2 4 6 3 6" xfId="38175" xr:uid="{00000000-0005-0000-0000-0000AD950000}"/>
    <cellStyle name="40% - Accent6 2 4 6 3 7" xfId="43652" xr:uid="{00000000-0005-0000-0000-0000AE950000}"/>
    <cellStyle name="40% - Accent6 2 4 6 3 8" xfId="49129" xr:uid="{00000000-0005-0000-0000-0000AF950000}"/>
    <cellStyle name="40% - Accent6 2 4 6 3 9" xfId="54647" xr:uid="{00000000-0005-0000-0000-0000B0950000}"/>
    <cellStyle name="40% - Accent6 2 4 6 4" xfId="6799" xr:uid="{00000000-0005-0000-0000-0000B1950000}"/>
    <cellStyle name="40% - Accent6 2 4 6 5" xfId="12279" xr:uid="{00000000-0005-0000-0000-0000B2950000}"/>
    <cellStyle name="40% - Accent6 2 4 6 6" xfId="17755" xr:uid="{00000000-0005-0000-0000-0000B3950000}"/>
    <cellStyle name="40% - Accent6 2 4 6 7" xfId="23231" xr:uid="{00000000-0005-0000-0000-0000B4950000}"/>
    <cellStyle name="40% - Accent6 2 4 6 8" xfId="35026" xr:uid="{00000000-0005-0000-0000-0000B5950000}"/>
    <cellStyle name="40% - Accent6 2 4 6 9" xfId="40503" xr:uid="{00000000-0005-0000-0000-0000B6950000}"/>
    <cellStyle name="40% - Accent6 2 4 7" xfId="1144" xr:uid="{00000000-0005-0000-0000-0000B7950000}"/>
    <cellStyle name="40% - Accent6 2 4 7 10" xfId="45981" xr:uid="{00000000-0005-0000-0000-0000B8950000}"/>
    <cellStyle name="40% - Accent6 2 4 7 11" xfId="51459" xr:uid="{00000000-0005-0000-0000-0000B9950000}"/>
    <cellStyle name="40% - Accent6 2 4 7 2" xfId="2905" xr:uid="{00000000-0005-0000-0000-0000BA950000}"/>
    <cellStyle name="40% - Accent6 2 4 7 2 2" xfId="8385" xr:uid="{00000000-0005-0000-0000-0000BB950000}"/>
    <cellStyle name="40% - Accent6 2 4 7 2 3" xfId="13861" xr:uid="{00000000-0005-0000-0000-0000BC950000}"/>
    <cellStyle name="40% - Accent6 2 4 7 2 4" xfId="19337" xr:uid="{00000000-0005-0000-0000-0000BD950000}"/>
    <cellStyle name="40% - Accent6 2 4 7 2 5" xfId="24813" xr:uid="{00000000-0005-0000-0000-0000BE950000}"/>
    <cellStyle name="40% - Accent6 2 4 7 2 6" xfId="36609" xr:uid="{00000000-0005-0000-0000-0000BF950000}"/>
    <cellStyle name="40% - Accent6 2 4 7 2 7" xfId="42086" xr:uid="{00000000-0005-0000-0000-0000C0950000}"/>
    <cellStyle name="40% - Accent6 2 4 7 2 8" xfId="47563" xr:uid="{00000000-0005-0000-0000-0000C1950000}"/>
    <cellStyle name="40% - Accent6 2 4 7 2 9" xfId="53081" xr:uid="{00000000-0005-0000-0000-0000C2950000}"/>
    <cellStyle name="40% - Accent6 2 4 7 3" xfId="4677" xr:uid="{00000000-0005-0000-0000-0000C3950000}"/>
    <cellStyle name="40% - Accent6 2 4 7 3 2" xfId="10157" xr:uid="{00000000-0005-0000-0000-0000C4950000}"/>
    <cellStyle name="40% - Accent6 2 4 7 3 3" xfId="15633" xr:uid="{00000000-0005-0000-0000-0000C5950000}"/>
    <cellStyle name="40% - Accent6 2 4 7 3 4" xfId="21109" xr:uid="{00000000-0005-0000-0000-0000C6950000}"/>
    <cellStyle name="40% - Accent6 2 4 7 3 5" xfId="26585" xr:uid="{00000000-0005-0000-0000-0000C7950000}"/>
    <cellStyle name="40% - Accent6 2 4 7 3 6" xfId="38381" xr:uid="{00000000-0005-0000-0000-0000C8950000}"/>
    <cellStyle name="40% - Accent6 2 4 7 3 7" xfId="43858" xr:uid="{00000000-0005-0000-0000-0000C9950000}"/>
    <cellStyle name="40% - Accent6 2 4 7 3 8" xfId="49335" xr:uid="{00000000-0005-0000-0000-0000CA950000}"/>
    <cellStyle name="40% - Accent6 2 4 7 3 9" xfId="54853" xr:uid="{00000000-0005-0000-0000-0000CB950000}"/>
    <cellStyle name="40% - Accent6 2 4 7 4" xfId="6800" xr:uid="{00000000-0005-0000-0000-0000CC950000}"/>
    <cellStyle name="40% - Accent6 2 4 7 5" xfId="12280" xr:uid="{00000000-0005-0000-0000-0000CD950000}"/>
    <cellStyle name="40% - Accent6 2 4 7 6" xfId="17756" xr:uid="{00000000-0005-0000-0000-0000CE950000}"/>
    <cellStyle name="40% - Accent6 2 4 7 7" xfId="23232" xr:uid="{00000000-0005-0000-0000-0000CF950000}"/>
    <cellStyle name="40% - Accent6 2 4 7 8" xfId="35027" xr:uid="{00000000-0005-0000-0000-0000D0950000}"/>
    <cellStyle name="40% - Accent6 2 4 7 9" xfId="40504" xr:uid="{00000000-0005-0000-0000-0000D1950000}"/>
    <cellStyle name="40% - Accent6 2 4 8" xfId="1316" xr:uid="{00000000-0005-0000-0000-0000D2950000}"/>
    <cellStyle name="40% - Accent6 2 4 8 10" xfId="45982" xr:uid="{00000000-0005-0000-0000-0000D3950000}"/>
    <cellStyle name="40% - Accent6 2 4 8 11" xfId="51460" xr:uid="{00000000-0005-0000-0000-0000D4950000}"/>
    <cellStyle name="40% - Accent6 2 4 8 2" xfId="3077" xr:uid="{00000000-0005-0000-0000-0000D5950000}"/>
    <cellStyle name="40% - Accent6 2 4 8 2 2" xfId="8557" xr:uid="{00000000-0005-0000-0000-0000D6950000}"/>
    <cellStyle name="40% - Accent6 2 4 8 2 3" xfId="14033" xr:uid="{00000000-0005-0000-0000-0000D7950000}"/>
    <cellStyle name="40% - Accent6 2 4 8 2 4" xfId="19509" xr:uid="{00000000-0005-0000-0000-0000D8950000}"/>
    <cellStyle name="40% - Accent6 2 4 8 2 5" xfId="24985" xr:uid="{00000000-0005-0000-0000-0000D9950000}"/>
    <cellStyle name="40% - Accent6 2 4 8 2 6" xfId="36781" xr:uid="{00000000-0005-0000-0000-0000DA950000}"/>
    <cellStyle name="40% - Accent6 2 4 8 2 7" xfId="42258" xr:uid="{00000000-0005-0000-0000-0000DB950000}"/>
    <cellStyle name="40% - Accent6 2 4 8 2 8" xfId="47735" xr:uid="{00000000-0005-0000-0000-0000DC950000}"/>
    <cellStyle name="40% - Accent6 2 4 8 2 9" xfId="53253" xr:uid="{00000000-0005-0000-0000-0000DD950000}"/>
    <cellStyle name="40% - Accent6 2 4 8 3" xfId="4849" xr:uid="{00000000-0005-0000-0000-0000DE950000}"/>
    <cellStyle name="40% - Accent6 2 4 8 3 2" xfId="10329" xr:uid="{00000000-0005-0000-0000-0000DF950000}"/>
    <cellStyle name="40% - Accent6 2 4 8 3 3" xfId="15805" xr:uid="{00000000-0005-0000-0000-0000E0950000}"/>
    <cellStyle name="40% - Accent6 2 4 8 3 4" xfId="21281" xr:uid="{00000000-0005-0000-0000-0000E1950000}"/>
    <cellStyle name="40% - Accent6 2 4 8 3 5" xfId="26757" xr:uid="{00000000-0005-0000-0000-0000E2950000}"/>
    <cellStyle name="40% - Accent6 2 4 8 3 6" xfId="38553" xr:uid="{00000000-0005-0000-0000-0000E3950000}"/>
    <cellStyle name="40% - Accent6 2 4 8 3 7" xfId="44030" xr:uid="{00000000-0005-0000-0000-0000E4950000}"/>
    <cellStyle name="40% - Accent6 2 4 8 3 8" xfId="49507" xr:uid="{00000000-0005-0000-0000-0000E5950000}"/>
    <cellStyle name="40% - Accent6 2 4 8 3 9" xfId="55025" xr:uid="{00000000-0005-0000-0000-0000E6950000}"/>
    <cellStyle name="40% - Accent6 2 4 8 4" xfId="6801" xr:uid="{00000000-0005-0000-0000-0000E7950000}"/>
    <cellStyle name="40% - Accent6 2 4 8 5" xfId="12281" xr:uid="{00000000-0005-0000-0000-0000E8950000}"/>
    <cellStyle name="40% - Accent6 2 4 8 6" xfId="17757" xr:uid="{00000000-0005-0000-0000-0000E9950000}"/>
    <cellStyle name="40% - Accent6 2 4 8 7" xfId="23233" xr:uid="{00000000-0005-0000-0000-0000EA950000}"/>
    <cellStyle name="40% - Accent6 2 4 8 8" xfId="35028" xr:uid="{00000000-0005-0000-0000-0000EB950000}"/>
    <cellStyle name="40% - Accent6 2 4 8 9" xfId="40505" xr:uid="{00000000-0005-0000-0000-0000EC950000}"/>
    <cellStyle name="40% - Accent6 2 4 9" xfId="1488" xr:uid="{00000000-0005-0000-0000-0000ED950000}"/>
    <cellStyle name="40% - Accent6 2 4 9 10" xfId="45983" xr:uid="{00000000-0005-0000-0000-0000EE950000}"/>
    <cellStyle name="40% - Accent6 2 4 9 11" xfId="51461" xr:uid="{00000000-0005-0000-0000-0000EF950000}"/>
    <cellStyle name="40% - Accent6 2 4 9 2" xfId="3249" xr:uid="{00000000-0005-0000-0000-0000F0950000}"/>
    <cellStyle name="40% - Accent6 2 4 9 2 2" xfId="8729" xr:uid="{00000000-0005-0000-0000-0000F1950000}"/>
    <cellStyle name="40% - Accent6 2 4 9 2 3" xfId="14205" xr:uid="{00000000-0005-0000-0000-0000F2950000}"/>
    <cellStyle name="40% - Accent6 2 4 9 2 4" xfId="19681" xr:uid="{00000000-0005-0000-0000-0000F3950000}"/>
    <cellStyle name="40% - Accent6 2 4 9 2 5" xfId="25157" xr:uid="{00000000-0005-0000-0000-0000F4950000}"/>
    <cellStyle name="40% - Accent6 2 4 9 2 6" xfId="36953" xr:uid="{00000000-0005-0000-0000-0000F5950000}"/>
    <cellStyle name="40% - Accent6 2 4 9 2 7" xfId="42430" xr:uid="{00000000-0005-0000-0000-0000F6950000}"/>
    <cellStyle name="40% - Accent6 2 4 9 2 8" xfId="47907" xr:uid="{00000000-0005-0000-0000-0000F7950000}"/>
    <cellStyle name="40% - Accent6 2 4 9 2 9" xfId="53425" xr:uid="{00000000-0005-0000-0000-0000F8950000}"/>
    <cellStyle name="40% - Accent6 2 4 9 3" xfId="5021" xr:uid="{00000000-0005-0000-0000-0000F9950000}"/>
    <cellStyle name="40% - Accent6 2 4 9 3 2" xfId="10501" xr:uid="{00000000-0005-0000-0000-0000FA950000}"/>
    <cellStyle name="40% - Accent6 2 4 9 3 3" xfId="15977" xr:uid="{00000000-0005-0000-0000-0000FB950000}"/>
    <cellStyle name="40% - Accent6 2 4 9 3 4" xfId="21453" xr:uid="{00000000-0005-0000-0000-0000FC950000}"/>
    <cellStyle name="40% - Accent6 2 4 9 3 5" xfId="26929" xr:uid="{00000000-0005-0000-0000-0000FD950000}"/>
    <cellStyle name="40% - Accent6 2 4 9 3 6" xfId="38725" xr:uid="{00000000-0005-0000-0000-0000FE950000}"/>
    <cellStyle name="40% - Accent6 2 4 9 3 7" xfId="44202" xr:uid="{00000000-0005-0000-0000-0000FF950000}"/>
    <cellStyle name="40% - Accent6 2 4 9 3 8" xfId="49679" xr:uid="{00000000-0005-0000-0000-000000960000}"/>
    <cellStyle name="40% - Accent6 2 4 9 3 9" xfId="55197" xr:uid="{00000000-0005-0000-0000-000001960000}"/>
    <cellStyle name="40% - Accent6 2 4 9 4" xfId="6802" xr:uid="{00000000-0005-0000-0000-000002960000}"/>
    <cellStyle name="40% - Accent6 2 4 9 5" xfId="12282" xr:uid="{00000000-0005-0000-0000-000003960000}"/>
    <cellStyle name="40% - Accent6 2 4 9 6" xfId="17758" xr:uid="{00000000-0005-0000-0000-000004960000}"/>
    <cellStyle name="40% - Accent6 2 4 9 7" xfId="23234" xr:uid="{00000000-0005-0000-0000-000005960000}"/>
    <cellStyle name="40% - Accent6 2 4 9 8" xfId="35029" xr:uid="{00000000-0005-0000-0000-000006960000}"/>
    <cellStyle name="40% - Accent6 2 4 9 9" xfId="40506" xr:uid="{00000000-0005-0000-0000-000007960000}"/>
    <cellStyle name="40% - Accent6 2 5" xfId="216" xr:uid="{00000000-0005-0000-0000-000008960000}"/>
    <cellStyle name="40% - Accent6 2 5 10" xfId="1856" xr:uid="{00000000-0005-0000-0000-000009960000}"/>
    <cellStyle name="40% - Accent6 2 5 10 10" xfId="45985" xr:uid="{00000000-0005-0000-0000-00000A960000}"/>
    <cellStyle name="40% - Accent6 2 5 10 11" xfId="51463" xr:uid="{00000000-0005-0000-0000-00000B960000}"/>
    <cellStyle name="40% - Accent6 2 5 10 2" xfId="3617" xr:uid="{00000000-0005-0000-0000-00000C960000}"/>
    <cellStyle name="40% - Accent6 2 5 10 2 2" xfId="9097" xr:uid="{00000000-0005-0000-0000-00000D960000}"/>
    <cellStyle name="40% - Accent6 2 5 10 2 3" xfId="14573" xr:uid="{00000000-0005-0000-0000-00000E960000}"/>
    <cellStyle name="40% - Accent6 2 5 10 2 4" xfId="20049" xr:uid="{00000000-0005-0000-0000-00000F960000}"/>
    <cellStyle name="40% - Accent6 2 5 10 2 5" xfId="25525" xr:uid="{00000000-0005-0000-0000-000010960000}"/>
    <cellStyle name="40% - Accent6 2 5 10 2 6" xfId="37321" xr:uid="{00000000-0005-0000-0000-000011960000}"/>
    <cellStyle name="40% - Accent6 2 5 10 2 7" xfId="42798" xr:uid="{00000000-0005-0000-0000-000012960000}"/>
    <cellStyle name="40% - Accent6 2 5 10 2 8" xfId="48275" xr:uid="{00000000-0005-0000-0000-000013960000}"/>
    <cellStyle name="40% - Accent6 2 5 10 2 9" xfId="53793" xr:uid="{00000000-0005-0000-0000-000014960000}"/>
    <cellStyle name="40% - Accent6 2 5 10 3" xfId="5389" xr:uid="{00000000-0005-0000-0000-000015960000}"/>
    <cellStyle name="40% - Accent6 2 5 10 3 2" xfId="10869" xr:uid="{00000000-0005-0000-0000-000016960000}"/>
    <cellStyle name="40% - Accent6 2 5 10 3 3" xfId="16345" xr:uid="{00000000-0005-0000-0000-000017960000}"/>
    <cellStyle name="40% - Accent6 2 5 10 3 4" xfId="21821" xr:uid="{00000000-0005-0000-0000-000018960000}"/>
    <cellStyle name="40% - Accent6 2 5 10 3 5" xfId="27297" xr:uid="{00000000-0005-0000-0000-000019960000}"/>
    <cellStyle name="40% - Accent6 2 5 10 3 6" xfId="39093" xr:uid="{00000000-0005-0000-0000-00001A960000}"/>
    <cellStyle name="40% - Accent6 2 5 10 3 7" xfId="44570" xr:uid="{00000000-0005-0000-0000-00001B960000}"/>
    <cellStyle name="40% - Accent6 2 5 10 3 8" xfId="50047" xr:uid="{00000000-0005-0000-0000-00001C960000}"/>
    <cellStyle name="40% - Accent6 2 5 10 3 9" xfId="55565" xr:uid="{00000000-0005-0000-0000-00001D960000}"/>
    <cellStyle name="40% - Accent6 2 5 10 4" xfId="6804" xr:uid="{00000000-0005-0000-0000-00001E960000}"/>
    <cellStyle name="40% - Accent6 2 5 10 5" xfId="12284" xr:uid="{00000000-0005-0000-0000-00001F960000}"/>
    <cellStyle name="40% - Accent6 2 5 10 6" xfId="17760" xr:uid="{00000000-0005-0000-0000-000020960000}"/>
    <cellStyle name="40% - Accent6 2 5 10 7" xfId="23236" xr:uid="{00000000-0005-0000-0000-000021960000}"/>
    <cellStyle name="40% - Accent6 2 5 10 8" xfId="35031" xr:uid="{00000000-0005-0000-0000-000022960000}"/>
    <cellStyle name="40% - Accent6 2 5 10 9" xfId="40508" xr:uid="{00000000-0005-0000-0000-000023960000}"/>
    <cellStyle name="40% - Accent6 2 5 11" xfId="2024" xr:uid="{00000000-0005-0000-0000-000024960000}"/>
    <cellStyle name="40% - Accent6 2 5 11 10" xfId="52201" xr:uid="{00000000-0005-0000-0000-000025960000}"/>
    <cellStyle name="40% - Accent6 2 5 11 2" xfId="5556" xr:uid="{00000000-0005-0000-0000-000026960000}"/>
    <cellStyle name="40% - Accent6 2 5 11 2 2" xfId="11036" xr:uid="{00000000-0005-0000-0000-000027960000}"/>
    <cellStyle name="40% - Accent6 2 5 11 2 3" xfId="16512" xr:uid="{00000000-0005-0000-0000-000028960000}"/>
    <cellStyle name="40% - Accent6 2 5 11 2 4" xfId="21988" xr:uid="{00000000-0005-0000-0000-000029960000}"/>
    <cellStyle name="40% - Accent6 2 5 11 2 5" xfId="27464" xr:uid="{00000000-0005-0000-0000-00002A960000}"/>
    <cellStyle name="40% - Accent6 2 5 11 2 6" xfId="39260" xr:uid="{00000000-0005-0000-0000-00002B960000}"/>
    <cellStyle name="40% - Accent6 2 5 11 2 7" xfId="44737" xr:uid="{00000000-0005-0000-0000-00002C960000}"/>
    <cellStyle name="40% - Accent6 2 5 11 2 8" xfId="50214" xr:uid="{00000000-0005-0000-0000-00002D960000}"/>
    <cellStyle name="40% - Accent6 2 5 11 2 9" xfId="55732" xr:uid="{00000000-0005-0000-0000-00002E960000}"/>
    <cellStyle name="40% - Accent6 2 5 11 3" xfId="7505" xr:uid="{00000000-0005-0000-0000-00002F960000}"/>
    <cellStyle name="40% - Accent6 2 5 11 4" xfId="12981" xr:uid="{00000000-0005-0000-0000-000030960000}"/>
    <cellStyle name="40% - Accent6 2 5 11 5" xfId="18457" xr:uid="{00000000-0005-0000-0000-000031960000}"/>
    <cellStyle name="40% - Accent6 2 5 11 6" xfId="23933" xr:uid="{00000000-0005-0000-0000-000032960000}"/>
    <cellStyle name="40% - Accent6 2 5 11 7" xfId="35729" xr:uid="{00000000-0005-0000-0000-000033960000}"/>
    <cellStyle name="40% - Accent6 2 5 11 8" xfId="41206" xr:uid="{00000000-0005-0000-0000-000034960000}"/>
    <cellStyle name="40% - Accent6 2 5 11 9" xfId="46683" xr:uid="{00000000-0005-0000-0000-000035960000}"/>
    <cellStyle name="40% - Accent6 2 5 12" xfId="3782" xr:uid="{00000000-0005-0000-0000-000036960000}"/>
    <cellStyle name="40% - Accent6 2 5 12 2" xfId="9262" xr:uid="{00000000-0005-0000-0000-000037960000}"/>
    <cellStyle name="40% - Accent6 2 5 12 3" xfId="14738" xr:uid="{00000000-0005-0000-0000-000038960000}"/>
    <cellStyle name="40% - Accent6 2 5 12 4" xfId="20214" xr:uid="{00000000-0005-0000-0000-000039960000}"/>
    <cellStyle name="40% - Accent6 2 5 12 5" xfId="25690" xr:uid="{00000000-0005-0000-0000-00003A960000}"/>
    <cellStyle name="40% - Accent6 2 5 12 6" xfId="37486" xr:uid="{00000000-0005-0000-0000-00003B960000}"/>
    <cellStyle name="40% - Accent6 2 5 12 7" xfId="42963" xr:uid="{00000000-0005-0000-0000-00003C960000}"/>
    <cellStyle name="40% - Accent6 2 5 12 8" xfId="48440" xr:uid="{00000000-0005-0000-0000-00003D960000}"/>
    <cellStyle name="40% - Accent6 2 5 12 9" xfId="53958" xr:uid="{00000000-0005-0000-0000-00003E960000}"/>
    <cellStyle name="40% - Accent6 2 5 13" xfId="6803" xr:uid="{00000000-0005-0000-0000-00003F960000}"/>
    <cellStyle name="40% - Accent6 2 5 14" xfId="12283" xr:uid="{00000000-0005-0000-0000-000040960000}"/>
    <cellStyle name="40% - Accent6 2 5 15" xfId="17759" xr:uid="{00000000-0005-0000-0000-000041960000}"/>
    <cellStyle name="40% - Accent6 2 5 16" xfId="23235" xr:uid="{00000000-0005-0000-0000-000042960000}"/>
    <cellStyle name="40% - Accent6 2 5 17" xfId="32553" xr:uid="{00000000-0005-0000-0000-000043960000}"/>
    <cellStyle name="40% - Accent6 2 5 18" xfId="35030" xr:uid="{00000000-0005-0000-0000-000044960000}"/>
    <cellStyle name="40% - Accent6 2 5 19" xfId="40507" xr:uid="{00000000-0005-0000-0000-000045960000}"/>
    <cellStyle name="40% - Accent6 2 5 2" xfId="395" xr:uid="{00000000-0005-0000-0000-000046960000}"/>
    <cellStyle name="40% - Accent6 2 5 2 10" xfId="40509" xr:uid="{00000000-0005-0000-0000-000047960000}"/>
    <cellStyle name="40% - Accent6 2 5 2 11" xfId="45986" xr:uid="{00000000-0005-0000-0000-000048960000}"/>
    <cellStyle name="40% - Accent6 2 5 2 12" xfId="51464" xr:uid="{00000000-0005-0000-0000-000049960000}"/>
    <cellStyle name="40% - Accent6 2 5 2 2" xfId="2186" xr:uid="{00000000-0005-0000-0000-00004A960000}"/>
    <cellStyle name="40% - Accent6 2 5 2 2 10" xfId="52362" xr:uid="{00000000-0005-0000-0000-00004B960000}"/>
    <cellStyle name="40% - Accent6 2 5 2 2 2" xfId="7666" xr:uid="{00000000-0005-0000-0000-00004C960000}"/>
    <cellStyle name="40% - Accent6 2 5 2 2 3" xfId="13142" xr:uid="{00000000-0005-0000-0000-00004D960000}"/>
    <cellStyle name="40% - Accent6 2 5 2 2 4" xfId="18618" xr:uid="{00000000-0005-0000-0000-00004E960000}"/>
    <cellStyle name="40% - Accent6 2 5 2 2 5" xfId="24094" xr:uid="{00000000-0005-0000-0000-00004F960000}"/>
    <cellStyle name="40% - Accent6 2 5 2 2 6" xfId="32555" xr:uid="{00000000-0005-0000-0000-000050960000}"/>
    <cellStyle name="40% - Accent6 2 5 2 2 7" xfId="35890" xr:uid="{00000000-0005-0000-0000-000051960000}"/>
    <cellStyle name="40% - Accent6 2 5 2 2 8" xfId="41367" xr:uid="{00000000-0005-0000-0000-000052960000}"/>
    <cellStyle name="40% - Accent6 2 5 2 2 9" xfId="46844" xr:uid="{00000000-0005-0000-0000-000053960000}"/>
    <cellStyle name="40% - Accent6 2 5 2 3" xfId="3957" xr:uid="{00000000-0005-0000-0000-000054960000}"/>
    <cellStyle name="40% - Accent6 2 5 2 3 2" xfId="9437" xr:uid="{00000000-0005-0000-0000-000055960000}"/>
    <cellStyle name="40% - Accent6 2 5 2 3 3" xfId="14913" xr:uid="{00000000-0005-0000-0000-000056960000}"/>
    <cellStyle name="40% - Accent6 2 5 2 3 4" xfId="20389" xr:uid="{00000000-0005-0000-0000-000057960000}"/>
    <cellStyle name="40% - Accent6 2 5 2 3 5" xfId="25865" xr:uid="{00000000-0005-0000-0000-000058960000}"/>
    <cellStyle name="40% - Accent6 2 5 2 3 6" xfId="37661" xr:uid="{00000000-0005-0000-0000-000059960000}"/>
    <cellStyle name="40% - Accent6 2 5 2 3 7" xfId="43138" xr:uid="{00000000-0005-0000-0000-00005A960000}"/>
    <cellStyle name="40% - Accent6 2 5 2 3 8" xfId="48615" xr:uid="{00000000-0005-0000-0000-00005B960000}"/>
    <cellStyle name="40% - Accent6 2 5 2 3 9" xfId="54133" xr:uid="{00000000-0005-0000-0000-00005C960000}"/>
    <cellStyle name="40% - Accent6 2 5 2 4" xfId="6805" xr:uid="{00000000-0005-0000-0000-00005D960000}"/>
    <cellStyle name="40% - Accent6 2 5 2 5" xfId="12285" xr:uid="{00000000-0005-0000-0000-00005E960000}"/>
    <cellStyle name="40% - Accent6 2 5 2 6" xfId="17761" xr:uid="{00000000-0005-0000-0000-00005F960000}"/>
    <cellStyle name="40% - Accent6 2 5 2 7" xfId="23237" xr:uid="{00000000-0005-0000-0000-000060960000}"/>
    <cellStyle name="40% - Accent6 2 5 2 8" xfId="32554" xr:uid="{00000000-0005-0000-0000-000061960000}"/>
    <cellStyle name="40% - Accent6 2 5 2 9" xfId="35032" xr:uid="{00000000-0005-0000-0000-000062960000}"/>
    <cellStyle name="40% - Accent6 2 5 20" xfId="45984" xr:uid="{00000000-0005-0000-0000-000063960000}"/>
    <cellStyle name="40% - Accent6 2 5 21" xfId="51462" xr:uid="{00000000-0005-0000-0000-000064960000}"/>
    <cellStyle name="40% - Accent6 2 5 3" xfId="596" xr:uid="{00000000-0005-0000-0000-000065960000}"/>
    <cellStyle name="40% - Accent6 2 5 3 10" xfId="40510" xr:uid="{00000000-0005-0000-0000-000066960000}"/>
    <cellStyle name="40% - Accent6 2 5 3 11" xfId="45987" xr:uid="{00000000-0005-0000-0000-000067960000}"/>
    <cellStyle name="40% - Accent6 2 5 3 12" xfId="51465" xr:uid="{00000000-0005-0000-0000-000068960000}"/>
    <cellStyle name="40% - Accent6 2 5 3 2" xfId="2357" xr:uid="{00000000-0005-0000-0000-000069960000}"/>
    <cellStyle name="40% - Accent6 2 5 3 2 2" xfId="7837" xr:uid="{00000000-0005-0000-0000-00006A960000}"/>
    <cellStyle name="40% - Accent6 2 5 3 2 3" xfId="13313" xr:uid="{00000000-0005-0000-0000-00006B960000}"/>
    <cellStyle name="40% - Accent6 2 5 3 2 4" xfId="18789" xr:uid="{00000000-0005-0000-0000-00006C960000}"/>
    <cellStyle name="40% - Accent6 2 5 3 2 5" xfId="24265" xr:uid="{00000000-0005-0000-0000-00006D960000}"/>
    <cellStyle name="40% - Accent6 2 5 3 2 6" xfId="36061" xr:uid="{00000000-0005-0000-0000-00006E960000}"/>
    <cellStyle name="40% - Accent6 2 5 3 2 7" xfId="41538" xr:uid="{00000000-0005-0000-0000-00006F960000}"/>
    <cellStyle name="40% - Accent6 2 5 3 2 8" xfId="47015" xr:uid="{00000000-0005-0000-0000-000070960000}"/>
    <cellStyle name="40% - Accent6 2 5 3 2 9" xfId="52533" xr:uid="{00000000-0005-0000-0000-000071960000}"/>
    <cellStyle name="40% - Accent6 2 5 3 3" xfId="4129" xr:uid="{00000000-0005-0000-0000-000072960000}"/>
    <cellStyle name="40% - Accent6 2 5 3 3 2" xfId="9609" xr:uid="{00000000-0005-0000-0000-000073960000}"/>
    <cellStyle name="40% - Accent6 2 5 3 3 3" xfId="15085" xr:uid="{00000000-0005-0000-0000-000074960000}"/>
    <cellStyle name="40% - Accent6 2 5 3 3 4" xfId="20561" xr:uid="{00000000-0005-0000-0000-000075960000}"/>
    <cellStyle name="40% - Accent6 2 5 3 3 5" xfId="26037" xr:uid="{00000000-0005-0000-0000-000076960000}"/>
    <cellStyle name="40% - Accent6 2 5 3 3 6" xfId="37833" xr:uid="{00000000-0005-0000-0000-000077960000}"/>
    <cellStyle name="40% - Accent6 2 5 3 3 7" xfId="43310" xr:uid="{00000000-0005-0000-0000-000078960000}"/>
    <cellStyle name="40% - Accent6 2 5 3 3 8" xfId="48787" xr:uid="{00000000-0005-0000-0000-000079960000}"/>
    <cellStyle name="40% - Accent6 2 5 3 3 9" xfId="54305" xr:uid="{00000000-0005-0000-0000-00007A960000}"/>
    <cellStyle name="40% - Accent6 2 5 3 4" xfId="6806" xr:uid="{00000000-0005-0000-0000-00007B960000}"/>
    <cellStyle name="40% - Accent6 2 5 3 5" xfId="12286" xr:uid="{00000000-0005-0000-0000-00007C960000}"/>
    <cellStyle name="40% - Accent6 2 5 3 6" xfId="17762" xr:uid="{00000000-0005-0000-0000-00007D960000}"/>
    <cellStyle name="40% - Accent6 2 5 3 7" xfId="23238" xr:uid="{00000000-0005-0000-0000-00007E960000}"/>
    <cellStyle name="40% - Accent6 2 5 3 8" xfId="32556" xr:uid="{00000000-0005-0000-0000-00007F960000}"/>
    <cellStyle name="40% - Accent6 2 5 3 9" xfId="35033" xr:uid="{00000000-0005-0000-0000-000080960000}"/>
    <cellStyle name="40% - Accent6 2 5 4" xfId="768" xr:uid="{00000000-0005-0000-0000-000081960000}"/>
    <cellStyle name="40% - Accent6 2 5 4 10" xfId="45988" xr:uid="{00000000-0005-0000-0000-000082960000}"/>
    <cellStyle name="40% - Accent6 2 5 4 11" xfId="51466" xr:uid="{00000000-0005-0000-0000-000083960000}"/>
    <cellStyle name="40% - Accent6 2 5 4 2" xfId="2529" xr:uid="{00000000-0005-0000-0000-000084960000}"/>
    <cellStyle name="40% - Accent6 2 5 4 2 2" xfId="8009" xr:uid="{00000000-0005-0000-0000-000085960000}"/>
    <cellStyle name="40% - Accent6 2 5 4 2 3" xfId="13485" xr:uid="{00000000-0005-0000-0000-000086960000}"/>
    <cellStyle name="40% - Accent6 2 5 4 2 4" xfId="18961" xr:uid="{00000000-0005-0000-0000-000087960000}"/>
    <cellStyle name="40% - Accent6 2 5 4 2 5" xfId="24437" xr:uid="{00000000-0005-0000-0000-000088960000}"/>
    <cellStyle name="40% - Accent6 2 5 4 2 6" xfId="36233" xr:uid="{00000000-0005-0000-0000-000089960000}"/>
    <cellStyle name="40% - Accent6 2 5 4 2 7" xfId="41710" xr:uid="{00000000-0005-0000-0000-00008A960000}"/>
    <cellStyle name="40% - Accent6 2 5 4 2 8" xfId="47187" xr:uid="{00000000-0005-0000-0000-00008B960000}"/>
    <cellStyle name="40% - Accent6 2 5 4 2 9" xfId="52705" xr:uid="{00000000-0005-0000-0000-00008C960000}"/>
    <cellStyle name="40% - Accent6 2 5 4 3" xfId="4301" xr:uid="{00000000-0005-0000-0000-00008D960000}"/>
    <cellStyle name="40% - Accent6 2 5 4 3 2" xfId="9781" xr:uid="{00000000-0005-0000-0000-00008E960000}"/>
    <cellStyle name="40% - Accent6 2 5 4 3 3" xfId="15257" xr:uid="{00000000-0005-0000-0000-00008F960000}"/>
    <cellStyle name="40% - Accent6 2 5 4 3 4" xfId="20733" xr:uid="{00000000-0005-0000-0000-000090960000}"/>
    <cellStyle name="40% - Accent6 2 5 4 3 5" xfId="26209" xr:uid="{00000000-0005-0000-0000-000091960000}"/>
    <cellStyle name="40% - Accent6 2 5 4 3 6" xfId="38005" xr:uid="{00000000-0005-0000-0000-000092960000}"/>
    <cellStyle name="40% - Accent6 2 5 4 3 7" xfId="43482" xr:uid="{00000000-0005-0000-0000-000093960000}"/>
    <cellStyle name="40% - Accent6 2 5 4 3 8" xfId="48959" xr:uid="{00000000-0005-0000-0000-000094960000}"/>
    <cellStyle name="40% - Accent6 2 5 4 3 9" xfId="54477" xr:uid="{00000000-0005-0000-0000-000095960000}"/>
    <cellStyle name="40% - Accent6 2 5 4 4" xfId="6807" xr:uid="{00000000-0005-0000-0000-000096960000}"/>
    <cellStyle name="40% - Accent6 2 5 4 5" xfId="12287" xr:uid="{00000000-0005-0000-0000-000097960000}"/>
    <cellStyle name="40% - Accent6 2 5 4 6" xfId="17763" xr:uid="{00000000-0005-0000-0000-000098960000}"/>
    <cellStyle name="40% - Accent6 2 5 4 7" xfId="23239" xr:uid="{00000000-0005-0000-0000-000099960000}"/>
    <cellStyle name="40% - Accent6 2 5 4 8" xfId="35034" xr:uid="{00000000-0005-0000-0000-00009A960000}"/>
    <cellStyle name="40% - Accent6 2 5 4 9" xfId="40511" xr:uid="{00000000-0005-0000-0000-00009B960000}"/>
    <cellStyle name="40% - Accent6 2 5 5" xfId="940" xr:uid="{00000000-0005-0000-0000-00009C960000}"/>
    <cellStyle name="40% - Accent6 2 5 5 10" xfId="45989" xr:uid="{00000000-0005-0000-0000-00009D960000}"/>
    <cellStyle name="40% - Accent6 2 5 5 11" xfId="51467" xr:uid="{00000000-0005-0000-0000-00009E960000}"/>
    <cellStyle name="40% - Accent6 2 5 5 2" xfId="2701" xr:uid="{00000000-0005-0000-0000-00009F960000}"/>
    <cellStyle name="40% - Accent6 2 5 5 2 2" xfId="8181" xr:uid="{00000000-0005-0000-0000-0000A0960000}"/>
    <cellStyle name="40% - Accent6 2 5 5 2 3" xfId="13657" xr:uid="{00000000-0005-0000-0000-0000A1960000}"/>
    <cellStyle name="40% - Accent6 2 5 5 2 4" xfId="19133" xr:uid="{00000000-0005-0000-0000-0000A2960000}"/>
    <cellStyle name="40% - Accent6 2 5 5 2 5" xfId="24609" xr:uid="{00000000-0005-0000-0000-0000A3960000}"/>
    <cellStyle name="40% - Accent6 2 5 5 2 6" xfId="36405" xr:uid="{00000000-0005-0000-0000-0000A4960000}"/>
    <cellStyle name="40% - Accent6 2 5 5 2 7" xfId="41882" xr:uid="{00000000-0005-0000-0000-0000A5960000}"/>
    <cellStyle name="40% - Accent6 2 5 5 2 8" xfId="47359" xr:uid="{00000000-0005-0000-0000-0000A6960000}"/>
    <cellStyle name="40% - Accent6 2 5 5 2 9" xfId="52877" xr:uid="{00000000-0005-0000-0000-0000A7960000}"/>
    <cellStyle name="40% - Accent6 2 5 5 3" xfId="4473" xr:uid="{00000000-0005-0000-0000-0000A8960000}"/>
    <cellStyle name="40% - Accent6 2 5 5 3 2" xfId="9953" xr:uid="{00000000-0005-0000-0000-0000A9960000}"/>
    <cellStyle name="40% - Accent6 2 5 5 3 3" xfId="15429" xr:uid="{00000000-0005-0000-0000-0000AA960000}"/>
    <cellStyle name="40% - Accent6 2 5 5 3 4" xfId="20905" xr:uid="{00000000-0005-0000-0000-0000AB960000}"/>
    <cellStyle name="40% - Accent6 2 5 5 3 5" xfId="26381" xr:uid="{00000000-0005-0000-0000-0000AC960000}"/>
    <cellStyle name="40% - Accent6 2 5 5 3 6" xfId="38177" xr:uid="{00000000-0005-0000-0000-0000AD960000}"/>
    <cellStyle name="40% - Accent6 2 5 5 3 7" xfId="43654" xr:uid="{00000000-0005-0000-0000-0000AE960000}"/>
    <cellStyle name="40% - Accent6 2 5 5 3 8" xfId="49131" xr:uid="{00000000-0005-0000-0000-0000AF960000}"/>
    <cellStyle name="40% - Accent6 2 5 5 3 9" xfId="54649" xr:uid="{00000000-0005-0000-0000-0000B0960000}"/>
    <cellStyle name="40% - Accent6 2 5 5 4" xfId="6808" xr:uid="{00000000-0005-0000-0000-0000B1960000}"/>
    <cellStyle name="40% - Accent6 2 5 5 5" xfId="12288" xr:uid="{00000000-0005-0000-0000-0000B2960000}"/>
    <cellStyle name="40% - Accent6 2 5 5 6" xfId="17764" xr:uid="{00000000-0005-0000-0000-0000B3960000}"/>
    <cellStyle name="40% - Accent6 2 5 5 7" xfId="23240" xr:uid="{00000000-0005-0000-0000-0000B4960000}"/>
    <cellStyle name="40% - Accent6 2 5 5 8" xfId="35035" xr:uid="{00000000-0005-0000-0000-0000B5960000}"/>
    <cellStyle name="40% - Accent6 2 5 5 9" xfId="40512" xr:uid="{00000000-0005-0000-0000-0000B6960000}"/>
    <cellStyle name="40% - Accent6 2 5 6" xfId="1146" xr:uid="{00000000-0005-0000-0000-0000B7960000}"/>
    <cellStyle name="40% - Accent6 2 5 6 10" xfId="45990" xr:uid="{00000000-0005-0000-0000-0000B8960000}"/>
    <cellStyle name="40% - Accent6 2 5 6 11" xfId="51468" xr:uid="{00000000-0005-0000-0000-0000B9960000}"/>
    <cellStyle name="40% - Accent6 2 5 6 2" xfId="2907" xr:uid="{00000000-0005-0000-0000-0000BA960000}"/>
    <cellStyle name="40% - Accent6 2 5 6 2 2" xfId="8387" xr:uid="{00000000-0005-0000-0000-0000BB960000}"/>
    <cellStyle name="40% - Accent6 2 5 6 2 3" xfId="13863" xr:uid="{00000000-0005-0000-0000-0000BC960000}"/>
    <cellStyle name="40% - Accent6 2 5 6 2 4" xfId="19339" xr:uid="{00000000-0005-0000-0000-0000BD960000}"/>
    <cellStyle name="40% - Accent6 2 5 6 2 5" xfId="24815" xr:uid="{00000000-0005-0000-0000-0000BE960000}"/>
    <cellStyle name="40% - Accent6 2 5 6 2 6" xfId="36611" xr:uid="{00000000-0005-0000-0000-0000BF960000}"/>
    <cellStyle name="40% - Accent6 2 5 6 2 7" xfId="42088" xr:uid="{00000000-0005-0000-0000-0000C0960000}"/>
    <cellStyle name="40% - Accent6 2 5 6 2 8" xfId="47565" xr:uid="{00000000-0005-0000-0000-0000C1960000}"/>
    <cellStyle name="40% - Accent6 2 5 6 2 9" xfId="53083" xr:uid="{00000000-0005-0000-0000-0000C2960000}"/>
    <cellStyle name="40% - Accent6 2 5 6 3" xfId="4679" xr:uid="{00000000-0005-0000-0000-0000C3960000}"/>
    <cellStyle name="40% - Accent6 2 5 6 3 2" xfId="10159" xr:uid="{00000000-0005-0000-0000-0000C4960000}"/>
    <cellStyle name="40% - Accent6 2 5 6 3 3" xfId="15635" xr:uid="{00000000-0005-0000-0000-0000C5960000}"/>
    <cellStyle name="40% - Accent6 2 5 6 3 4" xfId="21111" xr:uid="{00000000-0005-0000-0000-0000C6960000}"/>
    <cellStyle name="40% - Accent6 2 5 6 3 5" xfId="26587" xr:uid="{00000000-0005-0000-0000-0000C7960000}"/>
    <cellStyle name="40% - Accent6 2 5 6 3 6" xfId="38383" xr:uid="{00000000-0005-0000-0000-0000C8960000}"/>
    <cellStyle name="40% - Accent6 2 5 6 3 7" xfId="43860" xr:uid="{00000000-0005-0000-0000-0000C9960000}"/>
    <cellStyle name="40% - Accent6 2 5 6 3 8" xfId="49337" xr:uid="{00000000-0005-0000-0000-0000CA960000}"/>
    <cellStyle name="40% - Accent6 2 5 6 3 9" xfId="54855" xr:uid="{00000000-0005-0000-0000-0000CB960000}"/>
    <cellStyle name="40% - Accent6 2 5 6 4" xfId="6809" xr:uid="{00000000-0005-0000-0000-0000CC960000}"/>
    <cellStyle name="40% - Accent6 2 5 6 5" xfId="12289" xr:uid="{00000000-0005-0000-0000-0000CD960000}"/>
    <cellStyle name="40% - Accent6 2 5 6 6" xfId="17765" xr:uid="{00000000-0005-0000-0000-0000CE960000}"/>
    <cellStyle name="40% - Accent6 2 5 6 7" xfId="23241" xr:uid="{00000000-0005-0000-0000-0000CF960000}"/>
    <cellStyle name="40% - Accent6 2 5 6 8" xfId="35036" xr:uid="{00000000-0005-0000-0000-0000D0960000}"/>
    <cellStyle name="40% - Accent6 2 5 6 9" xfId="40513" xr:uid="{00000000-0005-0000-0000-0000D1960000}"/>
    <cellStyle name="40% - Accent6 2 5 7" xfId="1318" xr:uid="{00000000-0005-0000-0000-0000D2960000}"/>
    <cellStyle name="40% - Accent6 2 5 7 10" xfId="45991" xr:uid="{00000000-0005-0000-0000-0000D3960000}"/>
    <cellStyle name="40% - Accent6 2 5 7 11" xfId="51469" xr:uid="{00000000-0005-0000-0000-0000D4960000}"/>
    <cellStyle name="40% - Accent6 2 5 7 2" xfId="3079" xr:uid="{00000000-0005-0000-0000-0000D5960000}"/>
    <cellStyle name="40% - Accent6 2 5 7 2 2" xfId="8559" xr:uid="{00000000-0005-0000-0000-0000D6960000}"/>
    <cellStyle name="40% - Accent6 2 5 7 2 3" xfId="14035" xr:uid="{00000000-0005-0000-0000-0000D7960000}"/>
    <cellStyle name="40% - Accent6 2 5 7 2 4" xfId="19511" xr:uid="{00000000-0005-0000-0000-0000D8960000}"/>
    <cellStyle name="40% - Accent6 2 5 7 2 5" xfId="24987" xr:uid="{00000000-0005-0000-0000-0000D9960000}"/>
    <cellStyle name="40% - Accent6 2 5 7 2 6" xfId="36783" xr:uid="{00000000-0005-0000-0000-0000DA960000}"/>
    <cellStyle name="40% - Accent6 2 5 7 2 7" xfId="42260" xr:uid="{00000000-0005-0000-0000-0000DB960000}"/>
    <cellStyle name="40% - Accent6 2 5 7 2 8" xfId="47737" xr:uid="{00000000-0005-0000-0000-0000DC960000}"/>
    <cellStyle name="40% - Accent6 2 5 7 2 9" xfId="53255" xr:uid="{00000000-0005-0000-0000-0000DD960000}"/>
    <cellStyle name="40% - Accent6 2 5 7 3" xfId="4851" xr:uid="{00000000-0005-0000-0000-0000DE960000}"/>
    <cellStyle name="40% - Accent6 2 5 7 3 2" xfId="10331" xr:uid="{00000000-0005-0000-0000-0000DF960000}"/>
    <cellStyle name="40% - Accent6 2 5 7 3 3" xfId="15807" xr:uid="{00000000-0005-0000-0000-0000E0960000}"/>
    <cellStyle name="40% - Accent6 2 5 7 3 4" xfId="21283" xr:uid="{00000000-0005-0000-0000-0000E1960000}"/>
    <cellStyle name="40% - Accent6 2 5 7 3 5" xfId="26759" xr:uid="{00000000-0005-0000-0000-0000E2960000}"/>
    <cellStyle name="40% - Accent6 2 5 7 3 6" xfId="38555" xr:uid="{00000000-0005-0000-0000-0000E3960000}"/>
    <cellStyle name="40% - Accent6 2 5 7 3 7" xfId="44032" xr:uid="{00000000-0005-0000-0000-0000E4960000}"/>
    <cellStyle name="40% - Accent6 2 5 7 3 8" xfId="49509" xr:uid="{00000000-0005-0000-0000-0000E5960000}"/>
    <cellStyle name="40% - Accent6 2 5 7 3 9" xfId="55027" xr:uid="{00000000-0005-0000-0000-0000E6960000}"/>
    <cellStyle name="40% - Accent6 2 5 7 4" xfId="6810" xr:uid="{00000000-0005-0000-0000-0000E7960000}"/>
    <cellStyle name="40% - Accent6 2 5 7 5" xfId="12290" xr:uid="{00000000-0005-0000-0000-0000E8960000}"/>
    <cellStyle name="40% - Accent6 2 5 7 6" xfId="17766" xr:uid="{00000000-0005-0000-0000-0000E9960000}"/>
    <cellStyle name="40% - Accent6 2 5 7 7" xfId="23242" xr:uid="{00000000-0005-0000-0000-0000EA960000}"/>
    <cellStyle name="40% - Accent6 2 5 7 8" xfId="35037" xr:uid="{00000000-0005-0000-0000-0000EB960000}"/>
    <cellStyle name="40% - Accent6 2 5 7 9" xfId="40514" xr:uid="{00000000-0005-0000-0000-0000EC960000}"/>
    <cellStyle name="40% - Accent6 2 5 8" xfId="1490" xr:uid="{00000000-0005-0000-0000-0000ED960000}"/>
    <cellStyle name="40% - Accent6 2 5 8 10" xfId="45992" xr:uid="{00000000-0005-0000-0000-0000EE960000}"/>
    <cellStyle name="40% - Accent6 2 5 8 11" xfId="51470" xr:uid="{00000000-0005-0000-0000-0000EF960000}"/>
    <cellStyle name="40% - Accent6 2 5 8 2" xfId="3251" xr:uid="{00000000-0005-0000-0000-0000F0960000}"/>
    <cellStyle name="40% - Accent6 2 5 8 2 2" xfId="8731" xr:uid="{00000000-0005-0000-0000-0000F1960000}"/>
    <cellStyle name="40% - Accent6 2 5 8 2 3" xfId="14207" xr:uid="{00000000-0005-0000-0000-0000F2960000}"/>
    <cellStyle name="40% - Accent6 2 5 8 2 4" xfId="19683" xr:uid="{00000000-0005-0000-0000-0000F3960000}"/>
    <cellStyle name="40% - Accent6 2 5 8 2 5" xfId="25159" xr:uid="{00000000-0005-0000-0000-0000F4960000}"/>
    <cellStyle name="40% - Accent6 2 5 8 2 6" xfId="36955" xr:uid="{00000000-0005-0000-0000-0000F5960000}"/>
    <cellStyle name="40% - Accent6 2 5 8 2 7" xfId="42432" xr:uid="{00000000-0005-0000-0000-0000F6960000}"/>
    <cellStyle name="40% - Accent6 2 5 8 2 8" xfId="47909" xr:uid="{00000000-0005-0000-0000-0000F7960000}"/>
    <cellStyle name="40% - Accent6 2 5 8 2 9" xfId="53427" xr:uid="{00000000-0005-0000-0000-0000F8960000}"/>
    <cellStyle name="40% - Accent6 2 5 8 3" xfId="5023" xr:uid="{00000000-0005-0000-0000-0000F9960000}"/>
    <cellStyle name="40% - Accent6 2 5 8 3 2" xfId="10503" xr:uid="{00000000-0005-0000-0000-0000FA960000}"/>
    <cellStyle name="40% - Accent6 2 5 8 3 3" xfId="15979" xr:uid="{00000000-0005-0000-0000-0000FB960000}"/>
    <cellStyle name="40% - Accent6 2 5 8 3 4" xfId="21455" xr:uid="{00000000-0005-0000-0000-0000FC960000}"/>
    <cellStyle name="40% - Accent6 2 5 8 3 5" xfId="26931" xr:uid="{00000000-0005-0000-0000-0000FD960000}"/>
    <cellStyle name="40% - Accent6 2 5 8 3 6" xfId="38727" xr:uid="{00000000-0005-0000-0000-0000FE960000}"/>
    <cellStyle name="40% - Accent6 2 5 8 3 7" xfId="44204" xr:uid="{00000000-0005-0000-0000-0000FF960000}"/>
    <cellStyle name="40% - Accent6 2 5 8 3 8" xfId="49681" xr:uid="{00000000-0005-0000-0000-000000970000}"/>
    <cellStyle name="40% - Accent6 2 5 8 3 9" xfId="55199" xr:uid="{00000000-0005-0000-0000-000001970000}"/>
    <cellStyle name="40% - Accent6 2 5 8 4" xfId="6811" xr:uid="{00000000-0005-0000-0000-000002970000}"/>
    <cellStyle name="40% - Accent6 2 5 8 5" xfId="12291" xr:uid="{00000000-0005-0000-0000-000003970000}"/>
    <cellStyle name="40% - Accent6 2 5 8 6" xfId="17767" xr:uid="{00000000-0005-0000-0000-000004970000}"/>
    <cellStyle name="40% - Accent6 2 5 8 7" xfId="23243" xr:uid="{00000000-0005-0000-0000-000005970000}"/>
    <cellStyle name="40% - Accent6 2 5 8 8" xfId="35038" xr:uid="{00000000-0005-0000-0000-000006970000}"/>
    <cellStyle name="40% - Accent6 2 5 8 9" xfId="40515" xr:uid="{00000000-0005-0000-0000-000007970000}"/>
    <cellStyle name="40% - Accent6 2 5 9" xfId="1662" xr:uid="{00000000-0005-0000-0000-000008970000}"/>
    <cellStyle name="40% - Accent6 2 5 9 10" xfId="45993" xr:uid="{00000000-0005-0000-0000-000009970000}"/>
    <cellStyle name="40% - Accent6 2 5 9 11" xfId="51471" xr:uid="{00000000-0005-0000-0000-00000A970000}"/>
    <cellStyle name="40% - Accent6 2 5 9 2" xfId="3423" xr:uid="{00000000-0005-0000-0000-00000B970000}"/>
    <cellStyle name="40% - Accent6 2 5 9 2 2" xfId="8903" xr:uid="{00000000-0005-0000-0000-00000C970000}"/>
    <cellStyle name="40% - Accent6 2 5 9 2 3" xfId="14379" xr:uid="{00000000-0005-0000-0000-00000D970000}"/>
    <cellStyle name="40% - Accent6 2 5 9 2 4" xfId="19855" xr:uid="{00000000-0005-0000-0000-00000E970000}"/>
    <cellStyle name="40% - Accent6 2 5 9 2 5" xfId="25331" xr:uid="{00000000-0005-0000-0000-00000F970000}"/>
    <cellStyle name="40% - Accent6 2 5 9 2 6" xfId="37127" xr:uid="{00000000-0005-0000-0000-000010970000}"/>
    <cellStyle name="40% - Accent6 2 5 9 2 7" xfId="42604" xr:uid="{00000000-0005-0000-0000-000011970000}"/>
    <cellStyle name="40% - Accent6 2 5 9 2 8" xfId="48081" xr:uid="{00000000-0005-0000-0000-000012970000}"/>
    <cellStyle name="40% - Accent6 2 5 9 2 9" xfId="53599" xr:uid="{00000000-0005-0000-0000-000013970000}"/>
    <cellStyle name="40% - Accent6 2 5 9 3" xfId="5195" xr:uid="{00000000-0005-0000-0000-000014970000}"/>
    <cellStyle name="40% - Accent6 2 5 9 3 2" xfId="10675" xr:uid="{00000000-0005-0000-0000-000015970000}"/>
    <cellStyle name="40% - Accent6 2 5 9 3 3" xfId="16151" xr:uid="{00000000-0005-0000-0000-000016970000}"/>
    <cellStyle name="40% - Accent6 2 5 9 3 4" xfId="21627" xr:uid="{00000000-0005-0000-0000-000017970000}"/>
    <cellStyle name="40% - Accent6 2 5 9 3 5" xfId="27103" xr:uid="{00000000-0005-0000-0000-000018970000}"/>
    <cellStyle name="40% - Accent6 2 5 9 3 6" xfId="38899" xr:uid="{00000000-0005-0000-0000-000019970000}"/>
    <cellStyle name="40% - Accent6 2 5 9 3 7" xfId="44376" xr:uid="{00000000-0005-0000-0000-00001A970000}"/>
    <cellStyle name="40% - Accent6 2 5 9 3 8" xfId="49853" xr:uid="{00000000-0005-0000-0000-00001B970000}"/>
    <cellStyle name="40% - Accent6 2 5 9 3 9" xfId="55371" xr:uid="{00000000-0005-0000-0000-00001C970000}"/>
    <cellStyle name="40% - Accent6 2 5 9 4" xfId="6812" xr:uid="{00000000-0005-0000-0000-00001D970000}"/>
    <cellStyle name="40% - Accent6 2 5 9 5" xfId="12292" xr:uid="{00000000-0005-0000-0000-00001E970000}"/>
    <cellStyle name="40% - Accent6 2 5 9 6" xfId="17768" xr:uid="{00000000-0005-0000-0000-00001F970000}"/>
    <cellStyle name="40% - Accent6 2 5 9 7" xfId="23244" xr:uid="{00000000-0005-0000-0000-000020970000}"/>
    <cellStyle name="40% - Accent6 2 5 9 8" xfId="35039" xr:uid="{00000000-0005-0000-0000-000021970000}"/>
    <cellStyle name="40% - Accent6 2 5 9 9" xfId="40516" xr:uid="{00000000-0005-0000-0000-000022970000}"/>
    <cellStyle name="40% - Accent6 2 6" xfId="388" xr:uid="{00000000-0005-0000-0000-000023970000}"/>
    <cellStyle name="40% - Accent6 2 6 10" xfId="40517" xr:uid="{00000000-0005-0000-0000-000024970000}"/>
    <cellStyle name="40% - Accent6 2 6 11" xfId="45994" xr:uid="{00000000-0005-0000-0000-000025970000}"/>
    <cellStyle name="40% - Accent6 2 6 12" xfId="51472" xr:uid="{00000000-0005-0000-0000-000026970000}"/>
    <cellStyle name="40% - Accent6 2 6 2" xfId="2179" xr:uid="{00000000-0005-0000-0000-000027970000}"/>
    <cellStyle name="40% - Accent6 2 6 2 10" xfId="52355" xr:uid="{00000000-0005-0000-0000-000028970000}"/>
    <cellStyle name="40% - Accent6 2 6 2 2" xfId="7659" xr:uid="{00000000-0005-0000-0000-000029970000}"/>
    <cellStyle name="40% - Accent6 2 6 2 2 2" xfId="32559" xr:uid="{00000000-0005-0000-0000-00002A970000}"/>
    <cellStyle name="40% - Accent6 2 6 2 3" xfId="13135" xr:uid="{00000000-0005-0000-0000-00002B970000}"/>
    <cellStyle name="40% - Accent6 2 6 2 4" xfId="18611" xr:uid="{00000000-0005-0000-0000-00002C970000}"/>
    <cellStyle name="40% - Accent6 2 6 2 5" xfId="24087" xr:uid="{00000000-0005-0000-0000-00002D970000}"/>
    <cellStyle name="40% - Accent6 2 6 2 6" xfId="32558" xr:uid="{00000000-0005-0000-0000-00002E970000}"/>
    <cellStyle name="40% - Accent6 2 6 2 7" xfId="35883" xr:uid="{00000000-0005-0000-0000-00002F970000}"/>
    <cellStyle name="40% - Accent6 2 6 2 8" xfId="41360" xr:uid="{00000000-0005-0000-0000-000030970000}"/>
    <cellStyle name="40% - Accent6 2 6 2 9" xfId="46837" xr:uid="{00000000-0005-0000-0000-000031970000}"/>
    <cellStyle name="40% - Accent6 2 6 3" xfId="3950" xr:uid="{00000000-0005-0000-0000-000032970000}"/>
    <cellStyle name="40% - Accent6 2 6 3 10" xfId="54126" xr:uid="{00000000-0005-0000-0000-000033970000}"/>
    <cellStyle name="40% - Accent6 2 6 3 2" xfId="9430" xr:uid="{00000000-0005-0000-0000-000034970000}"/>
    <cellStyle name="40% - Accent6 2 6 3 3" xfId="14906" xr:uid="{00000000-0005-0000-0000-000035970000}"/>
    <cellStyle name="40% - Accent6 2 6 3 4" xfId="20382" xr:uid="{00000000-0005-0000-0000-000036970000}"/>
    <cellStyle name="40% - Accent6 2 6 3 5" xfId="25858" xr:uid="{00000000-0005-0000-0000-000037970000}"/>
    <cellStyle name="40% - Accent6 2 6 3 6" xfId="32560" xr:uid="{00000000-0005-0000-0000-000038970000}"/>
    <cellStyle name="40% - Accent6 2 6 3 7" xfId="37654" xr:uid="{00000000-0005-0000-0000-000039970000}"/>
    <cellStyle name="40% - Accent6 2 6 3 8" xfId="43131" xr:uid="{00000000-0005-0000-0000-00003A970000}"/>
    <cellStyle name="40% - Accent6 2 6 3 9" xfId="48608" xr:uid="{00000000-0005-0000-0000-00003B970000}"/>
    <cellStyle name="40% - Accent6 2 6 4" xfId="6813" xr:uid="{00000000-0005-0000-0000-00003C970000}"/>
    <cellStyle name="40% - Accent6 2 6 5" xfId="12293" xr:uid="{00000000-0005-0000-0000-00003D970000}"/>
    <cellStyle name="40% - Accent6 2 6 6" xfId="17769" xr:uid="{00000000-0005-0000-0000-00003E970000}"/>
    <cellStyle name="40% - Accent6 2 6 7" xfId="23245" xr:uid="{00000000-0005-0000-0000-00003F970000}"/>
    <cellStyle name="40% - Accent6 2 6 8" xfId="32557" xr:uid="{00000000-0005-0000-0000-000040970000}"/>
    <cellStyle name="40% - Accent6 2 6 9" xfId="35040" xr:uid="{00000000-0005-0000-0000-000041970000}"/>
    <cellStyle name="40% - Accent6 2 7" xfId="589" xr:uid="{00000000-0005-0000-0000-000042970000}"/>
    <cellStyle name="40% - Accent6 2 7 10" xfId="40518" xr:uid="{00000000-0005-0000-0000-000043970000}"/>
    <cellStyle name="40% - Accent6 2 7 11" xfId="45995" xr:uid="{00000000-0005-0000-0000-000044970000}"/>
    <cellStyle name="40% - Accent6 2 7 12" xfId="51473" xr:uid="{00000000-0005-0000-0000-000045970000}"/>
    <cellStyle name="40% - Accent6 2 7 2" xfId="2350" xr:uid="{00000000-0005-0000-0000-000046970000}"/>
    <cellStyle name="40% - Accent6 2 7 2 10" xfId="52526" xr:uid="{00000000-0005-0000-0000-000047970000}"/>
    <cellStyle name="40% - Accent6 2 7 2 2" xfId="7830" xr:uid="{00000000-0005-0000-0000-000048970000}"/>
    <cellStyle name="40% - Accent6 2 7 2 2 2" xfId="32563" xr:uid="{00000000-0005-0000-0000-000049970000}"/>
    <cellStyle name="40% - Accent6 2 7 2 3" xfId="13306" xr:uid="{00000000-0005-0000-0000-00004A970000}"/>
    <cellStyle name="40% - Accent6 2 7 2 4" xfId="18782" xr:uid="{00000000-0005-0000-0000-00004B970000}"/>
    <cellStyle name="40% - Accent6 2 7 2 5" xfId="24258" xr:uid="{00000000-0005-0000-0000-00004C970000}"/>
    <cellStyle name="40% - Accent6 2 7 2 6" xfId="32562" xr:uid="{00000000-0005-0000-0000-00004D970000}"/>
    <cellStyle name="40% - Accent6 2 7 2 7" xfId="36054" xr:uid="{00000000-0005-0000-0000-00004E970000}"/>
    <cellStyle name="40% - Accent6 2 7 2 8" xfId="41531" xr:uid="{00000000-0005-0000-0000-00004F970000}"/>
    <cellStyle name="40% - Accent6 2 7 2 9" xfId="47008" xr:uid="{00000000-0005-0000-0000-000050970000}"/>
    <cellStyle name="40% - Accent6 2 7 3" xfId="4122" xr:uid="{00000000-0005-0000-0000-000051970000}"/>
    <cellStyle name="40% - Accent6 2 7 3 10" xfId="54298" xr:uid="{00000000-0005-0000-0000-000052970000}"/>
    <cellStyle name="40% - Accent6 2 7 3 2" xfId="9602" xr:uid="{00000000-0005-0000-0000-000053970000}"/>
    <cellStyle name="40% - Accent6 2 7 3 3" xfId="15078" xr:uid="{00000000-0005-0000-0000-000054970000}"/>
    <cellStyle name="40% - Accent6 2 7 3 4" xfId="20554" xr:uid="{00000000-0005-0000-0000-000055970000}"/>
    <cellStyle name="40% - Accent6 2 7 3 5" xfId="26030" xr:uid="{00000000-0005-0000-0000-000056970000}"/>
    <cellStyle name="40% - Accent6 2 7 3 6" xfId="32564" xr:uid="{00000000-0005-0000-0000-000057970000}"/>
    <cellStyle name="40% - Accent6 2 7 3 7" xfId="37826" xr:uid="{00000000-0005-0000-0000-000058970000}"/>
    <cellStyle name="40% - Accent6 2 7 3 8" xfId="43303" xr:uid="{00000000-0005-0000-0000-000059970000}"/>
    <cellStyle name="40% - Accent6 2 7 3 9" xfId="48780" xr:uid="{00000000-0005-0000-0000-00005A970000}"/>
    <cellStyle name="40% - Accent6 2 7 4" xfId="6814" xr:uid="{00000000-0005-0000-0000-00005B970000}"/>
    <cellStyle name="40% - Accent6 2 7 5" xfId="12294" xr:uid="{00000000-0005-0000-0000-00005C970000}"/>
    <cellStyle name="40% - Accent6 2 7 6" xfId="17770" xr:uid="{00000000-0005-0000-0000-00005D970000}"/>
    <cellStyle name="40% - Accent6 2 7 7" xfId="23246" xr:uid="{00000000-0005-0000-0000-00005E970000}"/>
    <cellStyle name="40% - Accent6 2 7 8" xfId="32561" xr:uid="{00000000-0005-0000-0000-00005F970000}"/>
    <cellStyle name="40% - Accent6 2 7 9" xfId="35041" xr:uid="{00000000-0005-0000-0000-000060970000}"/>
    <cellStyle name="40% - Accent6 2 8" xfId="761" xr:uid="{00000000-0005-0000-0000-000061970000}"/>
    <cellStyle name="40% - Accent6 2 8 10" xfId="40519" xr:uid="{00000000-0005-0000-0000-000062970000}"/>
    <cellStyle name="40% - Accent6 2 8 11" xfId="45996" xr:uid="{00000000-0005-0000-0000-000063970000}"/>
    <cellStyle name="40% - Accent6 2 8 12" xfId="51474" xr:uid="{00000000-0005-0000-0000-000064970000}"/>
    <cellStyle name="40% - Accent6 2 8 2" xfId="2522" xr:uid="{00000000-0005-0000-0000-000065970000}"/>
    <cellStyle name="40% - Accent6 2 8 2 10" xfId="52698" xr:uid="{00000000-0005-0000-0000-000066970000}"/>
    <cellStyle name="40% - Accent6 2 8 2 2" xfId="8002" xr:uid="{00000000-0005-0000-0000-000067970000}"/>
    <cellStyle name="40% - Accent6 2 8 2 3" xfId="13478" xr:uid="{00000000-0005-0000-0000-000068970000}"/>
    <cellStyle name="40% - Accent6 2 8 2 4" xfId="18954" xr:uid="{00000000-0005-0000-0000-000069970000}"/>
    <cellStyle name="40% - Accent6 2 8 2 5" xfId="24430" xr:uid="{00000000-0005-0000-0000-00006A970000}"/>
    <cellStyle name="40% - Accent6 2 8 2 6" xfId="32566" xr:uid="{00000000-0005-0000-0000-00006B970000}"/>
    <cellStyle name="40% - Accent6 2 8 2 7" xfId="36226" xr:uid="{00000000-0005-0000-0000-00006C970000}"/>
    <cellStyle name="40% - Accent6 2 8 2 8" xfId="41703" xr:uid="{00000000-0005-0000-0000-00006D970000}"/>
    <cellStyle name="40% - Accent6 2 8 2 9" xfId="47180" xr:uid="{00000000-0005-0000-0000-00006E970000}"/>
    <cellStyle name="40% - Accent6 2 8 3" xfId="4294" xr:uid="{00000000-0005-0000-0000-00006F970000}"/>
    <cellStyle name="40% - Accent6 2 8 3 2" xfId="9774" xr:uid="{00000000-0005-0000-0000-000070970000}"/>
    <cellStyle name="40% - Accent6 2 8 3 3" xfId="15250" xr:uid="{00000000-0005-0000-0000-000071970000}"/>
    <cellStyle name="40% - Accent6 2 8 3 4" xfId="20726" xr:uid="{00000000-0005-0000-0000-000072970000}"/>
    <cellStyle name="40% - Accent6 2 8 3 5" xfId="26202" xr:uid="{00000000-0005-0000-0000-000073970000}"/>
    <cellStyle name="40% - Accent6 2 8 3 6" xfId="37998" xr:uid="{00000000-0005-0000-0000-000074970000}"/>
    <cellStyle name="40% - Accent6 2 8 3 7" xfId="43475" xr:uid="{00000000-0005-0000-0000-000075970000}"/>
    <cellStyle name="40% - Accent6 2 8 3 8" xfId="48952" xr:uid="{00000000-0005-0000-0000-000076970000}"/>
    <cellStyle name="40% - Accent6 2 8 3 9" xfId="54470" xr:uid="{00000000-0005-0000-0000-000077970000}"/>
    <cellStyle name="40% - Accent6 2 8 4" xfId="6815" xr:uid="{00000000-0005-0000-0000-000078970000}"/>
    <cellStyle name="40% - Accent6 2 8 5" xfId="12295" xr:uid="{00000000-0005-0000-0000-000079970000}"/>
    <cellStyle name="40% - Accent6 2 8 6" xfId="17771" xr:uid="{00000000-0005-0000-0000-00007A970000}"/>
    <cellStyle name="40% - Accent6 2 8 7" xfId="23247" xr:uid="{00000000-0005-0000-0000-00007B970000}"/>
    <cellStyle name="40% - Accent6 2 8 8" xfId="32565" xr:uid="{00000000-0005-0000-0000-00007C970000}"/>
    <cellStyle name="40% - Accent6 2 8 9" xfId="35042" xr:uid="{00000000-0005-0000-0000-00007D970000}"/>
    <cellStyle name="40% - Accent6 2 9" xfId="933" xr:uid="{00000000-0005-0000-0000-00007E970000}"/>
    <cellStyle name="40% - Accent6 2 9 10" xfId="40520" xr:uid="{00000000-0005-0000-0000-00007F970000}"/>
    <cellStyle name="40% - Accent6 2 9 11" xfId="45997" xr:uid="{00000000-0005-0000-0000-000080970000}"/>
    <cellStyle name="40% - Accent6 2 9 12" xfId="51475" xr:uid="{00000000-0005-0000-0000-000081970000}"/>
    <cellStyle name="40% - Accent6 2 9 2" xfId="2694" xr:uid="{00000000-0005-0000-0000-000082970000}"/>
    <cellStyle name="40% - Accent6 2 9 2 2" xfId="8174" xr:uid="{00000000-0005-0000-0000-000083970000}"/>
    <cellStyle name="40% - Accent6 2 9 2 3" xfId="13650" xr:uid="{00000000-0005-0000-0000-000084970000}"/>
    <cellStyle name="40% - Accent6 2 9 2 4" xfId="19126" xr:uid="{00000000-0005-0000-0000-000085970000}"/>
    <cellStyle name="40% - Accent6 2 9 2 5" xfId="24602" xr:uid="{00000000-0005-0000-0000-000086970000}"/>
    <cellStyle name="40% - Accent6 2 9 2 6" xfId="36398" xr:uid="{00000000-0005-0000-0000-000087970000}"/>
    <cellStyle name="40% - Accent6 2 9 2 7" xfId="41875" xr:uid="{00000000-0005-0000-0000-000088970000}"/>
    <cellStyle name="40% - Accent6 2 9 2 8" xfId="47352" xr:uid="{00000000-0005-0000-0000-000089970000}"/>
    <cellStyle name="40% - Accent6 2 9 2 9" xfId="52870" xr:uid="{00000000-0005-0000-0000-00008A970000}"/>
    <cellStyle name="40% - Accent6 2 9 3" xfId="4466" xr:uid="{00000000-0005-0000-0000-00008B970000}"/>
    <cellStyle name="40% - Accent6 2 9 3 2" xfId="9946" xr:uid="{00000000-0005-0000-0000-00008C970000}"/>
    <cellStyle name="40% - Accent6 2 9 3 3" xfId="15422" xr:uid="{00000000-0005-0000-0000-00008D970000}"/>
    <cellStyle name="40% - Accent6 2 9 3 4" xfId="20898" xr:uid="{00000000-0005-0000-0000-00008E970000}"/>
    <cellStyle name="40% - Accent6 2 9 3 5" xfId="26374" xr:uid="{00000000-0005-0000-0000-00008F970000}"/>
    <cellStyle name="40% - Accent6 2 9 3 6" xfId="38170" xr:uid="{00000000-0005-0000-0000-000090970000}"/>
    <cellStyle name="40% - Accent6 2 9 3 7" xfId="43647" xr:uid="{00000000-0005-0000-0000-000091970000}"/>
    <cellStyle name="40% - Accent6 2 9 3 8" xfId="49124" xr:uid="{00000000-0005-0000-0000-000092970000}"/>
    <cellStyle name="40% - Accent6 2 9 3 9" xfId="54642" xr:uid="{00000000-0005-0000-0000-000093970000}"/>
    <cellStyle name="40% - Accent6 2 9 4" xfId="6816" xr:uid="{00000000-0005-0000-0000-000094970000}"/>
    <cellStyle name="40% - Accent6 2 9 5" xfId="12296" xr:uid="{00000000-0005-0000-0000-000095970000}"/>
    <cellStyle name="40% - Accent6 2 9 6" xfId="17772" xr:uid="{00000000-0005-0000-0000-000096970000}"/>
    <cellStyle name="40% - Accent6 2 9 7" xfId="23248" xr:uid="{00000000-0005-0000-0000-000097970000}"/>
    <cellStyle name="40% - Accent6 2 9 8" xfId="32567" xr:uid="{00000000-0005-0000-0000-000098970000}"/>
    <cellStyle name="40% - Accent6 2 9 9" xfId="35043" xr:uid="{00000000-0005-0000-0000-000099970000}"/>
    <cellStyle name="40% - Accent6 20" xfId="32568" xr:uid="{00000000-0005-0000-0000-00009A970000}"/>
    <cellStyle name="40% - Accent6 20 2" xfId="32569" xr:uid="{00000000-0005-0000-0000-00009B970000}"/>
    <cellStyle name="40% - Accent6 20 2 2" xfId="32570" xr:uid="{00000000-0005-0000-0000-00009C970000}"/>
    <cellStyle name="40% - Accent6 20 3" xfId="32571" xr:uid="{00000000-0005-0000-0000-00009D970000}"/>
    <cellStyle name="40% - Accent6 21" xfId="32572" xr:uid="{00000000-0005-0000-0000-00009E970000}"/>
    <cellStyle name="40% - Accent6 21 2" xfId="32573" xr:uid="{00000000-0005-0000-0000-00009F970000}"/>
    <cellStyle name="40% - Accent6 22" xfId="32574" xr:uid="{00000000-0005-0000-0000-0000A0970000}"/>
    <cellStyle name="40% - Accent6 23" xfId="32575" xr:uid="{00000000-0005-0000-0000-0000A1970000}"/>
    <cellStyle name="40% - Accent6 23 2" xfId="32576" xr:uid="{00000000-0005-0000-0000-0000A2970000}"/>
    <cellStyle name="40% - Accent6 24" xfId="32577" xr:uid="{00000000-0005-0000-0000-0000A3970000}"/>
    <cellStyle name="40% - Accent6 24 2" xfId="32578" xr:uid="{00000000-0005-0000-0000-0000A4970000}"/>
    <cellStyle name="40% - Accent6 25" xfId="32579" xr:uid="{00000000-0005-0000-0000-0000A5970000}"/>
    <cellStyle name="40% - Accent6 26" xfId="27566" xr:uid="{00000000-0005-0000-0000-0000A6970000}"/>
    <cellStyle name="40% - Accent6 27" xfId="35611" xr:uid="{00000000-0005-0000-0000-0000A7970000}"/>
    <cellStyle name="40% - Accent6 28" xfId="41088" xr:uid="{00000000-0005-0000-0000-0000A8970000}"/>
    <cellStyle name="40% - Accent6 29" xfId="46565" xr:uid="{00000000-0005-0000-0000-0000A9970000}"/>
    <cellStyle name="40% - Accent6 3" xfId="195" xr:uid="{00000000-0005-0000-0000-0000AA970000}"/>
    <cellStyle name="40% - Accent6 3 10" xfId="1857" xr:uid="{00000000-0005-0000-0000-0000AB970000}"/>
    <cellStyle name="40% - Accent6 3 10 10" xfId="45999" xr:uid="{00000000-0005-0000-0000-0000AC970000}"/>
    <cellStyle name="40% - Accent6 3 10 11" xfId="51477" xr:uid="{00000000-0005-0000-0000-0000AD970000}"/>
    <cellStyle name="40% - Accent6 3 10 2" xfId="3618" xr:uid="{00000000-0005-0000-0000-0000AE970000}"/>
    <cellStyle name="40% - Accent6 3 10 2 2" xfId="9098" xr:uid="{00000000-0005-0000-0000-0000AF970000}"/>
    <cellStyle name="40% - Accent6 3 10 2 3" xfId="14574" xr:uid="{00000000-0005-0000-0000-0000B0970000}"/>
    <cellStyle name="40% - Accent6 3 10 2 4" xfId="20050" xr:uid="{00000000-0005-0000-0000-0000B1970000}"/>
    <cellStyle name="40% - Accent6 3 10 2 5" xfId="25526" xr:uid="{00000000-0005-0000-0000-0000B2970000}"/>
    <cellStyle name="40% - Accent6 3 10 2 6" xfId="37322" xr:uid="{00000000-0005-0000-0000-0000B3970000}"/>
    <cellStyle name="40% - Accent6 3 10 2 7" xfId="42799" xr:uid="{00000000-0005-0000-0000-0000B4970000}"/>
    <cellStyle name="40% - Accent6 3 10 2 8" xfId="48276" xr:uid="{00000000-0005-0000-0000-0000B5970000}"/>
    <cellStyle name="40% - Accent6 3 10 2 9" xfId="53794" xr:uid="{00000000-0005-0000-0000-0000B6970000}"/>
    <cellStyle name="40% - Accent6 3 10 3" xfId="5390" xr:uid="{00000000-0005-0000-0000-0000B7970000}"/>
    <cellStyle name="40% - Accent6 3 10 3 2" xfId="10870" xr:uid="{00000000-0005-0000-0000-0000B8970000}"/>
    <cellStyle name="40% - Accent6 3 10 3 3" xfId="16346" xr:uid="{00000000-0005-0000-0000-0000B9970000}"/>
    <cellStyle name="40% - Accent6 3 10 3 4" xfId="21822" xr:uid="{00000000-0005-0000-0000-0000BA970000}"/>
    <cellStyle name="40% - Accent6 3 10 3 5" xfId="27298" xr:uid="{00000000-0005-0000-0000-0000BB970000}"/>
    <cellStyle name="40% - Accent6 3 10 3 6" xfId="39094" xr:uid="{00000000-0005-0000-0000-0000BC970000}"/>
    <cellStyle name="40% - Accent6 3 10 3 7" xfId="44571" xr:uid="{00000000-0005-0000-0000-0000BD970000}"/>
    <cellStyle name="40% - Accent6 3 10 3 8" xfId="50048" xr:uid="{00000000-0005-0000-0000-0000BE970000}"/>
    <cellStyle name="40% - Accent6 3 10 3 9" xfId="55566" xr:uid="{00000000-0005-0000-0000-0000BF970000}"/>
    <cellStyle name="40% - Accent6 3 10 4" xfId="6818" xr:uid="{00000000-0005-0000-0000-0000C0970000}"/>
    <cellStyle name="40% - Accent6 3 10 5" xfId="12298" xr:uid="{00000000-0005-0000-0000-0000C1970000}"/>
    <cellStyle name="40% - Accent6 3 10 6" xfId="17774" xr:uid="{00000000-0005-0000-0000-0000C2970000}"/>
    <cellStyle name="40% - Accent6 3 10 7" xfId="23250" xr:uid="{00000000-0005-0000-0000-0000C3970000}"/>
    <cellStyle name="40% - Accent6 3 10 8" xfId="35045" xr:uid="{00000000-0005-0000-0000-0000C4970000}"/>
    <cellStyle name="40% - Accent6 3 10 9" xfId="40522" xr:uid="{00000000-0005-0000-0000-0000C5970000}"/>
    <cellStyle name="40% - Accent6 3 11" xfId="2025" xr:uid="{00000000-0005-0000-0000-0000C6970000}"/>
    <cellStyle name="40% - Accent6 3 11 10" xfId="52202" xr:uid="{00000000-0005-0000-0000-0000C7970000}"/>
    <cellStyle name="40% - Accent6 3 11 2" xfId="5557" xr:uid="{00000000-0005-0000-0000-0000C8970000}"/>
    <cellStyle name="40% - Accent6 3 11 2 2" xfId="11037" xr:uid="{00000000-0005-0000-0000-0000C9970000}"/>
    <cellStyle name="40% - Accent6 3 11 2 3" xfId="16513" xr:uid="{00000000-0005-0000-0000-0000CA970000}"/>
    <cellStyle name="40% - Accent6 3 11 2 4" xfId="21989" xr:uid="{00000000-0005-0000-0000-0000CB970000}"/>
    <cellStyle name="40% - Accent6 3 11 2 5" xfId="27465" xr:uid="{00000000-0005-0000-0000-0000CC970000}"/>
    <cellStyle name="40% - Accent6 3 11 2 6" xfId="39261" xr:uid="{00000000-0005-0000-0000-0000CD970000}"/>
    <cellStyle name="40% - Accent6 3 11 2 7" xfId="44738" xr:uid="{00000000-0005-0000-0000-0000CE970000}"/>
    <cellStyle name="40% - Accent6 3 11 2 8" xfId="50215" xr:uid="{00000000-0005-0000-0000-0000CF970000}"/>
    <cellStyle name="40% - Accent6 3 11 2 9" xfId="55733" xr:uid="{00000000-0005-0000-0000-0000D0970000}"/>
    <cellStyle name="40% - Accent6 3 11 3" xfId="7506" xr:uid="{00000000-0005-0000-0000-0000D1970000}"/>
    <cellStyle name="40% - Accent6 3 11 4" xfId="12982" xr:uid="{00000000-0005-0000-0000-0000D2970000}"/>
    <cellStyle name="40% - Accent6 3 11 5" xfId="18458" xr:uid="{00000000-0005-0000-0000-0000D3970000}"/>
    <cellStyle name="40% - Accent6 3 11 6" xfId="23934" xr:uid="{00000000-0005-0000-0000-0000D4970000}"/>
    <cellStyle name="40% - Accent6 3 11 7" xfId="35730" xr:uid="{00000000-0005-0000-0000-0000D5970000}"/>
    <cellStyle name="40% - Accent6 3 11 8" xfId="41207" xr:uid="{00000000-0005-0000-0000-0000D6970000}"/>
    <cellStyle name="40% - Accent6 3 11 9" xfId="46684" xr:uid="{00000000-0005-0000-0000-0000D7970000}"/>
    <cellStyle name="40% - Accent6 3 12" xfId="3765" xr:uid="{00000000-0005-0000-0000-0000D8970000}"/>
    <cellStyle name="40% - Accent6 3 12 2" xfId="9245" xr:uid="{00000000-0005-0000-0000-0000D9970000}"/>
    <cellStyle name="40% - Accent6 3 12 3" xfId="14721" xr:uid="{00000000-0005-0000-0000-0000DA970000}"/>
    <cellStyle name="40% - Accent6 3 12 4" xfId="20197" xr:uid="{00000000-0005-0000-0000-0000DB970000}"/>
    <cellStyle name="40% - Accent6 3 12 5" xfId="25673" xr:uid="{00000000-0005-0000-0000-0000DC970000}"/>
    <cellStyle name="40% - Accent6 3 12 6" xfId="37469" xr:uid="{00000000-0005-0000-0000-0000DD970000}"/>
    <cellStyle name="40% - Accent6 3 12 7" xfId="42946" xr:uid="{00000000-0005-0000-0000-0000DE970000}"/>
    <cellStyle name="40% - Accent6 3 12 8" xfId="48423" xr:uid="{00000000-0005-0000-0000-0000DF970000}"/>
    <cellStyle name="40% - Accent6 3 12 9" xfId="53941" xr:uid="{00000000-0005-0000-0000-0000E0970000}"/>
    <cellStyle name="40% - Accent6 3 13" xfId="6817" xr:uid="{00000000-0005-0000-0000-0000E1970000}"/>
    <cellStyle name="40% - Accent6 3 14" xfId="12297" xr:uid="{00000000-0005-0000-0000-0000E2970000}"/>
    <cellStyle name="40% - Accent6 3 15" xfId="17773" xr:uid="{00000000-0005-0000-0000-0000E3970000}"/>
    <cellStyle name="40% - Accent6 3 16" xfId="23249" xr:uid="{00000000-0005-0000-0000-0000E4970000}"/>
    <cellStyle name="40% - Accent6 3 17" xfId="32580" xr:uid="{00000000-0005-0000-0000-0000E5970000}"/>
    <cellStyle name="40% - Accent6 3 18" xfId="35044" xr:uid="{00000000-0005-0000-0000-0000E6970000}"/>
    <cellStyle name="40% - Accent6 3 19" xfId="40521" xr:uid="{00000000-0005-0000-0000-0000E7970000}"/>
    <cellStyle name="40% - Accent6 3 2" xfId="396" xr:uid="{00000000-0005-0000-0000-0000E8970000}"/>
    <cellStyle name="40% - Accent6 3 2 10" xfId="40523" xr:uid="{00000000-0005-0000-0000-0000E9970000}"/>
    <cellStyle name="40% - Accent6 3 2 11" xfId="46000" xr:uid="{00000000-0005-0000-0000-0000EA970000}"/>
    <cellStyle name="40% - Accent6 3 2 12" xfId="51478" xr:uid="{00000000-0005-0000-0000-0000EB970000}"/>
    <cellStyle name="40% - Accent6 3 2 2" xfId="2187" xr:uid="{00000000-0005-0000-0000-0000EC970000}"/>
    <cellStyle name="40% - Accent6 3 2 2 10" xfId="52363" xr:uid="{00000000-0005-0000-0000-0000ED970000}"/>
    <cellStyle name="40% - Accent6 3 2 2 2" xfId="7667" xr:uid="{00000000-0005-0000-0000-0000EE970000}"/>
    <cellStyle name="40% - Accent6 3 2 2 2 2" xfId="32583" xr:uid="{00000000-0005-0000-0000-0000EF970000}"/>
    <cellStyle name="40% - Accent6 3 2 2 3" xfId="13143" xr:uid="{00000000-0005-0000-0000-0000F0970000}"/>
    <cellStyle name="40% - Accent6 3 2 2 4" xfId="18619" xr:uid="{00000000-0005-0000-0000-0000F1970000}"/>
    <cellStyle name="40% - Accent6 3 2 2 5" xfId="24095" xr:uid="{00000000-0005-0000-0000-0000F2970000}"/>
    <cellStyle name="40% - Accent6 3 2 2 6" xfId="32582" xr:uid="{00000000-0005-0000-0000-0000F3970000}"/>
    <cellStyle name="40% - Accent6 3 2 2 7" xfId="35891" xr:uid="{00000000-0005-0000-0000-0000F4970000}"/>
    <cellStyle name="40% - Accent6 3 2 2 8" xfId="41368" xr:uid="{00000000-0005-0000-0000-0000F5970000}"/>
    <cellStyle name="40% - Accent6 3 2 2 9" xfId="46845" xr:uid="{00000000-0005-0000-0000-0000F6970000}"/>
    <cellStyle name="40% - Accent6 3 2 3" xfId="3958" xr:uid="{00000000-0005-0000-0000-0000F7970000}"/>
    <cellStyle name="40% - Accent6 3 2 3 10" xfId="54134" xr:uid="{00000000-0005-0000-0000-0000F8970000}"/>
    <cellStyle name="40% - Accent6 3 2 3 2" xfId="9438" xr:uid="{00000000-0005-0000-0000-0000F9970000}"/>
    <cellStyle name="40% - Accent6 3 2 3 3" xfId="14914" xr:uid="{00000000-0005-0000-0000-0000FA970000}"/>
    <cellStyle name="40% - Accent6 3 2 3 4" xfId="20390" xr:uid="{00000000-0005-0000-0000-0000FB970000}"/>
    <cellStyle name="40% - Accent6 3 2 3 5" xfId="25866" xr:uid="{00000000-0005-0000-0000-0000FC970000}"/>
    <cellStyle name="40% - Accent6 3 2 3 6" xfId="32584" xr:uid="{00000000-0005-0000-0000-0000FD970000}"/>
    <cellStyle name="40% - Accent6 3 2 3 7" xfId="37662" xr:uid="{00000000-0005-0000-0000-0000FE970000}"/>
    <cellStyle name="40% - Accent6 3 2 3 8" xfId="43139" xr:uid="{00000000-0005-0000-0000-0000FF970000}"/>
    <cellStyle name="40% - Accent6 3 2 3 9" xfId="48616" xr:uid="{00000000-0005-0000-0000-000000980000}"/>
    <cellStyle name="40% - Accent6 3 2 4" xfId="6819" xr:uid="{00000000-0005-0000-0000-000001980000}"/>
    <cellStyle name="40% - Accent6 3 2 5" xfId="12299" xr:uid="{00000000-0005-0000-0000-000002980000}"/>
    <cellStyle name="40% - Accent6 3 2 6" xfId="17775" xr:uid="{00000000-0005-0000-0000-000003980000}"/>
    <cellStyle name="40% - Accent6 3 2 7" xfId="23251" xr:uid="{00000000-0005-0000-0000-000004980000}"/>
    <cellStyle name="40% - Accent6 3 2 8" xfId="32581" xr:uid="{00000000-0005-0000-0000-000005980000}"/>
    <cellStyle name="40% - Accent6 3 2 9" xfId="35046" xr:uid="{00000000-0005-0000-0000-000006980000}"/>
    <cellStyle name="40% - Accent6 3 20" xfId="45998" xr:uid="{00000000-0005-0000-0000-000007980000}"/>
    <cellStyle name="40% - Accent6 3 21" xfId="51476" xr:uid="{00000000-0005-0000-0000-000008980000}"/>
    <cellStyle name="40% - Accent6 3 3" xfId="597" xr:uid="{00000000-0005-0000-0000-000009980000}"/>
    <cellStyle name="40% - Accent6 3 3 10" xfId="40524" xr:uid="{00000000-0005-0000-0000-00000A980000}"/>
    <cellStyle name="40% - Accent6 3 3 11" xfId="46001" xr:uid="{00000000-0005-0000-0000-00000B980000}"/>
    <cellStyle name="40% - Accent6 3 3 12" xfId="51479" xr:uid="{00000000-0005-0000-0000-00000C980000}"/>
    <cellStyle name="40% - Accent6 3 3 2" xfId="2358" xr:uid="{00000000-0005-0000-0000-00000D980000}"/>
    <cellStyle name="40% - Accent6 3 3 2 10" xfId="52534" xr:uid="{00000000-0005-0000-0000-00000E980000}"/>
    <cellStyle name="40% - Accent6 3 3 2 2" xfId="7838" xr:uid="{00000000-0005-0000-0000-00000F980000}"/>
    <cellStyle name="40% - Accent6 3 3 2 2 2" xfId="32587" xr:uid="{00000000-0005-0000-0000-000010980000}"/>
    <cellStyle name="40% - Accent6 3 3 2 3" xfId="13314" xr:uid="{00000000-0005-0000-0000-000011980000}"/>
    <cellStyle name="40% - Accent6 3 3 2 4" xfId="18790" xr:uid="{00000000-0005-0000-0000-000012980000}"/>
    <cellStyle name="40% - Accent6 3 3 2 5" xfId="24266" xr:uid="{00000000-0005-0000-0000-000013980000}"/>
    <cellStyle name="40% - Accent6 3 3 2 6" xfId="32586" xr:uid="{00000000-0005-0000-0000-000014980000}"/>
    <cellStyle name="40% - Accent6 3 3 2 7" xfId="36062" xr:uid="{00000000-0005-0000-0000-000015980000}"/>
    <cellStyle name="40% - Accent6 3 3 2 8" xfId="41539" xr:uid="{00000000-0005-0000-0000-000016980000}"/>
    <cellStyle name="40% - Accent6 3 3 2 9" xfId="47016" xr:uid="{00000000-0005-0000-0000-000017980000}"/>
    <cellStyle name="40% - Accent6 3 3 3" xfId="4130" xr:uid="{00000000-0005-0000-0000-000018980000}"/>
    <cellStyle name="40% - Accent6 3 3 3 10" xfId="54306" xr:uid="{00000000-0005-0000-0000-000019980000}"/>
    <cellStyle name="40% - Accent6 3 3 3 2" xfId="9610" xr:uid="{00000000-0005-0000-0000-00001A980000}"/>
    <cellStyle name="40% - Accent6 3 3 3 3" xfId="15086" xr:uid="{00000000-0005-0000-0000-00001B980000}"/>
    <cellStyle name="40% - Accent6 3 3 3 4" xfId="20562" xr:uid="{00000000-0005-0000-0000-00001C980000}"/>
    <cellStyle name="40% - Accent6 3 3 3 5" xfId="26038" xr:uid="{00000000-0005-0000-0000-00001D980000}"/>
    <cellStyle name="40% - Accent6 3 3 3 6" xfId="32588" xr:uid="{00000000-0005-0000-0000-00001E980000}"/>
    <cellStyle name="40% - Accent6 3 3 3 7" xfId="37834" xr:uid="{00000000-0005-0000-0000-00001F980000}"/>
    <cellStyle name="40% - Accent6 3 3 3 8" xfId="43311" xr:uid="{00000000-0005-0000-0000-000020980000}"/>
    <cellStyle name="40% - Accent6 3 3 3 9" xfId="48788" xr:uid="{00000000-0005-0000-0000-000021980000}"/>
    <cellStyle name="40% - Accent6 3 3 4" xfId="6820" xr:uid="{00000000-0005-0000-0000-000022980000}"/>
    <cellStyle name="40% - Accent6 3 3 5" xfId="12300" xr:uid="{00000000-0005-0000-0000-000023980000}"/>
    <cellStyle name="40% - Accent6 3 3 6" xfId="17776" xr:uid="{00000000-0005-0000-0000-000024980000}"/>
    <cellStyle name="40% - Accent6 3 3 7" xfId="23252" xr:uid="{00000000-0005-0000-0000-000025980000}"/>
    <cellStyle name="40% - Accent6 3 3 8" xfId="32585" xr:uid="{00000000-0005-0000-0000-000026980000}"/>
    <cellStyle name="40% - Accent6 3 3 9" xfId="35047" xr:uid="{00000000-0005-0000-0000-000027980000}"/>
    <cellStyle name="40% - Accent6 3 4" xfId="769" xr:uid="{00000000-0005-0000-0000-000028980000}"/>
    <cellStyle name="40% - Accent6 3 4 10" xfId="40525" xr:uid="{00000000-0005-0000-0000-000029980000}"/>
    <cellStyle name="40% - Accent6 3 4 11" xfId="46002" xr:uid="{00000000-0005-0000-0000-00002A980000}"/>
    <cellStyle name="40% - Accent6 3 4 12" xfId="51480" xr:uid="{00000000-0005-0000-0000-00002B980000}"/>
    <cellStyle name="40% - Accent6 3 4 2" xfId="2530" xr:uid="{00000000-0005-0000-0000-00002C980000}"/>
    <cellStyle name="40% - Accent6 3 4 2 10" xfId="52706" xr:uid="{00000000-0005-0000-0000-00002D980000}"/>
    <cellStyle name="40% - Accent6 3 4 2 2" xfId="8010" xr:uid="{00000000-0005-0000-0000-00002E980000}"/>
    <cellStyle name="40% - Accent6 3 4 2 2 2" xfId="32591" xr:uid="{00000000-0005-0000-0000-00002F980000}"/>
    <cellStyle name="40% - Accent6 3 4 2 3" xfId="13486" xr:uid="{00000000-0005-0000-0000-000030980000}"/>
    <cellStyle name="40% - Accent6 3 4 2 4" xfId="18962" xr:uid="{00000000-0005-0000-0000-000031980000}"/>
    <cellStyle name="40% - Accent6 3 4 2 5" xfId="24438" xr:uid="{00000000-0005-0000-0000-000032980000}"/>
    <cellStyle name="40% - Accent6 3 4 2 6" xfId="32590" xr:uid="{00000000-0005-0000-0000-000033980000}"/>
    <cellStyle name="40% - Accent6 3 4 2 7" xfId="36234" xr:uid="{00000000-0005-0000-0000-000034980000}"/>
    <cellStyle name="40% - Accent6 3 4 2 8" xfId="41711" xr:uid="{00000000-0005-0000-0000-000035980000}"/>
    <cellStyle name="40% - Accent6 3 4 2 9" xfId="47188" xr:uid="{00000000-0005-0000-0000-000036980000}"/>
    <cellStyle name="40% - Accent6 3 4 3" xfId="4302" xr:uid="{00000000-0005-0000-0000-000037980000}"/>
    <cellStyle name="40% - Accent6 3 4 3 10" xfId="54478" xr:uid="{00000000-0005-0000-0000-000038980000}"/>
    <cellStyle name="40% - Accent6 3 4 3 2" xfId="9782" xr:uid="{00000000-0005-0000-0000-000039980000}"/>
    <cellStyle name="40% - Accent6 3 4 3 3" xfId="15258" xr:uid="{00000000-0005-0000-0000-00003A980000}"/>
    <cellStyle name="40% - Accent6 3 4 3 4" xfId="20734" xr:uid="{00000000-0005-0000-0000-00003B980000}"/>
    <cellStyle name="40% - Accent6 3 4 3 5" xfId="26210" xr:uid="{00000000-0005-0000-0000-00003C980000}"/>
    <cellStyle name="40% - Accent6 3 4 3 6" xfId="32592" xr:uid="{00000000-0005-0000-0000-00003D980000}"/>
    <cellStyle name="40% - Accent6 3 4 3 7" xfId="38006" xr:uid="{00000000-0005-0000-0000-00003E980000}"/>
    <cellStyle name="40% - Accent6 3 4 3 8" xfId="43483" xr:uid="{00000000-0005-0000-0000-00003F980000}"/>
    <cellStyle name="40% - Accent6 3 4 3 9" xfId="48960" xr:uid="{00000000-0005-0000-0000-000040980000}"/>
    <cellStyle name="40% - Accent6 3 4 4" xfId="6821" xr:uid="{00000000-0005-0000-0000-000041980000}"/>
    <cellStyle name="40% - Accent6 3 4 5" xfId="12301" xr:uid="{00000000-0005-0000-0000-000042980000}"/>
    <cellStyle name="40% - Accent6 3 4 6" xfId="17777" xr:uid="{00000000-0005-0000-0000-000043980000}"/>
    <cellStyle name="40% - Accent6 3 4 7" xfId="23253" xr:uid="{00000000-0005-0000-0000-000044980000}"/>
    <cellStyle name="40% - Accent6 3 4 8" xfId="32589" xr:uid="{00000000-0005-0000-0000-000045980000}"/>
    <cellStyle name="40% - Accent6 3 4 9" xfId="35048" xr:uid="{00000000-0005-0000-0000-000046980000}"/>
    <cellStyle name="40% - Accent6 3 5" xfId="941" xr:uid="{00000000-0005-0000-0000-000047980000}"/>
    <cellStyle name="40% - Accent6 3 5 10" xfId="40526" xr:uid="{00000000-0005-0000-0000-000048980000}"/>
    <cellStyle name="40% - Accent6 3 5 11" xfId="46003" xr:uid="{00000000-0005-0000-0000-000049980000}"/>
    <cellStyle name="40% - Accent6 3 5 12" xfId="51481" xr:uid="{00000000-0005-0000-0000-00004A980000}"/>
    <cellStyle name="40% - Accent6 3 5 2" xfId="2702" xr:uid="{00000000-0005-0000-0000-00004B980000}"/>
    <cellStyle name="40% - Accent6 3 5 2 10" xfId="52878" xr:uid="{00000000-0005-0000-0000-00004C980000}"/>
    <cellStyle name="40% - Accent6 3 5 2 2" xfId="8182" xr:uid="{00000000-0005-0000-0000-00004D980000}"/>
    <cellStyle name="40% - Accent6 3 5 2 2 2" xfId="32595" xr:uid="{00000000-0005-0000-0000-00004E980000}"/>
    <cellStyle name="40% - Accent6 3 5 2 3" xfId="13658" xr:uid="{00000000-0005-0000-0000-00004F980000}"/>
    <cellStyle name="40% - Accent6 3 5 2 4" xfId="19134" xr:uid="{00000000-0005-0000-0000-000050980000}"/>
    <cellStyle name="40% - Accent6 3 5 2 5" xfId="24610" xr:uid="{00000000-0005-0000-0000-000051980000}"/>
    <cellStyle name="40% - Accent6 3 5 2 6" xfId="32594" xr:uid="{00000000-0005-0000-0000-000052980000}"/>
    <cellStyle name="40% - Accent6 3 5 2 7" xfId="36406" xr:uid="{00000000-0005-0000-0000-000053980000}"/>
    <cellStyle name="40% - Accent6 3 5 2 8" xfId="41883" xr:uid="{00000000-0005-0000-0000-000054980000}"/>
    <cellStyle name="40% - Accent6 3 5 2 9" xfId="47360" xr:uid="{00000000-0005-0000-0000-000055980000}"/>
    <cellStyle name="40% - Accent6 3 5 3" xfId="4474" xr:uid="{00000000-0005-0000-0000-000056980000}"/>
    <cellStyle name="40% - Accent6 3 5 3 10" xfId="54650" xr:uid="{00000000-0005-0000-0000-000057980000}"/>
    <cellStyle name="40% - Accent6 3 5 3 2" xfId="9954" xr:uid="{00000000-0005-0000-0000-000058980000}"/>
    <cellStyle name="40% - Accent6 3 5 3 3" xfId="15430" xr:uid="{00000000-0005-0000-0000-000059980000}"/>
    <cellStyle name="40% - Accent6 3 5 3 4" xfId="20906" xr:uid="{00000000-0005-0000-0000-00005A980000}"/>
    <cellStyle name="40% - Accent6 3 5 3 5" xfId="26382" xr:uid="{00000000-0005-0000-0000-00005B980000}"/>
    <cellStyle name="40% - Accent6 3 5 3 6" xfId="32596" xr:uid="{00000000-0005-0000-0000-00005C980000}"/>
    <cellStyle name="40% - Accent6 3 5 3 7" xfId="38178" xr:uid="{00000000-0005-0000-0000-00005D980000}"/>
    <cellStyle name="40% - Accent6 3 5 3 8" xfId="43655" xr:uid="{00000000-0005-0000-0000-00005E980000}"/>
    <cellStyle name="40% - Accent6 3 5 3 9" xfId="49132" xr:uid="{00000000-0005-0000-0000-00005F980000}"/>
    <cellStyle name="40% - Accent6 3 5 4" xfId="6822" xr:uid="{00000000-0005-0000-0000-000060980000}"/>
    <cellStyle name="40% - Accent6 3 5 5" xfId="12302" xr:uid="{00000000-0005-0000-0000-000061980000}"/>
    <cellStyle name="40% - Accent6 3 5 6" xfId="17778" xr:uid="{00000000-0005-0000-0000-000062980000}"/>
    <cellStyle name="40% - Accent6 3 5 7" xfId="23254" xr:uid="{00000000-0005-0000-0000-000063980000}"/>
    <cellStyle name="40% - Accent6 3 5 8" xfId="32593" xr:uid="{00000000-0005-0000-0000-000064980000}"/>
    <cellStyle name="40% - Accent6 3 5 9" xfId="35049" xr:uid="{00000000-0005-0000-0000-000065980000}"/>
    <cellStyle name="40% - Accent6 3 6" xfId="1147" xr:uid="{00000000-0005-0000-0000-000066980000}"/>
    <cellStyle name="40% - Accent6 3 6 10" xfId="40527" xr:uid="{00000000-0005-0000-0000-000067980000}"/>
    <cellStyle name="40% - Accent6 3 6 11" xfId="46004" xr:uid="{00000000-0005-0000-0000-000068980000}"/>
    <cellStyle name="40% - Accent6 3 6 12" xfId="51482" xr:uid="{00000000-0005-0000-0000-000069980000}"/>
    <cellStyle name="40% - Accent6 3 6 2" xfId="2908" xr:uid="{00000000-0005-0000-0000-00006A980000}"/>
    <cellStyle name="40% - Accent6 3 6 2 10" xfId="53084" xr:uid="{00000000-0005-0000-0000-00006B980000}"/>
    <cellStyle name="40% - Accent6 3 6 2 2" xfId="8388" xr:uid="{00000000-0005-0000-0000-00006C980000}"/>
    <cellStyle name="40% - Accent6 3 6 2 2 2" xfId="32599" xr:uid="{00000000-0005-0000-0000-00006D980000}"/>
    <cellStyle name="40% - Accent6 3 6 2 3" xfId="13864" xr:uid="{00000000-0005-0000-0000-00006E980000}"/>
    <cellStyle name="40% - Accent6 3 6 2 4" xfId="19340" xr:uid="{00000000-0005-0000-0000-00006F980000}"/>
    <cellStyle name="40% - Accent6 3 6 2 5" xfId="24816" xr:uid="{00000000-0005-0000-0000-000070980000}"/>
    <cellStyle name="40% - Accent6 3 6 2 6" xfId="32598" xr:uid="{00000000-0005-0000-0000-000071980000}"/>
    <cellStyle name="40% - Accent6 3 6 2 7" xfId="36612" xr:uid="{00000000-0005-0000-0000-000072980000}"/>
    <cellStyle name="40% - Accent6 3 6 2 8" xfId="42089" xr:uid="{00000000-0005-0000-0000-000073980000}"/>
    <cellStyle name="40% - Accent6 3 6 2 9" xfId="47566" xr:uid="{00000000-0005-0000-0000-000074980000}"/>
    <cellStyle name="40% - Accent6 3 6 3" xfId="4680" xr:uid="{00000000-0005-0000-0000-000075980000}"/>
    <cellStyle name="40% - Accent6 3 6 3 10" xfId="54856" xr:uid="{00000000-0005-0000-0000-000076980000}"/>
    <cellStyle name="40% - Accent6 3 6 3 2" xfId="10160" xr:uid="{00000000-0005-0000-0000-000077980000}"/>
    <cellStyle name="40% - Accent6 3 6 3 3" xfId="15636" xr:uid="{00000000-0005-0000-0000-000078980000}"/>
    <cellStyle name="40% - Accent6 3 6 3 4" xfId="21112" xr:uid="{00000000-0005-0000-0000-000079980000}"/>
    <cellStyle name="40% - Accent6 3 6 3 5" xfId="26588" xr:uid="{00000000-0005-0000-0000-00007A980000}"/>
    <cellStyle name="40% - Accent6 3 6 3 6" xfId="32600" xr:uid="{00000000-0005-0000-0000-00007B980000}"/>
    <cellStyle name="40% - Accent6 3 6 3 7" xfId="38384" xr:uid="{00000000-0005-0000-0000-00007C980000}"/>
    <cellStyle name="40% - Accent6 3 6 3 8" xfId="43861" xr:uid="{00000000-0005-0000-0000-00007D980000}"/>
    <cellStyle name="40% - Accent6 3 6 3 9" xfId="49338" xr:uid="{00000000-0005-0000-0000-00007E980000}"/>
    <cellStyle name="40% - Accent6 3 6 4" xfId="6823" xr:uid="{00000000-0005-0000-0000-00007F980000}"/>
    <cellStyle name="40% - Accent6 3 6 5" xfId="12303" xr:uid="{00000000-0005-0000-0000-000080980000}"/>
    <cellStyle name="40% - Accent6 3 6 6" xfId="17779" xr:uid="{00000000-0005-0000-0000-000081980000}"/>
    <cellStyle name="40% - Accent6 3 6 7" xfId="23255" xr:uid="{00000000-0005-0000-0000-000082980000}"/>
    <cellStyle name="40% - Accent6 3 6 8" xfId="32597" xr:uid="{00000000-0005-0000-0000-000083980000}"/>
    <cellStyle name="40% - Accent6 3 6 9" xfId="35050" xr:uid="{00000000-0005-0000-0000-000084980000}"/>
    <cellStyle name="40% - Accent6 3 7" xfId="1319" xr:uid="{00000000-0005-0000-0000-000085980000}"/>
    <cellStyle name="40% - Accent6 3 7 10" xfId="40528" xr:uid="{00000000-0005-0000-0000-000086980000}"/>
    <cellStyle name="40% - Accent6 3 7 11" xfId="46005" xr:uid="{00000000-0005-0000-0000-000087980000}"/>
    <cellStyle name="40% - Accent6 3 7 12" xfId="51483" xr:uid="{00000000-0005-0000-0000-000088980000}"/>
    <cellStyle name="40% - Accent6 3 7 2" xfId="3080" xr:uid="{00000000-0005-0000-0000-000089980000}"/>
    <cellStyle name="40% - Accent6 3 7 2 10" xfId="53256" xr:uid="{00000000-0005-0000-0000-00008A980000}"/>
    <cellStyle name="40% - Accent6 3 7 2 2" xfId="8560" xr:uid="{00000000-0005-0000-0000-00008B980000}"/>
    <cellStyle name="40% - Accent6 3 7 2 2 2" xfId="32603" xr:uid="{00000000-0005-0000-0000-00008C980000}"/>
    <cellStyle name="40% - Accent6 3 7 2 3" xfId="14036" xr:uid="{00000000-0005-0000-0000-00008D980000}"/>
    <cellStyle name="40% - Accent6 3 7 2 4" xfId="19512" xr:uid="{00000000-0005-0000-0000-00008E980000}"/>
    <cellStyle name="40% - Accent6 3 7 2 5" xfId="24988" xr:uid="{00000000-0005-0000-0000-00008F980000}"/>
    <cellStyle name="40% - Accent6 3 7 2 6" xfId="32602" xr:uid="{00000000-0005-0000-0000-000090980000}"/>
    <cellStyle name="40% - Accent6 3 7 2 7" xfId="36784" xr:uid="{00000000-0005-0000-0000-000091980000}"/>
    <cellStyle name="40% - Accent6 3 7 2 8" xfId="42261" xr:uid="{00000000-0005-0000-0000-000092980000}"/>
    <cellStyle name="40% - Accent6 3 7 2 9" xfId="47738" xr:uid="{00000000-0005-0000-0000-000093980000}"/>
    <cellStyle name="40% - Accent6 3 7 3" xfId="4852" xr:uid="{00000000-0005-0000-0000-000094980000}"/>
    <cellStyle name="40% - Accent6 3 7 3 10" xfId="55028" xr:uid="{00000000-0005-0000-0000-000095980000}"/>
    <cellStyle name="40% - Accent6 3 7 3 2" xfId="10332" xr:uid="{00000000-0005-0000-0000-000096980000}"/>
    <cellStyle name="40% - Accent6 3 7 3 3" xfId="15808" xr:uid="{00000000-0005-0000-0000-000097980000}"/>
    <cellStyle name="40% - Accent6 3 7 3 4" xfId="21284" xr:uid="{00000000-0005-0000-0000-000098980000}"/>
    <cellStyle name="40% - Accent6 3 7 3 5" xfId="26760" xr:uid="{00000000-0005-0000-0000-000099980000}"/>
    <cellStyle name="40% - Accent6 3 7 3 6" xfId="32604" xr:uid="{00000000-0005-0000-0000-00009A980000}"/>
    <cellStyle name="40% - Accent6 3 7 3 7" xfId="38556" xr:uid="{00000000-0005-0000-0000-00009B980000}"/>
    <cellStyle name="40% - Accent6 3 7 3 8" xfId="44033" xr:uid="{00000000-0005-0000-0000-00009C980000}"/>
    <cellStyle name="40% - Accent6 3 7 3 9" xfId="49510" xr:uid="{00000000-0005-0000-0000-00009D980000}"/>
    <cellStyle name="40% - Accent6 3 7 4" xfId="6824" xr:uid="{00000000-0005-0000-0000-00009E980000}"/>
    <cellStyle name="40% - Accent6 3 7 5" xfId="12304" xr:uid="{00000000-0005-0000-0000-00009F980000}"/>
    <cellStyle name="40% - Accent6 3 7 6" xfId="17780" xr:uid="{00000000-0005-0000-0000-0000A0980000}"/>
    <cellStyle name="40% - Accent6 3 7 7" xfId="23256" xr:uid="{00000000-0005-0000-0000-0000A1980000}"/>
    <cellStyle name="40% - Accent6 3 7 8" xfId="32601" xr:uid="{00000000-0005-0000-0000-0000A2980000}"/>
    <cellStyle name="40% - Accent6 3 7 9" xfId="35051" xr:uid="{00000000-0005-0000-0000-0000A3980000}"/>
    <cellStyle name="40% - Accent6 3 8" xfId="1491" xr:uid="{00000000-0005-0000-0000-0000A4980000}"/>
    <cellStyle name="40% - Accent6 3 8 10" xfId="40529" xr:uid="{00000000-0005-0000-0000-0000A5980000}"/>
    <cellStyle name="40% - Accent6 3 8 11" xfId="46006" xr:uid="{00000000-0005-0000-0000-0000A6980000}"/>
    <cellStyle name="40% - Accent6 3 8 12" xfId="51484" xr:uid="{00000000-0005-0000-0000-0000A7980000}"/>
    <cellStyle name="40% - Accent6 3 8 2" xfId="3252" xr:uid="{00000000-0005-0000-0000-0000A8980000}"/>
    <cellStyle name="40% - Accent6 3 8 2 10" xfId="53428" xr:uid="{00000000-0005-0000-0000-0000A9980000}"/>
    <cellStyle name="40% - Accent6 3 8 2 2" xfId="8732" xr:uid="{00000000-0005-0000-0000-0000AA980000}"/>
    <cellStyle name="40% - Accent6 3 8 2 3" xfId="14208" xr:uid="{00000000-0005-0000-0000-0000AB980000}"/>
    <cellStyle name="40% - Accent6 3 8 2 4" xfId="19684" xr:uid="{00000000-0005-0000-0000-0000AC980000}"/>
    <cellStyle name="40% - Accent6 3 8 2 5" xfId="25160" xr:uid="{00000000-0005-0000-0000-0000AD980000}"/>
    <cellStyle name="40% - Accent6 3 8 2 6" xfId="32606" xr:uid="{00000000-0005-0000-0000-0000AE980000}"/>
    <cellStyle name="40% - Accent6 3 8 2 7" xfId="36956" xr:uid="{00000000-0005-0000-0000-0000AF980000}"/>
    <cellStyle name="40% - Accent6 3 8 2 8" xfId="42433" xr:uid="{00000000-0005-0000-0000-0000B0980000}"/>
    <cellStyle name="40% - Accent6 3 8 2 9" xfId="47910" xr:uid="{00000000-0005-0000-0000-0000B1980000}"/>
    <cellStyle name="40% - Accent6 3 8 3" xfId="5024" xr:uid="{00000000-0005-0000-0000-0000B2980000}"/>
    <cellStyle name="40% - Accent6 3 8 3 2" xfId="10504" xr:uid="{00000000-0005-0000-0000-0000B3980000}"/>
    <cellStyle name="40% - Accent6 3 8 3 3" xfId="15980" xr:uid="{00000000-0005-0000-0000-0000B4980000}"/>
    <cellStyle name="40% - Accent6 3 8 3 4" xfId="21456" xr:uid="{00000000-0005-0000-0000-0000B5980000}"/>
    <cellStyle name="40% - Accent6 3 8 3 5" xfId="26932" xr:uid="{00000000-0005-0000-0000-0000B6980000}"/>
    <cellStyle name="40% - Accent6 3 8 3 6" xfId="38728" xr:uid="{00000000-0005-0000-0000-0000B7980000}"/>
    <cellStyle name="40% - Accent6 3 8 3 7" xfId="44205" xr:uid="{00000000-0005-0000-0000-0000B8980000}"/>
    <cellStyle name="40% - Accent6 3 8 3 8" xfId="49682" xr:uid="{00000000-0005-0000-0000-0000B9980000}"/>
    <cellStyle name="40% - Accent6 3 8 3 9" xfId="55200" xr:uid="{00000000-0005-0000-0000-0000BA980000}"/>
    <cellStyle name="40% - Accent6 3 8 4" xfId="6825" xr:uid="{00000000-0005-0000-0000-0000BB980000}"/>
    <cellStyle name="40% - Accent6 3 8 5" xfId="12305" xr:uid="{00000000-0005-0000-0000-0000BC980000}"/>
    <cellStyle name="40% - Accent6 3 8 6" xfId="17781" xr:uid="{00000000-0005-0000-0000-0000BD980000}"/>
    <cellStyle name="40% - Accent6 3 8 7" xfId="23257" xr:uid="{00000000-0005-0000-0000-0000BE980000}"/>
    <cellStyle name="40% - Accent6 3 8 8" xfId="32605" xr:uid="{00000000-0005-0000-0000-0000BF980000}"/>
    <cellStyle name="40% - Accent6 3 8 9" xfId="35052" xr:uid="{00000000-0005-0000-0000-0000C0980000}"/>
    <cellStyle name="40% - Accent6 3 9" xfId="1663" xr:uid="{00000000-0005-0000-0000-0000C1980000}"/>
    <cellStyle name="40% - Accent6 3 9 10" xfId="40530" xr:uid="{00000000-0005-0000-0000-0000C2980000}"/>
    <cellStyle name="40% - Accent6 3 9 11" xfId="46007" xr:uid="{00000000-0005-0000-0000-0000C3980000}"/>
    <cellStyle name="40% - Accent6 3 9 12" xfId="51485" xr:uid="{00000000-0005-0000-0000-0000C4980000}"/>
    <cellStyle name="40% - Accent6 3 9 2" xfId="3424" xr:uid="{00000000-0005-0000-0000-0000C5980000}"/>
    <cellStyle name="40% - Accent6 3 9 2 2" xfId="8904" xr:uid="{00000000-0005-0000-0000-0000C6980000}"/>
    <cellStyle name="40% - Accent6 3 9 2 3" xfId="14380" xr:uid="{00000000-0005-0000-0000-0000C7980000}"/>
    <cellStyle name="40% - Accent6 3 9 2 4" xfId="19856" xr:uid="{00000000-0005-0000-0000-0000C8980000}"/>
    <cellStyle name="40% - Accent6 3 9 2 5" xfId="25332" xr:uid="{00000000-0005-0000-0000-0000C9980000}"/>
    <cellStyle name="40% - Accent6 3 9 2 6" xfId="37128" xr:uid="{00000000-0005-0000-0000-0000CA980000}"/>
    <cellStyle name="40% - Accent6 3 9 2 7" xfId="42605" xr:uid="{00000000-0005-0000-0000-0000CB980000}"/>
    <cellStyle name="40% - Accent6 3 9 2 8" xfId="48082" xr:uid="{00000000-0005-0000-0000-0000CC980000}"/>
    <cellStyle name="40% - Accent6 3 9 2 9" xfId="53600" xr:uid="{00000000-0005-0000-0000-0000CD980000}"/>
    <cellStyle name="40% - Accent6 3 9 3" xfId="5196" xr:uid="{00000000-0005-0000-0000-0000CE980000}"/>
    <cellStyle name="40% - Accent6 3 9 3 2" xfId="10676" xr:uid="{00000000-0005-0000-0000-0000CF980000}"/>
    <cellStyle name="40% - Accent6 3 9 3 3" xfId="16152" xr:uid="{00000000-0005-0000-0000-0000D0980000}"/>
    <cellStyle name="40% - Accent6 3 9 3 4" xfId="21628" xr:uid="{00000000-0005-0000-0000-0000D1980000}"/>
    <cellStyle name="40% - Accent6 3 9 3 5" xfId="27104" xr:uid="{00000000-0005-0000-0000-0000D2980000}"/>
    <cellStyle name="40% - Accent6 3 9 3 6" xfId="38900" xr:uid="{00000000-0005-0000-0000-0000D3980000}"/>
    <cellStyle name="40% - Accent6 3 9 3 7" xfId="44377" xr:uid="{00000000-0005-0000-0000-0000D4980000}"/>
    <cellStyle name="40% - Accent6 3 9 3 8" xfId="49854" xr:uid="{00000000-0005-0000-0000-0000D5980000}"/>
    <cellStyle name="40% - Accent6 3 9 3 9" xfId="55372" xr:uid="{00000000-0005-0000-0000-0000D6980000}"/>
    <cellStyle name="40% - Accent6 3 9 4" xfId="6826" xr:uid="{00000000-0005-0000-0000-0000D7980000}"/>
    <cellStyle name="40% - Accent6 3 9 5" xfId="12306" xr:uid="{00000000-0005-0000-0000-0000D8980000}"/>
    <cellStyle name="40% - Accent6 3 9 6" xfId="17782" xr:uid="{00000000-0005-0000-0000-0000D9980000}"/>
    <cellStyle name="40% - Accent6 3 9 7" xfId="23258" xr:uid="{00000000-0005-0000-0000-0000DA980000}"/>
    <cellStyle name="40% - Accent6 3 9 8" xfId="32607" xr:uid="{00000000-0005-0000-0000-0000DB980000}"/>
    <cellStyle name="40% - Accent6 3 9 9" xfId="35053" xr:uid="{00000000-0005-0000-0000-0000DC980000}"/>
    <cellStyle name="40% - Accent6 4" xfId="397" xr:uid="{00000000-0005-0000-0000-0000DD980000}"/>
    <cellStyle name="40% - Accent6 4 10" xfId="2026" xr:uid="{00000000-0005-0000-0000-0000DE980000}"/>
    <cellStyle name="40% - Accent6 4 10 10" xfId="52203" xr:uid="{00000000-0005-0000-0000-0000DF980000}"/>
    <cellStyle name="40% - Accent6 4 10 2" xfId="5558" xr:uid="{00000000-0005-0000-0000-0000E0980000}"/>
    <cellStyle name="40% - Accent6 4 10 2 2" xfId="11038" xr:uid="{00000000-0005-0000-0000-0000E1980000}"/>
    <cellStyle name="40% - Accent6 4 10 2 3" xfId="16514" xr:uid="{00000000-0005-0000-0000-0000E2980000}"/>
    <cellStyle name="40% - Accent6 4 10 2 4" xfId="21990" xr:uid="{00000000-0005-0000-0000-0000E3980000}"/>
    <cellStyle name="40% - Accent6 4 10 2 5" xfId="27466" xr:uid="{00000000-0005-0000-0000-0000E4980000}"/>
    <cellStyle name="40% - Accent6 4 10 2 6" xfId="39262" xr:uid="{00000000-0005-0000-0000-0000E5980000}"/>
    <cellStyle name="40% - Accent6 4 10 2 7" xfId="44739" xr:uid="{00000000-0005-0000-0000-0000E6980000}"/>
    <cellStyle name="40% - Accent6 4 10 2 8" xfId="50216" xr:uid="{00000000-0005-0000-0000-0000E7980000}"/>
    <cellStyle name="40% - Accent6 4 10 2 9" xfId="55734" xr:uid="{00000000-0005-0000-0000-0000E8980000}"/>
    <cellStyle name="40% - Accent6 4 10 3" xfId="7507" xr:uid="{00000000-0005-0000-0000-0000E9980000}"/>
    <cellStyle name="40% - Accent6 4 10 4" xfId="12983" xr:uid="{00000000-0005-0000-0000-0000EA980000}"/>
    <cellStyle name="40% - Accent6 4 10 5" xfId="18459" xr:uid="{00000000-0005-0000-0000-0000EB980000}"/>
    <cellStyle name="40% - Accent6 4 10 6" xfId="23935" xr:uid="{00000000-0005-0000-0000-0000EC980000}"/>
    <cellStyle name="40% - Accent6 4 10 7" xfId="35731" xr:uid="{00000000-0005-0000-0000-0000ED980000}"/>
    <cellStyle name="40% - Accent6 4 10 8" xfId="41208" xr:uid="{00000000-0005-0000-0000-0000EE980000}"/>
    <cellStyle name="40% - Accent6 4 10 9" xfId="46685" xr:uid="{00000000-0005-0000-0000-0000EF980000}"/>
    <cellStyle name="40% - Accent6 4 11" xfId="3959" xr:uid="{00000000-0005-0000-0000-0000F0980000}"/>
    <cellStyle name="40% - Accent6 4 11 2" xfId="9439" xr:uid="{00000000-0005-0000-0000-0000F1980000}"/>
    <cellStyle name="40% - Accent6 4 11 3" xfId="14915" xr:uid="{00000000-0005-0000-0000-0000F2980000}"/>
    <cellStyle name="40% - Accent6 4 11 4" xfId="20391" xr:uid="{00000000-0005-0000-0000-0000F3980000}"/>
    <cellStyle name="40% - Accent6 4 11 5" xfId="25867" xr:uid="{00000000-0005-0000-0000-0000F4980000}"/>
    <cellStyle name="40% - Accent6 4 11 6" xfId="37663" xr:uid="{00000000-0005-0000-0000-0000F5980000}"/>
    <cellStyle name="40% - Accent6 4 11 7" xfId="43140" xr:uid="{00000000-0005-0000-0000-0000F6980000}"/>
    <cellStyle name="40% - Accent6 4 11 8" xfId="48617" xr:uid="{00000000-0005-0000-0000-0000F7980000}"/>
    <cellStyle name="40% - Accent6 4 11 9" xfId="54135" xr:uid="{00000000-0005-0000-0000-0000F8980000}"/>
    <cellStyle name="40% - Accent6 4 12" xfId="6827" xr:uid="{00000000-0005-0000-0000-0000F9980000}"/>
    <cellStyle name="40% - Accent6 4 13" xfId="12307" xr:uid="{00000000-0005-0000-0000-0000FA980000}"/>
    <cellStyle name="40% - Accent6 4 14" xfId="17783" xr:uid="{00000000-0005-0000-0000-0000FB980000}"/>
    <cellStyle name="40% - Accent6 4 15" xfId="23259" xr:uid="{00000000-0005-0000-0000-0000FC980000}"/>
    <cellStyle name="40% - Accent6 4 16" xfId="32608" xr:uid="{00000000-0005-0000-0000-0000FD980000}"/>
    <cellStyle name="40% - Accent6 4 17" xfId="35054" xr:uid="{00000000-0005-0000-0000-0000FE980000}"/>
    <cellStyle name="40% - Accent6 4 18" xfId="40531" xr:uid="{00000000-0005-0000-0000-0000FF980000}"/>
    <cellStyle name="40% - Accent6 4 19" xfId="46008" xr:uid="{00000000-0005-0000-0000-000000990000}"/>
    <cellStyle name="40% - Accent6 4 2" xfId="598" xr:uid="{00000000-0005-0000-0000-000001990000}"/>
    <cellStyle name="40% - Accent6 4 2 10" xfId="40532" xr:uid="{00000000-0005-0000-0000-000002990000}"/>
    <cellStyle name="40% - Accent6 4 2 11" xfId="46009" xr:uid="{00000000-0005-0000-0000-000003990000}"/>
    <cellStyle name="40% - Accent6 4 2 12" xfId="51487" xr:uid="{00000000-0005-0000-0000-000004990000}"/>
    <cellStyle name="40% - Accent6 4 2 2" xfId="2359" xr:uid="{00000000-0005-0000-0000-000005990000}"/>
    <cellStyle name="40% - Accent6 4 2 2 10" xfId="52535" xr:uid="{00000000-0005-0000-0000-000006990000}"/>
    <cellStyle name="40% - Accent6 4 2 2 2" xfId="7839" xr:uid="{00000000-0005-0000-0000-000007990000}"/>
    <cellStyle name="40% - Accent6 4 2 2 2 2" xfId="32611" xr:uid="{00000000-0005-0000-0000-000008990000}"/>
    <cellStyle name="40% - Accent6 4 2 2 3" xfId="13315" xr:uid="{00000000-0005-0000-0000-000009990000}"/>
    <cellStyle name="40% - Accent6 4 2 2 4" xfId="18791" xr:uid="{00000000-0005-0000-0000-00000A990000}"/>
    <cellStyle name="40% - Accent6 4 2 2 5" xfId="24267" xr:uid="{00000000-0005-0000-0000-00000B990000}"/>
    <cellStyle name="40% - Accent6 4 2 2 6" xfId="32610" xr:uid="{00000000-0005-0000-0000-00000C990000}"/>
    <cellStyle name="40% - Accent6 4 2 2 7" xfId="36063" xr:uid="{00000000-0005-0000-0000-00000D990000}"/>
    <cellStyle name="40% - Accent6 4 2 2 8" xfId="41540" xr:uid="{00000000-0005-0000-0000-00000E990000}"/>
    <cellStyle name="40% - Accent6 4 2 2 9" xfId="47017" xr:uid="{00000000-0005-0000-0000-00000F990000}"/>
    <cellStyle name="40% - Accent6 4 2 3" xfId="4131" xr:uid="{00000000-0005-0000-0000-000010990000}"/>
    <cellStyle name="40% - Accent6 4 2 3 10" xfId="54307" xr:uid="{00000000-0005-0000-0000-000011990000}"/>
    <cellStyle name="40% - Accent6 4 2 3 2" xfId="9611" xr:uid="{00000000-0005-0000-0000-000012990000}"/>
    <cellStyle name="40% - Accent6 4 2 3 3" xfId="15087" xr:uid="{00000000-0005-0000-0000-000013990000}"/>
    <cellStyle name="40% - Accent6 4 2 3 4" xfId="20563" xr:uid="{00000000-0005-0000-0000-000014990000}"/>
    <cellStyle name="40% - Accent6 4 2 3 5" xfId="26039" xr:uid="{00000000-0005-0000-0000-000015990000}"/>
    <cellStyle name="40% - Accent6 4 2 3 6" xfId="32612" xr:uid="{00000000-0005-0000-0000-000016990000}"/>
    <cellStyle name="40% - Accent6 4 2 3 7" xfId="37835" xr:uid="{00000000-0005-0000-0000-000017990000}"/>
    <cellStyle name="40% - Accent6 4 2 3 8" xfId="43312" xr:uid="{00000000-0005-0000-0000-000018990000}"/>
    <cellStyle name="40% - Accent6 4 2 3 9" xfId="48789" xr:uid="{00000000-0005-0000-0000-000019990000}"/>
    <cellStyle name="40% - Accent6 4 2 4" xfId="6828" xr:uid="{00000000-0005-0000-0000-00001A990000}"/>
    <cellStyle name="40% - Accent6 4 2 5" xfId="12308" xr:uid="{00000000-0005-0000-0000-00001B990000}"/>
    <cellStyle name="40% - Accent6 4 2 6" xfId="17784" xr:uid="{00000000-0005-0000-0000-00001C990000}"/>
    <cellStyle name="40% - Accent6 4 2 7" xfId="23260" xr:uid="{00000000-0005-0000-0000-00001D990000}"/>
    <cellStyle name="40% - Accent6 4 2 8" xfId="32609" xr:uid="{00000000-0005-0000-0000-00001E990000}"/>
    <cellStyle name="40% - Accent6 4 2 9" xfId="35055" xr:uid="{00000000-0005-0000-0000-00001F990000}"/>
    <cellStyle name="40% - Accent6 4 20" xfId="51486" xr:uid="{00000000-0005-0000-0000-000020990000}"/>
    <cellStyle name="40% - Accent6 4 3" xfId="770" xr:uid="{00000000-0005-0000-0000-000021990000}"/>
    <cellStyle name="40% - Accent6 4 3 10" xfId="40533" xr:uid="{00000000-0005-0000-0000-000022990000}"/>
    <cellStyle name="40% - Accent6 4 3 11" xfId="46010" xr:uid="{00000000-0005-0000-0000-000023990000}"/>
    <cellStyle name="40% - Accent6 4 3 12" xfId="51488" xr:uid="{00000000-0005-0000-0000-000024990000}"/>
    <cellStyle name="40% - Accent6 4 3 2" xfId="2531" xr:uid="{00000000-0005-0000-0000-000025990000}"/>
    <cellStyle name="40% - Accent6 4 3 2 10" xfId="52707" xr:uid="{00000000-0005-0000-0000-000026990000}"/>
    <cellStyle name="40% - Accent6 4 3 2 2" xfId="8011" xr:uid="{00000000-0005-0000-0000-000027990000}"/>
    <cellStyle name="40% - Accent6 4 3 2 2 2" xfId="32615" xr:uid="{00000000-0005-0000-0000-000028990000}"/>
    <cellStyle name="40% - Accent6 4 3 2 3" xfId="13487" xr:uid="{00000000-0005-0000-0000-000029990000}"/>
    <cellStyle name="40% - Accent6 4 3 2 4" xfId="18963" xr:uid="{00000000-0005-0000-0000-00002A990000}"/>
    <cellStyle name="40% - Accent6 4 3 2 5" xfId="24439" xr:uid="{00000000-0005-0000-0000-00002B990000}"/>
    <cellStyle name="40% - Accent6 4 3 2 6" xfId="32614" xr:uid="{00000000-0005-0000-0000-00002C990000}"/>
    <cellStyle name="40% - Accent6 4 3 2 7" xfId="36235" xr:uid="{00000000-0005-0000-0000-00002D990000}"/>
    <cellStyle name="40% - Accent6 4 3 2 8" xfId="41712" xr:uid="{00000000-0005-0000-0000-00002E990000}"/>
    <cellStyle name="40% - Accent6 4 3 2 9" xfId="47189" xr:uid="{00000000-0005-0000-0000-00002F990000}"/>
    <cellStyle name="40% - Accent6 4 3 3" xfId="4303" xr:uid="{00000000-0005-0000-0000-000030990000}"/>
    <cellStyle name="40% - Accent6 4 3 3 10" xfId="54479" xr:uid="{00000000-0005-0000-0000-000031990000}"/>
    <cellStyle name="40% - Accent6 4 3 3 2" xfId="9783" xr:uid="{00000000-0005-0000-0000-000032990000}"/>
    <cellStyle name="40% - Accent6 4 3 3 3" xfId="15259" xr:uid="{00000000-0005-0000-0000-000033990000}"/>
    <cellStyle name="40% - Accent6 4 3 3 4" xfId="20735" xr:uid="{00000000-0005-0000-0000-000034990000}"/>
    <cellStyle name="40% - Accent6 4 3 3 5" xfId="26211" xr:uid="{00000000-0005-0000-0000-000035990000}"/>
    <cellStyle name="40% - Accent6 4 3 3 6" xfId="32616" xr:uid="{00000000-0005-0000-0000-000036990000}"/>
    <cellStyle name="40% - Accent6 4 3 3 7" xfId="38007" xr:uid="{00000000-0005-0000-0000-000037990000}"/>
    <cellStyle name="40% - Accent6 4 3 3 8" xfId="43484" xr:uid="{00000000-0005-0000-0000-000038990000}"/>
    <cellStyle name="40% - Accent6 4 3 3 9" xfId="48961" xr:uid="{00000000-0005-0000-0000-000039990000}"/>
    <cellStyle name="40% - Accent6 4 3 4" xfId="6829" xr:uid="{00000000-0005-0000-0000-00003A990000}"/>
    <cellStyle name="40% - Accent6 4 3 5" xfId="12309" xr:uid="{00000000-0005-0000-0000-00003B990000}"/>
    <cellStyle name="40% - Accent6 4 3 6" xfId="17785" xr:uid="{00000000-0005-0000-0000-00003C990000}"/>
    <cellStyle name="40% - Accent6 4 3 7" xfId="23261" xr:uid="{00000000-0005-0000-0000-00003D990000}"/>
    <cellStyle name="40% - Accent6 4 3 8" xfId="32613" xr:uid="{00000000-0005-0000-0000-00003E990000}"/>
    <cellStyle name="40% - Accent6 4 3 9" xfId="35056" xr:uid="{00000000-0005-0000-0000-00003F990000}"/>
    <cellStyle name="40% - Accent6 4 4" xfId="942" xr:uid="{00000000-0005-0000-0000-000040990000}"/>
    <cellStyle name="40% - Accent6 4 4 10" xfId="40534" xr:uid="{00000000-0005-0000-0000-000041990000}"/>
    <cellStyle name="40% - Accent6 4 4 11" xfId="46011" xr:uid="{00000000-0005-0000-0000-000042990000}"/>
    <cellStyle name="40% - Accent6 4 4 12" xfId="51489" xr:uid="{00000000-0005-0000-0000-000043990000}"/>
    <cellStyle name="40% - Accent6 4 4 2" xfId="2703" xr:uid="{00000000-0005-0000-0000-000044990000}"/>
    <cellStyle name="40% - Accent6 4 4 2 10" xfId="52879" xr:uid="{00000000-0005-0000-0000-000045990000}"/>
    <cellStyle name="40% - Accent6 4 4 2 2" xfId="8183" xr:uid="{00000000-0005-0000-0000-000046990000}"/>
    <cellStyle name="40% - Accent6 4 4 2 2 2" xfId="32619" xr:uid="{00000000-0005-0000-0000-000047990000}"/>
    <cellStyle name="40% - Accent6 4 4 2 3" xfId="13659" xr:uid="{00000000-0005-0000-0000-000048990000}"/>
    <cellStyle name="40% - Accent6 4 4 2 4" xfId="19135" xr:uid="{00000000-0005-0000-0000-000049990000}"/>
    <cellStyle name="40% - Accent6 4 4 2 5" xfId="24611" xr:uid="{00000000-0005-0000-0000-00004A990000}"/>
    <cellStyle name="40% - Accent6 4 4 2 6" xfId="32618" xr:uid="{00000000-0005-0000-0000-00004B990000}"/>
    <cellStyle name="40% - Accent6 4 4 2 7" xfId="36407" xr:uid="{00000000-0005-0000-0000-00004C990000}"/>
    <cellStyle name="40% - Accent6 4 4 2 8" xfId="41884" xr:uid="{00000000-0005-0000-0000-00004D990000}"/>
    <cellStyle name="40% - Accent6 4 4 2 9" xfId="47361" xr:uid="{00000000-0005-0000-0000-00004E990000}"/>
    <cellStyle name="40% - Accent6 4 4 3" xfId="4475" xr:uid="{00000000-0005-0000-0000-00004F990000}"/>
    <cellStyle name="40% - Accent6 4 4 3 10" xfId="54651" xr:uid="{00000000-0005-0000-0000-000050990000}"/>
    <cellStyle name="40% - Accent6 4 4 3 2" xfId="9955" xr:uid="{00000000-0005-0000-0000-000051990000}"/>
    <cellStyle name="40% - Accent6 4 4 3 3" xfId="15431" xr:uid="{00000000-0005-0000-0000-000052990000}"/>
    <cellStyle name="40% - Accent6 4 4 3 4" xfId="20907" xr:uid="{00000000-0005-0000-0000-000053990000}"/>
    <cellStyle name="40% - Accent6 4 4 3 5" xfId="26383" xr:uid="{00000000-0005-0000-0000-000054990000}"/>
    <cellStyle name="40% - Accent6 4 4 3 6" xfId="32620" xr:uid="{00000000-0005-0000-0000-000055990000}"/>
    <cellStyle name="40% - Accent6 4 4 3 7" xfId="38179" xr:uid="{00000000-0005-0000-0000-000056990000}"/>
    <cellStyle name="40% - Accent6 4 4 3 8" xfId="43656" xr:uid="{00000000-0005-0000-0000-000057990000}"/>
    <cellStyle name="40% - Accent6 4 4 3 9" xfId="49133" xr:uid="{00000000-0005-0000-0000-000058990000}"/>
    <cellStyle name="40% - Accent6 4 4 4" xfId="6830" xr:uid="{00000000-0005-0000-0000-000059990000}"/>
    <cellStyle name="40% - Accent6 4 4 5" xfId="12310" xr:uid="{00000000-0005-0000-0000-00005A990000}"/>
    <cellStyle name="40% - Accent6 4 4 6" xfId="17786" xr:uid="{00000000-0005-0000-0000-00005B990000}"/>
    <cellStyle name="40% - Accent6 4 4 7" xfId="23262" xr:uid="{00000000-0005-0000-0000-00005C990000}"/>
    <cellStyle name="40% - Accent6 4 4 8" xfId="32617" xr:uid="{00000000-0005-0000-0000-00005D990000}"/>
    <cellStyle name="40% - Accent6 4 4 9" xfId="35057" xr:uid="{00000000-0005-0000-0000-00005E990000}"/>
    <cellStyle name="40% - Accent6 4 5" xfId="1148" xr:uid="{00000000-0005-0000-0000-00005F990000}"/>
    <cellStyle name="40% - Accent6 4 5 10" xfId="40535" xr:uid="{00000000-0005-0000-0000-000060990000}"/>
    <cellStyle name="40% - Accent6 4 5 11" xfId="46012" xr:uid="{00000000-0005-0000-0000-000061990000}"/>
    <cellStyle name="40% - Accent6 4 5 12" xfId="51490" xr:uid="{00000000-0005-0000-0000-000062990000}"/>
    <cellStyle name="40% - Accent6 4 5 2" xfId="2909" xr:uid="{00000000-0005-0000-0000-000063990000}"/>
    <cellStyle name="40% - Accent6 4 5 2 10" xfId="53085" xr:uid="{00000000-0005-0000-0000-000064990000}"/>
    <cellStyle name="40% - Accent6 4 5 2 2" xfId="8389" xr:uid="{00000000-0005-0000-0000-000065990000}"/>
    <cellStyle name="40% - Accent6 4 5 2 2 2" xfId="32623" xr:uid="{00000000-0005-0000-0000-000066990000}"/>
    <cellStyle name="40% - Accent6 4 5 2 3" xfId="13865" xr:uid="{00000000-0005-0000-0000-000067990000}"/>
    <cellStyle name="40% - Accent6 4 5 2 4" xfId="19341" xr:uid="{00000000-0005-0000-0000-000068990000}"/>
    <cellStyle name="40% - Accent6 4 5 2 5" xfId="24817" xr:uid="{00000000-0005-0000-0000-000069990000}"/>
    <cellStyle name="40% - Accent6 4 5 2 6" xfId="32622" xr:uid="{00000000-0005-0000-0000-00006A990000}"/>
    <cellStyle name="40% - Accent6 4 5 2 7" xfId="36613" xr:uid="{00000000-0005-0000-0000-00006B990000}"/>
    <cellStyle name="40% - Accent6 4 5 2 8" xfId="42090" xr:uid="{00000000-0005-0000-0000-00006C990000}"/>
    <cellStyle name="40% - Accent6 4 5 2 9" xfId="47567" xr:uid="{00000000-0005-0000-0000-00006D990000}"/>
    <cellStyle name="40% - Accent6 4 5 3" xfId="4681" xr:uid="{00000000-0005-0000-0000-00006E990000}"/>
    <cellStyle name="40% - Accent6 4 5 3 10" xfId="54857" xr:uid="{00000000-0005-0000-0000-00006F990000}"/>
    <cellStyle name="40% - Accent6 4 5 3 2" xfId="10161" xr:uid="{00000000-0005-0000-0000-000070990000}"/>
    <cellStyle name="40% - Accent6 4 5 3 3" xfId="15637" xr:uid="{00000000-0005-0000-0000-000071990000}"/>
    <cellStyle name="40% - Accent6 4 5 3 4" xfId="21113" xr:uid="{00000000-0005-0000-0000-000072990000}"/>
    <cellStyle name="40% - Accent6 4 5 3 5" xfId="26589" xr:uid="{00000000-0005-0000-0000-000073990000}"/>
    <cellStyle name="40% - Accent6 4 5 3 6" xfId="32624" xr:uid="{00000000-0005-0000-0000-000074990000}"/>
    <cellStyle name="40% - Accent6 4 5 3 7" xfId="38385" xr:uid="{00000000-0005-0000-0000-000075990000}"/>
    <cellStyle name="40% - Accent6 4 5 3 8" xfId="43862" xr:uid="{00000000-0005-0000-0000-000076990000}"/>
    <cellStyle name="40% - Accent6 4 5 3 9" xfId="49339" xr:uid="{00000000-0005-0000-0000-000077990000}"/>
    <cellStyle name="40% - Accent6 4 5 4" xfId="6831" xr:uid="{00000000-0005-0000-0000-000078990000}"/>
    <cellStyle name="40% - Accent6 4 5 5" xfId="12311" xr:uid="{00000000-0005-0000-0000-000079990000}"/>
    <cellStyle name="40% - Accent6 4 5 6" xfId="17787" xr:uid="{00000000-0005-0000-0000-00007A990000}"/>
    <cellStyle name="40% - Accent6 4 5 7" xfId="23263" xr:uid="{00000000-0005-0000-0000-00007B990000}"/>
    <cellStyle name="40% - Accent6 4 5 8" xfId="32621" xr:uid="{00000000-0005-0000-0000-00007C990000}"/>
    <cellStyle name="40% - Accent6 4 5 9" xfId="35058" xr:uid="{00000000-0005-0000-0000-00007D990000}"/>
    <cellStyle name="40% - Accent6 4 6" xfId="1320" xr:uid="{00000000-0005-0000-0000-00007E990000}"/>
    <cellStyle name="40% - Accent6 4 6 10" xfId="40536" xr:uid="{00000000-0005-0000-0000-00007F990000}"/>
    <cellStyle name="40% - Accent6 4 6 11" xfId="46013" xr:uid="{00000000-0005-0000-0000-000080990000}"/>
    <cellStyle name="40% - Accent6 4 6 12" xfId="51491" xr:uid="{00000000-0005-0000-0000-000081990000}"/>
    <cellStyle name="40% - Accent6 4 6 2" xfId="3081" xr:uid="{00000000-0005-0000-0000-000082990000}"/>
    <cellStyle name="40% - Accent6 4 6 2 10" xfId="53257" xr:uid="{00000000-0005-0000-0000-000083990000}"/>
    <cellStyle name="40% - Accent6 4 6 2 2" xfId="8561" xr:uid="{00000000-0005-0000-0000-000084990000}"/>
    <cellStyle name="40% - Accent6 4 6 2 2 2" xfId="32627" xr:uid="{00000000-0005-0000-0000-000085990000}"/>
    <cellStyle name="40% - Accent6 4 6 2 3" xfId="14037" xr:uid="{00000000-0005-0000-0000-000086990000}"/>
    <cellStyle name="40% - Accent6 4 6 2 4" xfId="19513" xr:uid="{00000000-0005-0000-0000-000087990000}"/>
    <cellStyle name="40% - Accent6 4 6 2 5" xfId="24989" xr:uid="{00000000-0005-0000-0000-000088990000}"/>
    <cellStyle name="40% - Accent6 4 6 2 6" xfId="32626" xr:uid="{00000000-0005-0000-0000-000089990000}"/>
    <cellStyle name="40% - Accent6 4 6 2 7" xfId="36785" xr:uid="{00000000-0005-0000-0000-00008A990000}"/>
    <cellStyle name="40% - Accent6 4 6 2 8" xfId="42262" xr:uid="{00000000-0005-0000-0000-00008B990000}"/>
    <cellStyle name="40% - Accent6 4 6 2 9" xfId="47739" xr:uid="{00000000-0005-0000-0000-00008C990000}"/>
    <cellStyle name="40% - Accent6 4 6 3" xfId="4853" xr:uid="{00000000-0005-0000-0000-00008D990000}"/>
    <cellStyle name="40% - Accent6 4 6 3 10" xfId="55029" xr:uid="{00000000-0005-0000-0000-00008E990000}"/>
    <cellStyle name="40% - Accent6 4 6 3 2" xfId="10333" xr:uid="{00000000-0005-0000-0000-00008F990000}"/>
    <cellStyle name="40% - Accent6 4 6 3 3" xfId="15809" xr:uid="{00000000-0005-0000-0000-000090990000}"/>
    <cellStyle name="40% - Accent6 4 6 3 4" xfId="21285" xr:uid="{00000000-0005-0000-0000-000091990000}"/>
    <cellStyle name="40% - Accent6 4 6 3 5" xfId="26761" xr:uid="{00000000-0005-0000-0000-000092990000}"/>
    <cellStyle name="40% - Accent6 4 6 3 6" xfId="32628" xr:uid="{00000000-0005-0000-0000-000093990000}"/>
    <cellStyle name="40% - Accent6 4 6 3 7" xfId="38557" xr:uid="{00000000-0005-0000-0000-000094990000}"/>
    <cellStyle name="40% - Accent6 4 6 3 8" xfId="44034" xr:uid="{00000000-0005-0000-0000-000095990000}"/>
    <cellStyle name="40% - Accent6 4 6 3 9" xfId="49511" xr:uid="{00000000-0005-0000-0000-000096990000}"/>
    <cellStyle name="40% - Accent6 4 6 4" xfId="6832" xr:uid="{00000000-0005-0000-0000-000097990000}"/>
    <cellStyle name="40% - Accent6 4 6 5" xfId="12312" xr:uid="{00000000-0005-0000-0000-000098990000}"/>
    <cellStyle name="40% - Accent6 4 6 6" xfId="17788" xr:uid="{00000000-0005-0000-0000-000099990000}"/>
    <cellStyle name="40% - Accent6 4 6 7" xfId="23264" xr:uid="{00000000-0005-0000-0000-00009A990000}"/>
    <cellStyle name="40% - Accent6 4 6 8" xfId="32625" xr:uid="{00000000-0005-0000-0000-00009B990000}"/>
    <cellStyle name="40% - Accent6 4 6 9" xfId="35059" xr:uid="{00000000-0005-0000-0000-00009C990000}"/>
    <cellStyle name="40% - Accent6 4 7" xfId="1492" xr:uid="{00000000-0005-0000-0000-00009D990000}"/>
    <cellStyle name="40% - Accent6 4 7 10" xfId="40537" xr:uid="{00000000-0005-0000-0000-00009E990000}"/>
    <cellStyle name="40% - Accent6 4 7 11" xfId="46014" xr:uid="{00000000-0005-0000-0000-00009F990000}"/>
    <cellStyle name="40% - Accent6 4 7 12" xfId="51492" xr:uid="{00000000-0005-0000-0000-0000A0990000}"/>
    <cellStyle name="40% - Accent6 4 7 2" xfId="3253" xr:uid="{00000000-0005-0000-0000-0000A1990000}"/>
    <cellStyle name="40% - Accent6 4 7 2 10" xfId="53429" xr:uid="{00000000-0005-0000-0000-0000A2990000}"/>
    <cellStyle name="40% - Accent6 4 7 2 2" xfId="8733" xr:uid="{00000000-0005-0000-0000-0000A3990000}"/>
    <cellStyle name="40% - Accent6 4 7 2 2 2" xfId="32631" xr:uid="{00000000-0005-0000-0000-0000A4990000}"/>
    <cellStyle name="40% - Accent6 4 7 2 3" xfId="14209" xr:uid="{00000000-0005-0000-0000-0000A5990000}"/>
    <cellStyle name="40% - Accent6 4 7 2 4" xfId="19685" xr:uid="{00000000-0005-0000-0000-0000A6990000}"/>
    <cellStyle name="40% - Accent6 4 7 2 5" xfId="25161" xr:uid="{00000000-0005-0000-0000-0000A7990000}"/>
    <cellStyle name="40% - Accent6 4 7 2 6" xfId="32630" xr:uid="{00000000-0005-0000-0000-0000A8990000}"/>
    <cellStyle name="40% - Accent6 4 7 2 7" xfId="36957" xr:uid="{00000000-0005-0000-0000-0000A9990000}"/>
    <cellStyle name="40% - Accent6 4 7 2 8" xfId="42434" xr:uid="{00000000-0005-0000-0000-0000AA990000}"/>
    <cellStyle name="40% - Accent6 4 7 2 9" xfId="47911" xr:uid="{00000000-0005-0000-0000-0000AB990000}"/>
    <cellStyle name="40% - Accent6 4 7 3" xfId="5025" xr:uid="{00000000-0005-0000-0000-0000AC990000}"/>
    <cellStyle name="40% - Accent6 4 7 3 10" xfId="55201" xr:uid="{00000000-0005-0000-0000-0000AD990000}"/>
    <cellStyle name="40% - Accent6 4 7 3 2" xfId="10505" xr:uid="{00000000-0005-0000-0000-0000AE990000}"/>
    <cellStyle name="40% - Accent6 4 7 3 3" xfId="15981" xr:uid="{00000000-0005-0000-0000-0000AF990000}"/>
    <cellStyle name="40% - Accent6 4 7 3 4" xfId="21457" xr:uid="{00000000-0005-0000-0000-0000B0990000}"/>
    <cellStyle name="40% - Accent6 4 7 3 5" xfId="26933" xr:uid="{00000000-0005-0000-0000-0000B1990000}"/>
    <cellStyle name="40% - Accent6 4 7 3 6" xfId="32632" xr:uid="{00000000-0005-0000-0000-0000B2990000}"/>
    <cellStyle name="40% - Accent6 4 7 3 7" xfId="38729" xr:uid="{00000000-0005-0000-0000-0000B3990000}"/>
    <cellStyle name="40% - Accent6 4 7 3 8" xfId="44206" xr:uid="{00000000-0005-0000-0000-0000B4990000}"/>
    <cellStyle name="40% - Accent6 4 7 3 9" xfId="49683" xr:uid="{00000000-0005-0000-0000-0000B5990000}"/>
    <cellStyle name="40% - Accent6 4 7 4" xfId="6833" xr:uid="{00000000-0005-0000-0000-0000B6990000}"/>
    <cellStyle name="40% - Accent6 4 7 5" xfId="12313" xr:uid="{00000000-0005-0000-0000-0000B7990000}"/>
    <cellStyle name="40% - Accent6 4 7 6" xfId="17789" xr:uid="{00000000-0005-0000-0000-0000B8990000}"/>
    <cellStyle name="40% - Accent6 4 7 7" xfId="23265" xr:uid="{00000000-0005-0000-0000-0000B9990000}"/>
    <cellStyle name="40% - Accent6 4 7 8" xfId="32629" xr:uid="{00000000-0005-0000-0000-0000BA990000}"/>
    <cellStyle name="40% - Accent6 4 7 9" xfId="35060" xr:uid="{00000000-0005-0000-0000-0000BB990000}"/>
    <cellStyle name="40% - Accent6 4 8" xfId="1664" xr:uid="{00000000-0005-0000-0000-0000BC990000}"/>
    <cellStyle name="40% - Accent6 4 8 10" xfId="40538" xr:uid="{00000000-0005-0000-0000-0000BD990000}"/>
    <cellStyle name="40% - Accent6 4 8 11" xfId="46015" xr:uid="{00000000-0005-0000-0000-0000BE990000}"/>
    <cellStyle name="40% - Accent6 4 8 12" xfId="51493" xr:uid="{00000000-0005-0000-0000-0000BF990000}"/>
    <cellStyle name="40% - Accent6 4 8 2" xfId="3425" xr:uid="{00000000-0005-0000-0000-0000C0990000}"/>
    <cellStyle name="40% - Accent6 4 8 2 10" xfId="53601" xr:uid="{00000000-0005-0000-0000-0000C1990000}"/>
    <cellStyle name="40% - Accent6 4 8 2 2" xfId="8905" xr:uid="{00000000-0005-0000-0000-0000C2990000}"/>
    <cellStyle name="40% - Accent6 4 8 2 3" xfId="14381" xr:uid="{00000000-0005-0000-0000-0000C3990000}"/>
    <cellStyle name="40% - Accent6 4 8 2 4" xfId="19857" xr:uid="{00000000-0005-0000-0000-0000C4990000}"/>
    <cellStyle name="40% - Accent6 4 8 2 5" xfId="25333" xr:uid="{00000000-0005-0000-0000-0000C5990000}"/>
    <cellStyle name="40% - Accent6 4 8 2 6" xfId="32634" xr:uid="{00000000-0005-0000-0000-0000C6990000}"/>
    <cellStyle name="40% - Accent6 4 8 2 7" xfId="37129" xr:uid="{00000000-0005-0000-0000-0000C7990000}"/>
    <cellStyle name="40% - Accent6 4 8 2 8" xfId="42606" xr:uid="{00000000-0005-0000-0000-0000C8990000}"/>
    <cellStyle name="40% - Accent6 4 8 2 9" xfId="48083" xr:uid="{00000000-0005-0000-0000-0000C9990000}"/>
    <cellStyle name="40% - Accent6 4 8 3" xfId="5197" xr:uid="{00000000-0005-0000-0000-0000CA990000}"/>
    <cellStyle name="40% - Accent6 4 8 3 2" xfId="10677" xr:uid="{00000000-0005-0000-0000-0000CB990000}"/>
    <cellStyle name="40% - Accent6 4 8 3 3" xfId="16153" xr:uid="{00000000-0005-0000-0000-0000CC990000}"/>
    <cellStyle name="40% - Accent6 4 8 3 4" xfId="21629" xr:uid="{00000000-0005-0000-0000-0000CD990000}"/>
    <cellStyle name="40% - Accent6 4 8 3 5" xfId="27105" xr:uid="{00000000-0005-0000-0000-0000CE990000}"/>
    <cellStyle name="40% - Accent6 4 8 3 6" xfId="38901" xr:uid="{00000000-0005-0000-0000-0000CF990000}"/>
    <cellStyle name="40% - Accent6 4 8 3 7" xfId="44378" xr:uid="{00000000-0005-0000-0000-0000D0990000}"/>
    <cellStyle name="40% - Accent6 4 8 3 8" xfId="49855" xr:uid="{00000000-0005-0000-0000-0000D1990000}"/>
    <cellStyle name="40% - Accent6 4 8 3 9" xfId="55373" xr:uid="{00000000-0005-0000-0000-0000D2990000}"/>
    <cellStyle name="40% - Accent6 4 8 4" xfId="6834" xr:uid="{00000000-0005-0000-0000-0000D3990000}"/>
    <cellStyle name="40% - Accent6 4 8 5" xfId="12314" xr:uid="{00000000-0005-0000-0000-0000D4990000}"/>
    <cellStyle name="40% - Accent6 4 8 6" xfId="17790" xr:uid="{00000000-0005-0000-0000-0000D5990000}"/>
    <cellStyle name="40% - Accent6 4 8 7" xfId="23266" xr:uid="{00000000-0005-0000-0000-0000D6990000}"/>
    <cellStyle name="40% - Accent6 4 8 8" xfId="32633" xr:uid="{00000000-0005-0000-0000-0000D7990000}"/>
    <cellStyle name="40% - Accent6 4 8 9" xfId="35061" xr:uid="{00000000-0005-0000-0000-0000D8990000}"/>
    <cellStyle name="40% - Accent6 4 9" xfId="1858" xr:uid="{00000000-0005-0000-0000-0000D9990000}"/>
    <cellStyle name="40% - Accent6 4 9 10" xfId="40539" xr:uid="{00000000-0005-0000-0000-0000DA990000}"/>
    <cellStyle name="40% - Accent6 4 9 11" xfId="46016" xr:uid="{00000000-0005-0000-0000-0000DB990000}"/>
    <cellStyle name="40% - Accent6 4 9 12" xfId="51494" xr:uid="{00000000-0005-0000-0000-0000DC990000}"/>
    <cellStyle name="40% - Accent6 4 9 2" xfId="3619" xr:uid="{00000000-0005-0000-0000-0000DD990000}"/>
    <cellStyle name="40% - Accent6 4 9 2 2" xfId="9099" xr:uid="{00000000-0005-0000-0000-0000DE990000}"/>
    <cellStyle name="40% - Accent6 4 9 2 3" xfId="14575" xr:uid="{00000000-0005-0000-0000-0000DF990000}"/>
    <cellStyle name="40% - Accent6 4 9 2 4" xfId="20051" xr:uid="{00000000-0005-0000-0000-0000E0990000}"/>
    <cellStyle name="40% - Accent6 4 9 2 5" xfId="25527" xr:uid="{00000000-0005-0000-0000-0000E1990000}"/>
    <cellStyle name="40% - Accent6 4 9 2 6" xfId="37323" xr:uid="{00000000-0005-0000-0000-0000E2990000}"/>
    <cellStyle name="40% - Accent6 4 9 2 7" xfId="42800" xr:uid="{00000000-0005-0000-0000-0000E3990000}"/>
    <cellStyle name="40% - Accent6 4 9 2 8" xfId="48277" xr:uid="{00000000-0005-0000-0000-0000E4990000}"/>
    <cellStyle name="40% - Accent6 4 9 2 9" xfId="53795" xr:uid="{00000000-0005-0000-0000-0000E5990000}"/>
    <cellStyle name="40% - Accent6 4 9 3" xfId="5391" xr:uid="{00000000-0005-0000-0000-0000E6990000}"/>
    <cellStyle name="40% - Accent6 4 9 3 2" xfId="10871" xr:uid="{00000000-0005-0000-0000-0000E7990000}"/>
    <cellStyle name="40% - Accent6 4 9 3 3" xfId="16347" xr:uid="{00000000-0005-0000-0000-0000E8990000}"/>
    <cellStyle name="40% - Accent6 4 9 3 4" xfId="21823" xr:uid="{00000000-0005-0000-0000-0000E9990000}"/>
    <cellStyle name="40% - Accent6 4 9 3 5" xfId="27299" xr:uid="{00000000-0005-0000-0000-0000EA990000}"/>
    <cellStyle name="40% - Accent6 4 9 3 6" xfId="39095" xr:uid="{00000000-0005-0000-0000-0000EB990000}"/>
    <cellStyle name="40% - Accent6 4 9 3 7" xfId="44572" xr:uid="{00000000-0005-0000-0000-0000EC990000}"/>
    <cellStyle name="40% - Accent6 4 9 3 8" xfId="50049" xr:uid="{00000000-0005-0000-0000-0000ED990000}"/>
    <cellStyle name="40% - Accent6 4 9 3 9" xfId="55567" xr:uid="{00000000-0005-0000-0000-0000EE990000}"/>
    <cellStyle name="40% - Accent6 4 9 4" xfId="6835" xr:uid="{00000000-0005-0000-0000-0000EF990000}"/>
    <cellStyle name="40% - Accent6 4 9 5" xfId="12315" xr:uid="{00000000-0005-0000-0000-0000F0990000}"/>
    <cellStyle name="40% - Accent6 4 9 6" xfId="17791" xr:uid="{00000000-0005-0000-0000-0000F1990000}"/>
    <cellStyle name="40% - Accent6 4 9 7" xfId="23267" xr:uid="{00000000-0005-0000-0000-0000F2990000}"/>
    <cellStyle name="40% - Accent6 4 9 8" xfId="32635" xr:uid="{00000000-0005-0000-0000-0000F3990000}"/>
    <cellStyle name="40% - Accent6 4 9 9" xfId="35062" xr:uid="{00000000-0005-0000-0000-0000F4990000}"/>
    <cellStyle name="40% - Accent6 5" xfId="3681" xr:uid="{00000000-0005-0000-0000-0000F5990000}"/>
    <cellStyle name="40% - Accent6 5 10" xfId="32636" xr:uid="{00000000-0005-0000-0000-0000F6990000}"/>
    <cellStyle name="40% - Accent6 5 11" xfId="37385" xr:uid="{00000000-0005-0000-0000-0000F7990000}"/>
    <cellStyle name="40% - Accent6 5 12" xfId="42862" xr:uid="{00000000-0005-0000-0000-0000F8990000}"/>
    <cellStyle name="40% - Accent6 5 13" xfId="48339" xr:uid="{00000000-0005-0000-0000-0000F9990000}"/>
    <cellStyle name="40% - Accent6 5 14" xfId="52043" xr:uid="{00000000-0005-0000-0000-0000FA990000}"/>
    <cellStyle name="40% - Accent6 5 2" xfId="9161" xr:uid="{00000000-0005-0000-0000-0000FB990000}"/>
    <cellStyle name="40% - Accent6 5 2 2" xfId="32638" xr:uid="{00000000-0005-0000-0000-0000FC990000}"/>
    <cellStyle name="40% - Accent6 5 2 2 2" xfId="32639" xr:uid="{00000000-0005-0000-0000-0000FD990000}"/>
    <cellStyle name="40% - Accent6 5 2 3" xfId="32640" xr:uid="{00000000-0005-0000-0000-0000FE990000}"/>
    <cellStyle name="40% - Accent6 5 2 4" xfId="32637" xr:uid="{00000000-0005-0000-0000-0000FF990000}"/>
    <cellStyle name="40% - Accent6 5 2 5" xfId="53857" xr:uid="{00000000-0005-0000-0000-0000009A0000}"/>
    <cellStyle name="40% - Accent6 5 3" xfId="14637" xr:uid="{00000000-0005-0000-0000-0000019A0000}"/>
    <cellStyle name="40% - Accent6 5 3 2" xfId="32642" xr:uid="{00000000-0005-0000-0000-0000029A0000}"/>
    <cellStyle name="40% - Accent6 5 3 2 2" xfId="32643" xr:uid="{00000000-0005-0000-0000-0000039A0000}"/>
    <cellStyle name="40% - Accent6 5 3 3" xfId="32644" xr:uid="{00000000-0005-0000-0000-0000049A0000}"/>
    <cellStyle name="40% - Accent6 5 3 4" xfId="32641" xr:uid="{00000000-0005-0000-0000-0000059A0000}"/>
    <cellStyle name="40% - Accent6 5 4" xfId="20113" xr:uid="{00000000-0005-0000-0000-0000069A0000}"/>
    <cellStyle name="40% - Accent6 5 4 2" xfId="32646" xr:uid="{00000000-0005-0000-0000-0000079A0000}"/>
    <cellStyle name="40% - Accent6 5 4 2 2" xfId="32647" xr:uid="{00000000-0005-0000-0000-0000089A0000}"/>
    <cellStyle name="40% - Accent6 5 4 3" xfId="32648" xr:uid="{00000000-0005-0000-0000-0000099A0000}"/>
    <cellStyle name="40% - Accent6 5 4 4" xfId="32645" xr:uid="{00000000-0005-0000-0000-00000A9A0000}"/>
    <cellStyle name="40% - Accent6 5 5" xfId="25589" xr:uid="{00000000-0005-0000-0000-00000B9A0000}"/>
    <cellStyle name="40% - Accent6 5 5 2" xfId="32650" xr:uid="{00000000-0005-0000-0000-00000C9A0000}"/>
    <cellStyle name="40% - Accent6 5 5 2 2" xfId="32651" xr:uid="{00000000-0005-0000-0000-00000D9A0000}"/>
    <cellStyle name="40% - Accent6 5 5 3" xfId="32652" xr:uid="{00000000-0005-0000-0000-00000E9A0000}"/>
    <cellStyle name="40% - Accent6 5 5 4" xfId="32649" xr:uid="{00000000-0005-0000-0000-00000F9A0000}"/>
    <cellStyle name="40% - Accent6 5 6" xfId="32653" xr:uid="{00000000-0005-0000-0000-0000109A0000}"/>
    <cellStyle name="40% - Accent6 5 6 2" xfId="32654" xr:uid="{00000000-0005-0000-0000-0000119A0000}"/>
    <cellStyle name="40% - Accent6 5 6 2 2" xfId="32655" xr:uid="{00000000-0005-0000-0000-0000129A0000}"/>
    <cellStyle name="40% - Accent6 5 6 3" xfId="32656" xr:uid="{00000000-0005-0000-0000-0000139A0000}"/>
    <cellStyle name="40% - Accent6 5 7" xfId="32657" xr:uid="{00000000-0005-0000-0000-0000149A0000}"/>
    <cellStyle name="40% - Accent6 5 7 2" xfId="32658" xr:uid="{00000000-0005-0000-0000-0000159A0000}"/>
    <cellStyle name="40% - Accent6 5 7 2 2" xfId="32659" xr:uid="{00000000-0005-0000-0000-0000169A0000}"/>
    <cellStyle name="40% - Accent6 5 7 3" xfId="32660" xr:uid="{00000000-0005-0000-0000-0000179A0000}"/>
    <cellStyle name="40% - Accent6 5 8" xfId="32661" xr:uid="{00000000-0005-0000-0000-0000189A0000}"/>
    <cellStyle name="40% - Accent6 5 8 2" xfId="32662" xr:uid="{00000000-0005-0000-0000-0000199A0000}"/>
    <cellStyle name="40% - Accent6 5 9" xfId="32663" xr:uid="{00000000-0005-0000-0000-00001A9A0000}"/>
    <cellStyle name="40% - Accent6 6" xfId="7386" xr:uid="{00000000-0005-0000-0000-00001B9A0000}"/>
    <cellStyle name="40% - Accent6 6 10" xfId="32664" xr:uid="{00000000-0005-0000-0000-00001C9A0000}"/>
    <cellStyle name="40% - Accent6 6 2" xfId="32665" xr:uid="{00000000-0005-0000-0000-00001D9A0000}"/>
    <cellStyle name="40% - Accent6 6 2 2" xfId="32666" xr:uid="{00000000-0005-0000-0000-00001E9A0000}"/>
    <cellStyle name="40% - Accent6 6 2 2 2" xfId="32667" xr:uid="{00000000-0005-0000-0000-00001F9A0000}"/>
    <cellStyle name="40% - Accent6 6 2 3" xfId="32668" xr:uid="{00000000-0005-0000-0000-0000209A0000}"/>
    <cellStyle name="40% - Accent6 6 3" xfId="32669" xr:uid="{00000000-0005-0000-0000-0000219A0000}"/>
    <cellStyle name="40% - Accent6 6 3 2" xfId="32670" xr:uid="{00000000-0005-0000-0000-0000229A0000}"/>
    <cellStyle name="40% - Accent6 6 3 2 2" xfId="32671" xr:uid="{00000000-0005-0000-0000-0000239A0000}"/>
    <cellStyle name="40% - Accent6 6 3 3" xfId="32672" xr:uid="{00000000-0005-0000-0000-0000249A0000}"/>
    <cellStyle name="40% - Accent6 6 4" xfId="32673" xr:uid="{00000000-0005-0000-0000-0000259A0000}"/>
    <cellStyle name="40% - Accent6 6 4 2" xfId="32674" xr:uid="{00000000-0005-0000-0000-0000269A0000}"/>
    <cellStyle name="40% - Accent6 6 4 2 2" xfId="32675" xr:uid="{00000000-0005-0000-0000-0000279A0000}"/>
    <cellStyle name="40% - Accent6 6 4 3" xfId="32676" xr:uid="{00000000-0005-0000-0000-0000289A0000}"/>
    <cellStyle name="40% - Accent6 6 5" xfId="32677" xr:uid="{00000000-0005-0000-0000-0000299A0000}"/>
    <cellStyle name="40% - Accent6 6 5 2" xfId="32678" xr:uid="{00000000-0005-0000-0000-00002A9A0000}"/>
    <cellStyle name="40% - Accent6 6 5 2 2" xfId="32679" xr:uid="{00000000-0005-0000-0000-00002B9A0000}"/>
    <cellStyle name="40% - Accent6 6 5 3" xfId="32680" xr:uid="{00000000-0005-0000-0000-00002C9A0000}"/>
    <cellStyle name="40% - Accent6 6 6" xfId="32681" xr:uid="{00000000-0005-0000-0000-00002D9A0000}"/>
    <cellStyle name="40% - Accent6 6 6 2" xfId="32682" xr:uid="{00000000-0005-0000-0000-00002E9A0000}"/>
    <cellStyle name="40% - Accent6 6 6 2 2" xfId="32683" xr:uid="{00000000-0005-0000-0000-00002F9A0000}"/>
    <cellStyle name="40% - Accent6 6 6 3" xfId="32684" xr:uid="{00000000-0005-0000-0000-0000309A0000}"/>
    <cellStyle name="40% - Accent6 6 7" xfId="32685" xr:uid="{00000000-0005-0000-0000-0000319A0000}"/>
    <cellStyle name="40% - Accent6 6 7 2" xfId="32686" xr:uid="{00000000-0005-0000-0000-0000329A0000}"/>
    <cellStyle name="40% - Accent6 6 7 2 2" xfId="32687" xr:uid="{00000000-0005-0000-0000-0000339A0000}"/>
    <cellStyle name="40% - Accent6 6 7 3" xfId="32688" xr:uid="{00000000-0005-0000-0000-0000349A0000}"/>
    <cellStyle name="40% - Accent6 6 8" xfId="32689" xr:uid="{00000000-0005-0000-0000-0000359A0000}"/>
    <cellStyle name="40% - Accent6 6 8 2" xfId="32690" xr:uid="{00000000-0005-0000-0000-0000369A0000}"/>
    <cellStyle name="40% - Accent6 6 9" xfId="32691" xr:uid="{00000000-0005-0000-0000-0000379A0000}"/>
    <cellStyle name="40% - Accent6 7" xfId="12863" xr:uid="{00000000-0005-0000-0000-0000389A0000}"/>
    <cellStyle name="40% - Accent6 7 10" xfId="32692" xr:uid="{00000000-0005-0000-0000-0000399A0000}"/>
    <cellStyle name="40% - Accent6 7 2" xfId="32693" xr:uid="{00000000-0005-0000-0000-00003A9A0000}"/>
    <cellStyle name="40% - Accent6 7 2 2" xfId="32694" xr:uid="{00000000-0005-0000-0000-00003B9A0000}"/>
    <cellStyle name="40% - Accent6 7 2 2 2" xfId="32695" xr:uid="{00000000-0005-0000-0000-00003C9A0000}"/>
    <cellStyle name="40% - Accent6 7 2 3" xfId="32696" xr:uid="{00000000-0005-0000-0000-00003D9A0000}"/>
    <cellStyle name="40% - Accent6 7 3" xfId="32697" xr:uid="{00000000-0005-0000-0000-00003E9A0000}"/>
    <cellStyle name="40% - Accent6 7 3 2" xfId="32698" xr:uid="{00000000-0005-0000-0000-00003F9A0000}"/>
    <cellStyle name="40% - Accent6 7 3 2 2" xfId="32699" xr:uid="{00000000-0005-0000-0000-0000409A0000}"/>
    <cellStyle name="40% - Accent6 7 3 3" xfId="32700" xr:uid="{00000000-0005-0000-0000-0000419A0000}"/>
    <cellStyle name="40% - Accent6 7 4" xfId="32701" xr:uid="{00000000-0005-0000-0000-0000429A0000}"/>
    <cellStyle name="40% - Accent6 7 4 2" xfId="32702" xr:uid="{00000000-0005-0000-0000-0000439A0000}"/>
    <cellStyle name="40% - Accent6 7 4 2 2" xfId="32703" xr:uid="{00000000-0005-0000-0000-0000449A0000}"/>
    <cellStyle name="40% - Accent6 7 4 3" xfId="32704" xr:uid="{00000000-0005-0000-0000-0000459A0000}"/>
    <cellStyle name="40% - Accent6 7 5" xfId="32705" xr:uid="{00000000-0005-0000-0000-0000469A0000}"/>
    <cellStyle name="40% - Accent6 7 5 2" xfId="32706" xr:uid="{00000000-0005-0000-0000-0000479A0000}"/>
    <cellStyle name="40% - Accent6 7 5 2 2" xfId="32707" xr:uid="{00000000-0005-0000-0000-0000489A0000}"/>
    <cellStyle name="40% - Accent6 7 5 3" xfId="32708" xr:uid="{00000000-0005-0000-0000-0000499A0000}"/>
    <cellStyle name="40% - Accent6 7 6" xfId="32709" xr:uid="{00000000-0005-0000-0000-00004A9A0000}"/>
    <cellStyle name="40% - Accent6 7 6 2" xfId="32710" xr:uid="{00000000-0005-0000-0000-00004B9A0000}"/>
    <cellStyle name="40% - Accent6 7 6 2 2" xfId="32711" xr:uid="{00000000-0005-0000-0000-00004C9A0000}"/>
    <cellStyle name="40% - Accent6 7 6 3" xfId="32712" xr:uid="{00000000-0005-0000-0000-00004D9A0000}"/>
    <cellStyle name="40% - Accent6 7 7" xfId="32713" xr:uid="{00000000-0005-0000-0000-00004E9A0000}"/>
    <cellStyle name="40% - Accent6 7 7 2" xfId="32714" xr:uid="{00000000-0005-0000-0000-00004F9A0000}"/>
    <cellStyle name="40% - Accent6 7 7 2 2" xfId="32715" xr:uid="{00000000-0005-0000-0000-0000509A0000}"/>
    <cellStyle name="40% - Accent6 7 7 3" xfId="32716" xr:uid="{00000000-0005-0000-0000-0000519A0000}"/>
    <cellStyle name="40% - Accent6 7 8" xfId="32717" xr:uid="{00000000-0005-0000-0000-0000529A0000}"/>
    <cellStyle name="40% - Accent6 7 8 2" xfId="32718" xr:uid="{00000000-0005-0000-0000-0000539A0000}"/>
    <cellStyle name="40% - Accent6 7 9" xfId="32719" xr:uid="{00000000-0005-0000-0000-0000549A0000}"/>
    <cellStyle name="40% - Accent6 8" xfId="18339" xr:uid="{00000000-0005-0000-0000-0000559A0000}"/>
    <cellStyle name="40% - Accent6 8 2" xfId="32721" xr:uid="{00000000-0005-0000-0000-0000569A0000}"/>
    <cellStyle name="40% - Accent6 8 2 2" xfId="32722" xr:uid="{00000000-0005-0000-0000-0000579A0000}"/>
    <cellStyle name="40% - Accent6 8 3" xfId="32723" xr:uid="{00000000-0005-0000-0000-0000589A0000}"/>
    <cellStyle name="40% - Accent6 8 4" xfId="32720" xr:uid="{00000000-0005-0000-0000-0000599A0000}"/>
    <cellStyle name="40% - Accent6 9" xfId="23815" xr:uid="{00000000-0005-0000-0000-00005A9A0000}"/>
    <cellStyle name="40% - Accent6 9 10" xfId="32724" xr:uid="{00000000-0005-0000-0000-00005B9A0000}"/>
    <cellStyle name="40% - Accent6 9 2" xfId="32725" xr:uid="{00000000-0005-0000-0000-00005C9A0000}"/>
    <cellStyle name="40% - Accent6 9 2 2" xfId="32726" xr:uid="{00000000-0005-0000-0000-00005D9A0000}"/>
    <cellStyle name="40% - Accent6 9 2 2 2" xfId="32727" xr:uid="{00000000-0005-0000-0000-00005E9A0000}"/>
    <cellStyle name="40% - Accent6 9 2 3" xfId="32728" xr:uid="{00000000-0005-0000-0000-00005F9A0000}"/>
    <cellStyle name="40% - Accent6 9 3" xfId="32729" xr:uid="{00000000-0005-0000-0000-0000609A0000}"/>
    <cellStyle name="40% - Accent6 9 3 2" xfId="32730" xr:uid="{00000000-0005-0000-0000-0000619A0000}"/>
    <cellStyle name="40% - Accent6 9 3 2 2" xfId="32731" xr:uid="{00000000-0005-0000-0000-0000629A0000}"/>
    <cellStyle name="40% - Accent6 9 3 3" xfId="32732" xr:uid="{00000000-0005-0000-0000-0000639A0000}"/>
    <cellStyle name="40% - Accent6 9 4" xfId="32733" xr:uid="{00000000-0005-0000-0000-0000649A0000}"/>
    <cellStyle name="40% - Accent6 9 4 2" xfId="32734" xr:uid="{00000000-0005-0000-0000-0000659A0000}"/>
    <cellStyle name="40% - Accent6 9 4 2 2" xfId="32735" xr:uid="{00000000-0005-0000-0000-0000669A0000}"/>
    <cellStyle name="40% - Accent6 9 4 3" xfId="32736" xr:uid="{00000000-0005-0000-0000-0000679A0000}"/>
    <cellStyle name="40% - Accent6 9 5" xfId="32737" xr:uid="{00000000-0005-0000-0000-0000689A0000}"/>
    <cellStyle name="40% - Accent6 9 5 2" xfId="32738" xr:uid="{00000000-0005-0000-0000-0000699A0000}"/>
    <cellStyle name="40% - Accent6 9 5 2 2" xfId="32739" xr:uid="{00000000-0005-0000-0000-00006A9A0000}"/>
    <cellStyle name="40% - Accent6 9 5 3" xfId="32740" xr:uid="{00000000-0005-0000-0000-00006B9A0000}"/>
    <cellStyle name="40% - Accent6 9 6" xfId="32741" xr:uid="{00000000-0005-0000-0000-00006C9A0000}"/>
    <cellStyle name="40% - Accent6 9 6 2" xfId="32742" xr:uid="{00000000-0005-0000-0000-00006D9A0000}"/>
    <cellStyle name="40% - Accent6 9 6 2 2" xfId="32743" xr:uid="{00000000-0005-0000-0000-00006E9A0000}"/>
    <cellStyle name="40% - Accent6 9 6 3" xfId="32744" xr:uid="{00000000-0005-0000-0000-00006F9A0000}"/>
    <cellStyle name="40% - Accent6 9 7" xfId="32745" xr:uid="{00000000-0005-0000-0000-0000709A0000}"/>
    <cellStyle name="40% - Accent6 9 7 2" xfId="32746" xr:uid="{00000000-0005-0000-0000-0000719A0000}"/>
    <cellStyle name="40% - Accent6 9 7 2 2" xfId="32747" xr:uid="{00000000-0005-0000-0000-0000729A0000}"/>
    <cellStyle name="40% - Accent6 9 7 3" xfId="32748" xr:uid="{00000000-0005-0000-0000-0000739A0000}"/>
    <cellStyle name="40% - Accent6 9 8" xfId="32749" xr:uid="{00000000-0005-0000-0000-0000749A0000}"/>
    <cellStyle name="40% - Accent6 9 8 2" xfId="32750" xr:uid="{00000000-0005-0000-0000-0000759A0000}"/>
    <cellStyle name="40% - Accent6 9 9" xfId="32751" xr:uid="{00000000-0005-0000-0000-0000769A0000}"/>
    <cellStyle name="60% - Accent1" xfId="59" builtinId="32" customBuiltin="1"/>
    <cellStyle name="60% - Accent1 2" xfId="95" xr:uid="{00000000-0005-0000-0000-0000789A0000}"/>
    <cellStyle name="60% - Accent1 3" xfId="398" xr:uid="{00000000-0005-0000-0000-0000799A0000}"/>
    <cellStyle name="60% - Accent1 3 2" xfId="32752" xr:uid="{00000000-0005-0000-0000-00007A9A0000}"/>
    <cellStyle name="60% - Accent1 4" xfId="32753" xr:uid="{00000000-0005-0000-0000-00007B9A0000}"/>
    <cellStyle name="60% - Accent1 4 2" xfId="52044" xr:uid="{00000000-0005-0000-0000-00007C9A0000}"/>
    <cellStyle name="60% - Accent2" xfId="63" builtinId="36" customBuiltin="1"/>
    <cellStyle name="60% - Accent2 2" xfId="96" xr:uid="{00000000-0005-0000-0000-00007E9A0000}"/>
    <cellStyle name="60% - Accent2 3" xfId="399" xr:uid="{00000000-0005-0000-0000-00007F9A0000}"/>
    <cellStyle name="60% - Accent2 3 2" xfId="32754" xr:uid="{00000000-0005-0000-0000-0000809A0000}"/>
    <cellStyle name="60% - Accent2 4" xfId="32755" xr:uid="{00000000-0005-0000-0000-0000819A0000}"/>
    <cellStyle name="60% - Accent2 4 2" xfId="52045" xr:uid="{00000000-0005-0000-0000-0000829A0000}"/>
    <cellStyle name="60% - Accent3" xfId="67" builtinId="40" customBuiltin="1"/>
    <cellStyle name="60% - Accent3 2" xfId="97" xr:uid="{00000000-0005-0000-0000-0000849A0000}"/>
    <cellStyle name="60% - Accent3 3" xfId="400" xr:uid="{00000000-0005-0000-0000-0000859A0000}"/>
    <cellStyle name="60% - Accent3 3 2" xfId="32756" xr:uid="{00000000-0005-0000-0000-0000869A0000}"/>
    <cellStyle name="60% - Accent3 4" xfId="32757" xr:uid="{00000000-0005-0000-0000-0000879A0000}"/>
    <cellStyle name="60% - Accent3 4 2" xfId="52046" xr:uid="{00000000-0005-0000-0000-0000889A0000}"/>
    <cellStyle name="60% - Accent4" xfId="71" builtinId="44" customBuiltin="1"/>
    <cellStyle name="60% - Accent4 2" xfId="98" xr:uid="{00000000-0005-0000-0000-00008A9A0000}"/>
    <cellStyle name="60% - Accent4 3" xfId="401" xr:uid="{00000000-0005-0000-0000-00008B9A0000}"/>
    <cellStyle name="60% - Accent4 3 2" xfId="32758" xr:uid="{00000000-0005-0000-0000-00008C9A0000}"/>
    <cellStyle name="60% - Accent4 4" xfId="32759" xr:uid="{00000000-0005-0000-0000-00008D9A0000}"/>
    <cellStyle name="60% - Accent4 4 2" xfId="52047" xr:uid="{00000000-0005-0000-0000-00008E9A0000}"/>
    <cellStyle name="60% - Accent5" xfId="75" builtinId="48" customBuiltin="1"/>
    <cellStyle name="60% - Accent5 2" xfId="99" xr:uid="{00000000-0005-0000-0000-0000909A0000}"/>
    <cellStyle name="60% - Accent5 3" xfId="402" xr:uid="{00000000-0005-0000-0000-0000919A0000}"/>
    <cellStyle name="60% - Accent5 3 2" xfId="32760" xr:uid="{00000000-0005-0000-0000-0000929A0000}"/>
    <cellStyle name="60% - Accent5 4" xfId="32761" xr:uid="{00000000-0005-0000-0000-0000939A0000}"/>
    <cellStyle name="60% - Accent5 4 2" xfId="52048" xr:uid="{00000000-0005-0000-0000-0000949A0000}"/>
    <cellStyle name="60% - Accent6" xfId="79" builtinId="52" customBuiltin="1"/>
    <cellStyle name="60% - Accent6 2" xfId="100" xr:uid="{00000000-0005-0000-0000-0000969A0000}"/>
    <cellStyle name="60% - Accent6 3" xfId="403" xr:uid="{00000000-0005-0000-0000-0000979A0000}"/>
    <cellStyle name="60% - Accent6 3 2" xfId="32762" xr:uid="{00000000-0005-0000-0000-0000989A0000}"/>
    <cellStyle name="60% - Accent6 4" xfId="32763" xr:uid="{00000000-0005-0000-0000-0000999A0000}"/>
    <cellStyle name="60% - Accent6 4 2" xfId="52049" xr:uid="{00000000-0005-0000-0000-00009A9A0000}"/>
    <cellStyle name="Accent1" xfId="56" builtinId="29" customBuiltin="1"/>
    <cellStyle name="Accent1 2" xfId="101" xr:uid="{00000000-0005-0000-0000-00009C9A0000}"/>
    <cellStyle name="Accent1 3" xfId="404" xr:uid="{00000000-0005-0000-0000-00009D9A0000}"/>
    <cellStyle name="Accent1 3 2" xfId="32764" xr:uid="{00000000-0005-0000-0000-00009E9A0000}"/>
    <cellStyle name="Accent1 4" xfId="32765" xr:uid="{00000000-0005-0000-0000-00009F9A0000}"/>
    <cellStyle name="Accent1 4 2" xfId="52050" xr:uid="{00000000-0005-0000-0000-0000A09A0000}"/>
    <cellStyle name="Accent2" xfId="60" builtinId="33" customBuiltin="1"/>
    <cellStyle name="Accent2 2" xfId="102" xr:uid="{00000000-0005-0000-0000-0000A29A0000}"/>
    <cellStyle name="Accent2 3" xfId="405" xr:uid="{00000000-0005-0000-0000-0000A39A0000}"/>
    <cellStyle name="Accent2 3 2" xfId="32766" xr:uid="{00000000-0005-0000-0000-0000A49A0000}"/>
    <cellStyle name="Accent2 4" xfId="32767" xr:uid="{00000000-0005-0000-0000-0000A59A0000}"/>
    <cellStyle name="Accent2 4 2" xfId="52051" xr:uid="{00000000-0005-0000-0000-0000A69A0000}"/>
    <cellStyle name="Accent3" xfId="64" builtinId="37" customBuiltin="1"/>
    <cellStyle name="Accent3 2" xfId="103" xr:uid="{00000000-0005-0000-0000-0000A89A0000}"/>
    <cellStyle name="Accent3 3" xfId="406" xr:uid="{00000000-0005-0000-0000-0000A99A0000}"/>
    <cellStyle name="Accent3 3 2" xfId="32768" xr:uid="{00000000-0005-0000-0000-0000AA9A0000}"/>
    <cellStyle name="Accent3 4" xfId="32769" xr:uid="{00000000-0005-0000-0000-0000AB9A0000}"/>
    <cellStyle name="Accent3 4 2" xfId="52052" xr:uid="{00000000-0005-0000-0000-0000AC9A0000}"/>
    <cellStyle name="Accent4" xfId="68" builtinId="41" customBuiltin="1"/>
    <cellStyle name="Accent4 2" xfId="104" xr:uid="{00000000-0005-0000-0000-0000AE9A0000}"/>
    <cellStyle name="Accent4 3" xfId="407" xr:uid="{00000000-0005-0000-0000-0000AF9A0000}"/>
    <cellStyle name="Accent4 3 2" xfId="32770" xr:uid="{00000000-0005-0000-0000-0000B09A0000}"/>
    <cellStyle name="Accent4 4" xfId="32771" xr:uid="{00000000-0005-0000-0000-0000B19A0000}"/>
    <cellStyle name="Accent4 4 2" xfId="52053" xr:uid="{00000000-0005-0000-0000-0000B29A0000}"/>
    <cellStyle name="Accent5" xfId="72" builtinId="45" customBuiltin="1"/>
    <cellStyle name="Accent5 2" xfId="105" xr:uid="{00000000-0005-0000-0000-0000B49A0000}"/>
    <cellStyle name="Accent5 3" xfId="408" xr:uid="{00000000-0005-0000-0000-0000B59A0000}"/>
    <cellStyle name="Accent5 3 2" xfId="32772" xr:uid="{00000000-0005-0000-0000-0000B69A0000}"/>
    <cellStyle name="Accent5 4" xfId="32773" xr:uid="{00000000-0005-0000-0000-0000B79A0000}"/>
    <cellStyle name="Accent5 4 2" xfId="52054" xr:uid="{00000000-0005-0000-0000-0000B89A0000}"/>
    <cellStyle name="Accent6" xfId="76" builtinId="49" customBuiltin="1"/>
    <cellStyle name="Accent6 2" xfId="106" xr:uid="{00000000-0005-0000-0000-0000BA9A0000}"/>
    <cellStyle name="Accent6 3" xfId="409" xr:uid="{00000000-0005-0000-0000-0000BB9A0000}"/>
    <cellStyle name="Accent6 3 2" xfId="32774" xr:uid="{00000000-0005-0000-0000-0000BC9A0000}"/>
    <cellStyle name="Accent6 4" xfId="32775" xr:uid="{00000000-0005-0000-0000-0000BD9A0000}"/>
    <cellStyle name="Accent6 4 2" xfId="52055" xr:uid="{00000000-0005-0000-0000-0000BE9A0000}"/>
    <cellStyle name="Bad" xfId="46" builtinId="27" customBuiltin="1"/>
    <cellStyle name="Bad 2" xfId="107" xr:uid="{00000000-0005-0000-0000-0000C09A0000}"/>
    <cellStyle name="Bad 3" xfId="410" xr:uid="{00000000-0005-0000-0000-0000C19A0000}"/>
    <cellStyle name="Bad 3 2" xfId="32776" xr:uid="{00000000-0005-0000-0000-0000C29A0000}"/>
    <cellStyle name="Bad 4" xfId="32777" xr:uid="{00000000-0005-0000-0000-0000C39A0000}"/>
    <cellStyle name="Bad 4 2" xfId="52056" xr:uid="{00000000-0005-0000-0000-0000C49A0000}"/>
    <cellStyle name="blp_column_header" xfId="51495" xr:uid="{00000000-0005-0000-0000-0000C59A0000}"/>
    <cellStyle name="Calculation" xfId="50" builtinId="22" customBuiltin="1"/>
    <cellStyle name="Calculation 2" xfId="108" xr:uid="{00000000-0005-0000-0000-0000C79A0000}"/>
    <cellStyle name="Calculation 3" xfId="411" xr:uid="{00000000-0005-0000-0000-0000C89A0000}"/>
    <cellStyle name="Calculation 3 2" xfId="32778" xr:uid="{00000000-0005-0000-0000-0000C99A0000}"/>
    <cellStyle name="Calculation 4" xfId="32779" xr:uid="{00000000-0005-0000-0000-0000CA9A0000}"/>
    <cellStyle name="Calculation 4 2" xfId="52057" xr:uid="{00000000-0005-0000-0000-0000CB9A0000}"/>
    <cellStyle name="Check Cell" xfId="52" builtinId="23" customBuiltin="1"/>
    <cellStyle name="Check Cell 2" xfId="109" xr:uid="{00000000-0005-0000-0000-0000CD9A0000}"/>
    <cellStyle name="Check Cell 3" xfId="412" xr:uid="{00000000-0005-0000-0000-0000CE9A0000}"/>
    <cellStyle name="Check Cell 3 2" xfId="32780" xr:uid="{00000000-0005-0000-0000-0000CF9A0000}"/>
    <cellStyle name="Check Cell 4" xfId="32781" xr:uid="{00000000-0005-0000-0000-0000D09A0000}"/>
    <cellStyle name="Check Cell 4 2" xfId="52058" xr:uid="{00000000-0005-0000-0000-0000D19A0000}"/>
    <cellStyle name="Comma 2" xfId="8" xr:uid="{00000000-0005-0000-0000-0000D29A0000}"/>
    <cellStyle name="Comma 2 10" xfId="32782" xr:uid="{00000000-0005-0000-0000-0000D39A0000}"/>
    <cellStyle name="Comma 2 10 2" xfId="32783" xr:uid="{00000000-0005-0000-0000-0000D49A0000}"/>
    <cellStyle name="Comma 2 11" xfId="32784" xr:uid="{00000000-0005-0000-0000-0000D59A0000}"/>
    <cellStyle name="Comma 2 12" xfId="27524" xr:uid="{00000000-0005-0000-0000-0000D69A0000}"/>
    <cellStyle name="Comma 2 13" xfId="52059" xr:uid="{00000000-0005-0000-0000-0000D79A0000}"/>
    <cellStyle name="Comma 2 2" xfId="9" xr:uid="{00000000-0005-0000-0000-0000D89A0000}"/>
    <cellStyle name="Comma 2 2 10" xfId="27525" xr:uid="{00000000-0005-0000-0000-0000D99A0000}"/>
    <cellStyle name="Comma 2 2 2" xfId="10" xr:uid="{00000000-0005-0000-0000-0000DA9A0000}"/>
    <cellStyle name="Comma 2 2 2 2" xfId="32786" xr:uid="{00000000-0005-0000-0000-0000DB9A0000}"/>
    <cellStyle name="Comma 2 2 2 2 2" xfId="32787" xr:uid="{00000000-0005-0000-0000-0000DC9A0000}"/>
    <cellStyle name="Comma 2 2 2 3" xfId="32788" xr:uid="{00000000-0005-0000-0000-0000DD9A0000}"/>
    <cellStyle name="Comma 2 2 2 4" xfId="32785" xr:uid="{00000000-0005-0000-0000-0000DE9A0000}"/>
    <cellStyle name="Comma 2 2 3" xfId="32789" xr:uid="{00000000-0005-0000-0000-0000DF9A0000}"/>
    <cellStyle name="Comma 2 2 3 2" xfId="32790" xr:uid="{00000000-0005-0000-0000-0000E09A0000}"/>
    <cellStyle name="Comma 2 2 3 2 2" xfId="32791" xr:uid="{00000000-0005-0000-0000-0000E19A0000}"/>
    <cellStyle name="Comma 2 2 3 3" xfId="32792" xr:uid="{00000000-0005-0000-0000-0000E29A0000}"/>
    <cellStyle name="Comma 2 2 4" xfId="32793" xr:uid="{00000000-0005-0000-0000-0000E39A0000}"/>
    <cellStyle name="Comma 2 2 4 2" xfId="32794" xr:uid="{00000000-0005-0000-0000-0000E49A0000}"/>
    <cellStyle name="Comma 2 2 4 2 2" xfId="32795" xr:uid="{00000000-0005-0000-0000-0000E59A0000}"/>
    <cellStyle name="Comma 2 2 4 3" xfId="32796" xr:uid="{00000000-0005-0000-0000-0000E69A0000}"/>
    <cellStyle name="Comma 2 2 5" xfId="32797" xr:uid="{00000000-0005-0000-0000-0000E79A0000}"/>
    <cellStyle name="Comma 2 2 5 2" xfId="32798" xr:uid="{00000000-0005-0000-0000-0000E89A0000}"/>
    <cellStyle name="Comma 2 2 5 2 2" xfId="32799" xr:uid="{00000000-0005-0000-0000-0000E99A0000}"/>
    <cellStyle name="Comma 2 2 5 3" xfId="32800" xr:uid="{00000000-0005-0000-0000-0000EA9A0000}"/>
    <cellStyle name="Comma 2 2 6" xfId="32801" xr:uid="{00000000-0005-0000-0000-0000EB9A0000}"/>
    <cellStyle name="Comma 2 2 6 2" xfId="32802" xr:uid="{00000000-0005-0000-0000-0000EC9A0000}"/>
    <cellStyle name="Comma 2 2 6 2 2" xfId="32803" xr:uid="{00000000-0005-0000-0000-0000ED9A0000}"/>
    <cellStyle name="Comma 2 2 6 3" xfId="32804" xr:uid="{00000000-0005-0000-0000-0000EE9A0000}"/>
    <cellStyle name="Comma 2 2 7" xfId="32805" xr:uid="{00000000-0005-0000-0000-0000EF9A0000}"/>
    <cellStyle name="Comma 2 2 7 2" xfId="32806" xr:uid="{00000000-0005-0000-0000-0000F09A0000}"/>
    <cellStyle name="Comma 2 2 7 2 2" xfId="32807" xr:uid="{00000000-0005-0000-0000-0000F19A0000}"/>
    <cellStyle name="Comma 2 2 7 3" xfId="32808" xr:uid="{00000000-0005-0000-0000-0000F29A0000}"/>
    <cellStyle name="Comma 2 2 8" xfId="32809" xr:uid="{00000000-0005-0000-0000-0000F39A0000}"/>
    <cellStyle name="Comma 2 2 8 2" xfId="32810" xr:uid="{00000000-0005-0000-0000-0000F49A0000}"/>
    <cellStyle name="Comma 2 2 9" xfId="32811" xr:uid="{00000000-0005-0000-0000-0000F59A0000}"/>
    <cellStyle name="Comma 2 3" xfId="11" xr:uid="{00000000-0005-0000-0000-0000F69A0000}"/>
    <cellStyle name="Comma 2 3 10" xfId="32812" xr:uid="{00000000-0005-0000-0000-0000F79A0000}"/>
    <cellStyle name="Comma 2 3 2" xfId="32813" xr:uid="{00000000-0005-0000-0000-0000F89A0000}"/>
    <cellStyle name="Comma 2 3 2 2" xfId="32814" xr:uid="{00000000-0005-0000-0000-0000F99A0000}"/>
    <cellStyle name="Comma 2 3 2 2 2" xfId="32815" xr:uid="{00000000-0005-0000-0000-0000FA9A0000}"/>
    <cellStyle name="Comma 2 3 2 3" xfId="32816" xr:uid="{00000000-0005-0000-0000-0000FB9A0000}"/>
    <cellStyle name="Comma 2 3 3" xfId="32817" xr:uid="{00000000-0005-0000-0000-0000FC9A0000}"/>
    <cellStyle name="Comma 2 3 3 2" xfId="32818" xr:uid="{00000000-0005-0000-0000-0000FD9A0000}"/>
    <cellStyle name="Comma 2 3 3 2 2" xfId="32819" xr:uid="{00000000-0005-0000-0000-0000FE9A0000}"/>
    <cellStyle name="Comma 2 3 3 3" xfId="32820" xr:uid="{00000000-0005-0000-0000-0000FF9A0000}"/>
    <cellStyle name="Comma 2 3 4" xfId="32821" xr:uid="{00000000-0005-0000-0000-0000009B0000}"/>
    <cellStyle name="Comma 2 3 4 2" xfId="32822" xr:uid="{00000000-0005-0000-0000-0000019B0000}"/>
    <cellStyle name="Comma 2 3 4 2 2" xfId="32823" xr:uid="{00000000-0005-0000-0000-0000029B0000}"/>
    <cellStyle name="Comma 2 3 4 3" xfId="32824" xr:uid="{00000000-0005-0000-0000-0000039B0000}"/>
    <cellStyle name="Comma 2 3 5" xfId="32825" xr:uid="{00000000-0005-0000-0000-0000049B0000}"/>
    <cellStyle name="Comma 2 3 5 2" xfId="32826" xr:uid="{00000000-0005-0000-0000-0000059B0000}"/>
    <cellStyle name="Comma 2 3 5 2 2" xfId="32827" xr:uid="{00000000-0005-0000-0000-0000069B0000}"/>
    <cellStyle name="Comma 2 3 5 3" xfId="32828" xr:uid="{00000000-0005-0000-0000-0000079B0000}"/>
    <cellStyle name="Comma 2 3 6" xfId="32829" xr:uid="{00000000-0005-0000-0000-0000089B0000}"/>
    <cellStyle name="Comma 2 3 6 2" xfId="32830" xr:uid="{00000000-0005-0000-0000-0000099B0000}"/>
    <cellStyle name="Comma 2 3 6 2 2" xfId="32831" xr:uid="{00000000-0005-0000-0000-00000A9B0000}"/>
    <cellStyle name="Comma 2 3 6 3" xfId="32832" xr:uid="{00000000-0005-0000-0000-00000B9B0000}"/>
    <cellStyle name="Comma 2 3 7" xfId="32833" xr:uid="{00000000-0005-0000-0000-00000C9B0000}"/>
    <cellStyle name="Comma 2 3 7 2" xfId="32834" xr:uid="{00000000-0005-0000-0000-00000D9B0000}"/>
    <cellStyle name="Comma 2 3 7 2 2" xfId="32835" xr:uid="{00000000-0005-0000-0000-00000E9B0000}"/>
    <cellStyle name="Comma 2 3 7 3" xfId="32836" xr:uid="{00000000-0005-0000-0000-00000F9B0000}"/>
    <cellStyle name="Comma 2 3 8" xfId="32837" xr:uid="{00000000-0005-0000-0000-0000109B0000}"/>
    <cellStyle name="Comma 2 3 8 2" xfId="32838" xr:uid="{00000000-0005-0000-0000-0000119B0000}"/>
    <cellStyle name="Comma 2 3 9" xfId="32839" xr:uid="{00000000-0005-0000-0000-0000129B0000}"/>
    <cellStyle name="Comma 2 4" xfId="273" xr:uid="{00000000-0005-0000-0000-0000139B0000}"/>
    <cellStyle name="Comma 2 4 2" xfId="32841" xr:uid="{00000000-0005-0000-0000-0000149B0000}"/>
    <cellStyle name="Comma 2 4 2 2" xfId="32842" xr:uid="{00000000-0005-0000-0000-0000159B0000}"/>
    <cellStyle name="Comma 2 4 3" xfId="32843" xr:uid="{00000000-0005-0000-0000-0000169B0000}"/>
    <cellStyle name="Comma 2 4 4" xfId="32840" xr:uid="{00000000-0005-0000-0000-0000179B0000}"/>
    <cellStyle name="Comma 2 5" xfId="32844" xr:uid="{00000000-0005-0000-0000-0000189B0000}"/>
    <cellStyle name="Comma 2 5 2" xfId="32845" xr:uid="{00000000-0005-0000-0000-0000199B0000}"/>
    <cellStyle name="Comma 2 5 2 2" xfId="32846" xr:uid="{00000000-0005-0000-0000-00001A9B0000}"/>
    <cellStyle name="Comma 2 5 3" xfId="32847" xr:uid="{00000000-0005-0000-0000-00001B9B0000}"/>
    <cellStyle name="Comma 2 6" xfId="32848" xr:uid="{00000000-0005-0000-0000-00001C9B0000}"/>
    <cellStyle name="Comma 2 6 2" xfId="32849" xr:uid="{00000000-0005-0000-0000-00001D9B0000}"/>
    <cellStyle name="Comma 2 6 2 2" xfId="32850" xr:uid="{00000000-0005-0000-0000-00001E9B0000}"/>
    <cellStyle name="Comma 2 6 3" xfId="32851" xr:uid="{00000000-0005-0000-0000-00001F9B0000}"/>
    <cellStyle name="Comma 2 7" xfId="32852" xr:uid="{00000000-0005-0000-0000-0000209B0000}"/>
    <cellStyle name="Comma 2 7 2" xfId="32853" xr:uid="{00000000-0005-0000-0000-0000219B0000}"/>
    <cellStyle name="Comma 2 7 2 2" xfId="32854" xr:uid="{00000000-0005-0000-0000-0000229B0000}"/>
    <cellStyle name="Comma 2 7 3" xfId="32855" xr:uid="{00000000-0005-0000-0000-0000239B0000}"/>
    <cellStyle name="Comma 2 8" xfId="32856" xr:uid="{00000000-0005-0000-0000-0000249B0000}"/>
    <cellStyle name="Comma 2 8 2" xfId="32857" xr:uid="{00000000-0005-0000-0000-0000259B0000}"/>
    <cellStyle name="Comma 2 8 2 2" xfId="32858" xr:uid="{00000000-0005-0000-0000-0000269B0000}"/>
    <cellStyle name="Comma 2 8 3" xfId="32859" xr:uid="{00000000-0005-0000-0000-0000279B0000}"/>
    <cellStyle name="Comma 2 9" xfId="32860" xr:uid="{00000000-0005-0000-0000-0000289B0000}"/>
    <cellStyle name="Comma 2 9 2" xfId="32861" xr:uid="{00000000-0005-0000-0000-0000299B0000}"/>
    <cellStyle name="Comma 2 9 2 2" xfId="32862" xr:uid="{00000000-0005-0000-0000-00002A9B0000}"/>
    <cellStyle name="Comma 2 9 3" xfId="32863" xr:uid="{00000000-0005-0000-0000-00002B9B0000}"/>
    <cellStyle name="Comma 3" xfId="12" xr:uid="{00000000-0005-0000-0000-00002C9B0000}"/>
    <cellStyle name="Comma 3 10" xfId="52060" xr:uid="{00000000-0005-0000-0000-00002D9B0000}"/>
    <cellStyle name="Comma 3 2" xfId="32864" xr:uid="{00000000-0005-0000-0000-00002E9B0000}"/>
    <cellStyle name="Comma 3 2 2" xfId="27567" xr:uid="{00000000-0005-0000-0000-00002F9B0000}"/>
    <cellStyle name="Comma 3 2 3" xfId="32865" xr:uid="{00000000-0005-0000-0000-0000309B0000}"/>
    <cellStyle name="Comma 3 2 4" xfId="32866" xr:uid="{00000000-0005-0000-0000-0000319B0000}"/>
    <cellStyle name="Comma 3 2 5" xfId="32867" xr:uid="{00000000-0005-0000-0000-0000329B0000}"/>
    <cellStyle name="Comma 3 2 6" xfId="32868" xr:uid="{00000000-0005-0000-0000-0000339B0000}"/>
    <cellStyle name="Comma 3 2 7" xfId="32869" xr:uid="{00000000-0005-0000-0000-0000349B0000}"/>
    <cellStyle name="Comma 3 2 8" xfId="32870" xr:uid="{00000000-0005-0000-0000-0000359B0000}"/>
    <cellStyle name="Comma 3 3" xfId="32871" xr:uid="{00000000-0005-0000-0000-0000369B0000}"/>
    <cellStyle name="Comma 3 4" xfId="32872" xr:uid="{00000000-0005-0000-0000-0000379B0000}"/>
    <cellStyle name="Comma 3 5" xfId="32873" xr:uid="{00000000-0005-0000-0000-0000389B0000}"/>
    <cellStyle name="Comma 3 6" xfId="32874" xr:uid="{00000000-0005-0000-0000-0000399B0000}"/>
    <cellStyle name="Comma 3 7" xfId="32875" xr:uid="{00000000-0005-0000-0000-00003A9B0000}"/>
    <cellStyle name="Comma 3 8" xfId="32876" xr:uid="{00000000-0005-0000-0000-00003B9B0000}"/>
    <cellStyle name="Comma 3 9" xfId="32877" xr:uid="{00000000-0005-0000-0000-00003C9B0000}"/>
    <cellStyle name="Comma 4" xfId="13" xr:uid="{00000000-0005-0000-0000-00003D9B0000}"/>
    <cellStyle name="Comma 4 2" xfId="36" xr:uid="{00000000-0005-0000-0000-00003E9B0000}"/>
    <cellStyle name="Comma 4 2 2" xfId="27527" xr:uid="{00000000-0005-0000-0000-00003F9B0000}"/>
    <cellStyle name="Comma 4 3" xfId="27526" xr:uid="{00000000-0005-0000-0000-0000409B0000}"/>
    <cellStyle name="Comma 5" xfId="27528" xr:uid="{00000000-0005-0000-0000-0000419B0000}"/>
    <cellStyle name="Comma 5 2" xfId="27529" xr:uid="{00000000-0005-0000-0000-0000429B0000}"/>
    <cellStyle name="Comma 6" xfId="27530" xr:uid="{00000000-0005-0000-0000-0000439B0000}"/>
    <cellStyle name="Comma 6 2" xfId="27531" xr:uid="{00000000-0005-0000-0000-0000449B0000}"/>
    <cellStyle name="Comma 7" xfId="27532" xr:uid="{00000000-0005-0000-0000-0000459B0000}"/>
    <cellStyle name="Comma 7 2" xfId="27533" xr:uid="{00000000-0005-0000-0000-0000469B0000}"/>
    <cellStyle name="Comma 8" xfId="50270" xr:uid="{00000000-0005-0000-0000-0000479B0000}"/>
    <cellStyle name="Explanatory Text" xfId="54" builtinId="53" customBuiltin="1"/>
    <cellStyle name="Explanatory Text 2" xfId="110" xr:uid="{00000000-0005-0000-0000-0000499B0000}"/>
    <cellStyle name="Explanatory Text 3" xfId="413" xr:uid="{00000000-0005-0000-0000-00004A9B0000}"/>
    <cellStyle name="Explanatory Text 3 2" xfId="32878" xr:uid="{00000000-0005-0000-0000-00004B9B0000}"/>
    <cellStyle name="Explanatory Text 4" xfId="32879" xr:uid="{00000000-0005-0000-0000-00004C9B0000}"/>
    <cellStyle name="Explanatory Text 4 2" xfId="52061" xr:uid="{00000000-0005-0000-0000-00004D9B0000}"/>
    <cellStyle name="Good" xfId="45" builtinId="26" customBuiltin="1"/>
    <cellStyle name="Good 2" xfId="111" xr:uid="{00000000-0005-0000-0000-00004F9B0000}"/>
    <cellStyle name="Good 3" xfId="414" xr:uid="{00000000-0005-0000-0000-0000509B0000}"/>
    <cellStyle name="Good 3 2" xfId="32880" xr:uid="{00000000-0005-0000-0000-0000519B0000}"/>
    <cellStyle name="Good 4" xfId="32881" xr:uid="{00000000-0005-0000-0000-0000529B0000}"/>
    <cellStyle name="Good 4 2" xfId="52062" xr:uid="{00000000-0005-0000-0000-0000539B0000}"/>
    <cellStyle name="Heading 1" xfId="41" builtinId="16" customBuiltin="1"/>
    <cellStyle name="Heading 1 2" xfId="112" xr:uid="{00000000-0005-0000-0000-0000559B0000}"/>
    <cellStyle name="Heading 1 3" xfId="415" xr:uid="{00000000-0005-0000-0000-0000569B0000}"/>
    <cellStyle name="Heading 1 3 2" xfId="32882" xr:uid="{00000000-0005-0000-0000-0000579B0000}"/>
    <cellStyle name="Heading 1 4" xfId="32883" xr:uid="{00000000-0005-0000-0000-0000589B0000}"/>
    <cellStyle name="Heading 1 4 2" xfId="52063" xr:uid="{00000000-0005-0000-0000-0000599B0000}"/>
    <cellStyle name="Heading 2" xfId="42" builtinId="17" customBuiltin="1"/>
    <cellStyle name="Heading 2 2" xfId="113" xr:uid="{00000000-0005-0000-0000-00005B9B0000}"/>
    <cellStyle name="Heading 2 3" xfId="416" xr:uid="{00000000-0005-0000-0000-00005C9B0000}"/>
    <cellStyle name="Heading 2 3 2" xfId="32884" xr:uid="{00000000-0005-0000-0000-00005D9B0000}"/>
    <cellStyle name="Heading 2 4" xfId="32885" xr:uid="{00000000-0005-0000-0000-00005E9B0000}"/>
    <cellStyle name="Heading 2 4 2" xfId="52064" xr:uid="{00000000-0005-0000-0000-00005F9B0000}"/>
    <cellStyle name="Heading 3" xfId="43" builtinId="18" customBuiltin="1"/>
    <cellStyle name="Heading 3 2" xfId="114" xr:uid="{00000000-0005-0000-0000-0000619B0000}"/>
    <cellStyle name="Heading 3 3" xfId="417" xr:uid="{00000000-0005-0000-0000-0000629B0000}"/>
    <cellStyle name="Heading 3 3 2" xfId="32886" xr:uid="{00000000-0005-0000-0000-0000639B0000}"/>
    <cellStyle name="Heading 3 4" xfId="32887" xr:uid="{00000000-0005-0000-0000-0000649B0000}"/>
    <cellStyle name="Heading 3 4 2" xfId="52065" xr:uid="{00000000-0005-0000-0000-0000659B0000}"/>
    <cellStyle name="Heading 4" xfId="44" builtinId="19" customBuiltin="1"/>
    <cellStyle name="Heading 4 2" xfId="115" xr:uid="{00000000-0005-0000-0000-0000679B0000}"/>
    <cellStyle name="Heading 4 3" xfId="418" xr:uid="{00000000-0005-0000-0000-0000689B0000}"/>
    <cellStyle name="Heading 4 3 2" xfId="32888" xr:uid="{00000000-0005-0000-0000-0000699B0000}"/>
    <cellStyle name="Heading 4 4" xfId="32889" xr:uid="{00000000-0005-0000-0000-00006A9B0000}"/>
    <cellStyle name="Heading 4 4 2" xfId="52066" xr:uid="{00000000-0005-0000-0000-00006B9B0000}"/>
    <cellStyle name="Input" xfId="48" builtinId="20" customBuiltin="1"/>
    <cellStyle name="Input 2" xfId="116" xr:uid="{00000000-0005-0000-0000-00006D9B0000}"/>
    <cellStyle name="Input 3" xfId="419" xr:uid="{00000000-0005-0000-0000-00006E9B0000}"/>
    <cellStyle name="Input 3 2" xfId="32890" xr:uid="{00000000-0005-0000-0000-00006F9B0000}"/>
    <cellStyle name="Input 4" xfId="32891" xr:uid="{00000000-0005-0000-0000-0000709B0000}"/>
    <cellStyle name="Input 4 2" xfId="52067" xr:uid="{00000000-0005-0000-0000-0000719B0000}"/>
    <cellStyle name="Linked Cell" xfId="51" builtinId="24" customBuiltin="1"/>
    <cellStyle name="Linked Cell 2" xfId="117" xr:uid="{00000000-0005-0000-0000-0000739B0000}"/>
    <cellStyle name="Linked Cell 3" xfId="420" xr:uid="{00000000-0005-0000-0000-0000749B0000}"/>
    <cellStyle name="Linked Cell 3 2" xfId="32892" xr:uid="{00000000-0005-0000-0000-0000759B0000}"/>
    <cellStyle name="Linked Cell 4" xfId="32893" xr:uid="{00000000-0005-0000-0000-0000769B0000}"/>
    <cellStyle name="Linked Cell 4 2" xfId="52068" xr:uid="{00000000-0005-0000-0000-0000779B0000}"/>
    <cellStyle name="Neutral" xfId="47" builtinId="28" customBuiltin="1"/>
    <cellStyle name="Neutral 2" xfId="118" xr:uid="{00000000-0005-0000-0000-0000799B0000}"/>
    <cellStyle name="Neutral 3" xfId="421" xr:uid="{00000000-0005-0000-0000-00007A9B0000}"/>
    <cellStyle name="Neutral 3 2" xfId="32894" xr:uid="{00000000-0005-0000-0000-00007B9B0000}"/>
    <cellStyle name="Neutral 4" xfId="32895" xr:uid="{00000000-0005-0000-0000-00007C9B0000}"/>
    <cellStyle name="Neutral 4 2" xfId="52069" xr:uid="{00000000-0005-0000-0000-00007D9B0000}"/>
    <cellStyle name="Normal" xfId="0" builtinId="0"/>
    <cellStyle name="Normal 10" xfId="39" xr:uid="{00000000-0005-0000-0000-00007F9B0000}"/>
    <cellStyle name="Normal 10 10" xfId="943" xr:uid="{00000000-0005-0000-0000-0000809B0000}"/>
    <cellStyle name="Normal 10 10 10" xfId="46018" xr:uid="{00000000-0005-0000-0000-0000819B0000}"/>
    <cellStyle name="Normal 10 10 11" xfId="51497" xr:uid="{00000000-0005-0000-0000-0000829B0000}"/>
    <cellStyle name="Normal 10 10 2" xfId="2704" xr:uid="{00000000-0005-0000-0000-0000839B0000}"/>
    <cellStyle name="Normal 10 10 2 2" xfId="8184" xr:uid="{00000000-0005-0000-0000-0000849B0000}"/>
    <cellStyle name="Normal 10 10 2 3" xfId="13660" xr:uid="{00000000-0005-0000-0000-0000859B0000}"/>
    <cellStyle name="Normal 10 10 2 4" xfId="19136" xr:uid="{00000000-0005-0000-0000-0000869B0000}"/>
    <cellStyle name="Normal 10 10 2 5" xfId="24612" xr:uid="{00000000-0005-0000-0000-0000879B0000}"/>
    <cellStyle name="Normal 10 10 2 6" xfId="36408" xr:uid="{00000000-0005-0000-0000-0000889B0000}"/>
    <cellStyle name="Normal 10 10 2 7" xfId="41885" xr:uid="{00000000-0005-0000-0000-0000899B0000}"/>
    <cellStyle name="Normal 10 10 2 8" xfId="47362" xr:uid="{00000000-0005-0000-0000-00008A9B0000}"/>
    <cellStyle name="Normal 10 10 2 9" xfId="52880" xr:uid="{00000000-0005-0000-0000-00008B9B0000}"/>
    <cellStyle name="Normal 10 10 3" xfId="4476" xr:uid="{00000000-0005-0000-0000-00008C9B0000}"/>
    <cellStyle name="Normal 10 10 3 2" xfId="9956" xr:uid="{00000000-0005-0000-0000-00008D9B0000}"/>
    <cellStyle name="Normal 10 10 3 3" xfId="15432" xr:uid="{00000000-0005-0000-0000-00008E9B0000}"/>
    <cellStyle name="Normal 10 10 3 4" xfId="20908" xr:uid="{00000000-0005-0000-0000-00008F9B0000}"/>
    <cellStyle name="Normal 10 10 3 5" xfId="26384" xr:uid="{00000000-0005-0000-0000-0000909B0000}"/>
    <cellStyle name="Normal 10 10 3 6" xfId="38180" xr:uid="{00000000-0005-0000-0000-0000919B0000}"/>
    <cellStyle name="Normal 10 10 3 7" xfId="43657" xr:uid="{00000000-0005-0000-0000-0000929B0000}"/>
    <cellStyle name="Normal 10 10 3 8" xfId="49134" xr:uid="{00000000-0005-0000-0000-0000939B0000}"/>
    <cellStyle name="Normal 10 10 3 9" xfId="54652" xr:uid="{00000000-0005-0000-0000-0000949B0000}"/>
    <cellStyle name="Normal 10 10 4" xfId="6837" xr:uid="{00000000-0005-0000-0000-0000959B0000}"/>
    <cellStyle name="Normal 10 10 5" xfId="12317" xr:uid="{00000000-0005-0000-0000-0000969B0000}"/>
    <cellStyle name="Normal 10 10 6" xfId="17793" xr:uid="{00000000-0005-0000-0000-0000979B0000}"/>
    <cellStyle name="Normal 10 10 7" xfId="23269" xr:uid="{00000000-0005-0000-0000-0000989B0000}"/>
    <cellStyle name="Normal 10 10 8" xfId="35064" xr:uid="{00000000-0005-0000-0000-0000999B0000}"/>
    <cellStyle name="Normal 10 10 9" xfId="40541" xr:uid="{00000000-0005-0000-0000-00009A9B0000}"/>
    <cellStyle name="Normal 10 11" xfId="1007" xr:uid="{00000000-0005-0000-0000-00009B9B0000}"/>
    <cellStyle name="Normal 10 11 10" xfId="46019" xr:uid="{00000000-0005-0000-0000-00009C9B0000}"/>
    <cellStyle name="Normal 10 11 11" xfId="51498" xr:uid="{00000000-0005-0000-0000-00009D9B0000}"/>
    <cellStyle name="Normal 10 11 2" xfId="2768" xr:uid="{00000000-0005-0000-0000-00009E9B0000}"/>
    <cellStyle name="Normal 10 11 2 2" xfId="8248" xr:uid="{00000000-0005-0000-0000-00009F9B0000}"/>
    <cellStyle name="Normal 10 11 2 3" xfId="13724" xr:uid="{00000000-0005-0000-0000-0000A09B0000}"/>
    <cellStyle name="Normal 10 11 2 4" xfId="19200" xr:uid="{00000000-0005-0000-0000-0000A19B0000}"/>
    <cellStyle name="Normal 10 11 2 5" xfId="24676" xr:uid="{00000000-0005-0000-0000-0000A29B0000}"/>
    <cellStyle name="Normal 10 11 2 6" xfId="36472" xr:uid="{00000000-0005-0000-0000-0000A39B0000}"/>
    <cellStyle name="Normal 10 11 2 7" xfId="41949" xr:uid="{00000000-0005-0000-0000-0000A49B0000}"/>
    <cellStyle name="Normal 10 11 2 8" xfId="47426" xr:uid="{00000000-0005-0000-0000-0000A59B0000}"/>
    <cellStyle name="Normal 10 11 2 9" xfId="52944" xr:uid="{00000000-0005-0000-0000-0000A69B0000}"/>
    <cellStyle name="Normal 10 11 3" xfId="4540" xr:uid="{00000000-0005-0000-0000-0000A79B0000}"/>
    <cellStyle name="Normal 10 11 3 2" xfId="10020" xr:uid="{00000000-0005-0000-0000-0000A89B0000}"/>
    <cellStyle name="Normal 10 11 3 3" xfId="15496" xr:uid="{00000000-0005-0000-0000-0000A99B0000}"/>
    <cellStyle name="Normal 10 11 3 4" xfId="20972" xr:uid="{00000000-0005-0000-0000-0000AA9B0000}"/>
    <cellStyle name="Normal 10 11 3 5" xfId="26448" xr:uid="{00000000-0005-0000-0000-0000AB9B0000}"/>
    <cellStyle name="Normal 10 11 3 6" xfId="38244" xr:uid="{00000000-0005-0000-0000-0000AC9B0000}"/>
    <cellStyle name="Normal 10 11 3 7" xfId="43721" xr:uid="{00000000-0005-0000-0000-0000AD9B0000}"/>
    <cellStyle name="Normal 10 11 3 8" xfId="49198" xr:uid="{00000000-0005-0000-0000-0000AE9B0000}"/>
    <cellStyle name="Normal 10 11 3 9" xfId="54716" xr:uid="{00000000-0005-0000-0000-0000AF9B0000}"/>
    <cellStyle name="Normal 10 11 4" xfId="6838" xr:uid="{00000000-0005-0000-0000-0000B09B0000}"/>
    <cellStyle name="Normal 10 11 5" xfId="12318" xr:uid="{00000000-0005-0000-0000-0000B19B0000}"/>
    <cellStyle name="Normal 10 11 6" xfId="17794" xr:uid="{00000000-0005-0000-0000-0000B29B0000}"/>
    <cellStyle name="Normal 10 11 7" xfId="23270" xr:uid="{00000000-0005-0000-0000-0000B39B0000}"/>
    <cellStyle name="Normal 10 11 8" xfId="35065" xr:uid="{00000000-0005-0000-0000-0000B49B0000}"/>
    <cellStyle name="Normal 10 11 9" xfId="40542" xr:uid="{00000000-0005-0000-0000-0000B59B0000}"/>
    <cellStyle name="Normal 10 12" xfId="1024" xr:uid="{00000000-0005-0000-0000-0000B69B0000}"/>
    <cellStyle name="Normal 10 12 10" xfId="46020" xr:uid="{00000000-0005-0000-0000-0000B79B0000}"/>
    <cellStyle name="Normal 10 12 11" xfId="51499" xr:uid="{00000000-0005-0000-0000-0000B89B0000}"/>
    <cellStyle name="Normal 10 12 2" xfId="2785" xr:uid="{00000000-0005-0000-0000-0000B99B0000}"/>
    <cellStyle name="Normal 10 12 2 2" xfId="8265" xr:uid="{00000000-0005-0000-0000-0000BA9B0000}"/>
    <cellStyle name="Normal 10 12 2 3" xfId="13741" xr:uid="{00000000-0005-0000-0000-0000BB9B0000}"/>
    <cellStyle name="Normal 10 12 2 4" xfId="19217" xr:uid="{00000000-0005-0000-0000-0000BC9B0000}"/>
    <cellStyle name="Normal 10 12 2 5" xfId="24693" xr:uid="{00000000-0005-0000-0000-0000BD9B0000}"/>
    <cellStyle name="Normal 10 12 2 6" xfId="36489" xr:uid="{00000000-0005-0000-0000-0000BE9B0000}"/>
    <cellStyle name="Normal 10 12 2 7" xfId="41966" xr:uid="{00000000-0005-0000-0000-0000BF9B0000}"/>
    <cellStyle name="Normal 10 12 2 8" xfId="47443" xr:uid="{00000000-0005-0000-0000-0000C09B0000}"/>
    <cellStyle name="Normal 10 12 2 9" xfId="52961" xr:uid="{00000000-0005-0000-0000-0000C19B0000}"/>
    <cellStyle name="Normal 10 12 3" xfId="4557" xr:uid="{00000000-0005-0000-0000-0000C29B0000}"/>
    <cellStyle name="Normal 10 12 3 2" xfId="10037" xr:uid="{00000000-0005-0000-0000-0000C39B0000}"/>
    <cellStyle name="Normal 10 12 3 3" xfId="15513" xr:uid="{00000000-0005-0000-0000-0000C49B0000}"/>
    <cellStyle name="Normal 10 12 3 4" xfId="20989" xr:uid="{00000000-0005-0000-0000-0000C59B0000}"/>
    <cellStyle name="Normal 10 12 3 5" xfId="26465" xr:uid="{00000000-0005-0000-0000-0000C69B0000}"/>
    <cellStyle name="Normal 10 12 3 6" xfId="38261" xr:uid="{00000000-0005-0000-0000-0000C79B0000}"/>
    <cellStyle name="Normal 10 12 3 7" xfId="43738" xr:uid="{00000000-0005-0000-0000-0000C89B0000}"/>
    <cellStyle name="Normal 10 12 3 8" xfId="49215" xr:uid="{00000000-0005-0000-0000-0000C99B0000}"/>
    <cellStyle name="Normal 10 12 3 9" xfId="54733" xr:uid="{00000000-0005-0000-0000-0000CA9B0000}"/>
    <cellStyle name="Normal 10 12 4" xfId="6839" xr:uid="{00000000-0005-0000-0000-0000CB9B0000}"/>
    <cellStyle name="Normal 10 12 5" xfId="12319" xr:uid="{00000000-0005-0000-0000-0000CC9B0000}"/>
    <cellStyle name="Normal 10 12 6" xfId="17795" xr:uid="{00000000-0005-0000-0000-0000CD9B0000}"/>
    <cellStyle name="Normal 10 12 7" xfId="23271" xr:uid="{00000000-0005-0000-0000-0000CE9B0000}"/>
    <cellStyle name="Normal 10 12 8" xfId="35066" xr:uid="{00000000-0005-0000-0000-0000CF9B0000}"/>
    <cellStyle name="Normal 10 12 9" xfId="40543" xr:uid="{00000000-0005-0000-0000-0000D09B0000}"/>
    <cellStyle name="Normal 10 13" xfId="1149" xr:uid="{00000000-0005-0000-0000-0000D19B0000}"/>
    <cellStyle name="Normal 10 13 10" xfId="46021" xr:uid="{00000000-0005-0000-0000-0000D29B0000}"/>
    <cellStyle name="Normal 10 13 11" xfId="51500" xr:uid="{00000000-0005-0000-0000-0000D39B0000}"/>
    <cellStyle name="Normal 10 13 2" xfId="2910" xr:uid="{00000000-0005-0000-0000-0000D49B0000}"/>
    <cellStyle name="Normal 10 13 2 2" xfId="8390" xr:uid="{00000000-0005-0000-0000-0000D59B0000}"/>
    <cellStyle name="Normal 10 13 2 3" xfId="13866" xr:uid="{00000000-0005-0000-0000-0000D69B0000}"/>
    <cellStyle name="Normal 10 13 2 4" xfId="19342" xr:uid="{00000000-0005-0000-0000-0000D79B0000}"/>
    <cellStyle name="Normal 10 13 2 5" xfId="24818" xr:uid="{00000000-0005-0000-0000-0000D89B0000}"/>
    <cellStyle name="Normal 10 13 2 6" xfId="36614" xr:uid="{00000000-0005-0000-0000-0000D99B0000}"/>
    <cellStyle name="Normal 10 13 2 7" xfId="42091" xr:uid="{00000000-0005-0000-0000-0000DA9B0000}"/>
    <cellStyle name="Normal 10 13 2 8" xfId="47568" xr:uid="{00000000-0005-0000-0000-0000DB9B0000}"/>
    <cellStyle name="Normal 10 13 2 9" xfId="53086" xr:uid="{00000000-0005-0000-0000-0000DC9B0000}"/>
    <cellStyle name="Normal 10 13 3" xfId="4682" xr:uid="{00000000-0005-0000-0000-0000DD9B0000}"/>
    <cellStyle name="Normal 10 13 3 2" xfId="10162" xr:uid="{00000000-0005-0000-0000-0000DE9B0000}"/>
    <cellStyle name="Normal 10 13 3 3" xfId="15638" xr:uid="{00000000-0005-0000-0000-0000DF9B0000}"/>
    <cellStyle name="Normal 10 13 3 4" xfId="21114" xr:uid="{00000000-0005-0000-0000-0000E09B0000}"/>
    <cellStyle name="Normal 10 13 3 5" xfId="26590" xr:uid="{00000000-0005-0000-0000-0000E19B0000}"/>
    <cellStyle name="Normal 10 13 3 6" xfId="38386" xr:uid="{00000000-0005-0000-0000-0000E29B0000}"/>
    <cellStyle name="Normal 10 13 3 7" xfId="43863" xr:uid="{00000000-0005-0000-0000-0000E39B0000}"/>
    <cellStyle name="Normal 10 13 3 8" xfId="49340" xr:uid="{00000000-0005-0000-0000-0000E49B0000}"/>
    <cellStyle name="Normal 10 13 3 9" xfId="54858" xr:uid="{00000000-0005-0000-0000-0000E59B0000}"/>
    <cellStyle name="Normal 10 13 4" xfId="6840" xr:uid="{00000000-0005-0000-0000-0000E69B0000}"/>
    <cellStyle name="Normal 10 13 5" xfId="12320" xr:uid="{00000000-0005-0000-0000-0000E79B0000}"/>
    <cellStyle name="Normal 10 13 6" xfId="17796" xr:uid="{00000000-0005-0000-0000-0000E89B0000}"/>
    <cellStyle name="Normal 10 13 7" xfId="23272" xr:uid="{00000000-0005-0000-0000-0000E99B0000}"/>
    <cellStyle name="Normal 10 13 8" xfId="35067" xr:uid="{00000000-0005-0000-0000-0000EA9B0000}"/>
    <cellStyle name="Normal 10 13 9" xfId="40544" xr:uid="{00000000-0005-0000-0000-0000EB9B0000}"/>
    <cellStyle name="Normal 10 14" xfId="1321" xr:uid="{00000000-0005-0000-0000-0000EC9B0000}"/>
    <cellStyle name="Normal 10 14 10" xfId="46022" xr:uid="{00000000-0005-0000-0000-0000ED9B0000}"/>
    <cellStyle name="Normal 10 14 11" xfId="51501" xr:uid="{00000000-0005-0000-0000-0000EE9B0000}"/>
    <cellStyle name="Normal 10 14 2" xfId="3082" xr:uid="{00000000-0005-0000-0000-0000EF9B0000}"/>
    <cellStyle name="Normal 10 14 2 2" xfId="8562" xr:uid="{00000000-0005-0000-0000-0000F09B0000}"/>
    <cellStyle name="Normal 10 14 2 3" xfId="14038" xr:uid="{00000000-0005-0000-0000-0000F19B0000}"/>
    <cellStyle name="Normal 10 14 2 4" xfId="19514" xr:uid="{00000000-0005-0000-0000-0000F29B0000}"/>
    <cellStyle name="Normal 10 14 2 5" xfId="24990" xr:uid="{00000000-0005-0000-0000-0000F39B0000}"/>
    <cellStyle name="Normal 10 14 2 6" xfId="36786" xr:uid="{00000000-0005-0000-0000-0000F49B0000}"/>
    <cellStyle name="Normal 10 14 2 7" xfId="42263" xr:uid="{00000000-0005-0000-0000-0000F59B0000}"/>
    <cellStyle name="Normal 10 14 2 8" xfId="47740" xr:uid="{00000000-0005-0000-0000-0000F69B0000}"/>
    <cellStyle name="Normal 10 14 2 9" xfId="53258" xr:uid="{00000000-0005-0000-0000-0000F79B0000}"/>
    <cellStyle name="Normal 10 14 3" xfId="4854" xr:uid="{00000000-0005-0000-0000-0000F89B0000}"/>
    <cellStyle name="Normal 10 14 3 2" xfId="10334" xr:uid="{00000000-0005-0000-0000-0000F99B0000}"/>
    <cellStyle name="Normal 10 14 3 3" xfId="15810" xr:uid="{00000000-0005-0000-0000-0000FA9B0000}"/>
    <cellStyle name="Normal 10 14 3 4" xfId="21286" xr:uid="{00000000-0005-0000-0000-0000FB9B0000}"/>
    <cellStyle name="Normal 10 14 3 5" xfId="26762" xr:uid="{00000000-0005-0000-0000-0000FC9B0000}"/>
    <cellStyle name="Normal 10 14 3 6" xfId="38558" xr:uid="{00000000-0005-0000-0000-0000FD9B0000}"/>
    <cellStyle name="Normal 10 14 3 7" xfId="44035" xr:uid="{00000000-0005-0000-0000-0000FE9B0000}"/>
    <cellStyle name="Normal 10 14 3 8" xfId="49512" xr:uid="{00000000-0005-0000-0000-0000FF9B0000}"/>
    <cellStyle name="Normal 10 14 3 9" xfId="55030" xr:uid="{00000000-0005-0000-0000-0000009C0000}"/>
    <cellStyle name="Normal 10 14 4" xfId="6841" xr:uid="{00000000-0005-0000-0000-0000019C0000}"/>
    <cellStyle name="Normal 10 14 5" xfId="12321" xr:uid="{00000000-0005-0000-0000-0000029C0000}"/>
    <cellStyle name="Normal 10 14 6" xfId="17797" xr:uid="{00000000-0005-0000-0000-0000039C0000}"/>
    <cellStyle name="Normal 10 14 7" xfId="23273" xr:uid="{00000000-0005-0000-0000-0000049C0000}"/>
    <cellStyle name="Normal 10 14 8" xfId="35068" xr:uid="{00000000-0005-0000-0000-0000059C0000}"/>
    <cellStyle name="Normal 10 14 9" xfId="40545" xr:uid="{00000000-0005-0000-0000-0000069C0000}"/>
    <cellStyle name="Normal 10 15" xfId="1493" xr:uid="{00000000-0005-0000-0000-0000079C0000}"/>
    <cellStyle name="Normal 10 15 10" xfId="46023" xr:uid="{00000000-0005-0000-0000-0000089C0000}"/>
    <cellStyle name="Normal 10 15 11" xfId="51502" xr:uid="{00000000-0005-0000-0000-0000099C0000}"/>
    <cellStyle name="Normal 10 15 2" xfId="3254" xr:uid="{00000000-0005-0000-0000-00000A9C0000}"/>
    <cellStyle name="Normal 10 15 2 2" xfId="8734" xr:uid="{00000000-0005-0000-0000-00000B9C0000}"/>
    <cellStyle name="Normal 10 15 2 3" xfId="14210" xr:uid="{00000000-0005-0000-0000-00000C9C0000}"/>
    <cellStyle name="Normal 10 15 2 4" xfId="19686" xr:uid="{00000000-0005-0000-0000-00000D9C0000}"/>
    <cellStyle name="Normal 10 15 2 5" xfId="25162" xr:uid="{00000000-0005-0000-0000-00000E9C0000}"/>
    <cellStyle name="Normal 10 15 2 6" xfId="36958" xr:uid="{00000000-0005-0000-0000-00000F9C0000}"/>
    <cellStyle name="Normal 10 15 2 7" xfId="42435" xr:uid="{00000000-0005-0000-0000-0000109C0000}"/>
    <cellStyle name="Normal 10 15 2 8" xfId="47912" xr:uid="{00000000-0005-0000-0000-0000119C0000}"/>
    <cellStyle name="Normal 10 15 2 9" xfId="53430" xr:uid="{00000000-0005-0000-0000-0000129C0000}"/>
    <cellStyle name="Normal 10 15 3" xfId="5026" xr:uid="{00000000-0005-0000-0000-0000139C0000}"/>
    <cellStyle name="Normal 10 15 3 2" xfId="10506" xr:uid="{00000000-0005-0000-0000-0000149C0000}"/>
    <cellStyle name="Normal 10 15 3 3" xfId="15982" xr:uid="{00000000-0005-0000-0000-0000159C0000}"/>
    <cellStyle name="Normal 10 15 3 4" xfId="21458" xr:uid="{00000000-0005-0000-0000-0000169C0000}"/>
    <cellStyle name="Normal 10 15 3 5" xfId="26934" xr:uid="{00000000-0005-0000-0000-0000179C0000}"/>
    <cellStyle name="Normal 10 15 3 6" xfId="38730" xr:uid="{00000000-0005-0000-0000-0000189C0000}"/>
    <cellStyle name="Normal 10 15 3 7" xfId="44207" xr:uid="{00000000-0005-0000-0000-0000199C0000}"/>
    <cellStyle name="Normal 10 15 3 8" xfId="49684" xr:uid="{00000000-0005-0000-0000-00001A9C0000}"/>
    <cellStyle name="Normal 10 15 3 9" xfId="55202" xr:uid="{00000000-0005-0000-0000-00001B9C0000}"/>
    <cellStyle name="Normal 10 15 4" xfId="6842" xr:uid="{00000000-0005-0000-0000-00001C9C0000}"/>
    <cellStyle name="Normal 10 15 5" xfId="12322" xr:uid="{00000000-0005-0000-0000-00001D9C0000}"/>
    <cellStyle name="Normal 10 15 6" xfId="17798" xr:uid="{00000000-0005-0000-0000-00001E9C0000}"/>
    <cellStyle name="Normal 10 15 7" xfId="23274" xr:uid="{00000000-0005-0000-0000-00001F9C0000}"/>
    <cellStyle name="Normal 10 15 8" xfId="35069" xr:uid="{00000000-0005-0000-0000-0000209C0000}"/>
    <cellStyle name="Normal 10 15 9" xfId="40546" xr:uid="{00000000-0005-0000-0000-0000219C0000}"/>
    <cellStyle name="Normal 10 16" xfId="1665" xr:uid="{00000000-0005-0000-0000-0000229C0000}"/>
    <cellStyle name="Normal 10 16 10" xfId="46024" xr:uid="{00000000-0005-0000-0000-0000239C0000}"/>
    <cellStyle name="Normal 10 16 11" xfId="51503" xr:uid="{00000000-0005-0000-0000-0000249C0000}"/>
    <cellStyle name="Normal 10 16 2" xfId="3426" xr:uid="{00000000-0005-0000-0000-0000259C0000}"/>
    <cellStyle name="Normal 10 16 2 2" xfId="8906" xr:uid="{00000000-0005-0000-0000-0000269C0000}"/>
    <cellStyle name="Normal 10 16 2 3" xfId="14382" xr:uid="{00000000-0005-0000-0000-0000279C0000}"/>
    <cellStyle name="Normal 10 16 2 4" xfId="19858" xr:uid="{00000000-0005-0000-0000-0000289C0000}"/>
    <cellStyle name="Normal 10 16 2 5" xfId="25334" xr:uid="{00000000-0005-0000-0000-0000299C0000}"/>
    <cellStyle name="Normal 10 16 2 6" xfId="37130" xr:uid="{00000000-0005-0000-0000-00002A9C0000}"/>
    <cellStyle name="Normal 10 16 2 7" xfId="42607" xr:uid="{00000000-0005-0000-0000-00002B9C0000}"/>
    <cellStyle name="Normal 10 16 2 8" xfId="48084" xr:uid="{00000000-0005-0000-0000-00002C9C0000}"/>
    <cellStyle name="Normal 10 16 2 9" xfId="53602" xr:uid="{00000000-0005-0000-0000-00002D9C0000}"/>
    <cellStyle name="Normal 10 16 3" xfId="5198" xr:uid="{00000000-0005-0000-0000-00002E9C0000}"/>
    <cellStyle name="Normal 10 16 3 2" xfId="10678" xr:uid="{00000000-0005-0000-0000-00002F9C0000}"/>
    <cellStyle name="Normal 10 16 3 3" xfId="16154" xr:uid="{00000000-0005-0000-0000-0000309C0000}"/>
    <cellStyle name="Normal 10 16 3 4" xfId="21630" xr:uid="{00000000-0005-0000-0000-0000319C0000}"/>
    <cellStyle name="Normal 10 16 3 5" xfId="27106" xr:uid="{00000000-0005-0000-0000-0000329C0000}"/>
    <cellStyle name="Normal 10 16 3 6" xfId="38902" xr:uid="{00000000-0005-0000-0000-0000339C0000}"/>
    <cellStyle name="Normal 10 16 3 7" xfId="44379" xr:uid="{00000000-0005-0000-0000-0000349C0000}"/>
    <cellStyle name="Normal 10 16 3 8" xfId="49856" xr:uid="{00000000-0005-0000-0000-0000359C0000}"/>
    <cellStyle name="Normal 10 16 3 9" xfId="55374" xr:uid="{00000000-0005-0000-0000-0000369C0000}"/>
    <cellStyle name="Normal 10 16 4" xfId="6843" xr:uid="{00000000-0005-0000-0000-0000379C0000}"/>
    <cellStyle name="Normal 10 16 5" xfId="12323" xr:uid="{00000000-0005-0000-0000-0000389C0000}"/>
    <cellStyle name="Normal 10 16 6" xfId="17799" xr:uid="{00000000-0005-0000-0000-0000399C0000}"/>
    <cellStyle name="Normal 10 16 7" xfId="23275" xr:uid="{00000000-0005-0000-0000-00003A9C0000}"/>
    <cellStyle name="Normal 10 16 8" xfId="35070" xr:uid="{00000000-0005-0000-0000-00003B9C0000}"/>
    <cellStyle name="Normal 10 16 9" xfId="40547" xr:uid="{00000000-0005-0000-0000-00003C9C0000}"/>
    <cellStyle name="Normal 10 17" xfId="1729" xr:uid="{00000000-0005-0000-0000-00003D9C0000}"/>
    <cellStyle name="Normal 10 17 10" xfId="46025" xr:uid="{00000000-0005-0000-0000-00003E9C0000}"/>
    <cellStyle name="Normal 10 17 11" xfId="51504" xr:uid="{00000000-0005-0000-0000-00003F9C0000}"/>
    <cellStyle name="Normal 10 17 2" xfId="3490" xr:uid="{00000000-0005-0000-0000-0000409C0000}"/>
    <cellStyle name="Normal 10 17 2 2" xfId="8970" xr:uid="{00000000-0005-0000-0000-0000419C0000}"/>
    <cellStyle name="Normal 10 17 2 3" xfId="14446" xr:uid="{00000000-0005-0000-0000-0000429C0000}"/>
    <cellStyle name="Normal 10 17 2 4" xfId="19922" xr:uid="{00000000-0005-0000-0000-0000439C0000}"/>
    <cellStyle name="Normal 10 17 2 5" xfId="25398" xr:uid="{00000000-0005-0000-0000-0000449C0000}"/>
    <cellStyle name="Normal 10 17 2 6" xfId="37194" xr:uid="{00000000-0005-0000-0000-0000459C0000}"/>
    <cellStyle name="Normal 10 17 2 7" xfId="42671" xr:uid="{00000000-0005-0000-0000-0000469C0000}"/>
    <cellStyle name="Normal 10 17 2 8" xfId="48148" xr:uid="{00000000-0005-0000-0000-0000479C0000}"/>
    <cellStyle name="Normal 10 17 2 9" xfId="53666" xr:uid="{00000000-0005-0000-0000-0000489C0000}"/>
    <cellStyle name="Normal 10 17 3" xfId="5262" xr:uid="{00000000-0005-0000-0000-0000499C0000}"/>
    <cellStyle name="Normal 10 17 3 2" xfId="10742" xr:uid="{00000000-0005-0000-0000-00004A9C0000}"/>
    <cellStyle name="Normal 10 17 3 3" xfId="16218" xr:uid="{00000000-0005-0000-0000-00004B9C0000}"/>
    <cellStyle name="Normal 10 17 3 4" xfId="21694" xr:uid="{00000000-0005-0000-0000-00004C9C0000}"/>
    <cellStyle name="Normal 10 17 3 5" xfId="27170" xr:uid="{00000000-0005-0000-0000-00004D9C0000}"/>
    <cellStyle name="Normal 10 17 3 6" xfId="38966" xr:uid="{00000000-0005-0000-0000-00004E9C0000}"/>
    <cellStyle name="Normal 10 17 3 7" xfId="44443" xr:uid="{00000000-0005-0000-0000-00004F9C0000}"/>
    <cellStyle name="Normal 10 17 3 8" xfId="49920" xr:uid="{00000000-0005-0000-0000-0000509C0000}"/>
    <cellStyle name="Normal 10 17 3 9" xfId="55438" xr:uid="{00000000-0005-0000-0000-0000519C0000}"/>
    <cellStyle name="Normal 10 17 4" xfId="6844" xr:uid="{00000000-0005-0000-0000-0000529C0000}"/>
    <cellStyle name="Normal 10 17 5" xfId="12324" xr:uid="{00000000-0005-0000-0000-0000539C0000}"/>
    <cellStyle name="Normal 10 17 6" xfId="17800" xr:uid="{00000000-0005-0000-0000-0000549C0000}"/>
    <cellStyle name="Normal 10 17 7" xfId="23276" xr:uid="{00000000-0005-0000-0000-0000559C0000}"/>
    <cellStyle name="Normal 10 17 8" xfId="35071" xr:uid="{00000000-0005-0000-0000-0000569C0000}"/>
    <cellStyle name="Normal 10 17 9" xfId="40548" xr:uid="{00000000-0005-0000-0000-0000579C0000}"/>
    <cellStyle name="Normal 10 18" xfId="1775" xr:uid="{00000000-0005-0000-0000-0000589C0000}"/>
    <cellStyle name="Normal 10 18 10" xfId="46026" xr:uid="{00000000-0005-0000-0000-0000599C0000}"/>
    <cellStyle name="Normal 10 18 11" xfId="51505" xr:uid="{00000000-0005-0000-0000-00005A9C0000}"/>
    <cellStyle name="Normal 10 18 2" xfId="3536" xr:uid="{00000000-0005-0000-0000-00005B9C0000}"/>
    <cellStyle name="Normal 10 18 2 2" xfId="9016" xr:uid="{00000000-0005-0000-0000-00005C9C0000}"/>
    <cellStyle name="Normal 10 18 2 3" xfId="14492" xr:uid="{00000000-0005-0000-0000-00005D9C0000}"/>
    <cellStyle name="Normal 10 18 2 4" xfId="19968" xr:uid="{00000000-0005-0000-0000-00005E9C0000}"/>
    <cellStyle name="Normal 10 18 2 5" xfId="25444" xr:uid="{00000000-0005-0000-0000-00005F9C0000}"/>
    <cellStyle name="Normal 10 18 2 6" xfId="37240" xr:uid="{00000000-0005-0000-0000-0000609C0000}"/>
    <cellStyle name="Normal 10 18 2 7" xfId="42717" xr:uid="{00000000-0005-0000-0000-0000619C0000}"/>
    <cellStyle name="Normal 10 18 2 8" xfId="48194" xr:uid="{00000000-0005-0000-0000-0000629C0000}"/>
    <cellStyle name="Normal 10 18 2 9" xfId="53712" xr:uid="{00000000-0005-0000-0000-0000639C0000}"/>
    <cellStyle name="Normal 10 18 3" xfId="5308" xr:uid="{00000000-0005-0000-0000-0000649C0000}"/>
    <cellStyle name="Normal 10 18 3 2" xfId="10788" xr:uid="{00000000-0005-0000-0000-0000659C0000}"/>
    <cellStyle name="Normal 10 18 3 3" xfId="16264" xr:uid="{00000000-0005-0000-0000-0000669C0000}"/>
    <cellStyle name="Normal 10 18 3 4" xfId="21740" xr:uid="{00000000-0005-0000-0000-0000679C0000}"/>
    <cellStyle name="Normal 10 18 3 5" xfId="27216" xr:uid="{00000000-0005-0000-0000-0000689C0000}"/>
    <cellStyle name="Normal 10 18 3 6" xfId="39012" xr:uid="{00000000-0005-0000-0000-0000699C0000}"/>
    <cellStyle name="Normal 10 18 3 7" xfId="44489" xr:uid="{00000000-0005-0000-0000-00006A9C0000}"/>
    <cellStyle name="Normal 10 18 3 8" xfId="49966" xr:uid="{00000000-0005-0000-0000-00006B9C0000}"/>
    <cellStyle name="Normal 10 18 3 9" xfId="55484" xr:uid="{00000000-0005-0000-0000-00006C9C0000}"/>
    <cellStyle name="Normal 10 18 4" xfId="6845" xr:uid="{00000000-0005-0000-0000-00006D9C0000}"/>
    <cellStyle name="Normal 10 18 5" xfId="12325" xr:uid="{00000000-0005-0000-0000-00006E9C0000}"/>
    <cellStyle name="Normal 10 18 6" xfId="17801" xr:uid="{00000000-0005-0000-0000-00006F9C0000}"/>
    <cellStyle name="Normal 10 18 7" xfId="23277" xr:uid="{00000000-0005-0000-0000-0000709C0000}"/>
    <cellStyle name="Normal 10 18 8" xfId="35072" xr:uid="{00000000-0005-0000-0000-0000719C0000}"/>
    <cellStyle name="Normal 10 18 9" xfId="40549" xr:uid="{00000000-0005-0000-0000-0000729C0000}"/>
    <cellStyle name="Normal 10 19" xfId="2027" xr:uid="{00000000-0005-0000-0000-0000739C0000}"/>
    <cellStyle name="Normal 10 19 10" xfId="52204" xr:uid="{00000000-0005-0000-0000-0000749C0000}"/>
    <cellStyle name="Normal 10 19 2" xfId="5559" xr:uid="{00000000-0005-0000-0000-0000759C0000}"/>
    <cellStyle name="Normal 10 19 2 2" xfId="11039" xr:uid="{00000000-0005-0000-0000-0000769C0000}"/>
    <cellStyle name="Normal 10 19 2 3" xfId="16515" xr:uid="{00000000-0005-0000-0000-0000779C0000}"/>
    <cellStyle name="Normal 10 19 2 4" xfId="21991" xr:uid="{00000000-0005-0000-0000-0000789C0000}"/>
    <cellStyle name="Normal 10 19 2 5" xfId="27467" xr:uid="{00000000-0005-0000-0000-0000799C0000}"/>
    <cellStyle name="Normal 10 19 2 6" xfId="39263" xr:uid="{00000000-0005-0000-0000-00007A9C0000}"/>
    <cellStyle name="Normal 10 19 2 7" xfId="44740" xr:uid="{00000000-0005-0000-0000-00007B9C0000}"/>
    <cellStyle name="Normal 10 19 2 8" xfId="50217" xr:uid="{00000000-0005-0000-0000-00007C9C0000}"/>
    <cellStyle name="Normal 10 19 2 9" xfId="55735" xr:uid="{00000000-0005-0000-0000-00007D9C0000}"/>
    <cellStyle name="Normal 10 19 3" xfId="7508" xr:uid="{00000000-0005-0000-0000-00007E9C0000}"/>
    <cellStyle name="Normal 10 19 4" xfId="12984" xr:uid="{00000000-0005-0000-0000-00007F9C0000}"/>
    <cellStyle name="Normal 10 19 5" xfId="18460" xr:uid="{00000000-0005-0000-0000-0000809C0000}"/>
    <cellStyle name="Normal 10 19 6" xfId="23936" xr:uid="{00000000-0005-0000-0000-0000819C0000}"/>
    <cellStyle name="Normal 10 19 7" xfId="35732" xr:uid="{00000000-0005-0000-0000-0000829C0000}"/>
    <cellStyle name="Normal 10 19 8" xfId="41209" xr:uid="{00000000-0005-0000-0000-0000839C0000}"/>
    <cellStyle name="Normal 10 19 9" xfId="46686" xr:uid="{00000000-0005-0000-0000-0000849C0000}"/>
    <cellStyle name="Normal 10 2" xfId="119" xr:uid="{00000000-0005-0000-0000-0000859C0000}"/>
    <cellStyle name="Normal 10 2 10" xfId="1666" xr:uid="{00000000-0005-0000-0000-0000869C0000}"/>
    <cellStyle name="Normal 10 2 10 10" xfId="46028" xr:uid="{00000000-0005-0000-0000-0000879C0000}"/>
    <cellStyle name="Normal 10 2 10 11" xfId="51507" xr:uid="{00000000-0005-0000-0000-0000889C0000}"/>
    <cellStyle name="Normal 10 2 10 2" xfId="3427" xr:uid="{00000000-0005-0000-0000-0000899C0000}"/>
    <cellStyle name="Normal 10 2 10 2 2" xfId="8907" xr:uid="{00000000-0005-0000-0000-00008A9C0000}"/>
    <cellStyle name="Normal 10 2 10 2 3" xfId="14383" xr:uid="{00000000-0005-0000-0000-00008B9C0000}"/>
    <cellStyle name="Normal 10 2 10 2 4" xfId="19859" xr:uid="{00000000-0005-0000-0000-00008C9C0000}"/>
    <cellStyle name="Normal 10 2 10 2 5" xfId="25335" xr:uid="{00000000-0005-0000-0000-00008D9C0000}"/>
    <cellStyle name="Normal 10 2 10 2 6" xfId="37131" xr:uid="{00000000-0005-0000-0000-00008E9C0000}"/>
    <cellStyle name="Normal 10 2 10 2 7" xfId="42608" xr:uid="{00000000-0005-0000-0000-00008F9C0000}"/>
    <cellStyle name="Normal 10 2 10 2 8" xfId="48085" xr:uid="{00000000-0005-0000-0000-0000909C0000}"/>
    <cellStyle name="Normal 10 2 10 2 9" xfId="53603" xr:uid="{00000000-0005-0000-0000-0000919C0000}"/>
    <cellStyle name="Normal 10 2 10 3" xfId="5199" xr:uid="{00000000-0005-0000-0000-0000929C0000}"/>
    <cellStyle name="Normal 10 2 10 3 2" xfId="10679" xr:uid="{00000000-0005-0000-0000-0000939C0000}"/>
    <cellStyle name="Normal 10 2 10 3 3" xfId="16155" xr:uid="{00000000-0005-0000-0000-0000949C0000}"/>
    <cellStyle name="Normal 10 2 10 3 4" xfId="21631" xr:uid="{00000000-0005-0000-0000-0000959C0000}"/>
    <cellStyle name="Normal 10 2 10 3 5" xfId="27107" xr:uid="{00000000-0005-0000-0000-0000969C0000}"/>
    <cellStyle name="Normal 10 2 10 3 6" xfId="38903" xr:uid="{00000000-0005-0000-0000-0000979C0000}"/>
    <cellStyle name="Normal 10 2 10 3 7" xfId="44380" xr:uid="{00000000-0005-0000-0000-0000989C0000}"/>
    <cellStyle name="Normal 10 2 10 3 8" xfId="49857" xr:uid="{00000000-0005-0000-0000-0000999C0000}"/>
    <cellStyle name="Normal 10 2 10 3 9" xfId="55375" xr:uid="{00000000-0005-0000-0000-00009A9C0000}"/>
    <cellStyle name="Normal 10 2 10 4" xfId="6847" xr:uid="{00000000-0005-0000-0000-00009B9C0000}"/>
    <cellStyle name="Normal 10 2 10 5" xfId="12327" xr:uid="{00000000-0005-0000-0000-00009C9C0000}"/>
    <cellStyle name="Normal 10 2 10 6" xfId="17803" xr:uid="{00000000-0005-0000-0000-00009D9C0000}"/>
    <cellStyle name="Normal 10 2 10 7" xfId="23279" xr:uid="{00000000-0005-0000-0000-00009E9C0000}"/>
    <cellStyle name="Normal 10 2 10 8" xfId="35074" xr:uid="{00000000-0005-0000-0000-00009F9C0000}"/>
    <cellStyle name="Normal 10 2 10 9" xfId="40551" xr:uid="{00000000-0005-0000-0000-0000A09C0000}"/>
    <cellStyle name="Normal 10 2 11" xfId="1859" xr:uid="{00000000-0005-0000-0000-0000A19C0000}"/>
    <cellStyle name="Normal 10 2 11 10" xfId="46029" xr:uid="{00000000-0005-0000-0000-0000A29C0000}"/>
    <cellStyle name="Normal 10 2 11 11" xfId="51508" xr:uid="{00000000-0005-0000-0000-0000A39C0000}"/>
    <cellStyle name="Normal 10 2 11 2" xfId="3620" xr:uid="{00000000-0005-0000-0000-0000A49C0000}"/>
    <cellStyle name="Normal 10 2 11 2 2" xfId="9100" xr:uid="{00000000-0005-0000-0000-0000A59C0000}"/>
    <cellStyle name="Normal 10 2 11 2 3" xfId="14576" xr:uid="{00000000-0005-0000-0000-0000A69C0000}"/>
    <cellStyle name="Normal 10 2 11 2 4" xfId="20052" xr:uid="{00000000-0005-0000-0000-0000A79C0000}"/>
    <cellStyle name="Normal 10 2 11 2 5" xfId="25528" xr:uid="{00000000-0005-0000-0000-0000A89C0000}"/>
    <cellStyle name="Normal 10 2 11 2 6" xfId="37324" xr:uid="{00000000-0005-0000-0000-0000A99C0000}"/>
    <cellStyle name="Normal 10 2 11 2 7" xfId="42801" xr:uid="{00000000-0005-0000-0000-0000AA9C0000}"/>
    <cellStyle name="Normal 10 2 11 2 8" xfId="48278" xr:uid="{00000000-0005-0000-0000-0000AB9C0000}"/>
    <cellStyle name="Normal 10 2 11 2 9" xfId="53796" xr:uid="{00000000-0005-0000-0000-0000AC9C0000}"/>
    <cellStyle name="Normal 10 2 11 3" xfId="5392" xr:uid="{00000000-0005-0000-0000-0000AD9C0000}"/>
    <cellStyle name="Normal 10 2 11 3 2" xfId="10872" xr:uid="{00000000-0005-0000-0000-0000AE9C0000}"/>
    <cellStyle name="Normal 10 2 11 3 3" xfId="16348" xr:uid="{00000000-0005-0000-0000-0000AF9C0000}"/>
    <cellStyle name="Normal 10 2 11 3 4" xfId="21824" xr:uid="{00000000-0005-0000-0000-0000B09C0000}"/>
    <cellStyle name="Normal 10 2 11 3 5" xfId="27300" xr:uid="{00000000-0005-0000-0000-0000B19C0000}"/>
    <cellStyle name="Normal 10 2 11 3 6" xfId="39096" xr:uid="{00000000-0005-0000-0000-0000B29C0000}"/>
    <cellStyle name="Normal 10 2 11 3 7" xfId="44573" xr:uid="{00000000-0005-0000-0000-0000B39C0000}"/>
    <cellStyle name="Normal 10 2 11 3 8" xfId="50050" xr:uid="{00000000-0005-0000-0000-0000B49C0000}"/>
    <cellStyle name="Normal 10 2 11 3 9" xfId="55568" xr:uid="{00000000-0005-0000-0000-0000B59C0000}"/>
    <cellStyle name="Normal 10 2 11 4" xfId="6848" xr:uid="{00000000-0005-0000-0000-0000B69C0000}"/>
    <cellStyle name="Normal 10 2 11 5" xfId="12328" xr:uid="{00000000-0005-0000-0000-0000B79C0000}"/>
    <cellStyle name="Normal 10 2 11 6" xfId="17804" xr:uid="{00000000-0005-0000-0000-0000B89C0000}"/>
    <cellStyle name="Normal 10 2 11 7" xfId="23280" xr:uid="{00000000-0005-0000-0000-0000B99C0000}"/>
    <cellStyle name="Normal 10 2 11 8" xfId="35075" xr:uid="{00000000-0005-0000-0000-0000BA9C0000}"/>
    <cellStyle name="Normal 10 2 11 9" xfId="40552" xr:uid="{00000000-0005-0000-0000-0000BB9C0000}"/>
    <cellStyle name="Normal 10 2 12" xfId="2028" xr:uid="{00000000-0005-0000-0000-0000BC9C0000}"/>
    <cellStyle name="Normal 10 2 12 10" xfId="52205" xr:uid="{00000000-0005-0000-0000-0000BD9C0000}"/>
    <cellStyle name="Normal 10 2 12 2" xfId="5560" xr:uid="{00000000-0005-0000-0000-0000BE9C0000}"/>
    <cellStyle name="Normal 10 2 12 2 2" xfId="11040" xr:uid="{00000000-0005-0000-0000-0000BF9C0000}"/>
    <cellStyle name="Normal 10 2 12 2 3" xfId="16516" xr:uid="{00000000-0005-0000-0000-0000C09C0000}"/>
    <cellStyle name="Normal 10 2 12 2 4" xfId="21992" xr:uid="{00000000-0005-0000-0000-0000C19C0000}"/>
    <cellStyle name="Normal 10 2 12 2 5" xfId="27468" xr:uid="{00000000-0005-0000-0000-0000C29C0000}"/>
    <cellStyle name="Normal 10 2 12 2 6" xfId="39264" xr:uid="{00000000-0005-0000-0000-0000C39C0000}"/>
    <cellStyle name="Normal 10 2 12 2 7" xfId="44741" xr:uid="{00000000-0005-0000-0000-0000C49C0000}"/>
    <cellStyle name="Normal 10 2 12 2 8" xfId="50218" xr:uid="{00000000-0005-0000-0000-0000C59C0000}"/>
    <cellStyle name="Normal 10 2 12 2 9" xfId="55736" xr:uid="{00000000-0005-0000-0000-0000C69C0000}"/>
    <cellStyle name="Normal 10 2 12 3" xfId="7509" xr:uid="{00000000-0005-0000-0000-0000C79C0000}"/>
    <cellStyle name="Normal 10 2 12 4" xfId="12985" xr:uid="{00000000-0005-0000-0000-0000C89C0000}"/>
    <cellStyle name="Normal 10 2 12 5" xfId="18461" xr:uid="{00000000-0005-0000-0000-0000C99C0000}"/>
    <cellStyle name="Normal 10 2 12 6" xfId="23937" xr:uid="{00000000-0005-0000-0000-0000CA9C0000}"/>
    <cellStyle name="Normal 10 2 12 7" xfId="35733" xr:uid="{00000000-0005-0000-0000-0000CB9C0000}"/>
    <cellStyle name="Normal 10 2 12 8" xfId="41210" xr:uid="{00000000-0005-0000-0000-0000CC9C0000}"/>
    <cellStyle name="Normal 10 2 12 9" xfId="46687" xr:uid="{00000000-0005-0000-0000-0000CD9C0000}"/>
    <cellStyle name="Normal 10 2 13" xfId="3697" xr:uid="{00000000-0005-0000-0000-0000CE9C0000}"/>
    <cellStyle name="Normal 10 2 13 2" xfId="9177" xr:uid="{00000000-0005-0000-0000-0000CF9C0000}"/>
    <cellStyle name="Normal 10 2 13 3" xfId="14653" xr:uid="{00000000-0005-0000-0000-0000D09C0000}"/>
    <cellStyle name="Normal 10 2 13 4" xfId="20129" xr:uid="{00000000-0005-0000-0000-0000D19C0000}"/>
    <cellStyle name="Normal 10 2 13 5" xfId="25605" xr:uid="{00000000-0005-0000-0000-0000D29C0000}"/>
    <cellStyle name="Normal 10 2 13 6" xfId="37401" xr:uid="{00000000-0005-0000-0000-0000D39C0000}"/>
    <cellStyle name="Normal 10 2 13 7" xfId="42878" xr:uid="{00000000-0005-0000-0000-0000D49C0000}"/>
    <cellStyle name="Normal 10 2 13 8" xfId="48355" xr:uid="{00000000-0005-0000-0000-0000D59C0000}"/>
    <cellStyle name="Normal 10 2 13 9" xfId="53873" xr:uid="{00000000-0005-0000-0000-0000D69C0000}"/>
    <cellStyle name="Normal 10 2 14" xfId="6846" xr:uid="{00000000-0005-0000-0000-0000D79C0000}"/>
    <cellStyle name="Normal 10 2 15" xfId="12326" xr:uid="{00000000-0005-0000-0000-0000D89C0000}"/>
    <cellStyle name="Normal 10 2 16" xfId="17802" xr:uid="{00000000-0005-0000-0000-0000D99C0000}"/>
    <cellStyle name="Normal 10 2 17" xfId="23278" xr:uid="{00000000-0005-0000-0000-0000DA9C0000}"/>
    <cellStyle name="Normal 10 2 18" xfId="32897" xr:uid="{00000000-0005-0000-0000-0000DB9C0000}"/>
    <cellStyle name="Normal 10 2 19" xfId="35073" xr:uid="{00000000-0005-0000-0000-0000DC9C0000}"/>
    <cellStyle name="Normal 10 2 2" xfId="217" xr:uid="{00000000-0005-0000-0000-0000DD9C0000}"/>
    <cellStyle name="Normal 10 2 2 10" xfId="1860" xr:uid="{00000000-0005-0000-0000-0000DE9C0000}"/>
    <cellStyle name="Normal 10 2 2 10 10" xfId="46031" xr:uid="{00000000-0005-0000-0000-0000DF9C0000}"/>
    <cellStyle name="Normal 10 2 2 10 11" xfId="51510" xr:uid="{00000000-0005-0000-0000-0000E09C0000}"/>
    <cellStyle name="Normal 10 2 2 10 2" xfId="3621" xr:uid="{00000000-0005-0000-0000-0000E19C0000}"/>
    <cellStyle name="Normal 10 2 2 10 2 2" xfId="9101" xr:uid="{00000000-0005-0000-0000-0000E29C0000}"/>
    <cellStyle name="Normal 10 2 2 10 2 3" xfId="14577" xr:uid="{00000000-0005-0000-0000-0000E39C0000}"/>
    <cellStyle name="Normal 10 2 2 10 2 4" xfId="20053" xr:uid="{00000000-0005-0000-0000-0000E49C0000}"/>
    <cellStyle name="Normal 10 2 2 10 2 5" xfId="25529" xr:uid="{00000000-0005-0000-0000-0000E59C0000}"/>
    <cellStyle name="Normal 10 2 2 10 2 6" xfId="37325" xr:uid="{00000000-0005-0000-0000-0000E69C0000}"/>
    <cellStyle name="Normal 10 2 2 10 2 7" xfId="42802" xr:uid="{00000000-0005-0000-0000-0000E79C0000}"/>
    <cellStyle name="Normal 10 2 2 10 2 8" xfId="48279" xr:uid="{00000000-0005-0000-0000-0000E89C0000}"/>
    <cellStyle name="Normal 10 2 2 10 2 9" xfId="53797" xr:uid="{00000000-0005-0000-0000-0000E99C0000}"/>
    <cellStyle name="Normal 10 2 2 10 3" xfId="5393" xr:uid="{00000000-0005-0000-0000-0000EA9C0000}"/>
    <cellStyle name="Normal 10 2 2 10 3 2" xfId="10873" xr:uid="{00000000-0005-0000-0000-0000EB9C0000}"/>
    <cellStyle name="Normal 10 2 2 10 3 3" xfId="16349" xr:uid="{00000000-0005-0000-0000-0000EC9C0000}"/>
    <cellStyle name="Normal 10 2 2 10 3 4" xfId="21825" xr:uid="{00000000-0005-0000-0000-0000ED9C0000}"/>
    <cellStyle name="Normal 10 2 2 10 3 5" xfId="27301" xr:uid="{00000000-0005-0000-0000-0000EE9C0000}"/>
    <cellStyle name="Normal 10 2 2 10 3 6" xfId="39097" xr:uid="{00000000-0005-0000-0000-0000EF9C0000}"/>
    <cellStyle name="Normal 10 2 2 10 3 7" xfId="44574" xr:uid="{00000000-0005-0000-0000-0000F09C0000}"/>
    <cellStyle name="Normal 10 2 2 10 3 8" xfId="50051" xr:uid="{00000000-0005-0000-0000-0000F19C0000}"/>
    <cellStyle name="Normal 10 2 2 10 3 9" xfId="55569" xr:uid="{00000000-0005-0000-0000-0000F29C0000}"/>
    <cellStyle name="Normal 10 2 2 10 4" xfId="6850" xr:uid="{00000000-0005-0000-0000-0000F39C0000}"/>
    <cellStyle name="Normal 10 2 2 10 5" xfId="12330" xr:uid="{00000000-0005-0000-0000-0000F49C0000}"/>
    <cellStyle name="Normal 10 2 2 10 6" xfId="17806" xr:uid="{00000000-0005-0000-0000-0000F59C0000}"/>
    <cellStyle name="Normal 10 2 2 10 7" xfId="23282" xr:uid="{00000000-0005-0000-0000-0000F69C0000}"/>
    <cellStyle name="Normal 10 2 2 10 8" xfId="35077" xr:uid="{00000000-0005-0000-0000-0000F79C0000}"/>
    <cellStyle name="Normal 10 2 2 10 9" xfId="40554" xr:uid="{00000000-0005-0000-0000-0000F89C0000}"/>
    <cellStyle name="Normal 10 2 2 11" xfId="2029" xr:uid="{00000000-0005-0000-0000-0000F99C0000}"/>
    <cellStyle name="Normal 10 2 2 11 10" xfId="52206" xr:uid="{00000000-0005-0000-0000-0000FA9C0000}"/>
    <cellStyle name="Normal 10 2 2 11 2" xfId="5561" xr:uid="{00000000-0005-0000-0000-0000FB9C0000}"/>
    <cellStyle name="Normal 10 2 2 11 2 2" xfId="11041" xr:uid="{00000000-0005-0000-0000-0000FC9C0000}"/>
    <cellStyle name="Normal 10 2 2 11 2 3" xfId="16517" xr:uid="{00000000-0005-0000-0000-0000FD9C0000}"/>
    <cellStyle name="Normal 10 2 2 11 2 4" xfId="21993" xr:uid="{00000000-0005-0000-0000-0000FE9C0000}"/>
    <cellStyle name="Normal 10 2 2 11 2 5" xfId="27469" xr:uid="{00000000-0005-0000-0000-0000FF9C0000}"/>
    <cellStyle name="Normal 10 2 2 11 2 6" xfId="39265" xr:uid="{00000000-0005-0000-0000-0000009D0000}"/>
    <cellStyle name="Normal 10 2 2 11 2 7" xfId="44742" xr:uid="{00000000-0005-0000-0000-0000019D0000}"/>
    <cellStyle name="Normal 10 2 2 11 2 8" xfId="50219" xr:uid="{00000000-0005-0000-0000-0000029D0000}"/>
    <cellStyle name="Normal 10 2 2 11 2 9" xfId="55737" xr:uid="{00000000-0005-0000-0000-0000039D0000}"/>
    <cellStyle name="Normal 10 2 2 11 3" xfId="7510" xr:uid="{00000000-0005-0000-0000-0000049D0000}"/>
    <cellStyle name="Normal 10 2 2 11 4" xfId="12986" xr:uid="{00000000-0005-0000-0000-0000059D0000}"/>
    <cellStyle name="Normal 10 2 2 11 5" xfId="18462" xr:uid="{00000000-0005-0000-0000-0000069D0000}"/>
    <cellStyle name="Normal 10 2 2 11 6" xfId="23938" xr:uid="{00000000-0005-0000-0000-0000079D0000}"/>
    <cellStyle name="Normal 10 2 2 11 7" xfId="35734" xr:uid="{00000000-0005-0000-0000-0000089D0000}"/>
    <cellStyle name="Normal 10 2 2 11 8" xfId="41211" xr:uid="{00000000-0005-0000-0000-0000099D0000}"/>
    <cellStyle name="Normal 10 2 2 11 9" xfId="46688" xr:uid="{00000000-0005-0000-0000-00000A9D0000}"/>
    <cellStyle name="Normal 10 2 2 12" xfId="3783" xr:uid="{00000000-0005-0000-0000-00000B9D0000}"/>
    <cellStyle name="Normal 10 2 2 12 2" xfId="9263" xr:uid="{00000000-0005-0000-0000-00000C9D0000}"/>
    <cellStyle name="Normal 10 2 2 12 3" xfId="14739" xr:uid="{00000000-0005-0000-0000-00000D9D0000}"/>
    <cellStyle name="Normal 10 2 2 12 4" xfId="20215" xr:uid="{00000000-0005-0000-0000-00000E9D0000}"/>
    <cellStyle name="Normal 10 2 2 12 5" xfId="25691" xr:uid="{00000000-0005-0000-0000-00000F9D0000}"/>
    <cellStyle name="Normal 10 2 2 12 6" xfId="37487" xr:uid="{00000000-0005-0000-0000-0000109D0000}"/>
    <cellStyle name="Normal 10 2 2 12 7" xfId="42964" xr:uid="{00000000-0005-0000-0000-0000119D0000}"/>
    <cellStyle name="Normal 10 2 2 12 8" xfId="48441" xr:uid="{00000000-0005-0000-0000-0000129D0000}"/>
    <cellStyle name="Normal 10 2 2 12 9" xfId="53959" xr:uid="{00000000-0005-0000-0000-0000139D0000}"/>
    <cellStyle name="Normal 10 2 2 13" xfId="6849" xr:uid="{00000000-0005-0000-0000-0000149D0000}"/>
    <cellStyle name="Normal 10 2 2 14" xfId="12329" xr:uid="{00000000-0005-0000-0000-0000159D0000}"/>
    <cellStyle name="Normal 10 2 2 15" xfId="17805" xr:uid="{00000000-0005-0000-0000-0000169D0000}"/>
    <cellStyle name="Normal 10 2 2 16" xfId="23281" xr:uid="{00000000-0005-0000-0000-0000179D0000}"/>
    <cellStyle name="Normal 10 2 2 17" xfId="32898" xr:uid="{00000000-0005-0000-0000-0000189D0000}"/>
    <cellStyle name="Normal 10 2 2 18" xfId="35076" xr:uid="{00000000-0005-0000-0000-0000199D0000}"/>
    <cellStyle name="Normal 10 2 2 19" xfId="40553" xr:uid="{00000000-0005-0000-0000-00001A9D0000}"/>
    <cellStyle name="Normal 10 2 2 2" xfId="424" xr:uid="{00000000-0005-0000-0000-00001B9D0000}"/>
    <cellStyle name="Normal 10 2 2 2 10" xfId="40555" xr:uid="{00000000-0005-0000-0000-00001C9D0000}"/>
    <cellStyle name="Normal 10 2 2 2 11" xfId="46032" xr:uid="{00000000-0005-0000-0000-00001D9D0000}"/>
    <cellStyle name="Normal 10 2 2 2 12" xfId="51511" xr:uid="{00000000-0005-0000-0000-00001E9D0000}"/>
    <cellStyle name="Normal 10 2 2 2 2" xfId="2190" xr:uid="{00000000-0005-0000-0000-00001F9D0000}"/>
    <cellStyle name="Normal 10 2 2 2 2 2" xfId="7670" xr:uid="{00000000-0005-0000-0000-0000209D0000}"/>
    <cellStyle name="Normal 10 2 2 2 2 3" xfId="13146" xr:uid="{00000000-0005-0000-0000-0000219D0000}"/>
    <cellStyle name="Normal 10 2 2 2 2 4" xfId="18622" xr:uid="{00000000-0005-0000-0000-0000229D0000}"/>
    <cellStyle name="Normal 10 2 2 2 2 5" xfId="24098" xr:uid="{00000000-0005-0000-0000-0000239D0000}"/>
    <cellStyle name="Normal 10 2 2 2 2 6" xfId="35894" xr:uid="{00000000-0005-0000-0000-0000249D0000}"/>
    <cellStyle name="Normal 10 2 2 2 2 7" xfId="41371" xr:uid="{00000000-0005-0000-0000-0000259D0000}"/>
    <cellStyle name="Normal 10 2 2 2 2 8" xfId="46848" xr:uid="{00000000-0005-0000-0000-0000269D0000}"/>
    <cellStyle name="Normal 10 2 2 2 2 9" xfId="52366" xr:uid="{00000000-0005-0000-0000-0000279D0000}"/>
    <cellStyle name="Normal 10 2 2 2 3" xfId="3962" xr:uid="{00000000-0005-0000-0000-0000289D0000}"/>
    <cellStyle name="Normal 10 2 2 2 3 2" xfId="9442" xr:uid="{00000000-0005-0000-0000-0000299D0000}"/>
    <cellStyle name="Normal 10 2 2 2 3 3" xfId="14918" xr:uid="{00000000-0005-0000-0000-00002A9D0000}"/>
    <cellStyle name="Normal 10 2 2 2 3 4" xfId="20394" xr:uid="{00000000-0005-0000-0000-00002B9D0000}"/>
    <cellStyle name="Normal 10 2 2 2 3 5" xfId="25870" xr:uid="{00000000-0005-0000-0000-00002C9D0000}"/>
    <cellStyle name="Normal 10 2 2 2 3 6" xfId="37666" xr:uid="{00000000-0005-0000-0000-00002D9D0000}"/>
    <cellStyle name="Normal 10 2 2 2 3 7" xfId="43143" xr:uid="{00000000-0005-0000-0000-00002E9D0000}"/>
    <cellStyle name="Normal 10 2 2 2 3 8" xfId="48620" xr:uid="{00000000-0005-0000-0000-00002F9D0000}"/>
    <cellStyle name="Normal 10 2 2 2 3 9" xfId="54138" xr:uid="{00000000-0005-0000-0000-0000309D0000}"/>
    <cellStyle name="Normal 10 2 2 2 4" xfId="6851" xr:uid="{00000000-0005-0000-0000-0000319D0000}"/>
    <cellStyle name="Normal 10 2 2 2 5" xfId="12331" xr:uid="{00000000-0005-0000-0000-0000329D0000}"/>
    <cellStyle name="Normal 10 2 2 2 6" xfId="17807" xr:uid="{00000000-0005-0000-0000-0000339D0000}"/>
    <cellStyle name="Normal 10 2 2 2 7" xfId="23283" xr:uid="{00000000-0005-0000-0000-0000349D0000}"/>
    <cellStyle name="Normal 10 2 2 2 8" xfId="32899" xr:uid="{00000000-0005-0000-0000-0000359D0000}"/>
    <cellStyle name="Normal 10 2 2 2 9" xfId="35078" xr:uid="{00000000-0005-0000-0000-0000369D0000}"/>
    <cellStyle name="Normal 10 2 2 20" xfId="46030" xr:uid="{00000000-0005-0000-0000-0000379D0000}"/>
    <cellStyle name="Normal 10 2 2 21" xfId="51509" xr:uid="{00000000-0005-0000-0000-0000389D0000}"/>
    <cellStyle name="Normal 10 2 2 3" xfId="601" xr:uid="{00000000-0005-0000-0000-0000399D0000}"/>
    <cellStyle name="Normal 10 2 2 3 10" xfId="46033" xr:uid="{00000000-0005-0000-0000-00003A9D0000}"/>
    <cellStyle name="Normal 10 2 2 3 11" xfId="51512" xr:uid="{00000000-0005-0000-0000-00003B9D0000}"/>
    <cellStyle name="Normal 10 2 2 3 2" xfId="2362" xr:uid="{00000000-0005-0000-0000-00003C9D0000}"/>
    <cellStyle name="Normal 10 2 2 3 2 2" xfId="7842" xr:uid="{00000000-0005-0000-0000-00003D9D0000}"/>
    <cellStyle name="Normal 10 2 2 3 2 3" xfId="13318" xr:uid="{00000000-0005-0000-0000-00003E9D0000}"/>
    <cellStyle name="Normal 10 2 2 3 2 4" xfId="18794" xr:uid="{00000000-0005-0000-0000-00003F9D0000}"/>
    <cellStyle name="Normal 10 2 2 3 2 5" xfId="24270" xr:uid="{00000000-0005-0000-0000-0000409D0000}"/>
    <cellStyle name="Normal 10 2 2 3 2 6" xfId="36066" xr:uid="{00000000-0005-0000-0000-0000419D0000}"/>
    <cellStyle name="Normal 10 2 2 3 2 7" xfId="41543" xr:uid="{00000000-0005-0000-0000-0000429D0000}"/>
    <cellStyle name="Normal 10 2 2 3 2 8" xfId="47020" xr:uid="{00000000-0005-0000-0000-0000439D0000}"/>
    <cellStyle name="Normal 10 2 2 3 2 9" xfId="52538" xr:uid="{00000000-0005-0000-0000-0000449D0000}"/>
    <cellStyle name="Normal 10 2 2 3 3" xfId="4134" xr:uid="{00000000-0005-0000-0000-0000459D0000}"/>
    <cellStyle name="Normal 10 2 2 3 3 2" xfId="9614" xr:uid="{00000000-0005-0000-0000-0000469D0000}"/>
    <cellStyle name="Normal 10 2 2 3 3 3" xfId="15090" xr:uid="{00000000-0005-0000-0000-0000479D0000}"/>
    <cellStyle name="Normal 10 2 2 3 3 4" xfId="20566" xr:uid="{00000000-0005-0000-0000-0000489D0000}"/>
    <cellStyle name="Normal 10 2 2 3 3 5" xfId="26042" xr:uid="{00000000-0005-0000-0000-0000499D0000}"/>
    <cellStyle name="Normal 10 2 2 3 3 6" xfId="37838" xr:uid="{00000000-0005-0000-0000-00004A9D0000}"/>
    <cellStyle name="Normal 10 2 2 3 3 7" xfId="43315" xr:uid="{00000000-0005-0000-0000-00004B9D0000}"/>
    <cellStyle name="Normal 10 2 2 3 3 8" xfId="48792" xr:uid="{00000000-0005-0000-0000-00004C9D0000}"/>
    <cellStyle name="Normal 10 2 2 3 3 9" xfId="54310" xr:uid="{00000000-0005-0000-0000-00004D9D0000}"/>
    <cellStyle name="Normal 10 2 2 3 4" xfId="6852" xr:uid="{00000000-0005-0000-0000-00004E9D0000}"/>
    <cellStyle name="Normal 10 2 2 3 5" xfId="12332" xr:uid="{00000000-0005-0000-0000-00004F9D0000}"/>
    <cellStyle name="Normal 10 2 2 3 6" xfId="17808" xr:uid="{00000000-0005-0000-0000-0000509D0000}"/>
    <cellStyle name="Normal 10 2 2 3 7" xfId="23284" xr:uid="{00000000-0005-0000-0000-0000519D0000}"/>
    <cellStyle name="Normal 10 2 2 3 8" xfId="35079" xr:uid="{00000000-0005-0000-0000-0000529D0000}"/>
    <cellStyle name="Normal 10 2 2 3 9" xfId="40556" xr:uid="{00000000-0005-0000-0000-0000539D0000}"/>
    <cellStyle name="Normal 10 2 2 4" xfId="773" xr:uid="{00000000-0005-0000-0000-0000549D0000}"/>
    <cellStyle name="Normal 10 2 2 4 10" xfId="46034" xr:uid="{00000000-0005-0000-0000-0000559D0000}"/>
    <cellStyle name="Normal 10 2 2 4 11" xfId="51513" xr:uid="{00000000-0005-0000-0000-0000569D0000}"/>
    <cellStyle name="Normal 10 2 2 4 2" xfId="2534" xr:uid="{00000000-0005-0000-0000-0000579D0000}"/>
    <cellStyle name="Normal 10 2 2 4 2 2" xfId="8014" xr:uid="{00000000-0005-0000-0000-0000589D0000}"/>
    <cellStyle name="Normal 10 2 2 4 2 3" xfId="13490" xr:uid="{00000000-0005-0000-0000-0000599D0000}"/>
    <cellStyle name="Normal 10 2 2 4 2 4" xfId="18966" xr:uid="{00000000-0005-0000-0000-00005A9D0000}"/>
    <cellStyle name="Normal 10 2 2 4 2 5" xfId="24442" xr:uid="{00000000-0005-0000-0000-00005B9D0000}"/>
    <cellStyle name="Normal 10 2 2 4 2 6" xfId="36238" xr:uid="{00000000-0005-0000-0000-00005C9D0000}"/>
    <cellStyle name="Normal 10 2 2 4 2 7" xfId="41715" xr:uid="{00000000-0005-0000-0000-00005D9D0000}"/>
    <cellStyle name="Normal 10 2 2 4 2 8" xfId="47192" xr:uid="{00000000-0005-0000-0000-00005E9D0000}"/>
    <cellStyle name="Normal 10 2 2 4 2 9" xfId="52710" xr:uid="{00000000-0005-0000-0000-00005F9D0000}"/>
    <cellStyle name="Normal 10 2 2 4 3" xfId="4306" xr:uid="{00000000-0005-0000-0000-0000609D0000}"/>
    <cellStyle name="Normal 10 2 2 4 3 2" xfId="9786" xr:uid="{00000000-0005-0000-0000-0000619D0000}"/>
    <cellStyle name="Normal 10 2 2 4 3 3" xfId="15262" xr:uid="{00000000-0005-0000-0000-0000629D0000}"/>
    <cellStyle name="Normal 10 2 2 4 3 4" xfId="20738" xr:uid="{00000000-0005-0000-0000-0000639D0000}"/>
    <cellStyle name="Normal 10 2 2 4 3 5" xfId="26214" xr:uid="{00000000-0005-0000-0000-0000649D0000}"/>
    <cellStyle name="Normal 10 2 2 4 3 6" xfId="38010" xr:uid="{00000000-0005-0000-0000-0000659D0000}"/>
    <cellStyle name="Normal 10 2 2 4 3 7" xfId="43487" xr:uid="{00000000-0005-0000-0000-0000669D0000}"/>
    <cellStyle name="Normal 10 2 2 4 3 8" xfId="48964" xr:uid="{00000000-0005-0000-0000-0000679D0000}"/>
    <cellStyle name="Normal 10 2 2 4 3 9" xfId="54482" xr:uid="{00000000-0005-0000-0000-0000689D0000}"/>
    <cellStyle name="Normal 10 2 2 4 4" xfId="6853" xr:uid="{00000000-0005-0000-0000-0000699D0000}"/>
    <cellStyle name="Normal 10 2 2 4 5" xfId="12333" xr:uid="{00000000-0005-0000-0000-00006A9D0000}"/>
    <cellStyle name="Normal 10 2 2 4 6" xfId="17809" xr:uid="{00000000-0005-0000-0000-00006B9D0000}"/>
    <cellStyle name="Normal 10 2 2 4 7" xfId="23285" xr:uid="{00000000-0005-0000-0000-00006C9D0000}"/>
    <cellStyle name="Normal 10 2 2 4 8" xfId="35080" xr:uid="{00000000-0005-0000-0000-00006D9D0000}"/>
    <cellStyle name="Normal 10 2 2 4 9" xfId="40557" xr:uid="{00000000-0005-0000-0000-00006E9D0000}"/>
    <cellStyle name="Normal 10 2 2 5" xfId="945" xr:uid="{00000000-0005-0000-0000-00006F9D0000}"/>
    <cellStyle name="Normal 10 2 2 5 10" xfId="46035" xr:uid="{00000000-0005-0000-0000-0000709D0000}"/>
    <cellStyle name="Normal 10 2 2 5 11" xfId="51514" xr:uid="{00000000-0005-0000-0000-0000719D0000}"/>
    <cellStyle name="Normal 10 2 2 5 2" xfId="2706" xr:uid="{00000000-0005-0000-0000-0000729D0000}"/>
    <cellStyle name="Normal 10 2 2 5 2 2" xfId="8186" xr:uid="{00000000-0005-0000-0000-0000739D0000}"/>
    <cellStyle name="Normal 10 2 2 5 2 3" xfId="13662" xr:uid="{00000000-0005-0000-0000-0000749D0000}"/>
    <cellStyle name="Normal 10 2 2 5 2 4" xfId="19138" xr:uid="{00000000-0005-0000-0000-0000759D0000}"/>
    <cellStyle name="Normal 10 2 2 5 2 5" xfId="24614" xr:uid="{00000000-0005-0000-0000-0000769D0000}"/>
    <cellStyle name="Normal 10 2 2 5 2 6" xfId="36410" xr:uid="{00000000-0005-0000-0000-0000779D0000}"/>
    <cellStyle name="Normal 10 2 2 5 2 7" xfId="41887" xr:uid="{00000000-0005-0000-0000-0000789D0000}"/>
    <cellStyle name="Normal 10 2 2 5 2 8" xfId="47364" xr:uid="{00000000-0005-0000-0000-0000799D0000}"/>
    <cellStyle name="Normal 10 2 2 5 2 9" xfId="52882" xr:uid="{00000000-0005-0000-0000-00007A9D0000}"/>
    <cellStyle name="Normal 10 2 2 5 3" xfId="4478" xr:uid="{00000000-0005-0000-0000-00007B9D0000}"/>
    <cellStyle name="Normal 10 2 2 5 3 2" xfId="9958" xr:uid="{00000000-0005-0000-0000-00007C9D0000}"/>
    <cellStyle name="Normal 10 2 2 5 3 3" xfId="15434" xr:uid="{00000000-0005-0000-0000-00007D9D0000}"/>
    <cellStyle name="Normal 10 2 2 5 3 4" xfId="20910" xr:uid="{00000000-0005-0000-0000-00007E9D0000}"/>
    <cellStyle name="Normal 10 2 2 5 3 5" xfId="26386" xr:uid="{00000000-0005-0000-0000-00007F9D0000}"/>
    <cellStyle name="Normal 10 2 2 5 3 6" xfId="38182" xr:uid="{00000000-0005-0000-0000-0000809D0000}"/>
    <cellStyle name="Normal 10 2 2 5 3 7" xfId="43659" xr:uid="{00000000-0005-0000-0000-0000819D0000}"/>
    <cellStyle name="Normal 10 2 2 5 3 8" xfId="49136" xr:uid="{00000000-0005-0000-0000-0000829D0000}"/>
    <cellStyle name="Normal 10 2 2 5 3 9" xfId="54654" xr:uid="{00000000-0005-0000-0000-0000839D0000}"/>
    <cellStyle name="Normal 10 2 2 5 4" xfId="6854" xr:uid="{00000000-0005-0000-0000-0000849D0000}"/>
    <cellStyle name="Normal 10 2 2 5 5" xfId="12334" xr:uid="{00000000-0005-0000-0000-0000859D0000}"/>
    <cellStyle name="Normal 10 2 2 5 6" xfId="17810" xr:uid="{00000000-0005-0000-0000-0000869D0000}"/>
    <cellStyle name="Normal 10 2 2 5 7" xfId="23286" xr:uid="{00000000-0005-0000-0000-0000879D0000}"/>
    <cellStyle name="Normal 10 2 2 5 8" xfId="35081" xr:uid="{00000000-0005-0000-0000-0000889D0000}"/>
    <cellStyle name="Normal 10 2 2 5 9" xfId="40558" xr:uid="{00000000-0005-0000-0000-0000899D0000}"/>
    <cellStyle name="Normal 10 2 2 6" xfId="1151" xr:uid="{00000000-0005-0000-0000-00008A9D0000}"/>
    <cellStyle name="Normal 10 2 2 6 10" xfId="46036" xr:uid="{00000000-0005-0000-0000-00008B9D0000}"/>
    <cellStyle name="Normal 10 2 2 6 11" xfId="51515" xr:uid="{00000000-0005-0000-0000-00008C9D0000}"/>
    <cellStyle name="Normal 10 2 2 6 2" xfId="2912" xr:uid="{00000000-0005-0000-0000-00008D9D0000}"/>
    <cellStyle name="Normal 10 2 2 6 2 2" xfId="8392" xr:uid="{00000000-0005-0000-0000-00008E9D0000}"/>
    <cellStyle name="Normal 10 2 2 6 2 3" xfId="13868" xr:uid="{00000000-0005-0000-0000-00008F9D0000}"/>
    <cellStyle name="Normal 10 2 2 6 2 4" xfId="19344" xr:uid="{00000000-0005-0000-0000-0000909D0000}"/>
    <cellStyle name="Normal 10 2 2 6 2 5" xfId="24820" xr:uid="{00000000-0005-0000-0000-0000919D0000}"/>
    <cellStyle name="Normal 10 2 2 6 2 6" xfId="36616" xr:uid="{00000000-0005-0000-0000-0000929D0000}"/>
    <cellStyle name="Normal 10 2 2 6 2 7" xfId="42093" xr:uid="{00000000-0005-0000-0000-0000939D0000}"/>
    <cellStyle name="Normal 10 2 2 6 2 8" xfId="47570" xr:uid="{00000000-0005-0000-0000-0000949D0000}"/>
    <cellStyle name="Normal 10 2 2 6 2 9" xfId="53088" xr:uid="{00000000-0005-0000-0000-0000959D0000}"/>
    <cellStyle name="Normal 10 2 2 6 3" xfId="4684" xr:uid="{00000000-0005-0000-0000-0000969D0000}"/>
    <cellStyle name="Normal 10 2 2 6 3 2" xfId="10164" xr:uid="{00000000-0005-0000-0000-0000979D0000}"/>
    <cellStyle name="Normal 10 2 2 6 3 3" xfId="15640" xr:uid="{00000000-0005-0000-0000-0000989D0000}"/>
    <cellStyle name="Normal 10 2 2 6 3 4" xfId="21116" xr:uid="{00000000-0005-0000-0000-0000999D0000}"/>
    <cellStyle name="Normal 10 2 2 6 3 5" xfId="26592" xr:uid="{00000000-0005-0000-0000-00009A9D0000}"/>
    <cellStyle name="Normal 10 2 2 6 3 6" xfId="38388" xr:uid="{00000000-0005-0000-0000-00009B9D0000}"/>
    <cellStyle name="Normal 10 2 2 6 3 7" xfId="43865" xr:uid="{00000000-0005-0000-0000-00009C9D0000}"/>
    <cellStyle name="Normal 10 2 2 6 3 8" xfId="49342" xr:uid="{00000000-0005-0000-0000-00009D9D0000}"/>
    <cellStyle name="Normal 10 2 2 6 3 9" xfId="54860" xr:uid="{00000000-0005-0000-0000-00009E9D0000}"/>
    <cellStyle name="Normal 10 2 2 6 4" xfId="6855" xr:uid="{00000000-0005-0000-0000-00009F9D0000}"/>
    <cellStyle name="Normal 10 2 2 6 5" xfId="12335" xr:uid="{00000000-0005-0000-0000-0000A09D0000}"/>
    <cellStyle name="Normal 10 2 2 6 6" xfId="17811" xr:uid="{00000000-0005-0000-0000-0000A19D0000}"/>
    <cellStyle name="Normal 10 2 2 6 7" xfId="23287" xr:uid="{00000000-0005-0000-0000-0000A29D0000}"/>
    <cellStyle name="Normal 10 2 2 6 8" xfId="35082" xr:uid="{00000000-0005-0000-0000-0000A39D0000}"/>
    <cellStyle name="Normal 10 2 2 6 9" xfId="40559" xr:uid="{00000000-0005-0000-0000-0000A49D0000}"/>
    <cellStyle name="Normal 10 2 2 7" xfId="1323" xr:uid="{00000000-0005-0000-0000-0000A59D0000}"/>
    <cellStyle name="Normal 10 2 2 7 10" xfId="46037" xr:uid="{00000000-0005-0000-0000-0000A69D0000}"/>
    <cellStyle name="Normal 10 2 2 7 11" xfId="51516" xr:uid="{00000000-0005-0000-0000-0000A79D0000}"/>
    <cellStyle name="Normal 10 2 2 7 2" xfId="3084" xr:uid="{00000000-0005-0000-0000-0000A89D0000}"/>
    <cellStyle name="Normal 10 2 2 7 2 2" xfId="8564" xr:uid="{00000000-0005-0000-0000-0000A99D0000}"/>
    <cellStyle name="Normal 10 2 2 7 2 3" xfId="14040" xr:uid="{00000000-0005-0000-0000-0000AA9D0000}"/>
    <cellStyle name="Normal 10 2 2 7 2 4" xfId="19516" xr:uid="{00000000-0005-0000-0000-0000AB9D0000}"/>
    <cellStyle name="Normal 10 2 2 7 2 5" xfId="24992" xr:uid="{00000000-0005-0000-0000-0000AC9D0000}"/>
    <cellStyle name="Normal 10 2 2 7 2 6" xfId="36788" xr:uid="{00000000-0005-0000-0000-0000AD9D0000}"/>
    <cellStyle name="Normal 10 2 2 7 2 7" xfId="42265" xr:uid="{00000000-0005-0000-0000-0000AE9D0000}"/>
    <cellStyle name="Normal 10 2 2 7 2 8" xfId="47742" xr:uid="{00000000-0005-0000-0000-0000AF9D0000}"/>
    <cellStyle name="Normal 10 2 2 7 2 9" xfId="53260" xr:uid="{00000000-0005-0000-0000-0000B09D0000}"/>
    <cellStyle name="Normal 10 2 2 7 3" xfId="4856" xr:uid="{00000000-0005-0000-0000-0000B19D0000}"/>
    <cellStyle name="Normal 10 2 2 7 3 2" xfId="10336" xr:uid="{00000000-0005-0000-0000-0000B29D0000}"/>
    <cellStyle name="Normal 10 2 2 7 3 3" xfId="15812" xr:uid="{00000000-0005-0000-0000-0000B39D0000}"/>
    <cellStyle name="Normal 10 2 2 7 3 4" xfId="21288" xr:uid="{00000000-0005-0000-0000-0000B49D0000}"/>
    <cellStyle name="Normal 10 2 2 7 3 5" xfId="26764" xr:uid="{00000000-0005-0000-0000-0000B59D0000}"/>
    <cellStyle name="Normal 10 2 2 7 3 6" xfId="38560" xr:uid="{00000000-0005-0000-0000-0000B69D0000}"/>
    <cellStyle name="Normal 10 2 2 7 3 7" xfId="44037" xr:uid="{00000000-0005-0000-0000-0000B79D0000}"/>
    <cellStyle name="Normal 10 2 2 7 3 8" xfId="49514" xr:uid="{00000000-0005-0000-0000-0000B89D0000}"/>
    <cellStyle name="Normal 10 2 2 7 3 9" xfId="55032" xr:uid="{00000000-0005-0000-0000-0000B99D0000}"/>
    <cellStyle name="Normal 10 2 2 7 4" xfId="6856" xr:uid="{00000000-0005-0000-0000-0000BA9D0000}"/>
    <cellStyle name="Normal 10 2 2 7 5" xfId="12336" xr:uid="{00000000-0005-0000-0000-0000BB9D0000}"/>
    <cellStyle name="Normal 10 2 2 7 6" xfId="17812" xr:uid="{00000000-0005-0000-0000-0000BC9D0000}"/>
    <cellStyle name="Normal 10 2 2 7 7" xfId="23288" xr:uid="{00000000-0005-0000-0000-0000BD9D0000}"/>
    <cellStyle name="Normal 10 2 2 7 8" xfId="35083" xr:uid="{00000000-0005-0000-0000-0000BE9D0000}"/>
    <cellStyle name="Normal 10 2 2 7 9" xfId="40560" xr:uid="{00000000-0005-0000-0000-0000BF9D0000}"/>
    <cellStyle name="Normal 10 2 2 8" xfId="1495" xr:uid="{00000000-0005-0000-0000-0000C09D0000}"/>
    <cellStyle name="Normal 10 2 2 8 10" xfId="46038" xr:uid="{00000000-0005-0000-0000-0000C19D0000}"/>
    <cellStyle name="Normal 10 2 2 8 11" xfId="51517" xr:uid="{00000000-0005-0000-0000-0000C29D0000}"/>
    <cellStyle name="Normal 10 2 2 8 2" xfId="3256" xr:uid="{00000000-0005-0000-0000-0000C39D0000}"/>
    <cellStyle name="Normal 10 2 2 8 2 2" xfId="8736" xr:uid="{00000000-0005-0000-0000-0000C49D0000}"/>
    <cellStyle name="Normal 10 2 2 8 2 3" xfId="14212" xr:uid="{00000000-0005-0000-0000-0000C59D0000}"/>
    <cellStyle name="Normal 10 2 2 8 2 4" xfId="19688" xr:uid="{00000000-0005-0000-0000-0000C69D0000}"/>
    <cellStyle name="Normal 10 2 2 8 2 5" xfId="25164" xr:uid="{00000000-0005-0000-0000-0000C79D0000}"/>
    <cellStyle name="Normal 10 2 2 8 2 6" xfId="36960" xr:uid="{00000000-0005-0000-0000-0000C89D0000}"/>
    <cellStyle name="Normal 10 2 2 8 2 7" xfId="42437" xr:uid="{00000000-0005-0000-0000-0000C99D0000}"/>
    <cellStyle name="Normal 10 2 2 8 2 8" xfId="47914" xr:uid="{00000000-0005-0000-0000-0000CA9D0000}"/>
    <cellStyle name="Normal 10 2 2 8 2 9" xfId="53432" xr:uid="{00000000-0005-0000-0000-0000CB9D0000}"/>
    <cellStyle name="Normal 10 2 2 8 3" xfId="5028" xr:uid="{00000000-0005-0000-0000-0000CC9D0000}"/>
    <cellStyle name="Normal 10 2 2 8 3 2" xfId="10508" xr:uid="{00000000-0005-0000-0000-0000CD9D0000}"/>
    <cellStyle name="Normal 10 2 2 8 3 3" xfId="15984" xr:uid="{00000000-0005-0000-0000-0000CE9D0000}"/>
    <cellStyle name="Normal 10 2 2 8 3 4" xfId="21460" xr:uid="{00000000-0005-0000-0000-0000CF9D0000}"/>
    <cellStyle name="Normal 10 2 2 8 3 5" xfId="26936" xr:uid="{00000000-0005-0000-0000-0000D09D0000}"/>
    <cellStyle name="Normal 10 2 2 8 3 6" xfId="38732" xr:uid="{00000000-0005-0000-0000-0000D19D0000}"/>
    <cellStyle name="Normal 10 2 2 8 3 7" xfId="44209" xr:uid="{00000000-0005-0000-0000-0000D29D0000}"/>
    <cellStyle name="Normal 10 2 2 8 3 8" xfId="49686" xr:uid="{00000000-0005-0000-0000-0000D39D0000}"/>
    <cellStyle name="Normal 10 2 2 8 3 9" xfId="55204" xr:uid="{00000000-0005-0000-0000-0000D49D0000}"/>
    <cellStyle name="Normal 10 2 2 8 4" xfId="6857" xr:uid="{00000000-0005-0000-0000-0000D59D0000}"/>
    <cellStyle name="Normal 10 2 2 8 5" xfId="12337" xr:uid="{00000000-0005-0000-0000-0000D69D0000}"/>
    <cellStyle name="Normal 10 2 2 8 6" xfId="17813" xr:uid="{00000000-0005-0000-0000-0000D79D0000}"/>
    <cellStyle name="Normal 10 2 2 8 7" xfId="23289" xr:uid="{00000000-0005-0000-0000-0000D89D0000}"/>
    <cellStyle name="Normal 10 2 2 8 8" xfId="35084" xr:uid="{00000000-0005-0000-0000-0000D99D0000}"/>
    <cellStyle name="Normal 10 2 2 8 9" xfId="40561" xr:uid="{00000000-0005-0000-0000-0000DA9D0000}"/>
    <cellStyle name="Normal 10 2 2 9" xfId="1667" xr:uid="{00000000-0005-0000-0000-0000DB9D0000}"/>
    <cellStyle name="Normal 10 2 2 9 10" xfId="46039" xr:uid="{00000000-0005-0000-0000-0000DC9D0000}"/>
    <cellStyle name="Normal 10 2 2 9 11" xfId="51518" xr:uid="{00000000-0005-0000-0000-0000DD9D0000}"/>
    <cellStyle name="Normal 10 2 2 9 2" xfId="3428" xr:uid="{00000000-0005-0000-0000-0000DE9D0000}"/>
    <cellStyle name="Normal 10 2 2 9 2 2" xfId="8908" xr:uid="{00000000-0005-0000-0000-0000DF9D0000}"/>
    <cellStyle name="Normal 10 2 2 9 2 3" xfId="14384" xr:uid="{00000000-0005-0000-0000-0000E09D0000}"/>
    <cellStyle name="Normal 10 2 2 9 2 4" xfId="19860" xr:uid="{00000000-0005-0000-0000-0000E19D0000}"/>
    <cellStyle name="Normal 10 2 2 9 2 5" xfId="25336" xr:uid="{00000000-0005-0000-0000-0000E29D0000}"/>
    <cellStyle name="Normal 10 2 2 9 2 6" xfId="37132" xr:uid="{00000000-0005-0000-0000-0000E39D0000}"/>
    <cellStyle name="Normal 10 2 2 9 2 7" xfId="42609" xr:uid="{00000000-0005-0000-0000-0000E49D0000}"/>
    <cellStyle name="Normal 10 2 2 9 2 8" xfId="48086" xr:uid="{00000000-0005-0000-0000-0000E59D0000}"/>
    <cellStyle name="Normal 10 2 2 9 2 9" xfId="53604" xr:uid="{00000000-0005-0000-0000-0000E69D0000}"/>
    <cellStyle name="Normal 10 2 2 9 3" xfId="5200" xr:uid="{00000000-0005-0000-0000-0000E79D0000}"/>
    <cellStyle name="Normal 10 2 2 9 3 2" xfId="10680" xr:uid="{00000000-0005-0000-0000-0000E89D0000}"/>
    <cellStyle name="Normal 10 2 2 9 3 3" xfId="16156" xr:uid="{00000000-0005-0000-0000-0000E99D0000}"/>
    <cellStyle name="Normal 10 2 2 9 3 4" xfId="21632" xr:uid="{00000000-0005-0000-0000-0000EA9D0000}"/>
    <cellStyle name="Normal 10 2 2 9 3 5" xfId="27108" xr:uid="{00000000-0005-0000-0000-0000EB9D0000}"/>
    <cellStyle name="Normal 10 2 2 9 3 6" xfId="38904" xr:uid="{00000000-0005-0000-0000-0000EC9D0000}"/>
    <cellStyle name="Normal 10 2 2 9 3 7" xfId="44381" xr:uid="{00000000-0005-0000-0000-0000ED9D0000}"/>
    <cellStyle name="Normal 10 2 2 9 3 8" xfId="49858" xr:uid="{00000000-0005-0000-0000-0000EE9D0000}"/>
    <cellStyle name="Normal 10 2 2 9 3 9" xfId="55376" xr:uid="{00000000-0005-0000-0000-0000EF9D0000}"/>
    <cellStyle name="Normal 10 2 2 9 4" xfId="6858" xr:uid="{00000000-0005-0000-0000-0000F09D0000}"/>
    <cellStyle name="Normal 10 2 2 9 5" xfId="12338" xr:uid="{00000000-0005-0000-0000-0000F19D0000}"/>
    <cellStyle name="Normal 10 2 2 9 6" xfId="17814" xr:uid="{00000000-0005-0000-0000-0000F29D0000}"/>
    <cellStyle name="Normal 10 2 2 9 7" xfId="23290" xr:uid="{00000000-0005-0000-0000-0000F39D0000}"/>
    <cellStyle name="Normal 10 2 2 9 8" xfId="35085" xr:uid="{00000000-0005-0000-0000-0000F49D0000}"/>
    <cellStyle name="Normal 10 2 2 9 9" xfId="40562" xr:uid="{00000000-0005-0000-0000-0000F59D0000}"/>
    <cellStyle name="Normal 10 2 20" xfId="40550" xr:uid="{00000000-0005-0000-0000-0000F69D0000}"/>
    <cellStyle name="Normal 10 2 21" xfId="46027" xr:uid="{00000000-0005-0000-0000-0000F79D0000}"/>
    <cellStyle name="Normal 10 2 22" xfId="51506" xr:uid="{00000000-0005-0000-0000-0000F89D0000}"/>
    <cellStyle name="Normal 10 2 3" xfId="423" xr:uid="{00000000-0005-0000-0000-0000F99D0000}"/>
    <cellStyle name="Normal 10 2 3 10" xfId="40563" xr:uid="{00000000-0005-0000-0000-0000FA9D0000}"/>
    <cellStyle name="Normal 10 2 3 11" xfId="46040" xr:uid="{00000000-0005-0000-0000-0000FB9D0000}"/>
    <cellStyle name="Normal 10 2 3 12" xfId="51519" xr:uid="{00000000-0005-0000-0000-0000FC9D0000}"/>
    <cellStyle name="Normal 10 2 3 2" xfId="2189" xr:uid="{00000000-0005-0000-0000-0000FD9D0000}"/>
    <cellStyle name="Normal 10 2 3 2 2" xfId="7669" xr:uid="{00000000-0005-0000-0000-0000FE9D0000}"/>
    <cellStyle name="Normal 10 2 3 2 3" xfId="13145" xr:uid="{00000000-0005-0000-0000-0000FF9D0000}"/>
    <cellStyle name="Normal 10 2 3 2 4" xfId="18621" xr:uid="{00000000-0005-0000-0000-0000009E0000}"/>
    <cellStyle name="Normal 10 2 3 2 5" xfId="24097" xr:uid="{00000000-0005-0000-0000-0000019E0000}"/>
    <cellStyle name="Normal 10 2 3 2 6" xfId="35893" xr:uid="{00000000-0005-0000-0000-0000029E0000}"/>
    <cellStyle name="Normal 10 2 3 2 7" xfId="41370" xr:uid="{00000000-0005-0000-0000-0000039E0000}"/>
    <cellStyle name="Normal 10 2 3 2 8" xfId="46847" xr:uid="{00000000-0005-0000-0000-0000049E0000}"/>
    <cellStyle name="Normal 10 2 3 2 9" xfId="52365" xr:uid="{00000000-0005-0000-0000-0000059E0000}"/>
    <cellStyle name="Normal 10 2 3 3" xfId="3961" xr:uid="{00000000-0005-0000-0000-0000069E0000}"/>
    <cellStyle name="Normal 10 2 3 3 2" xfId="9441" xr:uid="{00000000-0005-0000-0000-0000079E0000}"/>
    <cellStyle name="Normal 10 2 3 3 3" xfId="14917" xr:uid="{00000000-0005-0000-0000-0000089E0000}"/>
    <cellStyle name="Normal 10 2 3 3 4" xfId="20393" xr:uid="{00000000-0005-0000-0000-0000099E0000}"/>
    <cellStyle name="Normal 10 2 3 3 5" xfId="25869" xr:uid="{00000000-0005-0000-0000-00000A9E0000}"/>
    <cellStyle name="Normal 10 2 3 3 6" xfId="37665" xr:uid="{00000000-0005-0000-0000-00000B9E0000}"/>
    <cellStyle name="Normal 10 2 3 3 7" xfId="43142" xr:uid="{00000000-0005-0000-0000-00000C9E0000}"/>
    <cellStyle name="Normal 10 2 3 3 8" xfId="48619" xr:uid="{00000000-0005-0000-0000-00000D9E0000}"/>
    <cellStyle name="Normal 10 2 3 3 9" xfId="54137" xr:uid="{00000000-0005-0000-0000-00000E9E0000}"/>
    <cellStyle name="Normal 10 2 3 4" xfId="6859" xr:uid="{00000000-0005-0000-0000-00000F9E0000}"/>
    <cellStyle name="Normal 10 2 3 5" xfId="12339" xr:uid="{00000000-0005-0000-0000-0000109E0000}"/>
    <cellStyle name="Normal 10 2 3 6" xfId="17815" xr:uid="{00000000-0005-0000-0000-0000119E0000}"/>
    <cellStyle name="Normal 10 2 3 7" xfId="23291" xr:uid="{00000000-0005-0000-0000-0000129E0000}"/>
    <cellStyle name="Normal 10 2 3 8" xfId="32900" xr:uid="{00000000-0005-0000-0000-0000139E0000}"/>
    <cellStyle name="Normal 10 2 3 9" xfId="35086" xr:uid="{00000000-0005-0000-0000-0000149E0000}"/>
    <cellStyle name="Normal 10 2 4" xfId="600" xr:uid="{00000000-0005-0000-0000-0000159E0000}"/>
    <cellStyle name="Normal 10 2 4 10" xfId="46041" xr:uid="{00000000-0005-0000-0000-0000169E0000}"/>
    <cellStyle name="Normal 10 2 4 11" xfId="51520" xr:uid="{00000000-0005-0000-0000-0000179E0000}"/>
    <cellStyle name="Normal 10 2 4 2" xfId="2361" xr:uid="{00000000-0005-0000-0000-0000189E0000}"/>
    <cellStyle name="Normal 10 2 4 2 2" xfId="7841" xr:uid="{00000000-0005-0000-0000-0000199E0000}"/>
    <cellStyle name="Normal 10 2 4 2 3" xfId="13317" xr:uid="{00000000-0005-0000-0000-00001A9E0000}"/>
    <cellStyle name="Normal 10 2 4 2 4" xfId="18793" xr:uid="{00000000-0005-0000-0000-00001B9E0000}"/>
    <cellStyle name="Normal 10 2 4 2 5" xfId="24269" xr:uid="{00000000-0005-0000-0000-00001C9E0000}"/>
    <cellStyle name="Normal 10 2 4 2 6" xfId="36065" xr:uid="{00000000-0005-0000-0000-00001D9E0000}"/>
    <cellStyle name="Normal 10 2 4 2 7" xfId="41542" xr:uid="{00000000-0005-0000-0000-00001E9E0000}"/>
    <cellStyle name="Normal 10 2 4 2 8" xfId="47019" xr:uid="{00000000-0005-0000-0000-00001F9E0000}"/>
    <cellStyle name="Normal 10 2 4 2 9" xfId="52537" xr:uid="{00000000-0005-0000-0000-0000209E0000}"/>
    <cellStyle name="Normal 10 2 4 3" xfId="4133" xr:uid="{00000000-0005-0000-0000-0000219E0000}"/>
    <cellStyle name="Normal 10 2 4 3 2" xfId="9613" xr:uid="{00000000-0005-0000-0000-0000229E0000}"/>
    <cellStyle name="Normal 10 2 4 3 3" xfId="15089" xr:uid="{00000000-0005-0000-0000-0000239E0000}"/>
    <cellStyle name="Normal 10 2 4 3 4" xfId="20565" xr:uid="{00000000-0005-0000-0000-0000249E0000}"/>
    <cellStyle name="Normal 10 2 4 3 5" xfId="26041" xr:uid="{00000000-0005-0000-0000-0000259E0000}"/>
    <cellStyle name="Normal 10 2 4 3 6" xfId="37837" xr:uid="{00000000-0005-0000-0000-0000269E0000}"/>
    <cellStyle name="Normal 10 2 4 3 7" xfId="43314" xr:uid="{00000000-0005-0000-0000-0000279E0000}"/>
    <cellStyle name="Normal 10 2 4 3 8" xfId="48791" xr:uid="{00000000-0005-0000-0000-0000289E0000}"/>
    <cellStyle name="Normal 10 2 4 3 9" xfId="54309" xr:uid="{00000000-0005-0000-0000-0000299E0000}"/>
    <cellStyle name="Normal 10 2 4 4" xfId="6860" xr:uid="{00000000-0005-0000-0000-00002A9E0000}"/>
    <cellStyle name="Normal 10 2 4 5" xfId="12340" xr:uid="{00000000-0005-0000-0000-00002B9E0000}"/>
    <cellStyle name="Normal 10 2 4 6" xfId="17816" xr:uid="{00000000-0005-0000-0000-00002C9E0000}"/>
    <cellStyle name="Normal 10 2 4 7" xfId="23292" xr:uid="{00000000-0005-0000-0000-00002D9E0000}"/>
    <cellStyle name="Normal 10 2 4 8" xfId="35087" xr:uid="{00000000-0005-0000-0000-00002E9E0000}"/>
    <cellStyle name="Normal 10 2 4 9" xfId="40564" xr:uid="{00000000-0005-0000-0000-00002F9E0000}"/>
    <cellStyle name="Normal 10 2 5" xfId="772" xr:uid="{00000000-0005-0000-0000-0000309E0000}"/>
    <cellStyle name="Normal 10 2 5 10" xfId="46042" xr:uid="{00000000-0005-0000-0000-0000319E0000}"/>
    <cellStyle name="Normal 10 2 5 11" xfId="51521" xr:uid="{00000000-0005-0000-0000-0000329E0000}"/>
    <cellStyle name="Normal 10 2 5 2" xfId="2533" xr:uid="{00000000-0005-0000-0000-0000339E0000}"/>
    <cellStyle name="Normal 10 2 5 2 2" xfId="8013" xr:uid="{00000000-0005-0000-0000-0000349E0000}"/>
    <cellStyle name="Normal 10 2 5 2 3" xfId="13489" xr:uid="{00000000-0005-0000-0000-0000359E0000}"/>
    <cellStyle name="Normal 10 2 5 2 4" xfId="18965" xr:uid="{00000000-0005-0000-0000-0000369E0000}"/>
    <cellStyle name="Normal 10 2 5 2 5" xfId="24441" xr:uid="{00000000-0005-0000-0000-0000379E0000}"/>
    <cellStyle name="Normal 10 2 5 2 6" xfId="36237" xr:uid="{00000000-0005-0000-0000-0000389E0000}"/>
    <cellStyle name="Normal 10 2 5 2 7" xfId="41714" xr:uid="{00000000-0005-0000-0000-0000399E0000}"/>
    <cellStyle name="Normal 10 2 5 2 8" xfId="47191" xr:uid="{00000000-0005-0000-0000-00003A9E0000}"/>
    <cellStyle name="Normal 10 2 5 2 9" xfId="52709" xr:uid="{00000000-0005-0000-0000-00003B9E0000}"/>
    <cellStyle name="Normal 10 2 5 3" xfId="4305" xr:uid="{00000000-0005-0000-0000-00003C9E0000}"/>
    <cellStyle name="Normal 10 2 5 3 2" xfId="9785" xr:uid="{00000000-0005-0000-0000-00003D9E0000}"/>
    <cellStyle name="Normal 10 2 5 3 3" xfId="15261" xr:uid="{00000000-0005-0000-0000-00003E9E0000}"/>
    <cellStyle name="Normal 10 2 5 3 4" xfId="20737" xr:uid="{00000000-0005-0000-0000-00003F9E0000}"/>
    <cellStyle name="Normal 10 2 5 3 5" xfId="26213" xr:uid="{00000000-0005-0000-0000-0000409E0000}"/>
    <cellStyle name="Normal 10 2 5 3 6" xfId="38009" xr:uid="{00000000-0005-0000-0000-0000419E0000}"/>
    <cellStyle name="Normal 10 2 5 3 7" xfId="43486" xr:uid="{00000000-0005-0000-0000-0000429E0000}"/>
    <cellStyle name="Normal 10 2 5 3 8" xfId="48963" xr:uid="{00000000-0005-0000-0000-0000439E0000}"/>
    <cellStyle name="Normal 10 2 5 3 9" xfId="54481" xr:uid="{00000000-0005-0000-0000-0000449E0000}"/>
    <cellStyle name="Normal 10 2 5 4" xfId="6861" xr:uid="{00000000-0005-0000-0000-0000459E0000}"/>
    <cellStyle name="Normal 10 2 5 5" xfId="12341" xr:uid="{00000000-0005-0000-0000-0000469E0000}"/>
    <cellStyle name="Normal 10 2 5 6" xfId="17817" xr:uid="{00000000-0005-0000-0000-0000479E0000}"/>
    <cellStyle name="Normal 10 2 5 7" xfId="23293" xr:uid="{00000000-0005-0000-0000-0000489E0000}"/>
    <cellStyle name="Normal 10 2 5 8" xfId="35088" xr:uid="{00000000-0005-0000-0000-0000499E0000}"/>
    <cellStyle name="Normal 10 2 5 9" xfId="40565" xr:uid="{00000000-0005-0000-0000-00004A9E0000}"/>
    <cellStyle name="Normal 10 2 6" xfId="944" xr:uid="{00000000-0005-0000-0000-00004B9E0000}"/>
    <cellStyle name="Normal 10 2 6 10" xfId="46043" xr:uid="{00000000-0005-0000-0000-00004C9E0000}"/>
    <cellStyle name="Normal 10 2 6 11" xfId="51522" xr:uid="{00000000-0005-0000-0000-00004D9E0000}"/>
    <cellStyle name="Normal 10 2 6 2" xfId="2705" xr:uid="{00000000-0005-0000-0000-00004E9E0000}"/>
    <cellStyle name="Normal 10 2 6 2 2" xfId="8185" xr:uid="{00000000-0005-0000-0000-00004F9E0000}"/>
    <cellStyle name="Normal 10 2 6 2 3" xfId="13661" xr:uid="{00000000-0005-0000-0000-0000509E0000}"/>
    <cellStyle name="Normal 10 2 6 2 4" xfId="19137" xr:uid="{00000000-0005-0000-0000-0000519E0000}"/>
    <cellStyle name="Normal 10 2 6 2 5" xfId="24613" xr:uid="{00000000-0005-0000-0000-0000529E0000}"/>
    <cellStyle name="Normal 10 2 6 2 6" xfId="36409" xr:uid="{00000000-0005-0000-0000-0000539E0000}"/>
    <cellStyle name="Normal 10 2 6 2 7" xfId="41886" xr:uid="{00000000-0005-0000-0000-0000549E0000}"/>
    <cellStyle name="Normal 10 2 6 2 8" xfId="47363" xr:uid="{00000000-0005-0000-0000-0000559E0000}"/>
    <cellStyle name="Normal 10 2 6 2 9" xfId="52881" xr:uid="{00000000-0005-0000-0000-0000569E0000}"/>
    <cellStyle name="Normal 10 2 6 3" xfId="4477" xr:uid="{00000000-0005-0000-0000-0000579E0000}"/>
    <cellStyle name="Normal 10 2 6 3 2" xfId="9957" xr:uid="{00000000-0005-0000-0000-0000589E0000}"/>
    <cellStyle name="Normal 10 2 6 3 3" xfId="15433" xr:uid="{00000000-0005-0000-0000-0000599E0000}"/>
    <cellStyle name="Normal 10 2 6 3 4" xfId="20909" xr:uid="{00000000-0005-0000-0000-00005A9E0000}"/>
    <cellStyle name="Normal 10 2 6 3 5" xfId="26385" xr:uid="{00000000-0005-0000-0000-00005B9E0000}"/>
    <cellStyle name="Normal 10 2 6 3 6" xfId="38181" xr:uid="{00000000-0005-0000-0000-00005C9E0000}"/>
    <cellStyle name="Normal 10 2 6 3 7" xfId="43658" xr:uid="{00000000-0005-0000-0000-00005D9E0000}"/>
    <cellStyle name="Normal 10 2 6 3 8" xfId="49135" xr:uid="{00000000-0005-0000-0000-00005E9E0000}"/>
    <cellStyle name="Normal 10 2 6 3 9" xfId="54653" xr:uid="{00000000-0005-0000-0000-00005F9E0000}"/>
    <cellStyle name="Normal 10 2 6 4" xfId="6862" xr:uid="{00000000-0005-0000-0000-0000609E0000}"/>
    <cellStyle name="Normal 10 2 6 5" xfId="12342" xr:uid="{00000000-0005-0000-0000-0000619E0000}"/>
    <cellStyle name="Normal 10 2 6 6" xfId="17818" xr:uid="{00000000-0005-0000-0000-0000629E0000}"/>
    <cellStyle name="Normal 10 2 6 7" xfId="23294" xr:uid="{00000000-0005-0000-0000-0000639E0000}"/>
    <cellStyle name="Normal 10 2 6 8" xfId="35089" xr:uid="{00000000-0005-0000-0000-0000649E0000}"/>
    <cellStyle name="Normal 10 2 6 9" xfId="40566" xr:uid="{00000000-0005-0000-0000-0000659E0000}"/>
    <cellStyle name="Normal 10 2 7" xfId="1150" xr:uid="{00000000-0005-0000-0000-0000669E0000}"/>
    <cellStyle name="Normal 10 2 7 10" xfId="46044" xr:uid="{00000000-0005-0000-0000-0000679E0000}"/>
    <cellStyle name="Normal 10 2 7 11" xfId="51523" xr:uid="{00000000-0005-0000-0000-0000689E0000}"/>
    <cellStyle name="Normal 10 2 7 2" xfId="2911" xr:uid="{00000000-0005-0000-0000-0000699E0000}"/>
    <cellStyle name="Normal 10 2 7 2 2" xfId="8391" xr:uid="{00000000-0005-0000-0000-00006A9E0000}"/>
    <cellStyle name="Normal 10 2 7 2 3" xfId="13867" xr:uid="{00000000-0005-0000-0000-00006B9E0000}"/>
    <cellStyle name="Normal 10 2 7 2 4" xfId="19343" xr:uid="{00000000-0005-0000-0000-00006C9E0000}"/>
    <cellStyle name="Normal 10 2 7 2 5" xfId="24819" xr:uid="{00000000-0005-0000-0000-00006D9E0000}"/>
    <cellStyle name="Normal 10 2 7 2 6" xfId="36615" xr:uid="{00000000-0005-0000-0000-00006E9E0000}"/>
    <cellStyle name="Normal 10 2 7 2 7" xfId="42092" xr:uid="{00000000-0005-0000-0000-00006F9E0000}"/>
    <cellStyle name="Normal 10 2 7 2 8" xfId="47569" xr:uid="{00000000-0005-0000-0000-0000709E0000}"/>
    <cellStyle name="Normal 10 2 7 2 9" xfId="53087" xr:uid="{00000000-0005-0000-0000-0000719E0000}"/>
    <cellStyle name="Normal 10 2 7 3" xfId="4683" xr:uid="{00000000-0005-0000-0000-0000729E0000}"/>
    <cellStyle name="Normal 10 2 7 3 2" xfId="10163" xr:uid="{00000000-0005-0000-0000-0000739E0000}"/>
    <cellStyle name="Normal 10 2 7 3 3" xfId="15639" xr:uid="{00000000-0005-0000-0000-0000749E0000}"/>
    <cellStyle name="Normal 10 2 7 3 4" xfId="21115" xr:uid="{00000000-0005-0000-0000-0000759E0000}"/>
    <cellStyle name="Normal 10 2 7 3 5" xfId="26591" xr:uid="{00000000-0005-0000-0000-0000769E0000}"/>
    <cellStyle name="Normal 10 2 7 3 6" xfId="38387" xr:uid="{00000000-0005-0000-0000-0000779E0000}"/>
    <cellStyle name="Normal 10 2 7 3 7" xfId="43864" xr:uid="{00000000-0005-0000-0000-0000789E0000}"/>
    <cellStyle name="Normal 10 2 7 3 8" xfId="49341" xr:uid="{00000000-0005-0000-0000-0000799E0000}"/>
    <cellStyle name="Normal 10 2 7 3 9" xfId="54859" xr:uid="{00000000-0005-0000-0000-00007A9E0000}"/>
    <cellStyle name="Normal 10 2 7 4" xfId="6863" xr:uid="{00000000-0005-0000-0000-00007B9E0000}"/>
    <cellStyle name="Normal 10 2 7 5" xfId="12343" xr:uid="{00000000-0005-0000-0000-00007C9E0000}"/>
    <cellStyle name="Normal 10 2 7 6" xfId="17819" xr:uid="{00000000-0005-0000-0000-00007D9E0000}"/>
    <cellStyle name="Normal 10 2 7 7" xfId="23295" xr:uid="{00000000-0005-0000-0000-00007E9E0000}"/>
    <cellStyle name="Normal 10 2 7 8" xfId="35090" xr:uid="{00000000-0005-0000-0000-00007F9E0000}"/>
    <cellStyle name="Normal 10 2 7 9" xfId="40567" xr:uid="{00000000-0005-0000-0000-0000809E0000}"/>
    <cellStyle name="Normal 10 2 8" xfId="1322" xr:uid="{00000000-0005-0000-0000-0000819E0000}"/>
    <cellStyle name="Normal 10 2 8 10" xfId="46045" xr:uid="{00000000-0005-0000-0000-0000829E0000}"/>
    <cellStyle name="Normal 10 2 8 11" xfId="51524" xr:uid="{00000000-0005-0000-0000-0000839E0000}"/>
    <cellStyle name="Normal 10 2 8 2" xfId="3083" xr:uid="{00000000-0005-0000-0000-0000849E0000}"/>
    <cellStyle name="Normal 10 2 8 2 2" xfId="8563" xr:uid="{00000000-0005-0000-0000-0000859E0000}"/>
    <cellStyle name="Normal 10 2 8 2 3" xfId="14039" xr:uid="{00000000-0005-0000-0000-0000869E0000}"/>
    <cellStyle name="Normal 10 2 8 2 4" xfId="19515" xr:uid="{00000000-0005-0000-0000-0000879E0000}"/>
    <cellStyle name="Normal 10 2 8 2 5" xfId="24991" xr:uid="{00000000-0005-0000-0000-0000889E0000}"/>
    <cellStyle name="Normal 10 2 8 2 6" xfId="36787" xr:uid="{00000000-0005-0000-0000-0000899E0000}"/>
    <cellStyle name="Normal 10 2 8 2 7" xfId="42264" xr:uid="{00000000-0005-0000-0000-00008A9E0000}"/>
    <cellStyle name="Normal 10 2 8 2 8" xfId="47741" xr:uid="{00000000-0005-0000-0000-00008B9E0000}"/>
    <cellStyle name="Normal 10 2 8 2 9" xfId="53259" xr:uid="{00000000-0005-0000-0000-00008C9E0000}"/>
    <cellStyle name="Normal 10 2 8 3" xfId="4855" xr:uid="{00000000-0005-0000-0000-00008D9E0000}"/>
    <cellStyle name="Normal 10 2 8 3 2" xfId="10335" xr:uid="{00000000-0005-0000-0000-00008E9E0000}"/>
    <cellStyle name="Normal 10 2 8 3 3" xfId="15811" xr:uid="{00000000-0005-0000-0000-00008F9E0000}"/>
    <cellStyle name="Normal 10 2 8 3 4" xfId="21287" xr:uid="{00000000-0005-0000-0000-0000909E0000}"/>
    <cellStyle name="Normal 10 2 8 3 5" xfId="26763" xr:uid="{00000000-0005-0000-0000-0000919E0000}"/>
    <cellStyle name="Normal 10 2 8 3 6" xfId="38559" xr:uid="{00000000-0005-0000-0000-0000929E0000}"/>
    <cellStyle name="Normal 10 2 8 3 7" xfId="44036" xr:uid="{00000000-0005-0000-0000-0000939E0000}"/>
    <cellStyle name="Normal 10 2 8 3 8" xfId="49513" xr:uid="{00000000-0005-0000-0000-0000949E0000}"/>
    <cellStyle name="Normal 10 2 8 3 9" xfId="55031" xr:uid="{00000000-0005-0000-0000-0000959E0000}"/>
    <cellStyle name="Normal 10 2 8 4" xfId="6864" xr:uid="{00000000-0005-0000-0000-0000969E0000}"/>
    <cellStyle name="Normal 10 2 8 5" xfId="12344" xr:uid="{00000000-0005-0000-0000-0000979E0000}"/>
    <cellStyle name="Normal 10 2 8 6" xfId="17820" xr:uid="{00000000-0005-0000-0000-0000989E0000}"/>
    <cellStyle name="Normal 10 2 8 7" xfId="23296" xr:uid="{00000000-0005-0000-0000-0000999E0000}"/>
    <cellStyle name="Normal 10 2 8 8" xfId="35091" xr:uid="{00000000-0005-0000-0000-00009A9E0000}"/>
    <cellStyle name="Normal 10 2 8 9" xfId="40568" xr:uid="{00000000-0005-0000-0000-00009B9E0000}"/>
    <cellStyle name="Normal 10 2 9" xfId="1494" xr:uid="{00000000-0005-0000-0000-00009C9E0000}"/>
    <cellStyle name="Normal 10 2 9 10" xfId="46046" xr:uid="{00000000-0005-0000-0000-00009D9E0000}"/>
    <cellStyle name="Normal 10 2 9 11" xfId="51525" xr:uid="{00000000-0005-0000-0000-00009E9E0000}"/>
    <cellStyle name="Normal 10 2 9 2" xfId="3255" xr:uid="{00000000-0005-0000-0000-00009F9E0000}"/>
    <cellStyle name="Normal 10 2 9 2 2" xfId="8735" xr:uid="{00000000-0005-0000-0000-0000A09E0000}"/>
    <cellStyle name="Normal 10 2 9 2 3" xfId="14211" xr:uid="{00000000-0005-0000-0000-0000A19E0000}"/>
    <cellStyle name="Normal 10 2 9 2 4" xfId="19687" xr:uid="{00000000-0005-0000-0000-0000A29E0000}"/>
    <cellStyle name="Normal 10 2 9 2 5" xfId="25163" xr:uid="{00000000-0005-0000-0000-0000A39E0000}"/>
    <cellStyle name="Normal 10 2 9 2 6" xfId="36959" xr:uid="{00000000-0005-0000-0000-0000A49E0000}"/>
    <cellStyle name="Normal 10 2 9 2 7" xfId="42436" xr:uid="{00000000-0005-0000-0000-0000A59E0000}"/>
    <cellStyle name="Normal 10 2 9 2 8" xfId="47913" xr:uid="{00000000-0005-0000-0000-0000A69E0000}"/>
    <cellStyle name="Normal 10 2 9 2 9" xfId="53431" xr:uid="{00000000-0005-0000-0000-0000A79E0000}"/>
    <cellStyle name="Normal 10 2 9 3" xfId="5027" xr:uid="{00000000-0005-0000-0000-0000A89E0000}"/>
    <cellStyle name="Normal 10 2 9 3 2" xfId="10507" xr:uid="{00000000-0005-0000-0000-0000A99E0000}"/>
    <cellStyle name="Normal 10 2 9 3 3" xfId="15983" xr:uid="{00000000-0005-0000-0000-0000AA9E0000}"/>
    <cellStyle name="Normal 10 2 9 3 4" xfId="21459" xr:uid="{00000000-0005-0000-0000-0000AB9E0000}"/>
    <cellStyle name="Normal 10 2 9 3 5" xfId="26935" xr:uid="{00000000-0005-0000-0000-0000AC9E0000}"/>
    <cellStyle name="Normal 10 2 9 3 6" xfId="38731" xr:uid="{00000000-0005-0000-0000-0000AD9E0000}"/>
    <cellStyle name="Normal 10 2 9 3 7" xfId="44208" xr:uid="{00000000-0005-0000-0000-0000AE9E0000}"/>
    <cellStyle name="Normal 10 2 9 3 8" xfId="49685" xr:uid="{00000000-0005-0000-0000-0000AF9E0000}"/>
    <cellStyle name="Normal 10 2 9 3 9" xfId="55203" xr:uid="{00000000-0005-0000-0000-0000B09E0000}"/>
    <cellStyle name="Normal 10 2 9 4" xfId="6865" xr:uid="{00000000-0005-0000-0000-0000B19E0000}"/>
    <cellStyle name="Normal 10 2 9 5" xfId="12345" xr:uid="{00000000-0005-0000-0000-0000B29E0000}"/>
    <cellStyle name="Normal 10 2 9 6" xfId="17821" xr:uid="{00000000-0005-0000-0000-0000B39E0000}"/>
    <cellStyle name="Normal 10 2 9 7" xfId="23297" xr:uid="{00000000-0005-0000-0000-0000B49E0000}"/>
    <cellStyle name="Normal 10 2 9 8" xfId="35092" xr:uid="{00000000-0005-0000-0000-0000B59E0000}"/>
    <cellStyle name="Normal 10 2 9 9" xfId="40569" xr:uid="{00000000-0005-0000-0000-0000B69E0000}"/>
    <cellStyle name="Normal 10 20" xfId="3669" xr:uid="{00000000-0005-0000-0000-0000B79E0000}"/>
    <cellStyle name="Normal 10 20 2" xfId="9149" xr:uid="{00000000-0005-0000-0000-0000B89E0000}"/>
    <cellStyle name="Normal 10 20 3" xfId="14625" xr:uid="{00000000-0005-0000-0000-0000B99E0000}"/>
    <cellStyle name="Normal 10 20 4" xfId="20101" xr:uid="{00000000-0005-0000-0000-0000BA9E0000}"/>
    <cellStyle name="Normal 10 20 5" xfId="25577" xr:uid="{00000000-0005-0000-0000-0000BB9E0000}"/>
    <cellStyle name="Normal 10 20 6" xfId="37373" xr:uid="{00000000-0005-0000-0000-0000BC9E0000}"/>
    <cellStyle name="Normal 10 20 7" xfId="42850" xr:uid="{00000000-0005-0000-0000-0000BD9E0000}"/>
    <cellStyle name="Normal 10 20 8" xfId="48327" xr:uid="{00000000-0005-0000-0000-0000BE9E0000}"/>
    <cellStyle name="Normal 10 20 9" xfId="53845" xr:uid="{00000000-0005-0000-0000-0000BF9E0000}"/>
    <cellStyle name="Normal 10 21" xfId="6836" xr:uid="{00000000-0005-0000-0000-0000C09E0000}"/>
    <cellStyle name="Normal 10 22" xfId="12316" xr:uid="{00000000-0005-0000-0000-0000C19E0000}"/>
    <cellStyle name="Normal 10 23" xfId="17792" xr:uid="{00000000-0005-0000-0000-0000C29E0000}"/>
    <cellStyle name="Normal 10 24" xfId="23268" xr:uid="{00000000-0005-0000-0000-0000C39E0000}"/>
    <cellStyle name="Normal 10 25" xfId="32896" xr:uid="{00000000-0005-0000-0000-0000C49E0000}"/>
    <cellStyle name="Normal 10 26" xfId="35063" xr:uid="{00000000-0005-0000-0000-0000C59E0000}"/>
    <cellStyle name="Normal 10 27" xfId="40540" xr:uid="{00000000-0005-0000-0000-0000C69E0000}"/>
    <cellStyle name="Normal 10 28" xfId="46017" xr:uid="{00000000-0005-0000-0000-0000C79E0000}"/>
    <cellStyle name="Normal 10 29" xfId="51496" xr:uid="{00000000-0005-0000-0000-0000C89E0000}"/>
    <cellStyle name="Normal 10 3" xfId="142" xr:uid="{00000000-0005-0000-0000-0000C99E0000}"/>
    <cellStyle name="Normal 10 3 10" xfId="1668" xr:uid="{00000000-0005-0000-0000-0000CA9E0000}"/>
    <cellStyle name="Normal 10 3 10 10" xfId="46048" xr:uid="{00000000-0005-0000-0000-0000CB9E0000}"/>
    <cellStyle name="Normal 10 3 10 11" xfId="51527" xr:uid="{00000000-0005-0000-0000-0000CC9E0000}"/>
    <cellStyle name="Normal 10 3 10 2" xfId="3429" xr:uid="{00000000-0005-0000-0000-0000CD9E0000}"/>
    <cellStyle name="Normal 10 3 10 2 2" xfId="8909" xr:uid="{00000000-0005-0000-0000-0000CE9E0000}"/>
    <cellStyle name="Normal 10 3 10 2 3" xfId="14385" xr:uid="{00000000-0005-0000-0000-0000CF9E0000}"/>
    <cellStyle name="Normal 10 3 10 2 4" xfId="19861" xr:uid="{00000000-0005-0000-0000-0000D09E0000}"/>
    <cellStyle name="Normal 10 3 10 2 5" xfId="25337" xr:uid="{00000000-0005-0000-0000-0000D19E0000}"/>
    <cellStyle name="Normal 10 3 10 2 6" xfId="37133" xr:uid="{00000000-0005-0000-0000-0000D29E0000}"/>
    <cellStyle name="Normal 10 3 10 2 7" xfId="42610" xr:uid="{00000000-0005-0000-0000-0000D39E0000}"/>
    <cellStyle name="Normal 10 3 10 2 8" xfId="48087" xr:uid="{00000000-0005-0000-0000-0000D49E0000}"/>
    <cellStyle name="Normal 10 3 10 2 9" xfId="53605" xr:uid="{00000000-0005-0000-0000-0000D59E0000}"/>
    <cellStyle name="Normal 10 3 10 3" xfId="5201" xr:uid="{00000000-0005-0000-0000-0000D69E0000}"/>
    <cellStyle name="Normal 10 3 10 3 2" xfId="10681" xr:uid="{00000000-0005-0000-0000-0000D79E0000}"/>
    <cellStyle name="Normal 10 3 10 3 3" xfId="16157" xr:uid="{00000000-0005-0000-0000-0000D89E0000}"/>
    <cellStyle name="Normal 10 3 10 3 4" xfId="21633" xr:uid="{00000000-0005-0000-0000-0000D99E0000}"/>
    <cellStyle name="Normal 10 3 10 3 5" xfId="27109" xr:uid="{00000000-0005-0000-0000-0000DA9E0000}"/>
    <cellStyle name="Normal 10 3 10 3 6" xfId="38905" xr:uid="{00000000-0005-0000-0000-0000DB9E0000}"/>
    <cellStyle name="Normal 10 3 10 3 7" xfId="44382" xr:uid="{00000000-0005-0000-0000-0000DC9E0000}"/>
    <cellStyle name="Normal 10 3 10 3 8" xfId="49859" xr:uid="{00000000-0005-0000-0000-0000DD9E0000}"/>
    <cellStyle name="Normal 10 3 10 3 9" xfId="55377" xr:uid="{00000000-0005-0000-0000-0000DE9E0000}"/>
    <cellStyle name="Normal 10 3 10 4" xfId="6867" xr:uid="{00000000-0005-0000-0000-0000DF9E0000}"/>
    <cellStyle name="Normal 10 3 10 5" xfId="12347" xr:uid="{00000000-0005-0000-0000-0000E09E0000}"/>
    <cellStyle name="Normal 10 3 10 6" xfId="17823" xr:uid="{00000000-0005-0000-0000-0000E19E0000}"/>
    <cellStyle name="Normal 10 3 10 7" xfId="23299" xr:uid="{00000000-0005-0000-0000-0000E29E0000}"/>
    <cellStyle name="Normal 10 3 10 8" xfId="35094" xr:uid="{00000000-0005-0000-0000-0000E39E0000}"/>
    <cellStyle name="Normal 10 3 10 9" xfId="40571" xr:uid="{00000000-0005-0000-0000-0000E49E0000}"/>
    <cellStyle name="Normal 10 3 11" xfId="1861" xr:uid="{00000000-0005-0000-0000-0000E59E0000}"/>
    <cellStyle name="Normal 10 3 11 10" xfId="46049" xr:uid="{00000000-0005-0000-0000-0000E69E0000}"/>
    <cellStyle name="Normal 10 3 11 11" xfId="51528" xr:uid="{00000000-0005-0000-0000-0000E79E0000}"/>
    <cellStyle name="Normal 10 3 11 2" xfId="3622" xr:uid="{00000000-0005-0000-0000-0000E89E0000}"/>
    <cellStyle name="Normal 10 3 11 2 2" xfId="9102" xr:uid="{00000000-0005-0000-0000-0000E99E0000}"/>
    <cellStyle name="Normal 10 3 11 2 3" xfId="14578" xr:uid="{00000000-0005-0000-0000-0000EA9E0000}"/>
    <cellStyle name="Normal 10 3 11 2 4" xfId="20054" xr:uid="{00000000-0005-0000-0000-0000EB9E0000}"/>
    <cellStyle name="Normal 10 3 11 2 5" xfId="25530" xr:uid="{00000000-0005-0000-0000-0000EC9E0000}"/>
    <cellStyle name="Normal 10 3 11 2 6" xfId="37326" xr:uid="{00000000-0005-0000-0000-0000ED9E0000}"/>
    <cellStyle name="Normal 10 3 11 2 7" xfId="42803" xr:uid="{00000000-0005-0000-0000-0000EE9E0000}"/>
    <cellStyle name="Normal 10 3 11 2 8" xfId="48280" xr:uid="{00000000-0005-0000-0000-0000EF9E0000}"/>
    <cellStyle name="Normal 10 3 11 2 9" xfId="53798" xr:uid="{00000000-0005-0000-0000-0000F09E0000}"/>
    <cellStyle name="Normal 10 3 11 3" xfId="5394" xr:uid="{00000000-0005-0000-0000-0000F19E0000}"/>
    <cellStyle name="Normal 10 3 11 3 2" xfId="10874" xr:uid="{00000000-0005-0000-0000-0000F29E0000}"/>
    <cellStyle name="Normal 10 3 11 3 3" xfId="16350" xr:uid="{00000000-0005-0000-0000-0000F39E0000}"/>
    <cellStyle name="Normal 10 3 11 3 4" xfId="21826" xr:uid="{00000000-0005-0000-0000-0000F49E0000}"/>
    <cellStyle name="Normal 10 3 11 3 5" xfId="27302" xr:uid="{00000000-0005-0000-0000-0000F59E0000}"/>
    <cellStyle name="Normal 10 3 11 3 6" xfId="39098" xr:uid="{00000000-0005-0000-0000-0000F69E0000}"/>
    <cellStyle name="Normal 10 3 11 3 7" xfId="44575" xr:uid="{00000000-0005-0000-0000-0000F79E0000}"/>
    <cellStyle name="Normal 10 3 11 3 8" xfId="50052" xr:uid="{00000000-0005-0000-0000-0000F89E0000}"/>
    <cellStyle name="Normal 10 3 11 3 9" xfId="55570" xr:uid="{00000000-0005-0000-0000-0000F99E0000}"/>
    <cellStyle name="Normal 10 3 11 4" xfId="6868" xr:uid="{00000000-0005-0000-0000-0000FA9E0000}"/>
    <cellStyle name="Normal 10 3 11 5" xfId="12348" xr:uid="{00000000-0005-0000-0000-0000FB9E0000}"/>
    <cellStyle name="Normal 10 3 11 6" xfId="17824" xr:uid="{00000000-0005-0000-0000-0000FC9E0000}"/>
    <cellStyle name="Normal 10 3 11 7" xfId="23300" xr:uid="{00000000-0005-0000-0000-0000FD9E0000}"/>
    <cellStyle name="Normal 10 3 11 8" xfId="35095" xr:uid="{00000000-0005-0000-0000-0000FE9E0000}"/>
    <cellStyle name="Normal 10 3 11 9" xfId="40572" xr:uid="{00000000-0005-0000-0000-0000FF9E0000}"/>
    <cellStyle name="Normal 10 3 12" xfId="2030" xr:uid="{00000000-0005-0000-0000-0000009F0000}"/>
    <cellStyle name="Normal 10 3 12 10" xfId="52207" xr:uid="{00000000-0005-0000-0000-0000019F0000}"/>
    <cellStyle name="Normal 10 3 12 2" xfId="5562" xr:uid="{00000000-0005-0000-0000-0000029F0000}"/>
    <cellStyle name="Normal 10 3 12 2 2" xfId="11042" xr:uid="{00000000-0005-0000-0000-0000039F0000}"/>
    <cellStyle name="Normal 10 3 12 2 3" xfId="16518" xr:uid="{00000000-0005-0000-0000-0000049F0000}"/>
    <cellStyle name="Normal 10 3 12 2 4" xfId="21994" xr:uid="{00000000-0005-0000-0000-0000059F0000}"/>
    <cellStyle name="Normal 10 3 12 2 5" xfId="27470" xr:uid="{00000000-0005-0000-0000-0000069F0000}"/>
    <cellStyle name="Normal 10 3 12 2 6" xfId="39266" xr:uid="{00000000-0005-0000-0000-0000079F0000}"/>
    <cellStyle name="Normal 10 3 12 2 7" xfId="44743" xr:uid="{00000000-0005-0000-0000-0000089F0000}"/>
    <cellStyle name="Normal 10 3 12 2 8" xfId="50220" xr:uid="{00000000-0005-0000-0000-0000099F0000}"/>
    <cellStyle name="Normal 10 3 12 2 9" xfId="55738" xr:uid="{00000000-0005-0000-0000-00000A9F0000}"/>
    <cellStyle name="Normal 10 3 12 3" xfId="7511" xr:uid="{00000000-0005-0000-0000-00000B9F0000}"/>
    <cellStyle name="Normal 10 3 12 4" xfId="12987" xr:uid="{00000000-0005-0000-0000-00000C9F0000}"/>
    <cellStyle name="Normal 10 3 12 5" xfId="18463" xr:uid="{00000000-0005-0000-0000-00000D9F0000}"/>
    <cellStyle name="Normal 10 3 12 6" xfId="23939" xr:uid="{00000000-0005-0000-0000-00000E9F0000}"/>
    <cellStyle name="Normal 10 3 12 7" xfId="35735" xr:uid="{00000000-0005-0000-0000-00000F9F0000}"/>
    <cellStyle name="Normal 10 3 12 8" xfId="41212" xr:uid="{00000000-0005-0000-0000-0000109F0000}"/>
    <cellStyle name="Normal 10 3 12 9" xfId="46689" xr:uid="{00000000-0005-0000-0000-0000119F0000}"/>
    <cellStyle name="Normal 10 3 13" xfId="3714" xr:uid="{00000000-0005-0000-0000-0000129F0000}"/>
    <cellStyle name="Normal 10 3 13 2" xfId="9194" xr:uid="{00000000-0005-0000-0000-0000139F0000}"/>
    <cellStyle name="Normal 10 3 13 3" xfId="14670" xr:uid="{00000000-0005-0000-0000-0000149F0000}"/>
    <cellStyle name="Normal 10 3 13 4" xfId="20146" xr:uid="{00000000-0005-0000-0000-0000159F0000}"/>
    <cellStyle name="Normal 10 3 13 5" xfId="25622" xr:uid="{00000000-0005-0000-0000-0000169F0000}"/>
    <cellStyle name="Normal 10 3 13 6" xfId="37418" xr:uid="{00000000-0005-0000-0000-0000179F0000}"/>
    <cellStyle name="Normal 10 3 13 7" xfId="42895" xr:uid="{00000000-0005-0000-0000-0000189F0000}"/>
    <cellStyle name="Normal 10 3 13 8" xfId="48372" xr:uid="{00000000-0005-0000-0000-0000199F0000}"/>
    <cellStyle name="Normal 10 3 13 9" xfId="53890" xr:uid="{00000000-0005-0000-0000-00001A9F0000}"/>
    <cellStyle name="Normal 10 3 14" xfId="6866" xr:uid="{00000000-0005-0000-0000-00001B9F0000}"/>
    <cellStyle name="Normal 10 3 15" xfId="12346" xr:uid="{00000000-0005-0000-0000-00001C9F0000}"/>
    <cellStyle name="Normal 10 3 16" xfId="17822" xr:uid="{00000000-0005-0000-0000-00001D9F0000}"/>
    <cellStyle name="Normal 10 3 17" xfId="23298" xr:uid="{00000000-0005-0000-0000-00001E9F0000}"/>
    <cellStyle name="Normal 10 3 18" xfId="32901" xr:uid="{00000000-0005-0000-0000-00001F9F0000}"/>
    <cellStyle name="Normal 10 3 19" xfId="35093" xr:uid="{00000000-0005-0000-0000-0000209F0000}"/>
    <cellStyle name="Normal 10 3 2" xfId="234" xr:uid="{00000000-0005-0000-0000-0000219F0000}"/>
    <cellStyle name="Normal 10 3 2 10" xfId="1862" xr:uid="{00000000-0005-0000-0000-0000229F0000}"/>
    <cellStyle name="Normal 10 3 2 10 10" xfId="46051" xr:uid="{00000000-0005-0000-0000-0000239F0000}"/>
    <cellStyle name="Normal 10 3 2 10 11" xfId="51530" xr:uid="{00000000-0005-0000-0000-0000249F0000}"/>
    <cellStyle name="Normal 10 3 2 10 2" xfId="3623" xr:uid="{00000000-0005-0000-0000-0000259F0000}"/>
    <cellStyle name="Normal 10 3 2 10 2 2" xfId="9103" xr:uid="{00000000-0005-0000-0000-0000269F0000}"/>
    <cellStyle name="Normal 10 3 2 10 2 3" xfId="14579" xr:uid="{00000000-0005-0000-0000-0000279F0000}"/>
    <cellStyle name="Normal 10 3 2 10 2 4" xfId="20055" xr:uid="{00000000-0005-0000-0000-0000289F0000}"/>
    <cellStyle name="Normal 10 3 2 10 2 5" xfId="25531" xr:uid="{00000000-0005-0000-0000-0000299F0000}"/>
    <cellStyle name="Normal 10 3 2 10 2 6" xfId="37327" xr:uid="{00000000-0005-0000-0000-00002A9F0000}"/>
    <cellStyle name="Normal 10 3 2 10 2 7" xfId="42804" xr:uid="{00000000-0005-0000-0000-00002B9F0000}"/>
    <cellStyle name="Normal 10 3 2 10 2 8" xfId="48281" xr:uid="{00000000-0005-0000-0000-00002C9F0000}"/>
    <cellStyle name="Normal 10 3 2 10 2 9" xfId="53799" xr:uid="{00000000-0005-0000-0000-00002D9F0000}"/>
    <cellStyle name="Normal 10 3 2 10 3" xfId="5395" xr:uid="{00000000-0005-0000-0000-00002E9F0000}"/>
    <cellStyle name="Normal 10 3 2 10 3 2" xfId="10875" xr:uid="{00000000-0005-0000-0000-00002F9F0000}"/>
    <cellStyle name="Normal 10 3 2 10 3 3" xfId="16351" xr:uid="{00000000-0005-0000-0000-0000309F0000}"/>
    <cellStyle name="Normal 10 3 2 10 3 4" xfId="21827" xr:uid="{00000000-0005-0000-0000-0000319F0000}"/>
    <cellStyle name="Normal 10 3 2 10 3 5" xfId="27303" xr:uid="{00000000-0005-0000-0000-0000329F0000}"/>
    <cellStyle name="Normal 10 3 2 10 3 6" xfId="39099" xr:uid="{00000000-0005-0000-0000-0000339F0000}"/>
    <cellStyle name="Normal 10 3 2 10 3 7" xfId="44576" xr:uid="{00000000-0005-0000-0000-0000349F0000}"/>
    <cellStyle name="Normal 10 3 2 10 3 8" xfId="50053" xr:uid="{00000000-0005-0000-0000-0000359F0000}"/>
    <cellStyle name="Normal 10 3 2 10 3 9" xfId="55571" xr:uid="{00000000-0005-0000-0000-0000369F0000}"/>
    <cellStyle name="Normal 10 3 2 10 4" xfId="6870" xr:uid="{00000000-0005-0000-0000-0000379F0000}"/>
    <cellStyle name="Normal 10 3 2 10 5" xfId="12350" xr:uid="{00000000-0005-0000-0000-0000389F0000}"/>
    <cellStyle name="Normal 10 3 2 10 6" xfId="17826" xr:uid="{00000000-0005-0000-0000-0000399F0000}"/>
    <cellStyle name="Normal 10 3 2 10 7" xfId="23302" xr:uid="{00000000-0005-0000-0000-00003A9F0000}"/>
    <cellStyle name="Normal 10 3 2 10 8" xfId="35097" xr:uid="{00000000-0005-0000-0000-00003B9F0000}"/>
    <cellStyle name="Normal 10 3 2 10 9" xfId="40574" xr:uid="{00000000-0005-0000-0000-00003C9F0000}"/>
    <cellStyle name="Normal 10 3 2 11" xfId="2031" xr:uid="{00000000-0005-0000-0000-00003D9F0000}"/>
    <cellStyle name="Normal 10 3 2 11 10" xfId="52208" xr:uid="{00000000-0005-0000-0000-00003E9F0000}"/>
    <cellStyle name="Normal 10 3 2 11 2" xfId="5563" xr:uid="{00000000-0005-0000-0000-00003F9F0000}"/>
    <cellStyle name="Normal 10 3 2 11 2 2" xfId="11043" xr:uid="{00000000-0005-0000-0000-0000409F0000}"/>
    <cellStyle name="Normal 10 3 2 11 2 3" xfId="16519" xr:uid="{00000000-0005-0000-0000-0000419F0000}"/>
    <cellStyle name="Normal 10 3 2 11 2 4" xfId="21995" xr:uid="{00000000-0005-0000-0000-0000429F0000}"/>
    <cellStyle name="Normal 10 3 2 11 2 5" xfId="27471" xr:uid="{00000000-0005-0000-0000-0000439F0000}"/>
    <cellStyle name="Normal 10 3 2 11 2 6" xfId="39267" xr:uid="{00000000-0005-0000-0000-0000449F0000}"/>
    <cellStyle name="Normal 10 3 2 11 2 7" xfId="44744" xr:uid="{00000000-0005-0000-0000-0000459F0000}"/>
    <cellStyle name="Normal 10 3 2 11 2 8" xfId="50221" xr:uid="{00000000-0005-0000-0000-0000469F0000}"/>
    <cellStyle name="Normal 10 3 2 11 2 9" xfId="55739" xr:uid="{00000000-0005-0000-0000-0000479F0000}"/>
    <cellStyle name="Normal 10 3 2 11 3" xfId="7512" xr:uid="{00000000-0005-0000-0000-0000489F0000}"/>
    <cellStyle name="Normal 10 3 2 11 4" xfId="12988" xr:uid="{00000000-0005-0000-0000-0000499F0000}"/>
    <cellStyle name="Normal 10 3 2 11 5" xfId="18464" xr:uid="{00000000-0005-0000-0000-00004A9F0000}"/>
    <cellStyle name="Normal 10 3 2 11 6" xfId="23940" xr:uid="{00000000-0005-0000-0000-00004B9F0000}"/>
    <cellStyle name="Normal 10 3 2 11 7" xfId="35736" xr:uid="{00000000-0005-0000-0000-00004C9F0000}"/>
    <cellStyle name="Normal 10 3 2 11 8" xfId="41213" xr:uid="{00000000-0005-0000-0000-00004D9F0000}"/>
    <cellStyle name="Normal 10 3 2 11 9" xfId="46690" xr:uid="{00000000-0005-0000-0000-00004E9F0000}"/>
    <cellStyle name="Normal 10 3 2 12" xfId="3800" xr:uid="{00000000-0005-0000-0000-00004F9F0000}"/>
    <cellStyle name="Normal 10 3 2 12 2" xfId="9280" xr:uid="{00000000-0005-0000-0000-0000509F0000}"/>
    <cellStyle name="Normal 10 3 2 12 3" xfId="14756" xr:uid="{00000000-0005-0000-0000-0000519F0000}"/>
    <cellStyle name="Normal 10 3 2 12 4" xfId="20232" xr:uid="{00000000-0005-0000-0000-0000529F0000}"/>
    <cellStyle name="Normal 10 3 2 12 5" xfId="25708" xr:uid="{00000000-0005-0000-0000-0000539F0000}"/>
    <cellStyle name="Normal 10 3 2 12 6" xfId="37504" xr:uid="{00000000-0005-0000-0000-0000549F0000}"/>
    <cellStyle name="Normal 10 3 2 12 7" xfId="42981" xr:uid="{00000000-0005-0000-0000-0000559F0000}"/>
    <cellStyle name="Normal 10 3 2 12 8" xfId="48458" xr:uid="{00000000-0005-0000-0000-0000569F0000}"/>
    <cellStyle name="Normal 10 3 2 12 9" xfId="53976" xr:uid="{00000000-0005-0000-0000-0000579F0000}"/>
    <cellStyle name="Normal 10 3 2 13" xfId="6869" xr:uid="{00000000-0005-0000-0000-0000589F0000}"/>
    <cellStyle name="Normal 10 3 2 14" xfId="12349" xr:uid="{00000000-0005-0000-0000-0000599F0000}"/>
    <cellStyle name="Normal 10 3 2 15" xfId="17825" xr:uid="{00000000-0005-0000-0000-00005A9F0000}"/>
    <cellStyle name="Normal 10 3 2 16" xfId="23301" xr:uid="{00000000-0005-0000-0000-00005B9F0000}"/>
    <cellStyle name="Normal 10 3 2 17" xfId="32902" xr:uid="{00000000-0005-0000-0000-00005C9F0000}"/>
    <cellStyle name="Normal 10 3 2 18" xfId="35096" xr:uid="{00000000-0005-0000-0000-00005D9F0000}"/>
    <cellStyle name="Normal 10 3 2 19" xfId="40573" xr:uid="{00000000-0005-0000-0000-00005E9F0000}"/>
    <cellStyle name="Normal 10 3 2 2" xfId="426" xr:uid="{00000000-0005-0000-0000-00005F9F0000}"/>
    <cellStyle name="Normal 10 3 2 2 10" xfId="40575" xr:uid="{00000000-0005-0000-0000-0000609F0000}"/>
    <cellStyle name="Normal 10 3 2 2 11" xfId="46052" xr:uid="{00000000-0005-0000-0000-0000619F0000}"/>
    <cellStyle name="Normal 10 3 2 2 12" xfId="51531" xr:uid="{00000000-0005-0000-0000-0000629F0000}"/>
    <cellStyle name="Normal 10 3 2 2 2" xfId="2192" xr:uid="{00000000-0005-0000-0000-0000639F0000}"/>
    <cellStyle name="Normal 10 3 2 2 2 2" xfId="7672" xr:uid="{00000000-0005-0000-0000-0000649F0000}"/>
    <cellStyle name="Normal 10 3 2 2 2 3" xfId="13148" xr:uid="{00000000-0005-0000-0000-0000659F0000}"/>
    <cellStyle name="Normal 10 3 2 2 2 4" xfId="18624" xr:uid="{00000000-0005-0000-0000-0000669F0000}"/>
    <cellStyle name="Normal 10 3 2 2 2 5" xfId="24100" xr:uid="{00000000-0005-0000-0000-0000679F0000}"/>
    <cellStyle name="Normal 10 3 2 2 2 6" xfId="35896" xr:uid="{00000000-0005-0000-0000-0000689F0000}"/>
    <cellStyle name="Normal 10 3 2 2 2 7" xfId="41373" xr:uid="{00000000-0005-0000-0000-0000699F0000}"/>
    <cellStyle name="Normal 10 3 2 2 2 8" xfId="46850" xr:uid="{00000000-0005-0000-0000-00006A9F0000}"/>
    <cellStyle name="Normal 10 3 2 2 2 9" xfId="52368" xr:uid="{00000000-0005-0000-0000-00006B9F0000}"/>
    <cellStyle name="Normal 10 3 2 2 3" xfId="3964" xr:uid="{00000000-0005-0000-0000-00006C9F0000}"/>
    <cellStyle name="Normal 10 3 2 2 3 2" xfId="9444" xr:uid="{00000000-0005-0000-0000-00006D9F0000}"/>
    <cellStyle name="Normal 10 3 2 2 3 3" xfId="14920" xr:uid="{00000000-0005-0000-0000-00006E9F0000}"/>
    <cellStyle name="Normal 10 3 2 2 3 4" xfId="20396" xr:uid="{00000000-0005-0000-0000-00006F9F0000}"/>
    <cellStyle name="Normal 10 3 2 2 3 5" xfId="25872" xr:uid="{00000000-0005-0000-0000-0000709F0000}"/>
    <cellStyle name="Normal 10 3 2 2 3 6" xfId="37668" xr:uid="{00000000-0005-0000-0000-0000719F0000}"/>
    <cellStyle name="Normal 10 3 2 2 3 7" xfId="43145" xr:uid="{00000000-0005-0000-0000-0000729F0000}"/>
    <cellStyle name="Normal 10 3 2 2 3 8" xfId="48622" xr:uid="{00000000-0005-0000-0000-0000739F0000}"/>
    <cellStyle name="Normal 10 3 2 2 3 9" xfId="54140" xr:uid="{00000000-0005-0000-0000-0000749F0000}"/>
    <cellStyle name="Normal 10 3 2 2 4" xfId="6871" xr:uid="{00000000-0005-0000-0000-0000759F0000}"/>
    <cellStyle name="Normal 10 3 2 2 5" xfId="12351" xr:uid="{00000000-0005-0000-0000-0000769F0000}"/>
    <cellStyle name="Normal 10 3 2 2 6" xfId="17827" xr:uid="{00000000-0005-0000-0000-0000779F0000}"/>
    <cellStyle name="Normal 10 3 2 2 7" xfId="23303" xr:uid="{00000000-0005-0000-0000-0000789F0000}"/>
    <cellStyle name="Normal 10 3 2 2 8" xfId="32903" xr:uid="{00000000-0005-0000-0000-0000799F0000}"/>
    <cellStyle name="Normal 10 3 2 2 9" xfId="35098" xr:uid="{00000000-0005-0000-0000-00007A9F0000}"/>
    <cellStyle name="Normal 10 3 2 20" xfId="46050" xr:uid="{00000000-0005-0000-0000-00007B9F0000}"/>
    <cellStyle name="Normal 10 3 2 21" xfId="51529" xr:uid="{00000000-0005-0000-0000-00007C9F0000}"/>
    <cellStyle name="Normal 10 3 2 3" xfId="603" xr:uid="{00000000-0005-0000-0000-00007D9F0000}"/>
    <cellStyle name="Normal 10 3 2 3 10" xfId="46053" xr:uid="{00000000-0005-0000-0000-00007E9F0000}"/>
    <cellStyle name="Normal 10 3 2 3 11" xfId="51532" xr:uid="{00000000-0005-0000-0000-00007F9F0000}"/>
    <cellStyle name="Normal 10 3 2 3 2" xfId="2364" xr:uid="{00000000-0005-0000-0000-0000809F0000}"/>
    <cellStyle name="Normal 10 3 2 3 2 2" xfId="7844" xr:uid="{00000000-0005-0000-0000-0000819F0000}"/>
    <cellStyle name="Normal 10 3 2 3 2 3" xfId="13320" xr:uid="{00000000-0005-0000-0000-0000829F0000}"/>
    <cellStyle name="Normal 10 3 2 3 2 4" xfId="18796" xr:uid="{00000000-0005-0000-0000-0000839F0000}"/>
    <cellStyle name="Normal 10 3 2 3 2 5" xfId="24272" xr:uid="{00000000-0005-0000-0000-0000849F0000}"/>
    <cellStyle name="Normal 10 3 2 3 2 6" xfId="36068" xr:uid="{00000000-0005-0000-0000-0000859F0000}"/>
    <cellStyle name="Normal 10 3 2 3 2 7" xfId="41545" xr:uid="{00000000-0005-0000-0000-0000869F0000}"/>
    <cellStyle name="Normal 10 3 2 3 2 8" xfId="47022" xr:uid="{00000000-0005-0000-0000-0000879F0000}"/>
    <cellStyle name="Normal 10 3 2 3 2 9" xfId="52540" xr:uid="{00000000-0005-0000-0000-0000889F0000}"/>
    <cellStyle name="Normal 10 3 2 3 3" xfId="4136" xr:uid="{00000000-0005-0000-0000-0000899F0000}"/>
    <cellStyle name="Normal 10 3 2 3 3 2" xfId="9616" xr:uid="{00000000-0005-0000-0000-00008A9F0000}"/>
    <cellStyle name="Normal 10 3 2 3 3 3" xfId="15092" xr:uid="{00000000-0005-0000-0000-00008B9F0000}"/>
    <cellStyle name="Normal 10 3 2 3 3 4" xfId="20568" xr:uid="{00000000-0005-0000-0000-00008C9F0000}"/>
    <cellStyle name="Normal 10 3 2 3 3 5" xfId="26044" xr:uid="{00000000-0005-0000-0000-00008D9F0000}"/>
    <cellStyle name="Normal 10 3 2 3 3 6" xfId="37840" xr:uid="{00000000-0005-0000-0000-00008E9F0000}"/>
    <cellStyle name="Normal 10 3 2 3 3 7" xfId="43317" xr:uid="{00000000-0005-0000-0000-00008F9F0000}"/>
    <cellStyle name="Normal 10 3 2 3 3 8" xfId="48794" xr:uid="{00000000-0005-0000-0000-0000909F0000}"/>
    <cellStyle name="Normal 10 3 2 3 3 9" xfId="54312" xr:uid="{00000000-0005-0000-0000-0000919F0000}"/>
    <cellStyle name="Normal 10 3 2 3 4" xfId="6872" xr:uid="{00000000-0005-0000-0000-0000929F0000}"/>
    <cellStyle name="Normal 10 3 2 3 5" xfId="12352" xr:uid="{00000000-0005-0000-0000-0000939F0000}"/>
    <cellStyle name="Normal 10 3 2 3 6" xfId="17828" xr:uid="{00000000-0005-0000-0000-0000949F0000}"/>
    <cellStyle name="Normal 10 3 2 3 7" xfId="23304" xr:uid="{00000000-0005-0000-0000-0000959F0000}"/>
    <cellStyle name="Normal 10 3 2 3 8" xfId="35099" xr:uid="{00000000-0005-0000-0000-0000969F0000}"/>
    <cellStyle name="Normal 10 3 2 3 9" xfId="40576" xr:uid="{00000000-0005-0000-0000-0000979F0000}"/>
    <cellStyle name="Normal 10 3 2 4" xfId="775" xr:uid="{00000000-0005-0000-0000-0000989F0000}"/>
    <cellStyle name="Normal 10 3 2 4 10" xfId="46054" xr:uid="{00000000-0005-0000-0000-0000999F0000}"/>
    <cellStyle name="Normal 10 3 2 4 11" xfId="51533" xr:uid="{00000000-0005-0000-0000-00009A9F0000}"/>
    <cellStyle name="Normal 10 3 2 4 2" xfId="2536" xr:uid="{00000000-0005-0000-0000-00009B9F0000}"/>
    <cellStyle name="Normal 10 3 2 4 2 2" xfId="8016" xr:uid="{00000000-0005-0000-0000-00009C9F0000}"/>
    <cellStyle name="Normal 10 3 2 4 2 3" xfId="13492" xr:uid="{00000000-0005-0000-0000-00009D9F0000}"/>
    <cellStyle name="Normal 10 3 2 4 2 4" xfId="18968" xr:uid="{00000000-0005-0000-0000-00009E9F0000}"/>
    <cellStyle name="Normal 10 3 2 4 2 5" xfId="24444" xr:uid="{00000000-0005-0000-0000-00009F9F0000}"/>
    <cellStyle name="Normal 10 3 2 4 2 6" xfId="36240" xr:uid="{00000000-0005-0000-0000-0000A09F0000}"/>
    <cellStyle name="Normal 10 3 2 4 2 7" xfId="41717" xr:uid="{00000000-0005-0000-0000-0000A19F0000}"/>
    <cellStyle name="Normal 10 3 2 4 2 8" xfId="47194" xr:uid="{00000000-0005-0000-0000-0000A29F0000}"/>
    <cellStyle name="Normal 10 3 2 4 2 9" xfId="52712" xr:uid="{00000000-0005-0000-0000-0000A39F0000}"/>
    <cellStyle name="Normal 10 3 2 4 3" xfId="4308" xr:uid="{00000000-0005-0000-0000-0000A49F0000}"/>
    <cellStyle name="Normal 10 3 2 4 3 2" xfId="9788" xr:uid="{00000000-0005-0000-0000-0000A59F0000}"/>
    <cellStyle name="Normal 10 3 2 4 3 3" xfId="15264" xr:uid="{00000000-0005-0000-0000-0000A69F0000}"/>
    <cellStyle name="Normal 10 3 2 4 3 4" xfId="20740" xr:uid="{00000000-0005-0000-0000-0000A79F0000}"/>
    <cellStyle name="Normal 10 3 2 4 3 5" xfId="26216" xr:uid="{00000000-0005-0000-0000-0000A89F0000}"/>
    <cellStyle name="Normal 10 3 2 4 3 6" xfId="38012" xr:uid="{00000000-0005-0000-0000-0000A99F0000}"/>
    <cellStyle name="Normal 10 3 2 4 3 7" xfId="43489" xr:uid="{00000000-0005-0000-0000-0000AA9F0000}"/>
    <cellStyle name="Normal 10 3 2 4 3 8" xfId="48966" xr:uid="{00000000-0005-0000-0000-0000AB9F0000}"/>
    <cellStyle name="Normal 10 3 2 4 3 9" xfId="54484" xr:uid="{00000000-0005-0000-0000-0000AC9F0000}"/>
    <cellStyle name="Normal 10 3 2 4 4" xfId="6873" xr:uid="{00000000-0005-0000-0000-0000AD9F0000}"/>
    <cellStyle name="Normal 10 3 2 4 5" xfId="12353" xr:uid="{00000000-0005-0000-0000-0000AE9F0000}"/>
    <cellStyle name="Normal 10 3 2 4 6" xfId="17829" xr:uid="{00000000-0005-0000-0000-0000AF9F0000}"/>
    <cellStyle name="Normal 10 3 2 4 7" xfId="23305" xr:uid="{00000000-0005-0000-0000-0000B09F0000}"/>
    <cellStyle name="Normal 10 3 2 4 8" xfId="35100" xr:uid="{00000000-0005-0000-0000-0000B19F0000}"/>
    <cellStyle name="Normal 10 3 2 4 9" xfId="40577" xr:uid="{00000000-0005-0000-0000-0000B29F0000}"/>
    <cellStyle name="Normal 10 3 2 5" xfId="947" xr:uid="{00000000-0005-0000-0000-0000B39F0000}"/>
    <cellStyle name="Normal 10 3 2 5 10" xfId="46055" xr:uid="{00000000-0005-0000-0000-0000B49F0000}"/>
    <cellStyle name="Normal 10 3 2 5 11" xfId="51534" xr:uid="{00000000-0005-0000-0000-0000B59F0000}"/>
    <cellStyle name="Normal 10 3 2 5 2" xfId="2708" xr:uid="{00000000-0005-0000-0000-0000B69F0000}"/>
    <cellStyle name="Normal 10 3 2 5 2 2" xfId="8188" xr:uid="{00000000-0005-0000-0000-0000B79F0000}"/>
    <cellStyle name="Normal 10 3 2 5 2 3" xfId="13664" xr:uid="{00000000-0005-0000-0000-0000B89F0000}"/>
    <cellStyle name="Normal 10 3 2 5 2 4" xfId="19140" xr:uid="{00000000-0005-0000-0000-0000B99F0000}"/>
    <cellStyle name="Normal 10 3 2 5 2 5" xfId="24616" xr:uid="{00000000-0005-0000-0000-0000BA9F0000}"/>
    <cellStyle name="Normal 10 3 2 5 2 6" xfId="36412" xr:uid="{00000000-0005-0000-0000-0000BB9F0000}"/>
    <cellStyle name="Normal 10 3 2 5 2 7" xfId="41889" xr:uid="{00000000-0005-0000-0000-0000BC9F0000}"/>
    <cellStyle name="Normal 10 3 2 5 2 8" xfId="47366" xr:uid="{00000000-0005-0000-0000-0000BD9F0000}"/>
    <cellStyle name="Normal 10 3 2 5 2 9" xfId="52884" xr:uid="{00000000-0005-0000-0000-0000BE9F0000}"/>
    <cellStyle name="Normal 10 3 2 5 3" xfId="4480" xr:uid="{00000000-0005-0000-0000-0000BF9F0000}"/>
    <cellStyle name="Normal 10 3 2 5 3 2" xfId="9960" xr:uid="{00000000-0005-0000-0000-0000C09F0000}"/>
    <cellStyle name="Normal 10 3 2 5 3 3" xfId="15436" xr:uid="{00000000-0005-0000-0000-0000C19F0000}"/>
    <cellStyle name="Normal 10 3 2 5 3 4" xfId="20912" xr:uid="{00000000-0005-0000-0000-0000C29F0000}"/>
    <cellStyle name="Normal 10 3 2 5 3 5" xfId="26388" xr:uid="{00000000-0005-0000-0000-0000C39F0000}"/>
    <cellStyle name="Normal 10 3 2 5 3 6" xfId="38184" xr:uid="{00000000-0005-0000-0000-0000C49F0000}"/>
    <cellStyle name="Normal 10 3 2 5 3 7" xfId="43661" xr:uid="{00000000-0005-0000-0000-0000C59F0000}"/>
    <cellStyle name="Normal 10 3 2 5 3 8" xfId="49138" xr:uid="{00000000-0005-0000-0000-0000C69F0000}"/>
    <cellStyle name="Normal 10 3 2 5 3 9" xfId="54656" xr:uid="{00000000-0005-0000-0000-0000C79F0000}"/>
    <cellStyle name="Normal 10 3 2 5 4" xfId="6874" xr:uid="{00000000-0005-0000-0000-0000C89F0000}"/>
    <cellStyle name="Normal 10 3 2 5 5" xfId="12354" xr:uid="{00000000-0005-0000-0000-0000C99F0000}"/>
    <cellStyle name="Normal 10 3 2 5 6" xfId="17830" xr:uid="{00000000-0005-0000-0000-0000CA9F0000}"/>
    <cellStyle name="Normal 10 3 2 5 7" xfId="23306" xr:uid="{00000000-0005-0000-0000-0000CB9F0000}"/>
    <cellStyle name="Normal 10 3 2 5 8" xfId="35101" xr:uid="{00000000-0005-0000-0000-0000CC9F0000}"/>
    <cellStyle name="Normal 10 3 2 5 9" xfId="40578" xr:uid="{00000000-0005-0000-0000-0000CD9F0000}"/>
    <cellStyle name="Normal 10 3 2 6" xfId="1153" xr:uid="{00000000-0005-0000-0000-0000CE9F0000}"/>
    <cellStyle name="Normal 10 3 2 6 10" xfId="46056" xr:uid="{00000000-0005-0000-0000-0000CF9F0000}"/>
    <cellStyle name="Normal 10 3 2 6 11" xfId="51535" xr:uid="{00000000-0005-0000-0000-0000D09F0000}"/>
    <cellStyle name="Normal 10 3 2 6 2" xfId="2914" xr:uid="{00000000-0005-0000-0000-0000D19F0000}"/>
    <cellStyle name="Normal 10 3 2 6 2 2" xfId="8394" xr:uid="{00000000-0005-0000-0000-0000D29F0000}"/>
    <cellStyle name="Normal 10 3 2 6 2 3" xfId="13870" xr:uid="{00000000-0005-0000-0000-0000D39F0000}"/>
    <cellStyle name="Normal 10 3 2 6 2 4" xfId="19346" xr:uid="{00000000-0005-0000-0000-0000D49F0000}"/>
    <cellStyle name="Normal 10 3 2 6 2 5" xfId="24822" xr:uid="{00000000-0005-0000-0000-0000D59F0000}"/>
    <cellStyle name="Normal 10 3 2 6 2 6" xfId="36618" xr:uid="{00000000-0005-0000-0000-0000D69F0000}"/>
    <cellStyle name="Normal 10 3 2 6 2 7" xfId="42095" xr:uid="{00000000-0005-0000-0000-0000D79F0000}"/>
    <cellStyle name="Normal 10 3 2 6 2 8" xfId="47572" xr:uid="{00000000-0005-0000-0000-0000D89F0000}"/>
    <cellStyle name="Normal 10 3 2 6 2 9" xfId="53090" xr:uid="{00000000-0005-0000-0000-0000D99F0000}"/>
    <cellStyle name="Normal 10 3 2 6 3" xfId="4686" xr:uid="{00000000-0005-0000-0000-0000DA9F0000}"/>
    <cellStyle name="Normal 10 3 2 6 3 2" xfId="10166" xr:uid="{00000000-0005-0000-0000-0000DB9F0000}"/>
    <cellStyle name="Normal 10 3 2 6 3 3" xfId="15642" xr:uid="{00000000-0005-0000-0000-0000DC9F0000}"/>
    <cellStyle name="Normal 10 3 2 6 3 4" xfId="21118" xr:uid="{00000000-0005-0000-0000-0000DD9F0000}"/>
    <cellStyle name="Normal 10 3 2 6 3 5" xfId="26594" xr:uid="{00000000-0005-0000-0000-0000DE9F0000}"/>
    <cellStyle name="Normal 10 3 2 6 3 6" xfId="38390" xr:uid="{00000000-0005-0000-0000-0000DF9F0000}"/>
    <cellStyle name="Normal 10 3 2 6 3 7" xfId="43867" xr:uid="{00000000-0005-0000-0000-0000E09F0000}"/>
    <cellStyle name="Normal 10 3 2 6 3 8" xfId="49344" xr:uid="{00000000-0005-0000-0000-0000E19F0000}"/>
    <cellStyle name="Normal 10 3 2 6 3 9" xfId="54862" xr:uid="{00000000-0005-0000-0000-0000E29F0000}"/>
    <cellStyle name="Normal 10 3 2 6 4" xfId="6875" xr:uid="{00000000-0005-0000-0000-0000E39F0000}"/>
    <cellStyle name="Normal 10 3 2 6 5" xfId="12355" xr:uid="{00000000-0005-0000-0000-0000E49F0000}"/>
    <cellStyle name="Normal 10 3 2 6 6" xfId="17831" xr:uid="{00000000-0005-0000-0000-0000E59F0000}"/>
    <cellStyle name="Normal 10 3 2 6 7" xfId="23307" xr:uid="{00000000-0005-0000-0000-0000E69F0000}"/>
    <cellStyle name="Normal 10 3 2 6 8" xfId="35102" xr:uid="{00000000-0005-0000-0000-0000E79F0000}"/>
    <cellStyle name="Normal 10 3 2 6 9" xfId="40579" xr:uid="{00000000-0005-0000-0000-0000E89F0000}"/>
    <cellStyle name="Normal 10 3 2 7" xfId="1325" xr:uid="{00000000-0005-0000-0000-0000E99F0000}"/>
    <cellStyle name="Normal 10 3 2 7 10" xfId="46057" xr:uid="{00000000-0005-0000-0000-0000EA9F0000}"/>
    <cellStyle name="Normal 10 3 2 7 11" xfId="51536" xr:uid="{00000000-0005-0000-0000-0000EB9F0000}"/>
    <cellStyle name="Normal 10 3 2 7 2" xfId="3086" xr:uid="{00000000-0005-0000-0000-0000EC9F0000}"/>
    <cellStyle name="Normal 10 3 2 7 2 2" xfId="8566" xr:uid="{00000000-0005-0000-0000-0000ED9F0000}"/>
    <cellStyle name="Normal 10 3 2 7 2 3" xfId="14042" xr:uid="{00000000-0005-0000-0000-0000EE9F0000}"/>
    <cellStyle name="Normal 10 3 2 7 2 4" xfId="19518" xr:uid="{00000000-0005-0000-0000-0000EF9F0000}"/>
    <cellStyle name="Normal 10 3 2 7 2 5" xfId="24994" xr:uid="{00000000-0005-0000-0000-0000F09F0000}"/>
    <cellStyle name="Normal 10 3 2 7 2 6" xfId="36790" xr:uid="{00000000-0005-0000-0000-0000F19F0000}"/>
    <cellStyle name="Normal 10 3 2 7 2 7" xfId="42267" xr:uid="{00000000-0005-0000-0000-0000F29F0000}"/>
    <cellStyle name="Normal 10 3 2 7 2 8" xfId="47744" xr:uid="{00000000-0005-0000-0000-0000F39F0000}"/>
    <cellStyle name="Normal 10 3 2 7 2 9" xfId="53262" xr:uid="{00000000-0005-0000-0000-0000F49F0000}"/>
    <cellStyle name="Normal 10 3 2 7 3" xfId="4858" xr:uid="{00000000-0005-0000-0000-0000F59F0000}"/>
    <cellStyle name="Normal 10 3 2 7 3 2" xfId="10338" xr:uid="{00000000-0005-0000-0000-0000F69F0000}"/>
    <cellStyle name="Normal 10 3 2 7 3 3" xfId="15814" xr:uid="{00000000-0005-0000-0000-0000F79F0000}"/>
    <cellStyle name="Normal 10 3 2 7 3 4" xfId="21290" xr:uid="{00000000-0005-0000-0000-0000F89F0000}"/>
    <cellStyle name="Normal 10 3 2 7 3 5" xfId="26766" xr:uid="{00000000-0005-0000-0000-0000F99F0000}"/>
    <cellStyle name="Normal 10 3 2 7 3 6" xfId="38562" xr:uid="{00000000-0005-0000-0000-0000FA9F0000}"/>
    <cellStyle name="Normal 10 3 2 7 3 7" xfId="44039" xr:uid="{00000000-0005-0000-0000-0000FB9F0000}"/>
    <cellStyle name="Normal 10 3 2 7 3 8" xfId="49516" xr:uid="{00000000-0005-0000-0000-0000FC9F0000}"/>
    <cellStyle name="Normal 10 3 2 7 3 9" xfId="55034" xr:uid="{00000000-0005-0000-0000-0000FD9F0000}"/>
    <cellStyle name="Normal 10 3 2 7 4" xfId="6876" xr:uid="{00000000-0005-0000-0000-0000FE9F0000}"/>
    <cellStyle name="Normal 10 3 2 7 5" xfId="12356" xr:uid="{00000000-0005-0000-0000-0000FF9F0000}"/>
    <cellStyle name="Normal 10 3 2 7 6" xfId="17832" xr:uid="{00000000-0005-0000-0000-000000A00000}"/>
    <cellStyle name="Normal 10 3 2 7 7" xfId="23308" xr:uid="{00000000-0005-0000-0000-000001A00000}"/>
    <cellStyle name="Normal 10 3 2 7 8" xfId="35103" xr:uid="{00000000-0005-0000-0000-000002A00000}"/>
    <cellStyle name="Normal 10 3 2 7 9" xfId="40580" xr:uid="{00000000-0005-0000-0000-000003A00000}"/>
    <cellStyle name="Normal 10 3 2 8" xfId="1497" xr:uid="{00000000-0005-0000-0000-000004A00000}"/>
    <cellStyle name="Normal 10 3 2 8 10" xfId="46058" xr:uid="{00000000-0005-0000-0000-000005A00000}"/>
    <cellStyle name="Normal 10 3 2 8 11" xfId="51537" xr:uid="{00000000-0005-0000-0000-000006A00000}"/>
    <cellStyle name="Normal 10 3 2 8 2" xfId="3258" xr:uid="{00000000-0005-0000-0000-000007A00000}"/>
    <cellStyle name="Normal 10 3 2 8 2 2" xfId="8738" xr:uid="{00000000-0005-0000-0000-000008A00000}"/>
    <cellStyle name="Normal 10 3 2 8 2 3" xfId="14214" xr:uid="{00000000-0005-0000-0000-000009A00000}"/>
    <cellStyle name="Normal 10 3 2 8 2 4" xfId="19690" xr:uid="{00000000-0005-0000-0000-00000AA00000}"/>
    <cellStyle name="Normal 10 3 2 8 2 5" xfId="25166" xr:uid="{00000000-0005-0000-0000-00000BA00000}"/>
    <cellStyle name="Normal 10 3 2 8 2 6" xfId="36962" xr:uid="{00000000-0005-0000-0000-00000CA00000}"/>
    <cellStyle name="Normal 10 3 2 8 2 7" xfId="42439" xr:uid="{00000000-0005-0000-0000-00000DA00000}"/>
    <cellStyle name="Normal 10 3 2 8 2 8" xfId="47916" xr:uid="{00000000-0005-0000-0000-00000EA00000}"/>
    <cellStyle name="Normal 10 3 2 8 2 9" xfId="53434" xr:uid="{00000000-0005-0000-0000-00000FA00000}"/>
    <cellStyle name="Normal 10 3 2 8 3" xfId="5030" xr:uid="{00000000-0005-0000-0000-000010A00000}"/>
    <cellStyle name="Normal 10 3 2 8 3 2" xfId="10510" xr:uid="{00000000-0005-0000-0000-000011A00000}"/>
    <cellStyle name="Normal 10 3 2 8 3 3" xfId="15986" xr:uid="{00000000-0005-0000-0000-000012A00000}"/>
    <cellStyle name="Normal 10 3 2 8 3 4" xfId="21462" xr:uid="{00000000-0005-0000-0000-000013A00000}"/>
    <cellStyle name="Normal 10 3 2 8 3 5" xfId="26938" xr:uid="{00000000-0005-0000-0000-000014A00000}"/>
    <cellStyle name="Normal 10 3 2 8 3 6" xfId="38734" xr:uid="{00000000-0005-0000-0000-000015A00000}"/>
    <cellStyle name="Normal 10 3 2 8 3 7" xfId="44211" xr:uid="{00000000-0005-0000-0000-000016A00000}"/>
    <cellStyle name="Normal 10 3 2 8 3 8" xfId="49688" xr:uid="{00000000-0005-0000-0000-000017A00000}"/>
    <cellStyle name="Normal 10 3 2 8 3 9" xfId="55206" xr:uid="{00000000-0005-0000-0000-000018A00000}"/>
    <cellStyle name="Normal 10 3 2 8 4" xfId="6877" xr:uid="{00000000-0005-0000-0000-000019A00000}"/>
    <cellStyle name="Normal 10 3 2 8 5" xfId="12357" xr:uid="{00000000-0005-0000-0000-00001AA00000}"/>
    <cellStyle name="Normal 10 3 2 8 6" xfId="17833" xr:uid="{00000000-0005-0000-0000-00001BA00000}"/>
    <cellStyle name="Normal 10 3 2 8 7" xfId="23309" xr:uid="{00000000-0005-0000-0000-00001CA00000}"/>
    <cellStyle name="Normal 10 3 2 8 8" xfId="35104" xr:uid="{00000000-0005-0000-0000-00001DA00000}"/>
    <cellStyle name="Normal 10 3 2 8 9" xfId="40581" xr:uid="{00000000-0005-0000-0000-00001EA00000}"/>
    <cellStyle name="Normal 10 3 2 9" xfId="1669" xr:uid="{00000000-0005-0000-0000-00001FA00000}"/>
    <cellStyle name="Normal 10 3 2 9 10" xfId="46059" xr:uid="{00000000-0005-0000-0000-000020A00000}"/>
    <cellStyle name="Normal 10 3 2 9 11" xfId="51538" xr:uid="{00000000-0005-0000-0000-000021A00000}"/>
    <cellStyle name="Normal 10 3 2 9 2" xfId="3430" xr:uid="{00000000-0005-0000-0000-000022A00000}"/>
    <cellStyle name="Normal 10 3 2 9 2 2" xfId="8910" xr:uid="{00000000-0005-0000-0000-000023A00000}"/>
    <cellStyle name="Normal 10 3 2 9 2 3" xfId="14386" xr:uid="{00000000-0005-0000-0000-000024A00000}"/>
    <cellStyle name="Normal 10 3 2 9 2 4" xfId="19862" xr:uid="{00000000-0005-0000-0000-000025A00000}"/>
    <cellStyle name="Normal 10 3 2 9 2 5" xfId="25338" xr:uid="{00000000-0005-0000-0000-000026A00000}"/>
    <cellStyle name="Normal 10 3 2 9 2 6" xfId="37134" xr:uid="{00000000-0005-0000-0000-000027A00000}"/>
    <cellStyle name="Normal 10 3 2 9 2 7" xfId="42611" xr:uid="{00000000-0005-0000-0000-000028A00000}"/>
    <cellStyle name="Normal 10 3 2 9 2 8" xfId="48088" xr:uid="{00000000-0005-0000-0000-000029A00000}"/>
    <cellStyle name="Normal 10 3 2 9 2 9" xfId="53606" xr:uid="{00000000-0005-0000-0000-00002AA00000}"/>
    <cellStyle name="Normal 10 3 2 9 3" xfId="5202" xr:uid="{00000000-0005-0000-0000-00002BA00000}"/>
    <cellStyle name="Normal 10 3 2 9 3 2" xfId="10682" xr:uid="{00000000-0005-0000-0000-00002CA00000}"/>
    <cellStyle name="Normal 10 3 2 9 3 3" xfId="16158" xr:uid="{00000000-0005-0000-0000-00002DA00000}"/>
    <cellStyle name="Normal 10 3 2 9 3 4" xfId="21634" xr:uid="{00000000-0005-0000-0000-00002EA00000}"/>
    <cellStyle name="Normal 10 3 2 9 3 5" xfId="27110" xr:uid="{00000000-0005-0000-0000-00002FA00000}"/>
    <cellStyle name="Normal 10 3 2 9 3 6" xfId="38906" xr:uid="{00000000-0005-0000-0000-000030A00000}"/>
    <cellStyle name="Normal 10 3 2 9 3 7" xfId="44383" xr:uid="{00000000-0005-0000-0000-000031A00000}"/>
    <cellStyle name="Normal 10 3 2 9 3 8" xfId="49860" xr:uid="{00000000-0005-0000-0000-000032A00000}"/>
    <cellStyle name="Normal 10 3 2 9 3 9" xfId="55378" xr:uid="{00000000-0005-0000-0000-000033A00000}"/>
    <cellStyle name="Normal 10 3 2 9 4" xfId="6878" xr:uid="{00000000-0005-0000-0000-000034A00000}"/>
    <cellStyle name="Normal 10 3 2 9 5" xfId="12358" xr:uid="{00000000-0005-0000-0000-000035A00000}"/>
    <cellStyle name="Normal 10 3 2 9 6" xfId="17834" xr:uid="{00000000-0005-0000-0000-000036A00000}"/>
    <cellStyle name="Normal 10 3 2 9 7" xfId="23310" xr:uid="{00000000-0005-0000-0000-000037A00000}"/>
    <cellStyle name="Normal 10 3 2 9 8" xfId="35105" xr:uid="{00000000-0005-0000-0000-000038A00000}"/>
    <cellStyle name="Normal 10 3 2 9 9" xfId="40582" xr:uid="{00000000-0005-0000-0000-000039A00000}"/>
    <cellStyle name="Normal 10 3 20" xfId="40570" xr:uid="{00000000-0005-0000-0000-00003AA00000}"/>
    <cellStyle name="Normal 10 3 21" xfId="46047" xr:uid="{00000000-0005-0000-0000-00003BA00000}"/>
    <cellStyle name="Normal 10 3 22" xfId="51526" xr:uid="{00000000-0005-0000-0000-00003CA00000}"/>
    <cellStyle name="Normal 10 3 3" xfId="425" xr:uid="{00000000-0005-0000-0000-00003DA00000}"/>
    <cellStyle name="Normal 10 3 3 10" xfId="40583" xr:uid="{00000000-0005-0000-0000-00003EA00000}"/>
    <cellStyle name="Normal 10 3 3 11" xfId="46060" xr:uid="{00000000-0005-0000-0000-00003FA00000}"/>
    <cellStyle name="Normal 10 3 3 12" xfId="51539" xr:uid="{00000000-0005-0000-0000-000040A00000}"/>
    <cellStyle name="Normal 10 3 3 2" xfId="2191" xr:uid="{00000000-0005-0000-0000-000041A00000}"/>
    <cellStyle name="Normal 10 3 3 2 2" xfId="7671" xr:uid="{00000000-0005-0000-0000-000042A00000}"/>
    <cellStyle name="Normal 10 3 3 2 3" xfId="13147" xr:uid="{00000000-0005-0000-0000-000043A00000}"/>
    <cellStyle name="Normal 10 3 3 2 4" xfId="18623" xr:uid="{00000000-0005-0000-0000-000044A00000}"/>
    <cellStyle name="Normal 10 3 3 2 5" xfId="24099" xr:uid="{00000000-0005-0000-0000-000045A00000}"/>
    <cellStyle name="Normal 10 3 3 2 6" xfId="35895" xr:uid="{00000000-0005-0000-0000-000046A00000}"/>
    <cellStyle name="Normal 10 3 3 2 7" xfId="41372" xr:uid="{00000000-0005-0000-0000-000047A00000}"/>
    <cellStyle name="Normal 10 3 3 2 8" xfId="46849" xr:uid="{00000000-0005-0000-0000-000048A00000}"/>
    <cellStyle name="Normal 10 3 3 2 9" xfId="52367" xr:uid="{00000000-0005-0000-0000-000049A00000}"/>
    <cellStyle name="Normal 10 3 3 3" xfId="3963" xr:uid="{00000000-0005-0000-0000-00004AA00000}"/>
    <cellStyle name="Normal 10 3 3 3 2" xfId="9443" xr:uid="{00000000-0005-0000-0000-00004BA00000}"/>
    <cellStyle name="Normal 10 3 3 3 3" xfId="14919" xr:uid="{00000000-0005-0000-0000-00004CA00000}"/>
    <cellStyle name="Normal 10 3 3 3 4" xfId="20395" xr:uid="{00000000-0005-0000-0000-00004DA00000}"/>
    <cellStyle name="Normal 10 3 3 3 5" xfId="25871" xr:uid="{00000000-0005-0000-0000-00004EA00000}"/>
    <cellStyle name="Normal 10 3 3 3 6" xfId="37667" xr:uid="{00000000-0005-0000-0000-00004FA00000}"/>
    <cellStyle name="Normal 10 3 3 3 7" xfId="43144" xr:uid="{00000000-0005-0000-0000-000050A00000}"/>
    <cellStyle name="Normal 10 3 3 3 8" xfId="48621" xr:uid="{00000000-0005-0000-0000-000051A00000}"/>
    <cellStyle name="Normal 10 3 3 3 9" xfId="54139" xr:uid="{00000000-0005-0000-0000-000052A00000}"/>
    <cellStyle name="Normal 10 3 3 4" xfId="6879" xr:uid="{00000000-0005-0000-0000-000053A00000}"/>
    <cellStyle name="Normal 10 3 3 5" xfId="12359" xr:uid="{00000000-0005-0000-0000-000054A00000}"/>
    <cellStyle name="Normal 10 3 3 6" xfId="17835" xr:uid="{00000000-0005-0000-0000-000055A00000}"/>
    <cellStyle name="Normal 10 3 3 7" xfId="23311" xr:uid="{00000000-0005-0000-0000-000056A00000}"/>
    <cellStyle name="Normal 10 3 3 8" xfId="32904" xr:uid="{00000000-0005-0000-0000-000057A00000}"/>
    <cellStyle name="Normal 10 3 3 9" xfId="35106" xr:uid="{00000000-0005-0000-0000-000058A00000}"/>
    <cellStyle name="Normal 10 3 4" xfId="602" xr:uid="{00000000-0005-0000-0000-000059A00000}"/>
    <cellStyle name="Normal 10 3 4 10" xfId="46061" xr:uid="{00000000-0005-0000-0000-00005AA00000}"/>
    <cellStyle name="Normal 10 3 4 11" xfId="51540" xr:uid="{00000000-0005-0000-0000-00005BA00000}"/>
    <cellStyle name="Normal 10 3 4 2" xfId="2363" xr:uid="{00000000-0005-0000-0000-00005CA00000}"/>
    <cellStyle name="Normal 10 3 4 2 2" xfId="7843" xr:uid="{00000000-0005-0000-0000-00005DA00000}"/>
    <cellStyle name="Normal 10 3 4 2 3" xfId="13319" xr:uid="{00000000-0005-0000-0000-00005EA00000}"/>
    <cellStyle name="Normal 10 3 4 2 4" xfId="18795" xr:uid="{00000000-0005-0000-0000-00005FA00000}"/>
    <cellStyle name="Normal 10 3 4 2 5" xfId="24271" xr:uid="{00000000-0005-0000-0000-000060A00000}"/>
    <cellStyle name="Normal 10 3 4 2 6" xfId="36067" xr:uid="{00000000-0005-0000-0000-000061A00000}"/>
    <cellStyle name="Normal 10 3 4 2 7" xfId="41544" xr:uid="{00000000-0005-0000-0000-000062A00000}"/>
    <cellStyle name="Normal 10 3 4 2 8" xfId="47021" xr:uid="{00000000-0005-0000-0000-000063A00000}"/>
    <cellStyle name="Normal 10 3 4 2 9" xfId="52539" xr:uid="{00000000-0005-0000-0000-000064A00000}"/>
    <cellStyle name="Normal 10 3 4 3" xfId="4135" xr:uid="{00000000-0005-0000-0000-000065A00000}"/>
    <cellStyle name="Normal 10 3 4 3 2" xfId="9615" xr:uid="{00000000-0005-0000-0000-000066A00000}"/>
    <cellStyle name="Normal 10 3 4 3 3" xfId="15091" xr:uid="{00000000-0005-0000-0000-000067A00000}"/>
    <cellStyle name="Normal 10 3 4 3 4" xfId="20567" xr:uid="{00000000-0005-0000-0000-000068A00000}"/>
    <cellStyle name="Normal 10 3 4 3 5" xfId="26043" xr:uid="{00000000-0005-0000-0000-000069A00000}"/>
    <cellStyle name="Normal 10 3 4 3 6" xfId="37839" xr:uid="{00000000-0005-0000-0000-00006AA00000}"/>
    <cellStyle name="Normal 10 3 4 3 7" xfId="43316" xr:uid="{00000000-0005-0000-0000-00006BA00000}"/>
    <cellStyle name="Normal 10 3 4 3 8" xfId="48793" xr:uid="{00000000-0005-0000-0000-00006CA00000}"/>
    <cellStyle name="Normal 10 3 4 3 9" xfId="54311" xr:uid="{00000000-0005-0000-0000-00006DA00000}"/>
    <cellStyle name="Normal 10 3 4 4" xfId="6880" xr:uid="{00000000-0005-0000-0000-00006EA00000}"/>
    <cellStyle name="Normal 10 3 4 5" xfId="12360" xr:uid="{00000000-0005-0000-0000-00006FA00000}"/>
    <cellStyle name="Normal 10 3 4 6" xfId="17836" xr:uid="{00000000-0005-0000-0000-000070A00000}"/>
    <cellStyle name="Normal 10 3 4 7" xfId="23312" xr:uid="{00000000-0005-0000-0000-000071A00000}"/>
    <cellStyle name="Normal 10 3 4 8" xfId="35107" xr:uid="{00000000-0005-0000-0000-000072A00000}"/>
    <cellStyle name="Normal 10 3 4 9" xfId="40584" xr:uid="{00000000-0005-0000-0000-000073A00000}"/>
    <cellStyle name="Normal 10 3 5" xfId="774" xr:uid="{00000000-0005-0000-0000-000074A00000}"/>
    <cellStyle name="Normal 10 3 5 10" xfId="46062" xr:uid="{00000000-0005-0000-0000-000075A00000}"/>
    <cellStyle name="Normal 10 3 5 11" xfId="51541" xr:uid="{00000000-0005-0000-0000-000076A00000}"/>
    <cellStyle name="Normal 10 3 5 2" xfId="2535" xr:uid="{00000000-0005-0000-0000-000077A00000}"/>
    <cellStyle name="Normal 10 3 5 2 2" xfId="8015" xr:uid="{00000000-0005-0000-0000-000078A00000}"/>
    <cellStyle name="Normal 10 3 5 2 3" xfId="13491" xr:uid="{00000000-0005-0000-0000-000079A00000}"/>
    <cellStyle name="Normal 10 3 5 2 4" xfId="18967" xr:uid="{00000000-0005-0000-0000-00007AA00000}"/>
    <cellStyle name="Normal 10 3 5 2 5" xfId="24443" xr:uid="{00000000-0005-0000-0000-00007BA00000}"/>
    <cellStyle name="Normal 10 3 5 2 6" xfId="36239" xr:uid="{00000000-0005-0000-0000-00007CA00000}"/>
    <cellStyle name="Normal 10 3 5 2 7" xfId="41716" xr:uid="{00000000-0005-0000-0000-00007DA00000}"/>
    <cellStyle name="Normal 10 3 5 2 8" xfId="47193" xr:uid="{00000000-0005-0000-0000-00007EA00000}"/>
    <cellStyle name="Normal 10 3 5 2 9" xfId="52711" xr:uid="{00000000-0005-0000-0000-00007FA00000}"/>
    <cellStyle name="Normal 10 3 5 3" xfId="4307" xr:uid="{00000000-0005-0000-0000-000080A00000}"/>
    <cellStyle name="Normal 10 3 5 3 2" xfId="9787" xr:uid="{00000000-0005-0000-0000-000081A00000}"/>
    <cellStyle name="Normal 10 3 5 3 3" xfId="15263" xr:uid="{00000000-0005-0000-0000-000082A00000}"/>
    <cellStyle name="Normal 10 3 5 3 4" xfId="20739" xr:uid="{00000000-0005-0000-0000-000083A00000}"/>
    <cellStyle name="Normal 10 3 5 3 5" xfId="26215" xr:uid="{00000000-0005-0000-0000-000084A00000}"/>
    <cellStyle name="Normal 10 3 5 3 6" xfId="38011" xr:uid="{00000000-0005-0000-0000-000085A00000}"/>
    <cellStyle name="Normal 10 3 5 3 7" xfId="43488" xr:uid="{00000000-0005-0000-0000-000086A00000}"/>
    <cellStyle name="Normal 10 3 5 3 8" xfId="48965" xr:uid="{00000000-0005-0000-0000-000087A00000}"/>
    <cellStyle name="Normal 10 3 5 3 9" xfId="54483" xr:uid="{00000000-0005-0000-0000-000088A00000}"/>
    <cellStyle name="Normal 10 3 5 4" xfId="6881" xr:uid="{00000000-0005-0000-0000-000089A00000}"/>
    <cellStyle name="Normal 10 3 5 5" xfId="12361" xr:uid="{00000000-0005-0000-0000-00008AA00000}"/>
    <cellStyle name="Normal 10 3 5 6" xfId="17837" xr:uid="{00000000-0005-0000-0000-00008BA00000}"/>
    <cellStyle name="Normal 10 3 5 7" xfId="23313" xr:uid="{00000000-0005-0000-0000-00008CA00000}"/>
    <cellStyle name="Normal 10 3 5 8" xfId="35108" xr:uid="{00000000-0005-0000-0000-00008DA00000}"/>
    <cellStyle name="Normal 10 3 5 9" xfId="40585" xr:uid="{00000000-0005-0000-0000-00008EA00000}"/>
    <cellStyle name="Normal 10 3 6" xfId="946" xr:uid="{00000000-0005-0000-0000-00008FA00000}"/>
    <cellStyle name="Normal 10 3 6 10" xfId="46063" xr:uid="{00000000-0005-0000-0000-000090A00000}"/>
    <cellStyle name="Normal 10 3 6 11" xfId="51542" xr:uid="{00000000-0005-0000-0000-000091A00000}"/>
    <cellStyle name="Normal 10 3 6 2" xfId="2707" xr:uid="{00000000-0005-0000-0000-000092A00000}"/>
    <cellStyle name="Normal 10 3 6 2 2" xfId="8187" xr:uid="{00000000-0005-0000-0000-000093A00000}"/>
    <cellStyle name="Normal 10 3 6 2 3" xfId="13663" xr:uid="{00000000-0005-0000-0000-000094A00000}"/>
    <cellStyle name="Normal 10 3 6 2 4" xfId="19139" xr:uid="{00000000-0005-0000-0000-000095A00000}"/>
    <cellStyle name="Normal 10 3 6 2 5" xfId="24615" xr:uid="{00000000-0005-0000-0000-000096A00000}"/>
    <cellStyle name="Normal 10 3 6 2 6" xfId="36411" xr:uid="{00000000-0005-0000-0000-000097A00000}"/>
    <cellStyle name="Normal 10 3 6 2 7" xfId="41888" xr:uid="{00000000-0005-0000-0000-000098A00000}"/>
    <cellStyle name="Normal 10 3 6 2 8" xfId="47365" xr:uid="{00000000-0005-0000-0000-000099A00000}"/>
    <cellStyle name="Normal 10 3 6 2 9" xfId="52883" xr:uid="{00000000-0005-0000-0000-00009AA00000}"/>
    <cellStyle name="Normal 10 3 6 3" xfId="4479" xr:uid="{00000000-0005-0000-0000-00009BA00000}"/>
    <cellStyle name="Normal 10 3 6 3 2" xfId="9959" xr:uid="{00000000-0005-0000-0000-00009CA00000}"/>
    <cellStyle name="Normal 10 3 6 3 3" xfId="15435" xr:uid="{00000000-0005-0000-0000-00009DA00000}"/>
    <cellStyle name="Normal 10 3 6 3 4" xfId="20911" xr:uid="{00000000-0005-0000-0000-00009EA00000}"/>
    <cellStyle name="Normal 10 3 6 3 5" xfId="26387" xr:uid="{00000000-0005-0000-0000-00009FA00000}"/>
    <cellStyle name="Normal 10 3 6 3 6" xfId="38183" xr:uid="{00000000-0005-0000-0000-0000A0A00000}"/>
    <cellStyle name="Normal 10 3 6 3 7" xfId="43660" xr:uid="{00000000-0005-0000-0000-0000A1A00000}"/>
    <cellStyle name="Normal 10 3 6 3 8" xfId="49137" xr:uid="{00000000-0005-0000-0000-0000A2A00000}"/>
    <cellStyle name="Normal 10 3 6 3 9" xfId="54655" xr:uid="{00000000-0005-0000-0000-0000A3A00000}"/>
    <cellStyle name="Normal 10 3 6 4" xfId="6882" xr:uid="{00000000-0005-0000-0000-0000A4A00000}"/>
    <cellStyle name="Normal 10 3 6 5" xfId="12362" xr:uid="{00000000-0005-0000-0000-0000A5A00000}"/>
    <cellStyle name="Normal 10 3 6 6" xfId="17838" xr:uid="{00000000-0005-0000-0000-0000A6A00000}"/>
    <cellStyle name="Normal 10 3 6 7" xfId="23314" xr:uid="{00000000-0005-0000-0000-0000A7A00000}"/>
    <cellStyle name="Normal 10 3 6 8" xfId="35109" xr:uid="{00000000-0005-0000-0000-0000A8A00000}"/>
    <cellStyle name="Normal 10 3 6 9" xfId="40586" xr:uid="{00000000-0005-0000-0000-0000A9A00000}"/>
    <cellStyle name="Normal 10 3 7" xfId="1152" xr:uid="{00000000-0005-0000-0000-0000AAA00000}"/>
    <cellStyle name="Normal 10 3 7 10" xfId="46064" xr:uid="{00000000-0005-0000-0000-0000ABA00000}"/>
    <cellStyle name="Normal 10 3 7 11" xfId="51543" xr:uid="{00000000-0005-0000-0000-0000ACA00000}"/>
    <cellStyle name="Normal 10 3 7 2" xfId="2913" xr:uid="{00000000-0005-0000-0000-0000ADA00000}"/>
    <cellStyle name="Normal 10 3 7 2 2" xfId="8393" xr:uid="{00000000-0005-0000-0000-0000AEA00000}"/>
    <cellStyle name="Normal 10 3 7 2 3" xfId="13869" xr:uid="{00000000-0005-0000-0000-0000AFA00000}"/>
    <cellStyle name="Normal 10 3 7 2 4" xfId="19345" xr:uid="{00000000-0005-0000-0000-0000B0A00000}"/>
    <cellStyle name="Normal 10 3 7 2 5" xfId="24821" xr:uid="{00000000-0005-0000-0000-0000B1A00000}"/>
    <cellStyle name="Normal 10 3 7 2 6" xfId="36617" xr:uid="{00000000-0005-0000-0000-0000B2A00000}"/>
    <cellStyle name="Normal 10 3 7 2 7" xfId="42094" xr:uid="{00000000-0005-0000-0000-0000B3A00000}"/>
    <cellStyle name="Normal 10 3 7 2 8" xfId="47571" xr:uid="{00000000-0005-0000-0000-0000B4A00000}"/>
    <cellStyle name="Normal 10 3 7 2 9" xfId="53089" xr:uid="{00000000-0005-0000-0000-0000B5A00000}"/>
    <cellStyle name="Normal 10 3 7 3" xfId="4685" xr:uid="{00000000-0005-0000-0000-0000B6A00000}"/>
    <cellStyle name="Normal 10 3 7 3 2" xfId="10165" xr:uid="{00000000-0005-0000-0000-0000B7A00000}"/>
    <cellStyle name="Normal 10 3 7 3 3" xfId="15641" xr:uid="{00000000-0005-0000-0000-0000B8A00000}"/>
    <cellStyle name="Normal 10 3 7 3 4" xfId="21117" xr:uid="{00000000-0005-0000-0000-0000B9A00000}"/>
    <cellStyle name="Normal 10 3 7 3 5" xfId="26593" xr:uid="{00000000-0005-0000-0000-0000BAA00000}"/>
    <cellStyle name="Normal 10 3 7 3 6" xfId="38389" xr:uid="{00000000-0005-0000-0000-0000BBA00000}"/>
    <cellStyle name="Normal 10 3 7 3 7" xfId="43866" xr:uid="{00000000-0005-0000-0000-0000BCA00000}"/>
    <cellStyle name="Normal 10 3 7 3 8" xfId="49343" xr:uid="{00000000-0005-0000-0000-0000BDA00000}"/>
    <cellStyle name="Normal 10 3 7 3 9" xfId="54861" xr:uid="{00000000-0005-0000-0000-0000BEA00000}"/>
    <cellStyle name="Normal 10 3 7 4" xfId="6883" xr:uid="{00000000-0005-0000-0000-0000BFA00000}"/>
    <cellStyle name="Normal 10 3 7 5" xfId="12363" xr:uid="{00000000-0005-0000-0000-0000C0A00000}"/>
    <cellStyle name="Normal 10 3 7 6" xfId="17839" xr:uid="{00000000-0005-0000-0000-0000C1A00000}"/>
    <cellStyle name="Normal 10 3 7 7" xfId="23315" xr:uid="{00000000-0005-0000-0000-0000C2A00000}"/>
    <cellStyle name="Normal 10 3 7 8" xfId="35110" xr:uid="{00000000-0005-0000-0000-0000C3A00000}"/>
    <cellStyle name="Normal 10 3 7 9" xfId="40587" xr:uid="{00000000-0005-0000-0000-0000C4A00000}"/>
    <cellStyle name="Normal 10 3 8" xfId="1324" xr:uid="{00000000-0005-0000-0000-0000C5A00000}"/>
    <cellStyle name="Normal 10 3 8 10" xfId="46065" xr:uid="{00000000-0005-0000-0000-0000C6A00000}"/>
    <cellStyle name="Normal 10 3 8 11" xfId="51544" xr:uid="{00000000-0005-0000-0000-0000C7A00000}"/>
    <cellStyle name="Normal 10 3 8 2" xfId="3085" xr:uid="{00000000-0005-0000-0000-0000C8A00000}"/>
    <cellStyle name="Normal 10 3 8 2 2" xfId="8565" xr:uid="{00000000-0005-0000-0000-0000C9A00000}"/>
    <cellStyle name="Normal 10 3 8 2 3" xfId="14041" xr:uid="{00000000-0005-0000-0000-0000CAA00000}"/>
    <cellStyle name="Normal 10 3 8 2 4" xfId="19517" xr:uid="{00000000-0005-0000-0000-0000CBA00000}"/>
    <cellStyle name="Normal 10 3 8 2 5" xfId="24993" xr:uid="{00000000-0005-0000-0000-0000CCA00000}"/>
    <cellStyle name="Normal 10 3 8 2 6" xfId="36789" xr:uid="{00000000-0005-0000-0000-0000CDA00000}"/>
    <cellStyle name="Normal 10 3 8 2 7" xfId="42266" xr:uid="{00000000-0005-0000-0000-0000CEA00000}"/>
    <cellStyle name="Normal 10 3 8 2 8" xfId="47743" xr:uid="{00000000-0005-0000-0000-0000CFA00000}"/>
    <cellStyle name="Normal 10 3 8 2 9" xfId="53261" xr:uid="{00000000-0005-0000-0000-0000D0A00000}"/>
    <cellStyle name="Normal 10 3 8 3" xfId="4857" xr:uid="{00000000-0005-0000-0000-0000D1A00000}"/>
    <cellStyle name="Normal 10 3 8 3 2" xfId="10337" xr:uid="{00000000-0005-0000-0000-0000D2A00000}"/>
    <cellStyle name="Normal 10 3 8 3 3" xfId="15813" xr:uid="{00000000-0005-0000-0000-0000D3A00000}"/>
    <cellStyle name="Normal 10 3 8 3 4" xfId="21289" xr:uid="{00000000-0005-0000-0000-0000D4A00000}"/>
    <cellStyle name="Normal 10 3 8 3 5" xfId="26765" xr:uid="{00000000-0005-0000-0000-0000D5A00000}"/>
    <cellStyle name="Normal 10 3 8 3 6" xfId="38561" xr:uid="{00000000-0005-0000-0000-0000D6A00000}"/>
    <cellStyle name="Normal 10 3 8 3 7" xfId="44038" xr:uid="{00000000-0005-0000-0000-0000D7A00000}"/>
    <cellStyle name="Normal 10 3 8 3 8" xfId="49515" xr:uid="{00000000-0005-0000-0000-0000D8A00000}"/>
    <cellStyle name="Normal 10 3 8 3 9" xfId="55033" xr:uid="{00000000-0005-0000-0000-0000D9A00000}"/>
    <cellStyle name="Normal 10 3 8 4" xfId="6884" xr:uid="{00000000-0005-0000-0000-0000DAA00000}"/>
    <cellStyle name="Normal 10 3 8 5" xfId="12364" xr:uid="{00000000-0005-0000-0000-0000DBA00000}"/>
    <cellStyle name="Normal 10 3 8 6" xfId="17840" xr:uid="{00000000-0005-0000-0000-0000DCA00000}"/>
    <cellStyle name="Normal 10 3 8 7" xfId="23316" xr:uid="{00000000-0005-0000-0000-0000DDA00000}"/>
    <cellStyle name="Normal 10 3 8 8" xfId="35111" xr:uid="{00000000-0005-0000-0000-0000DEA00000}"/>
    <cellStyle name="Normal 10 3 8 9" xfId="40588" xr:uid="{00000000-0005-0000-0000-0000DFA00000}"/>
    <cellStyle name="Normal 10 3 9" xfId="1496" xr:uid="{00000000-0005-0000-0000-0000E0A00000}"/>
    <cellStyle name="Normal 10 3 9 10" xfId="46066" xr:uid="{00000000-0005-0000-0000-0000E1A00000}"/>
    <cellStyle name="Normal 10 3 9 11" xfId="51545" xr:uid="{00000000-0005-0000-0000-0000E2A00000}"/>
    <cellStyle name="Normal 10 3 9 2" xfId="3257" xr:uid="{00000000-0005-0000-0000-0000E3A00000}"/>
    <cellStyle name="Normal 10 3 9 2 2" xfId="8737" xr:uid="{00000000-0005-0000-0000-0000E4A00000}"/>
    <cellStyle name="Normal 10 3 9 2 3" xfId="14213" xr:uid="{00000000-0005-0000-0000-0000E5A00000}"/>
    <cellStyle name="Normal 10 3 9 2 4" xfId="19689" xr:uid="{00000000-0005-0000-0000-0000E6A00000}"/>
    <cellStyle name="Normal 10 3 9 2 5" xfId="25165" xr:uid="{00000000-0005-0000-0000-0000E7A00000}"/>
    <cellStyle name="Normal 10 3 9 2 6" xfId="36961" xr:uid="{00000000-0005-0000-0000-0000E8A00000}"/>
    <cellStyle name="Normal 10 3 9 2 7" xfId="42438" xr:uid="{00000000-0005-0000-0000-0000E9A00000}"/>
    <cellStyle name="Normal 10 3 9 2 8" xfId="47915" xr:uid="{00000000-0005-0000-0000-0000EAA00000}"/>
    <cellStyle name="Normal 10 3 9 2 9" xfId="53433" xr:uid="{00000000-0005-0000-0000-0000EBA00000}"/>
    <cellStyle name="Normal 10 3 9 3" xfId="5029" xr:uid="{00000000-0005-0000-0000-0000ECA00000}"/>
    <cellStyle name="Normal 10 3 9 3 2" xfId="10509" xr:uid="{00000000-0005-0000-0000-0000EDA00000}"/>
    <cellStyle name="Normal 10 3 9 3 3" xfId="15985" xr:uid="{00000000-0005-0000-0000-0000EEA00000}"/>
    <cellStyle name="Normal 10 3 9 3 4" xfId="21461" xr:uid="{00000000-0005-0000-0000-0000EFA00000}"/>
    <cellStyle name="Normal 10 3 9 3 5" xfId="26937" xr:uid="{00000000-0005-0000-0000-0000F0A00000}"/>
    <cellStyle name="Normal 10 3 9 3 6" xfId="38733" xr:uid="{00000000-0005-0000-0000-0000F1A00000}"/>
    <cellStyle name="Normal 10 3 9 3 7" xfId="44210" xr:uid="{00000000-0005-0000-0000-0000F2A00000}"/>
    <cellStyle name="Normal 10 3 9 3 8" xfId="49687" xr:uid="{00000000-0005-0000-0000-0000F3A00000}"/>
    <cellStyle name="Normal 10 3 9 3 9" xfId="55205" xr:uid="{00000000-0005-0000-0000-0000F4A00000}"/>
    <cellStyle name="Normal 10 3 9 4" xfId="6885" xr:uid="{00000000-0005-0000-0000-0000F5A00000}"/>
    <cellStyle name="Normal 10 3 9 5" xfId="12365" xr:uid="{00000000-0005-0000-0000-0000F6A00000}"/>
    <cellStyle name="Normal 10 3 9 6" xfId="17841" xr:uid="{00000000-0005-0000-0000-0000F7A00000}"/>
    <cellStyle name="Normal 10 3 9 7" xfId="23317" xr:uid="{00000000-0005-0000-0000-0000F8A00000}"/>
    <cellStyle name="Normal 10 3 9 8" xfId="35112" xr:uid="{00000000-0005-0000-0000-0000F9A00000}"/>
    <cellStyle name="Normal 10 3 9 9" xfId="40589" xr:uid="{00000000-0005-0000-0000-0000FAA00000}"/>
    <cellStyle name="Normal 10 4" xfId="159" xr:uid="{00000000-0005-0000-0000-0000FBA00000}"/>
    <cellStyle name="Normal 10 4 10" xfId="1670" xr:uid="{00000000-0005-0000-0000-0000FCA00000}"/>
    <cellStyle name="Normal 10 4 10 10" xfId="46068" xr:uid="{00000000-0005-0000-0000-0000FDA00000}"/>
    <cellStyle name="Normal 10 4 10 11" xfId="51547" xr:uid="{00000000-0005-0000-0000-0000FEA00000}"/>
    <cellStyle name="Normal 10 4 10 2" xfId="3431" xr:uid="{00000000-0005-0000-0000-0000FFA00000}"/>
    <cellStyle name="Normal 10 4 10 2 2" xfId="8911" xr:uid="{00000000-0005-0000-0000-000000A10000}"/>
    <cellStyle name="Normal 10 4 10 2 3" xfId="14387" xr:uid="{00000000-0005-0000-0000-000001A10000}"/>
    <cellStyle name="Normal 10 4 10 2 4" xfId="19863" xr:uid="{00000000-0005-0000-0000-000002A10000}"/>
    <cellStyle name="Normal 10 4 10 2 5" xfId="25339" xr:uid="{00000000-0005-0000-0000-000003A10000}"/>
    <cellStyle name="Normal 10 4 10 2 6" xfId="37135" xr:uid="{00000000-0005-0000-0000-000004A10000}"/>
    <cellStyle name="Normal 10 4 10 2 7" xfId="42612" xr:uid="{00000000-0005-0000-0000-000005A10000}"/>
    <cellStyle name="Normal 10 4 10 2 8" xfId="48089" xr:uid="{00000000-0005-0000-0000-000006A10000}"/>
    <cellStyle name="Normal 10 4 10 2 9" xfId="53607" xr:uid="{00000000-0005-0000-0000-000007A10000}"/>
    <cellStyle name="Normal 10 4 10 3" xfId="5203" xr:uid="{00000000-0005-0000-0000-000008A10000}"/>
    <cellStyle name="Normal 10 4 10 3 2" xfId="10683" xr:uid="{00000000-0005-0000-0000-000009A10000}"/>
    <cellStyle name="Normal 10 4 10 3 3" xfId="16159" xr:uid="{00000000-0005-0000-0000-00000AA10000}"/>
    <cellStyle name="Normal 10 4 10 3 4" xfId="21635" xr:uid="{00000000-0005-0000-0000-00000BA10000}"/>
    <cellStyle name="Normal 10 4 10 3 5" xfId="27111" xr:uid="{00000000-0005-0000-0000-00000CA10000}"/>
    <cellStyle name="Normal 10 4 10 3 6" xfId="38907" xr:uid="{00000000-0005-0000-0000-00000DA10000}"/>
    <cellStyle name="Normal 10 4 10 3 7" xfId="44384" xr:uid="{00000000-0005-0000-0000-00000EA10000}"/>
    <cellStyle name="Normal 10 4 10 3 8" xfId="49861" xr:uid="{00000000-0005-0000-0000-00000FA10000}"/>
    <cellStyle name="Normal 10 4 10 3 9" xfId="55379" xr:uid="{00000000-0005-0000-0000-000010A10000}"/>
    <cellStyle name="Normal 10 4 10 4" xfId="6887" xr:uid="{00000000-0005-0000-0000-000011A10000}"/>
    <cellStyle name="Normal 10 4 10 5" xfId="12367" xr:uid="{00000000-0005-0000-0000-000012A10000}"/>
    <cellStyle name="Normal 10 4 10 6" xfId="17843" xr:uid="{00000000-0005-0000-0000-000013A10000}"/>
    <cellStyle name="Normal 10 4 10 7" xfId="23319" xr:uid="{00000000-0005-0000-0000-000014A10000}"/>
    <cellStyle name="Normal 10 4 10 8" xfId="35114" xr:uid="{00000000-0005-0000-0000-000015A10000}"/>
    <cellStyle name="Normal 10 4 10 9" xfId="40591" xr:uid="{00000000-0005-0000-0000-000016A10000}"/>
    <cellStyle name="Normal 10 4 11" xfId="1863" xr:uid="{00000000-0005-0000-0000-000017A10000}"/>
    <cellStyle name="Normal 10 4 11 10" xfId="46069" xr:uid="{00000000-0005-0000-0000-000018A10000}"/>
    <cellStyle name="Normal 10 4 11 11" xfId="51548" xr:uid="{00000000-0005-0000-0000-000019A10000}"/>
    <cellStyle name="Normal 10 4 11 2" xfId="3624" xr:uid="{00000000-0005-0000-0000-00001AA10000}"/>
    <cellStyle name="Normal 10 4 11 2 2" xfId="9104" xr:uid="{00000000-0005-0000-0000-00001BA10000}"/>
    <cellStyle name="Normal 10 4 11 2 3" xfId="14580" xr:uid="{00000000-0005-0000-0000-00001CA10000}"/>
    <cellStyle name="Normal 10 4 11 2 4" xfId="20056" xr:uid="{00000000-0005-0000-0000-00001DA10000}"/>
    <cellStyle name="Normal 10 4 11 2 5" xfId="25532" xr:uid="{00000000-0005-0000-0000-00001EA10000}"/>
    <cellStyle name="Normal 10 4 11 2 6" xfId="37328" xr:uid="{00000000-0005-0000-0000-00001FA10000}"/>
    <cellStyle name="Normal 10 4 11 2 7" xfId="42805" xr:uid="{00000000-0005-0000-0000-000020A10000}"/>
    <cellStyle name="Normal 10 4 11 2 8" xfId="48282" xr:uid="{00000000-0005-0000-0000-000021A10000}"/>
    <cellStyle name="Normal 10 4 11 2 9" xfId="53800" xr:uid="{00000000-0005-0000-0000-000022A10000}"/>
    <cellStyle name="Normal 10 4 11 3" xfId="5396" xr:uid="{00000000-0005-0000-0000-000023A10000}"/>
    <cellStyle name="Normal 10 4 11 3 2" xfId="10876" xr:uid="{00000000-0005-0000-0000-000024A10000}"/>
    <cellStyle name="Normal 10 4 11 3 3" xfId="16352" xr:uid="{00000000-0005-0000-0000-000025A10000}"/>
    <cellStyle name="Normal 10 4 11 3 4" xfId="21828" xr:uid="{00000000-0005-0000-0000-000026A10000}"/>
    <cellStyle name="Normal 10 4 11 3 5" xfId="27304" xr:uid="{00000000-0005-0000-0000-000027A10000}"/>
    <cellStyle name="Normal 10 4 11 3 6" xfId="39100" xr:uid="{00000000-0005-0000-0000-000028A10000}"/>
    <cellStyle name="Normal 10 4 11 3 7" xfId="44577" xr:uid="{00000000-0005-0000-0000-000029A10000}"/>
    <cellStyle name="Normal 10 4 11 3 8" xfId="50054" xr:uid="{00000000-0005-0000-0000-00002AA10000}"/>
    <cellStyle name="Normal 10 4 11 3 9" xfId="55572" xr:uid="{00000000-0005-0000-0000-00002BA10000}"/>
    <cellStyle name="Normal 10 4 11 4" xfId="6888" xr:uid="{00000000-0005-0000-0000-00002CA10000}"/>
    <cellStyle name="Normal 10 4 11 5" xfId="12368" xr:uid="{00000000-0005-0000-0000-00002DA10000}"/>
    <cellStyle name="Normal 10 4 11 6" xfId="17844" xr:uid="{00000000-0005-0000-0000-00002EA10000}"/>
    <cellStyle name="Normal 10 4 11 7" xfId="23320" xr:uid="{00000000-0005-0000-0000-00002FA10000}"/>
    <cellStyle name="Normal 10 4 11 8" xfId="35115" xr:uid="{00000000-0005-0000-0000-000030A10000}"/>
    <cellStyle name="Normal 10 4 11 9" xfId="40592" xr:uid="{00000000-0005-0000-0000-000031A10000}"/>
    <cellStyle name="Normal 10 4 12" xfId="2032" xr:uid="{00000000-0005-0000-0000-000032A10000}"/>
    <cellStyle name="Normal 10 4 12 10" xfId="52209" xr:uid="{00000000-0005-0000-0000-000033A10000}"/>
    <cellStyle name="Normal 10 4 12 2" xfId="5564" xr:uid="{00000000-0005-0000-0000-000034A10000}"/>
    <cellStyle name="Normal 10 4 12 2 2" xfId="11044" xr:uid="{00000000-0005-0000-0000-000035A10000}"/>
    <cellStyle name="Normal 10 4 12 2 3" xfId="16520" xr:uid="{00000000-0005-0000-0000-000036A10000}"/>
    <cellStyle name="Normal 10 4 12 2 4" xfId="21996" xr:uid="{00000000-0005-0000-0000-000037A10000}"/>
    <cellStyle name="Normal 10 4 12 2 5" xfId="27472" xr:uid="{00000000-0005-0000-0000-000038A10000}"/>
    <cellStyle name="Normal 10 4 12 2 6" xfId="39268" xr:uid="{00000000-0005-0000-0000-000039A10000}"/>
    <cellStyle name="Normal 10 4 12 2 7" xfId="44745" xr:uid="{00000000-0005-0000-0000-00003AA10000}"/>
    <cellStyle name="Normal 10 4 12 2 8" xfId="50222" xr:uid="{00000000-0005-0000-0000-00003BA10000}"/>
    <cellStyle name="Normal 10 4 12 2 9" xfId="55740" xr:uid="{00000000-0005-0000-0000-00003CA10000}"/>
    <cellStyle name="Normal 10 4 12 3" xfId="7513" xr:uid="{00000000-0005-0000-0000-00003DA10000}"/>
    <cellStyle name="Normal 10 4 12 4" xfId="12989" xr:uid="{00000000-0005-0000-0000-00003EA10000}"/>
    <cellStyle name="Normal 10 4 12 5" xfId="18465" xr:uid="{00000000-0005-0000-0000-00003FA10000}"/>
    <cellStyle name="Normal 10 4 12 6" xfId="23941" xr:uid="{00000000-0005-0000-0000-000040A10000}"/>
    <cellStyle name="Normal 10 4 12 7" xfId="35737" xr:uid="{00000000-0005-0000-0000-000041A10000}"/>
    <cellStyle name="Normal 10 4 12 8" xfId="41214" xr:uid="{00000000-0005-0000-0000-000042A10000}"/>
    <cellStyle name="Normal 10 4 12 9" xfId="46691" xr:uid="{00000000-0005-0000-0000-000043A10000}"/>
    <cellStyle name="Normal 10 4 13" xfId="3731" xr:uid="{00000000-0005-0000-0000-000044A10000}"/>
    <cellStyle name="Normal 10 4 13 2" xfId="9211" xr:uid="{00000000-0005-0000-0000-000045A10000}"/>
    <cellStyle name="Normal 10 4 13 3" xfId="14687" xr:uid="{00000000-0005-0000-0000-000046A10000}"/>
    <cellStyle name="Normal 10 4 13 4" xfId="20163" xr:uid="{00000000-0005-0000-0000-000047A10000}"/>
    <cellStyle name="Normal 10 4 13 5" xfId="25639" xr:uid="{00000000-0005-0000-0000-000048A10000}"/>
    <cellStyle name="Normal 10 4 13 6" xfId="37435" xr:uid="{00000000-0005-0000-0000-000049A10000}"/>
    <cellStyle name="Normal 10 4 13 7" xfId="42912" xr:uid="{00000000-0005-0000-0000-00004AA10000}"/>
    <cellStyle name="Normal 10 4 13 8" xfId="48389" xr:uid="{00000000-0005-0000-0000-00004BA10000}"/>
    <cellStyle name="Normal 10 4 13 9" xfId="53907" xr:uid="{00000000-0005-0000-0000-00004CA10000}"/>
    <cellStyle name="Normal 10 4 14" xfId="6886" xr:uid="{00000000-0005-0000-0000-00004DA10000}"/>
    <cellStyle name="Normal 10 4 15" xfId="12366" xr:uid="{00000000-0005-0000-0000-00004EA10000}"/>
    <cellStyle name="Normal 10 4 16" xfId="17842" xr:uid="{00000000-0005-0000-0000-00004FA10000}"/>
    <cellStyle name="Normal 10 4 17" xfId="23318" xr:uid="{00000000-0005-0000-0000-000050A10000}"/>
    <cellStyle name="Normal 10 4 18" xfId="32905" xr:uid="{00000000-0005-0000-0000-000051A10000}"/>
    <cellStyle name="Normal 10 4 19" xfId="35113" xr:uid="{00000000-0005-0000-0000-000052A10000}"/>
    <cellStyle name="Normal 10 4 2" xfId="251" xr:uid="{00000000-0005-0000-0000-000053A10000}"/>
    <cellStyle name="Normal 10 4 2 10" xfId="1864" xr:uid="{00000000-0005-0000-0000-000054A10000}"/>
    <cellStyle name="Normal 10 4 2 10 10" xfId="46071" xr:uid="{00000000-0005-0000-0000-000055A10000}"/>
    <cellStyle name="Normal 10 4 2 10 11" xfId="51550" xr:uid="{00000000-0005-0000-0000-000056A10000}"/>
    <cellStyle name="Normal 10 4 2 10 2" xfId="3625" xr:uid="{00000000-0005-0000-0000-000057A10000}"/>
    <cellStyle name="Normal 10 4 2 10 2 2" xfId="9105" xr:uid="{00000000-0005-0000-0000-000058A10000}"/>
    <cellStyle name="Normal 10 4 2 10 2 3" xfId="14581" xr:uid="{00000000-0005-0000-0000-000059A10000}"/>
    <cellStyle name="Normal 10 4 2 10 2 4" xfId="20057" xr:uid="{00000000-0005-0000-0000-00005AA10000}"/>
    <cellStyle name="Normal 10 4 2 10 2 5" xfId="25533" xr:uid="{00000000-0005-0000-0000-00005BA10000}"/>
    <cellStyle name="Normal 10 4 2 10 2 6" xfId="37329" xr:uid="{00000000-0005-0000-0000-00005CA10000}"/>
    <cellStyle name="Normal 10 4 2 10 2 7" xfId="42806" xr:uid="{00000000-0005-0000-0000-00005DA10000}"/>
    <cellStyle name="Normal 10 4 2 10 2 8" xfId="48283" xr:uid="{00000000-0005-0000-0000-00005EA10000}"/>
    <cellStyle name="Normal 10 4 2 10 2 9" xfId="53801" xr:uid="{00000000-0005-0000-0000-00005FA10000}"/>
    <cellStyle name="Normal 10 4 2 10 3" xfId="5397" xr:uid="{00000000-0005-0000-0000-000060A10000}"/>
    <cellStyle name="Normal 10 4 2 10 3 2" xfId="10877" xr:uid="{00000000-0005-0000-0000-000061A10000}"/>
    <cellStyle name="Normal 10 4 2 10 3 3" xfId="16353" xr:uid="{00000000-0005-0000-0000-000062A10000}"/>
    <cellStyle name="Normal 10 4 2 10 3 4" xfId="21829" xr:uid="{00000000-0005-0000-0000-000063A10000}"/>
    <cellStyle name="Normal 10 4 2 10 3 5" xfId="27305" xr:uid="{00000000-0005-0000-0000-000064A10000}"/>
    <cellStyle name="Normal 10 4 2 10 3 6" xfId="39101" xr:uid="{00000000-0005-0000-0000-000065A10000}"/>
    <cellStyle name="Normal 10 4 2 10 3 7" xfId="44578" xr:uid="{00000000-0005-0000-0000-000066A10000}"/>
    <cellStyle name="Normal 10 4 2 10 3 8" xfId="50055" xr:uid="{00000000-0005-0000-0000-000067A10000}"/>
    <cellStyle name="Normal 10 4 2 10 3 9" xfId="55573" xr:uid="{00000000-0005-0000-0000-000068A10000}"/>
    <cellStyle name="Normal 10 4 2 10 4" xfId="6890" xr:uid="{00000000-0005-0000-0000-000069A10000}"/>
    <cellStyle name="Normal 10 4 2 10 5" xfId="12370" xr:uid="{00000000-0005-0000-0000-00006AA10000}"/>
    <cellStyle name="Normal 10 4 2 10 6" xfId="17846" xr:uid="{00000000-0005-0000-0000-00006BA10000}"/>
    <cellStyle name="Normal 10 4 2 10 7" xfId="23322" xr:uid="{00000000-0005-0000-0000-00006CA10000}"/>
    <cellStyle name="Normal 10 4 2 10 8" xfId="35117" xr:uid="{00000000-0005-0000-0000-00006DA10000}"/>
    <cellStyle name="Normal 10 4 2 10 9" xfId="40594" xr:uid="{00000000-0005-0000-0000-00006EA10000}"/>
    <cellStyle name="Normal 10 4 2 11" xfId="2033" xr:uid="{00000000-0005-0000-0000-00006FA10000}"/>
    <cellStyle name="Normal 10 4 2 11 10" xfId="52210" xr:uid="{00000000-0005-0000-0000-000070A10000}"/>
    <cellStyle name="Normal 10 4 2 11 2" xfId="5565" xr:uid="{00000000-0005-0000-0000-000071A10000}"/>
    <cellStyle name="Normal 10 4 2 11 2 2" xfId="11045" xr:uid="{00000000-0005-0000-0000-000072A10000}"/>
    <cellStyle name="Normal 10 4 2 11 2 3" xfId="16521" xr:uid="{00000000-0005-0000-0000-000073A10000}"/>
    <cellStyle name="Normal 10 4 2 11 2 4" xfId="21997" xr:uid="{00000000-0005-0000-0000-000074A10000}"/>
    <cellStyle name="Normal 10 4 2 11 2 5" xfId="27473" xr:uid="{00000000-0005-0000-0000-000075A10000}"/>
    <cellStyle name="Normal 10 4 2 11 2 6" xfId="39269" xr:uid="{00000000-0005-0000-0000-000076A10000}"/>
    <cellStyle name="Normal 10 4 2 11 2 7" xfId="44746" xr:uid="{00000000-0005-0000-0000-000077A10000}"/>
    <cellStyle name="Normal 10 4 2 11 2 8" xfId="50223" xr:uid="{00000000-0005-0000-0000-000078A10000}"/>
    <cellStyle name="Normal 10 4 2 11 2 9" xfId="55741" xr:uid="{00000000-0005-0000-0000-000079A10000}"/>
    <cellStyle name="Normal 10 4 2 11 3" xfId="7514" xr:uid="{00000000-0005-0000-0000-00007AA10000}"/>
    <cellStyle name="Normal 10 4 2 11 4" xfId="12990" xr:uid="{00000000-0005-0000-0000-00007BA10000}"/>
    <cellStyle name="Normal 10 4 2 11 5" xfId="18466" xr:uid="{00000000-0005-0000-0000-00007CA10000}"/>
    <cellStyle name="Normal 10 4 2 11 6" xfId="23942" xr:uid="{00000000-0005-0000-0000-00007DA10000}"/>
    <cellStyle name="Normal 10 4 2 11 7" xfId="35738" xr:uid="{00000000-0005-0000-0000-00007EA10000}"/>
    <cellStyle name="Normal 10 4 2 11 8" xfId="41215" xr:uid="{00000000-0005-0000-0000-00007FA10000}"/>
    <cellStyle name="Normal 10 4 2 11 9" xfId="46692" xr:uid="{00000000-0005-0000-0000-000080A10000}"/>
    <cellStyle name="Normal 10 4 2 12" xfId="3817" xr:uid="{00000000-0005-0000-0000-000081A10000}"/>
    <cellStyle name="Normal 10 4 2 12 2" xfId="9297" xr:uid="{00000000-0005-0000-0000-000082A10000}"/>
    <cellStyle name="Normal 10 4 2 12 3" xfId="14773" xr:uid="{00000000-0005-0000-0000-000083A10000}"/>
    <cellStyle name="Normal 10 4 2 12 4" xfId="20249" xr:uid="{00000000-0005-0000-0000-000084A10000}"/>
    <cellStyle name="Normal 10 4 2 12 5" xfId="25725" xr:uid="{00000000-0005-0000-0000-000085A10000}"/>
    <cellStyle name="Normal 10 4 2 12 6" xfId="37521" xr:uid="{00000000-0005-0000-0000-000086A10000}"/>
    <cellStyle name="Normal 10 4 2 12 7" xfId="42998" xr:uid="{00000000-0005-0000-0000-000087A10000}"/>
    <cellStyle name="Normal 10 4 2 12 8" xfId="48475" xr:uid="{00000000-0005-0000-0000-000088A10000}"/>
    <cellStyle name="Normal 10 4 2 12 9" xfId="53993" xr:uid="{00000000-0005-0000-0000-000089A10000}"/>
    <cellStyle name="Normal 10 4 2 13" xfId="6889" xr:uid="{00000000-0005-0000-0000-00008AA10000}"/>
    <cellStyle name="Normal 10 4 2 14" xfId="12369" xr:uid="{00000000-0005-0000-0000-00008BA10000}"/>
    <cellStyle name="Normal 10 4 2 15" xfId="17845" xr:uid="{00000000-0005-0000-0000-00008CA10000}"/>
    <cellStyle name="Normal 10 4 2 16" xfId="23321" xr:uid="{00000000-0005-0000-0000-00008DA10000}"/>
    <cellStyle name="Normal 10 4 2 17" xfId="32906" xr:uid="{00000000-0005-0000-0000-00008EA10000}"/>
    <cellStyle name="Normal 10 4 2 18" xfId="35116" xr:uid="{00000000-0005-0000-0000-00008FA10000}"/>
    <cellStyle name="Normal 10 4 2 19" xfId="40593" xr:uid="{00000000-0005-0000-0000-000090A10000}"/>
    <cellStyle name="Normal 10 4 2 2" xfId="428" xr:uid="{00000000-0005-0000-0000-000091A10000}"/>
    <cellStyle name="Normal 10 4 2 2 10" xfId="40595" xr:uid="{00000000-0005-0000-0000-000092A10000}"/>
    <cellStyle name="Normal 10 4 2 2 11" xfId="46072" xr:uid="{00000000-0005-0000-0000-000093A10000}"/>
    <cellStyle name="Normal 10 4 2 2 12" xfId="51551" xr:uid="{00000000-0005-0000-0000-000094A10000}"/>
    <cellStyle name="Normal 10 4 2 2 2" xfId="2194" xr:uid="{00000000-0005-0000-0000-000095A10000}"/>
    <cellStyle name="Normal 10 4 2 2 2 2" xfId="7674" xr:uid="{00000000-0005-0000-0000-000096A10000}"/>
    <cellStyle name="Normal 10 4 2 2 2 3" xfId="13150" xr:uid="{00000000-0005-0000-0000-000097A10000}"/>
    <cellStyle name="Normal 10 4 2 2 2 4" xfId="18626" xr:uid="{00000000-0005-0000-0000-000098A10000}"/>
    <cellStyle name="Normal 10 4 2 2 2 5" xfId="24102" xr:uid="{00000000-0005-0000-0000-000099A10000}"/>
    <cellStyle name="Normal 10 4 2 2 2 6" xfId="35898" xr:uid="{00000000-0005-0000-0000-00009AA10000}"/>
    <cellStyle name="Normal 10 4 2 2 2 7" xfId="41375" xr:uid="{00000000-0005-0000-0000-00009BA10000}"/>
    <cellStyle name="Normal 10 4 2 2 2 8" xfId="46852" xr:uid="{00000000-0005-0000-0000-00009CA10000}"/>
    <cellStyle name="Normal 10 4 2 2 2 9" xfId="52370" xr:uid="{00000000-0005-0000-0000-00009DA10000}"/>
    <cellStyle name="Normal 10 4 2 2 3" xfId="3966" xr:uid="{00000000-0005-0000-0000-00009EA10000}"/>
    <cellStyle name="Normal 10 4 2 2 3 2" xfId="9446" xr:uid="{00000000-0005-0000-0000-00009FA10000}"/>
    <cellStyle name="Normal 10 4 2 2 3 3" xfId="14922" xr:uid="{00000000-0005-0000-0000-0000A0A10000}"/>
    <cellStyle name="Normal 10 4 2 2 3 4" xfId="20398" xr:uid="{00000000-0005-0000-0000-0000A1A10000}"/>
    <cellStyle name="Normal 10 4 2 2 3 5" xfId="25874" xr:uid="{00000000-0005-0000-0000-0000A2A10000}"/>
    <cellStyle name="Normal 10 4 2 2 3 6" xfId="37670" xr:uid="{00000000-0005-0000-0000-0000A3A10000}"/>
    <cellStyle name="Normal 10 4 2 2 3 7" xfId="43147" xr:uid="{00000000-0005-0000-0000-0000A4A10000}"/>
    <cellStyle name="Normal 10 4 2 2 3 8" xfId="48624" xr:uid="{00000000-0005-0000-0000-0000A5A10000}"/>
    <cellStyle name="Normal 10 4 2 2 3 9" xfId="54142" xr:uid="{00000000-0005-0000-0000-0000A6A10000}"/>
    <cellStyle name="Normal 10 4 2 2 4" xfId="6891" xr:uid="{00000000-0005-0000-0000-0000A7A10000}"/>
    <cellStyle name="Normal 10 4 2 2 5" xfId="12371" xr:uid="{00000000-0005-0000-0000-0000A8A10000}"/>
    <cellStyle name="Normal 10 4 2 2 6" xfId="17847" xr:uid="{00000000-0005-0000-0000-0000A9A10000}"/>
    <cellStyle name="Normal 10 4 2 2 7" xfId="23323" xr:uid="{00000000-0005-0000-0000-0000AAA10000}"/>
    <cellStyle name="Normal 10 4 2 2 8" xfId="32907" xr:uid="{00000000-0005-0000-0000-0000ABA10000}"/>
    <cellStyle name="Normal 10 4 2 2 9" xfId="35118" xr:uid="{00000000-0005-0000-0000-0000ACA10000}"/>
    <cellStyle name="Normal 10 4 2 20" xfId="46070" xr:uid="{00000000-0005-0000-0000-0000ADA10000}"/>
    <cellStyle name="Normal 10 4 2 21" xfId="51549" xr:uid="{00000000-0005-0000-0000-0000AEA10000}"/>
    <cellStyle name="Normal 10 4 2 3" xfId="605" xr:uid="{00000000-0005-0000-0000-0000AFA10000}"/>
    <cellStyle name="Normal 10 4 2 3 10" xfId="46073" xr:uid="{00000000-0005-0000-0000-0000B0A10000}"/>
    <cellStyle name="Normal 10 4 2 3 11" xfId="51552" xr:uid="{00000000-0005-0000-0000-0000B1A10000}"/>
    <cellStyle name="Normal 10 4 2 3 2" xfId="2366" xr:uid="{00000000-0005-0000-0000-0000B2A10000}"/>
    <cellStyle name="Normal 10 4 2 3 2 2" xfId="7846" xr:uid="{00000000-0005-0000-0000-0000B3A10000}"/>
    <cellStyle name="Normal 10 4 2 3 2 3" xfId="13322" xr:uid="{00000000-0005-0000-0000-0000B4A10000}"/>
    <cellStyle name="Normal 10 4 2 3 2 4" xfId="18798" xr:uid="{00000000-0005-0000-0000-0000B5A10000}"/>
    <cellStyle name="Normal 10 4 2 3 2 5" xfId="24274" xr:uid="{00000000-0005-0000-0000-0000B6A10000}"/>
    <cellStyle name="Normal 10 4 2 3 2 6" xfId="36070" xr:uid="{00000000-0005-0000-0000-0000B7A10000}"/>
    <cellStyle name="Normal 10 4 2 3 2 7" xfId="41547" xr:uid="{00000000-0005-0000-0000-0000B8A10000}"/>
    <cellStyle name="Normal 10 4 2 3 2 8" xfId="47024" xr:uid="{00000000-0005-0000-0000-0000B9A10000}"/>
    <cellStyle name="Normal 10 4 2 3 2 9" xfId="52542" xr:uid="{00000000-0005-0000-0000-0000BAA10000}"/>
    <cellStyle name="Normal 10 4 2 3 3" xfId="4138" xr:uid="{00000000-0005-0000-0000-0000BBA10000}"/>
    <cellStyle name="Normal 10 4 2 3 3 2" xfId="9618" xr:uid="{00000000-0005-0000-0000-0000BCA10000}"/>
    <cellStyle name="Normal 10 4 2 3 3 3" xfId="15094" xr:uid="{00000000-0005-0000-0000-0000BDA10000}"/>
    <cellStyle name="Normal 10 4 2 3 3 4" xfId="20570" xr:uid="{00000000-0005-0000-0000-0000BEA10000}"/>
    <cellStyle name="Normal 10 4 2 3 3 5" xfId="26046" xr:uid="{00000000-0005-0000-0000-0000BFA10000}"/>
    <cellStyle name="Normal 10 4 2 3 3 6" xfId="37842" xr:uid="{00000000-0005-0000-0000-0000C0A10000}"/>
    <cellStyle name="Normal 10 4 2 3 3 7" xfId="43319" xr:uid="{00000000-0005-0000-0000-0000C1A10000}"/>
    <cellStyle name="Normal 10 4 2 3 3 8" xfId="48796" xr:uid="{00000000-0005-0000-0000-0000C2A10000}"/>
    <cellStyle name="Normal 10 4 2 3 3 9" xfId="54314" xr:uid="{00000000-0005-0000-0000-0000C3A10000}"/>
    <cellStyle name="Normal 10 4 2 3 4" xfId="6892" xr:uid="{00000000-0005-0000-0000-0000C4A10000}"/>
    <cellStyle name="Normal 10 4 2 3 5" xfId="12372" xr:uid="{00000000-0005-0000-0000-0000C5A10000}"/>
    <cellStyle name="Normal 10 4 2 3 6" xfId="17848" xr:uid="{00000000-0005-0000-0000-0000C6A10000}"/>
    <cellStyle name="Normal 10 4 2 3 7" xfId="23324" xr:uid="{00000000-0005-0000-0000-0000C7A10000}"/>
    <cellStyle name="Normal 10 4 2 3 8" xfId="35119" xr:uid="{00000000-0005-0000-0000-0000C8A10000}"/>
    <cellStyle name="Normal 10 4 2 3 9" xfId="40596" xr:uid="{00000000-0005-0000-0000-0000C9A10000}"/>
    <cellStyle name="Normal 10 4 2 4" xfId="777" xr:uid="{00000000-0005-0000-0000-0000CAA10000}"/>
    <cellStyle name="Normal 10 4 2 4 10" xfId="46074" xr:uid="{00000000-0005-0000-0000-0000CBA10000}"/>
    <cellStyle name="Normal 10 4 2 4 11" xfId="51553" xr:uid="{00000000-0005-0000-0000-0000CCA10000}"/>
    <cellStyle name="Normal 10 4 2 4 2" xfId="2538" xr:uid="{00000000-0005-0000-0000-0000CDA10000}"/>
    <cellStyle name="Normal 10 4 2 4 2 2" xfId="8018" xr:uid="{00000000-0005-0000-0000-0000CEA10000}"/>
    <cellStyle name="Normal 10 4 2 4 2 3" xfId="13494" xr:uid="{00000000-0005-0000-0000-0000CFA10000}"/>
    <cellStyle name="Normal 10 4 2 4 2 4" xfId="18970" xr:uid="{00000000-0005-0000-0000-0000D0A10000}"/>
    <cellStyle name="Normal 10 4 2 4 2 5" xfId="24446" xr:uid="{00000000-0005-0000-0000-0000D1A10000}"/>
    <cellStyle name="Normal 10 4 2 4 2 6" xfId="36242" xr:uid="{00000000-0005-0000-0000-0000D2A10000}"/>
    <cellStyle name="Normal 10 4 2 4 2 7" xfId="41719" xr:uid="{00000000-0005-0000-0000-0000D3A10000}"/>
    <cellStyle name="Normal 10 4 2 4 2 8" xfId="47196" xr:uid="{00000000-0005-0000-0000-0000D4A10000}"/>
    <cellStyle name="Normal 10 4 2 4 2 9" xfId="52714" xr:uid="{00000000-0005-0000-0000-0000D5A10000}"/>
    <cellStyle name="Normal 10 4 2 4 3" xfId="4310" xr:uid="{00000000-0005-0000-0000-0000D6A10000}"/>
    <cellStyle name="Normal 10 4 2 4 3 2" xfId="9790" xr:uid="{00000000-0005-0000-0000-0000D7A10000}"/>
    <cellStyle name="Normal 10 4 2 4 3 3" xfId="15266" xr:uid="{00000000-0005-0000-0000-0000D8A10000}"/>
    <cellStyle name="Normal 10 4 2 4 3 4" xfId="20742" xr:uid="{00000000-0005-0000-0000-0000D9A10000}"/>
    <cellStyle name="Normal 10 4 2 4 3 5" xfId="26218" xr:uid="{00000000-0005-0000-0000-0000DAA10000}"/>
    <cellStyle name="Normal 10 4 2 4 3 6" xfId="38014" xr:uid="{00000000-0005-0000-0000-0000DBA10000}"/>
    <cellStyle name="Normal 10 4 2 4 3 7" xfId="43491" xr:uid="{00000000-0005-0000-0000-0000DCA10000}"/>
    <cellStyle name="Normal 10 4 2 4 3 8" xfId="48968" xr:uid="{00000000-0005-0000-0000-0000DDA10000}"/>
    <cellStyle name="Normal 10 4 2 4 3 9" xfId="54486" xr:uid="{00000000-0005-0000-0000-0000DEA10000}"/>
    <cellStyle name="Normal 10 4 2 4 4" xfId="6893" xr:uid="{00000000-0005-0000-0000-0000DFA10000}"/>
    <cellStyle name="Normal 10 4 2 4 5" xfId="12373" xr:uid="{00000000-0005-0000-0000-0000E0A10000}"/>
    <cellStyle name="Normal 10 4 2 4 6" xfId="17849" xr:uid="{00000000-0005-0000-0000-0000E1A10000}"/>
    <cellStyle name="Normal 10 4 2 4 7" xfId="23325" xr:uid="{00000000-0005-0000-0000-0000E2A10000}"/>
    <cellStyle name="Normal 10 4 2 4 8" xfId="35120" xr:uid="{00000000-0005-0000-0000-0000E3A10000}"/>
    <cellStyle name="Normal 10 4 2 4 9" xfId="40597" xr:uid="{00000000-0005-0000-0000-0000E4A10000}"/>
    <cellStyle name="Normal 10 4 2 5" xfId="949" xr:uid="{00000000-0005-0000-0000-0000E5A10000}"/>
    <cellStyle name="Normal 10 4 2 5 10" xfId="46075" xr:uid="{00000000-0005-0000-0000-0000E6A10000}"/>
    <cellStyle name="Normal 10 4 2 5 11" xfId="51554" xr:uid="{00000000-0005-0000-0000-0000E7A10000}"/>
    <cellStyle name="Normal 10 4 2 5 2" xfId="2710" xr:uid="{00000000-0005-0000-0000-0000E8A10000}"/>
    <cellStyle name="Normal 10 4 2 5 2 2" xfId="8190" xr:uid="{00000000-0005-0000-0000-0000E9A10000}"/>
    <cellStyle name="Normal 10 4 2 5 2 3" xfId="13666" xr:uid="{00000000-0005-0000-0000-0000EAA10000}"/>
    <cellStyle name="Normal 10 4 2 5 2 4" xfId="19142" xr:uid="{00000000-0005-0000-0000-0000EBA10000}"/>
    <cellStyle name="Normal 10 4 2 5 2 5" xfId="24618" xr:uid="{00000000-0005-0000-0000-0000ECA10000}"/>
    <cellStyle name="Normal 10 4 2 5 2 6" xfId="36414" xr:uid="{00000000-0005-0000-0000-0000EDA10000}"/>
    <cellStyle name="Normal 10 4 2 5 2 7" xfId="41891" xr:uid="{00000000-0005-0000-0000-0000EEA10000}"/>
    <cellStyle name="Normal 10 4 2 5 2 8" xfId="47368" xr:uid="{00000000-0005-0000-0000-0000EFA10000}"/>
    <cellStyle name="Normal 10 4 2 5 2 9" xfId="52886" xr:uid="{00000000-0005-0000-0000-0000F0A10000}"/>
    <cellStyle name="Normal 10 4 2 5 3" xfId="4482" xr:uid="{00000000-0005-0000-0000-0000F1A10000}"/>
    <cellStyle name="Normal 10 4 2 5 3 2" xfId="9962" xr:uid="{00000000-0005-0000-0000-0000F2A10000}"/>
    <cellStyle name="Normal 10 4 2 5 3 3" xfId="15438" xr:uid="{00000000-0005-0000-0000-0000F3A10000}"/>
    <cellStyle name="Normal 10 4 2 5 3 4" xfId="20914" xr:uid="{00000000-0005-0000-0000-0000F4A10000}"/>
    <cellStyle name="Normal 10 4 2 5 3 5" xfId="26390" xr:uid="{00000000-0005-0000-0000-0000F5A10000}"/>
    <cellStyle name="Normal 10 4 2 5 3 6" xfId="38186" xr:uid="{00000000-0005-0000-0000-0000F6A10000}"/>
    <cellStyle name="Normal 10 4 2 5 3 7" xfId="43663" xr:uid="{00000000-0005-0000-0000-0000F7A10000}"/>
    <cellStyle name="Normal 10 4 2 5 3 8" xfId="49140" xr:uid="{00000000-0005-0000-0000-0000F8A10000}"/>
    <cellStyle name="Normal 10 4 2 5 3 9" xfId="54658" xr:uid="{00000000-0005-0000-0000-0000F9A10000}"/>
    <cellStyle name="Normal 10 4 2 5 4" xfId="6894" xr:uid="{00000000-0005-0000-0000-0000FAA10000}"/>
    <cellStyle name="Normal 10 4 2 5 5" xfId="12374" xr:uid="{00000000-0005-0000-0000-0000FBA10000}"/>
    <cellStyle name="Normal 10 4 2 5 6" xfId="17850" xr:uid="{00000000-0005-0000-0000-0000FCA10000}"/>
    <cellStyle name="Normal 10 4 2 5 7" xfId="23326" xr:uid="{00000000-0005-0000-0000-0000FDA10000}"/>
    <cellStyle name="Normal 10 4 2 5 8" xfId="35121" xr:uid="{00000000-0005-0000-0000-0000FEA10000}"/>
    <cellStyle name="Normal 10 4 2 5 9" xfId="40598" xr:uid="{00000000-0005-0000-0000-0000FFA10000}"/>
    <cellStyle name="Normal 10 4 2 6" xfId="1155" xr:uid="{00000000-0005-0000-0000-000000A20000}"/>
    <cellStyle name="Normal 10 4 2 6 10" xfId="46076" xr:uid="{00000000-0005-0000-0000-000001A20000}"/>
    <cellStyle name="Normal 10 4 2 6 11" xfId="51555" xr:uid="{00000000-0005-0000-0000-000002A20000}"/>
    <cellStyle name="Normal 10 4 2 6 2" xfId="2916" xr:uid="{00000000-0005-0000-0000-000003A20000}"/>
    <cellStyle name="Normal 10 4 2 6 2 2" xfId="8396" xr:uid="{00000000-0005-0000-0000-000004A20000}"/>
    <cellStyle name="Normal 10 4 2 6 2 3" xfId="13872" xr:uid="{00000000-0005-0000-0000-000005A20000}"/>
    <cellStyle name="Normal 10 4 2 6 2 4" xfId="19348" xr:uid="{00000000-0005-0000-0000-000006A20000}"/>
    <cellStyle name="Normal 10 4 2 6 2 5" xfId="24824" xr:uid="{00000000-0005-0000-0000-000007A20000}"/>
    <cellStyle name="Normal 10 4 2 6 2 6" xfId="36620" xr:uid="{00000000-0005-0000-0000-000008A20000}"/>
    <cellStyle name="Normal 10 4 2 6 2 7" xfId="42097" xr:uid="{00000000-0005-0000-0000-000009A20000}"/>
    <cellStyle name="Normal 10 4 2 6 2 8" xfId="47574" xr:uid="{00000000-0005-0000-0000-00000AA20000}"/>
    <cellStyle name="Normal 10 4 2 6 2 9" xfId="53092" xr:uid="{00000000-0005-0000-0000-00000BA20000}"/>
    <cellStyle name="Normal 10 4 2 6 3" xfId="4688" xr:uid="{00000000-0005-0000-0000-00000CA20000}"/>
    <cellStyle name="Normal 10 4 2 6 3 2" xfId="10168" xr:uid="{00000000-0005-0000-0000-00000DA20000}"/>
    <cellStyle name="Normal 10 4 2 6 3 3" xfId="15644" xr:uid="{00000000-0005-0000-0000-00000EA20000}"/>
    <cellStyle name="Normal 10 4 2 6 3 4" xfId="21120" xr:uid="{00000000-0005-0000-0000-00000FA20000}"/>
    <cellStyle name="Normal 10 4 2 6 3 5" xfId="26596" xr:uid="{00000000-0005-0000-0000-000010A20000}"/>
    <cellStyle name="Normal 10 4 2 6 3 6" xfId="38392" xr:uid="{00000000-0005-0000-0000-000011A20000}"/>
    <cellStyle name="Normal 10 4 2 6 3 7" xfId="43869" xr:uid="{00000000-0005-0000-0000-000012A20000}"/>
    <cellStyle name="Normal 10 4 2 6 3 8" xfId="49346" xr:uid="{00000000-0005-0000-0000-000013A20000}"/>
    <cellStyle name="Normal 10 4 2 6 3 9" xfId="54864" xr:uid="{00000000-0005-0000-0000-000014A20000}"/>
    <cellStyle name="Normal 10 4 2 6 4" xfId="6895" xr:uid="{00000000-0005-0000-0000-000015A20000}"/>
    <cellStyle name="Normal 10 4 2 6 5" xfId="12375" xr:uid="{00000000-0005-0000-0000-000016A20000}"/>
    <cellStyle name="Normal 10 4 2 6 6" xfId="17851" xr:uid="{00000000-0005-0000-0000-000017A20000}"/>
    <cellStyle name="Normal 10 4 2 6 7" xfId="23327" xr:uid="{00000000-0005-0000-0000-000018A20000}"/>
    <cellStyle name="Normal 10 4 2 6 8" xfId="35122" xr:uid="{00000000-0005-0000-0000-000019A20000}"/>
    <cellStyle name="Normal 10 4 2 6 9" xfId="40599" xr:uid="{00000000-0005-0000-0000-00001AA20000}"/>
    <cellStyle name="Normal 10 4 2 7" xfId="1327" xr:uid="{00000000-0005-0000-0000-00001BA20000}"/>
    <cellStyle name="Normal 10 4 2 7 10" xfId="46077" xr:uid="{00000000-0005-0000-0000-00001CA20000}"/>
    <cellStyle name="Normal 10 4 2 7 11" xfId="51556" xr:uid="{00000000-0005-0000-0000-00001DA20000}"/>
    <cellStyle name="Normal 10 4 2 7 2" xfId="3088" xr:uid="{00000000-0005-0000-0000-00001EA20000}"/>
    <cellStyle name="Normal 10 4 2 7 2 2" xfId="8568" xr:uid="{00000000-0005-0000-0000-00001FA20000}"/>
    <cellStyle name="Normal 10 4 2 7 2 3" xfId="14044" xr:uid="{00000000-0005-0000-0000-000020A20000}"/>
    <cellStyle name="Normal 10 4 2 7 2 4" xfId="19520" xr:uid="{00000000-0005-0000-0000-000021A20000}"/>
    <cellStyle name="Normal 10 4 2 7 2 5" xfId="24996" xr:uid="{00000000-0005-0000-0000-000022A20000}"/>
    <cellStyle name="Normal 10 4 2 7 2 6" xfId="36792" xr:uid="{00000000-0005-0000-0000-000023A20000}"/>
    <cellStyle name="Normal 10 4 2 7 2 7" xfId="42269" xr:uid="{00000000-0005-0000-0000-000024A20000}"/>
    <cellStyle name="Normal 10 4 2 7 2 8" xfId="47746" xr:uid="{00000000-0005-0000-0000-000025A20000}"/>
    <cellStyle name="Normal 10 4 2 7 2 9" xfId="53264" xr:uid="{00000000-0005-0000-0000-000026A20000}"/>
    <cellStyle name="Normal 10 4 2 7 3" xfId="4860" xr:uid="{00000000-0005-0000-0000-000027A20000}"/>
    <cellStyle name="Normal 10 4 2 7 3 2" xfId="10340" xr:uid="{00000000-0005-0000-0000-000028A20000}"/>
    <cellStyle name="Normal 10 4 2 7 3 3" xfId="15816" xr:uid="{00000000-0005-0000-0000-000029A20000}"/>
    <cellStyle name="Normal 10 4 2 7 3 4" xfId="21292" xr:uid="{00000000-0005-0000-0000-00002AA20000}"/>
    <cellStyle name="Normal 10 4 2 7 3 5" xfId="26768" xr:uid="{00000000-0005-0000-0000-00002BA20000}"/>
    <cellStyle name="Normal 10 4 2 7 3 6" xfId="38564" xr:uid="{00000000-0005-0000-0000-00002CA20000}"/>
    <cellStyle name="Normal 10 4 2 7 3 7" xfId="44041" xr:uid="{00000000-0005-0000-0000-00002DA20000}"/>
    <cellStyle name="Normal 10 4 2 7 3 8" xfId="49518" xr:uid="{00000000-0005-0000-0000-00002EA20000}"/>
    <cellStyle name="Normal 10 4 2 7 3 9" xfId="55036" xr:uid="{00000000-0005-0000-0000-00002FA20000}"/>
    <cellStyle name="Normal 10 4 2 7 4" xfId="6896" xr:uid="{00000000-0005-0000-0000-000030A20000}"/>
    <cellStyle name="Normal 10 4 2 7 5" xfId="12376" xr:uid="{00000000-0005-0000-0000-000031A20000}"/>
    <cellStyle name="Normal 10 4 2 7 6" xfId="17852" xr:uid="{00000000-0005-0000-0000-000032A20000}"/>
    <cellStyle name="Normal 10 4 2 7 7" xfId="23328" xr:uid="{00000000-0005-0000-0000-000033A20000}"/>
    <cellStyle name="Normal 10 4 2 7 8" xfId="35123" xr:uid="{00000000-0005-0000-0000-000034A20000}"/>
    <cellStyle name="Normal 10 4 2 7 9" xfId="40600" xr:uid="{00000000-0005-0000-0000-000035A20000}"/>
    <cellStyle name="Normal 10 4 2 8" xfId="1499" xr:uid="{00000000-0005-0000-0000-000036A20000}"/>
    <cellStyle name="Normal 10 4 2 8 10" xfId="46078" xr:uid="{00000000-0005-0000-0000-000037A20000}"/>
    <cellStyle name="Normal 10 4 2 8 11" xfId="51557" xr:uid="{00000000-0005-0000-0000-000038A20000}"/>
    <cellStyle name="Normal 10 4 2 8 2" xfId="3260" xr:uid="{00000000-0005-0000-0000-000039A20000}"/>
    <cellStyle name="Normal 10 4 2 8 2 2" xfId="8740" xr:uid="{00000000-0005-0000-0000-00003AA20000}"/>
    <cellStyle name="Normal 10 4 2 8 2 3" xfId="14216" xr:uid="{00000000-0005-0000-0000-00003BA20000}"/>
    <cellStyle name="Normal 10 4 2 8 2 4" xfId="19692" xr:uid="{00000000-0005-0000-0000-00003CA20000}"/>
    <cellStyle name="Normal 10 4 2 8 2 5" xfId="25168" xr:uid="{00000000-0005-0000-0000-00003DA20000}"/>
    <cellStyle name="Normal 10 4 2 8 2 6" xfId="36964" xr:uid="{00000000-0005-0000-0000-00003EA20000}"/>
    <cellStyle name="Normal 10 4 2 8 2 7" xfId="42441" xr:uid="{00000000-0005-0000-0000-00003FA20000}"/>
    <cellStyle name="Normal 10 4 2 8 2 8" xfId="47918" xr:uid="{00000000-0005-0000-0000-000040A20000}"/>
    <cellStyle name="Normal 10 4 2 8 2 9" xfId="53436" xr:uid="{00000000-0005-0000-0000-000041A20000}"/>
    <cellStyle name="Normal 10 4 2 8 3" xfId="5032" xr:uid="{00000000-0005-0000-0000-000042A20000}"/>
    <cellStyle name="Normal 10 4 2 8 3 2" xfId="10512" xr:uid="{00000000-0005-0000-0000-000043A20000}"/>
    <cellStyle name="Normal 10 4 2 8 3 3" xfId="15988" xr:uid="{00000000-0005-0000-0000-000044A20000}"/>
    <cellStyle name="Normal 10 4 2 8 3 4" xfId="21464" xr:uid="{00000000-0005-0000-0000-000045A20000}"/>
    <cellStyle name="Normal 10 4 2 8 3 5" xfId="26940" xr:uid="{00000000-0005-0000-0000-000046A20000}"/>
    <cellStyle name="Normal 10 4 2 8 3 6" xfId="38736" xr:uid="{00000000-0005-0000-0000-000047A20000}"/>
    <cellStyle name="Normal 10 4 2 8 3 7" xfId="44213" xr:uid="{00000000-0005-0000-0000-000048A20000}"/>
    <cellStyle name="Normal 10 4 2 8 3 8" xfId="49690" xr:uid="{00000000-0005-0000-0000-000049A20000}"/>
    <cellStyle name="Normal 10 4 2 8 3 9" xfId="55208" xr:uid="{00000000-0005-0000-0000-00004AA20000}"/>
    <cellStyle name="Normal 10 4 2 8 4" xfId="6897" xr:uid="{00000000-0005-0000-0000-00004BA20000}"/>
    <cellStyle name="Normal 10 4 2 8 5" xfId="12377" xr:uid="{00000000-0005-0000-0000-00004CA20000}"/>
    <cellStyle name="Normal 10 4 2 8 6" xfId="17853" xr:uid="{00000000-0005-0000-0000-00004DA20000}"/>
    <cellStyle name="Normal 10 4 2 8 7" xfId="23329" xr:uid="{00000000-0005-0000-0000-00004EA20000}"/>
    <cellStyle name="Normal 10 4 2 8 8" xfId="35124" xr:uid="{00000000-0005-0000-0000-00004FA20000}"/>
    <cellStyle name="Normal 10 4 2 8 9" xfId="40601" xr:uid="{00000000-0005-0000-0000-000050A20000}"/>
    <cellStyle name="Normal 10 4 2 9" xfId="1671" xr:uid="{00000000-0005-0000-0000-000051A20000}"/>
    <cellStyle name="Normal 10 4 2 9 10" xfId="46079" xr:uid="{00000000-0005-0000-0000-000052A20000}"/>
    <cellStyle name="Normal 10 4 2 9 11" xfId="51558" xr:uid="{00000000-0005-0000-0000-000053A20000}"/>
    <cellStyle name="Normal 10 4 2 9 2" xfId="3432" xr:uid="{00000000-0005-0000-0000-000054A20000}"/>
    <cellStyle name="Normal 10 4 2 9 2 2" xfId="8912" xr:uid="{00000000-0005-0000-0000-000055A20000}"/>
    <cellStyle name="Normal 10 4 2 9 2 3" xfId="14388" xr:uid="{00000000-0005-0000-0000-000056A20000}"/>
    <cellStyle name="Normal 10 4 2 9 2 4" xfId="19864" xr:uid="{00000000-0005-0000-0000-000057A20000}"/>
    <cellStyle name="Normal 10 4 2 9 2 5" xfId="25340" xr:uid="{00000000-0005-0000-0000-000058A20000}"/>
    <cellStyle name="Normal 10 4 2 9 2 6" xfId="37136" xr:uid="{00000000-0005-0000-0000-000059A20000}"/>
    <cellStyle name="Normal 10 4 2 9 2 7" xfId="42613" xr:uid="{00000000-0005-0000-0000-00005AA20000}"/>
    <cellStyle name="Normal 10 4 2 9 2 8" xfId="48090" xr:uid="{00000000-0005-0000-0000-00005BA20000}"/>
    <cellStyle name="Normal 10 4 2 9 2 9" xfId="53608" xr:uid="{00000000-0005-0000-0000-00005CA20000}"/>
    <cellStyle name="Normal 10 4 2 9 3" xfId="5204" xr:uid="{00000000-0005-0000-0000-00005DA20000}"/>
    <cellStyle name="Normal 10 4 2 9 3 2" xfId="10684" xr:uid="{00000000-0005-0000-0000-00005EA20000}"/>
    <cellStyle name="Normal 10 4 2 9 3 3" xfId="16160" xr:uid="{00000000-0005-0000-0000-00005FA20000}"/>
    <cellStyle name="Normal 10 4 2 9 3 4" xfId="21636" xr:uid="{00000000-0005-0000-0000-000060A20000}"/>
    <cellStyle name="Normal 10 4 2 9 3 5" xfId="27112" xr:uid="{00000000-0005-0000-0000-000061A20000}"/>
    <cellStyle name="Normal 10 4 2 9 3 6" xfId="38908" xr:uid="{00000000-0005-0000-0000-000062A20000}"/>
    <cellStyle name="Normal 10 4 2 9 3 7" xfId="44385" xr:uid="{00000000-0005-0000-0000-000063A20000}"/>
    <cellStyle name="Normal 10 4 2 9 3 8" xfId="49862" xr:uid="{00000000-0005-0000-0000-000064A20000}"/>
    <cellStyle name="Normal 10 4 2 9 3 9" xfId="55380" xr:uid="{00000000-0005-0000-0000-000065A20000}"/>
    <cellStyle name="Normal 10 4 2 9 4" xfId="6898" xr:uid="{00000000-0005-0000-0000-000066A20000}"/>
    <cellStyle name="Normal 10 4 2 9 5" xfId="12378" xr:uid="{00000000-0005-0000-0000-000067A20000}"/>
    <cellStyle name="Normal 10 4 2 9 6" xfId="17854" xr:uid="{00000000-0005-0000-0000-000068A20000}"/>
    <cellStyle name="Normal 10 4 2 9 7" xfId="23330" xr:uid="{00000000-0005-0000-0000-000069A20000}"/>
    <cellStyle name="Normal 10 4 2 9 8" xfId="35125" xr:uid="{00000000-0005-0000-0000-00006AA20000}"/>
    <cellStyle name="Normal 10 4 2 9 9" xfId="40602" xr:uid="{00000000-0005-0000-0000-00006BA20000}"/>
    <cellStyle name="Normal 10 4 20" xfId="40590" xr:uid="{00000000-0005-0000-0000-00006CA20000}"/>
    <cellStyle name="Normal 10 4 21" xfId="46067" xr:uid="{00000000-0005-0000-0000-00006DA20000}"/>
    <cellStyle name="Normal 10 4 22" xfId="51546" xr:uid="{00000000-0005-0000-0000-00006EA20000}"/>
    <cellStyle name="Normal 10 4 3" xfId="427" xr:uid="{00000000-0005-0000-0000-00006FA20000}"/>
    <cellStyle name="Normal 10 4 3 10" xfId="40603" xr:uid="{00000000-0005-0000-0000-000070A20000}"/>
    <cellStyle name="Normal 10 4 3 11" xfId="46080" xr:uid="{00000000-0005-0000-0000-000071A20000}"/>
    <cellStyle name="Normal 10 4 3 12" xfId="51559" xr:uid="{00000000-0005-0000-0000-000072A20000}"/>
    <cellStyle name="Normal 10 4 3 2" xfId="2193" xr:uid="{00000000-0005-0000-0000-000073A20000}"/>
    <cellStyle name="Normal 10 4 3 2 2" xfId="7673" xr:uid="{00000000-0005-0000-0000-000074A20000}"/>
    <cellStyle name="Normal 10 4 3 2 3" xfId="13149" xr:uid="{00000000-0005-0000-0000-000075A20000}"/>
    <cellStyle name="Normal 10 4 3 2 4" xfId="18625" xr:uid="{00000000-0005-0000-0000-000076A20000}"/>
    <cellStyle name="Normal 10 4 3 2 5" xfId="24101" xr:uid="{00000000-0005-0000-0000-000077A20000}"/>
    <cellStyle name="Normal 10 4 3 2 6" xfId="35897" xr:uid="{00000000-0005-0000-0000-000078A20000}"/>
    <cellStyle name="Normal 10 4 3 2 7" xfId="41374" xr:uid="{00000000-0005-0000-0000-000079A20000}"/>
    <cellStyle name="Normal 10 4 3 2 8" xfId="46851" xr:uid="{00000000-0005-0000-0000-00007AA20000}"/>
    <cellStyle name="Normal 10 4 3 2 9" xfId="52369" xr:uid="{00000000-0005-0000-0000-00007BA20000}"/>
    <cellStyle name="Normal 10 4 3 3" xfId="3965" xr:uid="{00000000-0005-0000-0000-00007CA20000}"/>
    <cellStyle name="Normal 10 4 3 3 2" xfId="9445" xr:uid="{00000000-0005-0000-0000-00007DA20000}"/>
    <cellStyle name="Normal 10 4 3 3 3" xfId="14921" xr:uid="{00000000-0005-0000-0000-00007EA20000}"/>
    <cellStyle name="Normal 10 4 3 3 4" xfId="20397" xr:uid="{00000000-0005-0000-0000-00007FA20000}"/>
    <cellStyle name="Normal 10 4 3 3 5" xfId="25873" xr:uid="{00000000-0005-0000-0000-000080A20000}"/>
    <cellStyle name="Normal 10 4 3 3 6" xfId="37669" xr:uid="{00000000-0005-0000-0000-000081A20000}"/>
    <cellStyle name="Normal 10 4 3 3 7" xfId="43146" xr:uid="{00000000-0005-0000-0000-000082A20000}"/>
    <cellStyle name="Normal 10 4 3 3 8" xfId="48623" xr:uid="{00000000-0005-0000-0000-000083A20000}"/>
    <cellStyle name="Normal 10 4 3 3 9" xfId="54141" xr:uid="{00000000-0005-0000-0000-000084A20000}"/>
    <cellStyle name="Normal 10 4 3 4" xfId="6899" xr:uid="{00000000-0005-0000-0000-000085A20000}"/>
    <cellStyle name="Normal 10 4 3 5" xfId="12379" xr:uid="{00000000-0005-0000-0000-000086A20000}"/>
    <cellStyle name="Normal 10 4 3 6" xfId="17855" xr:uid="{00000000-0005-0000-0000-000087A20000}"/>
    <cellStyle name="Normal 10 4 3 7" xfId="23331" xr:uid="{00000000-0005-0000-0000-000088A20000}"/>
    <cellStyle name="Normal 10 4 3 8" xfId="32908" xr:uid="{00000000-0005-0000-0000-000089A20000}"/>
    <cellStyle name="Normal 10 4 3 9" xfId="35126" xr:uid="{00000000-0005-0000-0000-00008AA20000}"/>
    <cellStyle name="Normal 10 4 4" xfId="604" xr:uid="{00000000-0005-0000-0000-00008BA20000}"/>
    <cellStyle name="Normal 10 4 4 10" xfId="46081" xr:uid="{00000000-0005-0000-0000-00008CA20000}"/>
    <cellStyle name="Normal 10 4 4 11" xfId="51560" xr:uid="{00000000-0005-0000-0000-00008DA20000}"/>
    <cellStyle name="Normal 10 4 4 2" xfId="2365" xr:uid="{00000000-0005-0000-0000-00008EA20000}"/>
    <cellStyle name="Normal 10 4 4 2 2" xfId="7845" xr:uid="{00000000-0005-0000-0000-00008FA20000}"/>
    <cellStyle name="Normal 10 4 4 2 3" xfId="13321" xr:uid="{00000000-0005-0000-0000-000090A20000}"/>
    <cellStyle name="Normal 10 4 4 2 4" xfId="18797" xr:uid="{00000000-0005-0000-0000-000091A20000}"/>
    <cellStyle name="Normal 10 4 4 2 5" xfId="24273" xr:uid="{00000000-0005-0000-0000-000092A20000}"/>
    <cellStyle name="Normal 10 4 4 2 6" xfId="36069" xr:uid="{00000000-0005-0000-0000-000093A20000}"/>
    <cellStyle name="Normal 10 4 4 2 7" xfId="41546" xr:uid="{00000000-0005-0000-0000-000094A20000}"/>
    <cellStyle name="Normal 10 4 4 2 8" xfId="47023" xr:uid="{00000000-0005-0000-0000-000095A20000}"/>
    <cellStyle name="Normal 10 4 4 2 9" xfId="52541" xr:uid="{00000000-0005-0000-0000-000096A20000}"/>
    <cellStyle name="Normal 10 4 4 3" xfId="4137" xr:uid="{00000000-0005-0000-0000-000097A20000}"/>
    <cellStyle name="Normal 10 4 4 3 2" xfId="9617" xr:uid="{00000000-0005-0000-0000-000098A20000}"/>
    <cellStyle name="Normal 10 4 4 3 3" xfId="15093" xr:uid="{00000000-0005-0000-0000-000099A20000}"/>
    <cellStyle name="Normal 10 4 4 3 4" xfId="20569" xr:uid="{00000000-0005-0000-0000-00009AA20000}"/>
    <cellStyle name="Normal 10 4 4 3 5" xfId="26045" xr:uid="{00000000-0005-0000-0000-00009BA20000}"/>
    <cellStyle name="Normal 10 4 4 3 6" xfId="37841" xr:uid="{00000000-0005-0000-0000-00009CA20000}"/>
    <cellStyle name="Normal 10 4 4 3 7" xfId="43318" xr:uid="{00000000-0005-0000-0000-00009DA20000}"/>
    <cellStyle name="Normal 10 4 4 3 8" xfId="48795" xr:uid="{00000000-0005-0000-0000-00009EA20000}"/>
    <cellStyle name="Normal 10 4 4 3 9" xfId="54313" xr:uid="{00000000-0005-0000-0000-00009FA20000}"/>
    <cellStyle name="Normal 10 4 4 4" xfId="6900" xr:uid="{00000000-0005-0000-0000-0000A0A20000}"/>
    <cellStyle name="Normal 10 4 4 5" xfId="12380" xr:uid="{00000000-0005-0000-0000-0000A1A20000}"/>
    <cellStyle name="Normal 10 4 4 6" xfId="17856" xr:uid="{00000000-0005-0000-0000-0000A2A20000}"/>
    <cellStyle name="Normal 10 4 4 7" xfId="23332" xr:uid="{00000000-0005-0000-0000-0000A3A20000}"/>
    <cellStyle name="Normal 10 4 4 8" xfId="35127" xr:uid="{00000000-0005-0000-0000-0000A4A20000}"/>
    <cellStyle name="Normal 10 4 4 9" xfId="40604" xr:uid="{00000000-0005-0000-0000-0000A5A20000}"/>
    <cellStyle name="Normal 10 4 5" xfId="776" xr:uid="{00000000-0005-0000-0000-0000A6A20000}"/>
    <cellStyle name="Normal 10 4 5 10" xfId="46082" xr:uid="{00000000-0005-0000-0000-0000A7A20000}"/>
    <cellStyle name="Normal 10 4 5 11" xfId="51561" xr:uid="{00000000-0005-0000-0000-0000A8A20000}"/>
    <cellStyle name="Normal 10 4 5 2" xfId="2537" xr:uid="{00000000-0005-0000-0000-0000A9A20000}"/>
    <cellStyle name="Normal 10 4 5 2 2" xfId="8017" xr:uid="{00000000-0005-0000-0000-0000AAA20000}"/>
    <cellStyle name="Normal 10 4 5 2 3" xfId="13493" xr:uid="{00000000-0005-0000-0000-0000ABA20000}"/>
    <cellStyle name="Normal 10 4 5 2 4" xfId="18969" xr:uid="{00000000-0005-0000-0000-0000ACA20000}"/>
    <cellStyle name="Normal 10 4 5 2 5" xfId="24445" xr:uid="{00000000-0005-0000-0000-0000ADA20000}"/>
    <cellStyle name="Normal 10 4 5 2 6" xfId="36241" xr:uid="{00000000-0005-0000-0000-0000AEA20000}"/>
    <cellStyle name="Normal 10 4 5 2 7" xfId="41718" xr:uid="{00000000-0005-0000-0000-0000AFA20000}"/>
    <cellStyle name="Normal 10 4 5 2 8" xfId="47195" xr:uid="{00000000-0005-0000-0000-0000B0A20000}"/>
    <cellStyle name="Normal 10 4 5 2 9" xfId="52713" xr:uid="{00000000-0005-0000-0000-0000B1A20000}"/>
    <cellStyle name="Normal 10 4 5 3" xfId="4309" xr:uid="{00000000-0005-0000-0000-0000B2A20000}"/>
    <cellStyle name="Normal 10 4 5 3 2" xfId="9789" xr:uid="{00000000-0005-0000-0000-0000B3A20000}"/>
    <cellStyle name="Normal 10 4 5 3 3" xfId="15265" xr:uid="{00000000-0005-0000-0000-0000B4A20000}"/>
    <cellStyle name="Normal 10 4 5 3 4" xfId="20741" xr:uid="{00000000-0005-0000-0000-0000B5A20000}"/>
    <cellStyle name="Normal 10 4 5 3 5" xfId="26217" xr:uid="{00000000-0005-0000-0000-0000B6A20000}"/>
    <cellStyle name="Normal 10 4 5 3 6" xfId="38013" xr:uid="{00000000-0005-0000-0000-0000B7A20000}"/>
    <cellStyle name="Normal 10 4 5 3 7" xfId="43490" xr:uid="{00000000-0005-0000-0000-0000B8A20000}"/>
    <cellStyle name="Normal 10 4 5 3 8" xfId="48967" xr:uid="{00000000-0005-0000-0000-0000B9A20000}"/>
    <cellStyle name="Normal 10 4 5 3 9" xfId="54485" xr:uid="{00000000-0005-0000-0000-0000BAA20000}"/>
    <cellStyle name="Normal 10 4 5 4" xfId="6901" xr:uid="{00000000-0005-0000-0000-0000BBA20000}"/>
    <cellStyle name="Normal 10 4 5 5" xfId="12381" xr:uid="{00000000-0005-0000-0000-0000BCA20000}"/>
    <cellStyle name="Normal 10 4 5 6" xfId="17857" xr:uid="{00000000-0005-0000-0000-0000BDA20000}"/>
    <cellStyle name="Normal 10 4 5 7" xfId="23333" xr:uid="{00000000-0005-0000-0000-0000BEA20000}"/>
    <cellStyle name="Normal 10 4 5 8" xfId="35128" xr:uid="{00000000-0005-0000-0000-0000BFA20000}"/>
    <cellStyle name="Normal 10 4 5 9" xfId="40605" xr:uid="{00000000-0005-0000-0000-0000C0A20000}"/>
    <cellStyle name="Normal 10 4 6" xfId="948" xr:uid="{00000000-0005-0000-0000-0000C1A20000}"/>
    <cellStyle name="Normal 10 4 6 10" xfId="46083" xr:uid="{00000000-0005-0000-0000-0000C2A20000}"/>
    <cellStyle name="Normal 10 4 6 11" xfId="51562" xr:uid="{00000000-0005-0000-0000-0000C3A20000}"/>
    <cellStyle name="Normal 10 4 6 2" xfId="2709" xr:uid="{00000000-0005-0000-0000-0000C4A20000}"/>
    <cellStyle name="Normal 10 4 6 2 2" xfId="8189" xr:uid="{00000000-0005-0000-0000-0000C5A20000}"/>
    <cellStyle name="Normal 10 4 6 2 3" xfId="13665" xr:uid="{00000000-0005-0000-0000-0000C6A20000}"/>
    <cellStyle name="Normal 10 4 6 2 4" xfId="19141" xr:uid="{00000000-0005-0000-0000-0000C7A20000}"/>
    <cellStyle name="Normal 10 4 6 2 5" xfId="24617" xr:uid="{00000000-0005-0000-0000-0000C8A20000}"/>
    <cellStyle name="Normal 10 4 6 2 6" xfId="36413" xr:uid="{00000000-0005-0000-0000-0000C9A20000}"/>
    <cellStyle name="Normal 10 4 6 2 7" xfId="41890" xr:uid="{00000000-0005-0000-0000-0000CAA20000}"/>
    <cellStyle name="Normal 10 4 6 2 8" xfId="47367" xr:uid="{00000000-0005-0000-0000-0000CBA20000}"/>
    <cellStyle name="Normal 10 4 6 2 9" xfId="52885" xr:uid="{00000000-0005-0000-0000-0000CCA20000}"/>
    <cellStyle name="Normal 10 4 6 3" xfId="4481" xr:uid="{00000000-0005-0000-0000-0000CDA20000}"/>
    <cellStyle name="Normal 10 4 6 3 2" xfId="9961" xr:uid="{00000000-0005-0000-0000-0000CEA20000}"/>
    <cellStyle name="Normal 10 4 6 3 3" xfId="15437" xr:uid="{00000000-0005-0000-0000-0000CFA20000}"/>
    <cellStyle name="Normal 10 4 6 3 4" xfId="20913" xr:uid="{00000000-0005-0000-0000-0000D0A20000}"/>
    <cellStyle name="Normal 10 4 6 3 5" xfId="26389" xr:uid="{00000000-0005-0000-0000-0000D1A20000}"/>
    <cellStyle name="Normal 10 4 6 3 6" xfId="38185" xr:uid="{00000000-0005-0000-0000-0000D2A20000}"/>
    <cellStyle name="Normal 10 4 6 3 7" xfId="43662" xr:uid="{00000000-0005-0000-0000-0000D3A20000}"/>
    <cellStyle name="Normal 10 4 6 3 8" xfId="49139" xr:uid="{00000000-0005-0000-0000-0000D4A20000}"/>
    <cellStyle name="Normal 10 4 6 3 9" xfId="54657" xr:uid="{00000000-0005-0000-0000-0000D5A20000}"/>
    <cellStyle name="Normal 10 4 6 4" xfId="6902" xr:uid="{00000000-0005-0000-0000-0000D6A20000}"/>
    <cellStyle name="Normal 10 4 6 5" xfId="12382" xr:uid="{00000000-0005-0000-0000-0000D7A20000}"/>
    <cellStyle name="Normal 10 4 6 6" xfId="17858" xr:uid="{00000000-0005-0000-0000-0000D8A20000}"/>
    <cellStyle name="Normal 10 4 6 7" xfId="23334" xr:uid="{00000000-0005-0000-0000-0000D9A20000}"/>
    <cellStyle name="Normal 10 4 6 8" xfId="35129" xr:uid="{00000000-0005-0000-0000-0000DAA20000}"/>
    <cellStyle name="Normal 10 4 6 9" xfId="40606" xr:uid="{00000000-0005-0000-0000-0000DBA20000}"/>
    <cellStyle name="Normal 10 4 7" xfId="1154" xr:uid="{00000000-0005-0000-0000-0000DCA20000}"/>
    <cellStyle name="Normal 10 4 7 10" xfId="46084" xr:uid="{00000000-0005-0000-0000-0000DDA20000}"/>
    <cellStyle name="Normal 10 4 7 11" xfId="51563" xr:uid="{00000000-0005-0000-0000-0000DEA20000}"/>
    <cellStyle name="Normal 10 4 7 2" xfId="2915" xr:uid="{00000000-0005-0000-0000-0000DFA20000}"/>
    <cellStyle name="Normal 10 4 7 2 2" xfId="8395" xr:uid="{00000000-0005-0000-0000-0000E0A20000}"/>
    <cellStyle name="Normal 10 4 7 2 3" xfId="13871" xr:uid="{00000000-0005-0000-0000-0000E1A20000}"/>
    <cellStyle name="Normal 10 4 7 2 4" xfId="19347" xr:uid="{00000000-0005-0000-0000-0000E2A20000}"/>
    <cellStyle name="Normal 10 4 7 2 5" xfId="24823" xr:uid="{00000000-0005-0000-0000-0000E3A20000}"/>
    <cellStyle name="Normal 10 4 7 2 6" xfId="36619" xr:uid="{00000000-0005-0000-0000-0000E4A20000}"/>
    <cellStyle name="Normal 10 4 7 2 7" xfId="42096" xr:uid="{00000000-0005-0000-0000-0000E5A20000}"/>
    <cellStyle name="Normal 10 4 7 2 8" xfId="47573" xr:uid="{00000000-0005-0000-0000-0000E6A20000}"/>
    <cellStyle name="Normal 10 4 7 2 9" xfId="53091" xr:uid="{00000000-0005-0000-0000-0000E7A20000}"/>
    <cellStyle name="Normal 10 4 7 3" xfId="4687" xr:uid="{00000000-0005-0000-0000-0000E8A20000}"/>
    <cellStyle name="Normal 10 4 7 3 2" xfId="10167" xr:uid="{00000000-0005-0000-0000-0000E9A20000}"/>
    <cellStyle name="Normal 10 4 7 3 3" xfId="15643" xr:uid="{00000000-0005-0000-0000-0000EAA20000}"/>
    <cellStyle name="Normal 10 4 7 3 4" xfId="21119" xr:uid="{00000000-0005-0000-0000-0000EBA20000}"/>
    <cellStyle name="Normal 10 4 7 3 5" xfId="26595" xr:uid="{00000000-0005-0000-0000-0000ECA20000}"/>
    <cellStyle name="Normal 10 4 7 3 6" xfId="38391" xr:uid="{00000000-0005-0000-0000-0000EDA20000}"/>
    <cellStyle name="Normal 10 4 7 3 7" xfId="43868" xr:uid="{00000000-0005-0000-0000-0000EEA20000}"/>
    <cellStyle name="Normal 10 4 7 3 8" xfId="49345" xr:uid="{00000000-0005-0000-0000-0000EFA20000}"/>
    <cellStyle name="Normal 10 4 7 3 9" xfId="54863" xr:uid="{00000000-0005-0000-0000-0000F0A20000}"/>
    <cellStyle name="Normal 10 4 7 4" xfId="6903" xr:uid="{00000000-0005-0000-0000-0000F1A20000}"/>
    <cellStyle name="Normal 10 4 7 5" xfId="12383" xr:uid="{00000000-0005-0000-0000-0000F2A20000}"/>
    <cellStyle name="Normal 10 4 7 6" xfId="17859" xr:uid="{00000000-0005-0000-0000-0000F3A20000}"/>
    <cellStyle name="Normal 10 4 7 7" xfId="23335" xr:uid="{00000000-0005-0000-0000-0000F4A20000}"/>
    <cellStyle name="Normal 10 4 7 8" xfId="35130" xr:uid="{00000000-0005-0000-0000-0000F5A20000}"/>
    <cellStyle name="Normal 10 4 7 9" xfId="40607" xr:uid="{00000000-0005-0000-0000-0000F6A20000}"/>
    <cellStyle name="Normal 10 4 8" xfId="1326" xr:uid="{00000000-0005-0000-0000-0000F7A20000}"/>
    <cellStyle name="Normal 10 4 8 10" xfId="46085" xr:uid="{00000000-0005-0000-0000-0000F8A20000}"/>
    <cellStyle name="Normal 10 4 8 11" xfId="51564" xr:uid="{00000000-0005-0000-0000-0000F9A20000}"/>
    <cellStyle name="Normal 10 4 8 2" xfId="3087" xr:uid="{00000000-0005-0000-0000-0000FAA20000}"/>
    <cellStyle name="Normal 10 4 8 2 2" xfId="8567" xr:uid="{00000000-0005-0000-0000-0000FBA20000}"/>
    <cellStyle name="Normal 10 4 8 2 3" xfId="14043" xr:uid="{00000000-0005-0000-0000-0000FCA20000}"/>
    <cellStyle name="Normal 10 4 8 2 4" xfId="19519" xr:uid="{00000000-0005-0000-0000-0000FDA20000}"/>
    <cellStyle name="Normal 10 4 8 2 5" xfId="24995" xr:uid="{00000000-0005-0000-0000-0000FEA20000}"/>
    <cellStyle name="Normal 10 4 8 2 6" xfId="36791" xr:uid="{00000000-0005-0000-0000-0000FFA20000}"/>
    <cellStyle name="Normal 10 4 8 2 7" xfId="42268" xr:uid="{00000000-0005-0000-0000-000000A30000}"/>
    <cellStyle name="Normal 10 4 8 2 8" xfId="47745" xr:uid="{00000000-0005-0000-0000-000001A30000}"/>
    <cellStyle name="Normal 10 4 8 2 9" xfId="53263" xr:uid="{00000000-0005-0000-0000-000002A30000}"/>
    <cellStyle name="Normal 10 4 8 3" xfId="4859" xr:uid="{00000000-0005-0000-0000-000003A30000}"/>
    <cellStyle name="Normal 10 4 8 3 2" xfId="10339" xr:uid="{00000000-0005-0000-0000-000004A30000}"/>
    <cellStyle name="Normal 10 4 8 3 3" xfId="15815" xr:uid="{00000000-0005-0000-0000-000005A30000}"/>
    <cellStyle name="Normal 10 4 8 3 4" xfId="21291" xr:uid="{00000000-0005-0000-0000-000006A30000}"/>
    <cellStyle name="Normal 10 4 8 3 5" xfId="26767" xr:uid="{00000000-0005-0000-0000-000007A30000}"/>
    <cellStyle name="Normal 10 4 8 3 6" xfId="38563" xr:uid="{00000000-0005-0000-0000-000008A30000}"/>
    <cellStyle name="Normal 10 4 8 3 7" xfId="44040" xr:uid="{00000000-0005-0000-0000-000009A30000}"/>
    <cellStyle name="Normal 10 4 8 3 8" xfId="49517" xr:uid="{00000000-0005-0000-0000-00000AA30000}"/>
    <cellStyle name="Normal 10 4 8 3 9" xfId="55035" xr:uid="{00000000-0005-0000-0000-00000BA30000}"/>
    <cellStyle name="Normal 10 4 8 4" xfId="6904" xr:uid="{00000000-0005-0000-0000-00000CA30000}"/>
    <cellStyle name="Normal 10 4 8 5" xfId="12384" xr:uid="{00000000-0005-0000-0000-00000DA30000}"/>
    <cellStyle name="Normal 10 4 8 6" xfId="17860" xr:uid="{00000000-0005-0000-0000-00000EA30000}"/>
    <cellStyle name="Normal 10 4 8 7" xfId="23336" xr:uid="{00000000-0005-0000-0000-00000FA30000}"/>
    <cellStyle name="Normal 10 4 8 8" xfId="35131" xr:uid="{00000000-0005-0000-0000-000010A30000}"/>
    <cellStyle name="Normal 10 4 8 9" xfId="40608" xr:uid="{00000000-0005-0000-0000-000011A30000}"/>
    <cellStyle name="Normal 10 4 9" xfId="1498" xr:uid="{00000000-0005-0000-0000-000012A30000}"/>
    <cellStyle name="Normal 10 4 9 10" xfId="46086" xr:uid="{00000000-0005-0000-0000-000013A30000}"/>
    <cellStyle name="Normal 10 4 9 11" xfId="51565" xr:uid="{00000000-0005-0000-0000-000014A30000}"/>
    <cellStyle name="Normal 10 4 9 2" xfId="3259" xr:uid="{00000000-0005-0000-0000-000015A30000}"/>
    <cellStyle name="Normal 10 4 9 2 2" xfId="8739" xr:uid="{00000000-0005-0000-0000-000016A30000}"/>
    <cellStyle name="Normal 10 4 9 2 3" xfId="14215" xr:uid="{00000000-0005-0000-0000-000017A30000}"/>
    <cellStyle name="Normal 10 4 9 2 4" xfId="19691" xr:uid="{00000000-0005-0000-0000-000018A30000}"/>
    <cellStyle name="Normal 10 4 9 2 5" xfId="25167" xr:uid="{00000000-0005-0000-0000-000019A30000}"/>
    <cellStyle name="Normal 10 4 9 2 6" xfId="36963" xr:uid="{00000000-0005-0000-0000-00001AA30000}"/>
    <cellStyle name="Normal 10 4 9 2 7" xfId="42440" xr:uid="{00000000-0005-0000-0000-00001BA30000}"/>
    <cellStyle name="Normal 10 4 9 2 8" xfId="47917" xr:uid="{00000000-0005-0000-0000-00001CA30000}"/>
    <cellStyle name="Normal 10 4 9 2 9" xfId="53435" xr:uid="{00000000-0005-0000-0000-00001DA30000}"/>
    <cellStyle name="Normal 10 4 9 3" xfId="5031" xr:uid="{00000000-0005-0000-0000-00001EA30000}"/>
    <cellStyle name="Normal 10 4 9 3 2" xfId="10511" xr:uid="{00000000-0005-0000-0000-00001FA30000}"/>
    <cellStyle name="Normal 10 4 9 3 3" xfId="15987" xr:uid="{00000000-0005-0000-0000-000020A30000}"/>
    <cellStyle name="Normal 10 4 9 3 4" xfId="21463" xr:uid="{00000000-0005-0000-0000-000021A30000}"/>
    <cellStyle name="Normal 10 4 9 3 5" xfId="26939" xr:uid="{00000000-0005-0000-0000-000022A30000}"/>
    <cellStyle name="Normal 10 4 9 3 6" xfId="38735" xr:uid="{00000000-0005-0000-0000-000023A30000}"/>
    <cellStyle name="Normal 10 4 9 3 7" xfId="44212" xr:uid="{00000000-0005-0000-0000-000024A30000}"/>
    <cellStyle name="Normal 10 4 9 3 8" xfId="49689" xr:uid="{00000000-0005-0000-0000-000025A30000}"/>
    <cellStyle name="Normal 10 4 9 3 9" xfId="55207" xr:uid="{00000000-0005-0000-0000-000026A30000}"/>
    <cellStyle name="Normal 10 4 9 4" xfId="6905" xr:uid="{00000000-0005-0000-0000-000027A30000}"/>
    <cellStyle name="Normal 10 4 9 5" xfId="12385" xr:uid="{00000000-0005-0000-0000-000028A30000}"/>
    <cellStyle name="Normal 10 4 9 6" xfId="17861" xr:uid="{00000000-0005-0000-0000-000029A30000}"/>
    <cellStyle name="Normal 10 4 9 7" xfId="23337" xr:uid="{00000000-0005-0000-0000-00002AA30000}"/>
    <cellStyle name="Normal 10 4 9 8" xfId="35132" xr:uid="{00000000-0005-0000-0000-00002BA30000}"/>
    <cellStyle name="Normal 10 4 9 9" xfId="40609" xr:uid="{00000000-0005-0000-0000-00002CA30000}"/>
    <cellStyle name="Normal 10 5" xfId="176" xr:uid="{00000000-0005-0000-0000-00002DA30000}"/>
    <cellStyle name="Normal 10 5 10" xfId="1672" xr:uid="{00000000-0005-0000-0000-00002EA30000}"/>
    <cellStyle name="Normal 10 5 10 10" xfId="46088" xr:uid="{00000000-0005-0000-0000-00002FA30000}"/>
    <cellStyle name="Normal 10 5 10 11" xfId="51567" xr:uid="{00000000-0005-0000-0000-000030A30000}"/>
    <cellStyle name="Normal 10 5 10 2" xfId="3433" xr:uid="{00000000-0005-0000-0000-000031A30000}"/>
    <cellStyle name="Normal 10 5 10 2 2" xfId="8913" xr:uid="{00000000-0005-0000-0000-000032A30000}"/>
    <cellStyle name="Normal 10 5 10 2 3" xfId="14389" xr:uid="{00000000-0005-0000-0000-000033A30000}"/>
    <cellStyle name="Normal 10 5 10 2 4" xfId="19865" xr:uid="{00000000-0005-0000-0000-000034A30000}"/>
    <cellStyle name="Normal 10 5 10 2 5" xfId="25341" xr:uid="{00000000-0005-0000-0000-000035A30000}"/>
    <cellStyle name="Normal 10 5 10 2 6" xfId="37137" xr:uid="{00000000-0005-0000-0000-000036A30000}"/>
    <cellStyle name="Normal 10 5 10 2 7" xfId="42614" xr:uid="{00000000-0005-0000-0000-000037A30000}"/>
    <cellStyle name="Normal 10 5 10 2 8" xfId="48091" xr:uid="{00000000-0005-0000-0000-000038A30000}"/>
    <cellStyle name="Normal 10 5 10 2 9" xfId="53609" xr:uid="{00000000-0005-0000-0000-000039A30000}"/>
    <cellStyle name="Normal 10 5 10 3" xfId="5205" xr:uid="{00000000-0005-0000-0000-00003AA30000}"/>
    <cellStyle name="Normal 10 5 10 3 2" xfId="10685" xr:uid="{00000000-0005-0000-0000-00003BA30000}"/>
    <cellStyle name="Normal 10 5 10 3 3" xfId="16161" xr:uid="{00000000-0005-0000-0000-00003CA30000}"/>
    <cellStyle name="Normal 10 5 10 3 4" xfId="21637" xr:uid="{00000000-0005-0000-0000-00003DA30000}"/>
    <cellStyle name="Normal 10 5 10 3 5" xfId="27113" xr:uid="{00000000-0005-0000-0000-00003EA30000}"/>
    <cellStyle name="Normal 10 5 10 3 6" xfId="38909" xr:uid="{00000000-0005-0000-0000-00003FA30000}"/>
    <cellStyle name="Normal 10 5 10 3 7" xfId="44386" xr:uid="{00000000-0005-0000-0000-000040A30000}"/>
    <cellStyle name="Normal 10 5 10 3 8" xfId="49863" xr:uid="{00000000-0005-0000-0000-000041A30000}"/>
    <cellStyle name="Normal 10 5 10 3 9" xfId="55381" xr:uid="{00000000-0005-0000-0000-000042A30000}"/>
    <cellStyle name="Normal 10 5 10 4" xfId="6907" xr:uid="{00000000-0005-0000-0000-000043A30000}"/>
    <cellStyle name="Normal 10 5 10 5" xfId="12387" xr:uid="{00000000-0005-0000-0000-000044A30000}"/>
    <cellStyle name="Normal 10 5 10 6" xfId="17863" xr:uid="{00000000-0005-0000-0000-000045A30000}"/>
    <cellStyle name="Normal 10 5 10 7" xfId="23339" xr:uid="{00000000-0005-0000-0000-000046A30000}"/>
    <cellStyle name="Normal 10 5 10 8" xfId="35134" xr:uid="{00000000-0005-0000-0000-000047A30000}"/>
    <cellStyle name="Normal 10 5 10 9" xfId="40611" xr:uid="{00000000-0005-0000-0000-000048A30000}"/>
    <cellStyle name="Normal 10 5 11" xfId="1865" xr:uid="{00000000-0005-0000-0000-000049A30000}"/>
    <cellStyle name="Normal 10 5 11 10" xfId="46089" xr:uid="{00000000-0005-0000-0000-00004AA30000}"/>
    <cellStyle name="Normal 10 5 11 11" xfId="51568" xr:uid="{00000000-0005-0000-0000-00004BA30000}"/>
    <cellStyle name="Normal 10 5 11 2" xfId="3626" xr:uid="{00000000-0005-0000-0000-00004CA30000}"/>
    <cellStyle name="Normal 10 5 11 2 2" xfId="9106" xr:uid="{00000000-0005-0000-0000-00004DA30000}"/>
    <cellStyle name="Normal 10 5 11 2 3" xfId="14582" xr:uid="{00000000-0005-0000-0000-00004EA30000}"/>
    <cellStyle name="Normal 10 5 11 2 4" xfId="20058" xr:uid="{00000000-0005-0000-0000-00004FA30000}"/>
    <cellStyle name="Normal 10 5 11 2 5" xfId="25534" xr:uid="{00000000-0005-0000-0000-000050A30000}"/>
    <cellStyle name="Normal 10 5 11 2 6" xfId="37330" xr:uid="{00000000-0005-0000-0000-000051A30000}"/>
    <cellStyle name="Normal 10 5 11 2 7" xfId="42807" xr:uid="{00000000-0005-0000-0000-000052A30000}"/>
    <cellStyle name="Normal 10 5 11 2 8" xfId="48284" xr:uid="{00000000-0005-0000-0000-000053A30000}"/>
    <cellStyle name="Normal 10 5 11 2 9" xfId="53802" xr:uid="{00000000-0005-0000-0000-000054A30000}"/>
    <cellStyle name="Normal 10 5 11 3" xfId="5398" xr:uid="{00000000-0005-0000-0000-000055A30000}"/>
    <cellStyle name="Normal 10 5 11 3 2" xfId="10878" xr:uid="{00000000-0005-0000-0000-000056A30000}"/>
    <cellStyle name="Normal 10 5 11 3 3" xfId="16354" xr:uid="{00000000-0005-0000-0000-000057A30000}"/>
    <cellStyle name="Normal 10 5 11 3 4" xfId="21830" xr:uid="{00000000-0005-0000-0000-000058A30000}"/>
    <cellStyle name="Normal 10 5 11 3 5" xfId="27306" xr:uid="{00000000-0005-0000-0000-000059A30000}"/>
    <cellStyle name="Normal 10 5 11 3 6" xfId="39102" xr:uid="{00000000-0005-0000-0000-00005AA30000}"/>
    <cellStyle name="Normal 10 5 11 3 7" xfId="44579" xr:uid="{00000000-0005-0000-0000-00005BA30000}"/>
    <cellStyle name="Normal 10 5 11 3 8" xfId="50056" xr:uid="{00000000-0005-0000-0000-00005CA30000}"/>
    <cellStyle name="Normal 10 5 11 3 9" xfId="55574" xr:uid="{00000000-0005-0000-0000-00005DA30000}"/>
    <cellStyle name="Normal 10 5 11 4" xfId="6908" xr:uid="{00000000-0005-0000-0000-00005EA30000}"/>
    <cellStyle name="Normal 10 5 11 5" xfId="12388" xr:uid="{00000000-0005-0000-0000-00005FA30000}"/>
    <cellStyle name="Normal 10 5 11 6" xfId="17864" xr:uid="{00000000-0005-0000-0000-000060A30000}"/>
    <cellStyle name="Normal 10 5 11 7" xfId="23340" xr:uid="{00000000-0005-0000-0000-000061A30000}"/>
    <cellStyle name="Normal 10 5 11 8" xfId="35135" xr:uid="{00000000-0005-0000-0000-000062A30000}"/>
    <cellStyle name="Normal 10 5 11 9" xfId="40612" xr:uid="{00000000-0005-0000-0000-000063A30000}"/>
    <cellStyle name="Normal 10 5 12" xfId="2034" xr:uid="{00000000-0005-0000-0000-000064A30000}"/>
    <cellStyle name="Normal 10 5 12 10" xfId="52211" xr:uid="{00000000-0005-0000-0000-000065A30000}"/>
    <cellStyle name="Normal 10 5 12 2" xfId="5566" xr:uid="{00000000-0005-0000-0000-000066A30000}"/>
    <cellStyle name="Normal 10 5 12 2 2" xfId="11046" xr:uid="{00000000-0005-0000-0000-000067A30000}"/>
    <cellStyle name="Normal 10 5 12 2 3" xfId="16522" xr:uid="{00000000-0005-0000-0000-000068A30000}"/>
    <cellStyle name="Normal 10 5 12 2 4" xfId="21998" xr:uid="{00000000-0005-0000-0000-000069A30000}"/>
    <cellStyle name="Normal 10 5 12 2 5" xfId="27474" xr:uid="{00000000-0005-0000-0000-00006AA30000}"/>
    <cellStyle name="Normal 10 5 12 2 6" xfId="39270" xr:uid="{00000000-0005-0000-0000-00006BA30000}"/>
    <cellStyle name="Normal 10 5 12 2 7" xfId="44747" xr:uid="{00000000-0005-0000-0000-00006CA30000}"/>
    <cellStyle name="Normal 10 5 12 2 8" xfId="50224" xr:uid="{00000000-0005-0000-0000-00006DA30000}"/>
    <cellStyle name="Normal 10 5 12 2 9" xfId="55742" xr:uid="{00000000-0005-0000-0000-00006EA30000}"/>
    <cellStyle name="Normal 10 5 12 3" xfId="7515" xr:uid="{00000000-0005-0000-0000-00006FA30000}"/>
    <cellStyle name="Normal 10 5 12 4" xfId="12991" xr:uid="{00000000-0005-0000-0000-000070A30000}"/>
    <cellStyle name="Normal 10 5 12 5" xfId="18467" xr:uid="{00000000-0005-0000-0000-000071A30000}"/>
    <cellStyle name="Normal 10 5 12 6" xfId="23943" xr:uid="{00000000-0005-0000-0000-000072A30000}"/>
    <cellStyle name="Normal 10 5 12 7" xfId="35739" xr:uid="{00000000-0005-0000-0000-000073A30000}"/>
    <cellStyle name="Normal 10 5 12 8" xfId="41216" xr:uid="{00000000-0005-0000-0000-000074A30000}"/>
    <cellStyle name="Normal 10 5 12 9" xfId="46693" xr:uid="{00000000-0005-0000-0000-000075A30000}"/>
    <cellStyle name="Normal 10 5 13" xfId="3748" xr:uid="{00000000-0005-0000-0000-000076A30000}"/>
    <cellStyle name="Normal 10 5 13 2" xfId="9228" xr:uid="{00000000-0005-0000-0000-000077A30000}"/>
    <cellStyle name="Normal 10 5 13 3" xfId="14704" xr:uid="{00000000-0005-0000-0000-000078A30000}"/>
    <cellStyle name="Normal 10 5 13 4" xfId="20180" xr:uid="{00000000-0005-0000-0000-000079A30000}"/>
    <cellStyle name="Normal 10 5 13 5" xfId="25656" xr:uid="{00000000-0005-0000-0000-00007AA30000}"/>
    <cellStyle name="Normal 10 5 13 6" xfId="37452" xr:uid="{00000000-0005-0000-0000-00007BA30000}"/>
    <cellStyle name="Normal 10 5 13 7" xfId="42929" xr:uid="{00000000-0005-0000-0000-00007CA30000}"/>
    <cellStyle name="Normal 10 5 13 8" xfId="48406" xr:uid="{00000000-0005-0000-0000-00007DA30000}"/>
    <cellStyle name="Normal 10 5 13 9" xfId="53924" xr:uid="{00000000-0005-0000-0000-00007EA30000}"/>
    <cellStyle name="Normal 10 5 14" xfId="6906" xr:uid="{00000000-0005-0000-0000-00007FA30000}"/>
    <cellStyle name="Normal 10 5 15" xfId="12386" xr:uid="{00000000-0005-0000-0000-000080A30000}"/>
    <cellStyle name="Normal 10 5 16" xfId="17862" xr:uid="{00000000-0005-0000-0000-000081A30000}"/>
    <cellStyle name="Normal 10 5 17" xfId="23338" xr:uid="{00000000-0005-0000-0000-000082A30000}"/>
    <cellStyle name="Normal 10 5 18" xfId="32909" xr:uid="{00000000-0005-0000-0000-000083A30000}"/>
    <cellStyle name="Normal 10 5 19" xfId="35133" xr:uid="{00000000-0005-0000-0000-000084A30000}"/>
    <cellStyle name="Normal 10 5 2" xfId="268" xr:uid="{00000000-0005-0000-0000-000085A30000}"/>
    <cellStyle name="Normal 10 5 2 10" xfId="1866" xr:uid="{00000000-0005-0000-0000-000086A30000}"/>
    <cellStyle name="Normal 10 5 2 10 10" xfId="46091" xr:uid="{00000000-0005-0000-0000-000087A30000}"/>
    <cellStyle name="Normal 10 5 2 10 11" xfId="51570" xr:uid="{00000000-0005-0000-0000-000088A30000}"/>
    <cellStyle name="Normal 10 5 2 10 2" xfId="3627" xr:uid="{00000000-0005-0000-0000-000089A30000}"/>
    <cellStyle name="Normal 10 5 2 10 2 2" xfId="9107" xr:uid="{00000000-0005-0000-0000-00008AA30000}"/>
    <cellStyle name="Normal 10 5 2 10 2 3" xfId="14583" xr:uid="{00000000-0005-0000-0000-00008BA30000}"/>
    <cellStyle name="Normal 10 5 2 10 2 4" xfId="20059" xr:uid="{00000000-0005-0000-0000-00008CA30000}"/>
    <cellStyle name="Normal 10 5 2 10 2 5" xfId="25535" xr:uid="{00000000-0005-0000-0000-00008DA30000}"/>
    <cellStyle name="Normal 10 5 2 10 2 6" xfId="37331" xr:uid="{00000000-0005-0000-0000-00008EA30000}"/>
    <cellStyle name="Normal 10 5 2 10 2 7" xfId="42808" xr:uid="{00000000-0005-0000-0000-00008FA30000}"/>
    <cellStyle name="Normal 10 5 2 10 2 8" xfId="48285" xr:uid="{00000000-0005-0000-0000-000090A30000}"/>
    <cellStyle name="Normal 10 5 2 10 2 9" xfId="53803" xr:uid="{00000000-0005-0000-0000-000091A30000}"/>
    <cellStyle name="Normal 10 5 2 10 3" xfId="5399" xr:uid="{00000000-0005-0000-0000-000092A30000}"/>
    <cellStyle name="Normal 10 5 2 10 3 2" xfId="10879" xr:uid="{00000000-0005-0000-0000-000093A30000}"/>
    <cellStyle name="Normal 10 5 2 10 3 3" xfId="16355" xr:uid="{00000000-0005-0000-0000-000094A30000}"/>
    <cellStyle name="Normal 10 5 2 10 3 4" xfId="21831" xr:uid="{00000000-0005-0000-0000-000095A30000}"/>
    <cellStyle name="Normal 10 5 2 10 3 5" xfId="27307" xr:uid="{00000000-0005-0000-0000-000096A30000}"/>
    <cellStyle name="Normal 10 5 2 10 3 6" xfId="39103" xr:uid="{00000000-0005-0000-0000-000097A30000}"/>
    <cellStyle name="Normal 10 5 2 10 3 7" xfId="44580" xr:uid="{00000000-0005-0000-0000-000098A30000}"/>
    <cellStyle name="Normal 10 5 2 10 3 8" xfId="50057" xr:uid="{00000000-0005-0000-0000-000099A30000}"/>
    <cellStyle name="Normal 10 5 2 10 3 9" xfId="55575" xr:uid="{00000000-0005-0000-0000-00009AA30000}"/>
    <cellStyle name="Normal 10 5 2 10 4" xfId="6910" xr:uid="{00000000-0005-0000-0000-00009BA30000}"/>
    <cellStyle name="Normal 10 5 2 10 5" xfId="12390" xr:uid="{00000000-0005-0000-0000-00009CA30000}"/>
    <cellStyle name="Normal 10 5 2 10 6" xfId="17866" xr:uid="{00000000-0005-0000-0000-00009DA30000}"/>
    <cellStyle name="Normal 10 5 2 10 7" xfId="23342" xr:uid="{00000000-0005-0000-0000-00009EA30000}"/>
    <cellStyle name="Normal 10 5 2 10 8" xfId="35137" xr:uid="{00000000-0005-0000-0000-00009FA30000}"/>
    <cellStyle name="Normal 10 5 2 10 9" xfId="40614" xr:uid="{00000000-0005-0000-0000-0000A0A30000}"/>
    <cellStyle name="Normal 10 5 2 11" xfId="2035" xr:uid="{00000000-0005-0000-0000-0000A1A30000}"/>
    <cellStyle name="Normal 10 5 2 11 10" xfId="52212" xr:uid="{00000000-0005-0000-0000-0000A2A30000}"/>
    <cellStyle name="Normal 10 5 2 11 2" xfId="5567" xr:uid="{00000000-0005-0000-0000-0000A3A30000}"/>
    <cellStyle name="Normal 10 5 2 11 2 2" xfId="11047" xr:uid="{00000000-0005-0000-0000-0000A4A30000}"/>
    <cellStyle name="Normal 10 5 2 11 2 3" xfId="16523" xr:uid="{00000000-0005-0000-0000-0000A5A30000}"/>
    <cellStyle name="Normal 10 5 2 11 2 4" xfId="21999" xr:uid="{00000000-0005-0000-0000-0000A6A30000}"/>
    <cellStyle name="Normal 10 5 2 11 2 5" xfId="27475" xr:uid="{00000000-0005-0000-0000-0000A7A30000}"/>
    <cellStyle name="Normal 10 5 2 11 2 6" xfId="39271" xr:uid="{00000000-0005-0000-0000-0000A8A30000}"/>
    <cellStyle name="Normal 10 5 2 11 2 7" xfId="44748" xr:uid="{00000000-0005-0000-0000-0000A9A30000}"/>
    <cellStyle name="Normal 10 5 2 11 2 8" xfId="50225" xr:uid="{00000000-0005-0000-0000-0000AAA30000}"/>
    <cellStyle name="Normal 10 5 2 11 2 9" xfId="55743" xr:uid="{00000000-0005-0000-0000-0000ABA30000}"/>
    <cellStyle name="Normal 10 5 2 11 3" xfId="7516" xr:uid="{00000000-0005-0000-0000-0000ACA30000}"/>
    <cellStyle name="Normal 10 5 2 11 4" xfId="12992" xr:uid="{00000000-0005-0000-0000-0000ADA30000}"/>
    <cellStyle name="Normal 10 5 2 11 5" xfId="18468" xr:uid="{00000000-0005-0000-0000-0000AEA30000}"/>
    <cellStyle name="Normal 10 5 2 11 6" xfId="23944" xr:uid="{00000000-0005-0000-0000-0000AFA30000}"/>
    <cellStyle name="Normal 10 5 2 11 7" xfId="35740" xr:uid="{00000000-0005-0000-0000-0000B0A30000}"/>
    <cellStyle name="Normal 10 5 2 11 8" xfId="41217" xr:uid="{00000000-0005-0000-0000-0000B1A30000}"/>
    <cellStyle name="Normal 10 5 2 11 9" xfId="46694" xr:uid="{00000000-0005-0000-0000-0000B2A30000}"/>
    <cellStyle name="Normal 10 5 2 12" xfId="3834" xr:uid="{00000000-0005-0000-0000-0000B3A30000}"/>
    <cellStyle name="Normal 10 5 2 12 2" xfId="9314" xr:uid="{00000000-0005-0000-0000-0000B4A30000}"/>
    <cellStyle name="Normal 10 5 2 12 3" xfId="14790" xr:uid="{00000000-0005-0000-0000-0000B5A30000}"/>
    <cellStyle name="Normal 10 5 2 12 4" xfId="20266" xr:uid="{00000000-0005-0000-0000-0000B6A30000}"/>
    <cellStyle name="Normal 10 5 2 12 5" xfId="25742" xr:uid="{00000000-0005-0000-0000-0000B7A30000}"/>
    <cellStyle name="Normal 10 5 2 12 6" xfId="37538" xr:uid="{00000000-0005-0000-0000-0000B8A30000}"/>
    <cellStyle name="Normal 10 5 2 12 7" xfId="43015" xr:uid="{00000000-0005-0000-0000-0000B9A30000}"/>
    <cellStyle name="Normal 10 5 2 12 8" xfId="48492" xr:uid="{00000000-0005-0000-0000-0000BAA30000}"/>
    <cellStyle name="Normal 10 5 2 12 9" xfId="54010" xr:uid="{00000000-0005-0000-0000-0000BBA30000}"/>
    <cellStyle name="Normal 10 5 2 13" xfId="6909" xr:uid="{00000000-0005-0000-0000-0000BCA30000}"/>
    <cellStyle name="Normal 10 5 2 14" xfId="12389" xr:uid="{00000000-0005-0000-0000-0000BDA30000}"/>
    <cellStyle name="Normal 10 5 2 15" xfId="17865" xr:uid="{00000000-0005-0000-0000-0000BEA30000}"/>
    <cellStyle name="Normal 10 5 2 16" xfId="23341" xr:uid="{00000000-0005-0000-0000-0000BFA30000}"/>
    <cellStyle name="Normal 10 5 2 17" xfId="32910" xr:uid="{00000000-0005-0000-0000-0000C0A30000}"/>
    <cellStyle name="Normal 10 5 2 18" xfId="35136" xr:uid="{00000000-0005-0000-0000-0000C1A30000}"/>
    <cellStyle name="Normal 10 5 2 19" xfId="40613" xr:uid="{00000000-0005-0000-0000-0000C2A30000}"/>
    <cellStyle name="Normal 10 5 2 2" xfId="430" xr:uid="{00000000-0005-0000-0000-0000C3A30000}"/>
    <cellStyle name="Normal 10 5 2 2 10" xfId="40615" xr:uid="{00000000-0005-0000-0000-0000C4A30000}"/>
    <cellStyle name="Normal 10 5 2 2 11" xfId="46092" xr:uid="{00000000-0005-0000-0000-0000C5A30000}"/>
    <cellStyle name="Normal 10 5 2 2 12" xfId="51571" xr:uid="{00000000-0005-0000-0000-0000C6A30000}"/>
    <cellStyle name="Normal 10 5 2 2 2" xfId="2196" xr:uid="{00000000-0005-0000-0000-0000C7A30000}"/>
    <cellStyle name="Normal 10 5 2 2 2 2" xfId="7676" xr:uid="{00000000-0005-0000-0000-0000C8A30000}"/>
    <cellStyle name="Normal 10 5 2 2 2 3" xfId="13152" xr:uid="{00000000-0005-0000-0000-0000C9A30000}"/>
    <cellStyle name="Normal 10 5 2 2 2 4" xfId="18628" xr:uid="{00000000-0005-0000-0000-0000CAA30000}"/>
    <cellStyle name="Normal 10 5 2 2 2 5" xfId="24104" xr:uid="{00000000-0005-0000-0000-0000CBA30000}"/>
    <cellStyle name="Normal 10 5 2 2 2 6" xfId="35900" xr:uid="{00000000-0005-0000-0000-0000CCA30000}"/>
    <cellStyle name="Normal 10 5 2 2 2 7" xfId="41377" xr:uid="{00000000-0005-0000-0000-0000CDA30000}"/>
    <cellStyle name="Normal 10 5 2 2 2 8" xfId="46854" xr:uid="{00000000-0005-0000-0000-0000CEA30000}"/>
    <cellStyle name="Normal 10 5 2 2 2 9" xfId="52372" xr:uid="{00000000-0005-0000-0000-0000CFA30000}"/>
    <cellStyle name="Normal 10 5 2 2 3" xfId="3968" xr:uid="{00000000-0005-0000-0000-0000D0A30000}"/>
    <cellStyle name="Normal 10 5 2 2 3 2" xfId="9448" xr:uid="{00000000-0005-0000-0000-0000D1A30000}"/>
    <cellStyle name="Normal 10 5 2 2 3 3" xfId="14924" xr:uid="{00000000-0005-0000-0000-0000D2A30000}"/>
    <cellStyle name="Normal 10 5 2 2 3 4" xfId="20400" xr:uid="{00000000-0005-0000-0000-0000D3A30000}"/>
    <cellStyle name="Normal 10 5 2 2 3 5" xfId="25876" xr:uid="{00000000-0005-0000-0000-0000D4A30000}"/>
    <cellStyle name="Normal 10 5 2 2 3 6" xfId="37672" xr:uid="{00000000-0005-0000-0000-0000D5A30000}"/>
    <cellStyle name="Normal 10 5 2 2 3 7" xfId="43149" xr:uid="{00000000-0005-0000-0000-0000D6A30000}"/>
    <cellStyle name="Normal 10 5 2 2 3 8" xfId="48626" xr:uid="{00000000-0005-0000-0000-0000D7A30000}"/>
    <cellStyle name="Normal 10 5 2 2 3 9" xfId="54144" xr:uid="{00000000-0005-0000-0000-0000D8A30000}"/>
    <cellStyle name="Normal 10 5 2 2 4" xfId="6911" xr:uid="{00000000-0005-0000-0000-0000D9A30000}"/>
    <cellStyle name="Normal 10 5 2 2 5" xfId="12391" xr:uid="{00000000-0005-0000-0000-0000DAA30000}"/>
    <cellStyle name="Normal 10 5 2 2 6" xfId="17867" xr:uid="{00000000-0005-0000-0000-0000DBA30000}"/>
    <cellStyle name="Normal 10 5 2 2 7" xfId="23343" xr:uid="{00000000-0005-0000-0000-0000DCA30000}"/>
    <cellStyle name="Normal 10 5 2 2 8" xfId="32911" xr:uid="{00000000-0005-0000-0000-0000DDA30000}"/>
    <cellStyle name="Normal 10 5 2 2 9" xfId="35138" xr:uid="{00000000-0005-0000-0000-0000DEA30000}"/>
    <cellStyle name="Normal 10 5 2 20" xfId="46090" xr:uid="{00000000-0005-0000-0000-0000DFA30000}"/>
    <cellStyle name="Normal 10 5 2 21" xfId="51569" xr:uid="{00000000-0005-0000-0000-0000E0A30000}"/>
    <cellStyle name="Normal 10 5 2 3" xfId="607" xr:uid="{00000000-0005-0000-0000-0000E1A30000}"/>
    <cellStyle name="Normal 10 5 2 3 10" xfId="46093" xr:uid="{00000000-0005-0000-0000-0000E2A30000}"/>
    <cellStyle name="Normal 10 5 2 3 11" xfId="51572" xr:uid="{00000000-0005-0000-0000-0000E3A30000}"/>
    <cellStyle name="Normal 10 5 2 3 2" xfId="2368" xr:uid="{00000000-0005-0000-0000-0000E4A30000}"/>
    <cellStyle name="Normal 10 5 2 3 2 2" xfId="7848" xr:uid="{00000000-0005-0000-0000-0000E5A30000}"/>
    <cellStyle name="Normal 10 5 2 3 2 3" xfId="13324" xr:uid="{00000000-0005-0000-0000-0000E6A30000}"/>
    <cellStyle name="Normal 10 5 2 3 2 4" xfId="18800" xr:uid="{00000000-0005-0000-0000-0000E7A30000}"/>
    <cellStyle name="Normal 10 5 2 3 2 5" xfId="24276" xr:uid="{00000000-0005-0000-0000-0000E8A30000}"/>
    <cellStyle name="Normal 10 5 2 3 2 6" xfId="36072" xr:uid="{00000000-0005-0000-0000-0000E9A30000}"/>
    <cellStyle name="Normal 10 5 2 3 2 7" xfId="41549" xr:uid="{00000000-0005-0000-0000-0000EAA30000}"/>
    <cellStyle name="Normal 10 5 2 3 2 8" xfId="47026" xr:uid="{00000000-0005-0000-0000-0000EBA30000}"/>
    <cellStyle name="Normal 10 5 2 3 2 9" xfId="52544" xr:uid="{00000000-0005-0000-0000-0000ECA30000}"/>
    <cellStyle name="Normal 10 5 2 3 3" xfId="4140" xr:uid="{00000000-0005-0000-0000-0000EDA30000}"/>
    <cellStyle name="Normal 10 5 2 3 3 2" xfId="9620" xr:uid="{00000000-0005-0000-0000-0000EEA30000}"/>
    <cellStyle name="Normal 10 5 2 3 3 3" xfId="15096" xr:uid="{00000000-0005-0000-0000-0000EFA30000}"/>
    <cellStyle name="Normal 10 5 2 3 3 4" xfId="20572" xr:uid="{00000000-0005-0000-0000-0000F0A30000}"/>
    <cellStyle name="Normal 10 5 2 3 3 5" xfId="26048" xr:uid="{00000000-0005-0000-0000-0000F1A30000}"/>
    <cellStyle name="Normal 10 5 2 3 3 6" xfId="37844" xr:uid="{00000000-0005-0000-0000-0000F2A30000}"/>
    <cellStyle name="Normal 10 5 2 3 3 7" xfId="43321" xr:uid="{00000000-0005-0000-0000-0000F3A30000}"/>
    <cellStyle name="Normal 10 5 2 3 3 8" xfId="48798" xr:uid="{00000000-0005-0000-0000-0000F4A30000}"/>
    <cellStyle name="Normal 10 5 2 3 3 9" xfId="54316" xr:uid="{00000000-0005-0000-0000-0000F5A30000}"/>
    <cellStyle name="Normal 10 5 2 3 4" xfId="6912" xr:uid="{00000000-0005-0000-0000-0000F6A30000}"/>
    <cellStyle name="Normal 10 5 2 3 5" xfId="12392" xr:uid="{00000000-0005-0000-0000-0000F7A30000}"/>
    <cellStyle name="Normal 10 5 2 3 6" xfId="17868" xr:uid="{00000000-0005-0000-0000-0000F8A30000}"/>
    <cellStyle name="Normal 10 5 2 3 7" xfId="23344" xr:uid="{00000000-0005-0000-0000-0000F9A30000}"/>
    <cellStyle name="Normal 10 5 2 3 8" xfId="35139" xr:uid="{00000000-0005-0000-0000-0000FAA30000}"/>
    <cellStyle name="Normal 10 5 2 3 9" xfId="40616" xr:uid="{00000000-0005-0000-0000-0000FBA30000}"/>
    <cellStyle name="Normal 10 5 2 4" xfId="779" xr:uid="{00000000-0005-0000-0000-0000FCA30000}"/>
    <cellStyle name="Normal 10 5 2 4 10" xfId="46094" xr:uid="{00000000-0005-0000-0000-0000FDA30000}"/>
    <cellStyle name="Normal 10 5 2 4 11" xfId="51573" xr:uid="{00000000-0005-0000-0000-0000FEA30000}"/>
    <cellStyle name="Normal 10 5 2 4 2" xfId="2540" xr:uid="{00000000-0005-0000-0000-0000FFA30000}"/>
    <cellStyle name="Normal 10 5 2 4 2 2" xfId="8020" xr:uid="{00000000-0005-0000-0000-000000A40000}"/>
    <cellStyle name="Normal 10 5 2 4 2 3" xfId="13496" xr:uid="{00000000-0005-0000-0000-000001A40000}"/>
    <cellStyle name="Normal 10 5 2 4 2 4" xfId="18972" xr:uid="{00000000-0005-0000-0000-000002A40000}"/>
    <cellStyle name="Normal 10 5 2 4 2 5" xfId="24448" xr:uid="{00000000-0005-0000-0000-000003A40000}"/>
    <cellStyle name="Normal 10 5 2 4 2 6" xfId="36244" xr:uid="{00000000-0005-0000-0000-000004A40000}"/>
    <cellStyle name="Normal 10 5 2 4 2 7" xfId="41721" xr:uid="{00000000-0005-0000-0000-000005A40000}"/>
    <cellStyle name="Normal 10 5 2 4 2 8" xfId="47198" xr:uid="{00000000-0005-0000-0000-000006A40000}"/>
    <cellStyle name="Normal 10 5 2 4 2 9" xfId="52716" xr:uid="{00000000-0005-0000-0000-000007A40000}"/>
    <cellStyle name="Normal 10 5 2 4 3" xfId="4312" xr:uid="{00000000-0005-0000-0000-000008A40000}"/>
    <cellStyle name="Normal 10 5 2 4 3 2" xfId="9792" xr:uid="{00000000-0005-0000-0000-000009A40000}"/>
    <cellStyle name="Normal 10 5 2 4 3 3" xfId="15268" xr:uid="{00000000-0005-0000-0000-00000AA40000}"/>
    <cellStyle name="Normal 10 5 2 4 3 4" xfId="20744" xr:uid="{00000000-0005-0000-0000-00000BA40000}"/>
    <cellStyle name="Normal 10 5 2 4 3 5" xfId="26220" xr:uid="{00000000-0005-0000-0000-00000CA40000}"/>
    <cellStyle name="Normal 10 5 2 4 3 6" xfId="38016" xr:uid="{00000000-0005-0000-0000-00000DA40000}"/>
    <cellStyle name="Normal 10 5 2 4 3 7" xfId="43493" xr:uid="{00000000-0005-0000-0000-00000EA40000}"/>
    <cellStyle name="Normal 10 5 2 4 3 8" xfId="48970" xr:uid="{00000000-0005-0000-0000-00000FA40000}"/>
    <cellStyle name="Normal 10 5 2 4 3 9" xfId="54488" xr:uid="{00000000-0005-0000-0000-000010A40000}"/>
    <cellStyle name="Normal 10 5 2 4 4" xfId="6913" xr:uid="{00000000-0005-0000-0000-000011A40000}"/>
    <cellStyle name="Normal 10 5 2 4 5" xfId="12393" xr:uid="{00000000-0005-0000-0000-000012A40000}"/>
    <cellStyle name="Normal 10 5 2 4 6" xfId="17869" xr:uid="{00000000-0005-0000-0000-000013A40000}"/>
    <cellStyle name="Normal 10 5 2 4 7" xfId="23345" xr:uid="{00000000-0005-0000-0000-000014A40000}"/>
    <cellStyle name="Normal 10 5 2 4 8" xfId="35140" xr:uid="{00000000-0005-0000-0000-000015A40000}"/>
    <cellStyle name="Normal 10 5 2 4 9" xfId="40617" xr:uid="{00000000-0005-0000-0000-000016A40000}"/>
    <cellStyle name="Normal 10 5 2 5" xfId="951" xr:uid="{00000000-0005-0000-0000-000017A40000}"/>
    <cellStyle name="Normal 10 5 2 5 10" xfId="46095" xr:uid="{00000000-0005-0000-0000-000018A40000}"/>
    <cellStyle name="Normal 10 5 2 5 11" xfId="51574" xr:uid="{00000000-0005-0000-0000-000019A40000}"/>
    <cellStyle name="Normal 10 5 2 5 2" xfId="2712" xr:uid="{00000000-0005-0000-0000-00001AA40000}"/>
    <cellStyle name="Normal 10 5 2 5 2 2" xfId="8192" xr:uid="{00000000-0005-0000-0000-00001BA40000}"/>
    <cellStyle name="Normal 10 5 2 5 2 3" xfId="13668" xr:uid="{00000000-0005-0000-0000-00001CA40000}"/>
    <cellStyle name="Normal 10 5 2 5 2 4" xfId="19144" xr:uid="{00000000-0005-0000-0000-00001DA40000}"/>
    <cellStyle name="Normal 10 5 2 5 2 5" xfId="24620" xr:uid="{00000000-0005-0000-0000-00001EA40000}"/>
    <cellStyle name="Normal 10 5 2 5 2 6" xfId="36416" xr:uid="{00000000-0005-0000-0000-00001FA40000}"/>
    <cellStyle name="Normal 10 5 2 5 2 7" xfId="41893" xr:uid="{00000000-0005-0000-0000-000020A40000}"/>
    <cellStyle name="Normal 10 5 2 5 2 8" xfId="47370" xr:uid="{00000000-0005-0000-0000-000021A40000}"/>
    <cellStyle name="Normal 10 5 2 5 2 9" xfId="52888" xr:uid="{00000000-0005-0000-0000-000022A40000}"/>
    <cellStyle name="Normal 10 5 2 5 3" xfId="4484" xr:uid="{00000000-0005-0000-0000-000023A40000}"/>
    <cellStyle name="Normal 10 5 2 5 3 2" xfId="9964" xr:uid="{00000000-0005-0000-0000-000024A40000}"/>
    <cellStyle name="Normal 10 5 2 5 3 3" xfId="15440" xr:uid="{00000000-0005-0000-0000-000025A40000}"/>
    <cellStyle name="Normal 10 5 2 5 3 4" xfId="20916" xr:uid="{00000000-0005-0000-0000-000026A40000}"/>
    <cellStyle name="Normal 10 5 2 5 3 5" xfId="26392" xr:uid="{00000000-0005-0000-0000-000027A40000}"/>
    <cellStyle name="Normal 10 5 2 5 3 6" xfId="38188" xr:uid="{00000000-0005-0000-0000-000028A40000}"/>
    <cellStyle name="Normal 10 5 2 5 3 7" xfId="43665" xr:uid="{00000000-0005-0000-0000-000029A40000}"/>
    <cellStyle name="Normal 10 5 2 5 3 8" xfId="49142" xr:uid="{00000000-0005-0000-0000-00002AA40000}"/>
    <cellStyle name="Normal 10 5 2 5 3 9" xfId="54660" xr:uid="{00000000-0005-0000-0000-00002BA40000}"/>
    <cellStyle name="Normal 10 5 2 5 4" xfId="6914" xr:uid="{00000000-0005-0000-0000-00002CA40000}"/>
    <cellStyle name="Normal 10 5 2 5 5" xfId="12394" xr:uid="{00000000-0005-0000-0000-00002DA40000}"/>
    <cellStyle name="Normal 10 5 2 5 6" xfId="17870" xr:uid="{00000000-0005-0000-0000-00002EA40000}"/>
    <cellStyle name="Normal 10 5 2 5 7" xfId="23346" xr:uid="{00000000-0005-0000-0000-00002FA40000}"/>
    <cellStyle name="Normal 10 5 2 5 8" xfId="35141" xr:uid="{00000000-0005-0000-0000-000030A40000}"/>
    <cellStyle name="Normal 10 5 2 5 9" xfId="40618" xr:uid="{00000000-0005-0000-0000-000031A40000}"/>
    <cellStyle name="Normal 10 5 2 6" xfId="1157" xr:uid="{00000000-0005-0000-0000-000032A40000}"/>
    <cellStyle name="Normal 10 5 2 6 10" xfId="46096" xr:uid="{00000000-0005-0000-0000-000033A40000}"/>
    <cellStyle name="Normal 10 5 2 6 11" xfId="51575" xr:uid="{00000000-0005-0000-0000-000034A40000}"/>
    <cellStyle name="Normal 10 5 2 6 2" xfId="2918" xr:uid="{00000000-0005-0000-0000-000035A40000}"/>
    <cellStyle name="Normal 10 5 2 6 2 2" xfId="8398" xr:uid="{00000000-0005-0000-0000-000036A40000}"/>
    <cellStyle name="Normal 10 5 2 6 2 3" xfId="13874" xr:uid="{00000000-0005-0000-0000-000037A40000}"/>
    <cellStyle name="Normal 10 5 2 6 2 4" xfId="19350" xr:uid="{00000000-0005-0000-0000-000038A40000}"/>
    <cellStyle name="Normal 10 5 2 6 2 5" xfId="24826" xr:uid="{00000000-0005-0000-0000-000039A40000}"/>
    <cellStyle name="Normal 10 5 2 6 2 6" xfId="36622" xr:uid="{00000000-0005-0000-0000-00003AA40000}"/>
    <cellStyle name="Normal 10 5 2 6 2 7" xfId="42099" xr:uid="{00000000-0005-0000-0000-00003BA40000}"/>
    <cellStyle name="Normal 10 5 2 6 2 8" xfId="47576" xr:uid="{00000000-0005-0000-0000-00003CA40000}"/>
    <cellStyle name="Normal 10 5 2 6 2 9" xfId="53094" xr:uid="{00000000-0005-0000-0000-00003DA40000}"/>
    <cellStyle name="Normal 10 5 2 6 3" xfId="4690" xr:uid="{00000000-0005-0000-0000-00003EA40000}"/>
    <cellStyle name="Normal 10 5 2 6 3 2" xfId="10170" xr:uid="{00000000-0005-0000-0000-00003FA40000}"/>
    <cellStyle name="Normal 10 5 2 6 3 3" xfId="15646" xr:uid="{00000000-0005-0000-0000-000040A40000}"/>
    <cellStyle name="Normal 10 5 2 6 3 4" xfId="21122" xr:uid="{00000000-0005-0000-0000-000041A40000}"/>
    <cellStyle name="Normal 10 5 2 6 3 5" xfId="26598" xr:uid="{00000000-0005-0000-0000-000042A40000}"/>
    <cellStyle name="Normal 10 5 2 6 3 6" xfId="38394" xr:uid="{00000000-0005-0000-0000-000043A40000}"/>
    <cellStyle name="Normal 10 5 2 6 3 7" xfId="43871" xr:uid="{00000000-0005-0000-0000-000044A40000}"/>
    <cellStyle name="Normal 10 5 2 6 3 8" xfId="49348" xr:uid="{00000000-0005-0000-0000-000045A40000}"/>
    <cellStyle name="Normal 10 5 2 6 3 9" xfId="54866" xr:uid="{00000000-0005-0000-0000-000046A40000}"/>
    <cellStyle name="Normal 10 5 2 6 4" xfId="6915" xr:uid="{00000000-0005-0000-0000-000047A40000}"/>
    <cellStyle name="Normal 10 5 2 6 5" xfId="12395" xr:uid="{00000000-0005-0000-0000-000048A40000}"/>
    <cellStyle name="Normal 10 5 2 6 6" xfId="17871" xr:uid="{00000000-0005-0000-0000-000049A40000}"/>
    <cellStyle name="Normal 10 5 2 6 7" xfId="23347" xr:uid="{00000000-0005-0000-0000-00004AA40000}"/>
    <cellStyle name="Normal 10 5 2 6 8" xfId="35142" xr:uid="{00000000-0005-0000-0000-00004BA40000}"/>
    <cellStyle name="Normal 10 5 2 6 9" xfId="40619" xr:uid="{00000000-0005-0000-0000-00004CA40000}"/>
    <cellStyle name="Normal 10 5 2 7" xfId="1329" xr:uid="{00000000-0005-0000-0000-00004DA40000}"/>
    <cellStyle name="Normal 10 5 2 7 10" xfId="46097" xr:uid="{00000000-0005-0000-0000-00004EA40000}"/>
    <cellStyle name="Normal 10 5 2 7 11" xfId="51576" xr:uid="{00000000-0005-0000-0000-00004FA40000}"/>
    <cellStyle name="Normal 10 5 2 7 2" xfId="3090" xr:uid="{00000000-0005-0000-0000-000050A40000}"/>
    <cellStyle name="Normal 10 5 2 7 2 2" xfId="8570" xr:uid="{00000000-0005-0000-0000-000051A40000}"/>
    <cellStyle name="Normal 10 5 2 7 2 3" xfId="14046" xr:uid="{00000000-0005-0000-0000-000052A40000}"/>
    <cellStyle name="Normal 10 5 2 7 2 4" xfId="19522" xr:uid="{00000000-0005-0000-0000-000053A40000}"/>
    <cellStyle name="Normal 10 5 2 7 2 5" xfId="24998" xr:uid="{00000000-0005-0000-0000-000054A40000}"/>
    <cellStyle name="Normal 10 5 2 7 2 6" xfId="36794" xr:uid="{00000000-0005-0000-0000-000055A40000}"/>
    <cellStyle name="Normal 10 5 2 7 2 7" xfId="42271" xr:uid="{00000000-0005-0000-0000-000056A40000}"/>
    <cellStyle name="Normal 10 5 2 7 2 8" xfId="47748" xr:uid="{00000000-0005-0000-0000-000057A40000}"/>
    <cellStyle name="Normal 10 5 2 7 2 9" xfId="53266" xr:uid="{00000000-0005-0000-0000-000058A40000}"/>
    <cellStyle name="Normal 10 5 2 7 3" xfId="4862" xr:uid="{00000000-0005-0000-0000-000059A40000}"/>
    <cellStyle name="Normal 10 5 2 7 3 2" xfId="10342" xr:uid="{00000000-0005-0000-0000-00005AA40000}"/>
    <cellStyle name="Normal 10 5 2 7 3 3" xfId="15818" xr:uid="{00000000-0005-0000-0000-00005BA40000}"/>
    <cellStyle name="Normal 10 5 2 7 3 4" xfId="21294" xr:uid="{00000000-0005-0000-0000-00005CA40000}"/>
    <cellStyle name="Normal 10 5 2 7 3 5" xfId="26770" xr:uid="{00000000-0005-0000-0000-00005DA40000}"/>
    <cellStyle name="Normal 10 5 2 7 3 6" xfId="38566" xr:uid="{00000000-0005-0000-0000-00005EA40000}"/>
    <cellStyle name="Normal 10 5 2 7 3 7" xfId="44043" xr:uid="{00000000-0005-0000-0000-00005FA40000}"/>
    <cellStyle name="Normal 10 5 2 7 3 8" xfId="49520" xr:uid="{00000000-0005-0000-0000-000060A40000}"/>
    <cellStyle name="Normal 10 5 2 7 3 9" xfId="55038" xr:uid="{00000000-0005-0000-0000-000061A40000}"/>
    <cellStyle name="Normal 10 5 2 7 4" xfId="6916" xr:uid="{00000000-0005-0000-0000-000062A40000}"/>
    <cellStyle name="Normal 10 5 2 7 5" xfId="12396" xr:uid="{00000000-0005-0000-0000-000063A40000}"/>
    <cellStyle name="Normal 10 5 2 7 6" xfId="17872" xr:uid="{00000000-0005-0000-0000-000064A40000}"/>
    <cellStyle name="Normal 10 5 2 7 7" xfId="23348" xr:uid="{00000000-0005-0000-0000-000065A40000}"/>
    <cellStyle name="Normal 10 5 2 7 8" xfId="35143" xr:uid="{00000000-0005-0000-0000-000066A40000}"/>
    <cellStyle name="Normal 10 5 2 7 9" xfId="40620" xr:uid="{00000000-0005-0000-0000-000067A40000}"/>
    <cellStyle name="Normal 10 5 2 8" xfId="1501" xr:uid="{00000000-0005-0000-0000-000068A40000}"/>
    <cellStyle name="Normal 10 5 2 8 10" xfId="46098" xr:uid="{00000000-0005-0000-0000-000069A40000}"/>
    <cellStyle name="Normal 10 5 2 8 11" xfId="51577" xr:uid="{00000000-0005-0000-0000-00006AA40000}"/>
    <cellStyle name="Normal 10 5 2 8 2" xfId="3262" xr:uid="{00000000-0005-0000-0000-00006BA40000}"/>
    <cellStyle name="Normal 10 5 2 8 2 2" xfId="8742" xr:uid="{00000000-0005-0000-0000-00006CA40000}"/>
    <cellStyle name="Normal 10 5 2 8 2 3" xfId="14218" xr:uid="{00000000-0005-0000-0000-00006DA40000}"/>
    <cellStyle name="Normal 10 5 2 8 2 4" xfId="19694" xr:uid="{00000000-0005-0000-0000-00006EA40000}"/>
    <cellStyle name="Normal 10 5 2 8 2 5" xfId="25170" xr:uid="{00000000-0005-0000-0000-00006FA40000}"/>
    <cellStyle name="Normal 10 5 2 8 2 6" xfId="36966" xr:uid="{00000000-0005-0000-0000-000070A40000}"/>
    <cellStyle name="Normal 10 5 2 8 2 7" xfId="42443" xr:uid="{00000000-0005-0000-0000-000071A40000}"/>
    <cellStyle name="Normal 10 5 2 8 2 8" xfId="47920" xr:uid="{00000000-0005-0000-0000-000072A40000}"/>
    <cellStyle name="Normal 10 5 2 8 2 9" xfId="53438" xr:uid="{00000000-0005-0000-0000-000073A40000}"/>
    <cellStyle name="Normal 10 5 2 8 3" xfId="5034" xr:uid="{00000000-0005-0000-0000-000074A40000}"/>
    <cellStyle name="Normal 10 5 2 8 3 2" xfId="10514" xr:uid="{00000000-0005-0000-0000-000075A40000}"/>
    <cellStyle name="Normal 10 5 2 8 3 3" xfId="15990" xr:uid="{00000000-0005-0000-0000-000076A40000}"/>
    <cellStyle name="Normal 10 5 2 8 3 4" xfId="21466" xr:uid="{00000000-0005-0000-0000-000077A40000}"/>
    <cellStyle name="Normal 10 5 2 8 3 5" xfId="26942" xr:uid="{00000000-0005-0000-0000-000078A40000}"/>
    <cellStyle name="Normal 10 5 2 8 3 6" xfId="38738" xr:uid="{00000000-0005-0000-0000-000079A40000}"/>
    <cellStyle name="Normal 10 5 2 8 3 7" xfId="44215" xr:uid="{00000000-0005-0000-0000-00007AA40000}"/>
    <cellStyle name="Normal 10 5 2 8 3 8" xfId="49692" xr:uid="{00000000-0005-0000-0000-00007BA40000}"/>
    <cellStyle name="Normal 10 5 2 8 3 9" xfId="55210" xr:uid="{00000000-0005-0000-0000-00007CA40000}"/>
    <cellStyle name="Normal 10 5 2 8 4" xfId="6917" xr:uid="{00000000-0005-0000-0000-00007DA40000}"/>
    <cellStyle name="Normal 10 5 2 8 5" xfId="12397" xr:uid="{00000000-0005-0000-0000-00007EA40000}"/>
    <cellStyle name="Normal 10 5 2 8 6" xfId="17873" xr:uid="{00000000-0005-0000-0000-00007FA40000}"/>
    <cellStyle name="Normal 10 5 2 8 7" xfId="23349" xr:uid="{00000000-0005-0000-0000-000080A40000}"/>
    <cellStyle name="Normal 10 5 2 8 8" xfId="35144" xr:uid="{00000000-0005-0000-0000-000081A40000}"/>
    <cellStyle name="Normal 10 5 2 8 9" xfId="40621" xr:uid="{00000000-0005-0000-0000-000082A40000}"/>
    <cellStyle name="Normal 10 5 2 9" xfId="1673" xr:uid="{00000000-0005-0000-0000-000083A40000}"/>
    <cellStyle name="Normal 10 5 2 9 10" xfId="46099" xr:uid="{00000000-0005-0000-0000-000084A40000}"/>
    <cellStyle name="Normal 10 5 2 9 11" xfId="51578" xr:uid="{00000000-0005-0000-0000-000085A40000}"/>
    <cellStyle name="Normal 10 5 2 9 2" xfId="3434" xr:uid="{00000000-0005-0000-0000-000086A40000}"/>
    <cellStyle name="Normal 10 5 2 9 2 2" xfId="8914" xr:uid="{00000000-0005-0000-0000-000087A40000}"/>
    <cellStyle name="Normal 10 5 2 9 2 3" xfId="14390" xr:uid="{00000000-0005-0000-0000-000088A40000}"/>
    <cellStyle name="Normal 10 5 2 9 2 4" xfId="19866" xr:uid="{00000000-0005-0000-0000-000089A40000}"/>
    <cellStyle name="Normal 10 5 2 9 2 5" xfId="25342" xr:uid="{00000000-0005-0000-0000-00008AA40000}"/>
    <cellStyle name="Normal 10 5 2 9 2 6" xfId="37138" xr:uid="{00000000-0005-0000-0000-00008BA40000}"/>
    <cellStyle name="Normal 10 5 2 9 2 7" xfId="42615" xr:uid="{00000000-0005-0000-0000-00008CA40000}"/>
    <cellStyle name="Normal 10 5 2 9 2 8" xfId="48092" xr:uid="{00000000-0005-0000-0000-00008DA40000}"/>
    <cellStyle name="Normal 10 5 2 9 2 9" xfId="53610" xr:uid="{00000000-0005-0000-0000-00008EA40000}"/>
    <cellStyle name="Normal 10 5 2 9 3" xfId="5206" xr:uid="{00000000-0005-0000-0000-00008FA40000}"/>
    <cellStyle name="Normal 10 5 2 9 3 2" xfId="10686" xr:uid="{00000000-0005-0000-0000-000090A40000}"/>
    <cellStyle name="Normal 10 5 2 9 3 3" xfId="16162" xr:uid="{00000000-0005-0000-0000-000091A40000}"/>
    <cellStyle name="Normal 10 5 2 9 3 4" xfId="21638" xr:uid="{00000000-0005-0000-0000-000092A40000}"/>
    <cellStyle name="Normal 10 5 2 9 3 5" xfId="27114" xr:uid="{00000000-0005-0000-0000-000093A40000}"/>
    <cellStyle name="Normal 10 5 2 9 3 6" xfId="38910" xr:uid="{00000000-0005-0000-0000-000094A40000}"/>
    <cellStyle name="Normal 10 5 2 9 3 7" xfId="44387" xr:uid="{00000000-0005-0000-0000-000095A40000}"/>
    <cellStyle name="Normal 10 5 2 9 3 8" xfId="49864" xr:uid="{00000000-0005-0000-0000-000096A40000}"/>
    <cellStyle name="Normal 10 5 2 9 3 9" xfId="55382" xr:uid="{00000000-0005-0000-0000-000097A40000}"/>
    <cellStyle name="Normal 10 5 2 9 4" xfId="6918" xr:uid="{00000000-0005-0000-0000-000098A40000}"/>
    <cellStyle name="Normal 10 5 2 9 5" xfId="12398" xr:uid="{00000000-0005-0000-0000-000099A40000}"/>
    <cellStyle name="Normal 10 5 2 9 6" xfId="17874" xr:uid="{00000000-0005-0000-0000-00009AA40000}"/>
    <cellStyle name="Normal 10 5 2 9 7" xfId="23350" xr:uid="{00000000-0005-0000-0000-00009BA40000}"/>
    <cellStyle name="Normal 10 5 2 9 8" xfId="35145" xr:uid="{00000000-0005-0000-0000-00009CA40000}"/>
    <cellStyle name="Normal 10 5 2 9 9" xfId="40622" xr:uid="{00000000-0005-0000-0000-00009DA40000}"/>
    <cellStyle name="Normal 10 5 20" xfId="40610" xr:uid="{00000000-0005-0000-0000-00009EA40000}"/>
    <cellStyle name="Normal 10 5 21" xfId="46087" xr:uid="{00000000-0005-0000-0000-00009FA40000}"/>
    <cellStyle name="Normal 10 5 22" xfId="51566" xr:uid="{00000000-0005-0000-0000-0000A0A40000}"/>
    <cellStyle name="Normal 10 5 3" xfId="429" xr:uid="{00000000-0005-0000-0000-0000A1A40000}"/>
    <cellStyle name="Normal 10 5 3 10" xfId="40623" xr:uid="{00000000-0005-0000-0000-0000A2A40000}"/>
    <cellStyle name="Normal 10 5 3 11" xfId="46100" xr:uid="{00000000-0005-0000-0000-0000A3A40000}"/>
    <cellStyle name="Normal 10 5 3 12" xfId="51579" xr:uid="{00000000-0005-0000-0000-0000A4A40000}"/>
    <cellStyle name="Normal 10 5 3 2" xfId="2195" xr:uid="{00000000-0005-0000-0000-0000A5A40000}"/>
    <cellStyle name="Normal 10 5 3 2 2" xfId="7675" xr:uid="{00000000-0005-0000-0000-0000A6A40000}"/>
    <cellStyle name="Normal 10 5 3 2 3" xfId="13151" xr:uid="{00000000-0005-0000-0000-0000A7A40000}"/>
    <cellStyle name="Normal 10 5 3 2 4" xfId="18627" xr:uid="{00000000-0005-0000-0000-0000A8A40000}"/>
    <cellStyle name="Normal 10 5 3 2 5" xfId="24103" xr:uid="{00000000-0005-0000-0000-0000A9A40000}"/>
    <cellStyle name="Normal 10 5 3 2 6" xfId="35899" xr:uid="{00000000-0005-0000-0000-0000AAA40000}"/>
    <cellStyle name="Normal 10 5 3 2 7" xfId="41376" xr:uid="{00000000-0005-0000-0000-0000ABA40000}"/>
    <cellStyle name="Normal 10 5 3 2 8" xfId="46853" xr:uid="{00000000-0005-0000-0000-0000ACA40000}"/>
    <cellStyle name="Normal 10 5 3 2 9" xfId="52371" xr:uid="{00000000-0005-0000-0000-0000ADA40000}"/>
    <cellStyle name="Normal 10 5 3 3" xfId="3967" xr:uid="{00000000-0005-0000-0000-0000AEA40000}"/>
    <cellStyle name="Normal 10 5 3 3 2" xfId="9447" xr:uid="{00000000-0005-0000-0000-0000AFA40000}"/>
    <cellStyle name="Normal 10 5 3 3 3" xfId="14923" xr:uid="{00000000-0005-0000-0000-0000B0A40000}"/>
    <cellStyle name="Normal 10 5 3 3 4" xfId="20399" xr:uid="{00000000-0005-0000-0000-0000B1A40000}"/>
    <cellStyle name="Normal 10 5 3 3 5" xfId="25875" xr:uid="{00000000-0005-0000-0000-0000B2A40000}"/>
    <cellStyle name="Normal 10 5 3 3 6" xfId="37671" xr:uid="{00000000-0005-0000-0000-0000B3A40000}"/>
    <cellStyle name="Normal 10 5 3 3 7" xfId="43148" xr:uid="{00000000-0005-0000-0000-0000B4A40000}"/>
    <cellStyle name="Normal 10 5 3 3 8" xfId="48625" xr:uid="{00000000-0005-0000-0000-0000B5A40000}"/>
    <cellStyle name="Normal 10 5 3 3 9" xfId="54143" xr:uid="{00000000-0005-0000-0000-0000B6A40000}"/>
    <cellStyle name="Normal 10 5 3 4" xfId="6919" xr:uid="{00000000-0005-0000-0000-0000B7A40000}"/>
    <cellStyle name="Normal 10 5 3 5" xfId="12399" xr:uid="{00000000-0005-0000-0000-0000B8A40000}"/>
    <cellStyle name="Normal 10 5 3 6" xfId="17875" xr:uid="{00000000-0005-0000-0000-0000B9A40000}"/>
    <cellStyle name="Normal 10 5 3 7" xfId="23351" xr:uid="{00000000-0005-0000-0000-0000BAA40000}"/>
    <cellStyle name="Normal 10 5 3 8" xfId="32912" xr:uid="{00000000-0005-0000-0000-0000BBA40000}"/>
    <cellStyle name="Normal 10 5 3 9" xfId="35146" xr:uid="{00000000-0005-0000-0000-0000BCA40000}"/>
    <cellStyle name="Normal 10 5 4" xfId="606" xr:uid="{00000000-0005-0000-0000-0000BDA40000}"/>
    <cellStyle name="Normal 10 5 4 10" xfId="46101" xr:uid="{00000000-0005-0000-0000-0000BEA40000}"/>
    <cellStyle name="Normal 10 5 4 11" xfId="51580" xr:uid="{00000000-0005-0000-0000-0000BFA40000}"/>
    <cellStyle name="Normal 10 5 4 2" xfId="2367" xr:uid="{00000000-0005-0000-0000-0000C0A40000}"/>
    <cellStyle name="Normal 10 5 4 2 2" xfId="7847" xr:uid="{00000000-0005-0000-0000-0000C1A40000}"/>
    <cellStyle name="Normal 10 5 4 2 3" xfId="13323" xr:uid="{00000000-0005-0000-0000-0000C2A40000}"/>
    <cellStyle name="Normal 10 5 4 2 4" xfId="18799" xr:uid="{00000000-0005-0000-0000-0000C3A40000}"/>
    <cellStyle name="Normal 10 5 4 2 5" xfId="24275" xr:uid="{00000000-0005-0000-0000-0000C4A40000}"/>
    <cellStyle name="Normal 10 5 4 2 6" xfId="36071" xr:uid="{00000000-0005-0000-0000-0000C5A40000}"/>
    <cellStyle name="Normal 10 5 4 2 7" xfId="41548" xr:uid="{00000000-0005-0000-0000-0000C6A40000}"/>
    <cellStyle name="Normal 10 5 4 2 8" xfId="47025" xr:uid="{00000000-0005-0000-0000-0000C7A40000}"/>
    <cellStyle name="Normal 10 5 4 2 9" xfId="52543" xr:uid="{00000000-0005-0000-0000-0000C8A40000}"/>
    <cellStyle name="Normal 10 5 4 3" xfId="4139" xr:uid="{00000000-0005-0000-0000-0000C9A40000}"/>
    <cellStyle name="Normal 10 5 4 3 2" xfId="9619" xr:uid="{00000000-0005-0000-0000-0000CAA40000}"/>
    <cellStyle name="Normal 10 5 4 3 3" xfId="15095" xr:uid="{00000000-0005-0000-0000-0000CBA40000}"/>
    <cellStyle name="Normal 10 5 4 3 4" xfId="20571" xr:uid="{00000000-0005-0000-0000-0000CCA40000}"/>
    <cellStyle name="Normal 10 5 4 3 5" xfId="26047" xr:uid="{00000000-0005-0000-0000-0000CDA40000}"/>
    <cellStyle name="Normal 10 5 4 3 6" xfId="37843" xr:uid="{00000000-0005-0000-0000-0000CEA40000}"/>
    <cellStyle name="Normal 10 5 4 3 7" xfId="43320" xr:uid="{00000000-0005-0000-0000-0000CFA40000}"/>
    <cellStyle name="Normal 10 5 4 3 8" xfId="48797" xr:uid="{00000000-0005-0000-0000-0000D0A40000}"/>
    <cellStyle name="Normal 10 5 4 3 9" xfId="54315" xr:uid="{00000000-0005-0000-0000-0000D1A40000}"/>
    <cellStyle name="Normal 10 5 4 4" xfId="6920" xr:uid="{00000000-0005-0000-0000-0000D2A40000}"/>
    <cellStyle name="Normal 10 5 4 5" xfId="12400" xr:uid="{00000000-0005-0000-0000-0000D3A40000}"/>
    <cellStyle name="Normal 10 5 4 6" xfId="17876" xr:uid="{00000000-0005-0000-0000-0000D4A40000}"/>
    <cellStyle name="Normal 10 5 4 7" xfId="23352" xr:uid="{00000000-0005-0000-0000-0000D5A40000}"/>
    <cellStyle name="Normal 10 5 4 8" xfId="35147" xr:uid="{00000000-0005-0000-0000-0000D6A40000}"/>
    <cellStyle name="Normal 10 5 4 9" xfId="40624" xr:uid="{00000000-0005-0000-0000-0000D7A40000}"/>
    <cellStyle name="Normal 10 5 5" xfId="778" xr:uid="{00000000-0005-0000-0000-0000D8A40000}"/>
    <cellStyle name="Normal 10 5 5 10" xfId="46102" xr:uid="{00000000-0005-0000-0000-0000D9A40000}"/>
    <cellStyle name="Normal 10 5 5 11" xfId="51581" xr:uid="{00000000-0005-0000-0000-0000DAA40000}"/>
    <cellStyle name="Normal 10 5 5 2" xfId="2539" xr:uid="{00000000-0005-0000-0000-0000DBA40000}"/>
    <cellStyle name="Normal 10 5 5 2 2" xfId="8019" xr:uid="{00000000-0005-0000-0000-0000DCA40000}"/>
    <cellStyle name="Normal 10 5 5 2 3" xfId="13495" xr:uid="{00000000-0005-0000-0000-0000DDA40000}"/>
    <cellStyle name="Normal 10 5 5 2 4" xfId="18971" xr:uid="{00000000-0005-0000-0000-0000DEA40000}"/>
    <cellStyle name="Normal 10 5 5 2 5" xfId="24447" xr:uid="{00000000-0005-0000-0000-0000DFA40000}"/>
    <cellStyle name="Normal 10 5 5 2 6" xfId="36243" xr:uid="{00000000-0005-0000-0000-0000E0A40000}"/>
    <cellStyle name="Normal 10 5 5 2 7" xfId="41720" xr:uid="{00000000-0005-0000-0000-0000E1A40000}"/>
    <cellStyle name="Normal 10 5 5 2 8" xfId="47197" xr:uid="{00000000-0005-0000-0000-0000E2A40000}"/>
    <cellStyle name="Normal 10 5 5 2 9" xfId="52715" xr:uid="{00000000-0005-0000-0000-0000E3A40000}"/>
    <cellStyle name="Normal 10 5 5 3" xfId="4311" xr:uid="{00000000-0005-0000-0000-0000E4A40000}"/>
    <cellStyle name="Normal 10 5 5 3 2" xfId="9791" xr:uid="{00000000-0005-0000-0000-0000E5A40000}"/>
    <cellStyle name="Normal 10 5 5 3 3" xfId="15267" xr:uid="{00000000-0005-0000-0000-0000E6A40000}"/>
    <cellStyle name="Normal 10 5 5 3 4" xfId="20743" xr:uid="{00000000-0005-0000-0000-0000E7A40000}"/>
    <cellStyle name="Normal 10 5 5 3 5" xfId="26219" xr:uid="{00000000-0005-0000-0000-0000E8A40000}"/>
    <cellStyle name="Normal 10 5 5 3 6" xfId="38015" xr:uid="{00000000-0005-0000-0000-0000E9A40000}"/>
    <cellStyle name="Normal 10 5 5 3 7" xfId="43492" xr:uid="{00000000-0005-0000-0000-0000EAA40000}"/>
    <cellStyle name="Normal 10 5 5 3 8" xfId="48969" xr:uid="{00000000-0005-0000-0000-0000EBA40000}"/>
    <cellStyle name="Normal 10 5 5 3 9" xfId="54487" xr:uid="{00000000-0005-0000-0000-0000ECA40000}"/>
    <cellStyle name="Normal 10 5 5 4" xfId="6921" xr:uid="{00000000-0005-0000-0000-0000EDA40000}"/>
    <cellStyle name="Normal 10 5 5 5" xfId="12401" xr:uid="{00000000-0005-0000-0000-0000EEA40000}"/>
    <cellStyle name="Normal 10 5 5 6" xfId="17877" xr:uid="{00000000-0005-0000-0000-0000EFA40000}"/>
    <cellStyle name="Normal 10 5 5 7" xfId="23353" xr:uid="{00000000-0005-0000-0000-0000F0A40000}"/>
    <cellStyle name="Normal 10 5 5 8" xfId="35148" xr:uid="{00000000-0005-0000-0000-0000F1A40000}"/>
    <cellStyle name="Normal 10 5 5 9" xfId="40625" xr:uid="{00000000-0005-0000-0000-0000F2A40000}"/>
    <cellStyle name="Normal 10 5 6" xfId="950" xr:uid="{00000000-0005-0000-0000-0000F3A40000}"/>
    <cellStyle name="Normal 10 5 6 10" xfId="46103" xr:uid="{00000000-0005-0000-0000-0000F4A40000}"/>
    <cellStyle name="Normal 10 5 6 11" xfId="51582" xr:uid="{00000000-0005-0000-0000-0000F5A40000}"/>
    <cellStyle name="Normal 10 5 6 2" xfId="2711" xr:uid="{00000000-0005-0000-0000-0000F6A40000}"/>
    <cellStyle name="Normal 10 5 6 2 2" xfId="8191" xr:uid="{00000000-0005-0000-0000-0000F7A40000}"/>
    <cellStyle name="Normal 10 5 6 2 3" xfId="13667" xr:uid="{00000000-0005-0000-0000-0000F8A40000}"/>
    <cellStyle name="Normal 10 5 6 2 4" xfId="19143" xr:uid="{00000000-0005-0000-0000-0000F9A40000}"/>
    <cellStyle name="Normal 10 5 6 2 5" xfId="24619" xr:uid="{00000000-0005-0000-0000-0000FAA40000}"/>
    <cellStyle name="Normal 10 5 6 2 6" xfId="36415" xr:uid="{00000000-0005-0000-0000-0000FBA40000}"/>
    <cellStyle name="Normal 10 5 6 2 7" xfId="41892" xr:uid="{00000000-0005-0000-0000-0000FCA40000}"/>
    <cellStyle name="Normal 10 5 6 2 8" xfId="47369" xr:uid="{00000000-0005-0000-0000-0000FDA40000}"/>
    <cellStyle name="Normal 10 5 6 2 9" xfId="52887" xr:uid="{00000000-0005-0000-0000-0000FEA40000}"/>
    <cellStyle name="Normal 10 5 6 3" xfId="4483" xr:uid="{00000000-0005-0000-0000-0000FFA40000}"/>
    <cellStyle name="Normal 10 5 6 3 2" xfId="9963" xr:uid="{00000000-0005-0000-0000-000000A50000}"/>
    <cellStyle name="Normal 10 5 6 3 3" xfId="15439" xr:uid="{00000000-0005-0000-0000-000001A50000}"/>
    <cellStyle name="Normal 10 5 6 3 4" xfId="20915" xr:uid="{00000000-0005-0000-0000-000002A50000}"/>
    <cellStyle name="Normal 10 5 6 3 5" xfId="26391" xr:uid="{00000000-0005-0000-0000-000003A50000}"/>
    <cellStyle name="Normal 10 5 6 3 6" xfId="38187" xr:uid="{00000000-0005-0000-0000-000004A50000}"/>
    <cellStyle name="Normal 10 5 6 3 7" xfId="43664" xr:uid="{00000000-0005-0000-0000-000005A50000}"/>
    <cellStyle name="Normal 10 5 6 3 8" xfId="49141" xr:uid="{00000000-0005-0000-0000-000006A50000}"/>
    <cellStyle name="Normal 10 5 6 3 9" xfId="54659" xr:uid="{00000000-0005-0000-0000-000007A50000}"/>
    <cellStyle name="Normal 10 5 6 4" xfId="6922" xr:uid="{00000000-0005-0000-0000-000008A50000}"/>
    <cellStyle name="Normal 10 5 6 5" xfId="12402" xr:uid="{00000000-0005-0000-0000-000009A50000}"/>
    <cellStyle name="Normal 10 5 6 6" xfId="17878" xr:uid="{00000000-0005-0000-0000-00000AA50000}"/>
    <cellStyle name="Normal 10 5 6 7" xfId="23354" xr:uid="{00000000-0005-0000-0000-00000BA50000}"/>
    <cellStyle name="Normal 10 5 6 8" xfId="35149" xr:uid="{00000000-0005-0000-0000-00000CA50000}"/>
    <cellStyle name="Normal 10 5 6 9" xfId="40626" xr:uid="{00000000-0005-0000-0000-00000DA50000}"/>
    <cellStyle name="Normal 10 5 7" xfId="1156" xr:uid="{00000000-0005-0000-0000-00000EA50000}"/>
    <cellStyle name="Normal 10 5 7 10" xfId="46104" xr:uid="{00000000-0005-0000-0000-00000FA50000}"/>
    <cellStyle name="Normal 10 5 7 11" xfId="51583" xr:uid="{00000000-0005-0000-0000-000010A50000}"/>
    <cellStyle name="Normal 10 5 7 2" xfId="2917" xr:uid="{00000000-0005-0000-0000-000011A50000}"/>
    <cellStyle name="Normal 10 5 7 2 2" xfId="8397" xr:uid="{00000000-0005-0000-0000-000012A50000}"/>
    <cellStyle name="Normal 10 5 7 2 3" xfId="13873" xr:uid="{00000000-0005-0000-0000-000013A50000}"/>
    <cellStyle name="Normal 10 5 7 2 4" xfId="19349" xr:uid="{00000000-0005-0000-0000-000014A50000}"/>
    <cellStyle name="Normal 10 5 7 2 5" xfId="24825" xr:uid="{00000000-0005-0000-0000-000015A50000}"/>
    <cellStyle name="Normal 10 5 7 2 6" xfId="36621" xr:uid="{00000000-0005-0000-0000-000016A50000}"/>
    <cellStyle name="Normal 10 5 7 2 7" xfId="42098" xr:uid="{00000000-0005-0000-0000-000017A50000}"/>
    <cellStyle name="Normal 10 5 7 2 8" xfId="47575" xr:uid="{00000000-0005-0000-0000-000018A50000}"/>
    <cellStyle name="Normal 10 5 7 2 9" xfId="53093" xr:uid="{00000000-0005-0000-0000-000019A50000}"/>
    <cellStyle name="Normal 10 5 7 3" xfId="4689" xr:uid="{00000000-0005-0000-0000-00001AA50000}"/>
    <cellStyle name="Normal 10 5 7 3 2" xfId="10169" xr:uid="{00000000-0005-0000-0000-00001BA50000}"/>
    <cellStyle name="Normal 10 5 7 3 3" xfId="15645" xr:uid="{00000000-0005-0000-0000-00001CA50000}"/>
    <cellStyle name="Normal 10 5 7 3 4" xfId="21121" xr:uid="{00000000-0005-0000-0000-00001DA50000}"/>
    <cellStyle name="Normal 10 5 7 3 5" xfId="26597" xr:uid="{00000000-0005-0000-0000-00001EA50000}"/>
    <cellStyle name="Normal 10 5 7 3 6" xfId="38393" xr:uid="{00000000-0005-0000-0000-00001FA50000}"/>
    <cellStyle name="Normal 10 5 7 3 7" xfId="43870" xr:uid="{00000000-0005-0000-0000-000020A50000}"/>
    <cellStyle name="Normal 10 5 7 3 8" xfId="49347" xr:uid="{00000000-0005-0000-0000-000021A50000}"/>
    <cellStyle name="Normal 10 5 7 3 9" xfId="54865" xr:uid="{00000000-0005-0000-0000-000022A50000}"/>
    <cellStyle name="Normal 10 5 7 4" xfId="6923" xr:uid="{00000000-0005-0000-0000-000023A50000}"/>
    <cellStyle name="Normal 10 5 7 5" xfId="12403" xr:uid="{00000000-0005-0000-0000-000024A50000}"/>
    <cellStyle name="Normal 10 5 7 6" xfId="17879" xr:uid="{00000000-0005-0000-0000-000025A50000}"/>
    <cellStyle name="Normal 10 5 7 7" xfId="23355" xr:uid="{00000000-0005-0000-0000-000026A50000}"/>
    <cellStyle name="Normal 10 5 7 8" xfId="35150" xr:uid="{00000000-0005-0000-0000-000027A50000}"/>
    <cellStyle name="Normal 10 5 7 9" xfId="40627" xr:uid="{00000000-0005-0000-0000-000028A50000}"/>
    <cellStyle name="Normal 10 5 8" xfId="1328" xr:uid="{00000000-0005-0000-0000-000029A50000}"/>
    <cellStyle name="Normal 10 5 8 10" xfId="46105" xr:uid="{00000000-0005-0000-0000-00002AA50000}"/>
    <cellStyle name="Normal 10 5 8 11" xfId="51584" xr:uid="{00000000-0005-0000-0000-00002BA50000}"/>
    <cellStyle name="Normal 10 5 8 2" xfId="3089" xr:uid="{00000000-0005-0000-0000-00002CA50000}"/>
    <cellStyle name="Normal 10 5 8 2 2" xfId="8569" xr:uid="{00000000-0005-0000-0000-00002DA50000}"/>
    <cellStyle name="Normal 10 5 8 2 3" xfId="14045" xr:uid="{00000000-0005-0000-0000-00002EA50000}"/>
    <cellStyle name="Normal 10 5 8 2 4" xfId="19521" xr:uid="{00000000-0005-0000-0000-00002FA50000}"/>
    <cellStyle name="Normal 10 5 8 2 5" xfId="24997" xr:uid="{00000000-0005-0000-0000-000030A50000}"/>
    <cellStyle name="Normal 10 5 8 2 6" xfId="36793" xr:uid="{00000000-0005-0000-0000-000031A50000}"/>
    <cellStyle name="Normal 10 5 8 2 7" xfId="42270" xr:uid="{00000000-0005-0000-0000-000032A50000}"/>
    <cellStyle name="Normal 10 5 8 2 8" xfId="47747" xr:uid="{00000000-0005-0000-0000-000033A50000}"/>
    <cellStyle name="Normal 10 5 8 2 9" xfId="53265" xr:uid="{00000000-0005-0000-0000-000034A50000}"/>
    <cellStyle name="Normal 10 5 8 3" xfId="4861" xr:uid="{00000000-0005-0000-0000-000035A50000}"/>
    <cellStyle name="Normal 10 5 8 3 2" xfId="10341" xr:uid="{00000000-0005-0000-0000-000036A50000}"/>
    <cellStyle name="Normal 10 5 8 3 3" xfId="15817" xr:uid="{00000000-0005-0000-0000-000037A50000}"/>
    <cellStyle name="Normal 10 5 8 3 4" xfId="21293" xr:uid="{00000000-0005-0000-0000-000038A50000}"/>
    <cellStyle name="Normal 10 5 8 3 5" xfId="26769" xr:uid="{00000000-0005-0000-0000-000039A50000}"/>
    <cellStyle name="Normal 10 5 8 3 6" xfId="38565" xr:uid="{00000000-0005-0000-0000-00003AA50000}"/>
    <cellStyle name="Normal 10 5 8 3 7" xfId="44042" xr:uid="{00000000-0005-0000-0000-00003BA50000}"/>
    <cellStyle name="Normal 10 5 8 3 8" xfId="49519" xr:uid="{00000000-0005-0000-0000-00003CA50000}"/>
    <cellStyle name="Normal 10 5 8 3 9" xfId="55037" xr:uid="{00000000-0005-0000-0000-00003DA50000}"/>
    <cellStyle name="Normal 10 5 8 4" xfId="6924" xr:uid="{00000000-0005-0000-0000-00003EA50000}"/>
    <cellStyle name="Normal 10 5 8 5" xfId="12404" xr:uid="{00000000-0005-0000-0000-00003FA50000}"/>
    <cellStyle name="Normal 10 5 8 6" xfId="17880" xr:uid="{00000000-0005-0000-0000-000040A50000}"/>
    <cellStyle name="Normal 10 5 8 7" xfId="23356" xr:uid="{00000000-0005-0000-0000-000041A50000}"/>
    <cellStyle name="Normal 10 5 8 8" xfId="35151" xr:uid="{00000000-0005-0000-0000-000042A50000}"/>
    <cellStyle name="Normal 10 5 8 9" xfId="40628" xr:uid="{00000000-0005-0000-0000-000043A50000}"/>
    <cellStyle name="Normal 10 5 9" xfId="1500" xr:uid="{00000000-0005-0000-0000-000044A50000}"/>
    <cellStyle name="Normal 10 5 9 10" xfId="46106" xr:uid="{00000000-0005-0000-0000-000045A50000}"/>
    <cellStyle name="Normal 10 5 9 11" xfId="51585" xr:uid="{00000000-0005-0000-0000-000046A50000}"/>
    <cellStyle name="Normal 10 5 9 2" xfId="3261" xr:uid="{00000000-0005-0000-0000-000047A50000}"/>
    <cellStyle name="Normal 10 5 9 2 2" xfId="8741" xr:uid="{00000000-0005-0000-0000-000048A50000}"/>
    <cellStyle name="Normal 10 5 9 2 3" xfId="14217" xr:uid="{00000000-0005-0000-0000-000049A50000}"/>
    <cellStyle name="Normal 10 5 9 2 4" xfId="19693" xr:uid="{00000000-0005-0000-0000-00004AA50000}"/>
    <cellStyle name="Normal 10 5 9 2 5" xfId="25169" xr:uid="{00000000-0005-0000-0000-00004BA50000}"/>
    <cellStyle name="Normal 10 5 9 2 6" xfId="36965" xr:uid="{00000000-0005-0000-0000-00004CA50000}"/>
    <cellStyle name="Normal 10 5 9 2 7" xfId="42442" xr:uid="{00000000-0005-0000-0000-00004DA50000}"/>
    <cellStyle name="Normal 10 5 9 2 8" xfId="47919" xr:uid="{00000000-0005-0000-0000-00004EA50000}"/>
    <cellStyle name="Normal 10 5 9 2 9" xfId="53437" xr:uid="{00000000-0005-0000-0000-00004FA50000}"/>
    <cellStyle name="Normal 10 5 9 3" xfId="5033" xr:uid="{00000000-0005-0000-0000-000050A50000}"/>
    <cellStyle name="Normal 10 5 9 3 2" xfId="10513" xr:uid="{00000000-0005-0000-0000-000051A50000}"/>
    <cellStyle name="Normal 10 5 9 3 3" xfId="15989" xr:uid="{00000000-0005-0000-0000-000052A50000}"/>
    <cellStyle name="Normal 10 5 9 3 4" xfId="21465" xr:uid="{00000000-0005-0000-0000-000053A50000}"/>
    <cellStyle name="Normal 10 5 9 3 5" xfId="26941" xr:uid="{00000000-0005-0000-0000-000054A50000}"/>
    <cellStyle name="Normal 10 5 9 3 6" xfId="38737" xr:uid="{00000000-0005-0000-0000-000055A50000}"/>
    <cellStyle name="Normal 10 5 9 3 7" xfId="44214" xr:uid="{00000000-0005-0000-0000-000056A50000}"/>
    <cellStyle name="Normal 10 5 9 3 8" xfId="49691" xr:uid="{00000000-0005-0000-0000-000057A50000}"/>
    <cellStyle name="Normal 10 5 9 3 9" xfId="55209" xr:uid="{00000000-0005-0000-0000-000058A50000}"/>
    <cellStyle name="Normal 10 5 9 4" xfId="6925" xr:uid="{00000000-0005-0000-0000-000059A50000}"/>
    <cellStyle name="Normal 10 5 9 5" xfId="12405" xr:uid="{00000000-0005-0000-0000-00005AA50000}"/>
    <cellStyle name="Normal 10 5 9 6" xfId="17881" xr:uid="{00000000-0005-0000-0000-00005BA50000}"/>
    <cellStyle name="Normal 10 5 9 7" xfId="23357" xr:uid="{00000000-0005-0000-0000-00005CA50000}"/>
    <cellStyle name="Normal 10 5 9 8" xfId="35152" xr:uid="{00000000-0005-0000-0000-00005DA50000}"/>
    <cellStyle name="Normal 10 5 9 9" xfId="40629" xr:uid="{00000000-0005-0000-0000-00005EA50000}"/>
    <cellStyle name="Normal 10 6" xfId="201" xr:uid="{00000000-0005-0000-0000-00005FA50000}"/>
    <cellStyle name="Normal 10 6 10" xfId="1867" xr:uid="{00000000-0005-0000-0000-000060A50000}"/>
    <cellStyle name="Normal 10 6 10 10" xfId="46108" xr:uid="{00000000-0005-0000-0000-000061A50000}"/>
    <cellStyle name="Normal 10 6 10 11" xfId="51587" xr:uid="{00000000-0005-0000-0000-000062A50000}"/>
    <cellStyle name="Normal 10 6 10 2" xfId="3628" xr:uid="{00000000-0005-0000-0000-000063A50000}"/>
    <cellStyle name="Normal 10 6 10 2 2" xfId="9108" xr:uid="{00000000-0005-0000-0000-000064A50000}"/>
    <cellStyle name="Normal 10 6 10 2 3" xfId="14584" xr:uid="{00000000-0005-0000-0000-000065A50000}"/>
    <cellStyle name="Normal 10 6 10 2 4" xfId="20060" xr:uid="{00000000-0005-0000-0000-000066A50000}"/>
    <cellStyle name="Normal 10 6 10 2 5" xfId="25536" xr:uid="{00000000-0005-0000-0000-000067A50000}"/>
    <cellStyle name="Normal 10 6 10 2 6" xfId="37332" xr:uid="{00000000-0005-0000-0000-000068A50000}"/>
    <cellStyle name="Normal 10 6 10 2 7" xfId="42809" xr:uid="{00000000-0005-0000-0000-000069A50000}"/>
    <cellStyle name="Normal 10 6 10 2 8" xfId="48286" xr:uid="{00000000-0005-0000-0000-00006AA50000}"/>
    <cellStyle name="Normal 10 6 10 2 9" xfId="53804" xr:uid="{00000000-0005-0000-0000-00006BA50000}"/>
    <cellStyle name="Normal 10 6 10 3" xfId="5400" xr:uid="{00000000-0005-0000-0000-00006CA50000}"/>
    <cellStyle name="Normal 10 6 10 3 2" xfId="10880" xr:uid="{00000000-0005-0000-0000-00006DA50000}"/>
    <cellStyle name="Normal 10 6 10 3 3" xfId="16356" xr:uid="{00000000-0005-0000-0000-00006EA50000}"/>
    <cellStyle name="Normal 10 6 10 3 4" xfId="21832" xr:uid="{00000000-0005-0000-0000-00006FA50000}"/>
    <cellStyle name="Normal 10 6 10 3 5" xfId="27308" xr:uid="{00000000-0005-0000-0000-000070A50000}"/>
    <cellStyle name="Normal 10 6 10 3 6" xfId="39104" xr:uid="{00000000-0005-0000-0000-000071A50000}"/>
    <cellStyle name="Normal 10 6 10 3 7" xfId="44581" xr:uid="{00000000-0005-0000-0000-000072A50000}"/>
    <cellStyle name="Normal 10 6 10 3 8" xfId="50058" xr:uid="{00000000-0005-0000-0000-000073A50000}"/>
    <cellStyle name="Normal 10 6 10 3 9" xfId="55576" xr:uid="{00000000-0005-0000-0000-000074A50000}"/>
    <cellStyle name="Normal 10 6 10 4" xfId="6927" xr:uid="{00000000-0005-0000-0000-000075A50000}"/>
    <cellStyle name="Normal 10 6 10 5" xfId="12407" xr:uid="{00000000-0005-0000-0000-000076A50000}"/>
    <cellStyle name="Normal 10 6 10 6" xfId="17883" xr:uid="{00000000-0005-0000-0000-000077A50000}"/>
    <cellStyle name="Normal 10 6 10 7" xfId="23359" xr:uid="{00000000-0005-0000-0000-000078A50000}"/>
    <cellStyle name="Normal 10 6 10 8" xfId="35154" xr:uid="{00000000-0005-0000-0000-000079A50000}"/>
    <cellStyle name="Normal 10 6 10 9" xfId="40631" xr:uid="{00000000-0005-0000-0000-00007AA50000}"/>
    <cellStyle name="Normal 10 6 11" xfId="2036" xr:uid="{00000000-0005-0000-0000-00007BA50000}"/>
    <cellStyle name="Normal 10 6 11 10" xfId="52213" xr:uid="{00000000-0005-0000-0000-00007CA50000}"/>
    <cellStyle name="Normal 10 6 11 2" xfId="5568" xr:uid="{00000000-0005-0000-0000-00007DA50000}"/>
    <cellStyle name="Normal 10 6 11 2 2" xfId="11048" xr:uid="{00000000-0005-0000-0000-00007EA50000}"/>
    <cellStyle name="Normal 10 6 11 2 3" xfId="16524" xr:uid="{00000000-0005-0000-0000-00007FA50000}"/>
    <cellStyle name="Normal 10 6 11 2 4" xfId="22000" xr:uid="{00000000-0005-0000-0000-000080A50000}"/>
    <cellStyle name="Normal 10 6 11 2 5" xfId="27476" xr:uid="{00000000-0005-0000-0000-000081A50000}"/>
    <cellStyle name="Normal 10 6 11 2 6" xfId="39272" xr:uid="{00000000-0005-0000-0000-000082A50000}"/>
    <cellStyle name="Normal 10 6 11 2 7" xfId="44749" xr:uid="{00000000-0005-0000-0000-000083A50000}"/>
    <cellStyle name="Normal 10 6 11 2 8" xfId="50226" xr:uid="{00000000-0005-0000-0000-000084A50000}"/>
    <cellStyle name="Normal 10 6 11 2 9" xfId="55744" xr:uid="{00000000-0005-0000-0000-000085A50000}"/>
    <cellStyle name="Normal 10 6 11 3" xfId="7517" xr:uid="{00000000-0005-0000-0000-000086A50000}"/>
    <cellStyle name="Normal 10 6 11 4" xfId="12993" xr:uid="{00000000-0005-0000-0000-000087A50000}"/>
    <cellStyle name="Normal 10 6 11 5" xfId="18469" xr:uid="{00000000-0005-0000-0000-000088A50000}"/>
    <cellStyle name="Normal 10 6 11 6" xfId="23945" xr:uid="{00000000-0005-0000-0000-000089A50000}"/>
    <cellStyle name="Normal 10 6 11 7" xfId="35741" xr:uid="{00000000-0005-0000-0000-00008AA50000}"/>
    <cellStyle name="Normal 10 6 11 8" xfId="41218" xr:uid="{00000000-0005-0000-0000-00008BA50000}"/>
    <cellStyle name="Normal 10 6 11 9" xfId="46695" xr:uid="{00000000-0005-0000-0000-00008CA50000}"/>
    <cellStyle name="Normal 10 6 12" xfId="3767" xr:uid="{00000000-0005-0000-0000-00008DA50000}"/>
    <cellStyle name="Normal 10 6 12 2" xfId="9247" xr:uid="{00000000-0005-0000-0000-00008EA50000}"/>
    <cellStyle name="Normal 10 6 12 3" xfId="14723" xr:uid="{00000000-0005-0000-0000-00008FA50000}"/>
    <cellStyle name="Normal 10 6 12 4" xfId="20199" xr:uid="{00000000-0005-0000-0000-000090A50000}"/>
    <cellStyle name="Normal 10 6 12 5" xfId="25675" xr:uid="{00000000-0005-0000-0000-000091A50000}"/>
    <cellStyle name="Normal 10 6 12 6" xfId="37471" xr:uid="{00000000-0005-0000-0000-000092A50000}"/>
    <cellStyle name="Normal 10 6 12 7" xfId="42948" xr:uid="{00000000-0005-0000-0000-000093A50000}"/>
    <cellStyle name="Normal 10 6 12 8" xfId="48425" xr:uid="{00000000-0005-0000-0000-000094A50000}"/>
    <cellStyle name="Normal 10 6 12 9" xfId="53943" xr:uid="{00000000-0005-0000-0000-000095A50000}"/>
    <cellStyle name="Normal 10 6 13" xfId="6926" xr:uid="{00000000-0005-0000-0000-000096A50000}"/>
    <cellStyle name="Normal 10 6 14" xfId="12406" xr:uid="{00000000-0005-0000-0000-000097A50000}"/>
    <cellStyle name="Normal 10 6 15" xfId="17882" xr:uid="{00000000-0005-0000-0000-000098A50000}"/>
    <cellStyle name="Normal 10 6 16" xfId="23358" xr:uid="{00000000-0005-0000-0000-000099A50000}"/>
    <cellStyle name="Normal 10 6 17" xfId="32913" xr:uid="{00000000-0005-0000-0000-00009AA50000}"/>
    <cellStyle name="Normal 10 6 18" xfId="35153" xr:uid="{00000000-0005-0000-0000-00009BA50000}"/>
    <cellStyle name="Normal 10 6 19" xfId="40630" xr:uid="{00000000-0005-0000-0000-00009CA50000}"/>
    <cellStyle name="Normal 10 6 2" xfId="431" xr:uid="{00000000-0005-0000-0000-00009DA50000}"/>
    <cellStyle name="Normal 10 6 2 10" xfId="40632" xr:uid="{00000000-0005-0000-0000-00009EA50000}"/>
    <cellStyle name="Normal 10 6 2 11" xfId="46109" xr:uid="{00000000-0005-0000-0000-00009FA50000}"/>
    <cellStyle name="Normal 10 6 2 12" xfId="51588" xr:uid="{00000000-0005-0000-0000-0000A0A50000}"/>
    <cellStyle name="Normal 10 6 2 2" xfId="2197" xr:uid="{00000000-0005-0000-0000-0000A1A50000}"/>
    <cellStyle name="Normal 10 6 2 2 10" xfId="52373" xr:uid="{00000000-0005-0000-0000-0000A2A50000}"/>
    <cellStyle name="Normal 10 6 2 2 2" xfId="7677" xr:uid="{00000000-0005-0000-0000-0000A3A50000}"/>
    <cellStyle name="Normal 10 6 2 2 3" xfId="13153" xr:uid="{00000000-0005-0000-0000-0000A4A50000}"/>
    <cellStyle name="Normal 10 6 2 2 4" xfId="18629" xr:uid="{00000000-0005-0000-0000-0000A5A50000}"/>
    <cellStyle name="Normal 10 6 2 2 5" xfId="24105" xr:uid="{00000000-0005-0000-0000-0000A6A50000}"/>
    <cellStyle name="Normal 10 6 2 2 6" xfId="32915" xr:uid="{00000000-0005-0000-0000-0000A7A50000}"/>
    <cellStyle name="Normal 10 6 2 2 7" xfId="35901" xr:uid="{00000000-0005-0000-0000-0000A8A50000}"/>
    <cellStyle name="Normal 10 6 2 2 8" xfId="41378" xr:uid="{00000000-0005-0000-0000-0000A9A50000}"/>
    <cellStyle name="Normal 10 6 2 2 9" xfId="46855" xr:uid="{00000000-0005-0000-0000-0000AAA50000}"/>
    <cellStyle name="Normal 10 6 2 3" xfId="3969" xr:uid="{00000000-0005-0000-0000-0000ABA50000}"/>
    <cellStyle name="Normal 10 6 2 3 2" xfId="9449" xr:uid="{00000000-0005-0000-0000-0000ACA50000}"/>
    <cellStyle name="Normal 10 6 2 3 3" xfId="14925" xr:uid="{00000000-0005-0000-0000-0000ADA50000}"/>
    <cellStyle name="Normal 10 6 2 3 4" xfId="20401" xr:uid="{00000000-0005-0000-0000-0000AEA50000}"/>
    <cellStyle name="Normal 10 6 2 3 5" xfId="25877" xr:uid="{00000000-0005-0000-0000-0000AFA50000}"/>
    <cellStyle name="Normal 10 6 2 3 6" xfId="37673" xr:uid="{00000000-0005-0000-0000-0000B0A50000}"/>
    <cellStyle name="Normal 10 6 2 3 7" xfId="43150" xr:uid="{00000000-0005-0000-0000-0000B1A50000}"/>
    <cellStyle name="Normal 10 6 2 3 8" xfId="48627" xr:uid="{00000000-0005-0000-0000-0000B2A50000}"/>
    <cellStyle name="Normal 10 6 2 3 9" xfId="54145" xr:uid="{00000000-0005-0000-0000-0000B3A50000}"/>
    <cellStyle name="Normal 10 6 2 4" xfId="6928" xr:uid="{00000000-0005-0000-0000-0000B4A50000}"/>
    <cellStyle name="Normal 10 6 2 5" xfId="12408" xr:uid="{00000000-0005-0000-0000-0000B5A50000}"/>
    <cellStyle name="Normal 10 6 2 6" xfId="17884" xr:uid="{00000000-0005-0000-0000-0000B6A50000}"/>
    <cellStyle name="Normal 10 6 2 7" xfId="23360" xr:uid="{00000000-0005-0000-0000-0000B7A50000}"/>
    <cellStyle name="Normal 10 6 2 8" xfId="32914" xr:uid="{00000000-0005-0000-0000-0000B8A50000}"/>
    <cellStyle name="Normal 10 6 2 9" xfId="35155" xr:uid="{00000000-0005-0000-0000-0000B9A50000}"/>
    <cellStyle name="Normal 10 6 20" xfId="46107" xr:uid="{00000000-0005-0000-0000-0000BAA50000}"/>
    <cellStyle name="Normal 10 6 21" xfId="51586" xr:uid="{00000000-0005-0000-0000-0000BBA50000}"/>
    <cellStyle name="Normal 10 6 3" xfId="608" xr:uid="{00000000-0005-0000-0000-0000BCA50000}"/>
    <cellStyle name="Normal 10 6 3 10" xfId="40633" xr:uid="{00000000-0005-0000-0000-0000BDA50000}"/>
    <cellStyle name="Normal 10 6 3 11" xfId="46110" xr:uid="{00000000-0005-0000-0000-0000BEA50000}"/>
    <cellStyle name="Normal 10 6 3 12" xfId="51589" xr:uid="{00000000-0005-0000-0000-0000BFA50000}"/>
    <cellStyle name="Normal 10 6 3 2" xfId="2369" xr:uid="{00000000-0005-0000-0000-0000C0A50000}"/>
    <cellStyle name="Normal 10 6 3 2 2" xfId="7849" xr:uid="{00000000-0005-0000-0000-0000C1A50000}"/>
    <cellStyle name="Normal 10 6 3 2 3" xfId="13325" xr:uid="{00000000-0005-0000-0000-0000C2A50000}"/>
    <cellStyle name="Normal 10 6 3 2 4" xfId="18801" xr:uid="{00000000-0005-0000-0000-0000C3A50000}"/>
    <cellStyle name="Normal 10 6 3 2 5" xfId="24277" xr:uid="{00000000-0005-0000-0000-0000C4A50000}"/>
    <cellStyle name="Normal 10 6 3 2 6" xfId="36073" xr:uid="{00000000-0005-0000-0000-0000C5A50000}"/>
    <cellStyle name="Normal 10 6 3 2 7" xfId="41550" xr:uid="{00000000-0005-0000-0000-0000C6A50000}"/>
    <cellStyle name="Normal 10 6 3 2 8" xfId="47027" xr:uid="{00000000-0005-0000-0000-0000C7A50000}"/>
    <cellStyle name="Normal 10 6 3 2 9" xfId="52545" xr:uid="{00000000-0005-0000-0000-0000C8A50000}"/>
    <cellStyle name="Normal 10 6 3 3" xfId="4141" xr:uid="{00000000-0005-0000-0000-0000C9A50000}"/>
    <cellStyle name="Normal 10 6 3 3 2" xfId="9621" xr:uid="{00000000-0005-0000-0000-0000CAA50000}"/>
    <cellStyle name="Normal 10 6 3 3 3" xfId="15097" xr:uid="{00000000-0005-0000-0000-0000CBA50000}"/>
    <cellStyle name="Normal 10 6 3 3 4" xfId="20573" xr:uid="{00000000-0005-0000-0000-0000CCA50000}"/>
    <cellStyle name="Normal 10 6 3 3 5" xfId="26049" xr:uid="{00000000-0005-0000-0000-0000CDA50000}"/>
    <cellStyle name="Normal 10 6 3 3 6" xfId="37845" xr:uid="{00000000-0005-0000-0000-0000CEA50000}"/>
    <cellStyle name="Normal 10 6 3 3 7" xfId="43322" xr:uid="{00000000-0005-0000-0000-0000CFA50000}"/>
    <cellStyle name="Normal 10 6 3 3 8" xfId="48799" xr:uid="{00000000-0005-0000-0000-0000D0A50000}"/>
    <cellStyle name="Normal 10 6 3 3 9" xfId="54317" xr:uid="{00000000-0005-0000-0000-0000D1A50000}"/>
    <cellStyle name="Normal 10 6 3 4" xfId="6929" xr:uid="{00000000-0005-0000-0000-0000D2A50000}"/>
    <cellStyle name="Normal 10 6 3 5" xfId="12409" xr:uid="{00000000-0005-0000-0000-0000D3A50000}"/>
    <cellStyle name="Normal 10 6 3 6" xfId="17885" xr:uid="{00000000-0005-0000-0000-0000D4A50000}"/>
    <cellStyle name="Normal 10 6 3 7" xfId="23361" xr:uid="{00000000-0005-0000-0000-0000D5A50000}"/>
    <cellStyle name="Normal 10 6 3 8" xfId="32916" xr:uid="{00000000-0005-0000-0000-0000D6A50000}"/>
    <cellStyle name="Normal 10 6 3 9" xfId="35156" xr:uid="{00000000-0005-0000-0000-0000D7A50000}"/>
    <cellStyle name="Normal 10 6 4" xfId="780" xr:uid="{00000000-0005-0000-0000-0000D8A50000}"/>
    <cellStyle name="Normal 10 6 4 10" xfId="46111" xr:uid="{00000000-0005-0000-0000-0000D9A50000}"/>
    <cellStyle name="Normal 10 6 4 11" xfId="51590" xr:uid="{00000000-0005-0000-0000-0000DAA50000}"/>
    <cellStyle name="Normal 10 6 4 2" xfId="2541" xr:uid="{00000000-0005-0000-0000-0000DBA50000}"/>
    <cellStyle name="Normal 10 6 4 2 2" xfId="8021" xr:uid="{00000000-0005-0000-0000-0000DCA50000}"/>
    <cellStyle name="Normal 10 6 4 2 3" xfId="13497" xr:uid="{00000000-0005-0000-0000-0000DDA50000}"/>
    <cellStyle name="Normal 10 6 4 2 4" xfId="18973" xr:uid="{00000000-0005-0000-0000-0000DEA50000}"/>
    <cellStyle name="Normal 10 6 4 2 5" xfId="24449" xr:uid="{00000000-0005-0000-0000-0000DFA50000}"/>
    <cellStyle name="Normal 10 6 4 2 6" xfId="36245" xr:uid="{00000000-0005-0000-0000-0000E0A50000}"/>
    <cellStyle name="Normal 10 6 4 2 7" xfId="41722" xr:uid="{00000000-0005-0000-0000-0000E1A50000}"/>
    <cellStyle name="Normal 10 6 4 2 8" xfId="47199" xr:uid="{00000000-0005-0000-0000-0000E2A50000}"/>
    <cellStyle name="Normal 10 6 4 2 9" xfId="52717" xr:uid="{00000000-0005-0000-0000-0000E3A50000}"/>
    <cellStyle name="Normal 10 6 4 3" xfId="4313" xr:uid="{00000000-0005-0000-0000-0000E4A50000}"/>
    <cellStyle name="Normal 10 6 4 3 2" xfId="9793" xr:uid="{00000000-0005-0000-0000-0000E5A50000}"/>
    <cellStyle name="Normal 10 6 4 3 3" xfId="15269" xr:uid="{00000000-0005-0000-0000-0000E6A50000}"/>
    <cellStyle name="Normal 10 6 4 3 4" xfId="20745" xr:uid="{00000000-0005-0000-0000-0000E7A50000}"/>
    <cellStyle name="Normal 10 6 4 3 5" xfId="26221" xr:uid="{00000000-0005-0000-0000-0000E8A50000}"/>
    <cellStyle name="Normal 10 6 4 3 6" xfId="38017" xr:uid="{00000000-0005-0000-0000-0000E9A50000}"/>
    <cellStyle name="Normal 10 6 4 3 7" xfId="43494" xr:uid="{00000000-0005-0000-0000-0000EAA50000}"/>
    <cellStyle name="Normal 10 6 4 3 8" xfId="48971" xr:uid="{00000000-0005-0000-0000-0000EBA50000}"/>
    <cellStyle name="Normal 10 6 4 3 9" xfId="54489" xr:uid="{00000000-0005-0000-0000-0000ECA50000}"/>
    <cellStyle name="Normal 10 6 4 4" xfId="6930" xr:uid="{00000000-0005-0000-0000-0000EDA50000}"/>
    <cellStyle name="Normal 10 6 4 5" xfId="12410" xr:uid="{00000000-0005-0000-0000-0000EEA50000}"/>
    <cellStyle name="Normal 10 6 4 6" xfId="17886" xr:uid="{00000000-0005-0000-0000-0000EFA50000}"/>
    <cellStyle name="Normal 10 6 4 7" xfId="23362" xr:uid="{00000000-0005-0000-0000-0000F0A50000}"/>
    <cellStyle name="Normal 10 6 4 8" xfId="35157" xr:uid="{00000000-0005-0000-0000-0000F1A50000}"/>
    <cellStyle name="Normal 10 6 4 9" xfId="40634" xr:uid="{00000000-0005-0000-0000-0000F2A50000}"/>
    <cellStyle name="Normal 10 6 5" xfId="952" xr:uid="{00000000-0005-0000-0000-0000F3A50000}"/>
    <cellStyle name="Normal 10 6 5 10" xfId="46112" xr:uid="{00000000-0005-0000-0000-0000F4A50000}"/>
    <cellStyle name="Normal 10 6 5 11" xfId="51591" xr:uid="{00000000-0005-0000-0000-0000F5A50000}"/>
    <cellStyle name="Normal 10 6 5 2" xfId="2713" xr:uid="{00000000-0005-0000-0000-0000F6A50000}"/>
    <cellStyle name="Normal 10 6 5 2 2" xfId="8193" xr:uid="{00000000-0005-0000-0000-0000F7A50000}"/>
    <cellStyle name="Normal 10 6 5 2 3" xfId="13669" xr:uid="{00000000-0005-0000-0000-0000F8A50000}"/>
    <cellStyle name="Normal 10 6 5 2 4" xfId="19145" xr:uid="{00000000-0005-0000-0000-0000F9A50000}"/>
    <cellStyle name="Normal 10 6 5 2 5" xfId="24621" xr:uid="{00000000-0005-0000-0000-0000FAA50000}"/>
    <cellStyle name="Normal 10 6 5 2 6" xfId="36417" xr:uid="{00000000-0005-0000-0000-0000FBA50000}"/>
    <cellStyle name="Normal 10 6 5 2 7" xfId="41894" xr:uid="{00000000-0005-0000-0000-0000FCA50000}"/>
    <cellStyle name="Normal 10 6 5 2 8" xfId="47371" xr:uid="{00000000-0005-0000-0000-0000FDA50000}"/>
    <cellStyle name="Normal 10 6 5 2 9" xfId="52889" xr:uid="{00000000-0005-0000-0000-0000FEA50000}"/>
    <cellStyle name="Normal 10 6 5 3" xfId="4485" xr:uid="{00000000-0005-0000-0000-0000FFA50000}"/>
    <cellStyle name="Normal 10 6 5 3 2" xfId="9965" xr:uid="{00000000-0005-0000-0000-000000A60000}"/>
    <cellStyle name="Normal 10 6 5 3 3" xfId="15441" xr:uid="{00000000-0005-0000-0000-000001A60000}"/>
    <cellStyle name="Normal 10 6 5 3 4" xfId="20917" xr:uid="{00000000-0005-0000-0000-000002A60000}"/>
    <cellStyle name="Normal 10 6 5 3 5" xfId="26393" xr:uid="{00000000-0005-0000-0000-000003A60000}"/>
    <cellStyle name="Normal 10 6 5 3 6" xfId="38189" xr:uid="{00000000-0005-0000-0000-000004A60000}"/>
    <cellStyle name="Normal 10 6 5 3 7" xfId="43666" xr:uid="{00000000-0005-0000-0000-000005A60000}"/>
    <cellStyle name="Normal 10 6 5 3 8" xfId="49143" xr:uid="{00000000-0005-0000-0000-000006A60000}"/>
    <cellStyle name="Normal 10 6 5 3 9" xfId="54661" xr:uid="{00000000-0005-0000-0000-000007A60000}"/>
    <cellStyle name="Normal 10 6 5 4" xfId="6931" xr:uid="{00000000-0005-0000-0000-000008A60000}"/>
    <cellStyle name="Normal 10 6 5 5" xfId="12411" xr:uid="{00000000-0005-0000-0000-000009A60000}"/>
    <cellStyle name="Normal 10 6 5 6" xfId="17887" xr:uid="{00000000-0005-0000-0000-00000AA60000}"/>
    <cellStyle name="Normal 10 6 5 7" xfId="23363" xr:uid="{00000000-0005-0000-0000-00000BA60000}"/>
    <cellStyle name="Normal 10 6 5 8" xfId="35158" xr:uid="{00000000-0005-0000-0000-00000CA60000}"/>
    <cellStyle name="Normal 10 6 5 9" xfId="40635" xr:uid="{00000000-0005-0000-0000-00000DA60000}"/>
    <cellStyle name="Normal 10 6 6" xfId="1158" xr:uid="{00000000-0005-0000-0000-00000EA60000}"/>
    <cellStyle name="Normal 10 6 6 10" xfId="46113" xr:uid="{00000000-0005-0000-0000-00000FA60000}"/>
    <cellStyle name="Normal 10 6 6 11" xfId="51592" xr:uid="{00000000-0005-0000-0000-000010A60000}"/>
    <cellStyle name="Normal 10 6 6 2" xfId="2919" xr:uid="{00000000-0005-0000-0000-000011A60000}"/>
    <cellStyle name="Normal 10 6 6 2 2" xfId="8399" xr:uid="{00000000-0005-0000-0000-000012A60000}"/>
    <cellStyle name="Normal 10 6 6 2 3" xfId="13875" xr:uid="{00000000-0005-0000-0000-000013A60000}"/>
    <cellStyle name="Normal 10 6 6 2 4" xfId="19351" xr:uid="{00000000-0005-0000-0000-000014A60000}"/>
    <cellStyle name="Normal 10 6 6 2 5" xfId="24827" xr:uid="{00000000-0005-0000-0000-000015A60000}"/>
    <cellStyle name="Normal 10 6 6 2 6" xfId="36623" xr:uid="{00000000-0005-0000-0000-000016A60000}"/>
    <cellStyle name="Normal 10 6 6 2 7" xfId="42100" xr:uid="{00000000-0005-0000-0000-000017A60000}"/>
    <cellStyle name="Normal 10 6 6 2 8" xfId="47577" xr:uid="{00000000-0005-0000-0000-000018A60000}"/>
    <cellStyle name="Normal 10 6 6 2 9" xfId="53095" xr:uid="{00000000-0005-0000-0000-000019A60000}"/>
    <cellStyle name="Normal 10 6 6 3" xfId="4691" xr:uid="{00000000-0005-0000-0000-00001AA60000}"/>
    <cellStyle name="Normal 10 6 6 3 2" xfId="10171" xr:uid="{00000000-0005-0000-0000-00001BA60000}"/>
    <cellStyle name="Normal 10 6 6 3 3" xfId="15647" xr:uid="{00000000-0005-0000-0000-00001CA60000}"/>
    <cellStyle name="Normal 10 6 6 3 4" xfId="21123" xr:uid="{00000000-0005-0000-0000-00001DA60000}"/>
    <cellStyle name="Normal 10 6 6 3 5" xfId="26599" xr:uid="{00000000-0005-0000-0000-00001EA60000}"/>
    <cellStyle name="Normal 10 6 6 3 6" xfId="38395" xr:uid="{00000000-0005-0000-0000-00001FA60000}"/>
    <cellStyle name="Normal 10 6 6 3 7" xfId="43872" xr:uid="{00000000-0005-0000-0000-000020A60000}"/>
    <cellStyle name="Normal 10 6 6 3 8" xfId="49349" xr:uid="{00000000-0005-0000-0000-000021A60000}"/>
    <cellStyle name="Normal 10 6 6 3 9" xfId="54867" xr:uid="{00000000-0005-0000-0000-000022A60000}"/>
    <cellStyle name="Normal 10 6 6 4" xfId="6932" xr:uid="{00000000-0005-0000-0000-000023A60000}"/>
    <cellStyle name="Normal 10 6 6 5" xfId="12412" xr:uid="{00000000-0005-0000-0000-000024A60000}"/>
    <cellStyle name="Normal 10 6 6 6" xfId="17888" xr:uid="{00000000-0005-0000-0000-000025A60000}"/>
    <cellStyle name="Normal 10 6 6 7" xfId="23364" xr:uid="{00000000-0005-0000-0000-000026A60000}"/>
    <cellStyle name="Normal 10 6 6 8" xfId="35159" xr:uid="{00000000-0005-0000-0000-000027A60000}"/>
    <cellStyle name="Normal 10 6 6 9" xfId="40636" xr:uid="{00000000-0005-0000-0000-000028A60000}"/>
    <cellStyle name="Normal 10 6 7" xfId="1330" xr:uid="{00000000-0005-0000-0000-000029A60000}"/>
    <cellStyle name="Normal 10 6 7 10" xfId="46114" xr:uid="{00000000-0005-0000-0000-00002AA60000}"/>
    <cellStyle name="Normal 10 6 7 11" xfId="51593" xr:uid="{00000000-0005-0000-0000-00002BA60000}"/>
    <cellStyle name="Normal 10 6 7 2" xfId="3091" xr:uid="{00000000-0005-0000-0000-00002CA60000}"/>
    <cellStyle name="Normal 10 6 7 2 2" xfId="8571" xr:uid="{00000000-0005-0000-0000-00002DA60000}"/>
    <cellStyle name="Normal 10 6 7 2 3" xfId="14047" xr:uid="{00000000-0005-0000-0000-00002EA60000}"/>
    <cellStyle name="Normal 10 6 7 2 4" xfId="19523" xr:uid="{00000000-0005-0000-0000-00002FA60000}"/>
    <cellStyle name="Normal 10 6 7 2 5" xfId="24999" xr:uid="{00000000-0005-0000-0000-000030A60000}"/>
    <cellStyle name="Normal 10 6 7 2 6" xfId="36795" xr:uid="{00000000-0005-0000-0000-000031A60000}"/>
    <cellStyle name="Normal 10 6 7 2 7" xfId="42272" xr:uid="{00000000-0005-0000-0000-000032A60000}"/>
    <cellStyle name="Normal 10 6 7 2 8" xfId="47749" xr:uid="{00000000-0005-0000-0000-000033A60000}"/>
    <cellStyle name="Normal 10 6 7 2 9" xfId="53267" xr:uid="{00000000-0005-0000-0000-000034A60000}"/>
    <cellStyle name="Normal 10 6 7 3" xfId="4863" xr:uid="{00000000-0005-0000-0000-000035A60000}"/>
    <cellStyle name="Normal 10 6 7 3 2" xfId="10343" xr:uid="{00000000-0005-0000-0000-000036A60000}"/>
    <cellStyle name="Normal 10 6 7 3 3" xfId="15819" xr:uid="{00000000-0005-0000-0000-000037A60000}"/>
    <cellStyle name="Normal 10 6 7 3 4" xfId="21295" xr:uid="{00000000-0005-0000-0000-000038A60000}"/>
    <cellStyle name="Normal 10 6 7 3 5" xfId="26771" xr:uid="{00000000-0005-0000-0000-000039A60000}"/>
    <cellStyle name="Normal 10 6 7 3 6" xfId="38567" xr:uid="{00000000-0005-0000-0000-00003AA60000}"/>
    <cellStyle name="Normal 10 6 7 3 7" xfId="44044" xr:uid="{00000000-0005-0000-0000-00003BA60000}"/>
    <cellStyle name="Normal 10 6 7 3 8" xfId="49521" xr:uid="{00000000-0005-0000-0000-00003CA60000}"/>
    <cellStyle name="Normal 10 6 7 3 9" xfId="55039" xr:uid="{00000000-0005-0000-0000-00003DA60000}"/>
    <cellStyle name="Normal 10 6 7 4" xfId="6933" xr:uid="{00000000-0005-0000-0000-00003EA60000}"/>
    <cellStyle name="Normal 10 6 7 5" xfId="12413" xr:uid="{00000000-0005-0000-0000-00003FA60000}"/>
    <cellStyle name="Normal 10 6 7 6" xfId="17889" xr:uid="{00000000-0005-0000-0000-000040A60000}"/>
    <cellStyle name="Normal 10 6 7 7" xfId="23365" xr:uid="{00000000-0005-0000-0000-000041A60000}"/>
    <cellStyle name="Normal 10 6 7 8" xfId="35160" xr:uid="{00000000-0005-0000-0000-000042A60000}"/>
    <cellStyle name="Normal 10 6 7 9" xfId="40637" xr:uid="{00000000-0005-0000-0000-000043A60000}"/>
    <cellStyle name="Normal 10 6 8" xfId="1502" xr:uid="{00000000-0005-0000-0000-000044A60000}"/>
    <cellStyle name="Normal 10 6 8 10" xfId="46115" xr:uid="{00000000-0005-0000-0000-000045A60000}"/>
    <cellStyle name="Normal 10 6 8 11" xfId="51594" xr:uid="{00000000-0005-0000-0000-000046A60000}"/>
    <cellStyle name="Normal 10 6 8 2" xfId="3263" xr:uid="{00000000-0005-0000-0000-000047A60000}"/>
    <cellStyle name="Normal 10 6 8 2 2" xfId="8743" xr:uid="{00000000-0005-0000-0000-000048A60000}"/>
    <cellStyle name="Normal 10 6 8 2 3" xfId="14219" xr:uid="{00000000-0005-0000-0000-000049A60000}"/>
    <cellStyle name="Normal 10 6 8 2 4" xfId="19695" xr:uid="{00000000-0005-0000-0000-00004AA60000}"/>
    <cellStyle name="Normal 10 6 8 2 5" xfId="25171" xr:uid="{00000000-0005-0000-0000-00004BA60000}"/>
    <cellStyle name="Normal 10 6 8 2 6" xfId="36967" xr:uid="{00000000-0005-0000-0000-00004CA60000}"/>
    <cellStyle name="Normal 10 6 8 2 7" xfId="42444" xr:uid="{00000000-0005-0000-0000-00004DA60000}"/>
    <cellStyle name="Normal 10 6 8 2 8" xfId="47921" xr:uid="{00000000-0005-0000-0000-00004EA60000}"/>
    <cellStyle name="Normal 10 6 8 2 9" xfId="53439" xr:uid="{00000000-0005-0000-0000-00004FA60000}"/>
    <cellStyle name="Normal 10 6 8 3" xfId="5035" xr:uid="{00000000-0005-0000-0000-000050A60000}"/>
    <cellStyle name="Normal 10 6 8 3 2" xfId="10515" xr:uid="{00000000-0005-0000-0000-000051A60000}"/>
    <cellStyle name="Normal 10 6 8 3 3" xfId="15991" xr:uid="{00000000-0005-0000-0000-000052A60000}"/>
    <cellStyle name="Normal 10 6 8 3 4" xfId="21467" xr:uid="{00000000-0005-0000-0000-000053A60000}"/>
    <cellStyle name="Normal 10 6 8 3 5" xfId="26943" xr:uid="{00000000-0005-0000-0000-000054A60000}"/>
    <cellStyle name="Normal 10 6 8 3 6" xfId="38739" xr:uid="{00000000-0005-0000-0000-000055A60000}"/>
    <cellStyle name="Normal 10 6 8 3 7" xfId="44216" xr:uid="{00000000-0005-0000-0000-000056A60000}"/>
    <cellStyle name="Normal 10 6 8 3 8" xfId="49693" xr:uid="{00000000-0005-0000-0000-000057A60000}"/>
    <cellStyle name="Normal 10 6 8 3 9" xfId="55211" xr:uid="{00000000-0005-0000-0000-000058A60000}"/>
    <cellStyle name="Normal 10 6 8 4" xfId="6934" xr:uid="{00000000-0005-0000-0000-000059A60000}"/>
    <cellStyle name="Normal 10 6 8 5" xfId="12414" xr:uid="{00000000-0005-0000-0000-00005AA60000}"/>
    <cellStyle name="Normal 10 6 8 6" xfId="17890" xr:uid="{00000000-0005-0000-0000-00005BA60000}"/>
    <cellStyle name="Normal 10 6 8 7" xfId="23366" xr:uid="{00000000-0005-0000-0000-00005CA60000}"/>
    <cellStyle name="Normal 10 6 8 8" xfId="35161" xr:uid="{00000000-0005-0000-0000-00005DA60000}"/>
    <cellStyle name="Normal 10 6 8 9" xfId="40638" xr:uid="{00000000-0005-0000-0000-00005EA60000}"/>
    <cellStyle name="Normal 10 6 9" xfId="1674" xr:uid="{00000000-0005-0000-0000-00005FA60000}"/>
    <cellStyle name="Normal 10 6 9 10" xfId="46116" xr:uid="{00000000-0005-0000-0000-000060A60000}"/>
    <cellStyle name="Normal 10 6 9 11" xfId="51595" xr:uid="{00000000-0005-0000-0000-000061A60000}"/>
    <cellStyle name="Normal 10 6 9 2" xfId="3435" xr:uid="{00000000-0005-0000-0000-000062A60000}"/>
    <cellStyle name="Normal 10 6 9 2 2" xfId="8915" xr:uid="{00000000-0005-0000-0000-000063A60000}"/>
    <cellStyle name="Normal 10 6 9 2 3" xfId="14391" xr:uid="{00000000-0005-0000-0000-000064A60000}"/>
    <cellStyle name="Normal 10 6 9 2 4" xfId="19867" xr:uid="{00000000-0005-0000-0000-000065A60000}"/>
    <cellStyle name="Normal 10 6 9 2 5" xfId="25343" xr:uid="{00000000-0005-0000-0000-000066A60000}"/>
    <cellStyle name="Normal 10 6 9 2 6" xfId="37139" xr:uid="{00000000-0005-0000-0000-000067A60000}"/>
    <cellStyle name="Normal 10 6 9 2 7" xfId="42616" xr:uid="{00000000-0005-0000-0000-000068A60000}"/>
    <cellStyle name="Normal 10 6 9 2 8" xfId="48093" xr:uid="{00000000-0005-0000-0000-000069A60000}"/>
    <cellStyle name="Normal 10 6 9 2 9" xfId="53611" xr:uid="{00000000-0005-0000-0000-00006AA60000}"/>
    <cellStyle name="Normal 10 6 9 3" xfId="5207" xr:uid="{00000000-0005-0000-0000-00006BA60000}"/>
    <cellStyle name="Normal 10 6 9 3 2" xfId="10687" xr:uid="{00000000-0005-0000-0000-00006CA60000}"/>
    <cellStyle name="Normal 10 6 9 3 3" xfId="16163" xr:uid="{00000000-0005-0000-0000-00006DA60000}"/>
    <cellStyle name="Normal 10 6 9 3 4" xfId="21639" xr:uid="{00000000-0005-0000-0000-00006EA60000}"/>
    <cellStyle name="Normal 10 6 9 3 5" xfId="27115" xr:uid="{00000000-0005-0000-0000-00006FA60000}"/>
    <cellStyle name="Normal 10 6 9 3 6" xfId="38911" xr:uid="{00000000-0005-0000-0000-000070A60000}"/>
    <cellStyle name="Normal 10 6 9 3 7" xfId="44388" xr:uid="{00000000-0005-0000-0000-000071A60000}"/>
    <cellStyle name="Normal 10 6 9 3 8" xfId="49865" xr:uid="{00000000-0005-0000-0000-000072A60000}"/>
    <cellStyle name="Normal 10 6 9 3 9" xfId="55383" xr:uid="{00000000-0005-0000-0000-000073A60000}"/>
    <cellStyle name="Normal 10 6 9 4" xfId="6935" xr:uid="{00000000-0005-0000-0000-000074A60000}"/>
    <cellStyle name="Normal 10 6 9 5" xfId="12415" xr:uid="{00000000-0005-0000-0000-000075A60000}"/>
    <cellStyle name="Normal 10 6 9 6" xfId="17891" xr:uid="{00000000-0005-0000-0000-000076A60000}"/>
    <cellStyle name="Normal 10 6 9 7" xfId="23367" xr:uid="{00000000-0005-0000-0000-000077A60000}"/>
    <cellStyle name="Normal 10 6 9 8" xfId="35162" xr:uid="{00000000-0005-0000-0000-000078A60000}"/>
    <cellStyle name="Normal 10 6 9 9" xfId="40639" xr:uid="{00000000-0005-0000-0000-000079A60000}"/>
    <cellStyle name="Normal 10 7" xfId="422" xr:uid="{00000000-0005-0000-0000-00007AA60000}"/>
    <cellStyle name="Normal 10 7 10" xfId="40640" xr:uid="{00000000-0005-0000-0000-00007BA60000}"/>
    <cellStyle name="Normal 10 7 11" xfId="46117" xr:uid="{00000000-0005-0000-0000-00007CA60000}"/>
    <cellStyle name="Normal 10 7 12" xfId="51596" xr:uid="{00000000-0005-0000-0000-00007DA60000}"/>
    <cellStyle name="Normal 10 7 2" xfId="2188" xr:uid="{00000000-0005-0000-0000-00007EA60000}"/>
    <cellStyle name="Normal 10 7 2 10" xfId="52364" xr:uid="{00000000-0005-0000-0000-00007FA60000}"/>
    <cellStyle name="Normal 10 7 2 2" xfId="7668" xr:uid="{00000000-0005-0000-0000-000080A60000}"/>
    <cellStyle name="Normal 10 7 2 2 2" xfId="32919" xr:uid="{00000000-0005-0000-0000-000081A60000}"/>
    <cellStyle name="Normal 10 7 2 3" xfId="13144" xr:uid="{00000000-0005-0000-0000-000082A60000}"/>
    <cellStyle name="Normal 10 7 2 4" xfId="18620" xr:uid="{00000000-0005-0000-0000-000083A60000}"/>
    <cellStyle name="Normal 10 7 2 5" xfId="24096" xr:uid="{00000000-0005-0000-0000-000084A60000}"/>
    <cellStyle name="Normal 10 7 2 6" xfId="32918" xr:uid="{00000000-0005-0000-0000-000085A60000}"/>
    <cellStyle name="Normal 10 7 2 7" xfId="35892" xr:uid="{00000000-0005-0000-0000-000086A60000}"/>
    <cellStyle name="Normal 10 7 2 8" xfId="41369" xr:uid="{00000000-0005-0000-0000-000087A60000}"/>
    <cellStyle name="Normal 10 7 2 9" xfId="46846" xr:uid="{00000000-0005-0000-0000-000088A60000}"/>
    <cellStyle name="Normal 10 7 3" xfId="3960" xr:uid="{00000000-0005-0000-0000-000089A60000}"/>
    <cellStyle name="Normal 10 7 3 10" xfId="54136" xr:uid="{00000000-0005-0000-0000-00008AA60000}"/>
    <cellStyle name="Normal 10 7 3 2" xfId="9440" xr:uid="{00000000-0005-0000-0000-00008BA60000}"/>
    <cellStyle name="Normal 10 7 3 3" xfId="14916" xr:uid="{00000000-0005-0000-0000-00008CA60000}"/>
    <cellStyle name="Normal 10 7 3 4" xfId="20392" xr:uid="{00000000-0005-0000-0000-00008DA60000}"/>
    <cellStyle name="Normal 10 7 3 5" xfId="25868" xr:uid="{00000000-0005-0000-0000-00008EA60000}"/>
    <cellStyle name="Normal 10 7 3 6" xfId="32920" xr:uid="{00000000-0005-0000-0000-00008FA60000}"/>
    <cellStyle name="Normal 10 7 3 7" xfId="37664" xr:uid="{00000000-0005-0000-0000-000090A60000}"/>
    <cellStyle name="Normal 10 7 3 8" xfId="43141" xr:uid="{00000000-0005-0000-0000-000091A60000}"/>
    <cellStyle name="Normal 10 7 3 9" xfId="48618" xr:uid="{00000000-0005-0000-0000-000092A60000}"/>
    <cellStyle name="Normal 10 7 4" xfId="6936" xr:uid="{00000000-0005-0000-0000-000093A60000}"/>
    <cellStyle name="Normal 10 7 5" xfId="12416" xr:uid="{00000000-0005-0000-0000-000094A60000}"/>
    <cellStyle name="Normal 10 7 6" xfId="17892" xr:uid="{00000000-0005-0000-0000-000095A60000}"/>
    <cellStyle name="Normal 10 7 7" xfId="23368" xr:uid="{00000000-0005-0000-0000-000096A60000}"/>
    <cellStyle name="Normal 10 7 8" xfId="32917" xr:uid="{00000000-0005-0000-0000-000097A60000}"/>
    <cellStyle name="Normal 10 7 9" xfId="35163" xr:uid="{00000000-0005-0000-0000-000098A60000}"/>
    <cellStyle name="Normal 10 8" xfId="599" xr:uid="{00000000-0005-0000-0000-000099A60000}"/>
    <cellStyle name="Normal 10 8 10" xfId="40641" xr:uid="{00000000-0005-0000-0000-00009AA60000}"/>
    <cellStyle name="Normal 10 8 11" xfId="46118" xr:uid="{00000000-0005-0000-0000-00009BA60000}"/>
    <cellStyle name="Normal 10 8 12" xfId="51597" xr:uid="{00000000-0005-0000-0000-00009CA60000}"/>
    <cellStyle name="Normal 10 8 2" xfId="2360" xr:uid="{00000000-0005-0000-0000-00009DA60000}"/>
    <cellStyle name="Normal 10 8 2 10" xfId="52536" xr:uid="{00000000-0005-0000-0000-00009EA60000}"/>
    <cellStyle name="Normal 10 8 2 2" xfId="7840" xr:uid="{00000000-0005-0000-0000-00009FA60000}"/>
    <cellStyle name="Normal 10 8 2 3" xfId="13316" xr:uid="{00000000-0005-0000-0000-0000A0A60000}"/>
    <cellStyle name="Normal 10 8 2 4" xfId="18792" xr:uid="{00000000-0005-0000-0000-0000A1A60000}"/>
    <cellStyle name="Normal 10 8 2 5" xfId="24268" xr:uid="{00000000-0005-0000-0000-0000A2A60000}"/>
    <cellStyle name="Normal 10 8 2 6" xfId="32922" xr:uid="{00000000-0005-0000-0000-0000A3A60000}"/>
    <cellStyle name="Normal 10 8 2 7" xfId="36064" xr:uid="{00000000-0005-0000-0000-0000A4A60000}"/>
    <cellStyle name="Normal 10 8 2 8" xfId="41541" xr:uid="{00000000-0005-0000-0000-0000A5A60000}"/>
    <cellStyle name="Normal 10 8 2 9" xfId="47018" xr:uid="{00000000-0005-0000-0000-0000A6A60000}"/>
    <cellStyle name="Normal 10 8 3" xfId="4132" xr:uid="{00000000-0005-0000-0000-0000A7A60000}"/>
    <cellStyle name="Normal 10 8 3 2" xfId="9612" xr:uid="{00000000-0005-0000-0000-0000A8A60000}"/>
    <cellStyle name="Normal 10 8 3 3" xfId="15088" xr:uid="{00000000-0005-0000-0000-0000A9A60000}"/>
    <cellStyle name="Normal 10 8 3 4" xfId="20564" xr:uid="{00000000-0005-0000-0000-0000AAA60000}"/>
    <cellStyle name="Normal 10 8 3 5" xfId="26040" xr:uid="{00000000-0005-0000-0000-0000ABA60000}"/>
    <cellStyle name="Normal 10 8 3 6" xfId="37836" xr:uid="{00000000-0005-0000-0000-0000ACA60000}"/>
    <cellStyle name="Normal 10 8 3 7" xfId="43313" xr:uid="{00000000-0005-0000-0000-0000ADA60000}"/>
    <cellStyle name="Normal 10 8 3 8" xfId="48790" xr:uid="{00000000-0005-0000-0000-0000AEA60000}"/>
    <cellStyle name="Normal 10 8 3 9" xfId="54308" xr:uid="{00000000-0005-0000-0000-0000AFA60000}"/>
    <cellStyle name="Normal 10 8 4" xfId="6937" xr:uid="{00000000-0005-0000-0000-0000B0A60000}"/>
    <cellStyle name="Normal 10 8 5" xfId="12417" xr:uid="{00000000-0005-0000-0000-0000B1A60000}"/>
    <cellStyle name="Normal 10 8 6" xfId="17893" xr:uid="{00000000-0005-0000-0000-0000B2A60000}"/>
    <cellStyle name="Normal 10 8 7" xfId="23369" xr:uid="{00000000-0005-0000-0000-0000B3A60000}"/>
    <cellStyle name="Normal 10 8 8" xfId="32921" xr:uid="{00000000-0005-0000-0000-0000B4A60000}"/>
    <cellStyle name="Normal 10 8 9" xfId="35164" xr:uid="{00000000-0005-0000-0000-0000B5A60000}"/>
    <cellStyle name="Normal 10 9" xfId="771" xr:uid="{00000000-0005-0000-0000-0000B6A60000}"/>
    <cellStyle name="Normal 10 9 10" xfId="40642" xr:uid="{00000000-0005-0000-0000-0000B7A60000}"/>
    <cellStyle name="Normal 10 9 11" xfId="46119" xr:uid="{00000000-0005-0000-0000-0000B8A60000}"/>
    <cellStyle name="Normal 10 9 12" xfId="51598" xr:uid="{00000000-0005-0000-0000-0000B9A60000}"/>
    <cellStyle name="Normal 10 9 2" xfId="2532" xr:uid="{00000000-0005-0000-0000-0000BAA60000}"/>
    <cellStyle name="Normal 10 9 2 2" xfId="8012" xr:uid="{00000000-0005-0000-0000-0000BBA60000}"/>
    <cellStyle name="Normal 10 9 2 3" xfId="13488" xr:uid="{00000000-0005-0000-0000-0000BCA60000}"/>
    <cellStyle name="Normal 10 9 2 4" xfId="18964" xr:uid="{00000000-0005-0000-0000-0000BDA60000}"/>
    <cellStyle name="Normal 10 9 2 5" xfId="24440" xr:uid="{00000000-0005-0000-0000-0000BEA60000}"/>
    <cellStyle name="Normal 10 9 2 6" xfId="36236" xr:uid="{00000000-0005-0000-0000-0000BFA60000}"/>
    <cellStyle name="Normal 10 9 2 7" xfId="41713" xr:uid="{00000000-0005-0000-0000-0000C0A60000}"/>
    <cellStyle name="Normal 10 9 2 8" xfId="47190" xr:uid="{00000000-0005-0000-0000-0000C1A60000}"/>
    <cellStyle name="Normal 10 9 2 9" xfId="52708" xr:uid="{00000000-0005-0000-0000-0000C2A60000}"/>
    <cellStyle name="Normal 10 9 3" xfId="4304" xr:uid="{00000000-0005-0000-0000-0000C3A60000}"/>
    <cellStyle name="Normal 10 9 3 2" xfId="9784" xr:uid="{00000000-0005-0000-0000-0000C4A60000}"/>
    <cellStyle name="Normal 10 9 3 3" xfId="15260" xr:uid="{00000000-0005-0000-0000-0000C5A60000}"/>
    <cellStyle name="Normal 10 9 3 4" xfId="20736" xr:uid="{00000000-0005-0000-0000-0000C6A60000}"/>
    <cellStyle name="Normal 10 9 3 5" xfId="26212" xr:uid="{00000000-0005-0000-0000-0000C7A60000}"/>
    <cellStyle name="Normal 10 9 3 6" xfId="38008" xr:uid="{00000000-0005-0000-0000-0000C8A60000}"/>
    <cellStyle name="Normal 10 9 3 7" xfId="43485" xr:uid="{00000000-0005-0000-0000-0000C9A60000}"/>
    <cellStyle name="Normal 10 9 3 8" xfId="48962" xr:uid="{00000000-0005-0000-0000-0000CAA60000}"/>
    <cellStyle name="Normal 10 9 3 9" xfId="54480" xr:uid="{00000000-0005-0000-0000-0000CBA60000}"/>
    <cellStyle name="Normal 10 9 4" xfId="6938" xr:uid="{00000000-0005-0000-0000-0000CCA60000}"/>
    <cellStyle name="Normal 10 9 5" xfId="12418" xr:uid="{00000000-0005-0000-0000-0000CDA60000}"/>
    <cellStyle name="Normal 10 9 6" xfId="17894" xr:uid="{00000000-0005-0000-0000-0000CEA60000}"/>
    <cellStyle name="Normal 10 9 7" xfId="23370" xr:uid="{00000000-0005-0000-0000-0000CFA60000}"/>
    <cellStyle name="Normal 10 9 8" xfId="32923" xr:uid="{00000000-0005-0000-0000-0000D0A60000}"/>
    <cellStyle name="Normal 10 9 9" xfId="35165" xr:uid="{00000000-0005-0000-0000-0000D1A60000}"/>
    <cellStyle name="Normal 11" xfId="80" xr:uid="{00000000-0005-0000-0000-0000D2A60000}"/>
    <cellStyle name="Normal 11 10" xfId="953" xr:uid="{00000000-0005-0000-0000-0000D3A60000}"/>
    <cellStyle name="Normal 11 10 10" xfId="46121" xr:uid="{00000000-0005-0000-0000-0000D4A60000}"/>
    <cellStyle name="Normal 11 10 11" xfId="51600" xr:uid="{00000000-0005-0000-0000-0000D5A60000}"/>
    <cellStyle name="Normal 11 10 2" xfId="2714" xr:uid="{00000000-0005-0000-0000-0000D6A60000}"/>
    <cellStyle name="Normal 11 10 2 2" xfId="8194" xr:uid="{00000000-0005-0000-0000-0000D7A60000}"/>
    <cellStyle name="Normal 11 10 2 3" xfId="13670" xr:uid="{00000000-0005-0000-0000-0000D8A60000}"/>
    <cellStyle name="Normal 11 10 2 4" xfId="19146" xr:uid="{00000000-0005-0000-0000-0000D9A60000}"/>
    <cellStyle name="Normal 11 10 2 5" xfId="24622" xr:uid="{00000000-0005-0000-0000-0000DAA60000}"/>
    <cellStyle name="Normal 11 10 2 6" xfId="36418" xr:uid="{00000000-0005-0000-0000-0000DBA60000}"/>
    <cellStyle name="Normal 11 10 2 7" xfId="41895" xr:uid="{00000000-0005-0000-0000-0000DCA60000}"/>
    <cellStyle name="Normal 11 10 2 8" xfId="47372" xr:uid="{00000000-0005-0000-0000-0000DDA60000}"/>
    <cellStyle name="Normal 11 10 2 9" xfId="52890" xr:uid="{00000000-0005-0000-0000-0000DEA60000}"/>
    <cellStyle name="Normal 11 10 3" xfId="4486" xr:uid="{00000000-0005-0000-0000-0000DFA60000}"/>
    <cellStyle name="Normal 11 10 3 2" xfId="9966" xr:uid="{00000000-0005-0000-0000-0000E0A60000}"/>
    <cellStyle name="Normal 11 10 3 3" xfId="15442" xr:uid="{00000000-0005-0000-0000-0000E1A60000}"/>
    <cellStyle name="Normal 11 10 3 4" xfId="20918" xr:uid="{00000000-0005-0000-0000-0000E2A60000}"/>
    <cellStyle name="Normal 11 10 3 5" xfId="26394" xr:uid="{00000000-0005-0000-0000-0000E3A60000}"/>
    <cellStyle name="Normal 11 10 3 6" xfId="38190" xr:uid="{00000000-0005-0000-0000-0000E4A60000}"/>
    <cellStyle name="Normal 11 10 3 7" xfId="43667" xr:uid="{00000000-0005-0000-0000-0000E5A60000}"/>
    <cellStyle name="Normal 11 10 3 8" xfId="49144" xr:uid="{00000000-0005-0000-0000-0000E6A60000}"/>
    <cellStyle name="Normal 11 10 3 9" xfId="54662" xr:uid="{00000000-0005-0000-0000-0000E7A60000}"/>
    <cellStyle name="Normal 11 10 4" xfId="6940" xr:uid="{00000000-0005-0000-0000-0000E8A60000}"/>
    <cellStyle name="Normal 11 10 5" xfId="12420" xr:uid="{00000000-0005-0000-0000-0000E9A60000}"/>
    <cellStyle name="Normal 11 10 6" xfId="17896" xr:uid="{00000000-0005-0000-0000-0000EAA60000}"/>
    <cellStyle name="Normal 11 10 7" xfId="23372" xr:uid="{00000000-0005-0000-0000-0000EBA60000}"/>
    <cellStyle name="Normal 11 10 8" xfId="35167" xr:uid="{00000000-0005-0000-0000-0000ECA60000}"/>
    <cellStyle name="Normal 11 10 9" xfId="40644" xr:uid="{00000000-0005-0000-0000-0000EDA60000}"/>
    <cellStyle name="Normal 11 11" xfId="1008" xr:uid="{00000000-0005-0000-0000-0000EEA60000}"/>
    <cellStyle name="Normal 11 11 10" xfId="46122" xr:uid="{00000000-0005-0000-0000-0000EFA60000}"/>
    <cellStyle name="Normal 11 11 11" xfId="51601" xr:uid="{00000000-0005-0000-0000-0000F0A60000}"/>
    <cellStyle name="Normal 11 11 2" xfId="2769" xr:uid="{00000000-0005-0000-0000-0000F1A60000}"/>
    <cellStyle name="Normal 11 11 2 2" xfId="8249" xr:uid="{00000000-0005-0000-0000-0000F2A60000}"/>
    <cellStyle name="Normal 11 11 2 3" xfId="13725" xr:uid="{00000000-0005-0000-0000-0000F3A60000}"/>
    <cellStyle name="Normal 11 11 2 4" xfId="19201" xr:uid="{00000000-0005-0000-0000-0000F4A60000}"/>
    <cellStyle name="Normal 11 11 2 5" xfId="24677" xr:uid="{00000000-0005-0000-0000-0000F5A60000}"/>
    <cellStyle name="Normal 11 11 2 6" xfId="36473" xr:uid="{00000000-0005-0000-0000-0000F6A60000}"/>
    <cellStyle name="Normal 11 11 2 7" xfId="41950" xr:uid="{00000000-0005-0000-0000-0000F7A60000}"/>
    <cellStyle name="Normal 11 11 2 8" xfId="47427" xr:uid="{00000000-0005-0000-0000-0000F8A60000}"/>
    <cellStyle name="Normal 11 11 2 9" xfId="52945" xr:uid="{00000000-0005-0000-0000-0000F9A60000}"/>
    <cellStyle name="Normal 11 11 3" xfId="4541" xr:uid="{00000000-0005-0000-0000-0000FAA60000}"/>
    <cellStyle name="Normal 11 11 3 2" xfId="10021" xr:uid="{00000000-0005-0000-0000-0000FBA60000}"/>
    <cellStyle name="Normal 11 11 3 3" xfId="15497" xr:uid="{00000000-0005-0000-0000-0000FCA60000}"/>
    <cellStyle name="Normal 11 11 3 4" xfId="20973" xr:uid="{00000000-0005-0000-0000-0000FDA60000}"/>
    <cellStyle name="Normal 11 11 3 5" xfId="26449" xr:uid="{00000000-0005-0000-0000-0000FEA60000}"/>
    <cellStyle name="Normal 11 11 3 6" xfId="38245" xr:uid="{00000000-0005-0000-0000-0000FFA60000}"/>
    <cellStyle name="Normal 11 11 3 7" xfId="43722" xr:uid="{00000000-0005-0000-0000-000000A70000}"/>
    <cellStyle name="Normal 11 11 3 8" xfId="49199" xr:uid="{00000000-0005-0000-0000-000001A70000}"/>
    <cellStyle name="Normal 11 11 3 9" xfId="54717" xr:uid="{00000000-0005-0000-0000-000002A70000}"/>
    <cellStyle name="Normal 11 11 4" xfId="6941" xr:uid="{00000000-0005-0000-0000-000003A70000}"/>
    <cellStyle name="Normal 11 11 5" xfId="12421" xr:uid="{00000000-0005-0000-0000-000004A70000}"/>
    <cellStyle name="Normal 11 11 6" xfId="17897" xr:uid="{00000000-0005-0000-0000-000005A70000}"/>
    <cellStyle name="Normal 11 11 7" xfId="23373" xr:uid="{00000000-0005-0000-0000-000006A70000}"/>
    <cellStyle name="Normal 11 11 8" xfId="35168" xr:uid="{00000000-0005-0000-0000-000007A70000}"/>
    <cellStyle name="Normal 11 11 9" xfId="40645" xr:uid="{00000000-0005-0000-0000-000008A70000}"/>
    <cellStyle name="Normal 11 12" xfId="1025" xr:uid="{00000000-0005-0000-0000-000009A70000}"/>
    <cellStyle name="Normal 11 12 10" xfId="46123" xr:uid="{00000000-0005-0000-0000-00000AA70000}"/>
    <cellStyle name="Normal 11 12 11" xfId="51602" xr:uid="{00000000-0005-0000-0000-00000BA70000}"/>
    <cellStyle name="Normal 11 12 2" xfId="2786" xr:uid="{00000000-0005-0000-0000-00000CA70000}"/>
    <cellStyle name="Normal 11 12 2 2" xfId="8266" xr:uid="{00000000-0005-0000-0000-00000DA70000}"/>
    <cellStyle name="Normal 11 12 2 3" xfId="13742" xr:uid="{00000000-0005-0000-0000-00000EA70000}"/>
    <cellStyle name="Normal 11 12 2 4" xfId="19218" xr:uid="{00000000-0005-0000-0000-00000FA70000}"/>
    <cellStyle name="Normal 11 12 2 5" xfId="24694" xr:uid="{00000000-0005-0000-0000-000010A70000}"/>
    <cellStyle name="Normal 11 12 2 6" xfId="36490" xr:uid="{00000000-0005-0000-0000-000011A70000}"/>
    <cellStyle name="Normal 11 12 2 7" xfId="41967" xr:uid="{00000000-0005-0000-0000-000012A70000}"/>
    <cellStyle name="Normal 11 12 2 8" xfId="47444" xr:uid="{00000000-0005-0000-0000-000013A70000}"/>
    <cellStyle name="Normal 11 12 2 9" xfId="52962" xr:uid="{00000000-0005-0000-0000-000014A70000}"/>
    <cellStyle name="Normal 11 12 3" xfId="4558" xr:uid="{00000000-0005-0000-0000-000015A70000}"/>
    <cellStyle name="Normal 11 12 3 2" xfId="10038" xr:uid="{00000000-0005-0000-0000-000016A70000}"/>
    <cellStyle name="Normal 11 12 3 3" xfId="15514" xr:uid="{00000000-0005-0000-0000-000017A70000}"/>
    <cellStyle name="Normal 11 12 3 4" xfId="20990" xr:uid="{00000000-0005-0000-0000-000018A70000}"/>
    <cellStyle name="Normal 11 12 3 5" xfId="26466" xr:uid="{00000000-0005-0000-0000-000019A70000}"/>
    <cellStyle name="Normal 11 12 3 6" xfId="38262" xr:uid="{00000000-0005-0000-0000-00001AA70000}"/>
    <cellStyle name="Normal 11 12 3 7" xfId="43739" xr:uid="{00000000-0005-0000-0000-00001BA70000}"/>
    <cellStyle name="Normal 11 12 3 8" xfId="49216" xr:uid="{00000000-0005-0000-0000-00001CA70000}"/>
    <cellStyle name="Normal 11 12 3 9" xfId="54734" xr:uid="{00000000-0005-0000-0000-00001DA70000}"/>
    <cellStyle name="Normal 11 12 4" xfId="6942" xr:uid="{00000000-0005-0000-0000-00001EA70000}"/>
    <cellStyle name="Normal 11 12 5" xfId="12422" xr:uid="{00000000-0005-0000-0000-00001FA70000}"/>
    <cellStyle name="Normal 11 12 6" xfId="17898" xr:uid="{00000000-0005-0000-0000-000020A70000}"/>
    <cellStyle name="Normal 11 12 7" xfId="23374" xr:uid="{00000000-0005-0000-0000-000021A70000}"/>
    <cellStyle name="Normal 11 12 8" xfId="35169" xr:uid="{00000000-0005-0000-0000-000022A70000}"/>
    <cellStyle name="Normal 11 12 9" xfId="40646" xr:uid="{00000000-0005-0000-0000-000023A70000}"/>
    <cellStyle name="Normal 11 13" xfId="1159" xr:uid="{00000000-0005-0000-0000-000024A70000}"/>
    <cellStyle name="Normal 11 13 10" xfId="46124" xr:uid="{00000000-0005-0000-0000-000025A70000}"/>
    <cellStyle name="Normal 11 13 11" xfId="51603" xr:uid="{00000000-0005-0000-0000-000026A70000}"/>
    <cellStyle name="Normal 11 13 2" xfId="2920" xr:uid="{00000000-0005-0000-0000-000027A70000}"/>
    <cellStyle name="Normal 11 13 2 2" xfId="8400" xr:uid="{00000000-0005-0000-0000-000028A70000}"/>
    <cellStyle name="Normal 11 13 2 3" xfId="13876" xr:uid="{00000000-0005-0000-0000-000029A70000}"/>
    <cellStyle name="Normal 11 13 2 4" xfId="19352" xr:uid="{00000000-0005-0000-0000-00002AA70000}"/>
    <cellStyle name="Normal 11 13 2 5" xfId="24828" xr:uid="{00000000-0005-0000-0000-00002BA70000}"/>
    <cellStyle name="Normal 11 13 2 6" xfId="36624" xr:uid="{00000000-0005-0000-0000-00002CA70000}"/>
    <cellStyle name="Normal 11 13 2 7" xfId="42101" xr:uid="{00000000-0005-0000-0000-00002DA70000}"/>
    <cellStyle name="Normal 11 13 2 8" xfId="47578" xr:uid="{00000000-0005-0000-0000-00002EA70000}"/>
    <cellStyle name="Normal 11 13 2 9" xfId="53096" xr:uid="{00000000-0005-0000-0000-00002FA70000}"/>
    <cellStyle name="Normal 11 13 3" xfId="4692" xr:uid="{00000000-0005-0000-0000-000030A70000}"/>
    <cellStyle name="Normal 11 13 3 2" xfId="10172" xr:uid="{00000000-0005-0000-0000-000031A70000}"/>
    <cellStyle name="Normal 11 13 3 3" xfId="15648" xr:uid="{00000000-0005-0000-0000-000032A70000}"/>
    <cellStyle name="Normal 11 13 3 4" xfId="21124" xr:uid="{00000000-0005-0000-0000-000033A70000}"/>
    <cellStyle name="Normal 11 13 3 5" xfId="26600" xr:uid="{00000000-0005-0000-0000-000034A70000}"/>
    <cellStyle name="Normal 11 13 3 6" xfId="38396" xr:uid="{00000000-0005-0000-0000-000035A70000}"/>
    <cellStyle name="Normal 11 13 3 7" xfId="43873" xr:uid="{00000000-0005-0000-0000-000036A70000}"/>
    <cellStyle name="Normal 11 13 3 8" xfId="49350" xr:uid="{00000000-0005-0000-0000-000037A70000}"/>
    <cellStyle name="Normal 11 13 3 9" xfId="54868" xr:uid="{00000000-0005-0000-0000-000038A70000}"/>
    <cellStyle name="Normal 11 13 4" xfId="6943" xr:uid="{00000000-0005-0000-0000-000039A70000}"/>
    <cellStyle name="Normal 11 13 5" xfId="12423" xr:uid="{00000000-0005-0000-0000-00003AA70000}"/>
    <cellStyle name="Normal 11 13 6" xfId="17899" xr:uid="{00000000-0005-0000-0000-00003BA70000}"/>
    <cellStyle name="Normal 11 13 7" xfId="23375" xr:uid="{00000000-0005-0000-0000-00003CA70000}"/>
    <cellStyle name="Normal 11 13 8" xfId="35170" xr:uid="{00000000-0005-0000-0000-00003DA70000}"/>
    <cellStyle name="Normal 11 13 9" xfId="40647" xr:uid="{00000000-0005-0000-0000-00003EA70000}"/>
    <cellStyle name="Normal 11 14" xfId="1331" xr:uid="{00000000-0005-0000-0000-00003FA70000}"/>
    <cellStyle name="Normal 11 14 10" xfId="46125" xr:uid="{00000000-0005-0000-0000-000040A70000}"/>
    <cellStyle name="Normal 11 14 11" xfId="51604" xr:uid="{00000000-0005-0000-0000-000041A70000}"/>
    <cellStyle name="Normal 11 14 2" xfId="3092" xr:uid="{00000000-0005-0000-0000-000042A70000}"/>
    <cellStyle name="Normal 11 14 2 2" xfId="8572" xr:uid="{00000000-0005-0000-0000-000043A70000}"/>
    <cellStyle name="Normal 11 14 2 3" xfId="14048" xr:uid="{00000000-0005-0000-0000-000044A70000}"/>
    <cellStyle name="Normal 11 14 2 4" xfId="19524" xr:uid="{00000000-0005-0000-0000-000045A70000}"/>
    <cellStyle name="Normal 11 14 2 5" xfId="25000" xr:uid="{00000000-0005-0000-0000-000046A70000}"/>
    <cellStyle name="Normal 11 14 2 6" xfId="36796" xr:uid="{00000000-0005-0000-0000-000047A70000}"/>
    <cellStyle name="Normal 11 14 2 7" xfId="42273" xr:uid="{00000000-0005-0000-0000-000048A70000}"/>
    <cellStyle name="Normal 11 14 2 8" xfId="47750" xr:uid="{00000000-0005-0000-0000-000049A70000}"/>
    <cellStyle name="Normal 11 14 2 9" xfId="53268" xr:uid="{00000000-0005-0000-0000-00004AA70000}"/>
    <cellStyle name="Normal 11 14 3" xfId="4864" xr:uid="{00000000-0005-0000-0000-00004BA70000}"/>
    <cellStyle name="Normal 11 14 3 2" xfId="10344" xr:uid="{00000000-0005-0000-0000-00004CA70000}"/>
    <cellStyle name="Normal 11 14 3 3" xfId="15820" xr:uid="{00000000-0005-0000-0000-00004DA70000}"/>
    <cellStyle name="Normal 11 14 3 4" xfId="21296" xr:uid="{00000000-0005-0000-0000-00004EA70000}"/>
    <cellStyle name="Normal 11 14 3 5" xfId="26772" xr:uid="{00000000-0005-0000-0000-00004FA70000}"/>
    <cellStyle name="Normal 11 14 3 6" xfId="38568" xr:uid="{00000000-0005-0000-0000-000050A70000}"/>
    <cellStyle name="Normal 11 14 3 7" xfId="44045" xr:uid="{00000000-0005-0000-0000-000051A70000}"/>
    <cellStyle name="Normal 11 14 3 8" xfId="49522" xr:uid="{00000000-0005-0000-0000-000052A70000}"/>
    <cellStyle name="Normal 11 14 3 9" xfId="55040" xr:uid="{00000000-0005-0000-0000-000053A70000}"/>
    <cellStyle name="Normal 11 14 4" xfId="6944" xr:uid="{00000000-0005-0000-0000-000054A70000}"/>
    <cellStyle name="Normal 11 14 5" xfId="12424" xr:uid="{00000000-0005-0000-0000-000055A70000}"/>
    <cellStyle name="Normal 11 14 6" xfId="17900" xr:uid="{00000000-0005-0000-0000-000056A70000}"/>
    <cellStyle name="Normal 11 14 7" xfId="23376" xr:uid="{00000000-0005-0000-0000-000057A70000}"/>
    <cellStyle name="Normal 11 14 8" xfId="35171" xr:uid="{00000000-0005-0000-0000-000058A70000}"/>
    <cellStyle name="Normal 11 14 9" xfId="40648" xr:uid="{00000000-0005-0000-0000-000059A70000}"/>
    <cellStyle name="Normal 11 15" xfId="1503" xr:uid="{00000000-0005-0000-0000-00005AA70000}"/>
    <cellStyle name="Normal 11 15 10" xfId="46126" xr:uid="{00000000-0005-0000-0000-00005BA70000}"/>
    <cellStyle name="Normal 11 15 11" xfId="51605" xr:uid="{00000000-0005-0000-0000-00005CA70000}"/>
    <cellStyle name="Normal 11 15 2" xfId="3264" xr:uid="{00000000-0005-0000-0000-00005DA70000}"/>
    <cellStyle name="Normal 11 15 2 2" xfId="8744" xr:uid="{00000000-0005-0000-0000-00005EA70000}"/>
    <cellStyle name="Normal 11 15 2 3" xfId="14220" xr:uid="{00000000-0005-0000-0000-00005FA70000}"/>
    <cellStyle name="Normal 11 15 2 4" xfId="19696" xr:uid="{00000000-0005-0000-0000-000060A70000}"/>
    <cellStyle name="Normal 11 15 2 5" xfId="25172" xr:uid="{00000000-0005-0000-0000-000061A70000}"/>
    <cellStyle name="Normal 11 15 2 6" xfId="36968" xr:uid="{00000000-0005-0000-0000-000062A70000}"/>
    <cellStyle name="Normal 11 15 2 7" xfId="42445" xr:uid="{00000000-0005-0000-0000-000063A70000}"/>
    <cellStyle name="Normal 11 15 2 8" xfId="47922" xr:uid="{00000000-0005-0000-0000-000064A70000}"/>
    <cellStyle name="Normal 11 15 2 9" xfId="53440" xr:uid="{00000000-0005-0000-0000-000065A70000}"/>
    <cellStyle name="Normal 11 15 3" xfId="5036" xr:uid="{00000000-0005-0000-0000-000066A70000}"/>
    <cellStyle name="Normal 11 15 3 2" xfId="10516" xr:uid="{00000000-0005-0000-0000-000067A70000}"/>
    <cellStyle name="Normal 11 15 3 3" xfId="15992" xr:uid="{00000000-0005-0000-0000-000068A70000}"/>
    <cellStyle name="Normal 11 15 3 4" xfId="21468" xr:uid="{00000000-0005-0000-0000-000069A70000}"/>
    <cellStyle name="Normal 11 15 3 5" xfId="26944" xr:uid="{00000000-0005-0000-0000-00006AA70000}"/>
    <cellStyle name="Normal 11 15 3 6" xfId="38740" xr:uid="{00000000-0005-0000-0000-00006BA70000}"/>
    <cellStyle name="Normal 11 15 3 7" xfId="44217" xr:uid="{00000000-0005-0000-0000-00006CA70000}"/>
    <cellStyle name="Normal 11 15 3 8" xfId="49694" xr:uid="{00000000-0005-0000-0000-00006DA70000}"/>
    <cellStyle name="Normal 11 15 3 9" xfId="55212" xr:uid="{00000000-0005-0000-0000-00006EA70000}"/>
    <cellStyle name="Normal 11 15 4" xfId="6945" xr:uid="{00000000-0005-0000-0000-00006FA70000}"/>
    <cellStyle name="Normal 11 15 5" xfId="12425" xr:uid="{00000000-0005-0000-0000-000070A70000}"/>
    <cellStyle name="Normal 11 15 6" xfId="17901" xr:uid="{00000000-0005-0000-0000-000071A70000}"/>
    <cellStyle name="Normal 11 15 7" xfId="23377" xr:uid="{00000000-0005-0000-0000-000072A70000}"/>
    <cellStyle name="Normal 11 15 8" xfId="35172" xr:uid="{00000000-0005-0000-0000-000073A70000}"/>
    <cellStyle name="Normal 11 15 9" xfId="40649" xr:uid="{00000000-0005-0000-0000-000074A70000}"/>
    <cellStyle name="Normal 11 16" xfId="1675" xr:uid="{00000000-0005-0000-0000-000075A70000}"/>
    <cellStyle name="Normal 11 16 10" xfId="46127" xr:uid="{00000000-0005-0000-0000-000076A70000}"/>
    <cellStyle name="Normal 11 16 11" xfId="51606" xr:uid="{00000000-0005-0000-0000-000077A70000}"/>
    <cellStyle name="Normal 11 16 2" xfId="3436" xr:uid="{00000000-0005-0000-0000-000078A70000}"/>
    <cellStyle name="Normal 11 16 2 2" xfId="8916" xr:uid="{00000000-0005-0000-0000-000079A70000}"/>
    <cellStyle name="Normal 11 16 2 3" xfId="14392" xr:uid="{00000000-0005-0000-0000-00007AA70000}"/>
    <cellStyle name="Normal 11 16 2 4" xfId="19868" xr:uid="{00000000-0005-0000-0000-00007BA70000}"/>
    <cellStyle name="Normal 11 16 2 5" xfId="25344" xr:uid="{00000000-0005-0000-0000-00007CA70000}"/>
    <cellStyle name="Normal 11 16 2 6" xfId="37140" xr:uid="{00000000-0005-0000-0000-00007DA70000}"/>
    <cellStyle name="Normal 11 16 2 7" xfId="42617" xr:uid="{00000000-0005-0000-0000-00007EA70000}"/>
    <cellStyle name="Normal 11 16 2 8" xfId="48094" xr:uid="{00000000-0005-0000-0000-00007FA70000}"/>
    <cellStyle name="Normal 11 16 2 9" xfId="53612" xr:uid="{00000000-0005-0000-0000-000080A70000}"/>
    <cellStyle name="Normal 11 16 3" xfId="5208" xr:uid="{00000000-0005-0000-0000-000081A70000}"/>
    <cellStyle name="Normal 11 16 3 2" xfId="10688" xr:uid="{00000000-0005-0000-0000-000082A70000}"/>
    <cellStyle name="Normal 11 16 3 3" xfId="16164" xr:uid="{00000000-0005-0000-0000-000083A70000}"/>
    <cellStyle name="Normal 11 16 3 4" xfId="21640" xr:uid="{00000000-0005-0000-0000-000084A70000}"/>
    <cellStyle name="Normal 11 16 3 5" xfId="27116" xr:uid="{00000000-0005-0000-0000-000085A70000}"/>
    <cellStyle name="Normal 11 16 3 6" xfId="38912" xr:uid="{00000000-0005-0000-0000-000086A70000}"/>
    <cellStyle name="Normal 11 16 3 7" xfId="44389" xr:uid="{00000000-0005-0000-0000-000087A70000}"/>
    <cellStyle name="Normal 11 16 3 8" xfId="49866" xr:uid="{00000000-0005-0000-0000-000088A70000}"/>
    <cellStyle name="Normal 11 16 3 9" xfId="55384" xr:uid="{00000000-0005-0000-0000-000089A70000}"/>
    <cellStyle name="Normal 11 16 4" xfId="6946" xr:uid="{00000000-0005-0000-0000-00008AA70000}"/>
    <cellStyle name="Normal 11 16 5" xfId="12426" xr:uid="{00000000-0005-0000-0000-00008BA70000}"/>
    <cellStyle name="Normal 11 16 6" xfId="17902" xr:uid="{00000000-0005-0000-0000-00008CA70000}"/>
    <cellStyle name="Normal 11 16 7" xfId="23378" xr:uid="{00000000-0005-0000-0000-00008DA70000}"/>
    <cellStyle name="Normal 11 16 8" xfId="35173" xr:uid="{00000000-0005-0000-0000-00008EA70000}"/>
    <cellStyle name="Normal 11 16 9" xfId="40650" xr:uid="{00000000-0005-0000-0000-00008FA70000}"/>
    <cellStyle name="Normal 11 17" xfId="1730" xr:uid="{00000000-0005-0000-0000-000090A70000}"/>
    <cellStyle name="Normal 11 17 10" xfId="46128" xr:uid="{00000000-0005-0000-0000-000091A70000}"/>
    <cellStyle name="Normal 11 17 11" xfId="51607" xr:uid="{00000000-0005-0000-0000-000092A70000}"/>
    <cellStyle name="Normal 11 17 2" xfId="3491" xr:uid="{00000000-0005-0000-0000-000093A70000}"/>
    <cellStyle name="Normal 11 17 2 2" xfId="8971" xr:uid="{00000000-0005-0000-0000-000094A70000}"/>
    <cellStyle name="Normal 11 17 2 3" xfId="14447" xr:uid="{00000000-0005-0000-0000-000095A70000}"/>
    <cellStyle name="Normal 11 17 2 4" xfId="19923" xr:uid="{00000000-0005-0000-0000-000096A70000}"/>
    <cellStyle name="Normal 11 17 2 5" xfId="25399" xr:uid="{00000000-0005-0000-0000-000097A70000}"/>
    <cellStyle name="Normal 11 17 2 6" xfId="37195" xr:uid="{00000000-0005-0000-0000-000098A70000}"/>
    <cellStyle name="Normal 11 17 2 7" xfId="42672" xr:uid="{00000000-0005-0000-0000-000099A70000}"/>
    <cellStyle name="Normal 11 17 2 8" xfId="48149" xr:uid="{00000000-0005-0000-0000-00009AA70000}"/>
    <cellStyle name="Normal 11 17 2 9" xfId="53667" xr:uid="{00000000-0005-0000-0000-00009BA70000}"/>
    <cellStyle name="Normal 11 17 3" xfId="5263" xr:uid="{00000000-0005-0000-0000-00009CA70000}"/>
    <cellStyle name="Normal 11 17 3 2" xfId="10743" xr:uid="{00000000-0005-0000-0000-00009DA70000}"/>
    <cellStyle name="Normal 11 17 3 3" xfId="16219" xr:uid="{00000000-0005-0000-0000-00009EA70000}"/>
    <cellStyle name="Normal 11 17 3 4" xfId="21695" xr:uid="{00000000-0005-0000-0000-00009FA70000}"/>
    <cellStyle name="Normal 11 17 3 5" xfId="27171" xr:uid="{00000000-0005-0000-0000-0000A0A70000}"/>
    <cellStyle name="Normal 11 17 3 6" xfId="38967" xr:uid="{00000000-0005-0000-0000-0000A1A70000}"/>
    <cellStyle name="Normal 11 17 3 7" xfId="44444" xr:uid="{00000000-0005-0000-0000-0000A2A70000}"/>
    <cellStyle name="Normal 11 17 3 8" xfId="49921" xr:uid="{00000000-0005-0000-0000-0000A3A70000}"/>
    <cellStyle name="Normal 11 17 3 9" xfId="55439" xr:uid="{00000000-0005-0000-0000-0000A4A70000}"/>
    <cellStyle name="Normal 11 17 4" xfId="6947" xr:uid="{00000000-0005-0000-0000-0000A5A70000}"/>
    <cellStyle name="Normal 11 17 5" xfId="12427" xr:uid="{00000000-0005-0000-0000-0000A6A70000}"/>
    <cellStyle name="Normal 11 17 6" xfId="17903" xr:uid="{00000000-0005-0000-0000-0000A7A70000}"/>
    <cellStyle name="Normal 11 17 7" xfId="23379" xr:uid="{00000000-0005-0000-0000-0000A8A70000}"/>
    <cellStyle name="Normal 11 17 8" xfId="35174" xr:uid="{00000000-0005-0000-0000-0000A9A70000}"/>
    <cellStyle name="Normal 11 17 9" xfId="40651" xr:uid="{00000000-0005-0000-0000-0000AAA70000}"/>
    <cellStyle name="Normal 11 18" xfId="1776" xr:uid="{00000000-0005-0000-0000-0000ABA70000}"/>
    <cellStyle name="Normal 11 18 10" xfId="46129" xr:uid="{00000000-0005-0000-0000-0000ACA70000}"/>
    <cellStyle name="Normal 11 18 11" xfId="51608" xr:uid="{00000000-0005-0000-0000-0000ADA70000}"/>
    <cellStyle name="Normal 11 18 2" xfId="3537" xr:uid="{00000000-0005-0000-0000-0000AEA70000}"/>
    <cellStyle name="Normal 11 18 2 2" xfId="9017" xr:uid="{00000000-0005-0000-0000-0000AFA70000}"/>
    <cellStyle name="Normal 11 18 2 3" xfId="14493" xr:uid="{00000000-0005-0000-0000-0000B0A70000}"/>
    <cellStyle name="Normal 11 18 2 4" xfId="19969" xr:uid="{00000000-0005-0000-0000-0000B1A70000}"/>
    <cellStyle name="Normal 11 18 2 5" xfId="25445" xr:uid="{00000000-0005-0000-0000-0000B2A70000}"/>
    <cellStyle name="Normal 11 18 2 6" xfId="37241" xr:uid="{00000000-0005-0000-0000-0000B3A70000}"/>
    <cellStyle name="Normal 11 18 2 7" xfId="42718" xr:uid="{00000000-0005-0000-0000-0000B4A70000}"/>
    <cellStyle name="Normal 11 18 2 8" xfId="48195" xr:uid="{00000000-0005-0000-0000-0000B5A70000}"/>
    <cellStyle name="Normal 11 18 2 9" xfId="53713" xr:uid="{00000000-0005-0000-0000-0000B6A70000}"/>
    <cellStyle name="Normal 11 18 3" xfId="5309" xr:uid="{00000000-0005-0000-0000-0000B7A70000}"/>
    <cellStyle name="Normal 11 18 3 2" xfId="10789" xr:uid="{00000000-0005-0000-0000-0000B8A70000}"/>
    <cellStyle name="Normal 11 18 3 3" xfId="16265" xr:uid="{00000000-0005-0000-0000-0000B9A70000}"/>
    <cellStyle name="Normal 11 18 3 4" xfId="21741" xr:uid="{00000000-0005-0000-0000-0000BAA70000}"/>
    <cellStyle name="Normal 11 18 3 5" xfId="27217" xr:uid="{00000000-0005-0000-0000-0000BBA70000}"/>
    <cellStyle name="Normal 11 18 3 6" xfId="39013" xr:uid="{00000000-0005-0000-0000-0000BCA70000}"/>
    <cellStyle name="Normal 11 18 3 7" xfId="44490" xr:uid="{00000000-0005-0000-0000-0000BDA70000}"/>
    <cellStyle name="Normal 11 18 3 8" xfId="49967" xr:uid="{00000000-0005-0000-0000-0000BEA70000}"/>
    <cellStyle name="Normal 11 18 3 9" xfId="55485" xr:uid="{00000000-0005-0000-0000-0000BFA70000}"/>
    <cellStyle name="Normal 11 18 4" xfId="6948" xr:uid="{00000000-0005-0000-0000-0000C0A70000}"/>
    <cellStyle name="Normal 11 18 5" xfId="12428" xr:uid="{00000000-0005-0000-0000-0000C1A70000}"/>
    <cellStyle name="Normal 11 18 6" xfId="17904" xr:uid="{00000000-0005-0000-0000-0000C2A70000}"/>
    <cellStyle name="Normal 11 18 7" xfId="23380" xr:uid="{00000000-0005-0000-0000-0000C3A70000}"/>
    <cellStyle name="Normal 11 18 8" xfId="35175" xr:uid="{00000000-0005-0000-0000-0000C4A70000}"/>
    <cellStyle name="Normal 11 18 9" xfId="40652" xr:uid="{00000000-0005-0000-0000-0000C5A70000}"/>
    <cellStyle name="Normal 11 19" xfId="2037" xr:uid="{00000000-0005-0000-0000-0000C6A70000}"/>
    <cellStyle name="Normal 11 19 10" xfId="52214" xr:uid="{00000000-0005-0000-0000-0000C7A70000}"/>
    <cellStyle name="Normal 11 19 2" xfId="5569" xr:uid="{00000000-0005-0000-0000-0000C8A70000}"/>
    <cellStyle name="Normal 11 19 2 2" xfId="11049" xr:uid="{00000000-0005-0000-0000-0000C9A70000}"/>
    <cellStyle name="Normal 11 19 2 3" xfId="16525" xr:uid="{00000000-0005-0000-0000-0000CAA70000}"/>
    <cellStyle name="Normal 11 19 2 4" xfId="22001" xr:uid="{00000000-0005-0000-0000-0000CBA70000}"/>
    <cellStyle name="Normal 11 19 2 5" xfId="27477" xr:uid="{00000000-0005-0000-0000-0000CCA70000}"/>
    <cellStyle name="Normal 11 19 2 6" xfId="39273" xr:uid="{00000000-0005-0000-0000-0000CDA70000}"/>
    <cellStyle name="Normal 11 19 2 7" xfId="44750" xr:uid="{00000000-0005-0000-0000-0000CEA70000}"/>
    <cellStyle name="Normal 11 19 2 8" xfId="50227" xr:uid="{00000000-0005-0000-0000-0000CFA70000}"/>
    <cellStyle name="Normal 11 19 2 9" xfId="55745" xr:uid="{00000000-0005-0000-0000-0000D0A70000}"/>
    <cellStyle name="Normal 11 19 3" xfId="7518" xr:uid="{00000000-0005-0000-0000-0000D1A70000}"/>
    <cellStyle name="Normal 11 19 4" xfId="12994" xr:uid="{00000000-0005-0000-0000-0000D2A70000}"/>
    <cellStyle name="Normal 11 19 5" xfId="18470" xr:uid="{00000000-0005-0000-0000-0000D3A70000}"/>
    <cellStyle name="Normal 11 19 6" xfId="23946" xr:uid="{00000000-0005-0000-0000-0000D4A70000}"/>
    <cellStyle name="Normal 11 19 7" xfId="35742" xr:uid="{00000000-0005-0000-0000-0000D5A70000}"/>
    <cellStyle name="Normal 11 19 8" xfId="41219" xr:uid="{00000000-0005-0000-0000-0000D6A70000}"/>
    <cellStyle name="Normal 11 19 9" xfId="46696" xr:uid="{00000000-0005-0000-0000-0000D7A70000}"/>
    <cellStyle name="Normal 11 2" xfId="120" xr:uid="{00000000-0005-0000-0000-0000D8A70000}"/>
    <cellStyle name="Normal 11 2 10" xfId="1676" xr:uid="{00000000-0005-0000-0000-0000D9A70000}"/>
    <cellStyle name="Normal 11 2 10 10" xfId="46131" xr:uid="{00000000-0005-0000-0000-0000DAA70000}"/>
    <cellStyle name="Normal 11 2 10 11" xfId="51610" xr:uid="{00000000-0005-0000-0000-0000DBA70000}"/>
    <cellStyle name="Normal 11 2 10 2" xfId="3437" xr:uid="{00000000-0005-0000-0000-0000DCA70000}"/>
    <cellStyle name="Normal 11 2 10 2 2" xfId="8917" xr:uid="{00000000-0005-0000-0000-0000DDA70000}"/>
    <cellStyle name="Normal 11 2 10 2 3" xfId="14393" xr:uid="{00000000-0005-0000-0000-0000DEA70000}"/>
    <cellStyle name="Normal 11 2 10 2 4" xfId="19869" xr:uid="{00000000-0005-0000-0000-0000DFA70000}"/>
    <cellStyle name="Normal 11 2 10 2 5" xfId="25345" xr:uid="{00000000-0005-0000-0000-0000E0A70000}"/>
    <cellStyle name="Normal 11 2 10 2 6" xfId="37141" xr:uid="{00000000-0005-0000-0000-0000E1A70000}"/>
    <cellStyle name="Normal 11 2 10 2 7" xfId="42618" xr:uid="{00000000-0005-0000-0000-0000E2A70000}"/>
    <cellStyle name="Normal 11 2 10 2 8" xfId="48095" xr:uid="{00000000-0005-0000-0000-0000E3A70000}"/>
    <cellStyle name="Normal 11 2 10 2 9" xfId="53613" xr:uid="{00000000-0005-0000-0000-0000E4A70000}"/>
    <cellStyle name="Normal 11 2 10 3" xfId="5209" xr:uid="{00000000-0005-0000-0000-0000E5A70000}"/>
    <cellStyle name="Normal 11 2 10 3 2" xfId="10689" xr:uid="{00000000-0005-0000-0000-0000E6A70000}"/>
    <cellStyle name="Normal 11 2 10 3 3" xfId="16165" xr:uid="{00000000-0005-0000-0000-0000E7A70000}"/>
    <cellStyle name="Normal 11 2 10 3 4" xfId="21641" xr:uid="{00000000-0005-0000-0000-0000E8A70000}"/>
    <cellStyle name="Normal 11 2 10 3 5" xfId="27117" xr:uid="{00000000-0005-0000-0000-0000E9A70000}"/>
    <cellStyle name="Normal 11 2 10 3 6" xfId="38913" xr:uid="{00000000-0005-0000-0000-0000EAA70000}"/>
    <cellStyle name="Normal 11 2 10 3 7" xfId="44390" xr:uid="{00000000-0005-0000-0000-0000EBA70000}"/>
    <cellStyle name="Normal 11 2 10 3 8" xfId="49867" xr:uid="{00000000-0005-0000-0000-0000ECA70000}"/>
    <cellStyle name="Normal 11 2 10 3 9" xfId="55385" xr:uid="{00000000-0005-0000-0000-0000EDA70000}"/>
    <cellStyle name="Normal 11 2 10 4" xfId="6950" xr:uid="{00000000-0005-0000-0000-0000EEA70000}"/>
    <cellStyle name="Normal 11 2 10 5" xfId="12430" xr:uid="{00000000-0005-0000-0000-0000EFA70000}"/>
    <cellStyle name="Normal 11 2 10 6" xfId="17906" xr:uid="{00000000-0005-0000-0000-0000F0A70000}"/>
    <cellStyle name="Normal 11 2 10 7" xfId="23382" xr:uid="{00000000-0005-0000-0000-0000F1A70000}"/>
    <cellStyle name="Normal 11 2 10 8" xfId="35177" xr:uid="{00000000-0005-0000-0000-0000F2A70000}"/>
    <cellStyle name="Normal 11 2 10 9" xfId="40654" xr:uid="{00000000-0005-0000-0000-0000F3A70000}"/>
    <cellStyle name="Normal 11 2 11" xfId="1868" xr:uid="{00000000-0005-0000-0000-0000F4A70000}"/>
    <cellStyle name="Normal 11 2 11 10" xfId="46132" xr:uid="{00000000-0005-0000-0000-0000F5A70000}"/>
    <cellStyle name="Normal 11 2 11 11" xfId="51611" xr:uid="{00000000-0005-0000-0000-0000F6A70000}"/>
    <cellStyle name="Normal 11 2 11 2" xfId="3629" xr:uid="{00000000-0005-0000-0000-0000F7A70000}"/>
    <cellStyle name="Normal 11 2 11 2 2" xfId="9109" xr:uid="{00000000-0005-0000-0000-0000F8A70000}"/>
    <cellStyle name="Normal 11 2 11 2 3" xfId="14585" xr:uid="{00000000-0005-0000-0000-0000F9A70000}"/>
    <cellStyle name="Normal 11 2 11 2 4" xfId="20061" xr:uid="{00000000-0005-0000-0000-0000FAA70000}"/>
    <cellStyle name="Normal 11 2 11 2 5" xfId="25537" xr:uid="{00000000-0005-0000-0000-0000FBA70000}"/>
    <cellStyle name="Normal 11 2 11 2 6" xfId="37333" xr:uid="{00000000-0005-0000-0000-0000FCA70000}"/>
    <cellStyle name="Normal 11 2 11 2 7" xfId="42810" xr:uid="{00000000-0005-0000-0000-0000FDA70000}"/>
    <cellStyle name="Normal 11 2 11 2 8" xfId="48287" xr:uid="{00000000-0005-0000-0000-0000FEA70000}"/>
    <cellStyle name="Normal 11 2 11 2 9" xfId="53805" xr:uid="{00000000-0005-0000-0000-0000FFA70000}"/>
    <cellStyle name="Normal 11 2 11 3" xfId="5401" xr:uid="{00000000-0005-0000-0000-000000A80000}"/>
    <cellStyle name="Normal 11 2 11 3 2" xfId="10881" xr:uid="{00000000-0005-0000-0000-000001A80000}"/>
    <cellStyle name="Normal 11 2 11 3 3" xfId="16357" xr:uid="{00000000-0005-0000-0000-000002A80000}"/>
    <cellStyle name="Normal 11 2 11 3 4" xfId="21833" xr:uid="{00000000-0005-0000-0000-000003A80000}"/>
    <cellStyle name="Normal 11 2 11 3 5" xfId="27309" xr:uid="{00000000-0005-0000-0000-000004A80000}"/>
    <cellStyle name="Normal 11 2 11 3 6" xfId="39105" xr:uid="{00000000-0005-0000-0000-000005A80000}"/>
    <cellStyle name="Normal 11 2 11 3 7" xfId="44582" xr:uid="{00000000-0005-0000-0000-000006A80000}"/>
    <cellStyle name="Normal 11 2 11 3 8" xfId="50059" xr:uid="{00000000-0005-0000-0000-000007A80000}"/>
    <cellStyle name="Normal 11 2 11 3 9" xfId="55577" xr:uid="{00000000-0005-0000-0000-000008A80000}"/>
    <cellStyle name="Normal 11 2 11 4" xfId="6951" xr:uid="{00000000-0005-0000-0000-000009A80000}"/>
    <cellStyle name="Normal 11 2 11 5" xfId="12431" xr:uid="{00000000-0005-0000-0000-00000AA80000}"/>
    <cellStyle name="Normal 11 2 11 6" xfId="17907" xr:uid="{00000000-0005-0000-0000-00000BA80000}"/>
    <cellStyle name="Normal 11 2 11 7" xfId="23383" xr:uid="{00000000-0005-0000-0000-00000CA80000}"/>
    <cellStyle name="Normal 11 2 11 8" xfId="35178" xr:uid="{00000000-0005-0000-0000-00000DA80000}"/>
    <cellStyle name="Normal 11 2 11 9" xfId="40655" xr:uid="{00000000-0005-0000-0000-00000EA80000}"/>
    <cellStyle name="Normal 11 2 12" xfId="2038" xr:uid="{00000000-0005-0000-0000-00000FA80000}"/>
    <cellStyle name="Normal 11 2 12 10" xfId="52215" xr:uid="{00000000-0005-0000-0000-000010A80000}"/>
    <cellStyle name="Normal 11 2 12 2" xfId="5570" xr:uid="{00000000-0005-0000-0000-000011A80000}"/>
    <cellStyle name="Normal 11 2 12 2 2" xfId="11050" xr:uid="{00000000-0005-0000-0000-000012A80000}"/>
    <cellStyle name="Normal 11 2 12 2 3" xfId="16526" xr:uid="{00000000-0005-0000-0000-000013A80000}"/>
    <cellStyle name="Normal 11 2 12 2 4" xfId="22002" xr:uid="{00000000-0005-0000-0000-000014A80000}"/>
    <cellStyle name="Normal 11 2 12 2 5" xfId="27478" xr:uid="{00000000-0005-0000-0000-000015A80000}"/>
    <cellStyle name="Normal 11 2 12 2 6" xfId="39274" xr:uid="{00000000-0005-0000-0000-000016A80000}"/>
    <cellStyle name="Normal 11 2 12 2 7" xfId="44751" xr:uid="{00000000-0005-0000-0000-000017A80000}"/>
    <cellStyle name="Normal 11 2 12 2 8" xfId="50228" xr:uid="{00000000-0005-0000-0000-000018A80000}"/>
    <cellStyle name="Normal 11 2 12 2 9" xfId="55746" xr:uid="{00000000-0005-0000-0000-000019A80000}"/>
    <cellStyle name="Normal 11 2 12 3" xfId="7519" xr:uid="{00000000-0005-0000-0000-00001AA80000}"/>
    <cellStyle name="Normal 11 2 12 4" xfId="12995" xr:uid="{00000000-0005-0000-0000-00001BA80000}"/>
    <cellStyle name="Normal 11 2 12 5" xfId="18471" xr:uid="{00000000-0005-0000-0000-00001CA80000}"/>
    <cellStyle name="Normal 11 2 12 6" xfId="23947" xr:uid="{00000000-0005-0000-0000-00001DA80000}"/>
    <cellStyle name="Normal 11 2 12 7" xfId="35743" xr:uid="{00000000-0005-0000-0000-00001EA80000}"/>
    <cellStyle name="Normal 11 2 12 8" xfId="41220" xr:uid="{00000000-0005-0000-0000-00001FA80000}"/>
    <cellStyle name="Normal 11 2 12 9" xfId="46697" xr:uid="{00000000-0005-0000-0000-000020A80000}"/>
    <cellStyle name="Normal 11 2 13" xfId="3698" xr:uid="{00000000-0005-0000-0000-000021A80000}"/>
    <cellStyle name="Normal 11 2 13 2" xfId="9178" xr:uid="{00000000-0005-0000-0000-000022A80000}"/>
    <cellStyle name="Normal 11 2 13 3" xfId="14654" xr:uid="{00000000-0005-0000-0000-000023A80000}"/>
    <cellStyle name="Normal 11 2 13 4" xfId="20130" xr:uid="{00000000-0005-0000-0000-000024A80000}"/>
    <cellStyle name="Normal 11 2 13 5" xfId="25606" xr:uid="{00000000-0005-0000-0000-000025A80000}"/>
    <cellStyle name="Normal 11 2 13 6" xfId="37402" xr:uid="{00000000-0005-0000-0000-000026A80000}"/>
    <cellStyle name="Normal 11 2 13 7" xfId="42879" xr:uid="{00000000-0005-0000-0000-000027A80000}"/>
    <cellStyle name="Normal 11 2 13 8" xfId="48356" xr:uid="{00000000-0005-0000-0000-000028A80000}"/>
    <cellStyle name="Normal 11 2 13 9" xfId="53874" xr:uid="{00000000-0005-0000-0000-000029A80000}"/>
    <cellStyle name="Normal 11 2 14" xfId="6949" xr:uid="{00000000-0005-0000-0000-00002AA80000}"/>
    <cellStyle name="Normal 11 2 15" xfId="12429" xr:uid="{00000000-0005-0000-0000-00002BA80000}"/>
    <cellStyle name="Normal 11 2 16" xfId="17905" xr:uid="{00000000-0005-0000-0000-00002CA80000}"/>
    <cellStyle name="Normal 11 2 17" xfId="23381" xr:uid="{00000000-0005-0000-0000-00002DA80000}"/>
    <cellStyle name="Normal 11 2 18" xfId="32925" xr:uid="{00000000-0005-0000-0000-00002EA80000}"/>
    <cellStyle name="Normal 11 2 19" xfId="35176" xr:uid="{00000000-0005-0000-0000-00002FA80000}"/>
    <cellStyle name="Normal 11 2 2" xfId="218" xr:uid="{00000000-0005-0000-0000-000030A80000}"/>
    <cellStyle name="Normal 11 2 2 10" xfId="1869" xr:uid="{00000000-0005-0000-0000-000031A80000}"/>
    <cellStyle name="Normal 11 2 2 10 10" xfId="46134" xr:uid="{00000000-0005-0000-0000-000032A80000}"/>
    <cellStyle name="Normal 11 2 2 10 11" xfId="51613" xr:uid="{00000000-0005-0000-0000-000033A80000}"/>
    <cellStyle name="Normal 11 2 2 10 2" xfId="3630" xr:uid="{00000000-0005-0000-0000-000034A80000}"/>
    <cellStyle name="Normal 11 2 2 10 2 2" xfId="9110" xr:uid="{00000000-0005-0000-0000-000035A80000}"/>
    <cellStyle name="Normal 11 2 2 10 2 3" xfId="14586" xr:uid="{00000000-0005-0000-0000-000036A80000}"/>
    <cellStyle name="Normal 11 2 2 10 2 4" xfId="20062" xr:uid="{00000000-0005-0000-0000-000037A80000}"/>
    <cellStyle name="Normal 11 2 2 10 2 5" xfId="25538" xr:uid="{00000000-0005-0000-0000-000038A80000}"/>
    <cellStyle name="Normal 11 2 2 10 2 6" xfId="37334" xr:uid="{00000000-0005-0000-0000-000039A80000}"/>
    <cellStyle name="Normal 11 2 2 10 2 7" xfId="42811" xr:uid="{00000000-0005-0000-0000-00003AA80000}"/>
    <cellStyle name="Normal 11 2 2 10 2 8" xfId="48288" xr:uid="{00000000-0005-0000-0000-00003BA80000}"/>
    <cellStyle name="Normal 11 2 2 10 2 9" xfId="53806" xr:uid="{00000000-0005-0000-0000-00003CA80000}"/>
    <cellStyle name="Normal 11 2 2 10 3" xfId="5402" xr:uid="{00000000-0005-0000-0000-00003DA80000}"/>
    <cellStyle name="Normal 11 2 2 10 3 2" xfId="10882" xr:uid="{00000000-0005-0000-0000-00003EA80000}"/>
    <cellStyle name="Normal 11 2 2 10 3 3" xfId="16358" xr:uid="{00000000-0005-0000-0000-00003FA80000}"/>
    <cellStyle name="Normal 11 2 2 10 3 4" xfId="21834" xr:uid="{00000000-0005-0000-0000-000040A80000}"/>
    <cellStyle name="Normal 11 2 2 10 3 5" xfId="27310" xr:uid="{00000000-0005-0000-0000-000041A80000}"/>
    <cellStyle name="Normal 11 2 2 10 3 6" xfId="39106" xr:uid="{00000000-0005-0000-0000-000042A80000}"/>
    <cellStyle name="Normal 11 2 2 10 3 7" xfId="44583" xr:uid="{00000000-0005-0000-0000-000043A80000}"/>
    <cellStyle name="Normal 11 2 2 10 3 8" xfId="50060" xr:uid="{00000000-0005-0000-0000-000044A80000}"/>
    <cellStyle name="Normal 11 2 2 10 3 9" xfId="55578" xr:uid="{00000000-0005-0000-0000-000045A80000}"/>
    <cellStyle name="Normal 11 2 2 10 4" xfId="6953" xr:uid="{00000000-0005-0000-0000-000046A80000}"/>
    <cellStyle name="Normal 11 2 2 10 5" xfId="12433" xr:uid="{00000000-0005-0000-0000-000047A80000}"/>
    <cellStyle name="Normal 11 2 2 10 6" xfId="17909" xr:uid="{00000000-0005-0000-0000-000048A80000}"/>
    <cellStyle name="Normal 11 2 2 10 7" xfId="23385" xr:uid="{00000000-0005-0000-0000-000049A80000}"/>
    <cellStyle name="Normal 11 2 2 10 8" xfId="35180" xr:uid="{00000000-0005-0000-0000-00004AA80000}"/>
    <cellStyle name="Normal 11 2 2 10 9" xfId="40657" xr:uid="{00000000-0005-0000-0000-00004BA80000}"/>
    <cellStyle name="Normal 11 2 2 11" xfId="2039" xr:uid="{00000000-0005-0000-0000-00004CA80000}"/>
    <cellStyle name="Normal 11 2 2 11 10" xfId="52216" xr:uid="{00000000-0005-0000-0000-00004DA80000}"/>
    <cellStyle name="Normal 11 2 2 11 2" xfId="5571" xr:uid="{00000000-0005-0000-0000-00004EA80000}"/>
    <cellStyle name="Normal 11 2 2 11 2 2" xfId="11051" xr:uid="{00000000-0005-0000-0000-00004FA80000}"/>
    <cellStyle name="Normal 11 2 2 11 2 3" xfId="16527" xr:uid="{00000000-0005-0000-0000-000050A80000}"/>
    <cellStyle name="Normal 11 2 2 11 2 4" xfId="22003" xr:uid="{00000000-0005-0000-0000-000051A80000}"/>
    <cellStyle name="Normal 11 2 2 11 2 5" xfId="27479" xr:uid="{00000000-0005-0000-0000-000052A80000}"/>
    <cellStyle name="Normal 11 2 2 11 2 6" xfId="39275" xr:uid="{00000000-0005-0000-0000-000053A80000}"/>
    <cellStyle name="Normal 11 2 2 11 2 7" xfId="44752" xr:uid="{00000000-0005-0000-0000-000054A80000}"/>
    <cellStyle name="Normal 11 2 2 11 2 8" xfId="50229" xr:uid="{00000000-0005-0000-0000-000055A80000}"/>
    <cellStyle name="Normal 11 2 2 11 2 9" xfId="55747" xr:uid="{00000000-0005-0000-0000-000056A80000}"/>
    <cellStyle name="Normal 11 2 2 11 3" xfId="7520" xr:uid="{00000000-0005-0000-0000-000057A80000}"/>
    <cellStyle name="Normal 11 2 2 11 4" xfId="12996" xr:uid="{00000000-0005-0000-0000-000058A80000}"/>
    <cellStyle name="Normal 11 2 2 11 5" xfId="18472" xr:uid="{00000000-0005-0000-0000-000059A80000}"/>
    <cellStyle name="Normal 11 2 2 11 6" xfId="23948" xr:uid="{00000000-0005-0000-0000-00005AA80000}"/>
    <cellStyle name="Normal 11 2 2 11 7" xfId="35744" xr:uid="{00000000-0005-0000-0000-00005BA80000}"/>
    <cellStyle name="Normal 11 2 2 11 8" xfId="41221" xr:uid="{00000000-0005-0000-0000-00005CA80000}"/>
    <cellStyle name="Normal 11 2 2 11 9" xfId="46698" xr:uid="{00000000-0005-0000-0000-00005DA80000}"/>
    <cellStyle name="Normal 11 2 2 12" xfId="3784" xr:uid="{00000000-0005-0000-0000-00005EA80000}"/>
    <cellStyle name="Normal 11 2 2 12 2" xfId="9264" xr:uid="{00000000-0005-0000-0000-00005FA80000}"/>
    <cellStyle name="Normal 11 2 2 12 3" xfId="14740" xr:uid="{00000000-0005-0000-0000-000060A80000}"/>
    <cellStyle name="Normal 11 2 2 12 4" xfId="20216" xr:uid="{00000000-0005-0000-0000-000061A80000}"/>
    <cellStyle name="Normal 11 2 2 12 5" xfId="25692" xr:uid="{00000000-0005-0000-0000-000062A80000}"/>
    <cellStyle name="Normal 11 2 2 12 6" xfId="37488" xr:uid="{00000000-0005-0000-0000-000063A80000}"/>
    <cellStyle name="Normal 11 2 2 12 7" xfId="42965" xr:uid="{00000000-0005-0000-0000-000064A80000}"/>
    <cellStyle name="Normal 11 2 2 12 8" xfId="48442" xr:uid="{00000000-0005-0000-0000-000065A80000}"/>
    <cellStyle name="Normal 11 2 2 12 9" xfId="53960" xr:uid="{00000000-0005-0000-0000-000066A80000}"/>
    <cellStyle name="Normal 11 2 2 13" xfId="6952" xr:uid="{00000000-0005-0000-0000-000067A80000}"/>
    <cellStyle name="Normal 11 2 2 14" xfId="12432" xr:uid="{00000000-0005-0000-0000-000068A80000}"/>
    <cellStyle name="Normal 11 2 2 15" xfId="17908" xr:uid="{00000000-0005-0000-0000-000069A80000}"/>
    <cellStyle name="Normal 11 2 2 16" xfId="23384" xr:uid="{00000000-0005-0000-0000-00006AA80000}"/>
    <cellStyle name="Normal 11 2 2 17" xfId="32926" xr:uid="{00000000-0005-0000-0000-00006BA80000}"/>
    <cellStyle name="Normal 11 2 2 18" xfId="35179" xr:uid="{00000000-0005-0000-0000-00006CA80000}"/>
    <cellStyle name="Normal 11 2 2 19" xfId="40656" xr:uid="{00000000-0005-0000-0000-00006DA80000}"/>
    <cellStyle name="Normal 11 2 2 2" xfId="434" xr:uid="{00000000-0005-0000-0000-00006EA80000}"/>
    <cellStyle name="Normal 11 2 2 2 10" xfId="40658" xr:uid="{00000000-0005-0000-0000-00006FA80000}"/>
    <cellStyle name="Normal 11 2 2 2 11" xfId="46135" xr:uid="{00000000-0005-0000-0000-000070A80000}"/>
    <cellStyle name="Normal 11 2 2 2 12" xfId="51614" xr:uid="{00000000-0005-0000-0000-000071A80000}"/>
    <cellStyle name="Normal 11 2 2 2 2" xfId="2200" xr:uid="{00000000-0005-0000-0000-000072A80000}"/>
    <cellStyle name="Normal 11 2 2 2 2 2" xfId="7680" xr:uid="{00000000-0005-0000-0000-000073A80000}"/>
    <cellStyle name="Normal 11 2 2 2 2 3" xfId="13156" xr:uid="{00000000-0005-0000-0000-000074A80000}"/>
    <cellStyle name="Normal 11 2 2 2 2 4" xfId="18632" xr:uid="{00000000-0005-0000-0000-000075A80000}"/>
    <cellStyle name="Normal 11 2 2 2 2 5" xfId="24108" xr:uid="{00000000-0005-0000-0000-000076A80000}"/>
    <cellStyle name="Normal 11 2 2 2 2 6" xfId="35904" xr:uid="{00000000-0005-0000-0000-000077A80000}"/>
    <cellStyle name="Normal 11 2 2 2 2 7" xfId="41381" xr:uid="{00000000-0005-0000-0000-000078A80000}"/>
    <cellStyle name="Normal 11 2 2 2 2 8" xfId="46858" xr:uid="{00000000-0005-0000-0000-000079A80000}"/>
    <cellStyle name="Normal 11 2 2 2 2 9" xfId="52376" xr:uid="{00000000-0005-0000-0000-00007AA80000}"/>
    <cellStyle name="Normal 11 2 2 2 3" xfId="3972" xr:uid="{00000000-0005-0000-0000-00007BA80000}"/>
    <cellStyle name="Normal 11 2 2 2 3 2" xfId="9452" xr:uid="{00000000-0005-0000-0000-00007CA80000}"/>
    <cellStyle name="Normal 11 2 2 2 3 3" xfId="14928" xr:uid="{00000000-0005-0000-0000-00007DA80000}"/>
    <cellStyle name="Normal 11 2 2 2 3 4" xfId="20404" xr:uid="{00000000-0005-0000-0000-00007EA80000}"/>
    <cellStyle name="Normal 11 2 2 2 3 5" xfId="25880" xr:uid="{00000000-0005-0000-0000-00007FA80000}"/>
    <cellStyle name="Normal 11 2 2 2 3 6" xfId="37676" xr:uid="{00000000-0005-0000-0000-000080A80000}"/>
    <cellStyle name="Normal 11 2 2 2 3 7" xfId="43153" xr:uid="{00000000-0005-0000-0000-000081A80000}"/>
    <cellStyle name="Normal 11 2 2 2 3 8" xfId="48630" xr:uid="{00000000-0005-0000-0000-000082A80000}"/>
    <cellStyle name="Normal 11 2 2 2 3 9" xfId="54148" xr:uid="{00000000-0005-0000-0000-000083A80000}"/>
    <cellStyle name="Normal 11 2 2 2 4" xfId="6954" xr:uid="{00000000-0005-0000-0000-000084A80000}"/>
    <cellStyle name="Normal 11 2 2 2 5" xfId="12434" xr:uid="{00000000-0005-0000-0000-000085A80000}"/>
    <cellStyle name="Normal 11 2 2 2 6" xfId="17910" xr:uid="{00000000-0005-0000-0000-000086A80000}"/>
    <cellStyle name="Normal 11 2 2 2 7" xfId="23386" xr:uid="{00000000-0005-0000-0000-000087A80000}"/>
    <cellStyle name="Normal 11 2 2 2 8" xfId="32927" xr:uid="{00000000-0005-0000-0000-000088A80000}"/>
    <cellStyle name="Normal 11 2 2 2 9" xfId="35181" xr:uid="{00000000-0005-0000-0000-000089A80000}"/>
    <cellStyle name="Normal 11 2 2 20" xfId="46133" xr:uid="{00000000-0005-0000-0000-00008AA80000}"/>
    <cellStyle name="Normal 11 2 2 21" xfId="51612" xr:uid="{00000000-0005-0000-0000-00008BA80000}"/>
    <cellStyle name="Normal 11 2 2 3" xfId="611" xr:uid="{00000000-0005-0000-0000-00008CA80000}"/>
    <cellStyle name="Normal 11 2 2 3 10" xfId="46136" xr:uid="{00000000-0005-0000-0000-00008DA80000}"/>
    <cellStyle name="Normal 11 2 2 3 11" xfId="51615" xr:uid="{00000000-0005-0000-0000-00008EA80000}"/>
    <cellStyle name="Normal 11 2 2 3 2" xfId="2372" xr:uid="{00000000-0005-0000-0000-00008FA80000}"/>
    <cellStyle name="Normal 11 2 2 3 2 2" xfId="7852" xr:uid="{00000000-0005-0000-0000-000090A80000}"/>
    <cellStyle name="Normal 11 2 2 3 2 3" xfId="13328" xr:uid="{00000000-0005-0000-0000-000091A80000}"/>
    <cellStyle name="Normal 11 2 2 3 2 4" xfId="18804" xr:uid="{00000000-0005-0000-0000-000092A80000}"/>
    <cellStyle name="Normal 11 2 2 3 2 5" xfId="24280" xr:uid="{00000000-0005-0000-0000-000093A80000}"/>
    <cellStyle name="Normal 11 2 2 3 2 6" xfId="36076" xr:uid="{00000000-0005-0000-0000-000094A80000}"/>
    <cellStyle name="Normal 11 2 2 3 2 7" xfId="41553" xr:uid="{00000000-0005-0000-0000-000095A80000}"/>
    <cellStyle name="Normal 11 2 2 3 2 8" xfId="47030" xr:uid="{00000000-0005-0000-0000-000096A80000}"/>
    <cellStyle name="Normal 11 2 2 3 2 9" xfId="52548" xr:uid="{00000000-0005-0000-0000-000097A80000}"/>
    <cellStyle name="Normal 11 2 2 3 3" xfId="4144" xr:uid="{00000000-0005-0000-0000-000098A80000}"/>
    <cellStyle name="Normal 11 2 2 3 3 2" xfId="9624" xr:uid="{00000000-0005-0000-0000-000099A80000}"/>
    <cellStyle name="Normal 11 2 2 3 3 3" xfId="15100" xr:uid="{00000000-0005-0000-0000-00009AA80000}"/>
    <cellStyle name="Normal 11 2 2 3 3 4" xfId="20576" xr:uid="{00000000-0005-0000-0000-00009BA80000}"/>
    <cellStyle name="Normal 11 2 2 3 3 5" xfId="26052" xr:uid="{00000000-0005-0000-0000-00009CA80000}"/>
    <cellStyle name="Normal 11 2 2 3 3 6" xfId="37848" xr:uid="{00000000-0005-0000-0000-00009DA80000}"/>
    <cellStyle name="Normal 11 2 2 3 3 7" xfId="43325" xr:uid="{00000000-0005-0000-0000-00009EA80000}"/>
    <cellStyle name="Normal 11 2 2 3 3 8" xfId="48802" xr:uid="{00000000-0005-0000-0000-00009FA80000}"/>
    <cellStyle name="Normal 11 2 2 3 3 9" xfId="54320" xr:uid="{00000000-0005-0000-0000-0000A0A80000}"/>
    <cellStyle name="Normal 11 2 2 3 4" xfId="6955" xr:uid="{00000000-0005-0000-0000-0000A1A80000}"/>
    <cellStyle name="Normal 11 2 2 3 5" xfId="12435" xr:uid="{00000000-0005-0000-0000-0000A2A80000}"/>
    <cellStyle name="Normal 11 2 2 3 6" xfId="17911" xr:uid="{00000000-0005-0000-0000-0000A3A80000}"/>
    <cellStyle name="Normal 11 2 2 3 7" xfId="23387" xr:uid="{00000000-0005-0000-0000-0000A4A80000}"/>
    <cellStyle name="Normal 11 2 2 3 8" xfId="35182" xr:uid="{00000000-0005-0000-0000-0000A5A80000}"/>
    <cellStyle name="Normal 11 2 2 3 9" xfId="40659" xr:uid="{00000000-0005-0000-0000-0000A6A80000}"/>
    <cellStyle name="Normal 11 2 2 4" xfId="783" xr:uid="{00000000-0005-0000-0000-0000A7A80000}"/>
    <cellStyle name="Normal 11 2 2 4 10" xfId="46137" xr:uid="{00000000-0005-0000-0000-0000A8A80000}"/>
    <cellStyle name="Normal 11 2 2 4 11" xfId="51616" xr:uid="{00000000-0005-0000-0000-0000A9A80000}"/>
    <cellStyle name="Normal 11 2 2 4 2" xfId="2544" xr:uid="{00000000-0005-0000-0000-0000AAA80000}"/>
    <cellStyle name="Normal 11 2 2 4 2 2" xfId="8024" xr:uid="{00000000-0005-0000-0000-0000ABA80000}"/>
    <cellStyle name="Normal 11 2 2 4 2 3" xfId="13500" xr:uid="{00000000-0005-0000-0000-0000ACA80000}"/>
    <cellStyle name="Normal 11 2 2 4 2 4" xfId="18976" xr:uid="{00000000-0005-0000-0000-0000ADA80000}"/>
    <cellStyle name="Normal 11 2 2 4 2 5" xfId="24452" xr:uid="{00000000-0005-0000-0000-0000AEA80000}"/>
    <cellStyle name="Normal 11 2 2 4 2 6" xfId="36248" xr:uid="{00000000-0005-0000-0000-0000AFA80000}"/>
    <cellStyle name="Normal 11 2 2 4 2 7" xfId="41725" xr:uid="{00000000-0005-0000-0000-0000B0A80000}"/>
    <cellStyle name="Normal 11 2 2 4 2 8" xfId="47202" xr:uid="{00000000-0005-0000-0000-0000B1A80000}"/>
    <cellStyle name="Normal 11 2 2 4 2 9" xfId="52720" xr:uid="{00000000-0005-0000-0000-0000B2A80000}"/>
    <cellStyle name="Normal 11 2 2 4 3" xfId="4316" xr:uid="{00000000-0005-0000-0000-0000B3A80000}"/>
    <cellStyle name="Normal 11 2 2 4 3 2" xfId="9796" xr:uid="{00000000-0005-0000-0000-0000B4A80000}"/>
    <cellStyle name="Normal 11 2 2 4 3 3" xfId="15272" xr:uid="{00000000-0005-0000-0000-0000B5A80000}"/>
    <cellStyle name="Normal 11 2 2 4 3 4" xfId="20748" xr:uid="{00000000-0005-0000-0000-0000B6A80000}"/>
    <cellStyle name="Normal 11 2 2 4 3 5" xfId="26224" xr:uid="{00000000-0005-0000-0000-0000B7A80000}"/>
    <cellStyle name="Normal 11 2 2 4 3 6" xfId="38020" xr:uid="{00000000-0005-0000-0000-0000B8A80000}"/>
    <cellStyle name="Normal 11 2 2 4 3 7" xfId="43497" xr:uid="{00000000-0005-0000-0000-0000B9A80000}"/>
    <cellStyle name="Normal 11 2 2 4 3 8" xfId="48974" xr:uid="{00000000-0005-0000-0000-0000BAA80000}"/>
    <cellStyle name="Normal 11 2 2 4 3 9" xfId="54492" xr:uid="{00000000-0005-0000-0000-0000BBA80000}"/>
    <cellStyle name="Normal 11 2 2 4 4" xfId="6956" xr:uid="{00000000-0005-0000-0000-0000BCA80000}"/>
    <cellStyle name="Normal 11 2 2 4 5" xfId="12436" xr:uid="{00000000-0005-0000-0000-0000BDA80000}"/>
    <cellStyle name="Normal 11 2 2 4 6" xfId="17912" xr:uid="{00000000-0005-0000-0000-0000BEA80000}"/>
    <cellStyle name="Normal 11 2 2 4 7" xfId="23388" xr:uid="{00000000-0005-0000-0000-0000BFA80000}"/>
    <cellStyle name="Normal 11 2 2 4 8" xfId="35183" xr:uid="{00000000-0005-0000-0000-0000C0A80000}"/>
    <cellStyle name="Normal 11 2 2 4 9" xfId="40660" xr:uid="{00000000-0005-0000-0000-0000C1A80000}"/>
    <cellStyle name="Normal 11 2 2 5" xfId="955" xr:uid="{00000000-0005-0000-0000-0000C2A80000}"/>
    <cellStyle name="Normal 11 2 2 5 10" xfId="46138" xr:uid="{00000000-0005-0000-0000-0000C3A80000}"/>
    <cellStyle name="Normal 11 2 2 5 11" xfId="51617" xr:uid="{00000000-0005-0000-0000-0000C4A80000}"/>
    <cellStyle name="Normal 11 2 2 5 2" xfId="2716" xr:uid="{00000000-0005-0000-0000-0000C5A80000}"/>
    <cellStyle name="Normal 11 2 2 5 2 2" xfId="8196" xr:uid="{00000000-0005-0000-0000-0000C6A80000}"/>
    <cellStyle name="Normal 11 2 2 5 2 3" xfId="13672" xr:uid="{00000000-0005-0000-0000-0000C7A80000}"/>
    <cellStyle name="Normal 11 2 2 5 2 4" xfId="19148" xr:uid="{00000000-0005-0000-0000-0000C8A80000}"/>
    <cellStyle name="Normal 11 2 2 5 2 5" xfId="24624" xr:uid="{00000000-0005-0000-0000-0000C9A80000}"/>
    <cellStyle name="Normal 11 2 2 5 2 6" xfId="36420" xr:uid="{00000000-0005-0000-0000-0000CAA80000}"/>
    <cellStyle name="Normal 11 2 2 5 2 7" xfId="41897" xr:uid="{00000000-0005-0000-0000-0000CBA80000}"/>
    <cellStyle name="Normal 11 2 2 5 2 8" xfId="47374" xr:uid="{00000000-0005-0000-0000-0000CCA80000}"/>
    <cellStyle name="Normal 11 2 2 5 2 9" xfId="52892" xr:uid="{00000000-0005-0000-0000-0000CDA80000}"/>
    <cellStyle name="Normal 11 2 2 5 3" xfId="4488" xr:uid="{00000000-0005-0000-0000-0000CEA80000}"/>
    <cellStyle name="Normal 11 2 2 5 3 2" xfId="9968" xr:uid="{00000000-0005-0000-0000-0000CFA80000}"/>
    <cellStyle name="Normal 11 2 2 5 3 3" xfId="15444" xr:uid="{00000000-0005-0000-0000-0000D0A80000}"/>
    <cellStyle name="Normal 11 2 2 5 3 4" xfId="20920" xr:uid="{00000000-0005-0000-0000-0000D1A80000}"/>
    <cellStyle name="Normal 11 2 2 5 3 5" xfId="26396" xr:uid="{00000000-0005-0000-0000-0000D2A80000}"/>
    <cellStyle name="Normal 11 2 2 5 3 6" xfId="38192" xr:uid="{00000000-0005-0000-0000-0000D3A80000}"/>
    <cellStyle name="Normal 11 2 2 5 3 7" xfId="43669" xr:uid="{00000000-0005-0000-0000-0000D4A80000}"/>
    <cellStyle name="Normal 11 2 2 5 3 8" xfId="49146" xr:uid="{00000000-0005-0000-0000-0000D5A80000}"/>
    <cellStyle name="Normal 11 2 2 5 3 9" xfId="54664" xr:uid="{00000000-0005-0000-0000-0000D6A80000}"/>
    <cellStyle name="Normal 11 2 2 5 4" xfId="6957" xr:uid="{00000000-0005-0000-0000-0000D7A80000}"/>
    <cellStyle name="Normal 11 2 2 5 5" xfId="12437" xr:uid="{00000000-0005-0000-0000-0000D8A80000}"/>
    <cellStyle name="Normal 11 2 2 5 6" xfId="17913" xr:uid="{00000000-0005-0000-0000-0000D9A80000}"/>
    <cellStyle name="Normal 11 2 2 5 7" xfId="23389" xr:uid="{00000000-0005-0000-0000-0000DAA80000}"/>
    <cellStyle name="Normal 11 2 2 5 8" xfId="35184" xr:uid="{00000000-0005-0000-0000-0000DBA80000}"/>
    <cellStyle name="Normal 11 2 2 5 9" xfId="40661" xr:uid="{00000000-0005-0000-0000-0000DCA80000}"/>
    <cellStyle name="Normal 11 2 2 6" xfId="1161" xr:uid="{00000000-0005-0000-0000-0000DDA80000}"/>
    <cellStyle name="Normal 11 2 2 6 10" xfId="46139" xr:uid="{00000000-0005-0000-0000-0000DEA80000}"/>
    <cellStyle name="Normal 11 2 2 6 11" xfId="51618" xr:uid="{00000000-0005-0000-0000-0000DFA80000}"/>
    <cellStyle name="Normal 11 2 2 6 2" xfId="2922" xr:uid="{00000000-0005-0000-0000-0000E0A80000}"/>
    <cellStyle name="Normal 11 2 2 6 2 2" xfId="8402" xr:uid="{00000000-0005-0000-0000-0000E1A80000}"/>
    <cellStyle name="Normal 11 2 2 6 2 3" xfId="13878" xr:uid="{00000000-0005-0000-0000-0000E2A80000}"/>
    <cellStyle name="Normal 11 2 2 6 2 4" xfId="19354" xr:uid="{00000000-0005-0000-0000-0000E3A80000}"/>
    <cellStyle name="Normal 11 2 2 6 2 5" xfId="24830" xr:uid="{00000000-0005-0000-0000-0000E4A80000}"/>
    <cellStyle name="Normal 11 2 2 6 2 6" xfId="36626" xr:uid="{00000000-0005-0000-0000-0000E5A80000}"/>
    <cellStyle name="Normal 11 2 2 6 2 7" xfId="42103" xr:uid="{00000000-0005-0000-0000-0000E6A80000}"/>
    <cellStyle name="Normal 11 2 2 6 2 8" xfId="47580" xr:uid="{00000000-0005-0000-0000-0000E7A80000}"/>
    <cellStyle name="Normal 11 2 2 6 2 9" xfId="53098" xr:uid="{00000000-0005-0000-0000-0000E8A80000}"/>
    <cellStyle name="Normal 11 2 2 6 3" xfId="4694" xr:uid="{00000000-0005-0000-0000-0000E9A80000}"/>
    <cellStyle name="Normal 11 2 2 6 3 2" xfId="10174" xr:uid="{00000000-0005-0000-0000-0000EAA80000}"/>
    <cellStyle name="Normal 11 2 2 6 3 3" xfId="15650" xr:uid="{00000000-0005-0000-0000-0000EBA80000}"/>
    <cellStyle name="Normal 11 2 2 6 3 4" xfId="21126" xr:uid="{00000000-0005-0000-0000-0000ECA80000}"/>
    <cellStyle name="Normal 11 2 2 6 3 5" xfId="26602" xr:uid="{00000000-0005-0000-0000-0000EDA80000}"/>
    <cellStyle name="Normal 11 2 2 6 3 6" xfId="38398" xr:uid="{00000000-0005-0000-0000-0000EEA80000}"/>
    <cellStyle name="Normal 11 2 2 6 3 7" xfId="43875" xr:uid="{00000000-0005-0000-0000-0000EFA80000}"/>
    <cellStyle name="Normal 11 2 2 6 3 8" xfId="49352" xr:uid="{00000000-0005-0000-0000-0000F0A80000}"/>
    <cellStyle name="Normal 11 2 2 6 3 9" xfId="54870" xr:uid="{00000000-0005-0000-0000-0000F1A80000}"/>
    <cellStyle name="Normal 11 2 2 6 4" xfId="6958" xr:uid="{00000000-0005-0000-0000-0000F2A80000}"/>
    <cellStyle name="Normal 11 2 2 6 5" xfId="12438" xr:uid="{00000000-0005-0000-0000-0000F3A80000}"/>
    <cellStyle name="Normal 11 2 2 6 6" xfId="17914" xr:uid="{00000000-0005-0000-0000-0000F4A80000}"/>
    <cellStyle name="Normal 11 2 2 6 7" xfId="23390" xr:uid="{00000000-0005-0000-0000-0000F5A80000}"/>
    <cellStyle name="Normal 11 2 2 6 8" xfId="35185" xr:uid="{00000000-0005-0000-0000-0000F6A80000}"/>
    <cellStyle name="Normal 11 2 2 6 9" xfId="40662" xr:uid="{00000000-0005-0000-0000-0000F7A80000}"/>
    <cellStyle name="Normal 11 2 2 7" xfId="1333" xr:uid="{00000000-0005-0000-0000-0000F8A80000}"/>
    <cellStyle name="Normal 11 2 2 7 10" xfId="46140" xr:uid="{00000000-0005-0000-0000-0000F9A80000}"/>
    <cellStyle name="Normal 11 2 2 7 11" xfId="51619" xr:uid="{00000000-0005-0000-0000-0000FAA80000}"/>
    <cellStyle name="Normal 11 2 2 7 2" xfId="3094" xr:uid="{00000000-0005-0000-0000-0000FBA80000}"/>
    <cellStyle name="Normal 11 2 2 7 2 2" xfId="8574" xr:uid="{00000000-0005-0000-0000-0000FCA80000}"/>
    <cellStyle name="Normal 11 2 2 7 2 3" xfId="14050" xr:uid="{00000000-0005-0000-0000-0000FDA80000}"/>
    <cellStyle name="Normal 11 2 2 7 2 4" xfId="19526" xr:uid="{00000000-0005-0000-0000-0000FEA80000}"/>
    <cellStyle name="Normal 11 2 2 7 2 5" xfId="25002" xr:uid="{00000000-0005-0000-0000-0000FFA80000}"/>
    <cellStyle name="Normal 11 2 2 7 2 6" xfId="36798" xr:uid="{00000000-0005-0000-0000-000000A90000}"/>
    <cellStyle name="Normal 11 2 2 7 2 7" xfId="42275" xr:uid="{00000000-0005-0000-0000-000001A90000}"/>
    <cellStyle name="Normal 11 2 2 7 2 8" xfId="47752" xr:uid="{00000000-0005-0000-0000-000002A90000}"/>
    <cellStyle name="Normal 11 2 2 7 2 9" xfId="53270" xr:uid="{00000000-0005-0000-0000-000003A90000}"/>
    <cellStyle name="Normal 11 2 2 7 3" xfId="4866" xr:uid="{00000000-0005-0000-0000-000004A90000}"/>
    <cellStyle name="Normal 11 2 2 7 3 2" xfId="10346" xr:uid="{00000000-0005-0000-0000-000005A90000}"/>
    <cellStyle name="Normal 11 2 2 7 3 3" xfId="15822" xr:uid="{00000000-0005-0000-0000-000006A90000}"/>
    <cellStyle name="Normal 11 2 2 7 3 4" xfId="21298" xr:uid="{00000000-0005-0000-0000-000007A90000}"/>
    <cellStyle name="Normal 11 2 2 7 3 5" xfId="26774" xr:uid="{00000000-0005-0000-0000-000008A90000}"/>
    <cellStyle name="Normal 11 2 2 7 3 6" xfId="38570" xr:uid="{00000000-0005-0000-0000-000009A90000}"/>
    <cellStyle name="Normal 11 2 2 7 3 7" xfId="44047" xr:uid="{00000000-0005-0000-0000-00000AA90000}"/>
    <cellStyle name="Normal 11 2 2 7 3 8" xfId="49524" xr:uid="{00000000-0005-0000-0000-00000BA90000}"/>
    <cellStyle name="Normal 11 2 2 7 3 9" xfId="55042" xr:uid="{00000000-0005-0000-0000-00000CA90000}"/>
    <cellStyle name="Normal 11 2 2 7 4" xfId="6959" xr:uid="{00000000-0005-0000-0000-00000DA90000}"/>
    <cellStyle name="Normal 11 2 2 7 5" xfId="12439" xr:uid="{00000000-0005-0000-0000-00000EA90000}"/>
    <cellStyle name="Normal 11 2 2 7 6" xfId="17915" xr:uid="{00000000-0005-0000-0000-00000FA90000}"/>
    <cellStyle name="Normal 11 2 2 7 7" xfId="23391" xr:uid="{00000000-0005-0000-0000-000010A90000}"/>
    <cellStyle name="Normal 11 2 2 7 8" xfId="35186" xr:uid="{00000000-0005-0000-0000-000011A90000}"/>
    <cellStyle name="Normal 11 2 2 7 9" xfId="40663" xr:uid="{00000000-0005-0000-0000-000012A90000}"/>
    <cellStyle name="Normal 11 2 2 8" xfId="1505" xr:uid="{00000000-0005-0000-0000-000013A90000}"/>
    <cellStyle name="Normal 11 2 2 8 10" xfId="46141" xr:uid="{00000000-0005-0000-0000-000014A90000}"/>
    <cellStyle name="Normal 11 2 2 8 11" xfId="51620" xr:uid="{00000000-0005-0000-0000-000015A90000}"/>
    <cellStyle name="Normal 11 2 2 8 2" xfId="3266" xr:uid="{00000000-0005-0000-0000-000016A90000}"/>
    <cellStyle name="Normal 11 2 2 8 2 2" xfId="8746" xr:uid="{00000000-0005-0000-0000-000017A90000}"/>
    <cellStyle name="Normal 11 2 2 8 2 3" xfId="14222" xr:uid="{00000000-0005-0000-0000-000018A90000}"/>
    <cellStyle name="Normal 11 2 2 8 2 4" xfId="19698" xr:uid="{00000000-0005-0000-0000-000019A90000}"/>
    <cellStyle name="Normal 11 2 2 8 2 5" xfId="25174" xr:uid="{00000000-0005-0000-0000-00001AA90000}"/>
    <cellStyle name="Normal 11 2 2 8 2 6" xfId="36970" xr:uid="{00000000-0005-0000-0000-00001BA90000}"/>
    <cellStyle name="Normal 11 2 2 8 2 7" xfId="42447" xr:uid="{00000000-0005-0000-0000-00001CA90000}"/>
    <cellStyle name="Normal 11 2 2 8 2 8" xfId="47924" xr:uid="{00000000-0005-0000-0000-00001DA90000}"/>
    <cellStyle name="Normal 11 2 2 8 2 9" xfId="53442" xr:uid="{00000000-0005-0000-0000-00001EA90000}"/>
    <cellStyle name="Normal 11 2 2 8 3" xfId="5038" xr:uid="{00000000-0005-0000-0000-00001FA90000}"/>
    <cellStyle name="Normal 11 2 2 8 3 2" xfId="10518" xr:uid="{00000000-0005-0000-0000-000020A90000}"/>
    <cellStyle name="Normal 11 2 2 8 3 3" xfId="15994" xr:uid="{00000000-0005-0000-0000-000021A90000}"/>
    <cellStyle name="Normal 11 2 2 8 3 4" xfId="21470" xr:uid="{00000000-0005-0000-0000-000022A90000}"/>
    <cellStyle name="Normal 11 2 2 8 3 5" xfId="26946" xr:uid="{00000000-0005-0000-0000-000023A90000}"/>
    <cellStyle name="Normal 11 2 2 8 3 6" xfId="38742" xr:uid="{00000000-0005-0000-0000-000024A90000}"/>
    <cellStyle name="Normal 11 2 2 8 3 7" xfId="44219" xr:uid="{00000000-0005-0000-0000-000025A90000}"/>
    <cellStyle name="Normal 11 2 2 8 3 8" xfId="49696" xr:uid="{00000000-0005-0000-0000-000026A90000}"/>
    <cellStyle name="Normal 11 2 2 8 3 9" xfId="55214" xr:uid="{00000000-0005-0000-0000-000027A90000}"/>
    <cellStyle name="Normal 11 2 2 8 4" xfId="6960" xr:uid="{00000000-0005-0000-0000-000028A90000}"/>
    <cellStyle name="Normal 11 2 2 8 5" xfId="12440" xr:uid="{00000000-0005-0000-0000-000029A90000}"/>
    <cellStyle name="Normal 11 2 2 8 6" xfId="17916" xr:uid="{00000000-0005-0000-0000-00002AA90000}"/>
    <cellStyle name="Normal 11 2 2 8 7" xfId="23392" xr:uid="{00000000-0005-0000-0000-00002BA90000}"/>
    <cellStyle name="Normal 11 2 2 8 8" xfId="35187" xr:uid="{00000000-0005-0000-0000-00002CA90000}"/>
    <cellStyle name="Normal 11 2 2 8 9" xfId="40664" xr:uid="{00000000-0005-0000-0000-00002DA90000}"/>
    <cellStyle name="Normal 11 2 2 9" xfId="1677" xr:uid="{00000000-0005-0000-0000-00002EA90000}"/>
    <cellStyle name="Normal 11 2 2 9 10" xfId="46142" xr:uid="{00000000-0005-0000-0000-00002FA90000}"/>
    <cellStyle name="Normal 11 2 2 9 11" xfId="51621" xr:uid="{00000000-0005-0000-0000-000030A90000}"/>
    <cellStyle name="Normal 11 2 2 9 2" xfId="3438" xr:uid="{00000000-0005-0000-0000-000031A90000}"/>
    <cellStyle name="Normal 11 2 2 9 2 2" xfId="8918" xr:uid="{00000000-0005-0000-0000-000032A90000}"/>
    <cellStyle name="Normal 11 2 2 9 2 3" xfId="14394" xr:uid="{00000000-0005-0000-0000-000033A90000}"/>
    <cellStyle name="Normal 11 2 2 9 2 4" xfId="19870" xr:uid="{00000000-0005-0000-0000-000034A90000}"/>
    <cellStyle name="Normal 11 2 2 9 2 5" xfId="25346" xr:uid="{00000000-0005-0000-0000-000035A90000}"/>
    <cellStyle name="Normal 11 2 2 9 2 6" xfId="37142" xr:uid="{00000000-0005-0000-0000-000036A90000}"/>
    <cellStyle name="Normal 11 2 2 9 2 7" xfId="42619" xr:uid="{00000000-0005-0000-0000-000037A90000}"/>
    <cellStyle name="Normal 11 2 2 9 2 8" xfId="48096" xr:uid="{00000000-0005-0000-0000-000038A90000}"/>
    <cellStyle name="Normal 11 2 2 9 2 9" xfId="53614" xr:uid="{00000000-0005-0000-0000-000039A90000}"/>
    <cellStyle name="Normal 11 2 2 9 3" xfId="5210" xr:uid="{00000000-0005-0000-0000-00003AA90000}"/>
    <cellStyle name="Normal 11 2 2 9 3 2" xfId="10690" xr:uid="{00000000-0005-0000-0000-00003BA90000}"/>
    <cellStyle name="Normal 11 2 2 9 3 3" xfId="16166" xr:uid="{00000000-0005-0000-0000-00003CA90000}"/>
    <cellStyle name="Normal 11 2 2 9 3 4" xfId="21642" xr:uid="{00000000-0005-0000-0000-00003DA90000}"/>
    <cellStyle name="Normal 11 2 2 9 3 5" xfId="27118" xr:uid="{00000000-0005-0000-0000-00003EA90000}"/>
    <cellStyle name="Normal 11 2 2 9 3 6" xfId="38914" xr:uid="{00000000-0005-0000-0000-00003FA90000}"/>
    <cellStyle name="Normal 11 2 2 9 3 7" xfId="44391" xr:uid="{00000000-0005-0000-0000-000040A90000}"/>
    <cellStyle name="Normal 11 2 2 9 3 8" xfId="49868" xr:uid="{00000000-0005-0000-0000-000041A90000}"/>
    <cellStyle name="Normal 11 2 2 9 3 9" xfId="55386" xr:uid="{00000000-0005-0000-0000-000042A90000}"/>
    <cellStyle name="Normal 11 2 2 9 4" xfId="6961" xr:uid="{00000000-0005-0000-0000-000043A90000}"/>
    <cellStyle name="Normal 11 2 2 9 5" xfId="12441" xr:uid="{00000000-0005-0000-0000-000044A90000}"/>
    <cellStyle name="Normal 11 2 2 9 6" xfId="17917" xr:uid="{00000000-0005-0000-0000-000045A90000}"/>
    <cellStyle name="Normal 11 2 2 9 7" xfId="23393" xr:uid="{00000000-0005-0000-0000-000046A90000}"/>
    <cellStyle name="Normal 11 2 2 9 8" xfId="35188" xr:uid="{00000000-0005-0000-0000-000047A90000}"/>
    <cellStyle name="Normal 11 2 2 9 9" xfId="40665" xr:uid="{00000000-0005-0000-0000-000048A90000}"/>
    <cellStyle name="Normal 11 2 20" xfId="40653" xr:uid="{00000000-0005-0000-0000-000049A90000}"/>
    <cellStyle name="Normal 11 2 21" xfId="46130" xr:uid="{00000000-0005-0000-0000-00004AA90000}"/>
    <cellStyle name="Normal 11 2 22" xfId="51609" xr:uid="{00000000-0005-0000-0000-00004BA90000}"/>
    <cellStyle name="Normal 11 2 3" xfId="433" xr:uid="{00000000-0005-0000-0000-00004CA90000}"/>
    <cellStyle name="Normal 11 2 3 10" xfId="40666" xr:uid="{00000000-0005-0000-0000-00004DA90000}"/>
    <cellStyle name="Normal 11 2 3 11" xfId="46143" xr:uid="{00000000-0005-0000-0000-00004EA90000}"/>
    <cellStyle name="Normal 11 2 3 12" xfId="51622" xr:uid="{00000000-0005-0000-0000-00004FA90000}"/>
    <cellStyle name="Normal 11 2 3 2" xfId="2199" xr:uid="{00000000-0005-0000-0000-000050A90000}"/>
    <cellStyle name="Normal 11 2 3 2 2" xfId="7679" xr:uid="{00000000-0005-0000-0000-000051A90000}"/>
    <cellStyle name="Normal 11 2 3 2 3" xfId="13155" xr:uid="{00000000-0005-0000-0000-000052A90000}"/>
    <cellStyle name="Normal 11 2 3 2 4" xfId="18631" xr:uid="{00000000-0005-0000-0000-000053A90000}"/>
    <cellStyle name="Normal 11 2 3 2 5" xfId="24107" xr:uid="{00000000-0005-0000-0000-000054A90000}"/>
    <cellStyle name="Normal 11 2 3 2 6" xfId="35903" xr:uid="{00000000-0005-0000-0000-000055A90000}"/>
    <cellStyle name="Normal 11 2 3 2 7" xfId="41380" xr:uid="{00000000-0005-0000-0000-000056A90000}"/>
    <cellStyle name="Normal 11 2 3 2 8" xfId="46857" xr:uid="{00000000-0005-0000-0000-000057A90000}"/>
    <cellStyle name="Normal 11 2 3 2 9" xfId="52375" xr:uid="{00000000-0005-0000-0000-000058A90000}"/>
    <cellStyle name="Normal 11 2 3 3" xfId="3971" xr:uid="{00000000-0005-0000-0000-000059A90000}"/>
    <cellStyle name="Normal 11 2 3 3 2" xfId="9451" xr:uid="{00000000-0005-0000-0000-00005AA90000}"/>
    <cellStyle name="Normal 11 2 3 3 3" xfId="14927" xr:uid="{00000000-0005-0000-0000-00005BA90000}"/>
    <cellStyle name="Normal 11 2 3 3 4" xfId="20403" xr:uid="{00000000-0005-0000-0000-00005CA90000}"/>
    <cellStyle name="Normal 11 2 3 3 5" xfId="25879" xr:uid="{00000000-0005-0000-0000-00005DA90000}"/>
    <cellStyle name="Normal 11 2 3 3 6" xfId="37675" xr:uid="{00000000-0005-0000-0000-00005EA90000}"/>
    <cellStyle name="Normal 11 2 3 3 7" xfId="43152" xr:uid="{00000000-0005-0000-0000-00005FA90000}"/>
    <cellStyle name="Normal 11 2 3 3 8" xfId="48629" xr:uid="{00000000-0005-0000-0000-000060A90000}"/>
    <cellStyle name="Normal 11 2 3 3 9" xfId="54147" xr:uid="{00000000-0005-0000-0000-000061A90000}"/>
    <cellStyle name="Normal 11 2 3 4" xfId="6962" xr:uid="{00000000-0005-0000-0000-000062A90000}"/>
    <cellStyle name="Normal 11 2 3 5" xfId="12442" xr:uid="{00000000-0005-0000-0000-000063A90000}"/>
    <cellStyle name="Normal 11 2 3 6" xfId="17918" xr:uid="{00000000-0005-0000-0000-000064A90000}"/>
    <cellStyle name="Normal 11 2 3 7" xfId="23394" xr:uid="{00000000-0005-0000-0000-000065A90000}"/>
    <cellStyle name="Normal 11 2 3 8" xfId="32928" xr:uid="{00000000-0005-0000-0000-000066A90000}"/>
    <cellStyle name="Normal 11 2 3 9" xfId="35189" xr:uid="{00000000-0005-0000-0000-000067A90000}"/>
    <cellStyle name="Normal 11 2 4" xfId="610" xr:uid="{00000000-0005-0000-0000-000068A90000}"/>
    <cellStyle name="Normal 11 2 4 10" xfId="46144" xr:uid="{00000000-0005-0000-0000-000069A90000}"/>
    <cellStyle name="Normal 11 2 4 11" xfId="51623" xr:uid="{00000000-0005-0000-0000-00006AA90000}"/>
    <cellStyle name="Normal 11 2 4 2" xfId="2371" xr:uid="{00000000-0005-0000-0000-00006BA90000}"/>
    <cellStyle name="Normal 11 2 4 2 2" xfId="7851" xr:uid="{00000000-0005-0000-0000-00006CA90000}"/>
    <cellStyle name="Normal 11 2 4 2 3" xfId="13327" xr:uid="{00000000-0005-0000-0000-00006DA90000}"/>
    <cellStyle name="Normal 11 2 4 2 4" xfId="18803" xr:uid="{00000000-0005-0000-0000-00006EA90000}"/>
    <cellStyle name="Normal 11 2 4 2 5" xfId="24279" xr:uid="{00000000-0005-0000-0000-00006FA90000}"/>
    <cellStyle name="Normal 11 2 4 2 6" xfId="36075" xr:uid="{00000000-0005-0000-0000-000070A90000}"/>
    <cellStyle name="Normal 11 2 4 2 7" xfId="41552" xr:uid="{00000000-0005-0000-0000-000071A90000}"/>
    <cellStyle name="Normal 11 2 4 2 8" xfId="47029" xr:uid="{00000000-0005-0000-0000-000072A90000}"/>
    <cellStyle name="Normal 11 2 4 2 9" xfId="52547" xr:uid="{00000000-0005-0000-0000-000073A90000}"/>
    <cellStyle name="Normal 11 2 4 3" xfId="4143" xr:uid="{00000000-0005-0000-0000-000074A90000}"/>
    <cellStyle name="Normal 11 2 4 3 2" xfId="9623" xr:uid="{00000000-0005-0000-0000-000075A90000}"/>
    <cellStyle name="Normal 11 2 4 3 3" xfId="15099" xr:uid="{00000000-0005-0000-0000-000076A90000}"/>
    <cellStyle name="Normal 11 2 4 3 4" xfId="20575" xr:uid="{00000000-0005-0000-0000-000077A90000}"/>
    <cellStyle name="Normal 11 2 4 3 5" xfId="26051" xr:uid="{00000000-0005-0000-0000-000078A90000}"/>
    <cellStyle name="Normal 11 2 4 3 6" xfId="37847" xr:uid="{00000000-0005-0000-0000-000079A90000}"/>
    <cellStyle name="Normal 11 2 4 3 7" xfId="43324" xr:uid="{00000000-0005-0000-0000-00007AA90000}"/>
    <cellStyle name="Normal 11 2 4 3 8" xfId="48801" xr:uid="{00000000-0005-0000-0000-00007BA90000}"/>
    <cellStyle name="Normal 11 2 4 3 9" xfId="54319" xr:uid="{00000000-0005-0000-0000-00007CA90000}"/>
    <cellStyle name="Normal 11 2 4 4" xfId="6963" xr:uid="{00000000-0005-0000-0000-00007DA90000}"/>
    <cellStyle name="Normal 11 2 4 5" xfId="12443" xr:uid="{00000000-0005-0000-0000-00007EA90000}"/>
    <cellStyle name="Normal 11 2 4 6" xfId="17919" xr:uid="{00000000-0005-0000-0000-00007FA90000}"/>
    <cellStyle name="Normal 11 2 4 7" xfId="23395" xr:uid="{00000000-0005-0000-0000-000080A90000}"/>
    <cellStyle name="Normal 11 2 4 8" xfId="35190" xr:uid="{00000000-0005-0000-0000-000081A90000}"/>
    <cellStyle name="Normal 11 2 4 9" xfId="40667" xr:uid="{00000000-0005-0000-0000-000082A90000}"/>
    <cellStyle name="Normal 11 2 5" xfId="782" xr:uid="{00000000-0005-0000-0000-000083A90000}"/>
    <cellStyle name="Normal 11 2 5 10" xfId="46145" xr:uid="{00000000-0005-0000-0000-000084A90000}"/>
    <cellStyle name="Normal 11 2 5 11" xfId="51624" xr:uid="{00000000-0005-0000-0000-000085A90000}"/>
    <cellStyle name="Normal 11 2 5 2" xfId="2543" xr:uid="{00000000-0005-0000-0000-000086A90000}"/>
    <cellStyle name="Normal 11 2 5 2 2" xfId="8023" xr:uid="{00000000-0005-0000-0000-000087A90000}"/>
    <cellStyle name="Normal 11 2 5 2 3" xfId="13499" xr:uid="{00000000-0005-0000-0000-000088A90000}"/>
    <cellStyle name="Normal 11 2 5 2 4" xfId="18975" xr:uid="{00000000-0005-0000-0000-000089A90000}"/>
    <cellStyle name="Normal 11 2 5 2 5" xfId="24451" xr:uid="{00000000-0005-0000-0000-00008AA90000}"/>
    <cellStyle name="Normal 11 2 5 2 6" xfId="36247" xr:uid="{00000000-0005-0000-0000-00008BA90000}"/>
    <cellStyle name="Normal 11 2 5 2 7" xfId="41724" xr:uid="{00000000-0005-0000-0000-00008CA90000}"/>
    <cellStyle name="Normal 11 2 5 2 8" xfId="47201" xr:uid="{00000000-0005-0000-0000-00008DA90000}"/>
    <cellStyle name="Normal 11 2 5 2 9" xfId="52719" xr:uid="{00000000-0005-0000-0000-00008EA90000}"/>
    <cellStyle name="Normal 11 2 5 3" xfId="4315" xr:uid="{00000000-0005-0000-0000-00008FA90000}"/>
    <cellStyle name="Normal 11 2 5 3 2" xfId="9795" xr:uid="{00000000-0005-0000-0000-000090A90000}"/>
    <cellStyle name="Normal 11 2 5 3 3" xfId="15271" xr:uid="{00000000-0005-0000-0000-000091A90000}"/>
    <cellStyle name="Normal 11 2 5 3 4" xfId="20747" xr:uid="{00000000-0005-0000-0000-000092A90000}"/>
    <cellStyle name="Normal 11 2 5 3 5" xfId="26223" xr:uid="{00000000-0005-0000-0000-000093A90000}"/>
    <cellStyle name="Normal 11 2 5 3 6" xfId="38019" xr:uid="{00000000-0005-0000-0000-000094A90000}"/>
    <cellStyle name="Normal 11 2 5 3 7" xfId="43496" xr:uid="{00000000-0005-0000-0000-000095A90000}"/>
    <cellStyle name="Normal 11 2 5 3 8" xfId="48973" xr:uid="{00000000-0005-0000-0000-000096A90000}"/>
    <cellStyle name="Normal 11 2 5 3 9" xfId="54491" xr:uid="{00000000-0005-0000-0000-000097A90000}"/>
    <cellStyle name="Normal 11 2 5 4" xfId="6964" xr:uid="{00000000-0005-0000-0000-000098A90000}"/>
    <cellStyle name="Normal 11 2 5 5" xfId="12444" xr:uid="{00000000-0005-0000-0000-000099A90000}"/>
    <cellStyle name="Normal 11 2 5 6" xfId="17920" xr:uid="{00000000-0005-0000-0000-00009AA90000}"/>
    <cellStyle name="Normal 11 2 5 7" xfId="23396" xr:uid="{00000000-0005-0000-0000-00009BA90000}"/>
    <cellStyle name="Normal 11 2 5 8" xfId="35191" xr:uid="{00000000-0005-0000-0000-00009CA90000}"/>
    <cellStyle name="Normal 11 2 5 9" xfId="40668" xr:uid="{00000000-0005-0000-0000-00009DA90000}"/>
    <cellStyle name="Normal 11 2 6" xfId="954" xr:uid="{00000000-0005-0000-0000-00009EA90000}"/>
    <cellStyle name="Normal 11 2 6 10" xfId="46146" xr:uid="{00000000-0005-0000-0000-00009FA90000}"/>
    <cellStyle name="Normal 11 2 6 11" xfId="51625" xr:uid="{00000000-0005-0000-0000-0000A0A90000}"/>
    <cellStyle name="Normal 11 2 6 2" xfId="2715" xr:uid="{00000000-0005-0000-0000-0000A1A90000}"/>
    <cellStyle name="Normal 11 2 6 2 2" xfId="8195" xr:uid="{00000000-0005-0000-0000-0000A2A90000}"/>
    <cellStyle name="Normal 11 2 6 2 3" xfId="13671" xr:uid="{00000000-0005-0000-0000-0000A3A90000}"/>
    <cellStyle name="Normal 11 2 6 2 4" xfId="19147" xr:uid="{00000000-0005-0000-0000-0000A4A90000}"/>
    <cellStyle name="Normal 11 2 6 2 5" xfId="24623" xr:uid="{00000000-0005-0000-0000-0000A5A90000}"/>
    <cellStyle name="Normal 11 2 6 2 6" xfId="36419" xr:uid="{00000000-0005-0000-0000-0000A6A90000}"/>
    <cellStyle name="Normal 11 2 6 2 7" xfId="41896" xr:uid="{00000000-0005-0000-0000-0000A7A90000}"/>
    <cellStyle name="Normal 11 2 6 2 8" xfId="47373" xr:uid="{00000000-0005-0000-0000-0000A8A90000}"/>
    <cellStyle name="Normal 11 2 6 2 9" xfId="52891" xr:uid="{00000000-0005-0000-0000-0000A9A90000}"/>
    <cellStyle name="Normal 11 2 6 3" xfId="4487" xr:uid="{00000000-0005-0000-0000-0000AAA90000}"/>
    <cellStyle name="Normal 11 2 6 3 2" xfId="9967" xr:uid="{00000000-0005-0000-0000-0000ABA90000}"/>
    <cellStyle name="Normal 11 2 6 3 3" xfId="15443" xr:uid="{00000000-0005-0000-0000-0000ACA90000}"/>
    <cellStyle name="Normal 11 2 6 3 4" xfId="20919" xr:uid="{00000000-0005-0000-0000-0000ADA90000}"/>
    <cellStyle name="Normal 11 2 6 3 5" xfId="26395" xr:uid="{00000000-0005-0000-0000-0000AEA90000}"/>
    <cellStyle name="Normal 11 2 6 3 6" xfId="38191" xr:uid="{00000000-0005-0000-0000-0000AFA90000}"/>
    <cellStyle name="Normal 11 2 6 3 7" xfId="43668" xr:uid="{00000000-0005-0000-0000-0000B0A90000}"/>
    <cellStyle name="Normal 11 2 6 3 8" xfId="49145" xr:uid="{00000000-0005-0000-0000-0000B1A90000}"/>
    <cellStyle name="Normal 11 2 6 3 9" xfId="54663" xr:uid="{00000000-0005-0000-0000-0000B2A90000}"/>
    <cellStyle name="Normal 11 2 6 4" xfId="6965" xr:uid="{00000000-0005-0000-0000-0000B3A90000}"/>
    <cellStyle name="Normal 11 2 6 5" xfId="12445" xr:uid="{00000000-0005-0000-0000-0000B4A90000}"/>
    <cellStyle name="Normal 11 2 6 6" xfId="17921" xr:uid="{00000000-0005-0000-0000-0000B5A90000}"/>
    <cellStyle name="Normal 11 2 6 7" xfId="23397" xr:uid="{00000000-0005-0000-0000-0000B6A90000}"/>
    <cellStyle name="Normal 11 2 6 8" xfId="35192" xr:uid="{00000000-0005-0000-0000-0000B7A90000}"/>
    <cellStyle name="Normal 11 2 6 9" xfId="40669" xr:uid="{00000000-0005-0000-0000-0000B8A90000}"/>
    <cellStyle name="Normal 11 2 7" xfId="1160" xr:uid="{00000000-0005-0000-0000-0000B9A90000}"/>
    <cellStyle name="Normal 11 2 7 10" xfId="46147" xr:uid="{00000000-0005-0000-0000-0000BAA90000}"/>
    <cellStyle name="Normal 11 2 7 11" xfId="51626" xr:uid="{00000000-0005-0000-0000-0000BBA90000}"/>
    <cellStyle name="Normal 11 2 7 2" xfId="2921" xr:uid="{00000000-0005-0000-0000-0000BCA90000}"/>
    <cellStyle name="Normal 11 2 7 2 2" xfId="8401" xr:uid="{00000000-0005-0000-0000-0000BDA90000}"/>
    <cellStyle name="Normal 11 2 7 2 3" xfId="13877" xr:uid="{00000000-0005-0000-0000-0000BEA90000}"/>
    <cellStyle name="Normal 11 2 7 2 4" xfId="19353" xr:uid="{00000000-0005-0000-0000-0000BFA90000}"/>
    <cellStyle name="Normal 11 2 7 2 5" xfId="24829" xr:uid="{00000000-0005-0000-0000-0000C0A90000}"/>
    <cellStyle name="Normal 11 2 7 2 6" xfId="36625" xr:uid="{00000000-0005-0000-0000-0000C1A90000}"/>
    <cellStyle name="Normal 11 2 7 2 7" xfId="42102" xr:uid="{00000000-0005-0000-0000-0000C2A90000}"/>
    <cellStyle name="Normal 11 2 7 2 8" xfId="47579" xr:uid="{00000000-0005-0000-0000-0000C3A90000}"/>
    <cellStyle name="Normal 11 2 7 2 9" xfId="53097" xr:uid="{00000000-0005-0000-0000-0000C4A90000}"/>
    <cellStyle name="Normal 11 2 7 3" xfId="4693" xr:uid="{00000000-0005-0000-0000-0000C5A90000}"/>
    <cellStyle name="Normal 11 2 7 3 2" xfId="10173" xr:uid="{00000000-0005-0000-0000-0000C6A90000}"/>
    <cellStyle name="Normal 11 2 7 3 3" xfId="15649" xr:uid="{00000000-0005-0000-0000-0000C7A90000}"/>
    <cellStyle name="Normal 11 2 7 3 4" xfId="21125" xr:uid="{00000000-0005-0000-0000-0000C8A90000}"/>
    <cellStyle name="Normal 11 2 7 3 5" xfId="26601" xr:uid="{00000000-0005-0000-0000-0000C9A90000}"/>
    <cellStyle name="Normal 11 2 7 3 6" xfId="38397" xr:uid="{00000000-0005-0000-0000-0000CAA90000}"/>
    <cellStyle name="Normal 11 2 7 3 7" xfId="43874" xr:uid="{00000000-0005-0000-0000-0000CBA90000}"/>
    <cellStyle name="Normal 11 2 7 3 8" xfId="49351" xr:uid="{00000000-0005-0000-0000-0000CCA90000}"/>
    <cellStyle name="Normal 11 2 7 3 9" xfId="54869" xr:uid="{00000000-0005-0000-0000-0000CDA90000}"/>
    <cellStyle name="Normal 11 2 7 4" xfId="6966" xr:uid="{00000000-0005-0000-0000-0000CEA90000}"/>
    <cellStyle name="Normal 11 2 7 5" xfId="12446" xr:uid="{00000000-0005-0000-0000-0000CFA90000}"/>
    <cellStyle name="Normal 11 2 7 6" xfId="17922" xr:uid="{00000000-0005-0000-0000-0000D0A90000}"/>
    <cellStyle name="Normal 11 2 7 7" xfId="23398" xr:uid="{00000000-0005-0000-0000-0000D1A90000}"/>
    <cellStyle name="Normal 11 2 7 8" xfId="35193" xr:uid="{00000000-0005-0000-0000-0000D2A90000}"/>
    <cellStyle name="Normal 11 2 7 9" xfId="40670" xr:uid="{00000000-0005-0000-0000-0000D3A90000}"/>
    <cellStyle name="Normal 11 2 8" xfId="1332" xr:uid="{00000000-0005-0000-0000-0000D4A90000}"/>
    <cellStyle name="Normal 11 2 8 10" xfId="46148" xr:uid="{00000000-0005-0000-0000-0000D5A90000}"/>
    <cellStyle name="Normal 11 2 8 11" xfId="51627" xr:uid="{00000000-0005-0000-0000-0000D6A90000}"/>
    <cellStyle name="Normal 11 2 8 2" xfId="3093" xr:uid="{00000000-0005-0000-0000-0000D7A90000}"/>
    <cellStyle name="Normal 11 2 8 2 2" xfId="8573" xr:uid="{00000000-0005-0000-0000-0000D8A90000}"/>
    <cellStyle name="Normal 11 2 8 2 3" xfId="14049" xr:uid="{00000000-0005-0000-0000-0000D9A90000}"/>
    <cellStyle name="Normal 11 2 8 2 4" xfId="19525" xr:uid="{00000000-0005-0000-0000-0000DAA90000}"/>
    <cellStyle name="Normal 11 2 8 2 5" xfId="25001" xr:uid="{00000000-0005-0000-0000-0000DBA90000}"/>
    <cellStyle name="Normal 11 2 8 2 6" xfId="36797" xr:uid="{00000000-0005-0000-0000-0000DCA90000}"/>
    <cellStyle name="Normal 11 2 8 2 7" xfId="42274" xr:uid="{00000000-0005-0000-0000-0000DDA90000}"/>
    <cellStyle name="Normal 11 2 8 2 8" xfId="47751" xr:uid="{00000000-0005-0000-0000-0000DEA90000}"/>
    <cellStyle name="Normal 11 2 8 2 9" xfId="53269" xr:uid="{00000000-0005-0000-0000-0000DFA90000}"/>
    <cellStyle name="Normal 11 2 8 3" xfId="4865" xr:uid="{00000000-0005-0000-0000-0000E0A90000}"/>
    <cellStyle name="Normal 11 2 8 3 2" xfId="10345" xr:uid="{00000000-0005-0000-0000-0000E1A90000}"/>
    <cellStyle name="Normal 11 2 8 3 3" xfId="15821" xr:uid="{00000000-0005-0000-0000-0000E2A90000}"/>
    <cellStyle name="Normal 11 2 8 3 4" xfId="21297" xr:uid="{00000000-0005-0000-0000-0000E3A90000}"/>
    <cellStyle name="Normal 11 2 8 3 5" xfId="26773" xr:uid="{00000000-0005-0000-0000-0000E4A90000}"/>
    <cellStyle name="Normal 11 2 8 3 6" xfId="38569" xr:uid="{00000000-0005-0000-0000-0000E5A90000}"/>
    <cellStyle name="Normal 11 2 8 3 7" xfId="44046" xr:uid="{00000000-0005-0000-0000-0000E6A90000}"/>
    <cellStyle name="Normal 11 2 8 3 8" xfId="49523" xr:uid="{00000000-0005-0000-0000-0000E7A90000}"/>
    <cellStyle name="Normal 11 2 8 3 9" xfId="55041" xr:uid="{00000000-0005-0000-0000-0000E8A90000}"/>
    <cellStyle name="Normal 11 2 8 4" xfId="6967" xr:uid="{00000000-0005-0000-0000-0000E9A90000}"/>
    <cellStyle name="Normal 11 2 8 5" xfId="12447" xr:uid="{00000000-0005-0000-0000-0000EAA90000}"/>
    <cellStyle name="Normal 11 2 8 6" xfId="17923" xr:uid="{00000000-0005-0000-0000-0000EBA90000}"/>
    <cellStyle name="Normal 11 2 8 7" xfId="23399" xr:uid="{00000000-0005-0000-0000-0000ECA90000}"/>
    <cellStyle name="Normal 11 2 8 8" xfId="35194" xr:uid="{00000000-0005-0000-0000-0000EDA90000}"/>
    <cellStyle name="Normal 11 2 8 9" xfId="40671" xr:uid="{00000000-0005-0000-0000-0000EEA90000}"/>
    <cellStyle name="Normal 11 2 9" xfId="1504" xr:uid="{00000000-0005-0000-0000-0000EFA90000}"/>
    <cellStyle name="Normal 11 2 9 10" xfId="46149" xr:uid="{00000000-0005-0000-0000-0000F0A90000}"/>
    <cellStyle name="Normal 11 2 9 11" xfId="51628" xr:uid="{00000000-0005-0000-0000-0000F1A90000}"/>
    <cellStyle name="Normal 11 2 9 2" xfId="3265" xr:uid="{00000000-0005-0000-0000-0000F2A90000}"/>
    <cellStyle name="Normal 11 2 9 2 2" xfId="8745" xr:uid="{00000000-0005-0000-0000-0000F3A90000}"/>
    <cellStyle name="Normal 11 2 9 2 3" xfId="14221" xr:uid="{00000000-0005-0000-0000-0000F4A90000}"/>
    <cellStyle name="Normal 11 2 9 2 4" xfId="19697" xr:uid="{00000000-0005-0000-0000-0000F5A90000}"/>
    <cellStyle name="Normal 11 2 9 2 5" xfId="25173" xr:uid="{00000000-0005-0000-0000-0000F6A90000}"/>
    <cellStyle name="Normal 11 2 9 2 6" xfId="36969" xr:uid="{00000000-0005-0000-0000-0000F7A90000}"/>
    <cellStyle name="Normal 11 2 9 2 7" xfId="42446" xr:uid="{00000000-0005-0000-0000-0000F8A90000}"/>
    <cellStyle name="Normal 11 2 9 2 8" xfId="47923" xr:uid="{00000000-0005-0000-0000-0000F9A90000}"/>
    <cellStyle name="Normal 11 2 9 2 9" xfId="53441" xr:uid="{00000000-0005-0000-0000-0000FAA90000}"/>
    <cellStyle name="Normal 11 2 9 3" xfId="5037" xr:uid="{00000000-0005-0000-0000-0000FBA90000}"/>
    <cellStyle name="Normal 11 2 9 3 2" xfId="10517" xr:uid="{00000000-0005-0000-0000-0000FCA90000}"/>
    <cellStyle name="Normal 11 2 9 3 3" xfId="15993" xr:uid="{00000000-0005-0000-0000-0000FDA90000}"/>
    <cellStyle name="Normal 11 2 9 3 4" xfId="21469" xr:uid="{00000000-0005-0000-0000-0000FEA90000}"/>
    <cellStyle name="Normal 11 2 9 3 5" xfId="26945" xr:uid="{00000000-0005-0000-0000-0000FFA90000}"/>
    <cellStyle name="Normal 11 2 9 3 6" xfId="38741" xr:uid="{00000000-0005-0000-0000-000000AA0000}"/>
    <cellStyle name="Normal 11 2 9 3 7" xfId="44218" xr:uid="{00000000-0005-0000-0000-000001AA0000}"/>
    <cellStyle name="Normal 11 2 9 3 8" xfId="49695" xr:uid="{00000000-0005-0000-0000-000002AA0000}"/>
    <cellStyle name="Normal 11 2 9 3 9" xfId="55213" xr:uid="{00000000-0005-0000-0000-000003AA0000}"/>
    <cellStyle name="Normal 11 2 9 4" xfId="6968" xr:uid="{00000000-0005-0000-0000-000004AA0000}"/>
    <cellStyle name="Normal 11 2 9 5" xfId="12448" xr:uid="{00000000-0005-0000-0000-000005AA0000}"/>
    <cellStyle name="Normal 11 2 9 6" xfId="17924" xr:uid="{00000000-0005-0000-0000-000006AA0000}"/>
    <cellStyle name="Normal 11 2 9 7" xfId="23400" xr:uid="{00000000-0005-0000-0000-000007AA0000}"/>
    <cellStyle name="Normal 11 2 9 8" xfId="35195" xr:uid="{00000000-0005-0000-0000-000008AA0000}"/>
    <cellStyle name="Normal 11 2 9 9" xfId="40672" xr:uid="{00000000-0005-0000-0000-000009AA0000}"/>
    <cellStyle name="Normal 11 20" xfId="3682" xr:uid="{00000000-0005-0000-0000-00000AAA0000}"/>
    <cellStyle name="Normal 11 20 2" xfId="9162" xr:uid="{00000000-0005-0000-0000-00000BAA0000}"/>
    <cellStyle name="Normal 11 20 3" xfId="14638" xr:uid="{00000000-0005-0000-0000-00000CAA0000}"/>
    <cellStyle name="Normal 11 20 4" xfId="20114" xr:uid="{00000000-0005-0000-0000-00000DAA0000}"/>
    <cellStyle name="Normal 11 20 5" xfId="25590" xr:uid="{00000000-0005-0000-0000-00000EAA0000}"/>
    <cellStyle name="Normal 11 20 6" xfId="37386" xr:uid="{00000000-0005-0000-0000-00000FAA0000}"/>
    <cellStyle name="Normal 11 20 7" xfId="42863" xr:uid="{00000000-0005-0000-0000-000010AA0000}"/>
    <cellStyle name="Normal 11 20 8" xfId="48340" xr:uid="{00000000-0005-0000-0000-000011AA0000}"/>
    <cellStyle name="Normal 11 20 9" xfId="53858" xr:uid="{00000000-0005-0000-0000-000012AA0000}"/>
    <cellStyle name="Normal 11 21" xfId="6939" xr:uid="{00000000-0005-0000-0000-000013AA0000}"/>
    <cellStyle name="Normal 11 22" xfId="12419" xr:uid="{00000000-0005-0000-0000-000014AA0000}"/>
    <cellStyle name="Normal 11 23" xfId="17895" xr:uid="{00000000-0005-0000-0000-000015AA0000}"/>
    <cellStyle name="Normal 11 24" xfId="23371" xr:uid="{00000000-0005-0000-0000-000016AA0000}"/>
    <cellStyle name="Normal 11 25" xfId="32924" xr:uid="{00000000-0005-0000-0000-000017AA0000}"/>
    <cellStyle name="Normal 11 26" xfId="35166" xr:uid="{00000000-0005-0000-0000-000018AA0000}"/>
    <cellStyle name="Normal 11 27" xfId="40643" xr:uid="{00000000-0005-0000-0000-000019AA0000}"/>
    <cellStyle name="Normal 11 28" xfId="46120" xr:uid="{00000000-0005-0000-0000-00001AAA0000}"/>
    <cellStyle name="Normal 11 29" xfId="51599" xr:uid="{00000000-0005-0000-0000-00001BAA0000}"/>
    <cellStyle name="Normal 11 3" xfId="143" xr:uid="{00000000-0005-0000-0000-00001CAA0000}"/>
    <cellStyle name="Normal 11 3 10" xfId="1678" xr:uid="{00000000-0005-0000-0000-00001DAA0000}"/>
    <cellStyle name="Normal 11 3 10 10" xfId="46151" xr:uid="{00000000-0005-0000-0000-00001EAA0000}"/>
    <cellStyle name="Normal 11 3 10 11" xfId="51630" xr:uid="{00000000-0005-0000-0000-00001FAA0000}"/>
    <cellStyle name="Normal 11 3 10 2" xfId="3439" xr:uid="{00000000-0005-0000-0000-000020AA0000}"/>
    <cellStyle name="Normal 11 3 10 2 2" xfId="8919" xr:uid="{00000000-0005-0000-0000-000021AA0000}"/>
    <cellStyle name="Normal 11 3 10 2 3" xfId="14395" xr:uid="{00000000-0005-0000-0000-000022AA0000}"/>
    <cellStyle name="Normal 11 3 10 2 4" xfId="19871" xr:uid="{00000000-0005-0000-0000-000023AA0000}"/>
    <cellStyle name="Normal 11 3 10 2 5" xfId="25347" xr:uid="{00000000-0005-0000-0000-000024AA0000}"/>
    <cellStyle name="Normal 11 3 10 2 6" xfId="37143" xr:uid="{00000000-0005-0000-0000-000025AA0000}"/>
    <cellStyle name="Normal 11 3 10 2 7" xfId="42620" xr:uid="{00000000-0005-0000-0000-000026AA0000}"/>
    <cellStyle name="Normal 11 3 10 2 8" xfId="48097" xr:uid="{00000000-0005-0000-0000-000027AA0000}"/>
    <cellStyle name="Normal 11 3 10 2 9" xfId="53615" xr:uid="{00000000-0005-0000-0000-000028AA0000}"/>
    <cellStyle name="Normal 11 3 10 3" xfId="5211" xr:uid="{00000000-0005-0000-0000-000029AA0000}"/>
    <cellStyle name="Normal 11 3 10 3 2" xfId="10691" xr:uid="{00000000-0005-0000-0000-00002AAA0000}"/>
    <cellStyle name="Normal 11 3 10 3 3" xfId="16167" xr:uid="{00000000-0005-0000-0000-00002BAA0000}"/>
    <cellStyle name="Normal 11 3 10 3 4" xfId="21643" xr:uid="{00000000-0005-0000-0000-00002CAA0000}"/>
    <cellStyle name="Normal 11 3 10 3 5" xfId="27119" xr:uid="{00000000-0005-0000-0000-00002DAA0000}"/>
    <cellStyle name="Normal 11 3 10 3 6" xfId="38915" xr:uid="{00000000-0005-0000-0000-00002EAA0000}"/>
    <cellStyle name="Normal 11 3 10 3 7" xfId="44392" xr:uid="{00000000-0005-0000-0000-00002FAA0000}"/>
    <cellStyle name="Normal 11 3 10 3 8" xfId="49869" xr:uid="{00000000-0005-0000-0000-000030AA0000}"/>
    <cellStyle name="Normal 11 3 10 3 9" xfId="55387" xr:uid="{00000000-0005-0000-0000-000031AA0000}"/>
    <cellStyle name="Normal 11 3 10 4" xfId="6970" xr:uid="{00000000-0005-0000-0000-000032AA0000}"/>
    <cellStyle name="Normal 11 3 10 5" xfId="12450" xr:uid="{00000000-0005-0000-0000-000033AA0000}"/>
    <cellStyle name="Normal 11 3 10 6" xfId="17926" xr:uid="{00000000-0005-0000-0000-000034AA0000}"/>
    <cellStyle name="Normal 11 3 10 7" xfId="23402" xr:uid="{00000000-0005-0000-0000-000035AA0000}"/>
    <cellStyle name="Normal 11 3 10 8" xfId="35197" xr:uid="{00000000-0005-0000-0000-000036AA0000}"/>
    <cellStyle name="Normal 11 3 10 9" xfId="40674" xr:uid="{00000000-0005-0000-0000-000037AA0000}"/>
    <cellStyle name="Normal 11 3 11" xfId="1870" xr:uid="{00000000-0005-0000-0000-000038AA0000}"/>
    <cellStyle name="Normal 11 3 11 10" xfId="46152" xr:uid="{00000000-0005-0000-0000-000039AA0000}"/>
    <cellStyle name="Normal 11 3 11 11" xfId="51631" xr:uid="{00000000-0005-0000-0000-00003AAA0000}"/>
    <cellStyle name="Normal 11 3 11 2" xfId="3631" xr:uid="{00000000-0005-0000-0000-00003BAA0000}"/>
    <cellStyle name="Normal 11 3 11 2 2" xfId="9111" xr:uid="{00000000-0005-0000-0000-00003CAA0000}"/>
    <cellStyle name="Normal 11 3 11 2 3" xfId="14587" xr:uid="{00000000-0005-0000-0000-00003DAA0000}"/>
    <cellStyle name="Normal 11 3 11 2 4" xfId="20063" xr:uid="{00000000-0005-0000-0000-00003EAA0000}"/>
    <cellStyle name="Normal 11 3 11 2 5" xfId="25539" xr:uid="{00000000-0005-0000-0000-00003FAA0000}"/>
    <cellStyle name="Normal 11 3 11 2 6" xfId="37335" xr:uid="{00000000-0005-0000-0000-000040AA0000}"/>
    <cellStyle name="Normal 11 3 11 2 7" xfId="42812" xr:uid="{00000000-0005-0000-0000-000041AA0000}"/>
    <cellStyle name="Normal 11 3 11 2 8" xfId="48289" xr:uid="{00000000-0005-0000-0000-000042AA0000}"/>
    <cellStyle name="Normal 11 3 11 2 9" xfId="53807" xr:uid="{00000000-0005-0000-0000-000043AA0000}"/>
    <cellStyle name="Normal 11 3 11 3" xfId="5403" xr:uid="{00000000-0005-0000-0000-000044AA0000}"/>
    <cellStyle name="Normal 11 3 11 3 2" xfId="10883" xr:uid="{00000000-0005-0000-0000-000045AA0000}"/>
    <cellStyle name="Normal 11 3 11 3 3" xfId="16359" xr:uid="{00000000-0005-0000-0000-000046AA0000}"/>
    <cellStyle name="Normal 11 3 11 3 4" xfId="21835" xr:uid="{00000000-0005-0000-0000-000047AA0000}"/>
    <cellStyle name="Normal 11 3 11 3 5" xfId="27311" xr:uid="{00000000-0005-0000-0000-000048AA0000}"/>
    <cellStyle name="Normal 11 3 11 3 6" xfId="39107" xr:uid="{00000000-0005-0000-0000-000049AA0000}"/>
    <cellStyle name="Normal 11 3 11 3 7" xfId="44584" xr:uid="{00000000-0005-0000-0000-00004AAA0000}"/>
    <cellStyle name="Normal 11 3 11 3 8" xfId="50061" xr:uid="{00000000-0005-0000-0000-00004BAA0000}"/>
    <cellStyle name="Normal 11 3 11 3 9" xfId="55579" xr:uid="{00000000-0005-0000-0000-00004CAA0000}"/>
    <cellStyle name="Normal 11 3 11 4" xfId="6971" xr:uid="{00000000-0005-0000-0000-00004DAA0000}"/>
    <cellStyle name="Normal 11 3 11 5" xfId="12451" xr:uid="{00000000-0005-0000-0000-00004EAA0000}"/>
    <cellStyle name="Normal 11 3 11 6" xfId="17927" xr:uid="{00000000-0005-0000-0000-00004FAA0000}"/>
    <cellStyle name="Normal 11 3 11 7" xfId="23403" xr:uid="{00000000-0005-0000-0000-000050AA0000}"/>
    <cellStyle name="Normal 11 3 11 8" xfId="35198" xr:uid="{00000000-0005-0000-0000-000051AA0000}"/>
    <cellStyle name="Normal 11 3 11 9" xfId="40675" xr:uid="{00000000-0005-0000-0000-000052AA0000}"/>
    <cellStyle name="Normal 11 3 12" xfId="2040" xr:uid="{00000000-0005-0000-0000-000053AA0000}"/>
    <cellStyle name="Normal 11 3 12 10" xfId="52217" xr:uid="{00000000-0005-0000-0000-000054AA0000}"/>
    <cellStyle name="Normal 11 3 12 2" xfId="5572" xr:uid="{00000000-0005-0000-0000-000055AA0000}"/>
    <cellStyle name="Normal 11 3 12 2 2" xfId="11052" xr:uid="{00000000-0005-0000-0000-000056AA0000}"/>
    <cellStyle name="Normal 11 3 12 2 3" xfId="16528" xr:uid="{00000000-0005-0000-0000-000057AA0000}"/>
    <cellStyle name="Normal 11 3 12 2 4" xfId="22004" xr:uid="{00000000-0005-0000-0000-000058AA0000}"/>
    <cellStyle name="Normal 11 3 12 2 5" xfId="27480" xr:uid="{00000000-0005-0000-0000-000059AA0000}"/>
    <cellStyle name="Normal 11 3 12 2 6" xfId="39276" xr:uid="{00000000-0005-0000-0000-00005AAA0000}"/>
    <cellStyle name="Normal 11 3 12 2 7" xfId="44753" xr:uid="{00000000-0005-0000-0000-00005BAA0000}"/>
    <cellStyle name="Normal 11 3 12 2 8" xfId="50230" xr:uid="{00000000-0005-0000-0000-00005CAA0000}"/>
    <cellStyle name="Normal 11 3 12 2 9" xfId="55748" xr:uid="{00000000-0005-0000-0000-00005DAA0000}"/>
    <cellStyle name="Normal 11 3 12 3" xfId="7521" xr:uid="{00000000-0005-0000-0000-00005EAA0000}"/>
    <cellStyle name="Normal 11 3 12 4" xfId="12997" xr:uid="{00000000-0005-0000-0000-00005FAA0000}"/>
    <cellStyle name="Normal 11 3 12 5" xfId="18473" xr:uid="{00000000-0005-0000-0000-000060AA0000}"/>
    <cellStyle name="Normal 11 3 12 6" xfId="23949" xr:uid="{00000000-0005-0000-0000-000061AA0000}"/>
    <cellStyle name="Normal 11 3 12 7" xfId="35745" xr:uid="{00000000-0005-0000-0000-000062AA0000}"/>
    <cellStyle name="Normal 11 3 12 8" xfId="41222" xr:uid="{00000000-0005-0000-0000-000063AA0000}"/>
    <cellStyle name="Normal 11 3 12 9" xfId="46699" xr:uid="{00000000-0005-0000-0000-000064AA0000}"/>
    <cellStyle name="Normal 11 3 13" xfId="3715" xr:uid="{00000000-0005-0000-0000-000065AA0000}"/>
    <cellStyle name="Normal 11 3 13 2" xfId="9195" xr:uid="{00000000-0005-0000-0000-000066AA0000}"/>
    <cellStyle name="Normal 11 3 13 3" xfId="14671" xr:uid="{00000000-0005-0000-0000-000067AA0000}"/>
    <cellStyle name="Normal 11 3 13 4" xfId="20147" xr:uid="{00000000-0005-0000-0000-000068AA0000}"/>
    <cellStyle name="Normal 11 3 13 5" xfId="25623" xr:uid="{00000000-0005-0000-0000-000069AA0000}"/>
    <cellStyle name="Normal 11 3 13 6" xfId="37419" xr:uid="{00000000-0005-0000-0000-00006AAA0000}"/>
    <cellStyle name="Normal 11 3 13 7" xfId="42896" xr:uid="{00000000-0005-0000-0000-00006BAA0000}"/>
    <cellStyle name="Normal 11 3 13 8" xfId="48373" xr:uid="{00000000-0005-0000-0000-00006CAA0000}"/>
    <cellStyle name="Normal 11 3 13 9" xfId="53891" xr:uid="{00000000-0005-0000-0000-00006DAA0000}"/>
    <cellStyle name="Normal 11 3 14" xfId="6969" xr:uid="{00000000-0005-0000-0000-00006EAA0000}"/>
    <cellStyle name="Normal 11 3 15" xfId="12449" xr:uid="{00000000-0005-0000-0000-00006FAA0000}"/>
    <cellStyle name="Normal 11 3 16" xfId="17925" xr:uid="{00000000-0005-0000-0000-000070AA0000}"/>
    <cellStyle name="Normal 11 3 17" xfId="23401" xr:uid="{00000000-0005-0000-0000-000071AA0000}"/>
    <cellStyle name="Normal 11 3 18" xfId="32929" xr:uid="{00000000-0005-0000-0000-000072AA0000}"/>
    <cellStyle name="Normal 11 3 19" xfId="35196" xr:uid="{00000000-0005-0000-0000-000073AA0000}"/>
    <cellStyle name="Normal 11 3 2" xfId="235" xr:uid="{00000000-0005-0000-0000-000074AA0000}"/>
    <cellStyle name="Normal 11 3 2 10" xfId="1871" xr:uid="{00000000-0005-0000-0000-000075AA0000}"/>
    <cellStyle name="Normal 11 3 2 10 10" xfId="46154" xr:uid="{00000000-0005-0000-0000-000076AA0000}"/>
    <cellStyle name="Normal 11 3 2 10 11" xfId="51633" xr:uid="{00000000-0005-0000-0000-000077AA0000}"/>
    <cellStyle name="Normal 11 3 2 10 2" xfId="3632" xr:uid="{00000000-0005-0000-0000-000078AA0000}"/>
    <cellStyle name="Normal 11 3 2 10 2 2" xfId="9112" xr:uid="{00000000-0005-0000-0000-000079AA0000}"/>
    <cellStyle name="Normal 11 3 2 10 2 3" xfId="14588" xr:uid="{00000000-0005-0000-0000-00007AAA0000}"/>
    <cellStyle name="Normal 11 3 2 10 2 4" xfId="20064" xr:uid="{00000000-0005-0000-0000-00007BAA0000}"/>
    <cellStyle name="Normal 11 3 2 10 2 5" xfId="25540" xr:uid="{00000000-0005-0000-0000-00007CAA0000}"/>
    <cellStyle name="Normal 11 3 2 10 2 6" xfId="37336" xr:uid="{00000000-0005-0000-0000-00007DAA0000}"/>
    <cellStyle name="Normal 11 3 2 10 2 7" xfId="42813" xr:uid="{00000000-0005-0000-0000-00007EAA0000}"/>
    <cellStyle name="Normal 11 3 2 10 2 8" xfId="48290" xr:uid="{00000000-0005-0000-0000-00007FAA0000}"/>
    <cellStyle name="Normal 11 3 2 10 2 9" xfId="53808" xr:uid="{00000000-0005-0000-0000-000080AA0000}"/>
    <cellStyle name="Normal 11 3 2 10 3" xfId="5404" xr:uid="{00000000-0005-0000-0000-000081AA0000}"/>
    <cellStyle name="Normal 11 3 2 10 3 2" xfId="10884" xr:uid="{00000000-0005-0000-0000-000082AA0000}"/>
    <cellStyle name="Normal 11 3 2 10 3 3" xfId="16360" xr:uid="{00000000-0005-0000-0000-000083AA0000}"/>
    <cellStyle name="Normal 11 3 2 10 3 4" xfId="21836" xr:uid="{00000000-0005-0000-0000-000084AA0000}"/>
    <cellStyle name="Normal 11 3 2 10 3 5" xfId="27312" xr:uid="{00000000-0005-0000-0000-000085AA0000}"/>
    <cellStyle name="Normal 11 3 2 10 3 6" xfId="39108" xr:uid="{00000000-0005-0000-0000-000086AA0000}"/>
    <cellStyle name="Normal 11 3 2 10 3 7" xfId="44585" xr:uid="{00000000-0005-0000-0000-000087AA0000}"/>
    <cellStyle name="Normal 11 3 2 10 3 8" xfId="50062" xr:uid="{00000000-0005-0000-0000-000088AA0000}"/>
    <cellStyle name="Normal 11 3 2 10 3 9" xfId="55580" xr:uid="{00000000-0005-0000-0000-000089AA0000}"/>
    <cellStyle name="Normal 11 3 2 10 4" xfId="6973" xr:uid="{00000000-0005-0000-0000-00008AAA0000}"/>
    <cellStyle name="Normal 11 3 2 10 5" xfId="12453" xr:uid="{00000000-0005-0000-0000-00008BAA0000}"/>
    <cellStyle name="Normal 11 3 2 10 6" xfId="17929" xr:uid="{00000000-0005-0000-0000-00008CAA0000}"/>
    <cellStyle name="Normal 11 3 2 10 7" xfId="23405" xr:uid="{00000000-0005-0000-0000-00008DAA0000}"/>
    <cellStyle name="Normal 11 3 2 10 8" xfId="35200" xr:uid="{00000000-0005-0000-0000-00008EAA0000}"/>
    <cellStyle name="Normal 11 3 2 10 9" xfId="40677" xr:uid="{00000000-0005-0000-0000-00008FAA0000}"/>
    <cellStyle name="Normal 11 3 2 11" xfId="2041" xr:uid="{00000000-0005-0000-0000-000090AA0000}"/>
    <cellStyle name="Normal 11 3 2 11 10" xfId="52218" xr:uid="{00000000-0005-0000-0000-000091AA0000}"/>
    <cellStyle name="Normal 11 3 2 11 2" xfId="5573" xr:uid="{00000000-0005-0000-0000-000092AA0000}"/>
    <cellStyle name="Normal 11 3 2 11 2 2" xfId="11053" xr:uid="{00000000-0005-0000-0000-000093AA0000}"/>
    <cellStyle name="Normal 11 3 2 11 2 3" xfId="16529" xr:uid="{00000000-0005-0000-0000-000094AA0000}"/>
    <cellStyle name="Normal 11 3 2 11 2 4" xfId="22005" xr:uid="{00000000-0005-0000-0000-000095AA0000}"/>
    <cellStyle name="Normal 11 3 2 11 2 5" xfId="27481" xr:uid="{00000000-0005-0000-0000-000096AA0000}"/>
    <cellStyle name="Normal 11 3 2 11 2 6" xfId="39277" xr:uid="{00000000-0005-0000-0000-000097AA0000}"/>
    <cellStyle name="Normal 11 3 2 11 2 7" xfId="44754" xr:uid="{00000000-0005-0000-0000-000098AA0000}"/>
    <cellStyle name="Normal 11 3 2 11 2 8" xfId="50231" xr:uid="{00000000-0005-0000-0000-000099AA0000}"/>
    <cellStyle name="Normal 11 3 2 11 2 9" xfId="55749" xr:uid="{00000000-0005-0000-0000-00009AAA0000}"/>
    <cellStyle name="Normal 11 3 2 11 3" xfId="7522" xr:uid="{00000000-0005-0000-0000-00009BAA0000}"/>
    <cellStyle name="Normal 11 3 2 11 4" xfId="12998" xr:uid="{00000000-0005-0000-0000-00009CAA0000}"/>
    <cellStyle name="Normal 11 3 2 11 5" xfId="18474" xr:uid="{00000000-0005-0000-0000-00009DAA0000}"/>
    <cellStyle name="Normal 11 3 2 11 6" xfId="23950" xr:uid="{00000000-0005-0000-0000-00009EAA0000}"/>
    <cellStyle name="Normal 11 3 2 11 7" xfId="35746" xr:uid="{00000000-0005-0000-0000-00009FAA0000}"/>
    <cellStyle name="Normal 11 3 2 11 8" xfId="41223" xr:uid="{00000000-0005-0000-0000-0000A0AA0000}"/>
    <cellStyle name="Normal 11 3 2 11 9" xfId="46700" xr:uid="{00000000-0005-0000-0000-0000A1AA0000}"/>
    <cellStyle name="Normal 11 3 2 12" xfId="3801" xr:uid="{00000000-0005-0000-0000-0000A2AA0000}"/>
    <cellStyle name="Normal 11 3 2 12 2" xfId="9281" xr:uid="{00000000-0005-0000-0000-0000A3AA0000}"/>
    <cellStyle name="Normal 11 3 2 12 3" xfId="14757" xr:uid="{00000000-0005-0000-0000-0000A4AA0000}"/>
    <cellStyle name="Normal 11 3 2 12 4" xfId="20233" xr:uid="{00000000-0005-0000-0000-0000A5AA0000}"/>
    <cellStyle name="Normal 11 3 2 12 5" xfId="25709" xr:uid="{00000000-0005-0000-0000-0000A6AA0000}"/>
    <cellStyle name="Normal 11 3 2 12 6" xfId="37505" xr:uid="{00000000-0005-0000-0000-0000A7AA0000}"/>
    <cellStyle name="Normal 11 3 2 12 7" xfId="42982" xr:uid="{00000000-0005-0000-0000-0000A8AA0000}"/>
    <cellStyle name="Normal 11 3 2 12 8" xfId="48459" xr:uid="{00000000-0005-0000-0000-0000A9AA0000}"/>
    <cellStyle name="Normal 11 3 2 12 9" xfId="53977" xr:uid="{00000000-0005-0000-0000-0000AAAA0000}"/>
    <cellStyle name="Normal 11 3 2 13" xfId="6972" xr:uid="{00000000-0005-0000-0000-0000ABAA0000}"/>
    <cellStyle name="Normal 11 3 2 14" xfId="12452" xr:uid="{00000000-0005-0000-0000-0000ACAA0000}"/>
    <cellStyle name="Normal 11 3 2 15" xfId="17928" xr:uid="{00000000-0005-0000-0000-0000ADAA0000}"/>
    <cellStyle name="Normal 11 3 2 16" xfId="23404" xr:uid="{00000000-0005-0000-0000-0000AEAA0000}"/>
    <cellStyle name="Normal 11 3 2 17" xfId="32930" xr:uid="{00000000-0005-0000-0000-0000AFAA0000}"/>
    <cellStyle name="Normal 11 3 2 18" xfId="35199" xr:uid="{00000000-0005-0000-0000-0000B0AA0000}"/>
    <cellStyle name="Normal 11 3 2 19" xfId="40676" xr:uid="{00000000-0005-0000-0000-0000B1AA0000}"/>
    <cellStyle name="Normal 11 3 2 2" xfId="436" xr:uid="{00000000-0005-0000-0000-0000B2AA0000}"/>
    <cellStyle name="Normal 11 3 2 2 10" xfId="40678" xr:uid="{00000000-0005-0000-0000-0000B3AA0000}"/>
    <cellStyle name="Normal 11 3 2 2 11" xfId="46155" xr:uid="{00000000-0005-0000-0000-0000B4AA0000}"/>
    <cellStyle name="Normal 11 3 2 2 12" xfId="51634" xr:uid="{00000000-0005-0000-0000-0000B5AA0000}"/>
    <cellStyle name="Normal 11 3 2 2 2" xfId="2202" xr:uid="{00000000-0005-0000-0000-0000B6AA0000}"/>
    <cellStyle name="Normal 11 3 2 2 2 2" xfId="7682" xr:uid="{00000000-0005-0000-0000-0000B7AA0000}"/>
    <cellStyle name="Normal 11 3 2 2 2 3" xfId="13158" xr:uid="{00000000-0005-0000-0000-0000B8AA0000}"/>
    <cellStyle name="Normal 11 3 2 2 2 4" xfId="18634" xr:uid="{00000000-0005-0000-0000-0000B9AA0000}"/>
    <cellStyle name="Normal 11 3 2 2 2 5" xfId="24110" xr:uid="{00000000-0005-0000-0000-0000BAAA0000}"/>
    <cellStyle name="Normal 11 3 2 2 2 6" xfId="35906" xr:uid="{00000000-0005-0000-0000-0000BBAA0000}"/>
    <cellStyle name="Normal 11 3 2 2 2 7" xfId="41383" xr:uid="{00000000-0005-0000-0000-0000BCAA0000}"/>
    <cellStyle name="Normal 11 3 2 2 2 8" xfId="46860" xr:uid="{00000000-0005-0000-0000-0000BDAA0000}"/>
    <cellStyle name="Normal 11 3 2 2 2 9" xfId="52378" xr:uid="{00000000-0005-0000-0000-0000BEAA0000}"/>
    <cellStyle name="Normal 11 3 2 2 3" xfId="3974" xr:uid="{00000000-0005-0000-0000-0000BFAA0000}"/>
    <cellStyle name="Normal 11 3 2 2 3 2" xfId="9454" xr:uid="{00000000-0005-0000-0000-0000C0AA0000}"/>
    <cellStyle name="Normal 11 3 2 2 3 3" xfId="14930" xr:uid="{00000000-0005-0000-0000-0000C1AA0000}"/>
    <cellStyle name="Normal 11 3 2 2 3 4" xfId="20406" xr:uid="{00000000-0005-0000-0000-0000C2AA0000}"/>
    <cellStyle name="Normal 11 3 2 2 3 5" xfId="25882" xr:uid="{00000000-0005-0000-0000-0000C3AA0000}"/>
    <cellStyle name="Normal 11 3 2 2 3 6" xfId="37678" xr:uid="{00000000-0005-0000-0000-0000C4AA0000}"/>
    <cellStyle name="Normal 11 3 2 2 3 7" xfId="43155" xr:uid="{00000000-0005-0000-0000-0000C5AA0000}"/>
    <cellStyle name="Normal 11 3 2 2 3 8" xfId="48632" xr:uid="{00000000-0005-0000-0000-0000C6AA0000}"/>
    <cellStyle name="Normal 11 3 2 2 3 9" xfId="54150" xr:uid="{00000000-0005-0000-0000-0000C7AA0000}"/>
    <cellStyle name="Normal 11 3 2 2 4" xfId="6974" xr:uid="{00000000-0005-0000-0000-0000C8AA0000}"/>
    <cellStyle name="Normal 11 3 2 2 5" xfId="12454" xr:uid="{00000000-0005-0000-0000-0000C9AA0000}"/>
    <cellStyle name="Normal 11 3 2 2 6" xfId="17930" xr:uid="{00000000-0005-0000-0000-0000CAAA0000}"/>
    <cellStyle name="Normal 11 3 2 2 7" xfId="23406" xr:uid="{00000000-0005-0000-0000-0000CBAA0000}"/>
    <cellStyle name="Normal 11 3 2 2 8" xfId="32931" xr:uid="{00000000-0005-0000-0000-0000CCAA0000}"/>
    <cellStyle name="Normal 11 3 2 2 9" xfId="35201" xr:uid="{00000000-0005-0000-0000-0000CDAA0000}"/>
    <cellStyle name="Normal 11 3 2 20" xfId="46153" xr:uid="{00000000-0005-0000-0000-0000CEAA0000}"/>
    <cellStyle name="Normal 11 3 2 21" xfId="51632" xr:uid="{00000000-0005-0000-0000-0000CFAA0000}"/>
    <cellStyle name="Normal 11 3 2 3" xfId="613" xr:uid="{00000000-0005-0000-0000-0000D0AA0000}"/>
    <cellStyle name="Normal 11 3 2 3 10" xfId="46156" xr:uid="{00000000-0005-0000-0000-0000D1AA0000}"/>
    <cellStyle name="Normal 11 3 2 3 11" xfId="51635" xr:uid="{00000000-0005-0000-0000-0000D2AA0000}"/>
    <cellStyle name="Normal 11 3 2 3 2" xfId="2374" xr:uid="{00000000-0005-0000-0000-0000D3AA0000}"/>
    <cellStyle name="Normal 11 3 2 3 2 2" xfId="7854" xr:uid="{00000000-0005-0000-0000-0000D4AA0000}"/>
    <cellStyle name="Normal 11 3 2 3 2 3" xfId="13330" xr:uid="{00000000-0005-0000-0000-0000D5AA0000}"/>
    <cellStyle name="Normal 11 3 2 3 2 4" xfId="18806" xr:uid="{00000000-0005-0000-0000-0000D6AA0000}"/>
    <cellStyle name="Normal 11 3 2 3 2 5" xfId="24282" xr:uid="{00000000-0005-0000-0000-0000D7AA0000}"/>
    <cellStyle name="Normal 11 3 2 3 2 6" xfId="36078" xr:uid="{00000000-0005-0000-0000-0000D8AA0000}"/>
    <cellStyle name="Normal 11 3 2 3 2 7" xfId="41555" xr:uid="{00000000-0005-0000-0000-0000D9AA0000}"/>
    <cellStyle name="Normal 11 3 2 3 2 8" xfId="47032" xr:uid="{00000000-0005-0000-0000-0000DAAA0000}"/>
    <cellStyle name="Normal 11 3 2 3 2 9" xfId="52550" xr:uid="{00000000-0005-0000-0000-0000DBAA0000}"/>
    <cellStyle name="Normal 11 3 2 3 3" xfId="4146" xr:uid="{00000000-0005-0000-0000-0000DCAA0000}"/>
    <cellStyle name="Normal 11 3 2 3 3 2" xfId="9626" xr:uid="{00000000-0005-0000-0000-0000DDAA0000}"/>
    <cellStyle name="Normal 11 3 2 3 3 3" xfId="15102" xr:uid="{00000000-0005-0000-0000-0000DEAA0000}"/>
    <cellStyle name="Normal 11 3 2 3 3 4" xfId="20578" xr:uid="{00000000-0005-0000-0000-0000DFAA0000}"/>
    <cellStyle name="Normal 11 3 2 3 3 5" xfId="26054" xr:uid="{00000000-0005-0000-0000-0000E0AA0000}"/>
    <cellStyle name="Normal 11 3 2 3 3 6" xfId="37850" xr:uid="{00000000-0005-0000-0000-0000E1AA0000}"/>
    <cellStyle name="Normal 11 3 2 3 3 7" xfId="43327" xr:uid="{00000000-0005-0000-0000-0000E2AA0000}"/>
    <cellStyle name="Normal 11 3 2 3 3 8" xfId="48804" xr:uid="{00000000-0005-0000-0000-0000E3AA0000}"/>
    <cellStyle name="Normal 11 3 2 3 3 9" xfId="54322" xr:uid="{00000000-0005-0000-0000-0000E4AA0000}"/>
    <cellStyle name="Normal 11 3 2 3 4" xfId="6975" xr:uid="{00000000-0005-0000-0000-0000E5AA0000}"/>
    <cellStyle name="Normal 11 3 2 3 5" xfId="12455" xr:uid="{00000000-0005-0000-0000-0000E6AA0000}"/>
    <cellStyle name="Normal 11 3 2 3 6" xfId="17931" xr:uid="{00000000-0005-0000-0000-0000E7AA0000}"/>
    <cellStyle name="Normal 11 3 2 3 7" xfId="23407" xr:uid="{00000000-0005-0000-0000-0000E8AA0000}"/>
    <cellStyle name="Normal 11 3 2 3 8" xfId="35202" xr:uid="{00000000-0005-0000-0000-0000E9AA0000}"/>
    <cellStyle name="Normal 11 3 2 3 9" xfId="40679" xr:uid="{00000000-0005-0000-0000-0000EAAA0000}"/>
    <cellStyle name="Normal 11 3 2 4" xfId="785" xr:uid="{00000000-0005-0000-0000-0000EBAA0000}"/>
    <cellStyle name="Normal 11 3 2 4 10" xfId="46157" xr:uid="{00000000-0005-0000-0000-0000ECAA0000}"/>
    <cellStyle name="Normal 11 3 2 4 11" xfId="51636" xr:uid="{00000000-0005-0000-0000-0000EDAA0000}"/>
    <cellStyle name="Normal 11 3 2 4 2" xfId="2546" xr:uid="{00000000-0005-0000-0000-0000EEAA0000}"/>
    <cellStyle name="Normal 11 3 2 4 2 2" xfId="8026" xr:uid="{00000000-0005-0000-0000-0000EFAA0000}"/>
    <cellStyle name="Normal 11 3 2 4 2 3" xfId="13502" xr:uid="{00000000-0005-0000-0000-0000F0AA0000}"/>
    <cellStyle name="Normal 11 3 2 4 2 4" xfId="18978" xr:uid="{00000000-0005-0000-0000-0000F1AA0000}"/>
    <cellStyle name="Normal 11 3 2 4 2 5" xfId="24454" xr:uid="{00000000-0005-0000-0000-0000F2AA0000}"/>
    <cellStyle name="Normal 11 3 2 4 2 6" xfId="36250" xr:uid="{00000000-0005-0000-0000-0000F3AA0000}"/>
    <cellStyle name="Normal 11 3 2 4 2 7" xfId="41727" xr:uid="{00000000-0005-0000-0000-0000F4AA0000}"/>
    <cellStyle name="Normal 11 3 2 4 2 8" xfId="47204" xr:uid="{00000000-0005-0000-0000-0000F5AA0000}"/>
    <cellStyle name="Normal 11 3 2 4 2 9" xfId="52722" xr:uid="{00000000-0005-0000-0000-0000F6AA0000}"/>
    <cellStyle name="Normal 11 3 2 4 3" xfId="4318" xr:uid="{00000000-0005-0000-0000-0000F7AA0000}"/>
    <cellStyle name="Normal 11 3 2 4 3 2" xfId="9798" xr:uid="{00000000-0005-0000-0000-0000F8AA0000}"/>
    <cellStyle name="Normal 11 3 2 4 3 3" xfId="15274" xr:uid="{00000000-0005-0000-0000-0000F9AA0000}"/>
    <cellStyle name="Normal 11 3 2 4 3 4" xfId="20750" xr:uid="{00000000-0005-0000-0000-0000FAAA0000}"/>
    <cellStyle name="Normal 11 3 2 4 3 5" xfId="26226" xr:uid="{00000000-0005-0000-0000-0000FBAA0000}"/>
    <cellStyle name="Normal 11 3 2 4 3 6" xfId="38022" xr:uid="{00000000-0005-0000-0000-0000FCAA0000}"/>
    <cellStyle name="Normal 11 3 2 4 3 7" xfId="43499" xr:uid="{00000000-0005-0000-0000-0000FDAA0000}"/>
    <cellStyle name="Normal 11 3 2 4 3 8" xfId="48976" xr:uid="{00000000-0005-0000-0000-0000FEAA0000}"/>
    <cellStyle name="Normal 11 3 2 4 3 9" xfId="54494" xr:uid="{00000000-0005-0000-0000-0000FFAA0000}"/>
    <cellStyle name="Normal 11 3 2 4 4" xfId="6976" xr:uid="{00000000-0005-0000-0000-000000AB0000}"/>
    <cellStyle name="Normal 11 3 2 4 5" xfId="12456" xr:uid="{00000000-0005-0000-0000-000001AB0000}"/>
    <cellStyle name="Normal 11 3 2 4 6" xfId="17932" xr:uid="{00000000-0005-0000-0000-000002AB0000}"/>
    <cellStyle name="Normal 11 3 2 4 7" xfId="23408" xr:uid="{00000000-0005-0000-0000-000003AB0000}"/>
    <cellStyle name="Normal 11 3 2 4 8" xfId="35203" xr:uid="{00000000-0005-0000-0000-000004AB0000}"/>
    <cellStyle name="Normal 11 3 2 4 9" xfId="40680" xr:uid="{00000000-0005-0000-0000-000005AB0000}"/>
    <cellStyle name="Normal 11 3 2 5" xfId="957" xr:uid="{00000000-0005-0000-0000-000006AB0000}"/>
    <cellStyle name="Normal 11 3 2 5 10" xfId="46158" xr:uid="{00000000-0005-0000-0000-000007AB0000}"/>
    <cellStyle name="Normal 11 3 2 5 11" xfId="51637" xr:uid="{00000000-0005-0000-0000-000008AB0000}"/>
    <cellStyle name="Normal 11 3 2 5 2" xfId="2718" xr:uid="{00000000-0005-0000-0000-000009AB0000}"/>
    <cellStyle name="Normal 11 3 2 5 2 2" xfId="8198" xr:uid="{00000000-0005-0000-0000-00000AAB0000}"/>
    <cellStyle name="Normal 11 3 2 5 2 3" xfId="13674" xr:uid="{00000000-0005-0000-0000-00000BAB0000}"/>
    <cellStyle name="Normal 11 3 2 5 2 4" xfId="19150" xr:uid="{00000000-0005-0000-0000-00000CAB0000}"/>
    <cellStyle name="Normal 11 3 2 5 2 5" xfId="24626" xr:uid="{00000000-0005-0000-0000-00000DAB0000}"/>
    <cellStyle name="Normal 11 3 2 5 2 6" xfId="36422" xr:uid="{00000000-0005-0000-0000-00000EAB0000}"/>
    <cellStyle name="Normal 11 3 2 5 2 7" xfId="41899" xr:uid="{00000000-0005-0000-0000-00000FAB0000}"/>
    <cellStyle name="Normal 11 3 2 5 2 8" xfId="47376" xr:uid="{00000000-0005-0000-0000-000010AB0000}"/>
    <cellStyle name="Normal 11 3 2 5 2 9" xfId="52894" xr:uid="{00000000-0005-0000-0000-000011AB0000}"/>
    <cellStyle name="Normal 11 3 2 5 3" xfId="4490" xr:uid="{00000000-0005-0000-0000-000012AB0000}"/>
    <cellStyle name="Normal 11 3 2 5 3 2" xfId="9970" xr:uid="{00000000-0005-0000-0000-000013AB0000}"/>
    <cellStyle name="Normal 11 3 2 5 3 3" xfId="15446" xr:uid="{00000000-0005-0000-0000-000014AB0000}"/>
    <cellStyle name="Normal 11 3 2 5 3 4" xfId="20922" xr:uid="{00000000-0005-0000-0000-000015AB0000}"/>
    <cellStyle name="Normal 11 3 2 5 3 5" xfId="26398" xr:uid="{00000000-0005-0000-0000-000016AB0000}"/>
    <cellStyle name="Normal 11 3 2 5 3 6" xfId="38194" xr:uid="{00000000-0005-0000-0000-000017AB0000}"/>
    <cellStyle name="Normal 11 3 2 5 3 7" xfId="43671" xr:uid="{00000000-0005-0000-0000-000018AB0000}"/>
    <cellStyle name="Normal 11 3 2 5 3 8" xfId="49148" xr:uid="{00000000-0005-0000-0000-000019AB0000}"/>
    <cellStyle name="Normal 11 3 2 5 3 9" xfId="54666" xr:uid="{00000000-0005-0000-0000-00001AAB0000}"/>
    <cellStyle name="Normal 11 3 2 5 4" xfId="6977" xr:uid="{00000000-0005-0000-0000-00001BAB0000}"/>
    <cellStyle name="Normal 11 3 2 5 5" xfId="12457" xr:uid="{00000000-0005-0000-0000-00001CAB0000}"/>
    <cellStyle name="Normal 11 3 2 5 6" xfId="17933" xr:uid="{00000000-0005-0000-0000-00001DAB0000}"/>
    <cellStyle name="Normal 11 3 2 5 7" xfId="23409" xr:uid="{00000000-0005-0000-0000-00001EAB0000}"/>
    <cellStyle name="Normal 11 3 2 5 8" xfId="35204" xr:uid="{00000000-0005-0000-0000-00001FAB0000}"/>
    <cellStyle name="Normal 11 3 2 5 9" xfId="40681" xr:uid="{00000000-0005-0000-0000-000020AB0000}"/>
    <cellStyle name="Normal 11 3 2 6" xfId="1163" xr:uid="{00000000-0005-0000-0000-000021AB0000}"/>
    <cellStyle name="Normal 11 3 2 6 10" xfId="46159" xr:uid="{00000000-0005-0000-0000-000022AB0000}"/>
    <cellStyle name="Normal 11 3 2 6 11" xfId="51638" xr:uid="{00000000-0005-0000-0000-000023AB0000}"/>
    <cellStyle name="Normal 11 3 2 6 2" xfId="2924" xr:uid="{00000000-0005-0000-0000-000024AB0000}"/>
    <cellStyle name="Normal 11 3 2 6 2 2" xfId="8404" xr:uid="{00000000-0005-0000-0000-000025AB0000}"/>
    <cellStyle name="Normal 11 3 2 6 2 3" xfId="13880" xr:uid="{00000000-0005-0000-0000-000026AB0000}"/>
    <cellStyle name="Normal 11 3 2 6 2 4" xfId="19356" xr:uid="{00000000-0005-0000-0000-000027AB0000}"/>
    <cellStyle name="Normal 11 3 2 6 2 5" xfId="24832" xr:uid="{00000000-0005-0000-0000-000028AB0000}"/>
    <cellStyle name="Normal 11 3 2 6 2 6" xfId="36628" xr:uid="{00000000-0005-0000-0000-000029AB0000}"/>
    <cellStyle name="Normal 11 3 2 6 2 7" xfId="42105" xr:uid="{00000000-0005-0000-0000-00002AAB0000}"/>
    <cellStyle name="Normal 11 3 2 6 2 8" xfId="47582" xr:uid="{00000000-0005-0000-0000-00002BAB0000}"/>
    <cellStyle name="Normal 11 3 2 6 2 9" xfId="53100" xr:uid="{00000000-0005-0000-0000-00002CAB0000}"/>
    <cellStyle name="Normal 11 3 2 6 3" xfId="4696" xr:uid="{00000000-0005-0000-0000-00002DAB0000}"/>
    <cellStyle name="Normal 11 3 2 6 3 2" xfId="10176" xr:uid="{00000000-0005-0000-0000-00002EAB0000}"/>
    <cellStyle name="Normal 11 3 2 6 3 3" xfId="15652" xr:uid="{00000000-0005-0000-0000-00002FAB0000}"/>
    <cellStyle name="Normal 11 3 2 6 3 4" xfId="21128" xr:uid="{00000000-0005-0000-0000-000030AB0000}"/>
    <cellStyle name="Normal 11 3 2 6 3 5" xfId="26604" xr:uid="{00000000-0005-0000-0000-000031AB0000}"/>
    <cellStyle name="Normal 11 3 2 6 3 6" xfId="38400" xr:uid="{00000000-0005-0000-0000-000032AB0000}"/>
    <cellStyle name="Normal 11 3 2 6 3 7" xfId="43877" xr:uid="{00000000-0005-0000-0000-000033AB0000}"/>
    <cellStyle name="Normal 11 3 2 6 3 8" xfId="49354" xr:uid="{00000000-0005-0000-0000-000034AB0000}"/>
    <cellStyle name="Normal 11 3 2 6 3 9" xfId="54872" xr:uid="{00000000-0005-0000-0000-000035AB0000}"/>
    <cellStyle name="Normal 11 3 2 6 4" xfId="6978" xr:uid="{00000000-0005-0000-0000-000036AB0000}"/>
    <cellStyle name="Normal 11 3 2 6 5" xfId="12458" xr:uid="{00000000-0005-0000-0000-000037AB0000}"/>
    <cellStyle name="Normal 11 3 2 6 6" xfId="17934" xr:uid="{00000000-0005-0000-0000-000038AB0000}"/>
    <cellStyle name="Normal 11 3 2 6 7" xfId="23410" xr:uid="{00000000-0005-0000-0000-000039AB0000}"/>
    <cellStyle name="Normal 11 3 2 6 8" xfId="35205" xr:uid="{00000000-0005-0000-0000-00003AAB0000}"/>
    <cellStyle name="Normal 11 3 2 6 9" xfId="40682" xr:uid="{00000000-0005-0000-0000-00003BAB0000}"/>
    <cellStyle name="Normal 11 3 2 7" xfId="1335" xr:uid="{00000000-0005-0000-0000-00003CAB0000}"/>
    <cellStyle name="Normal 11 3 2 7 10" xfId="46160" xr:uid="{00000000-0005-0000-0000-00003DAB0000}"/>
    <cellStyle name="Normal 11 3 2 7 11" xfId="51639" xr:uid="{00000000-0005-0000-0000-00003EAB0000}"/>
    <cellStyle name="Normal 11 3 2 7 2" xfId="3096" xr:uid="{00000000-0005-0000-0000-00003FAB0000}"/>
    <cellStyle name="Normal 11 3 2 7 2 2" xfId="8576" xr:uid="{00000000-0005-0000-0000-000040AB0000}"/>
    <cellStyle name="Normal 11 3 2 7 2 3" xfId="14052" xr:uid="{00000000-0005-0000-0000-000041AB0000}"/>
    <cellStyle name="Normal 11 3 2 7 2 4" xfId="19528" xr:uid="{00000000-0005-0000-0000-000042AB0000}"/>
    <cellStyle name="Normal 11 3 2 7 2 5" xfId="25004" xr:uid="{00000000-0005-0000-0000-000043AB0000}"/>
    <cellStyle name="Normal 11 3 2 7 2 6" xfId="36800" xr:uid="{00000000-0005-0000-0000-000044AB0000}"/>
    <cellStyle name="Normal 11 3 2 7 2 7" xfId="42277" xr:uid="{00000000-0005-0000-0000-000045AB0000}"/>
    <cellStyle name="Normal 11 3 2 7 2 8" xfId="47754" xr:uid="{00000000-0005-0000-0000-000046AB0000}"/>
    <cellStyle name="Normal 11 3 2 7 2 9" xfId="53272" xr:uid="{00000000-0005-0000-0000-000047AB0000}"/>
    <cellStyle name="Normal 11 3 2 7 3" xfId="4868" xr:uid="{00000000-0005-0000-0000-000048AB0000}"/>
    <cellStyle name="Normal 11 3 2 7 3 2" xfId="10348" xr:uid="{00000000-0005-0000-0000-000049AB0000}"/>
    <cellStyle name="Normal 11 3 2 7 3 3" xfId="15824" xr:uid="{00000000-0005-0000-0000-00004AAB0000}"/>
    <cellStyle name="Normal 11 3 2 7 3 4" xfId="21300" xr:uid="{00000000-0005-0000-0000-00004BAB0000}"/>
    <cellStyle name="Normal 11 3 2 7 3 5" xfId="26776" xr:uid="{00000000-0005-0000-0000-00004CAB0000}"/>
    <cellStyle name="Normal 11 3 2 7 3 6" xfId="38572" xr:uid="{00000000-0005-0000-0000-00004DAB0000}"/>
    <cellStyle name="Normal 11 3 2 7 3 7" xfId="44049" xr:uid="{00000000-0005-0000-0000-00004EAB0000}"/>
    <cellStyle name="Normal 11 3 2 7 3 8" xfId="49526" xr:uid="{00000000-0005-0000-0000-00004FAB0000}"/>
    <cellStyle name="Normal 11 3 2 7 3 9" xfId="55044" xr:uid="{00000000-0005-0000-0000-000050AB0000}"/>
    <cellStyle name="Normal 11 3 2 7 4" xfId="6979" xr:uid="{00000000-0005-0000-0000-000051AB0000}"/>
    <cellStyle name="Normal 11 3 2 7 5" xfId="12459" xr:uid="{00000000-0005-0000-0000-000052AB0000}"/>
    <cellStyle name="Normal 11 3 2 7 6" xfId="17935" xr:uid="{00000000-0005-0000-0000-000053AB0000}"/>
    <cellStyle name="Normal 11 3 2 7 7" xfId="23411" xr:uid="{00000000-0005-0000-0000-000054AB0000}"/>
    <cellStyle name="Normal 11 3 2 7 8" xfId="35206" xr:uid="{00000000-0005-0000-0000-000055AB0000}"/>
    <cellStyle name="Normal 11 3 2 7 9" xfId="40683" xr:uid="{00000000-0005-0000-0000-000056AB0000}"/>
    <cellStyle name="Normal 11 3 2 8" xfId="1507" xr:uid="{00000000-0005-0000-0000-000057AB0000}"/>
    <cellStyle name="Normal 11 3 2 8 10" xfId="46161" xr:uid="{00000000-0005-0000-0000-000058AB0000}"/>
    <cellStyle name="Normal 11 3 2 8 11" xfId="51640" xr:uid="{00000000-0005-0000-0000-000059AB0000}"/>
    <cellStyle name="Normal 11 3 2 8 2" xfId="3268" xr:uid="{00000000-0005-0000-0000-00005AAB0000}"/>
    <cellStyle name="Normal 11 3 2 8 2 2" xfId="8748" xr:uid="{00000000-0005-0000-0000-00005BAB0000}"/>
    <cellStyle name="Normal 11 3 2 8 2 3" xfId="14224" xr:uid="{00000000-0005-0000-0000-00005CAB0000}"/>
    <cellStyle name="Normal 11 3 2 8 2 4" xfId="19700" xr:uid="{00000000-0005-0000-0000-00005DAB0000}"/>
    <cellStyle name="Normal 11 3 2 8 2 5" xfId="25176" xr:uid="{00000000-0005-0000-0000-00005EAB0000}"/>
    <cellStyle name="Normal 11 3 2 8 2 6" xfId="36972" xr:uid="{00000000-0005-0000-0000-00005FAB0000}"/>
    <cellStyle name="Normal 11 3 2 8 2 7" xfId="42449" xr:uid="{00000000-0005-0000-0000-000060AB0000}"/>
    <cellStyle name="Normal 11 3 2 8 2 8" xfId="47926" xr:uid="{00000000-0005-0000-0000-000061AB0000}"/>
    <cellStyle name="Normal 11 3 2 8 2 9" xfId="53444" xr:uid="{00000000-0005-0000-0000-000062AB0000}"/>
    <cellStyle name="Normal 11 3 2 8 3" xfId="5040" xr:uid="{00000000-0005-0000-0000-000063AB0000}"/>
    <cellStyle name="Normal 11 3 2 8 3 2" xfId="10520" xr:uid="{00000000-0005-0000-0000-000064AB0000}"/>
    <cellStyle name="Normal 11 3 2 8 3 3" xfId="15996" xr:uid="{00000000-0005-0000-0000-000065AB0000}"/>
    <cellStyle name="Normal 11 3 2 8 3 4" xfId="21472" xr:uid="{00000000-0005-0000-0000-000066AB0000}"/>
    <cellStyle name="Normal 11 3 2 8 3 5" xfId="26948" xr:uid="{00000000-0005-0000-0000-000067AB0000}"/>
    <cellStyle name="Normal 11 3 2 8 3 6" xfId="38744" xr:uid="{00000000-0005-0000-0000-000068AB0000}"/>
    <cellStyle name="Normal 11 3 2 8 3 7" xfId="44221" xr:uid="{00000000-0005-0000-0000-000069AB0000}"/>
    <cellStyle name="Normal 11 3 2 8 3 8" xfId="49698" xr:uid="{00000000-0005-0000-0000-00006AAB0000}"/>
    <cellStyle name="Normal 11 3 2 8 3 9" xfId="55216" xr:uid="{00000000-0005-0000-0000-00006BAB0000}"/>
    <cellStyle name="Normal 11 3 2 8 4" xfId="6980" xr:uid="{00000000-0005-0000-0000-00006CAB0000}"/>
    <cellStyle name="Normal 11 3 2 8 5" xfId="12460" xr:uid="{00000000-0005-0000-0000-00006DAB0000}"/>
    <cellStyle name="Normal 11 3 2 8 6" xfId="17936" xr:uid="{00000000-0005-0000-0000-00006EAB0000}"/>
    <cellStyle name="Normal 11 3 2 8 7" xfId="23412" xr:uid="{00000000-0005-0000-0000-00006FAB0000}"/>
    <cellStyle name="Normal 11 3 2 8 8" xfId="35207" xr:uid="{00000000-0005-0000-0000-000070AB0000}"/>
    <cellStyle name="Normal 11 3 2 8 9" xfId="40684" xr:uid="{00000000-0005-0000-0000-000071AB0000}"/>
    <cellStyle name="Normal 11 3 2 9" xfId="1679" xr:uid="{00000000-0005-0000-0000-000072AB0000}"/>
    <cellStyle name="Normal 11 3 2 9 10" xfId="46162" xr:uid="{00000000-0005-0000-0000-000073AB0000}"/>
    <cellStyle name="Normal 11 3 2 9 11" xfId="51641" xr:uid="{00000000-0005-0000-0000-000074AB0000}"/>
    <cellStyle name="Normal 11 3 2 9 2" xfId="3440" xr:uid="{00000000-0005-0000-0000-000075AB0000}"/>
    <cellStyle name="Normal 11 3 2 9 2 2" xfId="8920" xr:uid="{00000000-0005-0000-0000-000076AB0000}"/>
    <cellStyle name="Normal 11 3 2 9 2 3" xfId="14396" xr:uid="{00000000-0005-0000-0000-000077AB0000}"/>
    <cellStyle name="Normal 11 3 2 9 2 4" xfId="19872" xr:uid="{00000000-0005-0000-0000-000078AB0000}"/>
    <cellStyle name="Normal 11 3 2 9 2 5" xfId="25348" xr:uid="{00000000-0005-0000-0000-000079AB0000}"/>
    <cellStyle name="Normal 11 3 2 9 2 6" xfId="37144" xr:uid="{00000000-0005-0000-0000-00007AAB0000}"/>
    <cellStyle name="Normal 11 3 2 9 2 7" xfId="42621" xr:uid="{00000000-0005-0000-0000-00007BAB0000}"/>
    <cellStyle name="Normal 11 3 2 9 2 8" xfId="48098" xr:uid="{00000000-0005-0000-0000-00007CAB0000}"/>
    <cellStyle name="Normal 11 3 2 9 2 9" xfId="53616" xr:uid="{00000000-0005-0000-0000-00007DAB0000}"/>
    <cellStyle name="Normal 11 3 2 9 3" xfId="5212" xr:uid="{00000000-0005-0000-0000-00007EAB0000}"/>
    <cellStyle name="Normal 11 3 2 9 3 2" xfId="10692" xr:uid="{00000000-0005-0000-0000-00007FAB0000}"/>
    <cellStyle name="Normal 11 3 2 9 3 3" xfId="16168" xr:uid="{00000000-0005-0000-0000-000080AB0000}"/>
    <cellStyle name="Normal 11 3 2 9 3 4" xfId="21644" xr:uid="{00000000-0005-0000-0000-000081AB0000}"/>
    <cellStyle name="Normal 11 3 2 9 3 5" xfId="27120" xr:uid="{00000000-0005-0000-0000-000082AB0000}"/>
    <cellStyle name="Normal 11 3 2 9 3 6" xfId="38916" xr:uid="{00000000-0005-0000-0000-000083AB0000}"/>
    <cellStyle name="Normal 11 3 2 9 3 7" xfId="44393" xr:uid="{00000000-0005-0000-0000-000084AB0000}"/>
    <cellStyle name="Normal 11 3 2 9 3 8" xfId="49870" xr:uid="{00000000-0005-0000-0000-000085AB0000}"/>
    <cellStyle name="Normal 11 3 2 9 3 9" xfId="55388" xr:uid="{00000000-0005-0000-0000-000086AB0000}"/>
    <cellStyle name="Normal 11 3 2 9 4" xfId="6981" xr:uid="{00000000-0005-0000-0000-000087AB0000}"/>
    <cellStyle name="Normal 11 3 2 9 5" xfId="12461" xr:uid="{00000000-0005-0000-0000-000088AB0000}"/>
    <cellStyle name="Normal 11 3 2 9 6" xfId="17937" xr:uid="{00000000-0005-0000-0000-000089AB0000}"/>
    <cellStyle name="Normal 11 3 2 9 7" xfId="23413" xr:uid="{00000000-0005-0000-0000-00008AAB0000}"/>
    <cellStyle name="Normal 11 3 2 9 8" xfId="35208" xr:uid="{00000000-0005-0000-0000-00008BAB0000}"/>
    <cellStyle name="Normal 11 3 2 9 9" xfId="40685" xr:uid="{00000000-0005-0000-0000-00008CAB0000}"/>
    <cellStyle name="Normal 11 3 20" xfId="40673" xr:uid="{00000000-0005-0000-0000-00008DAB0000}"/>
    <cellStyle name="Normal 11 3 21" xfId="46150" xr:uid="{00000000-0005-0000-0000-00008EAB0000}"/>
    <cellStyle name="Normal 11 3 22" xfId="51629" xr:uid="{00000000-0005-0000-0000-00008FAB0000}"/>
    <cellStyle name="Normal 11 3 3" xfId="435" xr:uid="{00000000-0005-0000-0000-000090AB0000}"/>
    <cellStyle name="Normal 11 3 3 10" xfId="40686" xr:uid="{00000000-0005-0000-0000-000091AB0000}"/>
    <cellStyle name="Normal 11 3 3 11" xfId="46163" xr:uid="{00000000-0005-0000-0000-000092AB0000}"/>
    <cellStyle name="Normal 11 3 3 12" xfId="51642" xr:uid="{00000000-0005-0000-0000-000093AB0000}"/>
    <cellStyle name="Normal 11 3 3 2" xfId="2201" xr:uid="{00000000-0005-0000-0000-000094AB0000}"/>
    <cellStyle name="Normal 11 3 3 2 2" xfId="7681" xr:uid="{00000000-0005-0000-0000-000095AB0000}"/>
    <cellStyle name="Normal 11 3 3 2 3" xfId="13157" xr:uid="{00000000-0005-0000-0000-000096AB0000}"/>
    <cellStyle name="Normal 11 3 3 2 4" xfId="18633" xr:uid="{00000000-0005-0000-0000-000097AB0000}"/>
    <cellStyle name="Normal 11 3 3 2 5" xfId="24109" xr:uid="{00000000-0005-0000-0000-000098AB0000}"/>
    <cellStyle name="Normal 11 3 3 2 6" xfId="35905" xr:uid="{00000000-0005-0000-0000-000099AB0000}"/>
    <cellStyle name="Normal 11 3 3 2 7" xfId="41382" xr:uid="{00000000-0005-0000-0000-00009AAB0000}"/>
    <cellStyle name="Normal 11 3 3 2 8" xfId="46859" xr:uid="{00000000-0005-0000-0000-00009BAB0000}"/>
    <cellStyle name="Normal 11 3 3 2 9" xfId="52377" xr:uid="{00000000-0005-0000-0000-00009CAB0000}"/>
    <cellStyle name="Normal 11 3 3 3" xfId="3973" xr:uid="{00000000-0005-0000-0000-00009DAB0000}"/>
    <cellStyle name="Normal 11 3 3 3 2" xfId="9453" xr:uid="{00000000-0005-0000-0000-00009EAB0000}"/>
    <cellStyle name="Normal 11 3 3 3 3" xfId="14929" xr:uid="{00000000-0005-0000-0000-00009FAB0000}"/>
    <cellStyle name="Normal 11 3 3 3 4" xfId="20405" xr:uid="{00000000-0005-0000-0000-0000A0AB0000}"/>
    <cellStyle name="Normal 11 3 3 3 5" xfId="25881" xr:uid="{00000000-0005-0000-0000-0000A1AB0000}"/>
    <cellStyle name="Normal 11 3 3 3 6" xfId="37677" xr:uid="{00000000-0005-0000-0000-0000A2AB0000}"/>
    <cellStyle name="Normal 11 3 3 3 7" xfId="43154" xr:uid="{00000000-0005-0000-0000-0000A3AB0000}"/>
    <cellStyle name="Normal 11 3 3 3 8" xfId="48631" xr:uid="{00000000-0005-0000-0000-0000A4AB0000}"/>
    <cellStyle name="Normal 11 3 3 3 9" xfId="54149" xr:uid="{00000000-0005-0000-0000-0000A5AB0000}"/>
    <cellStyle name="Normal 11 3 3 4" xfId="6982" xr:uid="{00000000-0005-0000-0000-0000A6AB0000}"/>
    <cellStyle name="Normal 11 3 3 5" xfId="12462" xr:uid="{00000000-0005-0000-0000-0000A7AB0000}"/>
    <cellStyle name="Normal 11 3 3 6" xfId="17938" xr:uid="{00000000-0005-0000-0000-0000A8AB0000}"/>
    <cellStyle name="Normal 11 3 3 7" xfId="23414" xr:uid="{00000000-0005-0000-0000-0000A9AB0000}"/>
    <cellStyle name="Normal 11 3 3 8" xfId="32932" xr:uid="{00000000-0005-0000-0000-0000AAAB0000}"/>
    <cellStyle name="Normal 11 3 3 9" xfId="35209" xr:uid="{00000000-0005-0000-0000-0000ABAB0000}"/>
    <cellStyle name="Normal 11 3 4" xfId="612" xr:uid="{00000000-0005-0000-0000-0000ACAB0000}"/>
    <cellStyle name="Normal 11 3 4 10" xfId="46164" xr:uid="{00000000-0005-0000-0000-0000ADAB0000}"/>
    <cellStyle name="Normal 11 3 4 11" xfId="51643" xr:uid="{00000000-0005-0000-0000-0000AEAB0000}"/>
    <cellStyle name="Normal 11 3 4 2" xfId="2373" xr:uid="{00000000-0005-0000-0000-0000AFAB0000}"/>
    <cellStyle name="Normal 11 3 4 2 2" xfId="7853" xr:uid="{00000000-0005-0000-0000-0000B0AB0000}"/>
    <cellStyle name="Normal 11 3 4 2 3" xfId="13329" xr:uid="{00000000-0005-0000-0000-0000B1AB0000}"/>
    <cellStyle name="Normal 11 3 4 2 4" xfId="18805" xr:uid="{00000000-0005-0000-0000-0000B2AB0000}"/>
    <cellStyle name="Normal 11 3 4 2 5" xfId="24281" xr:uid="{00000000-0005-0000-0000-0000B3AB0000}"/>
    <cellStyle name="Normal 11 3 4 2 6" xfId="36077" xr:uid="{00000000-0005-0000-0000-0000B4AB0000}"/>
    <cellStyle name="Normal 11 3 4 2 7" xfId="41554" xr:uid="{00000000-0005-0000-0000-0000B5AB0000}"/>
    <cellStyle name="Normal 11 3 4 2 8" xfId="47031" xr:uid="{00000000-0005-0000-0000-0000B6AB0000}"/>
    <cellStyle name="Normal 11 3 4 2 9" xfId="52549" xr:uid="{00000000-0005-0000-0000-0000B7AB0000}"/>
    <cellStyle name="Normal 11 3 4 3" xfId="4145" xr:uid="{00000000-0005-0000-0000-0000B8AB0000}"/>
    <cellStyle name="Normal 11 3 4 3 2" xfId="9625" xr:uid="{00000000-0005-0000-0000-0000B9AB0000}"/>
    <cellStyle name="Normal 11 3 4 3 3" xfId="15101" xr:uid="{00000000-0005-0000-0000-0000BAAB0000}"/>
    <cellStyle name="Normal 11 3 4 3 4" xfId="20577" xr:uid="{00000000-0005-0000-0000-0000BBAB0000}"/>
    <cellStyle name="Normal 11 3 4 3 5" xfId="26053" xr:uid="{00000000-0005-0000-0000-0000BCAB0000}"/>
    <cellStyle name="Normal 11 3 4 3 6" xfId="37849" xr:uid="{00000000-0005-0000-0000-0000BDAB0000}"/>
    <cellStyle name="Normal 11 3 4 3 7" xfId="43326" xr:uid="{00000000-0005-0000-0000-0000BEAB0000}"/>
    <cellStyle name="Normal 11 3 4 3 8" xfId="48803" xr:uid="{00000000-0005-0000-0000-0000BFAB0000}"/>
    <cellStyle name="Normal 11 3 4 3 9" xfId="54321" xr:uid="{00000000-0005-0000-0000-0000C0AB0000}"/>
    <cellStyle name="Normal 11 3 4 4" xfId="6983" xr:uid="{00000000-0005-0000-0000-0000C1AB0000}"/>
    <cellStyle name="Normal 11 3 4 5" xfId="12463" xr:uid="{00000000-0005-0000-0000-0000C2AB0000}"/>
    <cellStyle name="Normal 11 3 4 6" xfId="17939" xr:uid="{00000000-0005-0000-0000-0000C3AB0000}"/>
    <cellStyle name="Normal 11 3 4 7" xfId="23415" xr:uid="{00000000-0005-0000-0000-0000C4AB0000}"/>
    <cellStyle name="Normal 11 3 4 8" xfId="35210" xr:uid="{00000000-0005-0000-0000-0000C5AB0000}"/>
    <cellStyle name="Normal 11 3 4 9" xfId="40687" xr:uid="{00000000-0005-0000-0000-0000C6AB0000}"/>
    <cellStyle name="Normal 11 3 5" xfId="784" xr:uid="{00000000-0005-0000-0000-0000C7AB0000}"/>
    <cellStyle name="Normal 11 3 5 10" xfId="46165" xr:uid="{00000000-0005-0000-0000-0000C8AB0000}"/>
    <cellStyle name="Normal 11 3 5 11" xfId="51644" xr:uid="{00000000-0005-0000-0000-0000C9AB0000}"/>
    <cellStyle name="Normal 11 3 5 2" xfId="2545" xr:uid="{00000000-0005-0000-0000-0000CAAB0000}"/>
    <cellStyle name="Normal 11 3 5 2 2" xfId="8025" xr:uid="{00000000-0005-0000-0000-0000CBAB0000}"/>
    <cellStyle name="Normal 11 3 5 2 3" xfId="13501" xr:uid="{00000000-0005-0000-0000-0000CCAB0000}"/>
    <cellStyle name="Normal 11 3 5 2 4" xfId="18977" xr:uid="{00000000-0005-0000-0000-0000CDAB0000}"/>
    <cellStyle name="Normal 11 3 5 2 5" xfId="24453" xr:uid="{00000000-0005-0000-0000-0000CEAB0000}"/>
    <cellStyle name="Normal 11 3 5 2 6" xfId="36249" xr:uid="{00000000-0005-0000-0000-0000CFAB0000}"/>
    <cellStyle name="Normal 11 3 5 2 7" xfId="41726" xr:uid="{00000000-0005-0000-0000-0000D0AB0000}"/>
    <cellStyle name="Normal 11 3 5 2 8" xfId="47203" xr:uid="{00000000-0005-0000-0000-0000D1AB0000}"/>
    <cellStyle name="Normal 11 3 5 2 9" xfId="52721" xr:uid="{00000000-0005-0000-0000-0000D2AB0000}"/>
    <cellStyle name="Normal 11 3 5 3" xfId="4317" xr:uid="{00000000-0005-0000-0000-0000D3AB0000}"/>
    <cellStyle name="Normal 11 3 5 3 2" xfId="9797" xr:uid="{00000000-0005-0000-0000-0000D4AB0000}"/>
    <cellStyle name="Normal 11 3 5 3 3" xfId="15273" xr:uid="{00000000-0005-0000-0000-0000D5AB0000}"/>
    <cellStyle name="Normal 11 3 5 3 4" xfId="20749" xr:uid="{00000000-0005-0000-0000-0000D6AB0000}"/>
    <cellStyle name="Normal 11 3 5 3 5" xfId="26225" xr:uid="{00000000-0005-0000-0000-0000D7AB0000}"/>
    <cellStyle name="Normal 11 3 5 3 6" xfId="38021" xr:uid="{00000000-0005-0000-0000-0000D8AB0000}"/>
    <cellStyle name="Normal 11 3 5 3 7" xfId="43498" xr:uid="{00000000-0005-0000-0000-0000D9AB0000}"/>
    <cellStyle name="Normal 11 3 5 3 8" xfId="48975" xr:uid="{00000000-0005-0000-0000-0000DAAB0000}"/>
    <cellStyle name="Normal 11 3 5 3 9" xfId="54493" xr:uid="{00000000-0005-0000-0000-0000DBAB0000}"/>
    <cellStyle name="Normal 11 3 5 4" xfId="6984" xr:uid="{00000000-0005-0000-0000-0000DCAB0000}"/>
    <cellStyle name="Normal 11 3 5 5" xfId="12464" xr:uid="{00000000-0005-0000-0000-0000DDAB0000}"/>
    <cellStyle name="Normal 11 3 5 6" xfId="17940" xr:uid="{00000000-0005-0000-0000-0000DEAB0000}"/>
    <cellStyle name="Normal 11 3 5 7" xfId="23416" xr:uid="{00000000-0005-0000-0000-0000DFAB0000}"/>
    <cellStyle name="Normal 11 3 5 8" xfId="35211" xr:uid="{00000000-0005-0000-0000-0000E0AB0000}"/>
    <cellStyle name="Normal 11 3 5 9" xfId="40688" xr:uid="{00000000-0005-0000-0000-0000E1AB0000}"/>
    <cellStyle name="Normal 11 3 6" xfId="956" xr:uid="{00000000-0005-0000-0000-0000E2AB0000}"/>
    <cellStyle name="Normal 11 3 6 10" xfId="46166" xr:uid="{00000000-0005-0000-0000-0000E3AB0000}"/>
    <cellStyle name="Normal 11 3 6 11" xfId="51645" xr:uid="{00000000-0005-0000-0000-0000E4AB0000}"/>
    <cellStyle name="Normal 11 3 6 2" xfId="2717" xr:uid="{00000000-0005-0000-0000-0000E5AB0000}"/>
    <cellStyle name="Normal 11 3 6 2 2" xfId="8197" xr:uid="{00000000-0005-0000-0000-0000E6AB0000}"/>
    <cellStyle name="Normal 11 3 6 2 3" xfId="13673" xr:uid="{00000000-0005-0000-0000-0000E7AB0000}"/>
    <cellStyle name="Normal 11 3 6 2 4" xfId="19149" xr:uid="{00000000-0005-0000-0000-0000E8AB0000}"/>
    <cellStyle name="Normal 11 3 6 2 5" xfId="24625" xr:uid="{00000000-0005-0000-0000-0000E9AB0000}"/>
    <cellStyle name="Normal 11 3 6 2 6" xfId="36421" xr:uid="{00000000-0005-0000-0000-0000EAAB0000}"/>
    <cellStyle name="Normal 11 3 6 2 7" xfId="41898" xr:uid="{00000000-0005-0000-0000-0000EBAB0000}"/>
    <cellStyle name="Normal 11 3 6 2 8" xfId="47375" xr:uid="{00000000-0005-0000-0000-0000ECAB0000}"/>
    <cellStyle name="Normal 11 3 6 2 9" xfId="52893" xr:uid="{00000000-0005-0000-0000-0000EDAB0000}"/>
    <cellStyle name="Normal 11 3 6 3" xfId="4489" xr:uid="{00000000-0005-0000-0000-0000EEAB0000}"/>
    <cellStyle name="Normal 11 3 6 3 2" xfId="9969" xr:uid="{00000000-0005-0000-0000-0000EFAB0000}"/>
    <cellStyle name="Normal 11 3 6 3 3" xfId="15445" xr:uid="{00000000-0005-0000-0000-0000F0AB0000}"/>
    <cellStyle name="Normal 11 3 6 3 4" xfId="20921" xr:uid="{00000000-0005-0000-0000-0000F1AB0000}"/>
    <cellStyle name="Normal 11 3 6 3 5" xfId="26397" xr:uid="{00000000-0005-0000-0000-0000F2AB0000}"/>
    <cellStyle name="Normal 11 3 6 3 6" xfId="38193" xr:uid="{00000000-0005-0000-0000-0000F3AB0000}"/>
    <cellStyle name="Normal 11 3 6 3 7" xfId="43670" xr:uid="{00000000-0005-0000-0000-0000F4AB0000}"/>
    <cellStyle name="Normal 11 3 6 3 8" xfId="49147" xr:uid="{00000000-0005-0000-0000-0000F5AB0000}"/>
    <cellStyle name="Normal 11 3 6 3 9" xfId="54665" xr:uid="{00000000-0005-0000-0000-0000F6AB0000}"/>
    <cellStyle name="Normal 11 3 6 4" xfId="6985" xr:uid="{00000000-0005-0000-0000-0000F7AB0000}"/>
    <cellStyle name="Normal 11 3 6 5" xfId="12465" xr:uid="{00000000-0005-0000-0000-0000F8AB0000}"/>
    <cellStyle name="Normal 11 3 6 6" xfId="17941" xr:uid="{00000000-0005-0000-0000-0000F9AB0000}"/>
    <cellStyle name="Normal 11 3 6 7" xfId="23417" xr:uid="{00000000-0005-0000-0000-0000FAAB0000}"/>
    <cellStyle name="Normal 11 3 6 8" xfId="35212" xr:uid="{00000000-0005-0000-0000-0000FBAB0000}"/>
    <cellStyle name="Normal 11 3 6 9" xfId="40689" xr:uid="{00000000-0005-0000-0000-0000FCAB0000}"/>
    <cellStyle name="Normal 11 3 7" xfId="1162" xr:uid="{00000000-0005-0000-0000-0000FDAB0000}"/>
    <cellStyle name="Normal 11 3 7 10" xfId="46167" xr:uid="{00000000-0005-0000-0000-0000FEAB0000}"/>
    <cellStyle name="Normal 11 3 7 11" xfId="51646" xr:uid="{00000000-0005-0000-0000-0000FFAB0000}"/>
    <cellStyle name="Normal 11 3 7 2" xfId="2923" xr:uid="{00000000-0005-0000-0000-000000AC0000}"/>
    <cellStyle name="Normal 11 3 7 2 2" xfId="8403" xr:uid="{00000000-0005-0000-0000-000001AC0000}"/>
    <cellStyle name="Normal 11 3 7 2 3" xfId="13879" xr:uid="{00000000-0005-0000-0000-000002AC0000}"/>
    <cellStyle name="Normal 11 3 7 2 4" xfId="19355" xr:uid="{00000000-0005-0000-0000-000003AC0000}"/>
    <cellStyle name="Normal 11 3 7 2 5" xfId="24831" xr:uid="{00000000-0005-0000-0000-000004AC0000}"/>
    <cellStyle name="Normal 11 3 7 2 6" xfId="36627" xr:uid="{00000000-0005-0000-0000-000005AC0000}"/>
    <cellStyle name="Normal 11 3 7 2 7" xfId="42104" xr:uid="{00000000-0005-0000-0000-000006AC0000}"/>
    <cellStyle name="Normal 11 3 7 2 8" xfId="47581" xr:uid="{00000000-0005-0000-0000-000007AC0000}"/>
    <cellStyle name="Normal 11 3 7 2 9" xfId="53099" xr:uid="{00000000-0005-0000-0000-000008AC0000}"/>
    <cellStyle name="Normal 11 3 7 3" xfId="4695" xr:uid="{00000000-0005-0000-0000-000009AC0000}"/>
    <cellStyle name="Normal 11 3 7 3 2" xfId="10175" xr:uid="{00000000-0005-0000-0000-00000AAC0000}"/>
    <cellStyle name="Normal 11 3 7 3 3" xfId="15651" xr:uid="{00000000-0005-0000-0000-00000BAC0000}"/>
    <cellStyle name="Normal 11 3 7 3 4" xfId="21127" xr:uid="{00000000-0005-0000-0000-00000CAC0000}"/>
    <cellStyle name="Normal 11 3 7 3 5" xfId="26603" xr:uid="{00000000-0005-0000-0000-00000DAC0000}"/>
    <cellStyle name="Normal 11 3 7 3 6" xfId="38399" xr:uid="{00000000-0005-0000-0000-00000EAC0000}"/>
    <cellStyle name="Normal 11 3 7 3 7" xfId="43876" xr:uid="{00000000-0005-0000-0000-00000FAC0000}"/>
    <cellStyle name="Normal 11 3 7 3 8" xfId="49353" xr:uid="{00000000-0005-0000-0000-000010AC0000}"/>
    <cellStyle name="Normal 11 3 7 3 9" xfId="54871" xr:uid="{00000000-0005-0000-0000-000011AC0000}"/>
    <cellStyle name="Normal 11 3 7 4" xfId="6986" xr:uid="{00000000-0005-0000-0000-000012AC0000}"/>
    <cellStyle name="Normal 11 3 7 5" xfId="12466" xr:uid="{00000000-0005-0000-0000-000013AC0000}"/>
    <cellStyle name="Normal 11 3 7 6" xfId="17942" xr:uid="{00000000-0005-0000-0000-000014AC0000}"/>
    <cellStyle name="Normal 11 3 7 7" xfId="23418" xr:uid="{00000000-0005-0000-0000-000015AC0000}"/>
    <cellStyle name="Normal 11 3 7 8" xfId="35213" xr:uid="{00000000-0005-0000-0000-000016AC0000}"/>
    <cellStyle name="Normal 11 3 7 9" xfId="40690" xr:uid="{00000000-0005-0000-0000-000017AC0000}"/>
    <cellStyle name="Normal 11 3 8" xfId="1334" xr:uid="{00000000-0005-0000-0000-000018AC0000}"/>
    <cellStyle name="Normal 11 3 8 10" xfId="46168" xr:uid="{00000000-0005-0000-0000-000019AC0000}"/>
    <cellStyle name="Normal 11 3 8 11" xfId="51647" xr:uid="{00000000-0005-0000-0000-00001AAC0000}"/>
    <cellStyle name="Normal 11 3 8 2" xfId="3095" xr:uid="{00000000-0005-0000-0000-00001BAC0000}"/>
    <cellStyle name="Normal 11 3 8 2 2" xfId="8575" xr:uid="{00000000-0005-0000-0000-00001CAC0000}"/>
    <cellStyle name="Normal 11 3 8 2 3" xfId="14051" xr:uid="{00000000-0005-0000-0000-00001DAC0000}"/>
    <cellStyle name="Normal 11 3 8 2 4" xfId="19527" xr:uid="{00000000-0005-0000-0000-00001EAC0000}"/>
    <cellStyle name="Normal 11 3 8 2 5" xfId="25003" xr:uid="{00000000-0005-0000-0000-00001FAC0000}"/>
    <cellStyle name="Normal 11 3 8 2 6" xfId="36799" xr:uid="{00000000-0005-0000-0000-000020AC0000}"/>
    <cellStyle name="Normal 11 3 8 2 7" xfId="42276" xr:uid="{00000000-0005-0000-0000-000021AC0000}"/>
    <cellStyle name="Normal 11 3 8 2 8" xfId="47753" xr:uid="{00000000-0005-0000-0000-000022AC0000}"/>
    <cellStyle name="Normal 11 3 8 2 9" xfId="53271" xr:uid="{00000000-0005-0000-0000-000023AC0000}"/>
    <cellStyle name="Normal 11 3 8 3" xfId="4867" xr:uid="{00000000-0005-0000-0000-000024AC0000}"/>
    <cellStyle name="Normal 11 3 8 3 2" xfId="10347" xr:uid="{00000000-0005-0000-0000-000025AC0000}"/>
    <cellStyle name="Normal 11 3 8 3 3" xfId="15823" xr:uid="{00000000-0005-0000-0000-000026AC0000}"/>
    <cellStyle name="Normal 11 3 8 3 4" xfId="21299" xr:uid="{00000000-0005-0000-0000-000027AC0000}"/>
    <cellStyle name="Normal 11 3 8 3 5" xfId="26775" xr:uid="{00000000-0005-0000-0000-000028AC0000}"/>
    <cellStyle name="Normal 11 3 8 3 6" xfId="38571" xr:uid="{00000000-0005-0000-0000-000029AC0000}"/>
    <cellStyle name="Normal 11 3 8 3 7" xfId="44048" xr:uid="{00000000-0005-0000-0000-00002AAC0000}"/>
    <cellStyle name="Normal 11 3 8 3 8" xfId="49525" xr:uid="{00000000-0005-0000-0000-00002BAC0000}"/>
    <cellStyle name="Normal 11 3 8 3 9" xfId="55043" xr:uid="{00000000-0005-0000-0000-00002CAC0000}"/>
    <cellStyle name="Normal 11 3 8 4" xfId="6987" xr:uid="{00000000-0005-0000-0000-00002DAC0000}"/>
    <cellStyle name="Normal 11 3 8 5" xfId="12467" xr:uid="{00000000-0005-0000-0000-00002EAC0000}"/>
    <cellStyle name="Normal 11 3 8 6" xfId="17943" xr:uid="{00000000-0005-0000-0000-00002FAC0000}"/>
    <cellStyle name="Normal 11 3 8 7" xfId="23419" xr:uid="{00000000-0005-0000-0000-000030AC0000}"/>
    <cellStyle name="Normal 11 3 8 8" xfId="35214" xr:uid="{00000000-0005-0000-0000-000031AC0000}"/>
    <cellStyle name="Normal 11 3 8 9" xfId="40691" xr:uid="{00000000-0005-0000-0000-000032AC0000}"/>
    <cellStyle name="Normal 11 3 9" xfId="1506" xr:uid="{00000000-0005-0000-0000-000033AC0000}"/>
    <cellStyle name="Normal 11 3 9 10" xfId="46169" xr:uid="{00000000-0005-0000-0000-000034AC0000}"/>
    <cellStyle name="Normal 11 3 9 11" xfId="51648" xr:uid="{00000000-0005-0000-0000-000035AC0000}"/>
    <cellStyle name="Normal 11 3 9 2" xfId="3267" xr:uid="{00000000-0005-0000-0000-000036AC0000}"/>
    <cellStyle name="Normal 11 3 9 2 2" xfId="8747" xr:uid="{00000000-0005-0000-0000-000037AC0000}"/>
    <cellStyle name="Normal 11 3 9 2 3" xfId="14223" xr:uid="{00000000-0005-0000-0000-000038AC0000}"/>
    <cellStyle name="Normal 11 3 9 2 4" xfId="19699" xr:uid="{00000000-0005-0000-0000-000039AC0000}"/>
    <cellStyle name="Normal 11 3 9 2 5" xfId="25175" xr:uid="{00000000-0005-0000-0000-00003AAC0000}"/>
    <cellStyle name="Normal 11 3 9 2 6" xfId="36971" xr:uid="{00000000-0005-0000-0000-00003BAC0000}"/>
    <cellStyle name="Normal 11 3 9 2 7" xfId="42448" xr:uid="{00000000-0005-0000-0000-00003CAC0000}"/>
    <cellStyle name="Normal 11 3 9 2 8" xfId="47925" xr:uid="{00000000-0005-0000-0000-00003DAC0000}"/>
    <cellStyle name="Normal 11 3 9 2 9" xfId="53443" xr:uid="{00000000-0005-0000-0000-00003EAC0000}"/>
    <cellStyle name="Normal 11 3 9 3" xfId="5039" xr:uid="{00000000-0005-0000-0000-00003FAC0000}"/>
    <cellStyle name="Normal 11 3 9 3 2" xfId="10519" xr:uid="{00000000-0005-0000-0000-000040AC0000}"/>
    <cellStyle name="Normal 11 3 9 3 3" xfId="15995" xr:uid="{00000000-0005-0000-0000-000041AC0000}"/>
    <cellStyle name="Normal 11 3 9 3 4" xfId="21471" xr:uid="{00000000-0005-0000-0000-000042AC0000}"/>
    <cellStyle name="Normal 11 3 9 3 5" xfId="26947" xr:uid="{00000000-0005-0000-0000-000043AC0000}"/>
    <cellStyle name="Normal 11 3 9 3 6" xfId="38743" xr:uid="{00000000-0005-0000-0000-000044AC0000}"/>
    <cellStyle name="Normal 11 3 9 3 7" xfId="44220" xr:uid="{00000000-0005-0000-0000-000045AC0000}"/>
    <cellStyle name="Normal 11 3 9 3 8" xfId="49697" xr:uid="{00000000-0005-0000-0000-000046AC0000}"/>
    <cellStyle name="Normal 11 3 9 3 9" xfId="55215" xr:uid="{00000000-0005-0000-0000-000047AC0000}"/>
    <cellStyle name="Normal 11 3 9 4" xfId="6988" xr:uid="{00000000-0005-0000-0000-000048AC0000}"/>
    <cellStyle name="Normal 11 3 9 5" xfId="12468" xr:uid="{00000000-0005-0000-0000-000049AC0000}"/>
    <cellStyle name="Normal 11 3 9 6" xfId="17944" xr:uid="{00000000-0005-0000-0000-00004AAC0000}"/>
    <cellStyle name="Normal 11 3 9 7" xfId="23420" xr:uid="{00000000-0005-0000-0000-00004BAC0000}"/>
    <cellStyle name="Normal 11 3 9 8" xfId="35215" xr:uid="{00000000-0005-0000-0000-00004CAC0000}"/>
    <cellStyle name="Normal 11 3 9 9" xfId="40692" xr:uid="{00000000-0005-0000-0000-00004DAC0000}"/>
    <cellStyle name="Normal 11 4" xfId="160" xr:uid="{00000000-0005-0000-0000-00004EAC0000}"/>
    <cellStyle name="Normal 11 4 10" xfId="1680" xr:uid="{00000000-0005-0000-0000-00004FAC0000}"/>
    <cellStyle name="Normal 11 4 10 10" xfId="46171" xr:uid="{00000000-0005-0000-0000-000050AC0000}"/>
    <cellStyle name="Normal 11 4 10 11" xfId="51650" xr:uid="{00000000-0005-0000-0000-000051AC0000}"/>
    <cellStyle name="Normal 11 4 10 2" xfId="3441" xr:uid="{00000000-0005-0000-0000-000052AC0000}"/>
    <cellStyle name="Normal 11 4 10 2 2" xfId="8921" xr:uid="{00000000-0005-0000-0000-000053AC0000}"/>
    <cellStyle name="Normal 11 4 10 2 3" xfId="14397" xr:uid="{00000000-0005-0000-0000-000054AC0000}"/>
    <cellStyle name="Normal 11 4 10 2 4" xfId="19873" xr:uid="{00000000-0005-0000-0000-000055AC0000}"/>
    <cellStyle name="Normal 11 4 10 2 5" xfId="25349" xr:uid="{00000000-0005-0000-0000-000056AC0000}"/>
    <cellStyle name="Normal 11 4 10 2 6" xfId="37145" xr:uid="{00000000-0005-0000-0000-000057AC0000}"/>
    <cellStyle name="Normal 11 4 10 2 7" xfId="42622" xr:uid="{00000000-0005-0000-0000-000058AC0000}"/>
    <cellStyle name="Normal 11 4 10 2 8" xfId="48099" xr:uid="{00000000-0005-0000-0000-000059AC0000}"/>
    <cellStyle name="Normal 11 4 10 2 9" xfId="53617" xr:uid="{00000000-0005-0000-0000-00005AAC0000}"/>
    <cellStyle name="Normal 11 4 10 3" xfId="5213" xr:uid="{00000000-0005-0000-0000-00005BAC0000}"/>
    <cellStyle name="Normal 11 4 10 3 2" xfId="10693" xr:uid="{00000000-0005-0000-0000-00005CAC0000}"/>
    <cellStyle name="Normal 11 4 10 3 3" xfId="16169" xr:uid="{00000000-0005-0000-0000-00005DAC0000}"/>
    <cellStyle name="Normal 11 4 10 3 4" xfId="21645" xr:uid="{00000000-0005-0000-0000-00005EAC0000}"/>
    <cellStyle name="Normal 11 4 10 3 5" xfId="27121" xr:uid="{00000000-0005-0000-0000-00005FAC0000}"/>
    <cellStyle name="Normal 11 4 10 3 6" xfId="38917" xr:uid="{00000000-0005-0000-0000-000060AC0000}"/>
    <cellStyle name="Normal 11 4 10 3 7" xfId="44394" xr:uid="{00000000-0005-0000-0000-000061AC0000}"/>
    <cellStyle name="Normal 11 4 10 3 8" xfId="49871" xr:uid="{00000000-0005-0000-0000-000062AC0000}"/>
    <cellStyle name="Normal 11 4 10 3 9" xfId="55389" xr:uid="{00000000-0005-0000-0000-000063AC0000}"/>
    <cellStyle name="Normal 11 4 10 4" xfId="6990" xr:uid="{00000000-0005-0000-0000-000064AC0000}"/>
    <cellStyle name="Normal 11 4 10 5" xfId="12470" xr:uid="{00000000-0005-0000-0000-000065AC0000}"/>
    <cellStyle name="Normal 11 4 10 6" xfId="17946" xr:uid="{00000000-0005-0000-0000-000066AC0000}"/>
    <cellStyle name="Normal 11 4 10 7" xfId="23422" xr:uid="{00000000-0005-0000-0000-000067AC0000}"/>
    <cellStyle name="Normal 11 4 10 8" xfId="35217" xr:uid="{00000000-0005-0000-0000-000068AC0000}"/>
    <cellStyle name="Normal 11 4 10 9" xfId="40694" xr:uid="{00000000-0005-0000-0000-000069AC0000}"/>
    <cellStyle name="Normal 11 4 11" xfId="1872" xr:uid="{00000000-0005-0000-0000-00006AAC0000}"/>
    <cellStyle name="Normal 11 4 11 10" xfId="46172" xr:uid="{00000000-0005-0000-0000-00006BAC0000}"/>
    <cellStyle name="Normal 11 4 11 11" xfId="51651" xr:uid="{00000000-0005-0000-0000-00006CAC0000}"/>
    <cellStyle name="Normal 11 4 11 2" xfId="3633" xr:uid="{00000000-0005-0000-0000-00006DAC0000}"/>
    <cellStyle name="Normal 11 4 11 2 2" xfId="9113" xr:uid="{00000000-0005-0000-0000-00006EAC0000}"/>
    <cellStyle name="Normal 11 4 11 2 3" xfId="14589" xr:uid="{00000000-0005-0000-0000-00006FAC0000}"/>
    <cellStyle name="Normal 11 4 11 2 4" xfId="20065" xr:uid="{00000000-0005-0000-0000-000070AC0000}"/>
    <cellStyle name="Normal 11 4 11 2 5" xfId="25541" xr:uid="{00000000-0005-0000-0000-000071AC0000}"/>
    <cellStyle name="Normal 11 4 11 2 6" xfId="37337" xr:uid="{00000000-0005-0000-0000-000072AC0000}"/>
    <cellStyle name="Normal 11 4 11 2 7" xfId="42814" xr:uid="{00000000-0005-0000-0000-000073AC0000}"/>
    <cellStyle name="Normal 11 4 11 2 8" xfId="48291" xr:uid="{00000000-0005-0000-0000-000074AC0000}"/>
    <cellStyle name="Normal 11 4 11 2 9" xfId="53809" xr:uid="{00000000-0005-0000-0000-000075AC0000}"/>
    <cellStyle name="Normal 11 4 11 3" xfId="5405" xr:uid="{00000000-0005-0000-0000-000076AC0000}"/>
    <cellStyle name="Normal 11 4 11 3 2" xfId="10885" xr:uid="{00000000-0005-0000-0000-000077AC0000}"/>
    <cellStyle name="Normal 11 4 11 3 3" xfId="16361" xr:uid="{00000000-0005-0000-0000-000078AC0000}"/>
    <cellStyle name="Normal 11 4 11 3 4" xfId="21837" xr:uid="{00000000-0005-0000-0000-000079AC0000}"/>
    <cellStyle name="Normal 11 4 11 3 5" xfId="27313" xr:uid="{00000000-0005-0000-0000-00007AAC0000}"/>
    <cellStyle name="Normal 11 4 11 3 6" xfId="39109" xr:uid="{00000000-0005-0000-0000-00007BAC0000}"/>
    <cellStyle name="Normal 11 4 11 3 7" xfId="44586" xr:uid="{00000000-0005-0000-0000-00007CAC0000}"/>
    <cellStyle name="Normal 11 4 11 3 8" xfId="50063" xr:uid="{00000000-0005-0000-0000-00007DAC0000}"/>
    <cellStyle name="Normal 11 4 11 3 9" xfId="55581" xr:uid="{00000000-0005-0000-0000-00007EAC0000}"/>
    <cellStyle name="Normal 11 4 11 4" xfId="6991" xr:uid="{00000000-0005-0000-0000-00007FAC0000}"/>
    <cellStyle name="Normal 11 4 11 5" xfId="12471" xr:uid="{00000000-0005-0000-0000-000080AC0000}"/>
    <cellStyle name="Normal 11 4 11 6" xfId="17947" xr:uid="{00000000-0005-0000-0000-000081AC0000}"/>
    <cellStyle name="Normal 11 4 11 7" xfId="23423" xr:uid="{00000000-0005-0000-0000-000082AC0000}"/>
    <cellStyle name="Normal 11 4 11 8" xfId="35218" xr:uid="{00000000-0005-0000-0000-000083AC0000}"/>
    <cellStyle name="Normal 11 4 11 9" xfId="40695" xr:uid="{00000000-0005-0000-0000-000084AC0000}"/>
    <cellStyle name="Normal 11 4 12" xfId="2042" xr:uid="{00000000-0005-0000-0000-000085AC0000}"/>
    <cellStyle name="Normal 11 4 12 10" xfId="52219" xr:uid="{00000000-0005-0000-0000-000086AC0000}"/>
    <cellStyle name="Normal 11 4 12 2" xfId="5574" xr:uid="{00000000-0005-0000-0000-000087AC0000}"/>
    <cellStyle name="Normal 11 4 12 2 2" xfId="11054" xr:uid="{00000000-0005-0000-0000-000088AC0000}"/>
    <cellStyle name="Normal 11 4 12 2 3" xfId="16530" xr:uid="{00000000-0005-0000-0000-000089AC0000}"/>
    <cellStyle name="Normal 11 4 12 2 4" xfId="22006" xr:uid="{00000000-0005-0000-0000-00008AAC0000}"/>
    <cellStyle name="Normal 11 4 12 2 5" xfId="27482" xr:uid="{00000000-0005-0000-0000-00008BAC0000}"/>
    <cellStyle name="Normal 11 4 12 2 6" xfId="39278" xr:uid="{00000000-0005-0000-0000-00008CAC0000}"/>
    <cellStyle name="Normal 11 4 12 2 7" xfId="44755" xr:uid="{00000000-0005-0000-0000-00008DAC0000}"/>
    <cellStyle name="Normal 11 4 12 2 8" xfId="50232" xr:uid="{00000000-0005-0000-0000-00008EAC0000}"/>
    <cellStyle name="Normal 11 4 12 2 9" xfId="55750" xr:uid="{00000000-0005-0000-0000-00008FAC0000}"/>
    <cellStyle name="Normal 11 4 12 3" xfId="7523" xr:uid="{00000000-0005-0000-0000-000090AC0000}"/>
    <cellStyle name="Normal 11 4 12 4" xfId="12999" xr:uid="{00000000-0005-0000-0000-000091AC0000}"/>
    <cellStyle name="Normal 11 4 12 5" xfId="18475" xr:uid="{00000000-0005-0000-0000-000092AC0000}"/>
    <cellStyle name="Normal 11 4 12 6" xfId="23951" xr:uid="{00000000-0005-0000-0000-000093AC0000}"/>
    <cellStyle name="Normal 11 4 12 7" xfId="35747" xr:uid="{00000000-0005-0000-0000-000094AC0000}"/>
    <cellStyle name="Normal 11 4 12 8" xfId="41224" xr:uid="{00000000-0005-0000-0000-000095AC0000}"/>
    <cellStyle name="Normal 11 4 12 9" xfId="46701" xr:uid="{00000000-0005-0000-0000-000096AC0000}"/>
    <cellStyle name="Normal 11 4 13" xfId="3732" xr:uid="{00000000-0005-0000-0000-000097AC0000}"/>
    <cellStyle name="Normal 11 4 13 2" xfId="9212" xr:uid="{00000000-0005-0000-0000-000098AC0000}"/>
    <cellStyle name="Normal 11 4 13 3" xfId="14688" xr:uid="{00000000-0005-0000-0000-000099AC0000}"/>
    <cellStyle name="Normal 11 4 13 4" xfId="20164" xr:uid="{00000000-0005-0000-0000-00009AAC0000}"/>
    <cellStyle name="Normal 11 4 13 5" xfId="25640" xr:uid="{00000000-0005-0000-0000-00009BAC0000}"/>
    <cellStyle name="Normal 11 4 13 6" xfId="37436" xr:uid="{00000000-0005-0000-0000-00009CAC0000}"/>
    <cellStyle name="Normal 11 4 13 7" xfId="42913" xr:uid="{00000000-0005-0000-0000-00009DAC0000}"/>
    <cellStyle name="Normal 11 4 13 8" xfId="48390" xr:uid="{00000000-0005-0000-0000-00009EAC0000}"/>
    <cellStyle name="Normal 11 4 13 9" xfId="53908" xr:uid="{00000000-0005-0000-0000-00009FAC0000}"/>
    <cellStyle name="Normal 11 4 14" xfId="6989" xr:uid="{00000000-0005-0000-0000-0000A0AC0000}"/>
    <cellStyle name="Normal 11 4 15" xfId="12469" xr:uid="{00000000-0005-0000-0000-0000A1AC0000}"/>
    <cellStyle name="Normal 11 4 16" xfId="17945" xr:uid="{00000000-0005-0000-0000-0000A2AC0000}"/>
    <cellStyle name="Normal 11 4 17" xfId="23421" xr:uid="{00000000-0005-0000-0000-0000A3AC0000}"/>
    <cellStyle name="Normal 11 4 18" xfId="32933" xr:uid="{00000000-0005-0000-0000-0000A4AC0000}"/>
    <cellStyle name="Normal 11 4 19" xfId="35216" xr:uid="{00000000-0005-0000-0000-0000A5AC0000}"/>
    <cellStyle name="Normal 11 4 2" xfId="252" xr:uid="{00000000-0005-0000-0000-0000A6AC0000}"/>
    <cellStyle name="Normal 11 4 2 10" xfId="1873" xr:uid="{00000000-0005-0000-0000-0000A7AC0000}"/>
    <cellStyle name="Normal 11 4 2 10 10" xfId="46174" xr:uid="{00000000-0005-0000-0000-0000A8AC0000}"/>
    <cellStyle name="Normal 11 4 2 10 11" xfId="51653" xr:uid="{00000000-0005-0000-0000-0000A9AC0000}"/>
    <cellStyle name="Normal 11 4 2 10 2" xfId="3634" xr:uid="{00000000-0005-0000-0000-0000AAAC0000}"/>
    <cellStyle name="Normal 11 4 2 10 2 2" xfId="9114" xr:uid="{00000000-0005-0000-0000-0000ABAC0000}"/>
    <cellStyle name="Normal 11 4 2 10 2 3" xfId="14590" xr:uid="{00000000-0005-0000-0000-0000ACAC0000}"/>
    <cellStyle name="Normal 11 4 2 10 2 4" xfId="20066" xr:uid="{00000000-0005-0000-0000-0000ADAC0000}"/>
    <cellStyle name="Normal 11 4 2 10 2 5" xfId="25542" xr:uid="{00000000-0005-0000-0000-0000AEAC0000}"/>
    <cellStyle name="Normal 11 4 2 10 2 6" xfId="37338" xr:uid="{00000000-0005-0000-0000-0000AFAC0000}"/>
    <cellStyle name="Normal 11 4 2 10 2 7" xfId="42815" xr:uid="{00000000-0005-0000-0000-0000B0AC0000}"/>
    <cellStyle name="Normal 11 4 2 10 2 8" xfId="48292" xr:uid="{00000000-0005-0000-0000-0000B1AC0000}"/>
    <cellStyle name="Normal 11 4 2 10 2 9" xfId="53810" xr:uid="{00000000-0005-0000-0000-0000B2AC0000}"/>
    <cellStyle name="Normal 11 4 2 10 3" xfId="5406" xr:uid="{00000000-0005-0000-0000-0000B3AC0000}"/>
    <cellStyle name="Normal 11 4 2 10 3 2" xfId="10886" xr:uid="{00000000-0005-0000-0000-0000B4AC0000}"/>
    <cellStyle name="Normal 11 4 2 10 3 3" xfId="16362" xr:uid="{00000000-0005-0000-0000-0000B5AC0000}"/>
    <cellStyle name="Normal 11 4 2 10 3 4" xfId="21838" xr:uid="{00000000-0005-0000-0000-0000B6AC0000}"/>
    <cellStyle name="Normal 11 4 2 10 3 5" xfId="27314" xr:uid="{00000000-0005-0000-0000-0000B7AC0000}"/>
    <cellStyle name="Normal 11 4 2 10 3 6" xfId="39110" xr:uid="{00000000-0005-0000-0000-0000B8AC0000}"/>
    <cellStyle name="Normal 11 4 2 10 3 7" xfId="44587" xr:uid="{00000000-0005-0000-0000-0000B9AC0000}"/>
    <cellStyle name="Normal 11 4 2 10 3 8" xfId="50064" xr:uid="{00000000-0005-0000-0000-0000BAAC0000}"/>
    <cellStyle name="Normal 11 4 2 10 3 9" xfId="55582" xr:uid="{00000000-0005-0000-0000-0000BBAC0000}"/>
    <cellStyle name="Normal 11 4 2 10 4" xfId="6993" xr:uid="{00000000-0005-0000-0000-0000BCAC0000}"/>
    <cellStyle name="Normal 11 4 2 10 5" xfId="12473" xr:uid="{00000000-0005-0000-0000-0000BDAC0000}"/>
    <cellStyle name="Normal 11 4 2 10 6" xfId="17949" xr:uid="{00000000-0005-0000-0000-0000BEAC0000}"/>
    <cellStyle name="Normal 11 4 2 10 7" xfId="23425" xr:uid="{00000000-0005-0000-0000-0000BFAC0000}"/>
    <cellStyle name="Normal 11 4 2 10 8" xfId="35220" xr:uid="{00000000-0005-0000-0000-0000C0AC0000}"/>
    <cellStyle name="Normal 11 4 2 10 9" xfId="40697" xr:uid="{00000000-0005-0000-0000-0000C1AC0000}"/>
    <cellStyle name="Normal 11 4 2 11" xfId="2043" xr:uid="{00000000-0005-0000-0000-0000C2AC0000}"/>
    <cellStyle name="Normal 11 4 2 11 10" xfId="52220" xr:uid="{00000000-0005-0000-0000-0000C3AC0000}"/>
    <cellStyle name="Normal 11 4 2 11 2" xfId="5575" xr:uid="{00000000-0005-0000-0000-0000C4AC0000}"/>
    <cellStyle name="Normal 11 4 2 11 2 2" xfId="11055" xr:uid="{00000000-0005-0000-0000-0000C5AC0000}"/>
    <cellStyle name="Normal 11 4 2 11 2 3" xfId="16531" xr:uid="{00000000-0005-0000-0000-0000C6AC0000}"/>
    <cellStyle name="Normal 11 4 2 11 2 4" xfId="22007" xr:uid="{00000000-0005-0000-0000-0000C7AC0000}"/>
    <cellStyle name="Normal 11 4 2 11 2 5" xfId="27483" xr:uid="{00000000-0005-0000-0000-0000C8AC0000}"/>
    <cellStyle name="Normal 11 4 2 11 2 6" xfId="39279" xr:uid="{00000000-0005-0000-0000-0000C9AC0000}"/>
    <cellStyle name="Normal 11 4 2 11 2 7" xfId="44756" xr:uid="{00000000-0005-0000-0000-0000CAAC0000}"/>
    <cellStyle name="Normal 11 4 2 11 2 8" xfId="50233" xr:uid="{00000000-0005-0000-0000-0000CBAC0000}"/>
    <cellStyle name="Normal 11 4 2 11 2 9" xfId="55751" xr:uid="{00000000-0005-0000-0000-0000CCAC0000}"/>
    <cellStyle name="Normal 11 4 2 11 3" xfId="7524" xr:uid="{00000000-0005-0000-0000-0000CDAC0000}"/>
    <cellStyle name="Normal 11 4 2 11 4" xfId="13000" xr:uid="{00000000-0005-0000-0000-0000CEAC0000}"/>
    <cellStyle name="Normal 11 4 2 11 5" xfId="18476" xr:uid="{00000000-0005-0000-0000-0000CFAC0000}"/>
    <cellStyle name="Normal 11 4 2 11 6" xfId="23952" xr:uid="{00000000-0005-0000-0000-0000D0AC0000}"/>
    <cellStyle name="Normal 11 4 2 11 7" xfId="35748" xr:uid="{00000000-0005-0000-0000-0000D1AC0000}"/>
    <cellStyle name="Normal 11 4 2 11 8" xfId="41225" xr:uid="{00000000-0005-0000-0000-0000D2AC0000}"/>
    <cellStyle name="Normal 11 4 2 11 9" xfId="46702" xr:uid="{00000000-0005-0000-0000-0000D3AC0000}"/>
    <cellStyle name="Normal 11 4 2 12" xfId="3818" xr:uid="{00000000-0005-0000-0000-0000D4AC0000}"/>
    <cellStyle name="Normal 11 4 2 12 2" xfId="9298" xr:uid="{00000000-0005-0000-0000-0000D5AC0000}"/>
    <cellStyle name="Normal 11 4 2 12 3" xfId="14774" xr:uid="{00000000-0005-0000-0000-0000D6AC0000}"/>
    <cellStyle name="Normal 11 4 2 12 4" xfId="20250" xr:uid="{00000000-0005-0000-0000-0000D7AC0000}"/>
    <cellStyle name="Normal 11 4 2 12 5" xfId="25726" xr:uid="{00000000-0005-0000-0000-0000D8AC0000}"/>
    <cellStyle name="Normal 11 4 2 12 6" xfId="37522" xr:uid="{00000000-0005-0000-0000-0000D9AC0000}"/>
    <cellStyle name="Normal 11 4 2 12 7" xfId="42999" xr:uid="{00000000-0005-0000-0000-0000DAAC0000}"/>
    <cellStyle name="Normal 11 4 2 12 8" xfId="48476" xr:uid="{00000000-0005-0000-0000-0000DBAC0000}"/>
    <cellStyle name="Normal 11 4 2 12 9" xfId="53994" xr:uid="{00000000-0005-0000-0000-0000DCAC0000}"/>
    <cellStyle name="Normal 11 4 2 13" xfId="6992" xr:uid="{00000000-0005-0000-0000-0000DDAC0000}"/>
    <cellStyle name="Normal 11 4 2 14" xfId="12472" xr:uid="{00000000-0005-0000-0000-0000DEAC0000}"/>
    <cellStyle name="Normal 11 4 2 15" xfId="17948" xr:uid="{00000000-0005-0000-0000-0000DFAC0000}"/>
    <cellStyle name="Normal 11 4 2 16" xfId="23424" xr:uid="{00000000-0005-0000-0000-0000E0AC0000}"/>
    <cellStyle name="Normal 11 4 2 17" xfId="32934" xr:uid="{00000000-0005-0000-0000-0000E1AC0000}"/>
    <cellStyle name="Normal 11 4 2 18" xfId="35219" xr:uid="{00000000-0005-0000-0000-0000E2AC0000}"/>
    <cellStyle name="Normal 11 4 2 19" xfId="40696" xr:uid="{00000000-0005-0000-0000-0000E3AC0000}"/>
    <cellStyle name="Normal 11 4 2 2" xfId="438" xr:uid="{00000000-0005-0000-0000-0000E4AC0000}"/>
    <cellStyle name="Normal 11 4 2 2 10" xfId="40698" xr:uid="{00000000-0005-0000-0000-0000E5AC0000}"/>
    <cellStyle name="Normal 11 4 2 2 11" xfId="46175" xr:uid="{00000000-0005-0000-0000-0000E6AC0000}"/>
    <cellStyle name="Normal 11 4 2 2 12" xfId="51654" xr:uid="{00000000-0005-0000-0000-0000E7AC0000}"/>
    <cellStyle name="Normal 11 4 2 2 2" xfId="2204" xr:uid="{00000000-0005-0000-0000-0000E8AC0000}"/>
    <cellStyle name="Normal 11 4 2 2 2 2" xfId="7684" xr:uid="{00000000-0005-0000-0000-0000E9AC0000}"/>
    <cellStyle name="Normal 11 4 2 2 2 3" xfId="13160" xr:uid="{00000000-0005-0000-0000-0000EAAC0000}"/>
    <cellStyle name="Normal 11 4 2 2 2 4" xfId="18636" xr:uid="{00000000-0005-0000-0000-0000EBAC0000}"/>
    <cellStyle name="Normal 11 4 2 2 2 5" xfId="24112" xr:uid="{00000000-0005-0000-0000-0000ECAC0000}"/>
    <cellStyle name="Normal 11 4 2 2 2 6" xfId="35908" xr:uid="{00000000-0005-0000-0000-0000EDAC0000}"/>
    <cellStyle name="Normal 11 4 2 2 2 7" xfId="41385" xr:uid="{00000000-0005-0000-0000-0000EEAC0000}"/>
    <cellStyle name="Normal 11 4 2 2 2 8" xfId="46862" xr:uid="{00000000-0005-0000-0000-0000EFAC0000}"/>
    <cellStyle name="Normal 11 4 2 2 2 9" xfId="52380" xr:uid="{00000000-0005-0000-0000-0000F0AC0000}"/>
    <cellStyle name="Normal 11 4 2 2 3" xfId="3976" xr:uid="{00000000-0005-0000-0000-0000F1AC0000}"/>
    <cellStyle name="Normal 11 4 2 2 3 2" xfId="9456" xr:uid="{00000000-0005-0000-0000-0000F2AC0000}"/>
    <cellStyle name="Normal 11 4 2 2 3 3" xfId="14932" xr:uid="{00000000-0005-0000-0000-0000F3AC0000}"/>
    <cellStyle name="Normal 11 4 2 2 3 4" xfId="20408" xr:uid="{00000000-0005-0000-0000-0000F4AC0000}"/>
    <cellStyle name="Normal 11 4 2 2 3 5" xfId="25884" xr:uid="{00000000-0005-0000-0000-0000F5AC0000}"/>
    <cellStyle name="Normal 11 4 2 2 3 6" xfId="37680" xr:uid="{00000000-0005-0000-0000-0000F6AC0000}"/>
    <cellStyle name="Normal 11 4 2 2 3 7" xfId="43157" xr:uid="{00000000-0005-0000-0000-0000F7AC0000}"/>
    <cellStyle name="Normal 11 4 2 2 3 8" xfId="48634" xr:uid="{00000000-0005-0000-0000-0000F8AC0000}"/>
    <cellStyle name="Normal 11 4 2 2 3 9" xfId="54152" xr:uid="{00000000-0005-0000-0000-0000F9AC0000}"/>
    <cellStyle name="Normal 11 4 2 2 4" xfId="6994" xr:uid="{00000000-0005-0000-0000-0000FAAC0000}"/>
    <cellStyle name="Normal 11 4 2 2 5" xfId="12474" xr:uid="{00000000-0005-0000-0000-0000FBAC0000}"/>
    <cellStyle name="Normal 11 4 2 2 6" xfId="17950" xr:uid="{00000000-0005-0000-0000-0000FCAC0000}"/>
    <cellStyle name="Normal 11 4 2 2 7" xfId="23426" xr:uid="{00000000-0005-0000-0000-0000FDAC0000}"/>
    <cellStyle name="Normal 11 4 2 2 8" xfId="32935" xr:uid="{00000000-0005-0000-0000-0000FEAC0000}"/>
    <cellStyle name="Normal 11 4 2 2 9" xfId="35221" xr:uid="{00000000-0005-0000-0000-0000FFAC0000}"/>
    <cellStyle name="Normal 11 4 2 20" xfId="46173" xr:uid="{00000000-0005-0000-0000-000000AD0000}"/>
    <cellStyle name="Normal 11 4 2 21" xfId="51652" xr:uid="{00000000-0005-0000-0000-000001AD0000}"/>
    <cellStyle name="Normal 11 4 2 3" xfId="615" xr:uid="{00000000-0005-0000-0000-000002AD0000}"/>
    <cellStyle name="Normal 11 4 2 3 10" xfId="46176" xr:uid="{00000000-0005-0000-0000-000003AD0000}"/>
    <cellStyle name="Normal 11 4 2 3 11" xfId="51655" xr:uid="{00000000-0005-0000-0000-000004AD0000}"/>
    <cellStyle name="Normal 11 4 2 3 2" xfId="2376" xr:uid="{00000000-0005-0000-0000-000005AD0000}"/>
    <cellStyle name="Normal 11 4 2 3 2 2" xfId="7856" xr:uid="{00000000-0005-0000-0000-000006AD0000}"/>
    <cellStyle name="Normal 11 4 2 3 2 3" xfId="13332" xr:uid="{00000000-0005-0000-0000-000007AD0000}"/>
    <cellStyle name="Normal 11 4 2 3 2 4" xfId="18808" xr:uid="{00000000-0005-0000-0000-000008AD0000}"/>
    <cellStyle name="Normal 11 4 2 3 2 5" xfId="24284" xr:uid="{00000000-0005-0000-0000-000009AD0000}"/>
    <cellStyle name="Normal 11 4 2 3 2 6" xfId="36080" xr:uid="{00000000-0005-0000-0000-00000AAD0000}"/>
    <cellStyle name="Normal 11 4 2 3 2 7" xfId="41557" xr:uid="{00000000-0005-0000-0000-00000BAD0000}"/>
    <cellStyle name="Normal 11 4 2 3 2 8" xfId="47034" xr:uid="{00000000-0005-0000-0000-00000CAD0000}"/>
    <cellStyle name="Normal 11 4 2 3 2 9" xfId="52552" xr:uid="{00000000-0005-0000-0000-00000DAD0000}"/>
    <cellStyle name="Normal 11 4 2 3 3" xfId="4148" xr:uid="{00000000-0005-0000-0000-00000EAD0000}"/>
    <cellStyle name="Normal 11 4 2 3 3 2" xfId="9628" xr:uid="{00000000-0005-0000-0000-00000FAD0000}"/>
    <cellStyle name="Normal 11 4 2 3 3 3" xfId="15104" xr:uid="{00000000-0005-0000-0000-000010AD0000}"/>
    <cellStyle name="Normal 11 4 2 3 3 4" xfId="20580" xr:uid="{00000000-0005-0000-0000-000011AD0000}"/>
    <cellStyle name="Normal 11 4 2 3 3 5" xfId="26056" xr:uid="{00000000-0005-0000-0000-000012AD0000}"/>
    <cellStyle name="Normal 11 4 2 3 3 6" xfId="37852" xr:uid="{00000000-0005-0000-0000-000013AD0000}"/>
    <cellStyle name="Normal 11 4 2 3 3 7" xfId="43329" xr:uid="{00000000-0005-0000-0000-000014AD0000}"/>
    <cellStyle name="Normal 11 4 2 3 3 8" xfId="48806" xr:uid="{00000000-0005-0000-0000-000015AD0000}"/>
    <cellStyle name="Normal 11 4 2 3 3 9" xfId="54324" xr:uid="{00000000-0005-0000-0000-000016AD0000}"/>
    <cellStyle name="Normal 11 4 2 3 4" xfId="6995" xr:uid="{00000000-0005-0000-0000-000017AD0000}"/>
    <cellStyle name="Normal 11 4 2 3 5" xfId="12475" xr:uid="{00000000-0005-0000-0000-000018AD0000}"/>
    <cellStyle name="Normal 11 4 2 3 6" xfId="17951" xr:uid="{00000000-0005-0000-0000-000019AD0000}"/>
    <cellStyle name="Normal 11 4 2 3 7" xfId="23427" xr:uid="{00000000-0005-0000-0000-00001AAD0000}"/>
    <cellStyle name="Normal 11 4 2 3 8" xfId="35222" xr:uid="{00000000-0005-0000-0000-00001BAD0000}"/>
    <cellStyle name="Normal 11 4 2 3 9" xfId="40699" xr:uid="{00000000-0005-0000-0000-00001CAD0000}"/>
    <cellStyle name="Normal 11 4 2 4" xfId="787" xr:uid="{00000000-0005-0000-0000-00001DAD0000}"/>
    <cellStyle name="Normal 11 4 2 4 10" xfId="46177" xr:uid="{00000000-0005-0000-0000-00001EAD0000}"/>
    <cellStyle name="Normal 11 4 2 4 11" xfId="51656" xr:uid="{00000000-0005-0000-0000-00001FAD0000}"/>
    <cellStyle name="Normal 11 4 2 4 2" xfId="2548" xr:uid="{00000000-0005-0000-0000-000020AD0000}"/>
    <cellStyle name="Normal 11 4 2 4 2 2" xfId="8028" xr:uid="{00000000-0005-0000-0000-000021AD0000}"/>
    <cellStyle name="Normal 11 4 2 4 2 3" xfId="13504" xr:uid="{00000000-0005-0000-0000-000022AD0000}"/>
    <cellStyle name="Normal 11 4 2 4 2 4" xfId="18980" xr:uid="{00000000-0005-0000-0000-000023AD0000}"/>
    <cellStyle name="Normal 11 4 2 4 2 5" xfId="24456" xr:uid="{00000000-0005-0000-0000-000024AD0000}"/>
    <cellStyle name="Normal 11 4 2 4 2 6" xfId="36252" xr:uid="{00000000-0005-0000-0000-000025AD0000}"/>
    <cellStyle name="Normal 11 4 2 4 2 7" xfId="41729" xr:uid="{00000000-0005-0000-0000-000026AD0000}"/>
    <cellStyle name="Normal 11 4 2 4 2 8" xfId="47206" xr:uid="{00000000-0005-0000-0000-000027AD0000}"/>
    <cellStyle name="Normal 11 4 2 4 2 9" xfId="52724" xr:uid="{00000000-0005-0000-0000-000028AD0000}"/>
    <cellStyle name="Normal 11 4 2 4 3" xfId="4320" xr:uid="{00000000-0005-0000-0000-000029AD0000}"/>
    <cellStyle name="Normal 11 4 2 4 3 2" xfId="9800" xr:uid="{00000000-0005-0000-0000-00002AAD0000}"/>
    <cellStyle name="Normal 11 4 2 4 3 3" xfId="15276" xr:uid="{00000000-0005-0000-0000-00002BAD0000}"/>
    <cellStyle name="Normal 11 4 2 4 3 4" xfId="20752" xr:uid="{00000000-0005-0000-0000-00002CAD0000}"/>
    <cellStyle name="Normal 11 4 2 4 3 5" xfId="26228" xr:uid="{00000000-0005-0000-0000-00002DAD0000}"/>
    <cellStyle name="Normal 11 4 2 4 3 6" xfId="38024" xr:uid="{00000000-0005-0000-0000-00002EAD0000}"/>
    <cellStyle name="Normal 11 4 2 4 3 7" xfId="43501" xr:uid="{00000000-0005-0000-0000-00002FAD0000}"/>
    <cellStyle name="Normal 11 4 2 4 3 8" xfId="48978" xr:uid="{00000000-0005-0000-0000-000030AD0000}"/>
    <cellStyle name="Normal 11 4 2 4 3 9" xfId="54496" xr:uid="{00000000-0005-0000-0000-000031AD0000}"/>
    <cellStyle name="Normal 11 4 2 4 4" xfId="6996" xr:uid="{00000000-0005-0000-0000-000032AD0000}"/>
    <cellStyle name="Normal 11 4 2 4 5" xfId="12476" xr:uid="{00000000-0005-0000-0000-000033AD0000}"/>
    <cellStyle name="Normal 11 4 2 4 6" xfId="17952" xr:uid="{00000000-0005-0000-0000-000034AD0000}"/>
    <cellStyle name="Normal 11 4 2 4 7" xfId="23428" xr:uid="{00000000-0005-0000-0000-000035AD0000}"/>
    <cellStyle name="Normal 11 4 2 4 8" xfId="35223" xr:uid="{00000000-0005-0000-0000-000036AD0000}"/>
    <cellStyle name="Normal 11 4 2 4 9" xfId="40700" xr:uid="{00000000-0005-0000-0000-000037AD0000}"/>
    <cellStyle name="Normal 11 4 2 5" xfId="959" xr:uid="{00000000-0005-0000-0000-000038AD0000}"/>
    <cellStyle name="Normal 11 4 2 5 10" xfId="46178" xr:uid="{00000000-0005-0000-0000-000039AD0000}"/>
    <cellStyle name="Normal 11 4 2 5 11" xfId="51657" xr:uid="{00000000-0005-0000-0000-00003AAD0000}"/>
    <cellStyle name="Normal 11 4 2 5 2" xfId="2720" xr:uid="{00000000-0005-0000-0000-00003BAD0000}"/>
    <cellStyle name="Normal 11 4 2 5 2 2" xfId="8200" xr:uid="{00000000-0005-0000-0000-00003CAD0000}"/>
    <cellStyle name="Normal 11 4 2 5 2 3" xfId="13676" xr:uid="{00000000-0005-0000-0000-00003DAD0000}"/>
    <cellStyle name="Normal 11 4 2 5 2 4" xfId="19152" xr:uid="{00000000-0005-0000-0000-00003EAD0000}"/>
    <cellStyle name="Normal 11 4 2 5 2 5" xfId="24628" xr:uid="{00000000-0005-0000-0000-00003FAD0000}"/>
    <cellStyle name="Normal 11 4 2 5 2 6" xfId="36424" xr:uid="{00000000-0005-0000-0000-000040AD0000}"/>
    <cellStyle name="Normal 11 4 2 5 2 7" xfId="41901" xr:uid="{00000000-0005-0000-0000-000041AD0000}"/>
    <cellStyle name="Normal 11 4 2 5 2 8" xfId="47378" xr:uid="{00000000-0005-0000-0000-000042AD0000}"/>
    <cellStyle name="Normal 11 4 2 5 2 9" xfId="52896" xr:uid="{00000000-0005-0000-0000-000043AD0000}"/>
    <cellStyle name="Normal 11 4 2 5 3" xfId="4492" xr:uid="{00000000-0005-0000-0000-000044AD0000}"/>
    <cellStyle name="Normal 11 4 2 5 3 2" xfId="9972" xr:uid="{00000000-0005-0000-0000-000045AD0000}"/>
    <cellStyle name="Normal 11 4 2 5 3 3" xfId="15448" xr:uid="{00000000-0005-0000-0000-000046AD0000}"/>
    <cellStyle name="Normal 11 4 2 5 3 4" xfId="20924" xr:uid="{00000000-0005-0000-0000-000047AD0000}"/>
    <cellStyle name="Normal 11 4 2 5 3 5" xfId="26400" xr:uid="{00000000-0005-0000-0000-000048AD0000}"/>
    <cellStyle name="Normal 11 4 2 5 3 6" xfId="38196" xr:uid="{00000000-0005-0000-0000-000049AD0000}"/>
    <cellStyle name="Normal 11 4 2 5 3 7" xfId="43673" xr:uid="{00000000-0005-0000-0000-00004AAD0000}"/>
    <cellStyle name="Normal 11 4 2 5 3 8" xfId="49150" xr:uid="{00000000-0005-0000-0000-00004BAD0000}"/>
    <cellStyle name="Normal 11 4 2 5 3 9" xfId="54668" xr:uid="{00000000-0005-0000-0000-00004CAD0000}"/>
    <cellStyle name="Normal 11 4 2 5 4" xfId="6997" xr:uid="{00000000-0005-0000-0000-00004DAD0000}"/>
    <cellStyle name="Normal 11 4 2 5 5" xfId="12477" xr:uid="{00000000-0005-0000-0000-00004EAD0000}"/>
    <cellStyle name="Normal 11 4 2 5 6" xfId="17953" xr:uid="{00000000-0005-0000-0000-00004FAD0000}"/>
    <cellStyle name="Normal 11 4 2 5 7" xfId="23429" xr:uid="{00000000-0005-0000-0000-000050AD0000}"/>
    <cellStyle name="Normal 11 4 2 5 8" xfId="35224" xr:uid="{00000000-0005-0000-0000-000051AD0000}"/>
    <cellStyle name="Normal 11 4 2 5 9" xfId="40701" xr:uid="{00000000-0005-0000-0000-000052AD0000}"/>
    <cellStyle name="Normal 11 4 2 6" xfId="1165" xr:uid="{00000000-0005-0000-0000-000053AD0000}"/>
    <cellStyle name="Normal 11 4 2 6 10" xfId="46179" xr:uid="{00000000-0005-0000-0000-000054AD0000}"/>
    <cellStyle name="Normal 11 4 2 6 11" xfId="51658" xr:uid="{00000000-0005-0000-0000-000055AD0000}"/>
    <cellStyle name="Normal 11 4 2 6 2" xfId="2926" xr:uid="{00000000-0005-0000-0000-000056AD0000}"/>
    <cellStyle name="Normal 11 4 2 6 2 2" xfId="8406" xr:uid="{00000000-0005-0000-0000-000057AD0000}"/>
    <cellStyle name="Normal 11 4 2 6 2 3" xfId="13882" xr:uid="{00000000-0005-0000-0000-000058AD0000}"/>
    <cellStyle name="Normal 11 4 2 6 2 4" xfId="19358" xr:uid="{00000000-0005-0000-0000-000059AD0000}"/>
    <cellStyle name="Normal 11 4 2 6 2 5" xfId="24834" xr:uid="{00000000-0005-0000-0000-00005AAD0000}"/>
    <cellStyle name="Normal 11 4 2 6 2 6" xfId="36630" xr:uid="{00000000-0005-0000-0000-00005BAD0000}"/>
    <cellStyle name="Normal 11 4 2 6 2 7" xfId="42107" xr:uid="{00000000-0005-0000-0000-00005CAD0000}"/>
    <cellStyle name="Normal 11 4 2 6 2 8" xfId="47584" xr:uid="{00000000-0005-0000-0000-00005DAD0000}"/>
    <cellStyle name="Normal 11 4 2 6 2 9" xfId="53102" xr:uid="{00000000-0005-0000-0000-00005EAD0000}"/>
    <cellStyle name="Normal 11 4 2 6 3" xfId="4698" xr:uid="{00000000-0005-0000-0000-00005FAD0000}"/>
    <cellStyle name="Normal 11 4 2 6 3 2" xfId="10178" xr:uid="{00000000-0005-0000-0000-000060AD0000}"/>
    <cellStyle name="Normal 11 4 2 6 3 3" xfId="15654" xr:uid="{00000000-0005-0000-0000-000061AD0000}"/>
    <cellStyle name="Normal 11 4 2 6 3 4" xfId="21130" xr:uid="{00000000-0005-0000-0000-000062AD0000}"/>
    <cellStyle name="Normal 11 4 2 6 3 5" xfId="26606" xr:uid="{00000000-0005-0000-0000-000063AD0000}"/>
    <cellStyle name="Normal 11 4 2 6 3 6" xfId="38402" xr:uid="{00000000-0005-0000-0000-000064AD0000}"/>
    <cellStyle name="Normal 11 4 2 6 3 7" xfId="43879" xr:uid="{00000000-0005-0000-0000-000065AD0000}"/>
    <cellStyle name="Normal 11 4 2 6 3 8" xfId="49356" xr:uid="{00000000-0005-0000-0000-000066AD0000}"/>
    <cellStyle name="Normal 11 4 2 6 3 9" xfId="54874" xr:uid="{00000000-0005-0000-0000-000067AD0000}"/>
    <cellStyle name="Normal 11 4 2 6 4" xfId="6998" xr:uid="{00000000-0005-0000-0000-000068AD0000}"/>
    <cellStyle name="Normal 11 4 2 6 5" xfId="12478" xr:uid="{00000000-0005-0000-0000-000069AD0000}"/>
    <cellStyle name="Normal 11 4 2 6 6" xfId="17954" xr:uid="{00000000-0005-0000-0000-00006AAD0000}"/>
    <cellStyle name="Normal 11 4 2 6 7" xfId="23430" xr:uid="{00000000-0005-0000-0000-00006BAD0000}"/>
    <cellStyle name="Normal 11 4 2 6 8" xfId="35225" xr:uid="{00000000-0005-0000-0000-00006CAD0000}"/>
    <cellStyle name="Normal 11 4 2 6 9" xfId="40702" xr:uid="{00000000-0005-0000-0000-00006DAD0000}"/>
    <cellStyle name="Normal 11 4 2 7" xfId="1337" xr:uid="{00000000-0005-0000-0000-00006EAD0000}"/>
    <cellStyle name="Normal 11 4 2 7 10" xfId="46180" xr:uid="{00000000-0005-0000-0000-00006FAD0000}"/>
    <cellStyle name="Normal 11 4 2 7 11" xfId="51659" xr:uid="{00000000-0005-0000-0000-000070AD0000}"/>
    <cellStyle name="Normal 11 4 2 7 2" xfId="3098" xr:uid="{00000000-0005-0000-0000-000071AD0000}"/>
    <cellStyle name="Normal 11 4 2 7 2 2" xfId="8578" xr:uid="{00000000-0005-0000-0000-000072AD0000}"/>
    <cellStyle name="Normal 11 4 2 7 2 3" xfId="14054" xr:uid="{00000000-0005-0000-0000-000073AD0000}"/>
    <cellStyle name="Normal 11 4 2 7 2 4" xfId="19530" xr:uid="{00000000-0005-0000-0000-000074AD0000}"/>
    <cellStyle name="Normal 11 4 2 7 2 5" xfId="25006" xr:uid="{00000000-0005-0000-0000-000075AD0000}"/>
    <cellStyle name="Normal 11 4 2 7 2 6" xfId="36802" xr:uid="{00000000-0005-0000-0000-000076AD0000}"/>
    <cellStyle name="Normal 11 4 2 7 2 7" xfId="42279" xr:uid="{00000000-0005-0000-0000-000077AD0000}"/>
    <cellStyle name="Normal 11 4 2 7 2 8" xfId="47756" xr:uid="{00000000-0005-0000-0000-000078AD0000}"/>
    <cellStyle name="Normal 11 4 2 7 2 9" xfId="53274" xr:uid="{00000000-0005-0000-0000-000079AD0000}"/>
    <cellStyle name="Normal 11 4 2 7 3" xfId="4870" xr:uid="{00000000-0005-0000-0000-00007AAD0000}"/>
    <cellStyle name="Normal 11 4 2 7 3 2" xfId="10350" xr:uid="{00000000-0005-0000-0000-00007BAD0000}"/>
    <cellStyle name="Normal 11 4 2 7 3 3" xfId="15826" xr:uid="{00000000-0005-0000-0000-00007CAD0000}"/>
    <cellStyle name="Normal 11 4 2 7 3 4" xfId="21302" xr:uid="{00000000-0005-0000-0000-00007DAD0000}"/>
    <cellStyle name="Normal 11 4 2 7 3 5" xfId="26778" xr:uid="{00000000-0005-0000-0000-00007EAD0000}"/>
    <cellStyle name="Normal 11 4 2 7 3 6" xfId="38574" xr:uid="{00000000-0005-0000-0000-00007FAD0000}"/>
    <cellStyle name="Normal 11 4 2 7 3 7" xfId="44051" xr:uid="{00000000-0005-0000-0000-000080AD0000}"/>
    <cellStyle name="Normal 11 4 2 7 3 8" xfId="49528" xr:uid="{00000000-0005-0000-0000-000081AD0000}"/>
    <cellStyle name="Normal 11 4 2 7 3 9" xfId="55046" xr:uid="{00000000-0005-0000-0000-000082AD0000}"/>
    <cellStyle name="Normal 11 4 2 7 4" xfId="6999" xr:uid="{00000000-0005-0000-0000-000083AD0000}"/>
    <cellStyle name="Normal 11 4 2 7 5" xfId="12479" xr:uid="{00000000-0005-0000-0000-000084AD0000}"/>
    <cellStyle name="Normal 11 4 2 7 6" xfId="17955" xr:uid="{00000000-0005-0000-0000-000085AD0000}"/>
    <cellStyle name="Normal 11 4 2 7 7" xfId="23431" xr:uid="{00000000-0005-0000-0000-000086AD0000}"/>
    <cellStyle name="Normal 11 4 2 7 8" xfId="35226" xr:uid="{00000000-0005-0000-0000-000087AD0000}"/>
    <cellStyle name="Normal 11 4 2 7 9" xfId="40703" xr:uid="{00000000-0005-0000-0000-000088AD0000}"/>
    <cellStyle name="Normal 11 4 2 8" xfId="1509" xr:uid="{00000000-0005-0000-0000-000089AD0000}"/>
    <cellStyle name="Normal 11 4 2 8 10" xfId="46181" xr:uid="{00000000-0005-0000-0000-00008AAD0000}"/>
    <cellStyle name="Normal 11 4 2 8 11" xfId="51660" xr:uid="{00000000-0005-0000-0000-00008BAD0000}"/>
    <cellStyle name="Normal 11 4 2 8 2" xfId="3270" xr:uid="{00000000-0005-0000-0000-00008CAD0000}"/>
    <cellStyle name="Normal 11 4 2 8 2 2" xfId="8750" xr:uid="{00000000-0005-0000-0000-00008DAD0000}"/>
    <cellStyle name="Normal 11 4 2 8 2 3" xfId="14226" xr:uid="{00000000-0005-0000-0000-00008EAD0000}"/>
    <cellStyle name="Normal 11 4 2 8 2 4" xfId="19702" xr:uid="{00000000-0005-0000-0000-00008FAD0000}"/>
    <cellStyle name="Normal 11 4 2 8 2 5" xfId="25178" xr:uid="{00000000-0005-0000-0000-000090AD0000}"/>
    <cellStyle name="Normal 11 4 2 8 2 6" xfId="36974" xr:uid="{00000000-0005-0000-0000-000091AD0000}"/>
    <cellStyle name="Normal 11 4 2 8 2 7" xfId="42451" xr:uid="{00000000-0005-0000-0000-000092AD0000}"/>
    <cellStyle name="Normal 11 4 2 8 2 8" xfId="47928" xr:uid="{00000000-0005-0000-0000-000093AD0000}"/>
    <cellStyle name="Normal 11 4 2 8 2 9" xfId="53446" xr:uid="{00000000-0005-0000-0000-000094AD0000}"/>
    <cellStyle name="Normal 11 4 2 8 3" xfId="5042" xr:uid="{00000000-0005-0000-0000-000095AD0000}"/>
    <cellStyle name="Normal 11 4 2 8 3 2" xfId="10522" xr:uid="{00000000-0005-0000-0000-000096AD0000}"/>
    <cellStyle name="Normal 11 4 2 8 3 3" xfId="15998" xr:uid="{00000000-0005-0000-0000-000097AD0000}"/>
    <cellStyle name="Normal 11 4 2 8 3 4" xfId="21474" xr:uid="{00000000-0005-0000-0000-000098AD0000}"/>
    <cellStyle name="Normal 11 4 2 8 3 5" xfId="26950" xr:uid="{00000000-0005-0000-0000-000099AD0000}"/>
    <cellStyle name="Normal 11 4 2 8 3 6" xfId="38746" xr:uid="{00000000-0005-0000-0000-00009AAD0000}"/>
    <cellStyle name="Normal 11 4 2 8 3 7" xfId="44223" xr:uid="{00000000-0005-0000-0000-00009BAD0000}"/>
    <cellStyle name="Normal 11 4 2 8 3 8" xfId="49700" xr:uid="{00000000-0005-0000-0000-00009CAD0000}"/>
    <cellStyle name="Normal 11 4 2 8 3 9" xfId="55218" xr:uid="{00000000-0005-0000-0000-00009DAD0000}"/>
    <cellStyle name="Normal 11 4 2 8 4" xfId="7000" xr:uid="{00000000-0005-0000-0000-00009EAD0000}"/>
    <cellStyle name="Normal 11 4 2 8 5" xfId="12480" xr:uid="{00000000-0005-0000-0000-00009FAD0000}"/>
    <cellStyle name="Normal 11 4 2 8 6" xfId="17956" xr:uid="{00000000-0005-0000-0000-0000A0AD0000}"/>
    <cellStyle name="Normal 11 4 2 8 7" xfId="23432" xr:uid="{00000000-0005-0000-0000-0000A1AD0000}"/>
    <cellStyle name="Normal 11 4 2 8 8" xfId="35227" xr:uid="{00000000-0005-0000-0000-0000A2AD0000}"/>
    <cellStyle name="Normal 11 4 2 8 9" xfId="40704" xr:uid="{00000000-0005-0000-0000-0000A3AD0000}"/>
    <cellStyle name="Normal 11 4 2 9" xfId="1681" xr:uid="{00000000-0005-0000-0000-0000A4AD0000}"/>
    <cellStyle name="Normal 11 4 2 9 10" xfId="46182" xr:uid="{00000000-0005-0000-0000-0000A5AD0000}"/>
    <cellStyle name="Normal 11 4 2 9 11" xfId="51661" xr:uid="{00000000-0005-0000-0000-0000A6AD0000}"/>
    <cellStyle name="Normal 11 4 2 9 2" xfId="3442" xr:uid="{00000000-0005-0000-0000-0000A7AD0000}"/>
    <cellStyle name="Normal 11 4 2 9 2 2" xfId="8922" xr:uid="{00000000-0005-0000-0000-0000A8AD0000}"/>
    <cellStyle name="Normal 11 4 2 9 2 3" xfId="14398" xr:uid="{00000000-0005-0000-0000-0000A9AD0000}"/>
    <cellStyle name="Normal 11 4 2 9 2 4" xfId="19874" xr:uid="{00000000-0005-0000-0000-0000AAAD0000}"/>
    <cellStyle name="Normal 11 4 2 9 2 5" xfId="25350" xr:uid="{00000000-0005-0000-0000-0000ABAD0000}"/>
    <cellStyle name="Normal 11 4 2 9 2 6" xfId="37146" xr:uid="{00000000-0005-0000-0000-0000ACAD0000}"/>
    <cellStyle name="Normal 11 4 2 9 2 7" xfId="42623" xr:uid="{00000000-0005-0000-0000-0000ADAD0000}"/>
    <cellStyle name="Normal 11 4 2 9 2 8" xfId="48100" xr:uid="{00000000-0005-0000-0000-0000AEAD0000}"/>
    <cellStyle name="Normal 11 4 2 9 2 9" xfId="53618" xr:uid="{00000000-0005-0000-0000-0000AFAD0000}"/>
    <cellStyle name="Normal 11 4 2 9 3" xfId="5214" xr:uid="{00000000-0005-0000-0000-0000B0AD0000}"/>
    <cellStyle name="Normal 11 4 2 9 3 2" xfId="10694" xr:uid="{00000000-0005-0000-0000-0000B1AD0000}"/>
    <cellStyle name="Normal 11 4 2 9 3 3" xfId="16170" xr:uid="{00000000-0005-0000-0000-0000B2AD0000}"/>
    <cellStyle name="Normal 11 4 2 9 3 4" xfId="21646" xr:uid="{00000000-0005-0000-0000-0000B3AD0000}"/>
    <cellStyle name="Normal 11 4 2 9 3 5" xfId="27122" xr:uid="{00000000-0005-0000-0000-0000B4AD0000}"/>
    <cellStyle name="Normal 11 4 2 9 3 6" xfId="38918" xr:uid="{00000000-0005-0000-0000-0000B5AD0000}"/>
    <cellStyle name="Normal 11 4 2 9 3 7" xfId="44395" xr:uid="{00000000-0005-0000-0000-0000B6AD0000}"/>
    <cellStyle name="Normal 11 4 2 9 3 8" xfId="49872" xr:uid="{00000000-0005-0000-0000-0000B7AD0000}"/>
    <cellStyle name="Normal 11 4 2 9 3 9" xfId="55390" xr:uid="{00000000-0005-0000-0000-0000B8AD0000}"/>
    <cellStyle name="Normal 11 4 2 9 4" xfId="7001" xr:uid="{00000000-0005-0000-0000-0000B9AD0000}"/>
    <cellStyle name="Normal 11 4 2 9 5" xfId="12481" xr:uid="{00000000-0005-0000-0000-0000BAAD0000}"/>
    <cellStyle name="Normal 11 4 2 9 6" xfId="17957" xr:uid="{00000000-0005-0000-0000-0000BBAD0000}"/>
    <cellStyle name="Normal 11 4 2 9 7" xfId="23433" xr:uid="{00000000-0005-0000-0000-0000BCAD0000}"/>
    <cellStyle name="Normal 11 4 2 9 8" xfId="35228" xr:uid="{00000000-0005-0000-0000-0000BDAD0000}"/>
    <cellStyle name="Normal 11 4 2 9 9" xfId="40705" xr:uid="{00000000-0005-0000-0000-0000BEAD0000}"/>
    <cellStyle name="Normal 11 4 20" xfId="40693" xr:uid="{00000000-0005-0000-0000-0000BFAD0000}"/>
    <cellStyle name="Normal 11 4 21" xfId="46170" xr:uid="{00000000-0005-0000-0000-0000C0AD0000}"/>
    <cellStyle name="Normal 11 4 22" xfId="51649" xr:uid="{00000000-0005-0000-0000-0000C1AD0000}"/>
    <cellStyle name="Normal 11 4 3" xfId="437" xr:uid="{00000000-0005-0000-0000-0000C2AD0000}"/>
    <cellStyle name="Normal 11 4 3 10" xfId="40706" xr:uid="{00000000-0005-0000-0000-0000C3AD0000}"/>
    <cellStyle name="Normal 11 4 3 11" xfId="46183" xr:uid="{00000000-0005-0000-0000-0000C4AD0000}"/>
    <cellStyle name="Normal 11 4 3 12" xfId="51662" xr:uid="{00000000-0005-0000-0000-0000C5AD0000}"/>
    <cellStyle name="Normal 11 4 3 2" xfId="2203" xr:uid="{00000000-0005-0000-0000-0000C6AD0000}"/>
    <cellStyle name="Normal 11 4 3 2 2" xfId="7683" xr:uid="{00000000-0005-0000-0000-0000C7AD0000}"/>
    <cellStyle name="Normal 11 4 3 2 3" xfId="13159" xr:uid="{00000000-0005-0000-0000-0000C8AD0000}"/>
    <cellStyle name="Normal 11 4 3 2 4" xfId="18635" xr:uid="{00000000-0005-0000-0000-0000C9AD0000}"/>
    <cellStyle name="Normal 11 4 3 2 5" xfId="24111" xr:uid="{00000000-0005-0000-0000-0000CAAD0000}"/>
    <cellStyle name="Normal 11 4 3 2 6" xfId="35907" xr:uid="{00000000-0005-0000-0000-0000CBAD0000}"/>
    <cellStyle name="Normal 11 4 3 2 7" xfId="41384" xr:uid="{00000000-0005-0000-0000-0000CCAD0000}"/>
    <cellStyle name="Normal 11 4 3 2 8" xfId="46861" xr:uid="{00000000-0005-0000-0000-0000CDAD0000}"/>
    <cellStyle name="Normal 11 4 3 2 9" xfId="52379" xr:uid="{00000000-0005-0000-0000-0000CEAD0000}"/>
    <cellStyle name="Normal 11 4 3 3" xfId="3975" xr:uid="{00000000-0005-0000-0000-0000CFAD0000}"/>
    <cellStyle name="Normal 11 4 3 3 2" xfId="9455" xr:uid="{00000000-0005-0000-0000-0000D0AD0000}"/>
    <cellStyle name="Normal 11 4 3 3 3" xfId="14931" xr:uid="{00000000-0005-0000-0000-0000D1AD0000}"/>
    <cellStyle name="Normal 11 4 3 3 4" xfId="20407" xr:uid="{00000000-0005-0000-0000-0000D2AD0000}"/>
    <cellStyle name="Normal 11 4 3 3 5" xfId="25883" xr:uid="{00000000-0005-0000-0000-0000D3AD0000}"/>
    <cellStyle name="Normal 11 4 3 3 6" xfId="37679" xr:uid="{00000000-0005-0000-0000-0000D4AD0000}"/>
    <cellStyle name="Normal 11 4 3 3 7" xfId="43156" xr:uid="{00000000-0005-0000-0000-0000D5AD0000}"/>
    <cellStyle name="Normal 11 4 3 3 8" xfId="48633" xr:uid="{00000000-0005-0000-0000-0000D6AD0000}"/>
    <cellStyle name="Normal 11 4 3 3 9" xfId="54151" xr:uid="{00000000-0005-0000-0000-0000D7AD0000}"/>
    <cellStyle name="Normal 11 4 3 4" xfId="7002" xr:uid="{00000000-0005-0000-0000-0000D8AD0000}"/>
    <cellStyle name="Normal 11 4 3 5" xfId="12482" xr:uid="{00000000-0005-0000-0000-0000D9AD0000}"/>
    <cellStyle name="Normal 11 4 3 6" xfId="17958" xr:uid="{00000000-0005-0000-0000-0000DAAD0000}"/>
    <cellStyle name="Normal 11 4 3 7" xfId="23434" xr:uid="{00000000-0005-0000-0000-0000DBAD0000}"/>
    <cellStyle name="Normal 11 4 3 8" xfId="32936" xr:uid="{00000000-0005-0000-0000-0000DCAD0000}"/>
    <cellStyle name="Normal 11 4 3 9" xfId="35229" xr:uid="{00000000-0005-0000-0000-0000DDAD0000}"/>
    <cellStyle name="Normal 11 4 4" xfId="614" xr:uid="{00000000-0005-0000-0000-0000DEAD0000}"/>
    <cellStyle name="Normal 11 4 4 10" xfId="46184" xr:uid="{00000000-0005-0000-0000-0000DFAD0000}"/>
    <cellStyle name="Normal 11 4 4 11" xfId="51663" xr:uid="{00000000-0005-0000-0000-0000E0AD0000}"/>
    <cellStyle name="Normal 11 4 4 2" xfId="2375" xr:uid="{00000000-0005-0000-0000-0000E1AD0000}"/>
    <cellStyle name="Normal 11 4 4 2 2" xfId="7855" xr:uid="{00000000-0005-0000-0000-0000E2AD0000}"/>
    <cellStyle name="Normal 11 4 4 2 3" xfId="13331" xr:uid="{00000000-0005-0000-0000-0000E3AD0000}"/>
    <cellStyle name="Normal 11 4 4 2 4" xfId="18807" xr:uid="{00000000-0005-0000-0000-0000E4AD0000}"/>
    <cellStyle name="Normal 11 4 4 2 5" xfId="24283" xr:uid="{00000000-0005-0000-0000-0000E5AD0000}"/>
    <cellStyle name="Normal 11 4 4 2 6" xfId="36079" xr:uid="{00000000-0005-0000-0000-0000E6AD0000}"/>
    <cellStyle name="Normal 11 4 4 2 7" xfId="41556" xr:uid="{00000000-0005-0000-0000-0000E7AD0000}"/>
    <cellStyle name="Normal 11 4 4 2 8" xfId="47033" xr:uid="{00000000-0005-0000-0000-0000E8AD0000}"/>
    <cellStyle name="Normal 11 4 4 2 9" xfId="52551" xr:uid="{00000000-0005-0000-0000-0000E9AD0000}"/>
    <cellStyle name="Normal 11 4 4 3" xfId="4147" xr:uid="{00000000-0005-0000-0000-0000EAAD0000}"/>
    <cellStyle name="Normal 11 4 4 3 2" xfId="9627" xr:uid="{00000000-0005-0000-0000-0000EBAD0000}"/>
    <cellStyle name="Normal 11 4 4 3 3" xfId="15103" xr:uid="{00000000-0005-0000-0000-0000ECAD0000}"/>
    <cellStyle name="Normal 11 4 4 3 4" xfId="20579" xr:uid="{00000000-0005-0000-0000-0000EDAD0000}"/>
    <cellStyle name="Normal 11 4 4 3 5" xfId="26055" xr:uid="{00000000-0005-0000-0000-0000EEAD0000}"/>
    <cellStyle name="Normal 11 4 4 3 6" xfId="37851" xr:uid="{00000000-0005-0000-0000-0000EFAD0000}"/>
    <cellStyle name="Normal 11 4 4 3 7" xfId="43328" xr:uid="{00000000-0005-0000-0000-0000F0AD0000}"/>
    <cellStyle name="Normal 11 4 4 3 8" xfId="48805" xr:uid="{00000000-0005-0000-0000-0000F1AD0000}"/>
    <cellStyle name="Normal 11 4 4 3 9" xfId="54323" xr:uid="{00000000-0005-0000-0000-0000F2AD0000}"/>
    <cellStyle name="Normal 11 4 4 4" xfId="7003" xr:uid="{00000000-0005-0000-0000-0000F3AD0000}"/>
    <cellStyle name="Normal 11 4 4 5" xfId="12483" xr:uid="{00000000-0005-0000-0000-0000F4AD0000}"/>
    <cellStyle name="Normal 11 4 4 6" xfId="17959" xr:uid="{00000000-0005-0000-0000-0000F5AD0000}"/>
    <cellStyle name="Normal 11 4 4 7" xfId="23435" xr:uid="{00000000-0005-0000-0000-0000F6AD0000}"/>
    <cellStyle name="Normal 11 4 4 8" xfId="35230" xr:uid="{00000000-0005-0000-0000-0000F7AD0000}"/>
    <cellStyle name="Normal 11 4 4 9" xfId="40707" xr:uid="{00000000-0005-0000-0000-0000F8AD0000}"/>
    <cellStyle name="Normal 11 4 5" xfId="786" xr:uid="{00000000-0005-0000-0000-0000F9AD0000}"/>
    <cellStyle name="Normal 11 4 5 10" xfId="46185" xr:uid="{00000000-0005-0000-0000-0000FAAD0000}"/>
    <cellStyle name="Normal 11 4 5 11" xfId="51664" xr:uid="{00000000-0005-0000-0000-0000FBAD0000}"/>
    <cellStyle name="Normal 11 4 5 2" xfId="2547" xr:uid="{00000000-0005-0000-0000-0000FCAD0000}"/>
    <cellStyle name="Normal 11 4 5 2 2" xfId="8027" xr:uid="{00000000-0005-0000-0000-0000FDAD0000}"/>
    <cellStyle name="Normal 11 4 5 2 3" xfId="13503" xr:uid="{00000000-0005-0000-0000-0000FEAD0000}"/>
    <cellStyle name="Normal 11 4 5 2 4" xfId="18979" xr:uid="{00000000-0005-0000-0000-0000FFAD0000}"/>
    <cellStyle name="Normal 11 4 5 2 5" xfId="24455" xr:uid="{00000000-0005-0000-0000-000000AE0000}"/>
    <cellStyle name="Normal 11 4 5 2 6" xfId="36251" xr:uid="{00000000-0005-0000-0000-000001AE0000}"/>
    <cellStyle name="Normal 11 4 5 2 7" xfId="41728" xr:uid="{00000000-0005-0000-0000-000002AE0000}"/>
    <cellStyle name="Normal 11 4 5 2 8" xfId="47205" xr:uid="{00000000-0005-0000-0000-000003AE0000}"/>
    <cellStyle name="Normal 11 4 5 2 9" xfId="52723" xr:uid="{00000000-0005-0000-0000-000004AE0000}"/>
    <cellStyle name="Normal 11 4 5 3" xfId="4319" xr:uid="{00000000-0005-0000-0000-000005AE0000}"/>
    <cellStyle name="Normal 11 4 5 3 2" xfId="9799" xr:uid="{00000000-0005-0000-0000-000006AE0000}"/>
    <cellStyle name="Normal 11 4 5 3 3" xfId="15275" xr:uid="{00000000-0005-0000-0000-000007AE0000}"/>
    <cellStyle name="Normal 11 4 5 3 4" xfId="20751" xr:uid="{00000000-0005-0000-0000-000008AE0000}"/>
    <cellStyle name="Normal 11 4 5 3 5" xfId="26227" xr:uid="{00000000-0005-0000-0000-000009AE0000}"/>
    <cellStyle name="Normal 11 4 5 3 6" xfId="38023" xr:uid="{00000000-0005-0000-0000-00000AAE0000}"/>
    <cellStyle name="Normal 11 4 5 3 7" xfId="43500" xr:uid="{00000000-0005-0000-0000-00000BAE0000}"/>
    <cellStyle name="Normal 11 4 5 3 8" xfId="48977" xr:uid="{00000000-0005-0000-0000-00000CAE0000}"/>
    <cellStyle name="Normal 11 4 5 3 9" xfId="54495" xr:uid="{00000000-0005-0000-0000-00000DAE0000}"/>
    <cellStyle name="Normal 11 4 5 4" xfId="7004" xr:uid="{00000000-0005-0000-0000-00000EAE0000}"/>
    <cellStyle name="Normal 11 4 5 5" xfId="12484" xr:uid="{00000000-0005-0000-0000-00000FAE0000}"/>
    <cellStyle name="Normal 11 4 5 6" xfId="17960" xr:uid="{00000000-0005-0000-0000-000010AE0000}"/>
    <cellStyle name="Normal 11 4 5 7" xfId="23436" xr:uid="{00000000-0005-0000-0000-000011AE0000}"/>
    <cellStyle name="Normal 11 4 5 8" xfId="35231" xr:uid="{00000000-0005-0000-0000-000012AE0000}"/>
    <cellStyle name="Normal 11 4 5 9" xfId="40708" xr:uid="{00000000-0005-0000-0000-000013AE0000}"/>
    <cellStyle name="Normal 11 4 6" xfId="958" xr:uid="{00000000-0005-0000-0000-000014AE0000}"/>
    <cellStyle name="Normal 11 4 6 10" xfId="46186" xr:uid="{00000000-0005-0000-0000-000015AE0000}"/>
    <cellStyle name="Normal 11 4 6 11" xfId="51665" xr:uid="{00000000-0005-0000-0000-000016AE0000}"/>
    <cellStyle name="Normal 11 4 6 2" xfId="2719" xr:uid="{00000000-0005-0000-0000-000017AE0000}"/>
    <cellStyle name="Normal 11 4 6 2 2" xfId="8199" xr:uid="{00000000-0005-0000-0000-000018AE0000}"/>
    <cellStyle name="Normal 11 4 6 2 3" xfId="13675" xr:uid="{00000000-0005-0000-0000-000019AE0000}"/>
    <cellStyle name="Normal 11 4 6 2 4" xfId="19151" xr:uid="{00000000-0005-0000-0000-00001AAE0000}"/>
    <cellStyle name="Normal 11 4 6 2 5" xfId="24627" xr:uid="{00000000-0005-0000-0000-00001BAE0000}"/>
    <cellStyle name="Normal 11 4 6 2 6" xfId="36423" xr:uid="{00000000-0005-0000-0000-00001CAE0000}"/>
    <cellStyle name="Normal 11 4 6 2 7" xfId="41900" xr:uid="{00000000-0005-0000-0000-00001DAE0000}"/>
    <cellStyle name="Normal 11 4 6 2 8" xfId="47377" xr:uid="{00000000-0005-0000-0000-00001EAE0000}"/>
    <cellStyle name="Normal 11 4 6 2 9" xfId="52895" xr:uid="{00000000-0005-0000-0000-00001FAE0000}"/>
    <cellStyle name="Normal 11 4 6 3" xfId="4491" xr:uid="{00000000-0005-0000-0000-000020AE0000}"/>
    <cellStyle name="Normal 11 4 6 3 2" xfId="9971" xr:uid="{00000000-0005-0000-0000-000021AE0000}"/>
    <cellStyle name="Normal 11 4 6 3 3" xfId="15447" xr:uid="{00000000-0005-0000-0000-000022AE0000}"/>
    <cellStyle name="Normal 11 4 6 3 4" xfId="20923" xr:uid="{00000000-0005-0000-0000-000023AE0000}"/>
    <cellStyle name="Normal 11 4 6 3 5" xfId="26399" xr:uid="{00000000-0005-0000-0000-000024AE0000}"/>
    <cellStyle name="Normal 11 4 6 3 6" xfId="38195" xr:uid="{00000000-0005-0000-0000-000025AE0000}"/>
    <cellStyle name="Normal 11 4 6 3 7" xfId="43672" xr:uid="{00000000-0005-0000-0000-000026AE0000}"/>
    <cellStyle name="Normal 11 4 6 3 8" xfId="49149" xr:uid="{00000000-0005-0000-0000-000027AE0000}"/>
    <cellStyle name="Normal 11 4 6 3 9" xfId="54667" xr:uid="{00000000-0005-0000-0000-000028AE0000}"/>
    <cellStyle name="Normal 11 4 6 4" xfId="7005" xr:uid="{00000000-0005-0000-0000-000029AE0000}"/>
    <cellStyle name="Normal 11 4 6 5" xfId="12485" xr:uid="{00000000-0005-0000-0000-00002AAE0000}"/>
    <cellStyle name="Normal 11 4 6 6" xfId="17961" xr:uid="{00000000-0005-0000-0000-00002BAE0000}"/>
    <cellStyle name="Normal 11 4 6 7" xfId="23437" xr:uid="{00000000-0005-0000-0000-00002CAE0000}"/>
    <cellStyle name="Normal 11 4 6 8" xfId="35232" xr:uid="{00000000-0005-0000-0000-00002DAE0000}"/>
    <cellStyle name="Normal 11 4 6 9" xfId="40709" xr:uid="{00000000-0005-0000-0000-00002EAE0000}"/>
    <cellStyle name="Normal 11 4 7" xfId="1164" xr:uid="{00000000-0005-0000-0000-00002FAE0000}"/>
    <cellStyle name="Normal 11 4 7 10" xfId="46187" xr:uid="{00000000-0005-0000-0000-000030AE0000}"/>
    <cellStyle name="Normal 11 4 7 11" xfId="51666" xr:uid="{00000000-0005-0000-0000-000031AE0000}"/>
    <cellStyle name="Normal 11 4 7 2" xfId="2925" xr:uid="{00000000-0005-0000-0000-000032AE0000}"/>
    <cellStyle name="Normal 11 4 7 2 2" xfId="8405" xr:uid="{00000000-0005-0000-0000-000033AE0000}"/>
    <cellStyle name="Normal 11 4 7 2 3" xfId="13881" xr:uid="{00000000-0005-0000-0000-000034AE0000}"/>
    <cellStyle name="Normal 11 4 7 2 4" xfId="19357" xr:uid="{00000000-0005-0000-0000-000035AE0000}"/>
    <cellStyle name="Normal 11 4 7 2 5" xfId="24833" xr:uid="{00000000-0005-0000-0000-000036AE0000}"/>
    <cellStyle name="Normal 11 4 7 2 6" xfId="36629" xr:uid="{00000000-0005-0000-0000-000037AE0000}"/>
    <cellStyle name="Normal 11 4 7 2 7" xfId="42106" xr:uid="{00000000-0005-0000-0000-000038AE0000}"/>
    <cellStyle name="Normal 11 4 7 2 8" xfId="47583" xr:uid="{00000000-0005-0000-0000-000039AE0000}"/>
    <cellStyle name="Normal 11 4 7 2 9" xfId="53101" xr:uid="{00000000-0005-0000-0000-00003AAE0000}"/>
    <cellStyle name="Normal 11 4 7 3" xfId="4697" xr:uid="{00000000-0005-0000-0000-00003BAE0000}"/>
    <cellStyle name="Normal 11 4 7 3 2" xfId="10177" xr:uid="{00000000-0005-0000-0000-00003CAE0000}"/>
    <cellStyle name="Normal 11 4 7 3 3" xfId="15653" xr:uid="{00000000-0005-0000-0000-00003DAE0000}"/>
    <cellStyle name="Normal 11 4 7 3 4" xfId="21129" xr:uid="{00000000-0005-0000-0000-00003EAE0000}"/>
    <cellStyle name="Normal 11 4 7 3 5" xfId="26605" xr:uid="{00000000-0005-0000-0000-00003FAE0000}"/>
    <cellStyle name="Normal 11 4 7 3 6" xfId="38401" xr:uid="{00000000-0005-0000-0000-000040AE0000}"/>
    <cellStyle name="Normal 11 4 7 3 7" xfId="43878" xr:uid="{00000000-0005-0000-0000-000041AE0000}"/>
    <cellStyle name="Normal 11 4 7 3 8" xfId="49355" xr:uid="{00000000-0005-0000-0000-000042AE0000}"/>
    <cellStyle name="Normal 11 4 7 3 9" xfId="54873" xr:uid="{00000000-0005-0000-0000-000043AE0000}"/>
    <cellStyle name="Normal 11 4 7 4" xfId="7006" xr:uid="{00000000-0005-0000-0000-000044AE0000}"/>
    <cellStyle name="Normal 11 4 7 5" xfId="12486" xr:uid="{00000000-0005-0000-0000-000045AE0000}"/>
    <cellStyle name="Normal 11 4 7 6" xfId="17962" xr:uid="{00000000-0005-0000-0000-000046AE0000}"/>
    <cellStyle name="Normal 11 4 7 7" xfId="23438" xr:uid="{00000000-0005-0000-0000-000047AE0000}"/>
    <cellStyle name="Normal 11 4 7 8" xfId="35233" xr:uid="{00000000-0005-0000-0000-000048AE0000}"/>
    <cellStyle name="Normal 11 4 7 9" xfId="40710" xr:uid="{00000000-0005-0000-0000-000049AE0000}"/>
    <cellStyle name="Normal 11 4 8" xfId="1336" xr:uid="{00000000-0005-0000-0000-00004AAE0000}"/>
    <cellStyle name="Normal 11 4 8 10" xfId="46188" xr:uid="{00000000-0005-0000-0000-00004BAE0000}"/>
    <cellStyle name="Normal 11 4 8 11" xfId="51667" xr:uid="{00000000-0005-0000-0000-00004CAE0000}"/>
    <cellStyle name="Normal 11 4 8 2" xfId="3097" xr:uid="{00000000-0005-0000-0000-00004DAE0000}"/>
    <cellStyle name="Normal 11 4 8 2 2" xfId="8577" xr:uid="{00000000-0005-0000-0000-00004EAE0000}"/>
    <cellStyle name="Normal 11 4 8 2 3" xfId="14053" xr:uid="{00000000-0005-0000-0000-00004FAE0000}"/>
    <cellStyle name="Normal 11 4 8 2 4" xfId="19529" xr:uid="{00000000-0005-0000-0000-000050AE0000}"/>
    <cellStyle name="Normal 11 4 8 2 5" xfId="25005" xr:uid="{00000000-0005-0000-0000-000051AE0000}"/>
    <cellStyle name="Normal 11 4 8 2 6" xfId="36801" xr:uid="{00000000-0005-0000-0000-000052AE0000}"/>
    <cellStyle name="Normal 11 4 8 2 7" xfId="42278" xr:uid="{00000000-0005-0000-0000-000053AE0000}"/>
    <cellStyle name="Normal 11 4 8 2 8" xfId="47755" xr:uid="{00000000-0005-0000-0000-000054AE0000}"/>
    <cellStyle name="Normal 11 4 8 2 9" xfId="53273" xr:uid="{00000000-0005-0000-0000-000055AE0000}"/>
    <cellStyle name="Normal 11 4 8 3" xfId="4869" xr:uid="{00000000-0005-0000-0000-000056AE0000}"/>
    <cellStyle name="Normal 11 4 8 3 2" xfId="10349" xr:uid="{00000000-0005-0000-0000-000057AE0000}"/>
    <cellStyle name="Normal 11 4 8 3 3" xfId="15825" xr:uid="{00000000-0005-0000-0000-000058AE0000}"/>
    <cellStyle name="Normal 11 4 8 3 4" xfId="21301" xr:uid="{00000000-0005-0000-0000-000059AE0000}"/>
    <cellStyle name="Normal 11 4 8 3 5" xfId="26777" xr:uid="{00000000-0005-0000-0000-00005AAE0000}"/>
    <cellStyle name="Normal 11 4 8 3 6" xfId="38573" xr:uid="{00000000-0005-0000-0000-00005BAE0000}"/>
    <cellStyle name="Normal 11 4 8 3 7" xfId="44050" xr:uid="{00000000-0005-0000-0000-00005CAE0000}"/>
    <cellStyle name="Normal 11 4 8 3 8" xfId="49527" xr:uid="{00000000-0005-0000-0000-00005DAE0000}"/>
    <cellStyle name="Normal 11 4 8 3 9" xfId="55045" xr:uid="{00000000-0005-0000-0000-00005EAE0000}"/>
    <cellStyle name="Normal 11 4 8 4" xfId="7007" xr:uid="{00000000-0005-0000-0000-00005FAE0000}"/>
    <cellStyle name="Normal 11 4 8 5" xfId="12487" xr:uid="{00000000-0005-0000-0000-000060AE0000}"/>
    <cellStyle name="Normal 11 4 8 6" xfId="17963" xr:uid="{00000000-0005-0000-0000-000061AE0000}"/>
    <cellStyle name="Normal 11 4 8 7" xfId="23439" xr:uid="{00000000-0005-0000-0000-000062AE0000}"/>
    <cellStyle name="Normal 11 4 8 8" xfId="35234" xr:uid="{00000000-0005-0000-0000-000063AE0000}"/>
    <cellStyle name="Normal 11 4 8 9" xfId="40711" xr:uid="{00000000-0005-0000-0000-000064AE0000}"/>
    <cellStyle name="Normal 11 4 9" xfId="1508" xr:uid="{00000000-0005-0000-0000-000065AE0000}"/>
    <cellStyle name="Normal 11 4 9 10" xfId="46189" xr:uid="{00000000-0005-0000-0000-000066AE0000}"/>
    <cellStyle name="Normal 11 4 9 11" xfId="51668" xr:uid="{00000000-0005-0000-0000-000067AE0000}"/>
    <cellStyle name="Normal 11 4 9 2" xfId="3269" xr:uid="{00000000-0005-0000-0000-000068AE0000}"/>
    <cellStyle name="Normal 11 4 9 2 2" xfId="8749" xr:uid="{00000000-0005-0000-0000-000069AE0000}"/>
    <cellStyle name="Normal 11 4 9 2 3" xfId="14225" xr:uid="{00000000-0005-0000-0000-00006AAE0000}"/>
    <cellStyle name="Normal 11 4 9 2 4" xfId="19701" xr:uid="{00000000-0005-0000-0000-00006BAE0000}"/>
    <cellStyle name="Normal 11 4 9 2 5" xfId="25177" xr:uid="{00000000-0005-0000-0000-00006CAE0000}"/>
    <cellStyle name="Normal 11 4 9 2 6" xfId="36973" xr:uid="{00000000-0005-0000-0000-00006DAE0000}"/>
    <cellStyle name="Normal 11 4 9 2 7" xfId="42450" xr:uid="{00000000-0005-0000-0000-00006EAE0000}"/>
    <cellStyle name="Normal 11 4 9 2 8" xfId="47927" xr:uid="{00000000-0005-0000-0000-00006FAE0000}"/>
    <cellStyle name="Normal 11 4 9 2 9" xfId="53445" xr:uid="{00000000-0005-0000-0000-000070AE0000}"/>
    <cellStyle name="Normal 11 4 9 3" xfId="5041" xr:uid="{00000000-0005-0000-0000-000071AE0000}"/>
    <cellStyle name="Normal 11 4 9 3 2" xfId="10521" xr:uid="{00000000-0005-0000-0000-000072AE0000}"/>
    <cellStyle name="Normal 11 4 9 3 3" xfId="15997" xr:uid="{00000000-0005-0000-0000-000073AE0000}"/>
    <cellStyle name="Normal 11 4 9 3 4" xfId="21473" xr:uid="{00000000-0005-0000-0000-000074AE0000}"/>
    <cellStyle name="Normal 11 4 9 3 5" xfId="26949" xr:uid="{00000000-0005-0000-0000-000075AE0000}"/>
    <cellStyle name="Normal 11 4 9 3 6" xfId="38745" xr:uid="{00000000-0005-0000-0000-000076AE0000}"/>
    <cellStyle name="Normal 11 4 9 3 7" xfId="44222" xr:uid="{00000000-0005-0000-0000-000077AE0000}"/>
    <cellStyle name="Normal 11 4 9 3 8" xfId="49699" xr:uid="{00000000-0005-0000-0000-000078AE0000}"/>
    <cellStyle name="Normal 11 4 9 3 9" xfId="55217" xr:uid="{00000000-0005-0000-0000-000079AE0000}"/>
    <cellStyle name="Normal 11 4 9 4" xfId="7008" xr:uid="{00000000-0005-0000-0000-00007AAE0000}"/>
    <cellStyle name="Normal 11 4 9 5" xfId="12488" xr:uid="{00000000-0005-0000-0000-00007BAE0000}"/>
    <cellStyle name="Normal 11 4 9 6" xfId="17964" xr:uid="{00000000-0005-0000-0000-00007CAE0000}"/>
    <cellStyle name="Normal 11 4 9 7" xfId="23440" xr:uid="{00000000-0005-0000-0000-00007DAE0000}"/>
    <cellStyle name="Normal 11 4 9 8" xfId="35235" xr:uid="{00000000-0005-0000-0000-00007EAE0000}"/>
    <cellStyle name="Normal 11 4 9 9" xfId="40712" xr:uid="{00000000-0005-0000-0000-00007FAE0000}"/>
    <cellStyle name="Normal 11 5" xfId="177" xr:uid="{00000000-0005-0000-0000-000080AE0000}"/>
    <cellStyle name="Normal 11 5 10" xfId="1682" xr:uid="{00000000-0005-0000-0000-000081AE0000}"/>
    <cellStyle name="Normal 11 5 10 10" xfId="46191" xr:uid="{00000000-0005-0000-0000-000082AE0000}"/>
    <cellStyle name="Normal 11 5 10 11" xfId="51670" xr:uid="{00000000-0005-0000-0000-000083AE0000}"/>
    <cellStyle name="Normal 11 5 10 2" xfId="3443" xr:uid="{00000000-0005-0000-0000-000084AE0000}"/>
    <cellStyle name="Normal 11 5 10 2 2" xfId="8923" xr:uid="{00000000-0005-0000-0000-000085AE0000}"/>
    <cellStyle name="Normal 11 5 10 2 3" xfId="14399" xr:uid="{00000000-0005-0000-0000-000086AE0000}"/>
    <cellStyle name="Normal 11 5 10 2 4" xfId="19875" xr:uid="{00000000-0005-0000-0000-000087AE0000}"/>
    <cellStyle name="Normal 11 5 10 2 5" xfId="25351" xr:uid="{00000000-0005-0000-0000-000088AE0000}"/>
    <cellStyle name="Normal 11 5 10 2 6" xfId="37147" xr:uid="{00000000-0005-0000-0000-000089AE0000}"/>
    <cellStyle name="Normal 11 5 10 2 7" xfId="42624" xr:uid="{00000000-0005-0000-0000-00008AAE0000}"/>
    <cellStyle name="Normal 11 5 10 2 8" xfId="48101" xr:uid="{00000000-0005-0000-0000-00008BAE0000}"/>
    <cellStyle name="Normal 11 5 10 2 9" xfId="53619" xr:uid="{00000000-0005-0000-0000-00008CAE0000}"/>
    <cellStyle name="Normal 11 5 10 3" xfId="5215" xr:uid="{00000000-0005-0000-0000-00008DAE0000}"/>
    <cellStyle name="Normal 11 5 10 3 2" xfId="10695" xr:uid="{00000000-0005-0000-0000-00008EAE0000}"/>
    <cellStyle name="Normal 11 5 10 3 3" xfId="16171" xr:uid="{00000000-0005-0000-0000-00008FAE0000}"/>
    <cellStyle name="Normal 11 5 10 3 4" xfId="21647" xr:uid="{00000000-0005-0000-0000-000090AE0000}"/>
    <cellStyle name="Normal 11 5 10 3 5" xfId="27123" xr:uid="{00000000-0005-0000-0000-000091AE0000}"/>
    <cellStyle name="Normal 11 5 10 3 6" xfId="38919" xr:uid="{00000000-0005-0000-0000-000092AE0000}"/>
    <cellStyle name="Normal 11 5 10 3 7" xfId="44396" xr:uid="{00000000-0005-0000-0000-000093AE0000}"/>
    <cellStyle name="Normal 11 5 10 3 8" xfId="49873" xr:uid="{00000000-0005-0000-0000-000094AE0000}"/>
    <cellStyle name="Normal 11 5 10 3 9" xfId="55391" xr:uid="{00000000-0005-0000-0000-000095AE0000}"/>
    <cellStyle name="Normal 11 5 10 4" xfId="7010" xr:uid="{00000000-0005-0000-0000-000096AE0000}"/>
    <cellStyle name="Normal 11 5 10 5" xfId="12490" xr:uid="{00000000-0005-0000-0000-000097AE0000}"/>
    <cellStyle name="Normal 11 5 10 6" xfId="17966" xr:uid="{00000000-0005-0000-0000-000098AE0000}"/>
    <cellStyle name="Normal 11 5 10 7" xfId="23442" xr:uid="{00000000-0005-0000-0000-000099AE0000}"/>
    <cellStyle name="Normal 11 5 10 8" xfId="35237" xr:uid="{00000000-0005-0000-0000-00009AAE0000}"/>
    <cellStyle name="Normal 11 5 10 9" xfId="40714" xr:uid="{00000000-0005-0000-0000-00009BAE0000}"/>
    <cellStyle name="Normal 11 5 11" xfId="1874" xr:uid="{00000000-0005-0000-0000-00009CAE0000}"/>
    <cellStyle name="Normal 11 5 11 10" xfId="46192" xr:uid="{00000000-0005-0000-0000-00009DAE0000}"/>
    <cellStyle name="Normal 11 5 11 11" xfId="51671" xr:uid="{00000000-0005-0000-0000-00009EAE0000}"/>
    <cellStyle name="Normal 11 5 11 2" xfId="3635" xr:uid="{00000000-0005-0000-0000-00009FAE0000}"/>
    <cellStyle name="Normal 11 5 11 2 2" xfId="9115" xr:uid="{00000000-0005-0000-0000-0000A0AE0000}"/>
    <cellStyle name="Normal 11 5 11 2 3" xfId="14591" xr:uid="{00000000-0005-0000-0000-0000A1AE0000}"/>
    <cellStyle name="Normal 11 5 11 2 4" xfId="20067" xr:uid="{00000000-0005-0000-0000-0000A2AE0000}"/>
    <cellStyle name="Normal 11 5 11 2 5" xfId="25543" xr:uid="{00000000-0005-0000-0000-0000A3AE0000}"/>
    <cellStyle name="Normal 11 5 11 2 6" xfId="37339" xr:uid="{00000000-0005-0000-0000-0000A4AE0000}"/>
    <cellStyle name="Normal 11 5 11 2 7" xfId="42816" xr:uid="{00000000-0005-0000-0000-0000A5AE0000}"/>
    <cellStyle name="Normal 11 5 11 2 8" xfId="48293" xr:uid="{00000000-0005-0000-0000-0000A6AE0000}"/>
    <cellStyle name="Normal 11 5 11 2 9" xfId="53811" xr:uid="{00000000-0005-0000-0000-0000A7AE0000}"/>
    <cellStyle name="Normal 11 5 11 3" xfId="5407" xr:uid="{00000000-0005-0000-0000-0000A8AE0000}"/>
    <cellStyle name="Normal 11 5 11 3 2" xfId="10887" xr:uid="{00000000-0005-0000-0000-0000A9AE0000}"/>
    <cellStyle name="Normal 11 5 11 3 3" xfId="16363" xr:uid="{00000000-0005-0000-0000-0000AAAE0000}"/>
    <cellStyle name="Normal 11 5 11 3 4" xfId="21839" xr:uid="{00000000-0005-0000-0000-0000ABAE0000}"/>
    <cellStyle name="Normal 11 5 11 3 5" xfId="27315" xr:uid="{00000000-0005-0000-0000-0000ACAE0000}"/>
    <cellStyle name="Normal 11 5 11 3 6" xfId="39111" xr:uid="{00000000-0005-0000-0000-0000ADAE0000}"/>
    <cellStyle name="Normal 11 5 11 3 7" xfId="44588" xr:uid="{00000000-0005-0000-0000-0000AEAE0000}"/>
    <cellStyle name="Normal 11 5 11 3 8" xfId="50065" xr:uid="{00000000-0005-0000-0000-0000AFAE0000}"/>
    <cellStyle name="Normal 11 5 11 3 9" xfId="55583" xr:uid="{00000000-0005-0000-0000-0000B0AE0000}"/>
    <cellStyle name="Normal 11 5 11 4" xfId="7011" xr:uid="{00000000-0005-0000-0000-0000B1AE0000}"/>
    <cellStyle name="Normal 11 5 11 5" xfId="12491" xr:uid="{00000000-0005-0000-0000-0000B2AE0000}"/>
    <cellStyle name="Normal 11 5 11 6" xfId="17967" xr:uid="{00000000-0005-0000-0000-0000B3AE0000}"/>
    <cellStyle name="Normal 11 5 11 7" xfId="23443" xr:uid="{00000000-0005-0000-0000-0000B4AE0000}"/>
    <cellStyle name="Normal 11 5 11 8" xfId="35238" xr:uid="{00000000-0005-0000-0000-0000B5AE0000}"/>
    <cellStyle name="Normal 11 5 11 9" xfId="40715" xr:uid="{00000000-0005-0000-0000-0000B6AE0000}"/>
    <cellStyle name="Normal 11 5 12" xfId="2044" xr:uid="{00000000-0005-0000-0000-0000B7AE0000}"/>
    <cellStyle name="Normal 11 5 12 10" xfId="52221" xr:uid="{00000000-0005-0000-0000-0000B8AE0000}"/>
    <cellStyle name="Normal 11 5 12 2" xfId="5576" xr:uid="{00000000-0005-0000-0000-0000B9AE0000}"/>
    <cellStyle name="Normal 11 5 12 2 2" xfId="11056" xr:uid="{00000000-0005-0000-0000-0000BAAE0000}"/>
    <cellStyle name="Normal 11 5 12 2 3" xfId="16532" xr:uid="{00000000-0005-0000-0000-0000BBAE0000}"/>
    <cellStyle name="Normal 11 5 12 2 4" xfId="22008" xr:uid="{00000000-0005-0000-0000-0000BCAE0000}"/>
    <cellStyle name="Normal 11 5 12 2 5" xfId="27484" xr:uid="{00000000-0005-0000-0000-0000BDAE0000}"/>
    <cellStyle name="Normal 11 5 12 2 6" xfId="39280" xr:uid="{00000000-0005-0000-0000-0000BEAE0000}"/>
    <cellStyle name="Normal 11 5 12 2 7" xfId="44757" xr:uid="{00000000-0005-0000-0000-0000BFAE0000}"/>
    <cellStyle name="Normal 11 5 12 2 8" xfId="50234" xr:uid="{00000000-0005-0000-0000-0000C0AE0000}"/>
    <cellStyle name="Normal 11 5 12 2 9" xfId="55752" xr:uid="{00000000-0005-0000-0000-0000C1AE0000}"/>
    <cellStyle name="Normal 11 5 12 3" xfId="7525" xr:uid="{00000000-0005-0000-0000-0000C2AE0000}"/>
    <cellStyle name="Normal 11 5 12 4" xfId="13001" xr:uid="{00000000-0005-0000-0000-0000C3AE0000}"/>
    <cellStyle name="Normal 11 5 12 5" xfId="18477" xr:uid="{00000000-0005-0000-0000-0000C4AE0000}"/>
    <cellStyle name="Normal 11 5 12 6" xfId="23953" xr:uid="{00000000-0005-0000-0000-0000C5AE0000}"/>
    <cellStyle name="Normal 11 5 12 7" xfId="35749" xr:uid="{00000000-0005-0000-0000-0000C6AE0000}"/>
    <cellStyle name="Normal 11 5 12 8" xfId="41226" xr:uid="{00000000-0005-0000-0000-0000C7AE0000}"/>
    <cellStyle name="Normal 11 5 12 9" xfId="46703" xr:uid="{00000000-0005-0000-0000-0000C8AE0000}"/>
    <cellStyle name="Normal 11 5 13" xfId="3749" xr:uid="{00000000-0005-0000-0000-0000C9AE0000}"/>
    <cellStyle name="Normal 11 5 13 2" xfId="9229" xr:uid="{00000000-0005-0000-0000-0000CAAE0000}"/>
    <cellStyle name="Normal 11 5 13 3" xfId="14705" xr:uid="{00000000-0005-0000-0000-0000CBAE0000}"/>
    <cellStyle name="Normal 11 5 13 4" xfId="20181" xr:uid="{00000000-0005-0000-0000-0000CCAE0000}"/>
    <cellStyle name="Normal 11 5 13 5" xfId="25657" xr:uid="{00000000-0005-0000-0000-0000CDAE0000}"/>
    <cellStyle name="Normal 11 5 13 6" xfId="37453" xr:uid="{00000000-0005-0000-0000-0000CEAE0000}"/>
    <cellStyle name="Normal 11 5 13 7" xfId="42930" xr:uid="{00000000-0005-0000-0000-0000CFAE0000}"/>
    <cellStyle name="Normal 11 5 13 8" xfId="48407" xr:uid="{00000000-0005-0000-0000-0000D0AE0000}"/>
    <cellStyle name="Normal 11 5 13 9" xfId="53925" xr:uid="{00000000-0005-0000-0000-0000D1AE0000}"/>
    <cellStyle name="Normal 11 5 14" xfId="7009" xr:uid="{00000000-0005-0000-0000-0000D2AE0000}"/>
    <cellStyle name="Normal 11 5 15" xfId="12489" xr:uid="{00000000-0005-0000-0000-0000D3AE0000}"/>
    <cellStyle name="Normal 11 5 16" xfId="17965" xr:uid="{00000000-0005-0000-0000-0000D4AE0000}"/>
    <cellStyle name="Normal 11 5 17" xfId="23441" xr:uid="{00000000-0005-0000-0000-0000D5AE0000}"/>
    <cellStyle name="Normal 11 5 18" xfId="32937" xr:uid="{00000000-0005-0000-0000-0000D6AE0000}"/>
    <cellStyle name="Normal 11 5 19" xfId="35236" xr:uid="{00000000-0005-0000-0000-0000D7AE0000}"/>
    <cellStyle name="Normal 11 5 2" xfId="269" xr:uid="{00000000-0005-0000-0000-0000D8AE0000}"/>
    <cellStyle name="Normal 11 5 2 10" xfId="1875" xr:uid="{00000000-0005-0000-0000-0000D9AE0000}"/>
    <cellStyle name="Normal 11 5 2 10 10" xfId="46194" xr:uid="{00000000-0005-0000-0000-0000DAAE0000}"/>
    <cellStyle name="Normal 11 5 2 10 11" xfId="51673" xr:uid="{00000000-0005-0000-0000-0000DBAE0000}"/>
    <cellStyle name="Normal 11 5 2 10 2" xfId="3636" xr:uid="{00000000-0005-0000-0000-0000DCAE0000}"/>
    <cellStyle name="Normal 11 5 2 10 2 2" xfId="9116" xr:uid="{00000000-0005-0000-0000-0000DDAE0000}"/>
    <cellStyle name="Normal 11 5 2 10 2 3" xfId="14592" xr:uid="{00000000-0005-0000-0000-0000DEAE0000}"/>
    <cellStyle name="Normal 11 5 2 10 2 4" xfId="20068" xr:uid="{00000000-0005-0000-0000-0000DFAE0000}"/>
    <cellStyle name="Normal 11 5 2 10 2 5" xfId="25544" xr:uid="{00000000-0005-0000-0000-0000E0AE0000}"/>
    <cellStyle name="Normal 11 5 2 10 2 6" xfId="37340" xr:uid="{00000000-0005-0000-0000-0000E1AE0000}"/>
    <cellStyle name="Normal 11 5 2 10 2 7" xfId="42817" xr:uid="{00000000-0005-0000-0000-0000E2AE0000}"/>
    <cellStyle name="Normal 11 5 2 10 2 8" xfId="48294" xr:uid="{00000000-0005-0000-0000-0000E3AE0000}"/>
    <cellStyle name="Normal 11 5 2 10 2 9" xfId="53812" xr:uid="{00000000-0005-0000-0000-0000E4AE0000}"/>
    <cellStyle name="Normal 11 5 2 10 3" xfId="5408" xr:uid="{00000000-0005-0000-0000-0000E5AE0000}"/>
    <cellStyle name="Normal 11 5 2 10 3 2" xfId="10888" xr:uid="{00000000-0005-0000-0000-0000E6AE0000}"/>
    <cellStyle name="Normal 11 5 2 10 3 3" xfId="16364" xr:uid="{00000000-0005-0000-0000-0000E7AE0000}"/>
    <cellStyle name="Normal 11 5 2 10 3 4" xfId="21840" xr:uid="{00000000-0005-0000-0000-0000E8AE0000}"/>
    <cellStyle name="Normal 11 5 2 10 3 5" xfId="27316" xr:uid="{00000000-0005-0000-0000-0000E9AE0000}"/>
    <cellStyle name="Normal 11 5 2 10 3 6" xfId="39112" xr:uid="{00000000-0005-0000-0000-0000EAAE0000}"/>
    <cellStyle name="Normal 11 5 2 10 3 7" xfId="44589" xr:uid="{00000000-0005-0000-0000-0000EBAE0000}"/>
    <cellStyle name="Normal 11 5 2 10 3 8" xfId="50066" xr:uid="{00000000-0005-0000-0000-0000ECAE0000}"/>
    <cellStyle name="Normal 11 5 2 10 3 9" xfId="55584" xr:uid="{00000000-0005-0000-0000-0000EDAE0000}"/>
    <cellStyle name="Normal 11 5 2 10 4" xfId="7013" xr:uid="{00000000-0005-0000-0000-0000EEAE0000}"/>
    <cellStyle name="Normal 11 5 2 10 5" xfId="12493" xr:uid="{00000000-0005-0000-0000-0000EFAE0000}"/>
    <cellStyle name="Normal 11 5 2 10 6" xfId="17969" xr:uid="{00000000-0005-0000-0000-0000F0AE0000}"/>
    <cellStyle name="Normal 11 5 2 10 7" xfId="23445" xr:uid="{00000000-0005-0000-0000-0000F1AE0000}"/>
    <cellStyle name="Normal 11 5 2 10 8" xfId="35240" xr:uid="{00000000-0005-0000-0000-0000F2AE0000}"/>
    <cellStyle name="Normal 11 5 2 10 9" xfId="40717" xr:uid="{00000000-0005-0000-0000-0000F3AE0000}"/>
    <cellStyle name="Normal 11 5 2 11" xfId="2045" xr:uid="{00000000-0005-0000-0000-0000F4AE0000}"/>
    <cellStyle name="Normal 11 5 2 11 10" xfId="52222" xr:uid="{00000000-0005-0000-0000-0000F5AE0000}"/>
    <cellStyle name="Normal 11 5 2 11 2" xfId="5577" xr:uid="{00000000-0005-0000-0000-0000F6AE0000}"/>
    <cellStyle name="Normal 11 5 2 11 2 2" xfId="11057" xr:uid="{00000000-0005-0000-0000-0000F7AE0000}"/>
    <cellStyle name="Normal 11 5 2 11 2 3" xfId="16533" xr:uid="{00000000-0005-0000-0000-0000F8AE0000}"/>
    <cellStyle name="Normal 11 5 2 11 2 4" xfId="22009" xr:uid="{00000000-0005-0000-0000-0000F9AE0000}"/>
    <cellStyle name="Normal 11 5 2 11 2 5" xfId="27485" xr:uid="{00000000-0005-0000-0000-0000FAAE0000}"/>
    <cellStyle name="Normal 11 5 2 11 2 6" xfId="39281" xr:uid="{00000000-0005-0000-0000-0000FBAE0000}"/>
    <cellStyle name="Normal 11 5 2 11 2 7" xfId="44758" xr:uid="{00000000-0005-0000-0000-0000FCAE0000}"/>
    <cellStyle name="Normal 11 5 2 11 2 8" xfId="50235" xr:uid="{00000000-0005-0000-0000-0000FDAE0000}"/>
    <cellStyle name="Normal 11 5 2 11 2 9" xfId="55753" xr:uid="{00000000-0005-0000-0000-0000FEAE0000}"/>
    <cellStyle name="Normal 11 5 2 11 3" xfId="7526" xr:uid="{00000000-0005-0000-0000-0000FFAE0000}"/>
    <cellStyle name="Normal 11 5 2 11 4" xfId="13002" xr:uid="{00000000-0005-0000-0000-000000AF0000}"/>
    <cellStyle name="Normal 11 5 2 11 5" xfId="18478" xr:uid="{00000000-0005-0000-0000-000001AF0000}"/>
    <cellStyle name="Normal 11 5 2 11 6" xfId="23954" xr:uid="{00000000-0005-0000-0000-000002AF0000}"/>
    <cellStyle name="Normal 11 5 2 11 7" xfId="35750" xr:uid="{00000000-0005-0000-0000-000003AF0000}"/>
    <cellStyle name="Normal 11 5 2 11 8" xfId="41227" xr:uid="{00000000-0005-0000-0000-000004AF0000}"/>
    <cellStyle name="Normal 11 5 2 11 9" xfId="46704" xr:uid="{00000000-0005-0000-0000-000005AF0000}"/>
    <cellStyle name="Normal 11 5 2 12" xfId="3835" xr:uid="{00000000-0005-0000-0000-000006AF0000}"/>
    <cellStyle name="Normal 11 5 2 12 2" xfId="9315" xr:uid="{00000000-0005-0000-0000-000007AF0000}"/>
    <cellStyle name="Normal 11 5 2 12 3" xfId="14791" xr:uid="{00000000-0005-0000-0000-000008AF0000}"/>
    <cellStyle name="Normal 11 5 2 12 4" xfId="20267" xr:uid="{00000000-0005-0000-0000-000009AF0000}"/>
    <cellStyle name="Normal 11 5 2 12 5" xfId="25743" xr:uid="{00000000-0005-0000-0000-00000AAF0000}"/>
    <cellStyle name="Normal 11 5 2 12 6" xfId="37539" xr:uid="{00000000-0005-0000-0000-00000BAF0000}"/>
    <cellStyle name="Normal 11 5 2 12 7" xfId="43016" xr:uid="{00000000-0005-0000-0000-00000CAF0000}"/>
    <cellStyle name="Normal 11 5 2 12 8" xfId="48493" xr:uid="{00000000-0005-0000-0000-00000DAF0000}"/>
    <cellStyle name="Normal 11 5 2 12 9" xfId="54011" xr:uid="{00000000-0005-0000-0000-00000EAF0000}"/>
    <cellStyle name="Normal 11 5 2 13" xfId="7012" xr:uid="{00000000-0005-0000-0000-00000FAF0000}"/>
    <cellStyle name="Normal 11 5 2 14" xfId="12492" xr:uid="{00000000-0005-0000-0000-000010AF0000}"/>
    <cellStyle name="Normal 11 5 2 15" xfId="17968" xr:uid="{00000000-0005-0000-0000-000011AF0000}"/>
    <cellStyle name="Normal 11 5 2 16" xfId="23444" xr:uid="{00000000-0005-0000-0000-000012AF0000}"/>
    <cellStyle name="Normal 11 5 2 17" xfId="32938" xr:uid="{00000000-0005-0000-0000-000013AF0000}"/>
    <cellStyle name="Normal 11 5 2 18" xfId="35239" xr:uid="{00000000-0005-0000-0000-000014AF0000}"/>
    <cellStyle name="Normal 11 5 2 19" xfId="40716" xr:uid="{00000000-0005-0000-0000-000015AF0000}"/>
    <cellStyle name="Normal 11 5 2 2" xfId="440" xr:uid="{00000000-0005-0000-0000-000016AF0000}"/>
    <cellStyle name="Normal 11 5 2 2 10" xfId="40718" xr:uid="{00000000-0005-0000-0000-000017AF0000}"/>
    <cellStyle name="Normal 11 5 2 2 11" xfId="46195" xr:uid="{00000000-0005-0000-0000-000018AF0000}"/>
    <cellStyle name="Normal 11 5 2 2 12" xfId="51674" xr:uid="{00000000-0005-0000-0000-000019AF0000}"/>
    <cellStyle name="Normal 11 5 2 2 2" xfId="2206" xr:uid="{00000000-0005-0000-0000-00001AAF0000}"/>
    <cellStyle name="Normal 11 5 2 2 2 2" xfId="7686" xr:uid="{00000000-0005-0000-0000-00001BAF0000}"/>
    <cellStyle name="Normal 11 5 2 2 2 3" xfId="13162" xr:uid="{00000000-0005-0000-0000-00001CAF0000}"/>
    <cellStyle name="Normal 11 5 2 2 2 4" xfId="18638" xr:uid="{00000000-0005-0000-0000-00001DAF0000}"/>
    <cellStyle name="Normal 11 5 2 2 2 5" xfId="24114" xr:uid="{00000000-0005-0000-0000-00001EAF0000}"/>
    <cellStyle name="Normal 11 5 2 2 2 6" xfId="35910" xr:uid="{00000000-0005-0000-0000-00001FAF0000}"/>
    <cellStyle name="Normal 11 5 2 2 2 7" xfId="41387" xr:uid="{00000000-0005-0000-0000-000020AF0000}"/>
    <cellStyle name="Normal 11 5 2 2 2 8" xfId="46864" xr:uid="{00000000-0005-0000-0000-000021AF0000}"/>
    <cellStyle name="Normal 11 5 2 2 2 9" xfId="52382" xr:uid="{00000000-0005-0000-0000-000022AF0000}"/>
    <cellStyle name="Normal 11 5 2 2 3" xfId="3978" xr:uid="{00000000-0005-0000-0000-000023AF0000}"/>
    <cellStyle name="Normal 11 5 2 2 3 2" xfId="9458" xr:uid="{00000000-0005-0000-0000-000024AF0000}"/>
    <cellStyle name="Normal 11 5 2 2 3 3" xfId="14934" xr:uid="{00000000-0005-0000-0000-000025AF0000}"/>
    <cellStyle name="Normal 11 5 2 2 3 4" xfId="20410" xr:uid="{00000000-0005-0000-0000-000026AF0000}"/>
    <cellStyle name="Normal 11 5 2 2 3 5" xfId="25886" xr:uid="{00000000-0005-0000-0000-000027AF0000}"/>
    <cellStyle name="Normal 11 5 2 2 3 6" xfId="37682" xr:uid="{00000000-0005-0000-0000-000028AF0000}"/>
    <cellStyle name="Normal 11 5 2 2 3 7" xfId="43159" xr:uid="{00000000-0005-0000-0000-000029AF0000}"/>
    <cellStyle name="Normal 11 5 2 2 3 8" xfId="48636" xr:uid="{00000000-0005-0000-0000-00002AAF0000}"/>
    <cellStyle name="Normal 11 5 2 2 3 9" xfId="54154" xr:uid="{00000000-0005-0000-0000-00002BAF0000}"/>
    <cellStyle name="Normal 11 5 2 2 4" xfId="7014" xr:uid="{00000000-0005-0000-0000-00002CAF0000}"/>
    <cellStyle name="Normal 11 5 2 2 5" xfId="12494" xr:uid="{00000000-0005-0000-0000-00002DAF0000}"/>
    <cellStyle name="Normal 11 5 2 2 6" xfId="17970" xr:uid="{00000000-0005-0000-0000-00002EAF0000}"/>
    <cellStyle name="Normal 11 5 2 2 7" xfId="23446" xr:uid="{00000000-0005-0000-0000-00002FAF0000}"/>
    <cellStyle name="Normal 11 5 2 2 8" xfId="32939" xr:uid="{00000000-0005-0000-0000-000030AF0000}"/>
    <cellStyle name="Normal 11 5 2 2 9" xfId="35241" xr:uid="{00000000-0005-0000-0000-000031AF0000}"/>
    <cellStyle name="Normal 11 5 2 20" xfId="46193" xr:uid="{00000000-0005-0000-0000-000032AF0000}"/>
    <cellStyle name="Normal 11 5 2 21" xfId="51672" xr:uid="{00000000-0005-0000-0000-000033AF0000}"/>
    <cellStyle name="Normal 11 5 2 3" xfId="617" xr:uid="{00000000-0005-0000-0000-000034AF0000}"/>
    <cellStyle name="Normal 11 5 2 3 10" xfId="46196" xr:uid="{00000000-0005-0000-0000-000035AF0000}"/>
    <cellStyle name="Normal 11 5 2 3 11" xfId="51675" xr:uid="{00000000-0005-0000-0000-000036AF0000}"/>
    <cellStyle name="Normal 11 5 2 3 2" xfId="2378" xr:uid="{00000000-0005-0000-0000-000037AF0000}"/>
    <cellStyle name="Normal 11 5 2 3 2 2" xfId="7858" xr:uid="{00000000-0005-0000-0000-000038AF0000}"/>
    <cellStyle name="Normal 11 5 2 3 2 3" xfId="13334" xr:uid="{00000000-0005-0000-0000-000039AF0000}"/>
    <cellStyle name="Normal 11 5 2 3 2 4" xfId="18810" xr:uid="{00000000-0005-0000-0000-00003AAF0000}"/>
    <cellStyle name="Normal 11 5 2 3 2 5" xfId="24286" xr:uid="{00000000-0005-0000-0000-00003BAF0000}"/>
    <cellStyle name="Normal 11 5 2 3 2 6" xfId="36082" xr:uid="{00000000-0005-0000-0000-00003CAF0000}"/>
    <cellStyle name="Normal 11 5 2 3 2 7" xfId="41559" xr:uid="{00000000-0005-0000-0000-00003DAF0000}"/>
    <cellStyle name="Normal 11 5 2 3 2 8" xfId="47036" xr:uid="{00000000-0005-0000-0000-00003EAF0000}"/>
    <cellStyle name="Normal 11 5 2 3 2 9" xfId="52554" xr:uid="{00000000-0005-0000-0000-00003FAF0000}"/>
    <cellStyle name="Normal 11 5 2 3 3" xfId="4150" xr:uid="{00000000-0005-0000-0000-000040AF0000}"/>
    <cellStyle name="Normal 11 5 2 3 3 2" xfId="9630" xr:uid="{00000000-0005-0000-0000-000041AF0000}"/>
    <cellStyle name="Normal 11 5 2 3 3 3" xfId="15106" xr:uid="{00000000-0005-0000-0000-000042AF0000}"/>
    <cellStyle name="Normal 11 5 2 3 3 4" xfId="20582" xr:uid="{00000000-0005-0000-0000-000043AF0000}"/>
    <cellStyle name="Normal 11 5 2 3 3 5" xfId="26058" xr:uid="{00000000-0005-0000-0000-000044AF0000}"/>
    <cellStyle name="Normal 11 5 2 3 3 6" xfId="37854" xr:uid="{00000000-0005-0000-0000-000045AF0000}"/>
    <cellStyle name="Normal 11 5 2 3 3 7" xfId="43331" xr:uid="{00000000-0005-0000-0000-000046AF0000}"/>
    <cellStyle name="Normal 11 5 2 3 3 8" xfId="48808" xr:uid="{00000000-0005-0000-0000-000047AF0000}"/>
    <cellStyle name="Normal 11 5 2 3 3 9" xfId="54326" xr:uid="{00000000-0005-0000-0000-000048AF0000}"/>
    <cellStyle name="Normal 11 5 2 3 4" xfId="7015" xr:uid="{00000000-0005-0000-0000-000049AF0000}"/>
    <cellStyle name="Normal 11 5 2 3 5" xfId="12495" xr:uid="{00000000-0005-0000-0000-00004AAF0000}"/>
    <cellStyle name="Normal 11 5 2 3 6" xfId="17971" xr:uid="{00000000-0005-0000-0000-00004BAF0000}"/>
    <cellStyle name="Normal 11 5 2 3 7" xfId="23447" xr:uid="{00000000-0005-0000-0000-00004CAF0000}"/>
    <cellStyle name="Normal 11 5 2 3 8" xfId="35242" xr:uid="{00000000-0005-0000-0000-00004DAF0000}"/>
    <cellStyle name="Normal 11 5 2 3 9" xfId="40719" xr:uid="{00000000-0005-0000-0000-00004EAF0000}"/>
    <cellStyle name="Normal 11 5 2 4" xfId="789" xr:uid="{00000000-0005-0000-0000-00004FAF0000}"/>
    <cellStyle name="Normal 11 5 2 4 10" xfId="46197" xr:uid="{00000000-0005-0000-0000-000050AF0000}"/>
    <cellStyle name="Normal 11 5 2 4 11" xfId="51676" xr:uid="{00000000-0005-0000-0000-000051AF0000}"/>
    <cellStyle name="Normal 11 5 2 4 2" xfId="2550" xr:uid="{00000000-0005-0000-0000-000052AF0000}"/>
    <cellStyle name="Normal 11 5 2 4 2 2" xfId="8030" xr:uid="{00000000-0005-0000-0000-000053AF0000}"/>
    <cellStyle name="Normal 11 5 2 4 2 3" xfId="13506" xr:uid="{00000000-0005-0000-0000-000054AF0000}"/>
    <cellStyle name="Normal 11 5 2 4 2 4" xfId="18982" xr:uid="{00000000-0005-0000-0000-000055AF0000}"/>
    <cellStyle name="Normal 11 5 2 4 2 5" xfId="24458" xr:uid="{00000000-0005-0000-0000-000056AF0000}"/>
    <cellStyle name="Normal 11 5 2 4 2 6" xfId="36254" xr:uid="{00000000-0005-0000-0000-000057AF0000}"/>
    <cellStyle name="Normal 11 5 2 4 2 7" xfId="41731" xr:uid="{00000000-0005-0000-0000-000058AF0000}"/>
    <cellStyle name="Normal 11 5 2 4 2 8" xfId="47208" xr:uid="{00000000-0005-0000-0000-000059AF0000}"/>
    <cellStyle name="Normal 11 5 2 4 2 9" xfId="52726" xr:uid="{00000000-0005-0000-0000-00005AAF0000}"/>
    <cellStyle name="Normal 11 5 2 4 3" xfId="4322" xr:uid="{00000000-0005-0000-0000-00005BAF0000}"/>
    <cellStyle name="Normal 11 5 2 4 3 2" xfId="9802" xr:uid="{00000000-0005-0000-0000-00005CAF0000}"/>
    <cellStyle name="Normal 11 5 2 4 3 3" xfId="15278" xr:uid="{00000000-0005-0000-0000-00005DAF0000}"/>
    <cellStyle name="Normal 11 5 2 4 3 4" xfId="20754" xr:uid="{00000000-0005-0000-0000-00005EAF0000}"/>
    <cellStyle name="Normal 11 5 2 4 3 5" xfId="26230" xr:uid="{00000000-0005-0000-0000-00005FAF0000}"/>
    <cellStyle name="Normal 11 5 2 4 3 6" xfId="38026" xr:uid="{00000000-0005-0000-0000-000060AF0000}"/>
    <cellStyle name="Normal 11 5 2 4 3 7" xfId="43503" xr:uid="{00000000-0005-0000-0000-000061AF0000}"/>
    <cellStyle name="Normal 11 5 2 4 3 8" xfId="48980" xr:uid="{00000000-0005-0000-0000-000062AF0000}"/>
    <cellStyle name="Normal 11 5 2 4 3 9" xfId="54498" xr:uid="{00000000-0005-0000-0000-000063AF0000}"/>
    <cellStyle name="Normal 11 5 2 4 4" xfId="7016" xr:uid="{00000000-0005-0000-0000-000064AF0000}"/>
    <cellStyle name="Normal 11 5 2 4 5" xfId="12496" xr:uid="{00000000-0005-0000-0000-000065AF0000}"/>
    <cellStyle name="Normal 11 5 2 4 6" xfId="17972" xr:uid="{00000000-0005-0000-0000-000066AF0000}"/>
    <cellStyle name="Normal 11 5 2 4 7" xfId="23448" xr:uid="{00000000-0005-0000-0000-000067AF0000}"/>
    <cellStyle name="Normal 11 5 2 4 8" xfId="35243" xr:uid="{00000000-0005-0000-0000-000068AF0000}"/>
    <cellStyle name="Normal 11 5 2 4 9" xfId="40720" xr:uid="{00000000-0005-0000-0000-000069AF0000}"/>
    <cellStyle name="Normal 11 5 2 5" xfId="961" xr:uid="{00000000-0005-0000-0000-00006AAF0000}"/>
    <cellStyle name="Normal 11 5 2 5 10" xfId="46198" xr:uid="{00000000-0005-0000-0000-00006BAF0000}"/>
    <cellStyle name="Normal 11 5 2 5 11" xfId="51677" xr:uid="{00000000-0005-0000-0000-00006CAF0000}"/>
    <cellStyle name="Normal 11 5 2 5 2" xfId="2722" xr:uid="{00000000-0005-0000-0000-00006DAF0000}"/>
    <cellStyle name="Normal 11 5 2 5 2 2" xfId="8202" xr:uid="{00000000-0005-0000-0000-00006EAF0000}"/>
    <cellStyle name="Normal 11 5 2 5 2 3" xfId="13678" xr:uid="{00000000-0005-0000-0000-00006FAF0000}"/>
    <cellStyle name="Normal 11 5 2 5 2 4" xfId="19154" xr:uid="{00000000-0005-0000-0000-000070AF0000}"/>
    <cellStyle name="Normal 11 5 2 5 2 5" xfId="24630" xr:uid="{00000000-0005-0000-0000-000071AF0000}"/>
    <cellStyle name="Normal 11 5 2 5 2 6" xfId="36426" xr:uid="{00000000-0005-0000-0000-000072AF0000}"/>
    <cellStyle name="Normal 11 5 2 5 2 7" xfId="41903" xr:uid="{00000000-0005-0000-0000-000073AF0000}"/>
    <cellStyle name="Normal 11 5 2 5 2 8" xfId="47380" xr:uid="{00000000-0005-0000-0000-000074AF0000}"/>
    <cellStyle name="Normal 11 5 2 5 2 9" xfId="52898" xr:uid="{00000000-0005-0000-0000-000075AF0000}"/>
    <cellStyle name="Normal 11 5 2 5 3" xfId="4494" xr:uid="{00000000-0005-0000-0000-000076AF0000}"/>
    <cellStyle name="Normal 11 5 2 5 3 2" xfId="9974" xr:uid="{00000000-0005-0000-0000-000077AF0000}"/>
    <cellStyle name="Normal 11 5 2 5 3 3" xfId="15450" xr:uid="{00000000-0005-0000-0000-000078AF0000}"/>
    <cellStyle name="Normal 11 5 2 5 3 4" xfId="20926" xr:uid="{00000000-0005-0000-0000-000079AF0000}"/>
    <cellStyle name="Normal 11 5 2 5 3 5" xfId="26402" xr:uid="{00000000-0005-0000-0000-00007AAF0000}"/>
    <cellStyle name="Normal 11 5 2 5 3 6" xfId="38198" xr:uid="{00000000-0005-0000-0000-00007BAF0000}"/>
    <cellStyle name="Normal 11 5 2 5 3 7" xfId="43675" xr:uid="{00000000-0005-0000-0000-00007CAF0000}"/>
    <cellStyle name="Normal 11 5 2 5 3 8" xfId="49152" xr:uid="{00000000-0005-0000-0000-00007DAF0000}"/>
    <cellStyle name="Normal 11 5 2 5 3 9" xfId="54670" xr:uid="{00000000-0005-0000-0000-00007EAF0000}"/>
    <cellStyle name="Normal 11 5 2 5 4" xfId="7017" xr:uid="{00000000-0005-0000-0000-00007FAF0000}"/>
    <cellStyle name="Normal 11 5 2 5 5" xfId="12497" xr:uid="{00000000-0005-0000-0000-000080AF0000}"/>
    <cellStyle name="Normal 11 5 2 5 6" xfId="17973" xr:uid="{00000000-0005-0000-0000-000081AF0000}"/>
    <cellStyle name="Normal 11 5 2 5 7" xfId="23449" xr:uid="{00000000-0005-0000-0000-000082AF0000}"/>
    <cellStyle name="Normal 11 5 2 5 8" xfId="35244" xr:uid="{00000000-0005-0000-0000-000083AF0000}"/>
    <cellStyle name="Normal 11 5 2 5 9" xfId="40721" xr:uid="{00000000-0005-0000-0000-000084AF0000}"/>
    <cellStyle name="Normal 11 5 2 6" xfId="1167" xr:uid="{00000000-0005-0000-0000-000085AF0000}"/>
    <cellStyle name="Normal 11 5 2 6 10" xfId="46199" xr:uid="{00000000-0005-0000-0000-000086AF0000}"/>
    <cellStyle name="Normal 11 5 2 6 11" xfId="51678" xr:uid="{00000000-0005-0000-0000-000087AF0000}"/>
    <cellStyle name="Normal 11 5 2 6 2" xfId="2928" xr:uid="{00000000-0005-0000-0000-000088AF0000}"/>
    <cellStyle name="Normal 11 5 2 6 2 2" xfId="8408" xr:uid="{00000000-0005-0000-0000-000089AF0000}"/>
    <cellStyle name="Normal 11 5 2 6 2 3" xfId="13884" xr:uid="{00000000-0005-0000-0000-00008AAF0000}"/>
    <cellStyle name="Normal 11 5 2 6 2 4" xfId="19360" xr:uid="{00000000-0005-0000-0000-00008BAF0000}"/>
    <cellStyle name="Normal 11 5 2 6 2 5" xfId="24836" xr:uid="{00000000-0005-0000-0000-00008CAF0000}"/>
    <cellStyle name="Normal 11 5 2 6 2 6" xfId="36632" xr:uid="{00000000-0005-0000-0000-00008DAF0000}"/>
    <cellStyle name="Normal 11 5 2 6 2 7" xfId="42109" xr:uid="{00000000-0005-0000-0000-00008EAF0000}"/>
    <cellStyle name="Normal 11 5 2 6 2 8" xfId="47586" xr:uid="{00000000-0005-0000-0000-00008FAF0000}"/>
    <cellStyle name="Normal 11 5 2 6 2 9" xfId="53104" xr:uid="{00000000-0005-0000-0000-000090AF0000}"/>
    <cellStyle name="Normal 11 5 2 6 3" xfId="4700" xr:uid="{00000000-0005-0000-0000-000091AF0000}"/>
    <cellStyle name="Normal 11 5 2 6 3 2" xfId="10180" xr:uid="{00000000-0005-0000-0000-000092AF0000}"/>
    <cellStyle name="Normal 11 5 2 6 3 3" xfId="15656" xr:uid="{00000000-0005-0000-0000-000093AF0000}"/>
    <cellStyle name="Normal 11 5 2 6 3 4" xfId="21132" xr:uid="{00000000-0005-0000-0000-000094AF0000}"/>
    <cellStyle name="Normal 11 5 2 6 3 5" xfId="26608" xr:uid="{00000000-0005-0000-0000-000095AF0000}"/>
    <cellStyle name="Normal 11 5 2 6 3 6" xfId="38404" xr:uid="{00000000-0005-0000-0000-000096AF0000}"/>
    <cellStyle name="Normal 11 5 2 6 3 7" xfId="43881" xr:uid="{00000000-0005-0000-0000-000097AF0000}"/>
    <cellStyle name="Normal 11 5 2 6 3 8" xfId="49358" xr:uid="{00000000-0005-0000-0000-000098AF0000}"/>
    <cellStyle name="Normal 11 5 2 6 3 9" xfId="54876" xr:uid="{00000000-0005-0000-0000-000099AF0000}"/>
    <cellStyle name="Normal 11 5 2 6 4" xfId="7018" xr:uid="{00000000-0005-0000-0000-00009AAF0000}"/>
    <cellStyle name="Normal 11 5 2 6 5" xfId="12498" xr:uid="{00000000-0005-0000-0000-00009BAF0000}"/>
    <cellStyle name="Normal 11 5 2 6 6" xfId="17974" xr:uid="{00000000-0005-0000-0000-00009CAF0000}"/>
    <cellStyle name="Normal 11 5 2 6 7" xfId="23450" xr:uid="{00000000-0005-0000-0000-00009DAF0000}"/>
    <cellStyle name="Normal 11 5 2 6 8" xfId="35245" xr:uid="{00000000-0005-0000-0000-00009EAF0000}"/>
    <cellStyle name="Normal 11 5 2 6 9" xfId="40722" xr:uid="{00000000-0005-0000-0000-00009FAF0000}"/>
    <cellStyle name="Normal 11 5 2 7" xfId="1339" xr:uid="{00000000-0005-0000-0000-0000A0AF0000}"/>
    <cellStyle name="Normal 11 5 2 7 10" xfId="46200" xr:uid="{00000000-0005-0000-0000-0000A1AF0000}"/>
    <cellStyle name="Normal 11 5 2 7 11" xfId="51679" xr:uid="{00000000-0005-0000-0000-0000A2AF0000}"/>
    <cellStyle name="Normal 11 5 2 7 2" xfId="3100" xr:uid="{00000000-0005-0000-0000-0000A3AF0000}"/>
    <cellStyle name="Normal 11 5 2 7 2 2" xfId="8580" xr:uid="{00000000-0005-0000-0000-0000A4AF0000}"/>
    <cellStyle name="Normal 11 5 2 7 2 3" xfId="14056" xr:uid="{00000000-0005-0000-0000-0000A5AF0000}"/>
    <cellStyle name="Normal 11 5 2 7 2 4" xfId="19532" xr:uid="{00000000-0005-0000-0000-0000A6AF0000}"/>
    <cellStyle name="Normal 11 5 2 7 2 5" xfId="25008" xr:uid="{00000000-0005-0000-0000-0000A7AF0000}"/>
    <cellStyle name="Normal 11 5 2 7 2 6" xfId="36804" xr:uid="{00000000-0005-0000-0000-0000A8AF0000}"/>
    <cellStyle name="Normal 11 5 2 7 2 7" xfId="42281" xr:uid="{00000000-0005-0000-0000-0000A9AF0000}"/>
    <cellStyle name="Normal 11 5 2 7 2 8" xfId="47758" xr:uid="{00000000-0005-0000-0000-0000AAAF0000}"/>
    <cellStyle name="Normal 11 5 2 7 2 9" xfId="53276" xr:uid="{00000000-0005-0000-0000-0000ABAF0000}"/>
    <cellStyle name="Normal 11 5 2 7 3" xfId="4872" xr:uid="{00000000-0005-0000-0000-0000ACAF0000}"/>
    <cellStyle name="Normal 11 5 2 7 3 2" xfId="10352" xr:uid="{00000000-0005-0000-0000-0000ADAF0000}"/>
    <cellStyle name="Normal 11 5 2 7 3 3" xfId="15828" xr:uid="{00000000-0005-0000-0000-0000AEAF0000}"/>
    <cellStyle name="Normal 11 5 2 7 3 4" xfId="21304" xr:uid="{00000000-0005-0000-0000-0000AFAF0000}"/>
    <cellStyle name="Normal 11 5 2 7 3 5" xfId="26780" xr:uid="{00000000-0005-0000-0000-0000B0AF0000}"/>
    <cellStyle name="Normal 11 5 2 7 3 6" xfId="38576" xr:uid="{00000000-0005-0000-0000-0000B1AF0000}"/>
    <cellStyle name="Normal 11 5 2 7 3 7" xfId="44053" xr:uid="{00000000-0005-0000-0000-0000B2AF0000}"/>
    <cellStyle name="Normal 11 5 2 7 3 8" xfId="49530" xr:uid="{00000000-0005-0000-0000-0000B3AF0000}"/>
    <cellStyle name="Normal 11 5 2 7 3 9" xfId="55048" xr:uid="{00000000-0005-0000-0000-0000B4AF0000}"/>
    <cellStyle name="Normal 11 5 2 7 4" xfId="7019" xr:uid="{00000000-0005-0000-0000-0000B5AF0000}"/>
    <cellStyle name="Normal 11 5 2 7 5" xfId="12499" xr:uid="{00000000-0005-0000-0000-0000B6AF0000}"/>
    <cellStyle name="Normal 11 5 2 7 6" xfId="17975" xr:uid="{00000000-0005-0000-0000-0000B7AF0000}"/>
    <cellStyle name="Normal 11 5 2 7 7" xfId="23451" xr:uid="{00000000-0005-0000-0000-0000B8AF0000}"/>
    <cellStyle name="Normal 11 5 2 7 8" xfId="35246" xr:uid="{00000000-0005-0000-0000-0000B9AF0000}"/>
    <cellStyle name="Normal 11 5 2 7 9" xfId="40723" xr:uid="{00000000-0005-0000-0000-0000BAAF0000}"/>
    <cellStyle name="Normal 11 5 2 8" xfId="1511" xr:uid="{00000000-0005-0000-0000-0000BBAF0000}"/>
    <cellStyle name="Normal 11 5 2 8 10" xfId="46201" xr:uid="{00000000-0005-0000-0000-0000BCAF0000}"/>
    <cellStyle name="Normal 11 5 2 8 11" xfId="51680" xr:uid="{00000000-0005-0000-0000-0000BDAF0000}"/>
    <cellStyle name="Normal 11 5 2 8 2" xfId="3272" xr:uid="{00000000-0005-0000-0000-0000BEAF0000}"/>
    <cellStyle name="Normal 11 5 2 8 2 2" xfId="8752" xr:uid="{00000000-0005-0000-0000-0000BFAF0000}"/>
    <cellStyle name="Normal 11 5 2 8 2 3" xfId="14228" xr:uid="{00000000-0005-0000-0000-0000C0AF0000}"/>
    <cellStyle name="Normal 11 5 2 8 2 4" xfId="19704" xr:uid="{00000000-0005-0000-0000-0000C1AF0000}"/>
    <cellStyle name="Normal 11 5 2 8 2 5" xfId="25180" xr:uid="{00000000-0005-0000-0000-0000C2AF0000}"/>
    <cellStyle name="Normal 11 5 2 8 2 6" xfId="36976" xr:uid="{00000000-0005-0000-0000-0000C3AF0000}"/>
    <cellStyle name="Normal 11 5 2 8 2 7" xfId="42453" xr:uid="{00000000-0005-0000-0000-0000C4AF0000}"/>
    <cellStyle name="Normal 11 5 2 8 2 8" xfId="47930" xr:uid="{00000000-0005-0000-0000-0000C5AF0000}"/>
    <cellStyle name="Normal 11 5 2 8 2 9" xfId="53448" xr:uid="{00000000-0005-0000-0000-0000C6AF0000}"/>
    <cellStyle name="Normal 11 5 2 8 3" xfId="5044" xr:uid="{00000000-0005-0000-0000-0000C7AF0000}"/>
    <cellStyle name="Normal 11 5 2 8 3 2" xfId="10524" xr:uid="{00000000-0005-0000-0000-0000C8AF0000}"/>
    <cellStyle name="Normal 11 5 2 8 3 3" xfId="16000" xr:uid="{00000000-0005-0000-0000-0000C9AF0000}"/>
    <cellStyle name="Normal 11 5 2 8 3 4" xfId="21476" xr:uid="{00000000-0005-0000-0000-0000CAAF0000}"/>
    <cellStyle name="Normal 11 5 2 8 3 5" xfId="26952" xr:uid="{00000000-0005-0000-0000-0000CBAF0000}"/>
    <cellStyle name="Normal 11 5 2 8 3 6" xfId="38748" xr:uid="{00000000-0005-0000-0000-0000CCAF0000}"/>
    <cellStyle name="Normal 11 5 2 8 3 7" xfId="44225" xr:uid="{00000000-0005-0000-0000-0000CDAF0000}"/>
    <cellStyle name="Normal 11 5 2 8 3 8" xfId="49702" xr:uid="{00000000-0005-0000-0000-0000CEAF0000}"/>
    <cellStyle name="Normal 11 5 2 8 3 9" xfId="55220" xr:uid="{00000000-0005-0000-0000-0000CFAF0000}"/>
    <cellStyle name="Normal 11 5 2 8 4" xfId="7020" xr:uid="{00000000-0005-0000-0000-0000D0AF0000}"/>
    <cellStyle name="Normal 11 5 2 8 5" xfId="12500" xr:uid="{00000000-0005-0000-0000-0000D1AF0000}"/>
    <cellStyle name="Normal 11 5 2 8 6" xfId="17976" xr:uid="{00000000-0005-0000-0000-0000D2AF0000}"/>
    <cellStyle name="Normal 11 5 2 8 7" xfId="23452" xr:uid="{00000000-0005-0000-0000-0000D3AF0000}"/>
    <cellStyle name="Normal 11 5 2 8 8" xfId="35247" xr:uid="{00000000-0005-0000-0000-0000D4AF0000}"/>
    <cellStyle name="Normal 11 5 2 8 9" xfId="40724" xr:uid="{00000000-0005-0000-0000-0000D5AF0000}"/>
    <cellStyle name="Normal 11 5 2 9" xfId="1683" xr:uid="{00000000-0005-0000-0000-0000D6AF0000}"/>
    <cellStyle name="Normal 11 5 2 9 10" xfId="46202" xr:uid="{00000000-0005-0000-0000-0000D7AF0000}"/>
    <cellStyle name="Normal 11 5 2 9 11" xfId="51681" xr:uid="{00000000-0005-0000-0000-0000D8AF0000}"/>
    <cellStyle name="Normal 11 5 2 9 2" xfId="3444" xr:uid="{00000000-0005-0000-0000-0000D9AF0000}"/>
    <cellStyle name="Normal 11 5 2 9 2 2" xfId="8924" xr:uid="{00000000-0005-0000-0000-0000DAAF0000}"/>
    <cellStyle name="Normal 11 5 2 9 2 3" xfId="14400" xr:uid="{00000000-0005-0000-0000-0000DBAF0000}"/>
    <cellStyle name="Normal 11 5 2 9 2 4" xfId="19876" xr:uid="{00000000-0005-0000-0000-0000DCAF0000}"/>
    <cellStyle name="Normal 11 5 2 9 2 5" xfId="25352" xr:uid="{00000000-0005-0000-0000-0000DDAF0000}"/>
    <cellStyle name="Normal 11 5 2 9 2 6" xfId="37148" xr:uid="{00000000-0005-0000-0000-0000DEAF0000}"/>
    <cellStyle name="Normal 11 5 2 9 2 7" xfId="42625" xr:uid="{00000000-0005-0000-0000-0000DFAF0000}"/>
    <cellStyle name="Normal 11 5 2 9 2 8" xfId="48102" xr:uid="{00000000-0005-0000-0000-0000E0AF0000}"/>
    <cellStyle name="Normal 11 5 2 9 2 9" xfId="53620" xr:uid="{00000000-0005-0000-0000-0000E1AF0000}"/>
    <cellStyle name="Normal 11 5 2 9 3" xfId="5216" xr:uid="{00000000-0005-0000-0000-0000E2AF0000}"/>
    <cellStyle name="Normal 11 5 2 9 3 2" xfId="10696" xr:uid="{00000000-0005-0000-0000-0000E3AF0000}"/>
    <cellStyle name="Normal 11 5 2 9 3 3" xfId="16172" xr:uid="{00000000-0005-0000-0000-0000E4AF0000}"/>
    <cellStyle name="Normal 11 5 2 9 3 4" xfId="21648" xr:uid="{00000000-0005-0000-0000-0000E5AF0000}"/>
    <cellStyle name="Normal 11 5 2 9 3 5" xfId="27124" xr:uid="{00000000-0005-0000-0000-0000E6AF0000}"/>
    <cellStyle name="Normal 11 5 2 9 3 6" xfId="38920" xr:uid="{00000000-0005-0000-0000-0000E7AF0000}"/>
    <cellStyle name="Normal 11 5 2 9 3 7" xfId="44397" xr:uid="{00000000-0005-0000-0000-0000E8AF0000}"/>
    <cellStyle name="Normal 11 5 2 9 3 8" xfId="49874" xr:uid="{00000000-0005-0000-0000-0000E9AF0000}"/>
    <cellStyle name="Normal 11 5 2 9 3 9" xfId="55392" xr:uid="{00000000-0005-0000-0000-0000EAAF0000}"/>
    <cellStyle name="Normal 11 5 2 9 4" xfId="7021" xr:uid="{00000000-0005-0000-0000-0000EBAF0000}"/>
    <cellStyle name="Normal 11 5 2 9 5" xfId="12501" xr:uid="{00000000-0005-0000-0000-0000ECAF0000}"/>
    <cellStyle name="Normal 11 5 2 9 6" xfId="17977" xr:uid="{00000000-0005-0000-0000-0000EDAF0000}"/>
    <cellStyle name="Normal 11 5 2 9 7" xfId="23453" xr:uid="{00000000-0005-0000-0000-0000EEAF0000}"/>
    <cellStyle name="Normal 11 5 2 9 8" xfId="35248" xr:uid="{00000000-0005-0000-0000-0000EFAF0000}"/>
    <cellStyle name="Normal 11 5 2 9 9" xfId="40725" xr:uid="{00000000-0005-0000-0000-0000F0AF0000}"/>
    <cellStyle name="Normal 11 5 20" xfId="40713" xr:uid="{00000000-0005-0000-0000-0000F1AF0000}"/>
    <cellStyle name="Normal 11 5 21" xfId="46190" xr:uid="{00000000-0005-0000-0000-0000F2AF0000}"/>
    <cellStyle name="Normal 11 5 22" xfId="51669" xr:uid="{00000000-0005-0000-0000-0000F3AF0000}"/>
    <cellStyle name="Normal 11 5 3" xfId="439" xr:uid="{00000000-0005-0000-0000-0000F4AF0000}"/>
    <cellStyle name="Normal 11 5 3 10" xfId="40726" xr:uid="{00000000-0005-0000-0000-0000F5AF0000}"/>
    <cellStyle name="Normal 11 5 3 11" xfId="46203" xr:uid="{00000000-0005-0000-0000-0000F6AF0000}"/>
    <cellStyle name="Normal 11 5 3 12" xfId="51682" xr:uid="{00000000-0005-0000-0000-0000F7AF0000}"/>
    <cellStyle name="Normal 11 5 3 2" xfId="2205" xr:uid="{00000000-0005-0000-0000-0000F8AF0000}"/>
    <cellStyle name="Normal 11 5 3 2 2" xfId="7685" xr:uid="{00000000-0005-0000-0000-0000F9AF0000}"/>
    <cellStyle name="Normal 11 5 3 2 3" xfId="13161" xr:uid="{00000000-0005-0000-0000-0000FAAF0000}"/>
    <cellStyle name="Normal 11 5 3 2 4" xfId="18637" xr:uid="{00000000-0005-0000-0000-0000FBAF0000}"/>
    <cellStyle name="Normal 11 5 3 2 5" xfId="24113" xr:uid="{00000000-0005-0000-0000-0000FCAF0000}"/>
    <cellStyle name="Normal 11 5 3 2 6" xfId="35909" xr:uid="{00000000-0005-0000-0000-0000FDAF0000}"/>
    <cellStyle name="Normal 11 5 3 2 7" xfId="41386" xr:uid="{00000000-0005-0000-0000-0000FEAF0000}"/>
    <cellStyle name="Normal 11 5 3 2 8" xfId="46863" xr:uid="{00000000-0005-0000-0000-0000FFAF0000}"/>
    <cellStyle name="Normal 11 5 3 2 9" xfId="52381" xr:uid="{00000000-0005-0000-0000-000000B00000}"/>
    <cellStyle name="Normal 11 5 3 3" xfId="3977" xr:uid="{00000000-0005-0000-0000-000001B00000}"/>
    <cellStyle name="Normal 11 5 3 3 2" xfId="9457" xr:uid="{00000000-0005-0000-0000-000002B00000}"/>
    <cellStyle name="Normal 11 5 3 3 3" xfId="14933" xr:uid="{00000000-0005-0000-0000-000003B00000}"/>
    <cellStyle name="Normal 11 5 3 3 4" xfId="20409" xr:uid="{00000000-0005-0000-0000-000004B00000}"/>
    <cellStyle name="Normal 11 5 3 3 5" xfId="25885" xr:uid="{00000000-0005-0000-0000-000005B00000}"/>
    <cellStyle name="Normal 11 5 3 3 6" xfId="37681" xr:uid="{00000000-0005-0000-0000-000006B00000}"/>
    <cellStyle name="Normal 11 5 3 3 7" xfId="43158" xr:uid="{00000000-0005-0000-0000-000007B00000}"/>
    <cellStyle name="Normal 11 5 3 3 8" xfId="48635" xr:uid="{00000000-0005-0000-0000-000008B00000}"/>
    <cellStyle name="Normal 11 5 3 3 9" xfId="54153" xr:uid="{00000000-0005-0000-0000-000009B00000}"/>
    <cellStyle name="Normal 11 5 3 4" xfId="7022" xr:uid="{00000000-0005-0000-0000-00000AB00000}"/>
    <cellStyle name="Normal 11 5 3 5" xfId="12502" xr:uid="{00000000-0005-0000-0000-00000BB00000}"/>
    <cellStyle name="Normal 11 5 3 6" xfId="17978" xr:uid="{00000000-0005-0000-0000-00000CB00000}"/>
    <cellStyle name="Normal 11 5 3 7" xfId="23454" xr:uid="{00000000-0005-0000-0000-00000DB00000}"/>
    <cellStyle name="Normal 11 5 3 8" xfId="32940" xr:uid="{00000000-0005-0000-0000-00000EB00000}"/>
    <cellStyle name="Normal 11 5 3 9" xfId="35249" xr:uid="{00000000-0005-0000-0000-00000FB00000}"/>
    <cellStyle name="Normal 11 5 4" xfId="616" xr:uid="{00000000-0005-0000-0000-000010B00000}"/>
    <cellStyle name="Normal 11 5 4 10" xfId="46204" xr:uid="{00000000-0005-0000-0000-000011B00000}"/>
    <cellStyle name="Normal 11 5 4 11" xfId="51683" xr:uid="{00000000-0005-0000-0000-000012B00000}"/>
    <cellStyle name="Normal 11 5 4 2" xfId="2377" xr:uid="{00000000-0005-0000-0000-000013B00000}"/>
    <cellStyle name="Normal 11 5 4 2 2" xfId="7857" xr:uid="{00000000-0005-0000-0000-000014B00000}"/>
    <cellStyle name="Normal 11 5 4 2 3" xfId="13333" xr:uid="{00000000-0005-0000-0000-000015B00000}"/>
    <cellStyle name="Normal 11 5 4 2 4" xfId="18809" xr:uid="{00000000-0005-0000-0000-000016B00000}"/>
    <cellStyle name="Normal 11 5 4 2 5" xfId="24285" xr:uid="{00000000-0005-0000-0000-000017B00000}"/>
    <cellStyle name="Normal 11 5 4 2 6" xfId="36081" xr:uid="{00000000-0005-0000-0000-000018B00000}"/>
    <cellStyle name="Normal 11 5 4 2 7" xfId="41558" xr:uid="{00000000-0005-0000-0000-000019B00000}"/>
    <cellStyle name="Normal 11 5 4 2 8" xfId="47035" xr:uid="{00000000-0005-0000-0000-00001AB00000}"/>
    <cellStyle name="Normal 11 5 4 2 9" xfId="52553" xr:uid="{00000000-0005-0000-0000-00001BB00000}"/>
    <cellStyle name="Normal 11 5 4 3" xfId="4149" xr:uid="{00000000-0005-0000-0000-00001CB00000}"/>
    <cellStyle name="Normal 11 5 4 3 2" xfId="9629" xr:uid="{00000000-0005-0000-0000-00001DB00000}"/>
    <cellStyle name="Normal 11 5 4 3 3" xfId="15105" xr:uid="{00000000-0005-0000-0000-00001EB00000}"/>
    <cellStyle name="Normal 11 5 4 3 4" xfId="20581" xr:uid="{00000000-0005-0000-0000-00001FB00000}"/>
    <cellStyle name="Normal 11 5 4 3 5" xfId="26057" xr:uid="{00000000-0005-0000-0000-000020B00000}"/>
    <cellStyle name="Normal 11 5 4 3 6" xfId="37853" xr:uid="{00000000-0005-0000-0000-000021B00000}"/>
    <cellStyle name="Normal 11 5 4 3 7" xfId="43330" xr:uid="{00000000-0005-0000-0000-000022B00000}"/>
    <cellStyle name="Normal 11 5 4 3 8" xfId="48807" xr:uid="{00000000-0005-0000-0000-000023B00000}"/>
    <cellStyle name="Normal 11 5 4 3 9" xfId="54325" xr:uid="{00000000-0005-0000-0000-000024B00000}"/>
    <cellStyle name="Normal 11 5 4 4" xfId="7023" xr:uid="{00000000-0005-0000-0000-000025B00000}"/>
    <cellStyle name="Normal 11 5 4 5" xfId="12503" xr:uid="{00000000-0005-0000-0000-000026B00000}"/>
    <cellStyle name="Normal 11 5 4 6" xfId="17979" xr:uid="{00000000-0005-0000-0000-000027B00000}"/>
    <cellStyle name="Normal 11 5 4 7" xfId="23455" xr:uid="{00000000-0005-0000-0000-000028B00000}"/>
    <cellStyle name="Normal 11 5 4 8" xfId="35250" xr:uid="{00000000-0005-0000-0000-000029B00000}"/>
    <cellStyle name="Normal 11 5 4 9" xfId="40727" xr:uid="{00000000-0005-0000-0000-00002AB00000}"/>
    <cellStyle name="Normal 11 5 5" xfId="788" xr:uid="{00000000-0005-0000-0000-00002BB00000}"/>
    <cellStyle name="Normal 11 5 5 10" xfId="46205" xr:uid="{00000000-0005-0000-0000-00002CB00000}"/>
    <cellStyle name="Normal 11 5 5 11" xfId="51684" xr:uid="{00000000-0005-0000-0000-00002DB00000}"/>
    <cellStyle name="Normal 11 5 5 2" xfId="2549" xr:uid="{00000000-0005-0000-0000-00002EB00000}"/>
    <cellStyle name="Normal 11 5 5 2 2" xfId="8029" xr:uid="{00000000-0005-0000-0000-00002FB00000}"/>
    <cellStyle name="Normal 11 5 5 2 3" xfId="13505" xr:uid="{00000000-0005-0000-0000-000030B00000}"/>
    <cellStyle name="Normal 11 5 5 2 4" xfId="18981" xr:uid="{00000000-0005-0000-0000-000031B00000}"/>
    <cellStyle name="Normal 11 5 5 2 5" xfId="24457" xr:uid="{00000000-0005-0000-0000-000032B00000}"/>
    <cellStyle name="Normal 11 5 5 2 6" xfId="36253" xr:uid="{00000000-0005-0000-0000-000033B00000}"/>
    <cellStyle name="Normal 11 5 5 2 7" xfId="41730" xr:uid="{00000000-0005-0000-0000-000034B00000}"/>
    <cellStyle name="Normal 11 5 5 2 8" xfId="47207" xr:uid="{00000000-0005-0000-0000-000035B00000}"/>
    <cellStyle name="Normal 11 5 5 2 9" xfId="52725" xr:uid="{00000000-0005-0000-0000-000036B00000}"/>
    <cellStyle name="Normal 11 5 5 3" xfId="4321" xr:uid="{00000000-0005-0000-0000-000037B00000}"/>
    <cellStyle name="Normal 11 5 5 3 2" xfId="9801" xr:uid="{00000000-0005-0000-0000-000038B00000}"/>
    <cellStyle name="Normal 11 5 5 3 3" xfId="15277" xr:uid="{00000000-0005-0000-0000-000039B00000}"/>
    <cellStyle name="Normal 11 5 5 3 4" xfId="20753" xr:uid="{00000000-0005-0000-0000-00003AB00000}"/>
    <cellStyle name="Normal 11 5 5 3 5" xfId="26229" xr:uid="{00000000-0005-0000-0000-00003BB00000}"/>
    <cellStyle name="Normal 11 5 5 3 6" xfId="38025" xr:uid="{00000000-0005-0000-0000-00003CB00000}"/>
    <cellStyle name="Normal 11 5 5 3 7" xfId="43502" xr:uid="{00000000-0005-0000-0000-00003DB00000}"/>
    <cellStyle name="Normal 11 5 5 3 8" xfId="48979" xr:uid="{00000000-0005-0000-0000-00003EB00000}"/>
    <cellStyle name="Normal 11 5 5 3 9" xfId="54497" xr:uid="{00000000-0005-0000-0000-00003FB00000}"/>
    <cellStyle name="Normal 11 5 5 4" xfId="7024" xr:uid="{00000000-0005-0000-0000-000040B00000}"/>
    <cellStyle name="Normal 11 5 5 5" xfId="12504" xr:uid="{00000000-0005-0000-0000-000041B00000}"/>
    <cellStyle name="Normal 11 5 5 6" xfId="17980" xr:uid="{00000000-0005-0000-0000-000042B00000}"/>
    <cellStyle name="Normal 11 5 5 7" xfId="23456" xr:uid="{00000000-0005-0000-0000-000043B00000}"/>
    <cellStyle name="Normal 11 5 5 8" xfId="35251" xr:uid="{00000000-0005-0000-0000-000044B00000}"/>
    <cellStyle name="Normal 11 5 5 9" xfId="40728" xr:uid="{00000000-0005-0000-0000-000045B00000}"/>
    <cellStyle name="Normal 11 5 6" xfId="960" xr:uid="{00000000-0005-0000-0000-000046B00000}"/>
    <cellStyle name="Normal 11 5 6 10" xfId="46206" xr:uid="{00000000-0005-0000-0000-000047B00000}"/>
    <cellStyle name="Normal 11 5 6 11" xfId="51685" xr:uid="{00000000-0005-0000-0000-000048B00000}"/>
    <cellStyle name="Normal 11 5 6 2" xfId="2721" xr:uid="{00000000-0005-0000-0000-000049B00000}"/>
    <cellStyle name="Normal 11 5 6 2 2" xfId="8201" xr:uid="{00000000-0005-0000-0000-00004AB00000}"/>
    <cellStyle name="Normal 11 5 6 2 3" xfId="13677" xr:uid="{00000000-0005-0000-0000-00004BB00000}"/>
    <cellStyle name="Normal 11 5 6 2 4" xfId="19153" xr:uid="{00000000-0005-0000-0000-00004CB00000}"/>
    <cellStyle name="Normal 11 5 6 2 5" xfId="24629" xr:uid="{00000000-0005-0000-0000-00004DB00000}"/>
    <cellStyle name="Normal 11 5 6 2 6" xfId="36425" xr:uid="{00000000-0005-0000-0000-00004EB00000}"/>
    <cellStyle name="Normal 11 5 6 2 7" xfId="41902" xr:uid="{00000000-0005-0000-0000-00004FB00000}"/>
    <cellStyle name="Normal 11 5 6 2 8" xfId="47379" xr:uid="{00000000-0005-0000-0000-000050B00000}"/>
    <cellStyle name="Normal 11 5 6 2 9" xfId="52897" xr:uid="{00000000-0005-0000-0000-000051B00000}"/>
    <cellStyle name="Normal 11 5 6 3" xfId="4493" xr:uid="{00000000-0005-0000-0000-000052B00000}"/>
    <cellStyle name="Normal 11 5 6 3 2" xfId="9973" xr:uid="{00000000-0005-0000-0000-000053B00000}"/>
    <cellStyle name="Normal 11 5 6 3 3" xfId="15449" xr:uid="{00000000-0005-0000-0000-000054B00000}"/>
    <cellStyle name="Normal 11 5 6 3 4" xfId="20925" xr:uid="{00000000-0005-0000-0000-000055B00000}"/>
    <cellStyle name="Normal 11 5 6 3 5" xfId="26401" xr:uid="{00000000-0005-0000-0000-000056B00000}"/>
    <cellStyle name="Normal 11 5 6 3 6" xfId="38197" xr:uid="{00000000-0005-0000-0000-000057B00000}"/>
    <cellStyle name="Normal 11 5 6 3 7" xfId="43674" xr:uid="{00000000-0005-0000-0000-000058B00000}"/>
    <cellStyle name="Normal 11 5 6 3 8" xfId="49151" xr:uid="{00000000-0005-0000-0000-000059B00000}"/>
    <cellStyle name="Normal 11 5 6 3 9" xfId="54669" xr:uid="{00000000-0005-0000-0000-00005AB00000}"/>
    <cellStyle name="Normal 11 5 6 4" xfId="7025" xr:uid="{00000000-0005-0000-0000-00005BB00000}"/>
    <cellStyle name="Normal 11 5 6 5" xfId="12505" xr:uid="{00000000-0005-0000-0000-00005CB00000}"/>
    <cellStyle name="Normal 11 5 6 6" xfId="17981" xr:uid="{00000000-0005-0000-0000-00005DB00000}"/>
    <cellStyle name="Normal 11 5 6 7" xfId="23457" xr:uid="{00000000-0005-0000-0000-00005EB00000}"/>
    <cellStyle name="Normal 11 5 6 8" xfId="35252" xr:uid="{00000000-0005-0000-0000-00005FB00000}"/>
    <cellStyle name="Normal 11 5 6 9" xfId="40729" xr:uid="{00000000-0005-0000-0000-000060B00000}"/>
    <cellStyle name="Normal 11 5 7" xfId="1166" xr:uid="{00000000-0005-0000-0000-000061B00000}"/>
    <cellStyle name="Normal 11 5 7 10" xfId="46207" xr:uid="{00000000-0005-0000-0000-000062B00000}"/>
    <cellStyle name="Normal 11 5 7 11" xfId="51686" xr:uid="{00000000-0005-0000-0000-000063B00000}"/>
    <cellStyle name="Normal 11 5 7 2" xfId="2927" xr:uid="{00000000-0005-0000-0000-000064B00000}"/>
    <cellStyle name="Normal 11 5 7 2 2" xfId="8407" xr:uid="{00000000-0005-0000-0000-000065B00000}"/>
    <cellStyle name="Normal 11 5 7 2 3" xfId="13883" xr:uid="{00000000-0005-0000-0000-000066B00000}"/>
    <cellStyle name="Normal 11 5 7 2 4" xfId="19359" xr:uid="{00000000-0005-0000-0000-000067B00000}"/>
    <cellStyle name="Normal 11 5 7 2 5" xfId="24835" xr:uid="{00000000-0005-0000-0000-000068B00000}"/>
    <cellStyle name="Normal 11 5 7 2 6" xfId="36631" xr:uid="{00000000-0005-0000-0000-000069B00000}"/>
    <cellStyle name="Normal 11 5 7 2 7" xfId="42108" xr:uid="{00000000-0005-0000-0000-00006AB00000}"/>
    <cellStyle name="Normal 11 5 7 2 8" xfId="47585" xr:uid="{00000000-0005-0000-0000-00006BB00000}"/>
    <cellStyle name="Normal 11 5 7 2 9" xfId="53103" xr:uid="{00000000-0005-0000-0000-00006CB00000}"/>
    <cellStyle name="Normal 11 5 7 3" xfId="4699" xr:uid="{00000000-0005-0000-0000-00006DB00000}"/>
    <cellStyle name="Normal 11 5 7 3 2" xfId="10179" xr:uid="{00000000-0005-0000-0000-00006EB00000}"/>
    <cellStyle name="Normal 11 5 7 3 3" xfId="15655" xr:uid="{00000000-0005-0000-0000-00006FB00000}"/>
    <cellStyle name="Normal 11 5 7 3 4" xfId="21131" xr:uid="{00000000-0005-0000-0000-000070B00000}"/>
    <cellStyle name="Normal 11 5 7 3 5" xfId="26607" xr:uid="{00000000-0005-0000-0000-000071B00000}"/>
    <cellStyle name="Normal 11 5 7 3 6" xfId="38403" xr:uid="{00000000-0005-0000-0000-000072B00000}"/>
    <cellStyle name="Normal 11 5 7 3 7" xfId="43880" xr:uid="{00000000-0005-0000-0000-000073B00000}"/>
    <cellStyle name="Normal 11 5 7 3 8" xfId="49357" xr:uid="{00000000-0005-0000-0000-000074B00000}"/>
    <cellStyle name="Normal 11 5 7 3 9" xfId="54875" xr:uid="{00000000-0005-0000-0000-000075B00000}"/>
    <cellStyle name="Normal 11 5 7 4" xfId="7026" xr:uid="{00000000-0005-0000-0000-000076B00000}"/>
    <cellStyle name="Normal 11 5 7 5" xfId="12506" xr:uid="{00000000-0005-0000-0000-000077B00000}"/>
    <cellStyle name="Normal 11 5 7 6" xfId="17982" xr:uid="{00000000-0005-0000-0000-000078B00000}"/>
    <cellStyle name="Normal 11 5 7 7" xfId="23458" xr:uid="{00000000-0005-0000-0000-000079B00000}"/>
    <cellStyle name="Normal 11 5 7 8" xfId="35253" xr:uid="{00000000-0005-0000-0000-00007AB00000}"/>
    <cellStyle name="Normal 11 5 7 9" xfId="40730" xr:uid="{00000000-0005-0000-0000-00007BB00000}"/>
    <cellStyle name="Normal 11 5 8" xfId="1338" xr:uid="{00000000-0005-0000-0000-00007CB00000}"/>
    <cellStyle name="Normal 11 5 8 10" xfId="46208" xr:uid="{00000000-0005-0000-0000-00007DB00000}"/>
    <cellStyle name="Normal 11 5 8 11" xfId="51687" xr:uid="{00000000-0005-0000-0000-00007EB00000}"/>
    <cellStyle name="Normal 11 5 8 2" xfId="3099" xr:uid="{00000000-0005-0000-0000-00007FB00000}"/>
    <cellStyle name="Normal 11 5 8 2 2" xfId="8579" xr:uid="{00000000-0005-0000-0000-000080B00000}"/>
    <cellStyle name="Normal 11 5 8 2 3" xfId="14055" xr:uid="{00000000-0005-0000-0000-000081B00000}"/>
    <cellStyle name="Normal 11 5 8 2 4" xfId="19531" xr:uid="{00000000-0005-0000-0000-000082B00000}"/>
    <cellStyle name="Normal 11 5 8 2 5" xfId="25007" xr:uid="{00000000-0005-0000-0000-000083B00000}"/>
    <cellStyle name="Normal 11 5 8 2 6" xfId="36803" xr:uid="{00000000-0005-0000-0000-000084B00000}"/>
    <cellStyle name="Normal 11 5 8 2 7" xfId="42280" xr:uid="{00000000-0005-0000-0000-000085B00000}"/>
    <cellStyle name="Normal 11 5 8 2 8" xfId="47757" xr:uid="{00000000-0005-0000-0000-000086B00000}"/>
    <cellStyle name="Normal 11 5 8 2 9" xfId="53275" xr:uid="{00000000-0005-0000-0000-000087B00000}"/>
    <cellStyle name="Normal 11 5 8 3" xfId="4871" xr:uid="{00000000-0005-0000-0000-000088B00000}"/>
    <cellStyle name="Normal 11 5 8 3 2" xfId="10351" xr:uid="{00000000-0005-0000-0000-000089B00000}"/>
    <cellStyle name="Normal 11 5 8 3 3" xfId="15827" xr:uid="{00000000-0005-0000-0000-00008AB00000}"/>
    <cellStyle name="Normal 11 5 8 3 4" xfId="21303" xr:uid="{00000000-0005-0000-0000-00008BB00000}"/>
    <cellStyle name="Normal 11 5 8 3 5" xfId="26779" xr:uid="{00000000-0005-0000-0000-00008CB00000}"/>
    <cellStyle name="Normal 11 5 8 3 6" xfId="38575" xr:uid="{00000000-0005-0000-0000-00008DB00000}"/>
    <cellStyle name="Normal 11 5 8 3 7" xfId="44052" xr:uid="{00000000-0005-0000-0000-00008EB00000}"/>
    <cellStyle name="Normal 11 5 8 3 8" xfId="49529" xr:uid="{00000000-0005-0000-0000-00008FB00000}"/>
    <cellStyle name="Normal 11 5 8 3 9" xfId="55047" xr:uid="{00000000-0005-0000-0000-000090B00000}"/>
    <cellStyle name="Normal 11 5 8 4" xfId="7027" xr:uid="{00000000-0005-0000-0000-000091B00000}"/>
    <cellStyle name="Normal 11 5 8 5" xfId="12507" xr:uid="{00000000-0005-0000-0000-000092B00000}"/>
    <cellStyle name="Normal 11 5 8 6" xfId="17983" xr:uid="{00000000-0005-0000-0000-000093B00000}"/>
    <cellStyle name="Normal 11 5 8 7" xfId="23459" xr:uid="{00000000-0005-0000-0000-000094B00000}"/>
    <cellStyle name="Normal 11 5 8 8" xfId="35254" xr:uid="{00000000-0005-0000-0000-000095B00000}"/>
    <cellStyle name="Normal 11 5 8 9" xfId="40731" xr:uid="{00000000-0005-0000-0000-000096B00000}"/>
    <cellStyle name="Normal 11 5 9" xfId="1510" xr:uid="{00000000-0005-0000-0000-000097B00000}"/>
    <cellStyle name="Normal 11 5 9 10" xfId="46209" xr:uid="{00000000-0005-0000-0000-000098B00000}"/>
    <cellStyle name="Normal 11 5 9 11" xfId="51688" xr:uid="{00000000-0005-0000-0000-000099B00000}"/>
    <cellStyle name="Normal 11 5 9 2" xfId="3271" xr:uid="{00000000-0005-0000-0000-00009AB00000}"/>
    <cellStyle name="Normal 11 5 9 2 2" xfId="8751" xr:uid="{00000000-0005-0000-0000-00009BB00000}"/>
    <cellStyle name="Normal 11 5 9 2 3" xfId="14227" xr:uid="{00000000-0005-0000-0000-00009CB00000}"/>
    <cellStyle name="Normal 11 5 9 2 4" xfId="19703" xr:uid="{00000000-0005-0000-0000-00009DB00000}"/>
    <cellStyle name="Normal 11 5 9 2 5" xfId="25179" xr:uid="{00000000-0005-0000-0000-00009EB00000}"/>
    <cellStyle name="Normal 11 5 9 2 6" xfId="36975" xr:uid="{00000000-0005-0000-0000-00009FB00000}"/>
    <cellStyle name="Normal 11 5 9 2 7" xfId="42452" xr:uid="{00000000-0005-0000-0000-0000A0B00000}"/>
    <cellStyle name="Normal 11 5 9 2 8" xfId="47929" xr:uid="{00000000-0005-0000-0000-0000A1B00000}"/>
    <cellStyle name="Normal 11 5 9 2 9" xfId="53447" xr:uid="{00000000-0005-0000-0000-0000A2B00000}"/>
    <cellStyle name="Normal 11 5 9 3" xfId="5043" xr:uid="{00000000-0005-0000-0000-0000A3B00000}"/>
    <cellStyle name="Normal 11 5 9 3 2" xfId="10523" xr:uid="{00000000-0005-0000-0000-0000A4B00000}"/>
    <cellStyle name="Normal 11 5 9 3 3" xfId="15999" xr:uid="{00000000-0005-0000-0000-0000A5B00000}"/>
    <cellStyle name="Normal 11 5 9 3 4" xfId="21475" xr:uid="{00000000-0005-0000-0000-0000A6B00000}"/>
    <cellStyle name="Normal 11 5 9 3 5" xfId="26951" xr:uid="{00000000-0005-0000-0000-0000A7B00000}"/>
    <cellStyle name="Normal 11 5 9 3 6" xfId="38747" xr:uid="{00000000-0005-0000-0000-0000A8B00000}"/>
    <cellStyle name="Normal 11 5 9 3 7" xfId="44224" xr:uid="{00000000-0005-0000-0000-0000A9B00000}"/>
    <cellStyle name="Normal 11 5 9 3 8" xfId="49701" xr:uid="{00000000-0005-0000-0000-0000AAB00000}"/>
    <cellStyle name="Normal 11 5 9 3 9" xfId="55219" xr:uid="{00000000-0005-0000-0000-0000ABB00000}"/>
    <cellStyle name="Normal 11 5 9 4" xfId="7028" xr:uid="{00000000-0005-0000-0000-0000ACB00000}"/>
    <cellStyle name="Normal 11 5 9 5" xfId="12508" xr:uid="{00000000-0005-0000-0000-0000ADB00000}"/>
    <cellStyle name="Normal 11 5 9 6" xfId="17984" xr:uid="{00000000-0005-0000-0000-0000AEB00000}"/>
    <cellStyle name="Normal 11 5 9 7" xfId="23460" xr:uid="{00000000-0005-0000-0000-0000AFB00000}"/>
    <cellStyle name="Normal 11 5 9 8" xfId="35255" xr:uid="{00000000-0005-0000-0000-0000B0B00000}"/>
    <cellStyle name="Normal 11 5 9 9" xfId="40732" xr:uid="{00000000-0005-0000-0000-0000B1B00000}"/>
    <cellStyle name="Normal 11 6" xfId="202" xr:uid="{00000000-0005-0000-0000-0000B2B00000}"/>
    <cellStyle name="Normal 11 6 10" xfId="1876" xr:uid="{00000000-0005-0000-0000-0000B3B00000}"/>
    <cellStyle name="Normal 11 6 10 10" xfId="46211" xr:uid="{00000000-0005-0000-0000-0000B4B00000}"/>
    <cellStyle name="Normal 11 6 10 11" xfId="51690" xr:uid="{00000000-0005-0000-0000-0000B5B00000}"/>
    <cellStyle name="Normal 11 6 10 2" xfId="3637" xr:uid="{00000000-0005-0000-0000-0000B6B00000}"/>
    <cellStyle name="Normal 11 6 10 2 2" xfId="9117" xr:uid="{00000000-0005-0000-0000-0000B7B00000}"/>
    <cellStyle name="Normal 11 6 10 2 3" xfId="14593" xr:uid="{00000000-0005-0000-0000-0000B8B00000}"/>
    <cellStyle name="Normal 11 6 10 2 4" xfId="20069" xr:uid="{00000000-0005-0000-0000-0000B9B00000}"/>
    <cellStyle name="Normal 11 6 10 2 5" xfId="25545" xr:uid="{00000000-0005-0000-0000-0000BAB00000}"/>
    <cellStyle name="Normal 11 6 10 2 6" xfId="37341" xr:uid="{00000000-0005-0000-0000-0000BBB00000}"/>
    <cellStyle name="Normal 11 6 10 2 7" xfId="42818" xr:uid="{00000000-0005-0000-0000-0000BCB00000}"/>
    <cellStyle name="Normal 11 6 10 2 8" xfId="48295" xr:uid="{00000000-0005-0000-0000-0000BDB00000}"/>
    <cellStyle name="Normal 11 6 10 2 9" xfId="53813" xr:uid="{00000000-0005-0000-0000-0000BEB00000}"/>
    <cellStyle name="Normal 11 6 10 3" xfId="5409" xr:uid="{00000000-0005-0000-0000-0000BFB00000}"/>
    <cellStyle name="Normal 11 6 10 3 2" xfId="10889" xr:uid="{00000000-0005-0000-0000-0000C0B00000}"/>
    <cellStyle name="Normal 11 6 10 3 3" xfId="16365" xr:uid="{00000000-0005-0000-0000-0000C1B00000}"/>
    <cellStyle name="Normal 11 6 10 3 4" xfId="21841" xr:uid="{00000000-0005-0000-0000-0000C2B00000}"/>
    <cellStyle name="Normal 11 6 10 3 5" xfId="27317" xr:uid="{00000000-0005-0000-0000-0000C3B00000}"/>
    <cellStyle name="Normal 11 6 10 3 6" xfId="39113" xr:uid="{00000000-0005-0000-0000-0000C4B00000}"/>
    <cellStyle name="Normal 11 6 10 3 7" xfId="44590" xr:uid="{00000000-0005-0000-0000-0000C5B00000}"/>
    <cellStyle name="Normal 11 6 10 3 8" xfId="50067" xr:uid="{00000000-0005-0000-0000-0000C6B00000}"/>
    <cellStyle name="Normal 11 6 10 3 9" xfId="55585" xr:uid="{00000000-0005-0000-0000-0000C7B00000}"/>
    <cellStyle name="Normal 11 6 10 4" xfId="7030" xr:uid="{00000000-0005-0000-0000-0000C8B00000}"/>
    <cellStyle name="Normal 11 6 10 5" xfId="12510" xr:uid="{00000000-0005-0000-0000-0000C9B00000}"/>
    <cellStyle name="Normal 11 6 10 6" xfId="17986" xr:uid="{00000000-0005-0000-0000-0000CAB00000}"/>
    <cellStyle name="Normal 11 6 10 7" xfId="23462" xr:uid="{00000000-0005-0000-0000-0000CBB00000}"/>
    <cellStyle name="Normal 11 6 10 8" xfId="35257" xr:uid="{00000000-0005-0000-0000-0000CCB00000}"/>
    <cellStyle name="Normal 11 6 10 9" xfId="40734" xr:uid="{00000000-0005-0000-0000-0000CDB00000}"/>
    <cellStyle name="Normal 11 6 11" xfId="2046" xr:uid="{00000000-0005-0000-0000-0000CEB00000}"/>
    <cellStyle name="Normal 11 6 11 10" xfId="52223" xr:uid="{00000000-0005-0000-0000-0000CFB00000}"/>
    <cellStyle name="Normal 11 6 11 2" xfId="5578" xr:uid="{00000000-0005-0000-0000-0000D0B00000}"/>
    <cellStyle name="Normal 11 6 11 2 2" xfId="11058" xr:uid="{00000000-0005-0000-0000-0000D1B00000}"/>
    <cellStyle name="Normal 11 6 11 2 3" xfId="16534" xr:uid="{00000000-0005-0000-0000-0000D2B00000}"/>
    <cellStyle name="Normal 11 6 11 2 4" xfId="22010" xr:uid="{00000000-0005-0000-0000-0000D3B00000}"/>
    <cellStyle name="Normal 11 6 11 2 5" xfId="27486" xr:uid="{00000000-0005-0000-0000-0000D4B00000}"/>
    <cellStyle name="Normal 11 6 11 2 6" xfId="39282" xr:uid="{00000000-0005-0000-0000-0000D5B00000}"/>
    <cellStyle name="Normal 11 6 11 2 7" xfId="44759" xr:uid="{00000000-0005-0000-0000-0000D6B00000}"/>
    <cellStyle name="Normal 11 6 11 2 8" xfId="50236" xr:uid="{00000000-0005-0000-0000-0000D7B00000}"/>
    <cellStyle name="Normal 11 6 11 2 9" xfId="55754" xr:uid="{00000000-0005-0000-0000-0000D8B00000}"/>
    <cellStyle name="Normal 11 6 11 3" xfId="7527" xr:uid="{00000000-0005-0000-0000-0000D9B00000}"/>
    <cellStyle name="Normal 11 6 11 4" xfId="13003" xr:uid="{00000000-0005-0000-0000-0000DAB00000}"/>
    <cellStyle name="Normal 11 6 11 5" xfId="18479" xr:uid="{00000000-0005-0000-0000-0000DBB00000}"/>
    <cellStyle name="Normal 11 6 11 6" xfId="23955" xr:uid="{00000000-0005-0000-0000-0000DCB00000}"/>
    <cellStyle name="Normal 11 6 11 7" xfId="35751" xr:uid="{00000000-0005-0000-0000-0000DDB00000}"/>
    <cellStyle name="Normal 11 6 11 8" xfId="41228" xr:uid="{00000000-0005-0000-0000-0000DEB00000}"/>
    <cellStyle name="Normal 11 6 11 9" xfId="46705" xr:uid="{00000000-0005-0000-0000-0000DFB00000}"/>
    <cellStyle name="Normal 11 6 12" xfId="3768" xr:uid="{00000000-0005-0000-0000-0000E0B00000}"/>
    <cellStyle name="Normal 11 6 12 2" xfId="9248" xr:uid="{00000000-0005-0000-0000-0000E1B00000}"/>
    <cellStyle name="Normal 11 6 12 3" xfId="14724" xr:uid="{00000000-0005-0000-0000-0000E2B00000}"/>
    <cellStyle name="Normal 11 6 12 4" xfId="20200" xr:uid="{00000000-0005-0000-0000-0000E3B00000}"/>
    <cellStyle name="Normal 11 6 12 5" xfId="25676" xr:uid="{00000000-0005-0000-0000-0000E4B00000}"/>
    <cellStyle name="Normal 11 6 12 6" xfId="37472" xr:uid="{00000000-0005-0000-0000-0000E5B00000}"/>
    <cellStyle name="Normal 11 6 12 7" xfId="42949" xr:uid="{00000000-0005-0000-0000-0000E6B00000}"/>
    <cellStyle name="Normal 11 6 12 8" xfId="48426" xr:uid="{00000000-0005-0000-0000-0000E7B00000}"/>
    <cellStyle name="Normal 11 6 12 9" xfId="53944" xr:uid="{00000000-0005-0000-0000-0000E8B00000}"/>
    <cellStyle name="Normal 11 6 13" xfId="7029" xr:uid="{00000000-0005-0000-0000-0000E9B00000}"/>
    <cellStyle name="Normal 11 6 14" xfId="12509" xr:uid="{00000000-0005-0000-0000-0000EAB00000}"/>
    <cellStyle name="Normal 11 6 15" xfId="17985" xr:uid="{00000000-0005-0000-0000-0000EBB00000}"/>
    <cellStyle name="Normal 11 6 16" xfId="23461" xr:uid="{00000000-0005-0000-0000-0000ECB00000}"/>
    <cellStyle name="Normal 11 6 17" xfId="32941" xr:uid="{00000000-0005-0000-0000-0000EDB00000}"/>
    <cellStyle name="Normal 11 6 18" xfId="35256" xr:uid="{00000000-0005-0000-0000-0000EEB00000}"/>
    <cellStyle name="Normal 11 6 19" xfId="40733" xr:uid="{00000000-0005-0000-0000-0000EFB00000}"/>
    <cellStyle name="Normal 11 6 2" xfId="441" xr:uid="{00000000-0005-0000-0000-0000F0B00000}"/>
    <cellStyle name="Normal 11 6 2 10" xfId="40735" xr:uid="{00000000-0005-0000-0000-0000F1B00000}"/>
    <cellStyle name="Normal 11 6 2 11" xfId="46212" xr:uid="{00000000-0005-0000-0000-0000F2B00000}"/>
    <cellStyle name="Normal 11 6 2 12" xfId="51691" xr:uid="{00000000-0005-0000-0000-0000F3B00000}"/>
    <cellStyle name="Normal 11 6 2 2" xfId="2207" xr:uid="{00000000-0005-0000-0000-0000F4B00000}"/>
    <cellStyle name="Normal 11 6 2 2 10" xfId="52383" xr:uid="{00000000-0005-0000-0000-0000F5B00000}"/>
    <cellStyle name="Normal 11 6 2 2 2" xfId="7687" xr:uid="{00000000-0005-0000-0000-0000F6B00000}"/>
    <cellStyle name="Normal 11 6 2 2 3" xfId="13163" xr:uid="{00000000-0005-0000-0000-0000F7B00000}"/>
    <cellStyle name="Normal 11 6 2 2 4" xfId="18639" xr:uid="{00000000-0005-0000-0000-0000F8B00000}"/>
    <cellStyle name="Normal 11 6 2 2 5" xfId="24115" xr:uid="{00000000-0005-0000-0000-0000F9B00000}"/>
    <cellStyle name="Normal 11 6 2 2 6" xfId="32943" xr:uid="{00000000-0005-0000-0000-0000FAB00000}"/>
    <cellStyle name="Normal 11 6 2 2 7" xfId="35911" xr:uid="{00000000-0005-0000-0000-0000FBB00000}"/>
    <cellStyle name="Normal 11 6 2 2 8" xfId="41388" xr:uid="{00000000-0005-0000-0000-0000FCB00000}"/>
    <cellStyle name="Normal 11 6 2 2 9" xfId="46865" xr:uid="{00000000-0005-0000-0000-0000FDB00000}"/>
    <cellStyle name="Normal 11 6 2 3" xfId="3979" xr:uid="{00000000-0005-0000-0000-0000FEB00000}"/>
    <cellStyle name="Normal 11 6 2 3 2" xfId="9459" xr:uid="{00000000-0005-0000-0000-0000FFB00000}"/>
    <cellStyle name="Normal 11 6 2 3 3" xfId="14935" xr:uid="{00000000-0005-0000-0000-000000B10000}"/>
    <cellStyle name="Normal 11 6 2 3 4" xfId="20411" xr:uid="{00000000-0005-0000-0000-000001B10000}"/>
    <cellStyle name="Normal 11 6 2 3 5" xfId="25887" xr:uid="{00000000-0005-0000-0000-000002B10000}"/>
    <cellStyle name="Normal 11 6 2 3 6" xfId="37683" xr:uid="{00000000-0005-0000-0000-000003B10000}"/>
    <cellStyle name="Normal 11 6 2 3 7" xfId="43160" xr:uid="{00000000-0005-0000-0000-000004B10000}"/>
    <cellStyle name="Normal 11 6 2 3 8" xfId="48637" xr:uid="{00000000-0005-0000-0000-000005B10000}"/>
    <cellStyle name="Normal 11 6 2 3 9" xfId="54155" xr:uid="{00000000-0005-0000-0000-000006B10000}"/>
    <cellStyle name="Normal 11 6 2 4" xfId="7031" xr:uid="{00000000-0005-0000-0000-000007B10000}"/>
    <cellStyle name="Normal 11 6 2 5" xfId="12511" xr:uid="{00000000-0005-0000-0000-000008B10000}"/>
    <cellStyle name="Normal 11 6 2 6" xfId="17987" xr:uid="{00000000-0005-0000-0000-000009B10000}"/>
    <cellStyle name="Normal 11 6 2 7" xfId="23463" xr:uid="{00000000-0005-0000-0000-00000AB10000}"/>
    <cellStyle name="Normal 11 6 2 8" xfId="32942" xr:uid="{00000000-0005-0000-0000-00000BB10000}"/>
    <cellStyle name="Normal 11 6 2 9" xfId="35258" xr:uid="{00000000-0005-0000-0000-00000CB10000}"/>
    <cellStyle name="Normal 11 6 20" xfId="46210" xr:uid="{00000000-0005-0000-0000-00000DB10000}"/>
    <cellStyle name="Normal 11 6 21" xfId="51689" xr:uid="{00000000-0005-0000-0000-00000EB10000}"/>
    <cellStyle name="Normal 11 6 3" xfId="618" xr:uid="{00000000-0005-0000-0000-00000FB10000}"/>
    <cellStyle name="Normal 11 6 3 10" xfId="40736" xr:uid="{00000000-0005-0000-0000-000010B10000}"/>
    <cellStyle name="Normal 11 6 3 11" xfId="46213" xr:uid="{00000000-0005-0000-0000-000011B10000}"/>
    <cellStyle name="Normal 11 6 3 12" xfId="51692" xr:uid="{00000000-0005-0000-0000-000012B10000}"/>
    <cellStyle name="Normal 11 6 3 2" xfId="2379" xr:uid="{00000000-0005-0000-0000-000013B10000}"/>
    <cellStyle name="Normal 11 6 3 2 2" xfId="7859" xr:uid="{00000000-0005-0000-0000-000014B10000}"/>
    <cellStyle name="Normal 11 6 3 2 3" xfId="13335" xr:uid="{00000000-0005-0000-0000-000015B10000}"/>
    <cellStyle name="Normal 11 6 3 2 4" xfId="18811" xr:uid="{00000000-0005-0000-0000-000016B10000}"/>
    <cellStyle name="Normal 11 6 3 2 5" xfId="24287" xr:uid="{00000000-0005-0000-0000-000017B10000}"/>
    <cellStyle name="Normal 11 6 3 2 6" xfId="36083" xr:uid="{00000000-0005-0000-0000-000018B10000}"/>
    <cellStyle name="Normal 11 6 3 2 7" xfId="41560" xr:uid="{00000000-0005-0000-0000-000019B10000}"/>
    <cellStyle name="Normal 11 6 3 2 8" xfId="47037" xr:uid="{00000000-0005-0000-0000-00001AB10000}"/>
    <cellStyle name="Normal 11 6 3 2 9" xfId="52555" xr:uid="{00000000-0005-0000-0000-00001BB10000}"/>
    <cellStyle name="Normal 11 6 3 3" xfId="4151" xr:uid="{00000000-0005-0000-0000-00001CB10000}"/>
    <cellStyle name="Normal 11 6 3 3 2" xfId="9631" xr:uid="{00000000-0005-0000-0000-00001DB10000}"/>
    <cellStyle name="Normal 11 6 3 3 3" xfId="15107" xr:uid="{00000000-0005-0000-0000-00001EB10000}"/>
    <cellStyle name="Normal 11 6 3 3 4" xfId="20583" xr:uid="{00000000-0005-0000-0000-00001FB10000}"/>
    <cellStyle name="Normal 11 6 3 3 5" xfId="26059" xr:uid="{00000000-0005-0000-0000-000020B10000}"/>
    <cellStyle name="Normal 11 6 3 3 6" xfId="37855" xr:uid="{00000000-0005-0000-0000-000021B10000}"/>
    <cellStyle name="Normal 11 6 3 3 7" xfId="43332" xr:uid="{00000000-0005-0000-0000-000022B10000}"/>
    <cellStyle name="Normal 11 6 3 3 8" xfId="48809" xr:uid="{00000000-0005-0000-0000-000023B10000}"/>
    <cellStyle name="Normal 11 6 3 3 9" xfId="54327" xr:uid="{00000000-0005-0000-0000-000024B10000}"/>
    <cellStyle name="Normal 11 6 3 4" xfId="7032" xr:uid="{00000000-0005-0000-0000-000025B10000}"/>
    <cellStyle name="Normal 11 6 3 5" xfId="12512" xr:uid="{00000000-0005-0000-0000-000026B10000}"/>
    <cellStyle name="Normal 11 6 3 6" xfId="17988" xr:uid="{00000000-0005-0000-0000-000027B10000}"/>
    <cellStyle name="Normal 11 6 3 7" xfId="23464" xr:uid="{00000000-0005-0000-0000-000028B10000}"/>
    <cellStyle name="Normal 11 6 3 8" xfId="32944" xr:uid="{00000000-0005-0000-0000-000029B10000}"/>
    <cellStyle name="Normal 11 6 3 9" xfId="35259" xr:uid="{00000000-0005-0000-0000-00002AB10000}"/>
    <cellStyle name="Normal 11 6 4" xfId="790" xr:uid="{00000000-0005-0000-0000-00002BB10000}"/>
    <cellStyle name="Normal 11 6 4 10" xfId="46214" xr:uid="{00000000-0005-0000-0000-00002CB10000}"/>
    <cellStyle name="Normal 11 6 4 11" xfId="51693" xr:uid="{00000000-0005-0000-0000-00002DB10000}"/>
    <cellStyle name="Normal 11 6 4 2" xfId="2551" xr:uid="{00000000-0005-0000-0000-00002EB10000}"/>
    <cellStyle name="Normal 11 6 4 2 2" xfId="8031" xr:uid="{00000000-0005-0000-0000-00002FB10000}"/>
    <cellStyle name="Normal 11 6 4 2 3" xfId="13507" xr:uid="{00000000-0005-0000-0000-000030B10000}"/>
    <cellStyle name="Normal 11 6 4 2 4" xfId="18983" xr:uid="{00000000-0005-0000-0000-000031B10000}"/>
    <cellStyle name="Normal 11 6 4 2 5" xfId="24459" xr:uid="{00000000-0005-0000-0000-000032B10000}"/>
    <cellStyle name="Normal 11 6 4 2 6" xfId="36255" xr:uid="{00000000-0005-0000-0000-000033B10000}"/>
    <cellStyle name="Normal 11 6 4 2 7" xfId="41732" xr:uid="{00000000-0005-0000-0000-000034B10000}"/>
    <cellStyle name="Normal 11 6 4 2 8" xfId="47209" xr:uid="{00000000-0005-0000-0000-000035B10000}"/>
    <cellStyle name="Normal 11 6 4 2 9" xfId="52727" xr:uid="{00000000-0005-0000-0000-000036B10000}"/>
    <cellStyle name="Normal 11 6 4 3" xfId="4323" xr:uid="{00000000-0005-0000-0000-000037B10000}"/>
    <cellStyle name="Normal 11 6 4 3 2" xfId="9803" xr:uid="{00000000-0005-0000-0000-000038B10000}"/>
    <cellStyle name="Normal 11 6 4 3 3" xfId="15279" xr:uid="{00000000-0005-0000-0000-000039B10000}"/>
    <cellStyle name="Normal 11 6 4 3 4" xfId="20755" xr:uid="{00000000-0005-0000-0000-00003AB10000}"/>
    <cellStyle name="Normal 11 6 4 3 5" xfId="26231" xr:uid="{00000000-0005-0000-0000-00003BB10000}"/>
    <cellStyle name="Normal 11 6 4 3 6" xfId="38027" xr:uid="{00000000-0005-0000-0000-00003CB10000}"/>
    <cellStyle name="Normal 11 6 4 3 7" xfId="43504" xr:uid="{00000000-0005-0000-0000-00003DB10000}"/>
    <cellStyle name="Normal 11 6 4 3 8" xfId="48981" xr:uid="{00000000-0005-0000-0000-00003EB10000}"/>
    <cellStyle name="Normal 11 6 4 3 9" xfId="54499" xr:uid="{00000000-0005-0000-0000-00003FB10000}"/>
    <cellStyle name="Normal 11 6 4 4" xfId="7033" xr:uid="{00000000-0005-0000-0000-000040B10000}"/>
    <cellStyle name="Normal 11 6 4 5" xfId="12513" xr:uid="{00000000-0005-0000-0000-000041B10000}"/>
    <cellStyle name="Normal 11 6 4 6" xfId="17989" xr:uid="{00000000-0005-0000-0000-000042B10000}"/>
    <cellStyle name="Normal 11 6 4 7" xfId="23465" xr:uid="{00000000-0005-0000-0000-000043B10000}"/>
    <cellStyle name="Normal 11 6 4 8" xfId="35260" xr:uid="{00000000-0005-0000-0000-000044B10000}"/>
    <cellStyle name="Normal 11 6 4 9" xfId="40737" xr:uid="{00000000-0005-0000-0000-000045B10000}"/>
    <cellStyle name="Normal 11 6 5" xfId="962" xr:uid="{00000000-0005-0000-0000-000046B10000}"/>
    <cellStyle name="Normal 11 6 5 10" xfId="46215" xr:uid="{00000000-0005-0000-0000-000047B10000}"/>
    <cellStyle name="Normal 11 6 5 11" xfId="51694" xr:uid="{00000000-0005-0000-0000-000048B10000}"/>
    <cellStyle name="Normal 11 6 5 2" xfId="2723" xr:uid="{00000000-0005-0000-0000-000049B10000}"/>
    <cellStyle name="Normal 11 6 5 2 2" xfId="8203" xr:uid="{00000000-0005-0000-0000-00004AB10000}"/>
    <cellStyle name="Normal 11 6 5 2 3" xfId="13679" xr:uid="{00000000-0005-0000-0000-00004BB10000}"/>
    <cellStyle name="Normal 11 6 5 2 4" xfId="19155" xr:uid="{00000000-0005-0000-0000-00004CB10000}"/>
    <cellStyle name="Normal 11 6 5 2 5" xfId="24631" xr:uid="{00000000-0005-0000-0000-00004DB10000}"/>
    <cellStyle name="Normal 11 6 5 2 6" xfId="36427" xr:uid="{00000000-0005-0000-0000-00004EB10000}"/>
    <cellStyle name="Normal 11 6 5 2 7" xfId="41904" xr:uid="{00000000-0005-0000-0000-00004FB10000}"/>
    <cellStyle name="Normal 11 6 5 2 8" xfId="47381" xr:uid="{00000000-0005-0000-0000-000050B10000}"/>
    <cellStyle name="Normal 11 6 5 2 9" xfId="52899" xr:uid="{00000000-0005-0000-0000-000051B10000}"/>
    <cellStyle name="Normal 11 6 5 3" xfId="4495" xr:uid="{00000000-0005-0000-0000-000052B10000}"/>
    <cellStyle name="Normal 11 6 5 3 2" xfId="9975" xr:uid="{00000000-0005-0000-0000-000053B10000}"/>
    <cellStyle name="Normal 11 6 5 3 3" xfId="15451" xr:uid="{00000000-0005-0000-0000-000054B10000}"/>
    <cellStyle name="Normal 11 6 5 3 4" xfId="20927" xr:uid="{00000000-0005-0000-0000-000055B10000}"/>
    <cellStyle name="Normal 11 6 5 3 5" xfId="26403" xr:uid="{00000000-0005-0000-0000-000056B10000}"/>
    <cellStyle name="Normal 11 6 5 3 6" xfId="38199" xr:uid="{00000000-0005-0000-0000-000057B10000}"/>
    <cellStyle name="Normal 11 6 5 3 7" xfId="43676" xr:uid="{00000000-0005-0000-0000-000058B10000}"/>
    <cellStyle name="Normal 11 6 5 3 8" xfId="49153" xr:uid="{00000000-0005-0000-0000-000059B10000}"/>
    <cellStyle name="Normal 11 6 5 3 9" xfId="54671" xr:uid="{00000000-0005-0000-0000-00005AB10000}"/>
    <cellStyle name="Normal 11 6 5 4" xfId="7034" xr:uid="{00000000-0005-0000-0000-00005BB10000}"/>
    <cellStyle name="Normal 11 6 5 5" xfId="12514" xr:uid="{00000000-0005-0000-0000-00005CB10000}"/>
    <cellStyle name="Normal 11 6 5 6" xfId="17990" xr:uid="{00000000-0005-0000-0000-00005DB10000}"/>
    <cellStyle name="Normal 11 6 5 7" xfId="23466" xr:uid="{00000000-0005-0000-0000-00005EB10000}"/>
    <cellStyle name="Normal 11 6 5 8" xfId="35261" xr:uid="{00000000-0005-0000-0000-00005FB10000}"/>
    <cellStyle name="Normal 11 6 5 9" xfId="40738" xr:uid="{00000000-0005-0000-0000-000060B10000}"/>
    <cellStyle name="Normal 11 6 6" xfId="1168" xr:uid="{00000000-0005-0000-0000-000061B10000}"/>
    <cellStyle name="Normal 11 6 6 10" xfId="46216" xr:uid="{00000000-0005-0000-0000-000062B10000}"/>
    <cellStyle name="Normal 11 6 6 11" xfId="51695" xr:uid="{00000000-0005-0000-0000-000063B10000}"/>
    <cellStyle name="Normal 11 6 6 2" xfId="2929" xr:uid="{00000000-0005-0000-0000-000064B10000}"/>
    <cellStyle name="Normal 11 6 6 2 2" xfId="8409" xr:uid="{00000000-0005-0000-0000-000065B10000}"/>
    <cellStyle name="Normal 11 6 6 2 3" xfId="13885" xr:uid="{00000000-0005-0000-0000-000066B10000}"/>
    <cellStyle name="Normal 11 6 6 2 4" xfId="19361" xr:uid="{00000000-0005-0000-0000-000067B10000}"/>
    <cellStyle name="Normal 11 6 6 2 5" xfId="24837" xr:uid="{00000000-0005-0000-0000-000068B10000}"/>
    <cellStyle name="Normal 11 6 6 2 6" xfId="36633" xr:uid="{00000000-0005-0000-0000-000069B10000}"/>
    <cellStyle name="Normal 11 6 6 2 7" xfId="42110" xr:uid="{00000000-0005-0000-0000-00006AB10000}"/>
    <cellStyle name="Normal 11 6 6 2 8" xfId="47587" xr:uid="{00000000-0005-0000-0000-00006BB10000}"/>
    <cellStyle name="Normal 11 6 6 2 9" xfId="53105" xr:uid="{00000000-0005-0000-0000-00006CB10000}"/>
    <cellStyle name="Normal 11 6 6 3" xfId="4701" xr:uid="{00000000-0005-0000-0000-00006DB10000}"/>
    <cellStyle name="Normal 11 6 6 3 2" xfId="10181" xr:uid="{00000000-0005-0000-0000-00006EB10000}"/>
    <cellStyle name="Normal 11 6 6 3 3" xfId="15657" xr:uid="{00000000-0005-0000-0000-00006FB10000}"/>
    <cellStyle name="Normal 11 6 6 3 4" xfId="21133" xr:uid="{00000000-0005-0000-0000-000070B10000}"/>
    <cellStyle name="Normal 11 6 6 3 5" xfId="26609" xr:uid="{00000000-0005-0000-0000-000071B10000}"/>
    <cellStyle name="Normal 11 6 6 3 6" xfId="38405" xr:uid="{00000000-0005-0000-0000-000072B10000}"/>
    <cellStyle name="Normal 11 6 6 3 7" xfId="43882" xr:uid="{00000000-0005-0000-0000-000073B10000}"/>
    <cellStyle name="Normal 11 6 6 3 8" xfId="49359" xr:uid="{00000000-0005-0000-0000-000074B10000}"/>
    <cellStyle name="Normal 11 6 6 3 9" xfId="54877" xr:uid="{00000000-0005-0000-0000-000075B10000}"/>
    <cellStyle name="Normal 11 6 6 4" xfId="7035" xr:uid="{00000000-0005-0000-0000-000076B10000}"/>
    <cellStyle name="Normal 11 6 6 5" xfId="12515" xr:uid="{00000000-0005-0000-0000-000077B10000}"/>
    <cellStyle name="Normal 11 6 6 6" xfId="17991" xr:uid="{00000000-0005-0000-0000-000078B10000}"/>
    <cellStyle name="Normal 11 6 6 7" xfId="23467" xr:uid="{00000000-0005-0000-0000-000079B10000}"/>
    <cellStyle name="Normal 11 6 6 8" xfId="35262" xr:uid="{00000000-0005-0000-0000-00007AB10000}"/>
    <cellStyle name="Normal 11 6 6 9" xfId="40739" xr:uid="{00000000-0005-0000-0000-00007BB10000}"/>
    <cellStyle name="Normal 11 6 7" xfId="1340" xr:uid="{00000000-0005-0000-0000-00007CB10000}"/>
    <cellStyle name="Normal 11 6 7 10" xfId="46217" xr:uid="{00000000-0005-0000-0000-00007DB10000}"/>
    <cellStyle name="Normal 11 6 7 11" xfId="51696" xr:uid="{00000000-0005-0000-0000-00007EB10000}"/>
    <cellStyle name="Normal 11 6 7 2" xfId="3101" xr:uid="{00000000-0005-0000-0000-00007FB10000}"/>
    <cellStyle name="Normal 11 6 7 2 2" xfId="8581" xr:uid="{00000000-0005-0000-0000-000080B10000}"/>
    <cellStyle name="Normal 11 6 7 2 3" xfId="14057" xr:uid="{00000000-0005-0000-0000-000081B10000}"/>
    <cellStyle name="Normal 11 6 7 2 4" xfId="19533" xr:uid="{00000000-0005-0000-0000-000082B10000}"/>
    <cellStyle name="Normal 11 6 7 2 5" xfId="25009" xr:uid="{00000000-0005-0000-0000-000083B10000}"/>
    <cellStyle name="Normal 11 6 7 2 6" xfId="36805" xr:uid="{00000000-0005-0000-0000-000084B10000}"/>
    <cellStyle name="Normal 11 6 7 2 7" xfId="42282" xr:uid="{00000000-0005-0000-0000-000085B10000}"/>
    <cellStyle name="Normal 11 6 7 2 8" xfId="47759" xr:uid="{00000000-0005-0000-0000-000086B10000}"/>
    <cellStyle name="Normal 11 6 7 2 9" xfId="53277" xr:uid="{00000000-0005-0000-0000-000087B10000}"/>
    <cellStyle name="Normal 11 6 7 3" xfId="4873" xr:uid="{00000000-0005-0000-0000-000088B10000}"/>
    <cellStyle name="Normal 11 6 7 3 2" xfId="10353" xr:uid="{00000000-0005-0000-0000-000089B10000}"/>
    <cellStyle name="Normal 11 6 7 3 3" xfId="15829" xr:uid="{00000000-0005-0000-0000-00008AB10000}"/>
    <cellStyle name="Normal 11 6 7 3 4" xfId="21305" xr:uid="{00000000-0005-0000-0000-00008BB10000}"/>
    <cellStyle name="Normal 11 6 7 3 5" xfId="26781" xr:uid="{00000000-0005-0000-0000-00008CB10000}"/>
    <cellStyle name="Normal 11 6 7 3 6" xfId="38577" xr:uid="{00000000-0005-0000-0000-00008DB10000}"/>
    <cellStyle name="Normal 11 6 7 3 7" xfId="44054" xr:uid="{00000000-0005-0000-0000-00008EB10000}"/>
    <cellStyle name="Normal 11 6 7 3 8" xfId="49531" xr:uid="{00000000-0005-0000-0000-00008FB10000}"/>
    <cellStyle name="Normal 11 6 7 3 9" xfId="55049" xr:uid="{00000000-0005-0000-0000-000090B10000}"/>
    <cellStyle name="Normal 11 6 7 4" xfId="7036" xr:uid="{00000000-0005-0000-0000-000091B10000}"/>
    <cellStyle name="Normal 11 6 7 5" xfId="12516" xr:uid="{00000000-0005-0000-0000-000092B10000}"/>
    <cellStyle name="Normal 11 6 7 6" xfId="17992" xr:uid="{00000000-0005-0000-0000-000093B10000}"/>
    <cellStyle name="Normal 11 6 7 7" xfId="23468" xr:uid="{00000000-0005-0000-0000-000094B10000}"/>
    <cellStyle name="Normal 11 6 7 8" xfId="35263" xr:uid="{00000000-0005-0000-0000-000095B10000}"/>
    <cellStyle name="Normal 11 6 7 9" xfId="40740" xr:uid="{00000000-0005-0000-0000-000096B10000}"/>
    <cellStyle name="Normal 11 6 8" xfId="1512" xr:uid="{00000000-0005-0000-0000-000097B10000}"/>
    <cellStyle name="Normal 11 6 8 10" xfId="46218" xr:uid="{00000000-0005-0000-0000-000098B10000}"/>
    <cellStyle name="Normal 11 6 8 11" xfId="51697" xr:uid="{00000000-0005-0000-0000-000099B10000}"/>
    <cellStyle name="Normal 11 6 8 2" xfId="3273" xr:uid="{00000000-0005-0000-0000-00009AB10000}"/>
    <cellStyle name="Normal 11 6 8 2 2" xfId="8753" xr:uid="{00000000-0005-0000-0000-00009BB10000}"/>
    <cellStyle name="Normal 11 6 8 2 3" xfId="14229" xr:uid="{00000000-0005-0000-0000-00009CB10000}"/>
    <cellStyle name="Normal 11 6 8 2 4" xfId="19705" xr:uid="{00000000-0005-0000-0000-00009DB10000}"/>
    <cellStyle name="Normal 11 6 8 2 5" xfId="25181" xr:uid="{00000000-0005-0000-0000-00009EB10000}"/>
    <cellStyle name="Normal 11 6 8 2 6" xfId="36977" xr:uid="{00000000-0005-0000-0000-00009FB10000}"/>
    <cellStyle name="Normal 11 6 8 2 7" xfId="42454" xr:uid="{00000000-0005-0000-0000-0000A0B10000}"/>
    <cellStyle name="Normal 11 6 8 2 8" xfId="47931" xr:uid="{00000000-0005-0000-0000-0000A1B10000}"/>
    <cellStyle name="Normal 11 6 8 2 9" xfId="53449" xr:uid="{00000000-0005-0000-0000-0000A2B10000}"/>
    <cellStyle name="Normal 11 6 8 3" xfId="5045" xr:uid="{00000000-0005-0000-0000-0000A3B10000}"/>
    <cellStyle name="Normal 11 6 8 3 2" xfId="10525" xr:uid="{00000000-0005-0000-0000-0000A4B10000}"/>
    <cellStyle name="Normal 11 6 8 3 3" xfId="16001" xr:uid="{00000000-0005-0000-0000-0000A5B10000}"/>
    <cellStyle name="Normal 11 6 8 3 4" xfId="21477" xr:uid="{00000000-0005-0000-0000-0000A6B10000}"/>
    <cellStyle name="Normal 11 6 8 3 5" xfId="26953" xr:uid="{00000000-0005-0000-0000-0000A7B10000}"/>
    <cellStyle name="Normal 11 6 8 3 6" xfId="38749" xr:uid="{00000000-0005-0000-0000-0000A8B10000}"/>
    <cellStyle name="Normal 11 6 8 3 7" xfId="44226" xr:uid="{00000000-0005-0000-0000-0000A9B10000}"/>
    <cellStyle name="Normal 11 6 8 3 8" xfId="49703" xr:uid="{00000000-0005-0000-0000-0000AAB10000}"/>
    <cellStyle name="Normal 11 6 8 3 9" xfId="55221" xr:uid="{00000000-0005-0000-0000-0000ABB10000}"/>
    <cellStyle name="Normal 11 6 8 4" xfId="7037" xr:uid="{00000000-0005-0000-0000-0000ACB10000}"/>
    <cellStyle name="Normal 11 6 8 5" xfId="12517" xr:uid="{00000000-0005-0000-0000-0000ADB10000}"/>
    <cellStyle name="Normal 11 6 8 6" xfId="17993" xr:uid="{00000000-0005-0000-0000-0000AEB10000}"/>
    <cellStyle name="Normal 11 6 8 7" xfId="23469" xr:uid="{00000000-0005-0000-0000-0000AFB10000}"/>
    <cellStyle name="Normal 11 6 8 8" xfId="35264" xr:uid="{00000000-0005-0000-0000-0000B0B10000}"/>
    <cellStyle name="Normal 11 6 8 9" xfId="40741" xr:uid="{00000000-0005-0000-0000-0000B1B10000}"/>
    <cellStyle name="Normal 11 6 9" xfId="1684" xr:uid="{00000000-0005-0000-0000-0000B2B10000}"/>
    <cellStyle name="Normal 11 6 9 10" xfId="46219" xr:uid="{00000000-0005-0000-0000-0000B3B10000}"/>
    <cellStyle name="Normal 11 6 9 11" xfId="51698" xr:uid="{00000000-0005-0000-0000-0000B4B10000}"/>
    <cellStyle name="Normal 11 6 9 2" xfId="3445" xr:uid="{00000000-0005-0000-0000-0000B5B10000}"/>
    <cellStyle name="Normal 11 6 9 2 2" xfId="8925" xr:uid="{00000000-0005-0000-0000-0000B6B10000}"/>
    <cellStyle name="Normal 11 6 9 2 3" xfId="14401" xr:uid="{00000000-0005-0000-0000-0000B7B10000}"/>
    <cellStyle name="Normal 11 6 9 2 4" xfId="19877" xr:uid="{00000000-0005-0000-0000-0000B8B10000}"/>
    <cellStyle name="Normal 11 6 9 2 5" xfId="25353" xr:uid="{00000000-0005-0000-0000-0000B9B10000}"/>
    <cellStyle name="Normal 11 6 9 2 6" xfId="37149" xr:uid="{00000000-0005-0000-0000-0000BAB10000}"/>
    <cellStyle name="Normal 11 6 9 2 7" xfId="42626" xr:uid="{00000000-0005-0000-0000-0000BBB10000}"/>
    <cellStyle name="Normal 11 6 9 2 8" xfId="48103" xr:uid="{00000000-0005-0000-0000-0000BCB10000}"/>
    <cellStyle name="Normal 11 6 9 2 9" xfId="53621" xr:uid="{00000000-0005-0000-0000-0000BDB10000}"/>
    <cellStyle name="Normal 11 6 9 3" xfId="5217" xr:uid="{00000000-0005-0000-0000-0000BEB10000}"/>
    <cellStyle name="Normal 11 6 9 3 2" xfId="10697" xr:uid="{00000000-0005-0000-0000-0000BFB10000}"/>
    <cellStyle name="Normal 11 6 9 3 3" xfId="16173" xr:uid="{00000000-0005-0000-0000-0000C0B10000}"/>
    <cellStyle name="Normal 11 6 9 3 4" xfId="21649" xr:uid="{00000000-0005-0000-0000-0000C1B10000}"/>
    <cellStyle name="Normal 11 6 9 3 5" xfId="27125" xr:uid="{00000000-0005-0000-0000-0000C2B10000}"/>
    <cellStyle name="Normal 11 6 9 3 6" xfId="38921" xr:uid="{00000000-0005-0000-0000-0000C3B10000}"/>
    <cellStyle name="Normal 11 6 9 3 7" xfId="44398" xr:uid="{00000000-0005-0000-0000-0000C4B10000}"/>
    <cellStyle name="Normal 11 6 9 3 8" xfId="49875" xr:uid="{00000000-0005-0000-0000-0000C5B10000}"/>
    <cellStyle name="Normal 11 6 9 3 9" xfId="55393" xr:uid="{00000000-0005-0000-0000-0000C6B10000}"/>
    <cellStyle name="Normal 11 6 9 4" xfId="7038" xr:uid="{00000000-0005-0000-0000-0000C7B10000}"/>
    <cellStyle name="Normal 11 6 9 5" xfId="12518" xr:uid="{00000000-0005-0000-0000-0000C8B10000}"/>
    <cellStyle name="Normal 11 6 9 6" xfId="17994" xr:uid="{00000000-0005-0000-0000-0000C9B10000}"/>
    <cellStyle name="Normal 11 6 9 7" xfId="23470" xr:uid="{00000000-0005-0000-0000-0000CAB10000}"/>
    <cellStyle name="Normal 11 6 9 8" xfId="35265" xr:uid="{00000000-0005-0000-0000-0000CBB10000}"/>
    <cellStyle name="Normal 11 6 9 9" xfId="40742" xr:uid="{00000000-0005-0000-0000-0000CCB10000}"/>
    <cellStyle name="Normal 11 7" xfId="432" xr:uid="{00000000-0005-0000-0000-0000CDB10000}"/>
    <cellStyle name="Normal 11 7 10" xfId="40743" xr:uid="{00000000-0005-0000-0000-0000CEB10000}"/>
    <cellStyle name="Normal 11 7 11" xfId="46220" xr:uid="{00000000-0005-0000-0000-0000CFB10000}"/>
    <cellStyle name="Normal 11 7 12" xfId="51699" xr:uid="{00000000-0005-0000-0000-0000D0B10000}"/>
    <cellStyle name="Normal 11 7 2" xfId="2198" xr:uid="{00000000-0005-0000-0000-0000D1B10000}"/>
    <cellStyle name="Normal 11 7 2 10" xfId="52374" xr:uid="{00000000-0005-0000-0000-0000D2B10000}"/>
    <cellStyle name="Normal 11 7 2 2" xfId="7678" xr:uid="{00000000-0005-0000-0000-0000D3B10000}"/>
    <cellStyle name="Normal 11 7 2 2 2" xfId="32947" xr:uid="{00000000-0005-0000-0000-0000D4B10000}"/>
    <cellStyle name="Normal 11 7 2 3" xfId="13154" xr:uid="{00000000-0005-0000-0000-0000D5B10000}"/>
    <cellStyle name="Normal 11 7 2 4" xfId="18630" xr:uid="{00000000-0005-0000-0000-0000D6B10000}"/>
    <cellStyle name="Normal 11 7 2 5" xfId="24106" xr:uid="{00000000-0005-0000-0000-0000D7B10000}"/>
    <cellStyle name="Normal 11 7 2 6" xfId="32946" xr:uid="{00000000-0005-0000-0000-0000D8B10000}"/>
    <cellStyle name="Normal 11 7 2 7" xfId="35902" xr:uid="{00000000-0005-0000-0000-0000D9B10000}"/>
    <cellStyle name="Normal 11 7 2 8" xfId="41379" xr:uid="{00000000-0005-0000-0000-0000DAB10000}"/>
    <cellStyle name="Normal 11 7 2 9" xfId="46856" xr:uid="{00000000-0005-0000-0000-0000DBB10000}"/>
    <cellStyle name="Normal 11 7 3" xfId="3970" xr:uid="{00000000-0005-0000-0000-0000DCB10000}"/>
    <cellStyle name="Normal 11 7 3 10" xfId="54146" xr:uid="{00000000-0005-0000-0000-0000DDB10000}"/>
    <cellStyle name="Normal 11 7 3 2" xfId="9450" xr:uid="{00000000-0005-0000-0000-0000DEB10000}"/>
    <cellStyle name="Normal 11 7 3 3" xfId="14926" xr:uid="{00000000-0005-0000-0000-0000DFB10000}"/>
    <cellStyle name="Normal 11 7 3 4" xfId="20402" xr:uid="{00000000-0005-0000-0000-0000E0B10000}"/>
    <cellStyle name="Normal 11 7 3 5" xfId="25878" xr:uid="{00000000-0005-0000-0000-0000E1B10000}"/>
    <cellStyle name="Normal 11 7 3 6" xfId="32948" xr:uid="{00000000-0005-0000-0000-0000E2B10000}"/>
    <cellStyle name="Normal 11 7 3 7" xfId="37674" xr:uid="{00000000-0005-0000-0000-0000E3B10000}"/>
    <cellStyle name="Normal 11 7 3 8" xfId="43151" xr:uid="{00000000-0005-0000-0000-0000E4B10000}"/>
    <cellStyle name="Normal 11 7 3 9" xfId="48628" xr:uid="{00000000-0005-0000-0000-0000E5B10000}"/>
    <cellStyle name="Normal 11 7 4" xfId="7039" xr:uid="{00000000-0005-0000-0000-0000E6B10000}"/>
    <cellStyle name="Normal 11 7 5" xfId="12519" xr:uid="{00000000-0005-0000-0000-0000E7B10000}"/>
    <cellStyle name="Normal 11 7 6" xfId="17995" xr:uid="{00000000-0005-0000-0000-0000E8B10000}"/>
    <cellStyle name="Normal 11 7 7" xfId="23471" xr:uid="{00000000-0005-0000-0000-0000E9B10000}"/>
    <cellStyle name="Normal 11 7 8" xfId="32945" xr:uid="{00000000-0005-0000-0000-0000EAB10000}"/>
    <cellStyle name="Normal 11 7 9" xfId="35266" xr:uid="{00000000-0005-0000-0000-0000EBB10000}"/>
    <cellStyle name="Normal 11 8" xfId="609" xr:uid="{00000000-0005-0000-0000-0000ECB10000}"/>
    <cellStyle name="Normal 11 8 10" xfId="40744" xr:uid="{00000000-0005-0000-0000-0000EDB10000}"/>
    <cellStyle name="Normal 11 8 11" xfId="46221" xr:uid="{00000000-0005-0000-0000-0000EEB10000}"/>
    <cellStyle name="Normal 11 8 12" xfId="51700" xr:uid="{00000000-0005-0000-0000-0000EFB10000}"/>
    <cellStyle name="Normal 11 8 2" xfId="2370" xr:uid="{00000000-0005-0000-0000-0000F0B10000}"/>
    <cellStyle name="Normal 11 8 2 10" xfId="52546" xr:uid="{00000000-0005-0000-0000-0000F1B10000}"/>
    <cellStyle name="Normal 11 8 2 2" xfId="7850" xr:uid="{00000000-0005-0000-0000-0000F2B10000}"/>
    <cellStyle name="Normal 11 8 2 3" xfId="13326" xr:uid="{00000000-0005-0000-0000-0000F3B10000}"/>
    <cellStyle name="Normal 11 8 2 4" xfId="18802" xr:uid="{00000000-0005-0000-0000-0000F4B10000}"/>
    <cellStyle name="Normal 11 8 2 5" xfId="24278" xr:uid="{00000000-0005-0000-0000-0000F5B10000}"/>
    <cellStyle name="Normal 11 8 2 6" xfId="32950" xr:uid="{00000000-0005-0000-0000-0000F6B10000}"/>
    <cellStyle name="Normal 11 8 2 7" xfId="36074" xr:uid="{00000000-0005-0000-0000-0000F7B10000}"/>
    <cellStyle name="Normal 11 8 2 8" xfId="41551" xr:uid="{00000000-0005-0000-0000-0000F8B10000}"/>
    <cellStyle name="Normal 11 8 2 9" xfId="47028" xr:uid="{00000000-0005-0000-0000-0000F9B10000}"/>
    <cellStyle name="Normal 11 8 3" xfId="4142" xr:uid="{00000000-0005-0000-0000-0000FAB10000}"/>
    <cellStyle name="Normal 11 8 3 2" xfId="9622" xr:uid="{00000000-0005-0000-0000-0000FBB10000}"/>
    <cellStyle name="Normal 11 8 3 3" xfId="15098" xr:uid="{00000000-0005-0000-0000-0000FCB10000}"/>
    <cellStyle name="Normal 11 8 3 4" xfId="20574" xr:uid="{00000000-0005-0000-0000-0000FDB10000}"/>
    <cellStyle name="Normal 11 8 3 5" xfId="26050" xr:uid="{00000000-0005-0000-0000-0000FEB10000}"/>
    <cellStyle name="Normal 11 8 3 6" xfId="37846" xr:uid="{00000000-0005-0000-0000-0000FFB10000}"/>
    <cellStyle name="Normal 11 8 3 7" xfId="43323" xr:uid="{00000000-0005-0000-0000-000000B20000}"/>
    <cellStyle name="Normal 11 8 3 8" xfId="48800" xr:uid="{00000000-0005-0000-0000-000001B20000}"/>
    <cellStyle name="Normal 11 8 3 9" xfId="54318" xr:uid="{00000000-0005-0000-0000-000002B20000}"/>
    <cellStyle name="Normal 11 8 4" xfId="7040" xr:uid="{00000000-0005-0000-0000-000003B20000}"/>
    <cellStyle name="Normal 11 8 5" xfId="12520" xr:uid="{00000000-0005-0000-0000-000004B20000}"/>
    <cellStyle name="Normal 11 8 6" xfId="17996" xr:uid="{00000000-0005-0000-0000-000005B20000}"/>
    <cellStyle name="Normal 11 8 7" xfId="23472" xr:uid="{00000000-0005-0000-0000-000006B20000}"/>
    <cellStyle name="Normal 11 8 8" xfId="32949" xr:uid="{00000000-0005-0000-0000-000007B20000}"/>
    <cellStyle name="Normal 11 8 9" xfId="35267" xr:uid="{00000000-0005-0000-0000-000008B20000}"/>
    <cellStyle name="Normal 11 9" xfId="781" xr:uid="{00000000-0005-0000-0000-000009B20000}"/>
    <cellStyle name="Normal 11 9 10" xfId="40745" xr:uid="{00000000-0005-0000-0000-00000AB20000}"/>
    <cellStyle name="Normal 11 9 11" xfId="46222" xr:uid="{00000000-0005-0000-0000-00000BB20000}"/>
    <cellStyle name="Normal 11 9 12" xfId="51701" xr:uid="{00000000-0005-0000-0000-00000CB20000}"/>
    <cellStyle name="Normal 11 9 2" xfId="2542" xr:uid="{00000000-0005-0000-0000-00000DB20000}"/>
    <cellStyle name="Normal 11 9 2 2" xfId="8022" xr:uid="{00000000-0005-0000-0000-00000EB20000}"/>
    <cellStyle name="Normal 11 9 2 3" xfId="13498" xr:uid="{00000000-0005-0000-0000-00000FB20000}"/>
    <cellStyle name="Normal 11 9 2 4" xfId="18974" xr:uid="{00000000-0005-0000-0000-000010B20000}"/>
    <cellStyle name="Normal 11 9 2 5" xfId="24450" xr:uid="{00000000-0005-0000-0000-000011B20000}"/>
    <cellStyle name="Normal 11 9 2 6" xfId="36246" xr:uid="{00000000-0005-0000-0000-000012B20000}"/>
    <cellStyle name="Normal 11 9 2 7" xfId="41723" xr:uid="{00000000-0005-0000-0000-000013B20000}"/>
    <cellStyle name="Normal 11 9 2 8" xfId="47200" xr:uid="{00000000-0005-0000-0000-000014B20000}"/>
    <cellStyle name="Normal 11 9 2 9" xfId="52718" xr:uid="{00000000-0005-0000-0000-000015B20000}"/>
    <cellStyle name="Normal 11 9 3" xfId="4314" xr:uid="{00000000-0005-0000-0000-000016B20000}"/>
    <cellStyle name="Normal 11 9 3 2" xfId="9794" xr:uid="{00000000-0005-0000-0000-000017B20000}"/>
    <cellStyle name="Normal 11 9 3 3" xfId="15270" xr:uid="{00000000-0005-0000-0000-000018B20000}"/>
    <cellStyle name="Normal 11 9 3 4" xfId="20746" xr:uid="{00000000-0005-0000-0000-000019B20000}"/>
    <cellStyle name="Normal 11 9 3 5" xfId="26222" xr:uid="{00000000-0005-0000-0000-00001AB20000}"/>
    <cellStyle name="Normal 11 9 3 6" xfId="38018" xr:uid="{00000000-0005-0000-0000-00001BB20000}"/>
    <cellStyle name="Normal 11 9 3 7" xfId="43495" xr:uid="{00000000-0005-0000-0000-00001CB20000}"/>
    <cellStyle name="Normal 11 9 3 8" xfId="48972" xr:uid="{00000000-0005-0000-0000-00001DB20000}"/>
    <cellStyle name="Normal 11 9 3 9" xfId="54490" xr:uid="{00000000-0005-0000-0000-00001EB20000}"/>
    <cellStyle name="Normal 11 9 4" xfId="7041" xr:uid="{00000000-0005-0000-0000-00001FB20000}"/>
    <cellStyle name="Normal 11 9 5" xfId="12521" xr:uid="{00000000-0005-0000-0000-000020B20000}"/>
    <cellStyle name="Normal 11 9 6" xfId="17997" xr:uid="{00000000-0005-0000-0000-000021B20000}"/>
    <cellStyle name="Normal 11 9 7" xfId="23473" xr:uid="{00000000-0005-0000-0000-000022B20000}"/>
    <cellStyle name="Normal 11 9 8" xfId="32951" xr:uid="{00000000-0005-0000-0000-000023B20000}"/>
    <cellStyle name="Normal 11 9 9" xfId="35268" xr:uid="{00000000-0005-0000-0000-000024B20000}"/>
    <cellStyle name="Normal 12" xfId="82" xr:uid="{00000000-0005-0000-0000-000025B20000}"/>
    <cellStyle name="Normal 12 10" xfId="963" xr:uid="{00000000-0005-0000-0000-000026B20000}"/>
    <cellStyle name="Normal 12 10 10" xfId="46224" xr:uid="{00000000-0005-0000-0000-000027B20000}"/>
    <cellStyle name="Normal 12 10 11" xfId="51703" xr:uid="{00000000-0005-0000-0000-000028B20000}"/>
    <cellStyle name="Normal 12 10 2" xfId="2724" xr:uid="{00000000-0005-0000-0000-000029B20000}"/>
    <cellStyle name="Normal 12 10 2 2" xfId="8204" xr:uid="{00000000-0005-0000-0000-00002AB20000}"/>
    <cellStyle name="Normal 12 10 2 3" xfId="13680" xr:uid="{00000000-0005-0000-0000-00002BB20000}"/>
    <cellStyle name="Normal 12 10 2 4" xfId="19156" xr:uid="{00000000-0005-0000-0000-00002CB20000}"/>
    <cellStyle name="Normal 12 10 2 5" xfId="24632" xr:uid="{00000000-0005-0000-0000-00002DB20000}"/>
    <cellStyle name="Normal 12 10 2 6" xfId="36428" xr:uid="{00000000-0005-0000-0000-00002EB20000}"/>
    <cellStyle name="Normal 12 10 2 7" xfId="41905" xr:uid="{00000000-0005-0000-0000-00002FB20000}"/>
    <cellStyle name="Normal 12 10 2 8" xfId="47382" xr:uid="{00000000-0005-0000-0000-000030B20000}"/>
    <cellStyle name="Normal 12 10 2 9" xfId="52900" xr:uid="{00000000-0005-0000-0000-000031B20000}"/>
    <cellStyle name="Normal 12 10 3" xfId="4496" xr:uid="{00000000-0005-0000-0000-000032B20000}"/>
    <cellStyle name="Normal 12 10 3 2" xfId="9976" xr:uid="{00000000-0005-0000-0000-000033B20000}"/>
    <cellStyle name="Normal 12 10 3 3" xfId="15452" xr:uid="{00000000-0005-0000-0000-000034B20000}"/>
    <cellStyle name="Normal 12 10 3 4" xfId="20928" xr:uid="{00000000-0005-0000-0000-000035B20000}"/>
    <cellStyle name="Normal 12 10 3 5" xfId="26404" xr:uid="{00000000-0005-0000-0000-000036B20000}"/>
    <cellStyle name="Normal 12 10 3 6" xfId="38200" xr:uid="{00000000-0005-0000-0000-000037B20000}"/>
    <cellStyle name="Normal 12 10 3 7" xfId="43677" xr:uid="{00000000-0005-0000-0000-000038B20000}"/>
    <cellStyle name="Normal 12 10 3 8" xfId="49154" xr:uid="{00000000-0005-0000-0000-000039B20000}"/>
    <cellStyle name="Normal 12 10 3 9" xfId="54672" xr:uid="{00000000-0005-0000-0000-00003AB20000}"/>
    <cellStyle name="Normal 12 10 4" xfId="7043" xr:uid="{00000000-0005-0000-0000-00003BB20000}"/>
    <cellStyle name="Normal 12 10 5" xfId="12523" xr:uid="{00000000-0005-0000-0000-00003CB20000}"/>
    <cellStyle name="Normal 12 10 6" xfId="17999" xr:uid="{00000000-0005-0000-0000-00003DB20000}"/>
    <cellStyle name="Normal 12 10 7" xfId="23475" xr:uid="{00000000-0005-0000-0000-00003EB20000}"/>
    <cellStyle name="Normal 12 10 8" xfId="35270" xr:uid="{00000000-0005-0000-0000-00003FB20000}"/>
    <cellStyle name="Normal 12 10 9" xfId="40747" xr:uid="{00000000-0005-0000-0000-000040B20000}"/>
    <cellStyle name="Normal 12 11" xfId="1009" xr:uid="{00000000-0005-0000-0000-000041B20000}"/>
    <cellStyle name="Normal 12 11 10" xfId="46225" xr:uid="{00000000-0005-0000-0000-000042B20000}"/>
    <cellStyle name="Normal 12 11 11" xfId="51704" xr:uid="{00000000-0005-0000-0000-000043B20000}"/>
    <cellStyle name="Normal 12 11 2" xfId="2770" xr:uid="{00000000-0005-0000-0000-000044B20000}"/>
    <cellStyle name="Normal 12 11 2 2" xfId="8250" xr:uid="{00000000-0005-0000-0000-000045B20000}"/>
    <cellStyle name="Normal 12 11 2 3" xfId="13726" xr:uid="{00000000-0005-0000-0000-000046B20000}"/>
    <cellStyle name="Normal 12 11 2 4" xfId="19202" xr:uid="{00000000-0005-0000-0000-000047B20000}"/>
    <cellStyle name="Normal 12 11 2 5" xfId="24678" xr:uid="{00000000-0005-0000-0000-000048B20000}"/>
    <cellStyle name="Normal 12 11 2 6" xfId="36474" xr:uid="{00000000-0005-0000-0000-000049B20000}"/>
    <cellStyle name="Normal 12 11 2 7" xfId="41951" xr:uid="{00000000-0005-0000-0000-00004AB20000}"/>
    <cellStyle name="Normal 12 11 2 8" xfId="47428" xr:uid="{00000000-0005-0000-0000-00004BB20000}"/>
    <cellStyle name="Normal 12 11 2 9" xfId="52946" xr:uid="{00000000-0005-0000-0000-00004CB20000}"/>
    <cellStyle name="Normal 12 11 3" xfId="4542" xr:uid="{00000000-0005-0000-0000-00004DB20000}"/>
    <cellStyle name="Normal 12 11 3 2" xfId="10022" xr:uid="{00000000-0005-0000-0000-00004EB20000}"/>
    <cellStyle name="Normal 12 11 3 3" xfId="15498" xr:uid="{00000000-0005-0000-0000-00004FB20000}"/>
    <cellStyle name="Normal 12 11 3 4" xfId="20974" xr:uid="{00000000-0005-0000-0000-000050B20000}"/>
    <cellStyle name="Normal 12 11 3 5" xfId="26450" xr:uid="{00000000-0005-0000-0000-000051B20000}"/>
    <cellStyle name="Normal 12 11 3 6" xfId="38246" xr:uid="{00000000-0005-0000-0000-000052B20000}"/>
    <cellStyle name="Normal 12 11 3 7" xfId="43723" xr:uid="{00000000-0005-0000-0000-000053B20000}"/>
    <cellStyle name="Normal 12 11 3 8" xfId="49200" xr:uid="{00000000-0005-0000-0000-000054B20000}"/>
    <cellStyle name="Normal 12 11 3 9" xfId="54718" xr:uid="{00000000-0005-0000-0000-000055B20000}"/>
    <cellStyle name="Normal 12 11 4" xfId="7044" xr:uid="{00000000-0005-0000-0000-000056B20000}"/>
    <cellStyle name="Normal 12 11 5" xfId="12524" xr:uid="{00000000-0005-0000-0000-000057B20000}"/>
    <cellStyle name="Normal 12 11 6" xfId="18000" xr:uid="{00000000-0005-0000-0000-000058B20000}"/>
    <cellStyle name="Normal 12 11 7" xfId="23476" xr:uid="{00000000-0005-0000-0000-000059B20000}"/>
    <cellStyle name="Normal 12 11 8" xfId="35271" xr:uid="{00000000-0005-0000-0000-00005AB20000}"/>
    <cellStyle name="Normal 12 11 9" xfId="40748" xr:uid="{00000000-0005-0000-0000-00005BB20000}"/>
    <cellStyle name="Normal 12 12" xfId="1026" xr:uid="{00000000-0005-0000-0000-00005CB20000}"/>
    <cellStyle name="Normal 12 12 10" xfId="46226" xr:uid="{00000000-0005-0000-0000-00005DB20000}"/>
    <cellStyle name="Normal 12 12 11" xfId="51705" xr:uid="{00000000-0005-0000-0000-00005EB20000}"/>
    <cellStyle name="Normal 12 12 2" xfId="2787" xr:uid="{00000000-0005-0000-0000-00005FB20000}"/>
    <cellStyle name="Normal 12 12 2 2" xfId="8267" xr:uid="{00000000-0005-0000-0000-000060B20000}"/>
    <cellStyle name="Normal 12 12 2 3" xfId="13743" xr:uid="{00000000-0005-0000-0000-000061B20000}"/>
    <cellStyle name="Normal 12 12 2 4" xfId="19219" xr:uid="{00000000-0005-0000-0000-000062B20000}"/>
    <cellStyle name="Normal 12 12 2 5" xfId="24695" xr:uid="{00000000-0005-0000-0000-000063B20000}"/>
    <cellStyle name="Normal 12 12 2 6" xfId="36491" xr:uid="{00000000-0005-0000-0000-000064B20000}"/>
    <cellStyle name="Normal 12 12 2 7" xfId="41968" xr:uid="{00000000-0005-0000-0000-000065B20000}"/>
    <cellStyle name="Normal 12 12 2 8" xfId="47445" xr:uid="{00000000-0005-0000-0000-000066B20000}"/>
    <cellStyle name="Normal 12 12 2 9" xfId="52963" xr:uid="{00000000-0005-0000-0000-000067B20000}"/>
    <cellStyle name="Normal 12 12 3" xfId="4559" xr:uid="{00000000-0005-0000-0000-000068B20000}"/>
    <cellStyle name="Normal 12 12 3 2" xfId="10039" xr:uid="{00000000-0005-0000-0000-000069B20000}"/>
    <cellStyle name="Normal 12 12 3 3" xfId="15515" xr:uid="{00000000-0005-0000-0000-00006AB20000}"/>
    <cellStyle name="Normal 12 12 3 4" xfId="20991" xr:uid="{00000000-0005-0000-0000-00006BB20000}"/>
    <cellStyle name="Normal 12 12 3 5" xfId="26467" xr:uid="{00000000-0005-0000-0000-00006CB20000}"/>
    <cellStyle name="Normal 12 12 3 6" xfId="38263" xr:uid="{00000000-0005-0000-0000-00006DB20000}"/>
    <cellStyle name="Normal 12 12 3 7" xfId="43740" xr:uid="{00000000-0005-0000-0000-00006EB20000}"/>
    <cellStyle name="Normal 12 12 3 8" xfId="49217" xr:uid="{00000000-0005-0000-0000-00006FB20000}"/>
    <cellStyle name="Normal 12 12 3 9" xfId="54735" xr:uid="{00000000-0005-0000-0000-000070B20000}"/>
    <cellStyle name="Normal 12 12 4" xfId="7045" xr:uid="{00000000-0005-0000-0000-000071B20000}"/>
    <cellStyle name="Normal 12 12 5" xfId="12525" xr:uid="{00000000-0005-0000-0000-000072B20000}"/>
    <cellStyle name="Normal 12 12 6" xfId="18001" xr:uid="{00000000-0005-0000-0000-000073B20000}"/>
    <cellStyle name="Normal 12 12 7" xfId="23477" xr:uid="{00000000-0005-0000-0000-000074B20000}"/>
    <cellStyle name="Normal 12 12 8" xfId="35272" xr:uid="{00000000-0005-0000-0000-000075B20000}"/>
    <cellStyle name="Normal 12 12 9" xfId="40749" xr:uid="{00000000-0005-0000-0000-000076B20000}"/>
    <cellStyle name="Normal 12 13" xfId="1169" xr:uid="{00000000-0005-0000-0000-000077B20000}"/>
    <cellStyle name="Normal 12 13 10" xfId="46227" xr:uid="{00000000-0005-0000-0000-000078B20000}"/>
    <cellStyle name="Normal 12 13 11" xfId="51706" xr:uid="{00000000-0005-0000-0000-000079B20000}"/>
    <cellStyle name="Normal 12 13 2" xfId="2930" xr:uid="{00000000-0005-0000-0000-00007AB20000}"/>
    <cellStyle name="Normal 12 13 2 2" xfId="8410" xr:uid="{00000000-0005-0000-0000-00007BB20000}"/>
    <cellStyle name="Normal 12 13 2 3" xfId="13886" xr:uid="{00000000-0005-0000-0000-00007CB20000}"/>
    <cellStyle name="Normal 12 13 2 4" xfId="19362" xr:uid="{00000000-0005-0000-0000-00007DB20000}"/>
    <cellStyle name="Normal 12 13 2 5" xfId="24838" xr:uid="{00000000-0005-0000-0000-00007EB20000}"/>
    <cellStyle name="Normal 12 13 2 6" xfId="36634" xr:uid="{00000000-0005-0000-0000-00007FB20000}"/>
    <cellStyle name="Normal 12 13 2 7" xfId="42111" xr:uid="{00000000-0005-0000-0000-000080B20000}"/>
    <cellStyle name="Normal 12 13 2 8" xfId="47588" xr:uid="{00000000-0005-0000-0000-000081B20000}"/>
    <cellStyle name="Normal 12 13 2 9" xfId="53106" xr:uid="{00000000-0005-0000-0000-000082B20000}"/>
    <cellStyle name="Normal 12 13 3" xfId="4702" xr:uid="{00000000-0005-0000-0000-000083B20000}"/>
    <cellStyle name="Normal 12 13 3 2" xfId="10182" xr:uid="{00000000-0005-0000-0000-000084B20000}"/>
    <cellStyle name="Normal 12 13 3 3" xfId="15658" xr:uid="{00000000-0005-0000-0000-000085B20000}"/>
    <cellStyle name="Normal 12 13 3 4" xfId="21134" xr:uid="{00000000-0005-0000-0000-000086B20000}"/>
    <cellStyle name="Normal 12 13 3 5" xfId="26610" xr:uid="{00000000-0005-0000-0000-000087B20000}"/>
    <cellStyle name="Normal 12 13 3 6" xfId="38406" xr:uid="{00000000-0005-0000-0000-000088B20000}"/>
    <cellStyle name="Normal 12 13 3 7" xfId="43883" xr:uid="{00000000-0005-0000-0000-000089B20000}"/>
    <cellStyle name="Normal 12 13 3 8" xfId="49360" xr:uid="{00000000-0005-0000-0000-00008AB20000}"/>
    <cellStyle name="Normal 12 13 3 9" xfId="54878" xr:uid="{00000000-0005-0000-0000-00008BB20000}"/>
    <cellStyle name="Normal 12 13 4" xfId="7046" xr:uid="{00000000-0005-0000-0000-00008CB20000}"/>
    <cellStyle name="Normal 12 13 5" xfId="12526" xr:uid="{00000000-0005-0000-0000-00008DB20000}"/>
    <cellStyle name="Normal 12 13 6" xfId="18002" xr:uid="{00000000-0005-0000-0000-00008EB20000}"/>
    <cellStyle name="Normal 12 13 7" xfId="23478" xr:uid="{00000000-0005-0000-0000-00008FB20000}"/>
    <cellStyle name="Normal 12 13 8" xfId="35273" xr:uid="{00000000-0005-0000-0000-000090B20000}"/>
    <cellStyle name="Normal 12 13 9" xfId="40750" xr:uid="{00000000-0005-0000-0000-000091B20000}"/>
    <cellStyle name="Normal 12 14" xfId="1341" xr:uid="{00000000-0005-0000-0000-000092B20000}"/>
    <cellStyle name="Normal 12 14 10" xfId="46228" xr:uid="{00000000-0005-0000-0000-000093B20000}"/>
    <cellStyle name="Normal 12 14 11" xfId="51707" xr:uid="{00000000-0005-0000-0000-000094B20000}"/>
    <cellStyle name="Normal 12 14 2" xfId="3102" xr:uid="{00000000-0005-0000-0000-000095B20000}"/>
    <cellStyle name="Normal 12 14 2 2" xfId="8582" xr:uid="{00000000-0005-0000-0000-000096B20000}"/>
    <cellStyle name="Normal 12 14 2 3" xfId="14058" xr:uid="{00000000-0005-0000-0000-000097B20000}"/>
    <cellStyle name="Normal 12 14 2 4" xfId="19534" xr:uid="{00000000-0005-0000-0000-000098B20000}"/>
    <cellStyle name="Normal 12 14 2 5" xfId="25010" xr:uid="{00000000-0005-0000-0000-000099B20000}"/>
    <cellStyle name="Normal 12 14 2 6" xfId="36806" xr:uid="{00000000-0005-0000-0000-00009AB20000}"/>
    <cellStyle name="Normal 12 14 2 7" xfId="42283" xr:uid="{00000000-0005-0000-0000-00009BB20000}"/>
    <cellStyle name="Normal 12 14 2 8" xfId="47760" xr:uid="{00000000-0005-0000-0000-00009CB20000}"/>
    <cellStyle name="Normal 12 14 2 9" xfId="53278" xr:uid="{00000000-0005-0000-0000-00009DB20000}"/>
    <cellStyle name="Normal 12 14 3" xfId="4874" xr:uid="{00000000-0005-0000-0000-00009EB20000}"/>
    <cellStyle name="Normal 12 14 3 2" xfId="10354" xr:uid="{00000000-0005-0000-0000-00009FB20000}"/>
    <cellStyle name="Normal 12 14 3 3" xfId="15830" xr:uid="{00000000-0005-0000-0000-0000A0B20000}"/>
    <cellStyle name="Normal 12 14 3 4" xfId="21306" xr:uid="{00000000-0005-0000-0000-0000A1B20000}"/>
    <cellStyle name="Normal 12 14 3 5" xfId="26782" xr:uid="{00000000-0005-0000-0000-0000A2B20000}"/>
    <cellStyle name="Normal 12 14 3 6" xfId="38578" xr:uid="{00000000-0005-0000-0000-0000A3B20000}"/>
    <cellStyle name="Normal 12 14 3 7" xfId="44055" xr:uid="{00000000-0005-0000-0000-0000A4B20000}"/>
    <cellStyle name="Normal 12 14 3 8" xfId="49532" xr:uid="{00000000-0005-0000-0000-0000A5B20000}"/>
    <cellStyle name="Normal 12 14 3 9" xfId="55050" xr:uid="{00000000-0005-0000-0000-0000A6B20000}"/>
    <cellStyle name="Normal 12 14 4" xfId="7047" xr:uid="{00000000-0005-0000-0000-0000A7B20000}"/>
    <cellStyle name="Normal 12 14 5" xfId="12527" xr:uid="{00000000-0005-0000-0000-0000A8B20000}"/>
    <cellStyle name="Normal 12 14 6" xfId="18003" xr:uid="{00000000-0005-0000-0000-0000A9B20000}"/>
    <cellStyle name="Normal 12 14 7" xfId="23479" xr:uid="{00000000-0005-0000-0000-0000AAB20000}"/>
    <cellStyle name="Normal 12 14 8" xfId="35274" xr:uid="{00000000-0005-0000-0000-0000ABB20000}"/>
    <cellStyle name="Normal 12 14 9" xfId="40751" xr:uid="{00000000-0005-0000-0000-0000ACB20000}"/>
    <cellStyle name="Normal 12 15" xfId="1513" xr:uid="{00000000-0005-0000-0000-0000ADB20000}"/>
    <cellStyle name="Normal 12 15 10" xfId="46229" xr:uid="{00000000-0005-0000-0000-0000AEB20000}"/>
    <cellStyle name="Normal 12 15 11" xfId="51708" xr:uid="{00000000-0005-0000-0000-0000AFB20000}"/>
    <cellStyle name="Normal 12 15 2" xfId="3274" xr:uid="{00000000-0005-0000-0000-0000B0B20000}"/>
    <cellStyle name="Normal 12 15 2 2" xfId="8754" xr:uid="{00000000-0005-0000-0000-0000B1B20000}"/>
    <cellStyle name="Normal 12 15 2 3" xfId="14230" xr:uid="{00000000-0005-0000-0000-0000B2B20000}"/>
    <cellStyle name="Normal 12 15 2 4" xfId="19706" xr:uid="{00000000-0005-0000-0000-0000B3B20000}"/>
    <cellStyle name="Normal 12 15 2 5" xfId="25182" xr:uid="{00000000-0005-0000-0000-0000B4B20000}"/>
    <cellStyle name="Normal 12 15 2 6" xfId="36978" xr:uid="{00000000-0005-0000-0000-0000B5B20000}"/>
    <cellStyle name="Normal 12 15 2 7" xfId="42455" xr:uid="{00000000-0005-0000-0000-0000B6B20000}"/>
    <cellStyle name="Normal 12 15 2 8" xfId="47932" xr:uid="{00000000-0005-0000-0000-0000B7B20000}"/>
    <cellStyle name="Normal 12 15 2 9" xfId="53450" xr:uid="{00000000-0005-0000-0000-0000B8B20000}"/>
    <cellStyle name="Normal 12 15 3" xfId="5046" xr:uid="{00000000-0005-0000-0000-0000B9B20000}"/>
    <cellStyle name="Normal 12 15 3 2" xfId="10526" xr:uid="{00000000-0005-0000-0000-0000BAB20000}"/>
    <cellStyle name="Normal 12 15 3 3" xfId="16002" xr:uid="{00000000-0005-0000-0000-0000BBB20000}"/>
    <cellStyle name="Normal 12 15 3 4" xfId="21478" xr:uid="{00000000-0005-0000-0000-0000BCB20000}"/>
    <cellStyle name="Normal 12 15 3 5" xfId="26954" xr:uid="{00000000-0005-0000-0000-0000BDB20000}"/>
    <cellStyle name="Normal 12 15 3 6" xfId="38750" xr:uid="{00000000-0005-0000-0000-0000BEB20000}"/>
    <cellStyle name="Normal 12 15 3 7" xfId="44227" xr:uid="{00000000-0005-0000-0000-0000BFB20000}"/>
    <cellStyle name="Normal 12 15 3 8" xfId="49704" xr:uid="{00000000-0005-0000-0000-0000C0B20000}"/>
    <cellStyle name="Normal 12 15 3 9" xfId="55222" xr:uid="{00000000-0005-0000-0000-0000C1B20000}"/>
    <cellStyle name="Normal 12 15 4" xfId="7048" xr:uid="{00000000-0005-0000-0000-0000C2B20000}"/>
    <cellStyle name="Normal 12 15 5" xfId="12528" xr:uid="{00000000-0005-0000-0000-0000C3B20000}"/>
    <cellStyle name="Normal 12 15 6" xfId="18004" xr:uid="{00000000-0005-0000-0000-0000C4B20000}"/>
    <cellStyle name="Normal 12 15 7" xfId="23480" xr:uid="{00000000-0005-0000-0000-0000C5B20000}"/>
    <cellStyle name="Normal 12 15 8" xfId="35275" xr:uid="{00000000-0005-0000-0000-0000C6B20000}"/>
    <cellStyle name="Normal 12 15 9" xfId="40752" xr:uid="{00000000-0005-0000-0000-0000C7B20000}"/>
    <cellStyle name="Normal 12 16" xfId="1685" xr:uid="{00000000-0005-0000-0000-0000C8B20000}"/>
    <cellStyle name="Normal 12 16 10" xfId="46230" xr:uid="{00000000-0005-0000-0000-0000C9B20000}"/>
    <cellStyle name="Normal 12 16 11" xfId="51709" xr:uid="{00000000-0005-0000-0000-0000CAB20000}"/>
    <cellStyle name="Normal 12 16 2" xfId="3446" xr:uid="{00000000-0005-0000-0000-0000CBB20000}"/>
    <cellStyle name="Normal 12 16 2 2" xfId="8926" xr:uid="{00000000-0005-0000-0000-0000CCB20000}"/>
    <cellStyle name="Normal 12 16 2 3" xfId="14402" xr:uid="{00000000-0005-0000-0000-0000CDB20000}"/>
    <cellStyle name="Normal 12 16 2 4" xfId="19878" xr:uid="{00000000-0005-0000-0000-0000CEB20000}"/>
    <cellStyle name="Normal 12 16 2 5" xfId="25354" xr:uid="{00000000-0005-0000-0000-0000CFB20000}"/>
    <cellStyle name="Normal 12 16 2 6" xfId="37150" xr:uid="{00000000-0005-0000-0000-0000D0B20000}"/>
    <cellStyle name="Normal 12 16 2 7" xfId="42627" xr:uid="{00000000-0005-0000-0000-0000D1B20000}"/>
    <cellStyle name="Normal 12 16 2 8" xfId="48104" xr:uid="{00000000-0005-0000-0000-0000D2B20000}"/>
    <cellStyle name="Normal 12 16 2 9" xfId="53622" xr:uid="{00000000-0005-0000-0000-0000D3B20000}"/>
    <cellStyle name="Normal 12 16 3" xfId="5218" xr:uid="{00000000-0005-0000-0000-0000D4B20000}"/>
    <cellStyle name="Normal 12 16 3 2" xfId="10698" xr:uid="{00000000-0005-0000-0000-0000D5B20000}"/>
    <cellStyle name="Normal 12 16 3 3" xfId="16174" xr:uid="{00000000-0005-0000-0000-0000D6B20000}"/>
    <cellStyle name="Normal 12 16 3 4" xfId="21650" xr:uid="{00000000-0005-0000-0000-0000D7B20000}"/>
    <cellStyle name="Normal 12 16 3 5" xfId="27126" xr:uid="{00000000-0005-0000-0000-0000D8B20000}"/>
    <cellStyle name="Normal 12 16 3 6" xfId="38922" xr:uid="{00000000-0005-0000-0000-0000D9B20000}"/>
    <cellStyle name="Normal 12 16 3 7" xfId="44399" xr:uid="{00000000-0005-0000-0000-0000DAB20000}"/>
    <cellStyle name="Normal 12 16 3 8" xfId="49876" xr:uid="{00000000-0005-0000-0000-0000DBB20000}"/>
    <cellStyle name="Normal 12 16 3 9" xfId="55394" xr:uid="{00000000-0005-0000-0000-0000DCB20000}"/>
    <cellStyle name="Normal 12 16 4" xfId="7049" xr:uid="{00000000-0005-0000-0000-0000DDB20000}"/>
    <cellStyle name="Normal 12 16 5" xfId="12529" xr:uid="{00000000-0005-0000-0000-0000DEB20000}"/>
    <cellStyle name="Normal 12 16 6" xfId="18005" xr:uid="{00000000-0005-0000-0000-0000DFB20000}"/>
    <cellStyle name="Normal 12 16 7" xfId="23481" xr:uid="{00000000-0005-0000-0000-0000E0B20000}"/>
    <cellStyle name="Normal 12 16 8" xfId="35276" xr:uid="{00000000-0005-0000-0000-0000E1B20000}"/>
    <cellStyle name="Normal 12 16 9" xfId="40753" xr:uid="{00000000-0005-0000-0000-0000E2B20000}"/>
    <cellStyle name="Normal 12 17" xfId="1731" xr:uid="{00000000-0005-0000-0000-0000E3B20000}"/>
    <cellStyle name="Normal 12 17 10" xfId="46231" xr:uid="{00000000-0005-0000-0000-0000E4B20000}"/>
    <cellStyle name="Normal 12 17 11" xfId="51710" xr:uid="{00000000-0005-0000-0000-0000E5B20000}"/>
    <cellStyle name="Normal 12 17 2" xfId="3492" xr:uid="{00000000-0005-0000-0000-0000E6B20000}"/>
    <cellStyle name="Normal 12 17 2 2" xfId="8972" xr:uid="{00000000-0005-0000-0000-0000E7B20000}"/>
    <cellStyle name="Normal 12 17 2 3" xfId="14448" xr:uid="{00000000-0005-0000-0000-0000E8B20000}"/>
    <cellStyle name="Normal 12 17 2 4" xfId="19924" xr:uid="{00000000-0005-0000-0000-0000E9B20000}"/>
    <cellStyle name="Normal 12 17 2 5" xfId="25400" xr:uid="{00000000-0005-0000-0000-0000EAB20000}"/>
    <cellStyle name="Normal 12 17 2 6" xfId="37196" xr:uid="{00000000-0005-0000-0000-0000EBB20000}"/>
    <cellStyle name="Normal 12 17 2 7" xfId="42673" xr:uid="{00000000-0005-0000-0000-0000ECB20000}"/>
    <cellStyle name="Normal 12 17 2 8" xfId="48150" xr:uid="{00000000-0005-0000-0000-0000EDB20000}"/>
    <cellStyle name="Normal 12 17 2 9" xfId="53668" xr:uid="{00000000-0005-0000-0000-0000EEB20000}"/>
    <cellStyle name="Normal 12 17 3" xfId="5264" xr:uid="{00000000-0005-0000-0000-0000EFB20000}"/>
    <cellStyle name="Normal 12 17 3 2" xfId="10744" xr:uid="{00000000-0005-0000-0000-0000F0B20000}"/>
    <cellStyle name="Normal 12 17 3 3" xfId="16220" xr:uid="{00000000-0005-0000-0000-0000F1B20000}"/>
    <cellStyle name="Normal 12 17 3 4" xfId="21696" xr:uid="{00000000-0005-0000-0000-0000F2B20000}"/>
    <cellStyle name="Normal 12 17 3 5" xfId="27172" xr:uid="{00000000-0005-0000-0000-0000F3B20000}"/>
    <cellStyle name="Normal 12 17 3 6" xfId="38968" xr:uid="{00000000-0005-0000-0000-0000F4B20000}"/>
    <cellStyle name="Normal 12 17 3 7" xfId="44445" xr:uid="{00000000-0005-0000-0000-0000F5B20000}"/>
    <cellStyle name="Normal 12 17 3 8" xfId="49922" xr:uid="{00000000-0005-0000-0000-0000F6B20000}"/>
    <cellStyle name="Normal 12 17 3 9" xfId="55440" xr:uid="{00000000-0005-0000-0000-0000F7B20000}"/>
    <cellStyle name="Normal 12 17 4" xfId="7050" xr:uid="{00000000-0005-0000-0000-0000F8B20000}"/>
    <cellStyle name="Normal 12 17 5" xfId="12530" xr:uid="{00000000-0005-0000-0000-0000F9B20000}"/>
    <cellStyle name="Normal 12 17 6" xfId="18006" xr:uid="{00000000-0005-0000-0000-0000FAB20000}"/>
    <cellStyle name="Normal 12 17 7" xfId="23482" xr:uid="{00000000-0005-0000-0000-0000FBB20000}"/>
    <cellStyle name="Normal 12 17 8" xfId="35277" xr:uid="{00000000-0005-0000-0000-0000FCB20000}"/>
    <cellStyle name="Normal 12 17 9" xfId="40754" xr:uid="{00000000-0005-0000-0000-0000FDB20000}"/>
    <cellStyle name="Normal 12 18" xfId="1777" xr:uid="{00000000-0005-0000-0000-0000FEB20000}"/>
    <cellStyle name="Normal 12 18 10" xfId="46232" xr:uid="{00000000-0005-0000-0000-0000FFB20000}"/>
    <cellStyle name="Normal 12 18 11" xfId="51711" xr:uid="{00000000-0005-0000-0000-000000B30000}"/>
    <cellStyle name="Normal 12 18 2" xfId="3538" xr:uid="{00000000-0005-0000-0000-000001B30000}"/>
    <cellStyle name="Normal 12 18 2 2" xfId="9018" xr:uid="{00000000-0005-0000-0000-000002B30000}"/>
    <cellStyle name="Normal 12 18 2 3" xfId="14494" xr:uid="{00000000-0005-0000-0000-000003B30000}"/>
    <cellStyle name="Normal 12 18 2 4" xfId="19970" xr:uid="{00000000-0005-0000-0000-000004B30000}"/>
    <cellStyle name="Normal 12 18 2 5" xfId="25446" xr:uid="{00000000-0005-0000-0000-000005B30000}"/>
    <cellStyle name="Normal 12 18 2 6" xfId="37242" xr:uid="{00000000-0005-0000-0000-000006B30000}"/>
    <cellStyle name="Normal 12 18 2 7" xfId="42719" xr:uid="{00000000-0005-0000-0000-000007B30000}"/>
    <cellStyle name="Normal 12 18 2 8" xfId="48196" xr:uid="{00000000-0005-0000-0000-000008B30000}"/>
    <cellStyle name="Normal 12 18 2 9" xfId="53714" xr:uid="{00000000-0005-0000-0000-000009B30000}"/>
    <cellStyle name="Normal 12 18 3" xfId="5310" xr:uid="{00000000-0005-0000-0000-00000AB30000}"/>
    <cellStyle name="Normal 12 18 3 2" xfId="10790" xr:uid="{00000000-0005-0000-0000-00000BB30000}"/>
    <cellStyle name="Normal 12 18 3 3" xfId="16266" xr:uid="{00000000-0005-0000-0000-00000CB30000}"/>
    <cellStyle name="Normal 12 18 3 4" xfId="21742" xr:uid="{00000000-0005-0000-0000-00000DB30000}"/>
    <cellStyle name="Normal 12 18 3 5" xfId="27218" xr:uid="{00000000-0005-0000-0000-00000EB30000}"/>
    <cellStyle name="Normal 12 18 3 6" xfId="39014" xr:uid="{00000000-0005-0000-0000-00000FB30000}"/>
    <cellStyle name="Normal 12 18 3 7" xfId="44491" xr:uid="{00000000-0005-0000-0000-000010B30000}"/>
    <cellStyle name="Normal 12 18 3 8" xfId="49968" xr:uid="{00000000-0005-0000-0000-000011B30000}"/>
    <cellStyle name="Normal 12 18 3 9" xfId="55486" xr:uid="{00000000-0005-0000-0000-000012B30000}"/>
    <cellStyle name="Normal 12 18 4" xfId="7051" xr:uid="{00000000-0005-0000-0000-000013B30000}"/>
    <cellStyle name="Normal 12 18 5" xfId="12531" xr:uid="{00000000-0005-0000-0000-000014B30000}"/>
    <cellStyle name="Normal 12 18 6" xfId="18007" xr:uid="{00000000-0005-0000-0000-000015B30000}"/>
    <cellStyle name="Normal 12 18 7" xfId="23483" xr:uid="{00000000-0005-0000-0000-000016B30000}"/>
    <cellStyle name="Normal 12 18 8" xfId="35278" xr:uid="{00000000-0005-0000-0000-000017B30000}"/>
    <cellStyle name="Normal 12 18 9" xfId="40755" xr:uid="{00000000-0005-0000-0000-000018B30000}"/>
    <cellStyle name="Normal 12 19" xfId="2047" xr:uid="{00000000-0005-0000-0000-000019B30000}"/>
    <cellStyle name="Normal 12 19 10" xfId="52224" xr:uid="{00000000-0005-0000-0000-00001AB30000}"/>
    <cellStyle name="Normal 12 19 2" xfId="5579" xr:uid="{00000000-0005-0000-0000-00001BB30000}"/>
    <cellStyle name="Normal 12 19 2 2" xfId="11059" xr:uid="{00000000-0005-0000-0000-00001CB30000}"/>
    <cellStyle name="Normal 12 19 2 3" xfId="16535" xr:uid="{00000000-0005-0000-0000-00001DB30000}"/>
    <cellStyle name="Normal 12 19 2 4" xfId="22011" xr:uid="{00000000-0005-0000-0000-00001EB30000}"/>
    <cellStyle name="Normal 12 19 2 5" xfId="27487" xr:uid="{00000000-0005-0000-0000-00001FB30000}"/>
    <cellStyle name="Normal 12 19 2 6" xfId="39283" xr:uid="{00000000-0005-0000-0000-000020B30000}"/>
    <cellStyle name="Normal 12 19 2 7" xfId="44760" xr:uid="{00000000-0005-0000-0000-000021B30000}"/>
    <cellStyle name="Normal 12 19 2 8" xfId="50237" xr:uid="{00000000-0005-0000-0000-000022B30000}"/>
    <cellStyle name="Normal 12 19 2 9" xfId="55755" xr:uid="{00000000-0005-0000-0000-000023B30000}"/>
    <cellStyle name="Normal 12 19 3" xfId="7528" xr:uid="{00000000-0005-0000-0000-000024B30000}"/>
    <cellStyle name="Normal 12 19 4" xfId="13004" xr:uid="{00000000-0005-0000-0000-000025B30000}"/>
    <cellStyle name="Normal 12 19 5" xfId="18480" xr:uid="{00000000-0005-0000-0000-000026B30000}"/>
    <cellStyle name="Normal 12 19 6" xfId="23956" xr:uid="{00000000-0005-0000-0000-000027B30000}"/>
    <cellStyle name="Normal 12 19 7" xfId="35752" xr:uid="{00000000-0005-0000-0000-000028B30000}"/>
    <cellStyle name="Normal 12 19 8" xfId="41229" xr:uid="{00000000-0005-0000-0000-000029B30000}"/>
    <cellStyle name="Normal 12 19 9" xfId="46706" xr:uid="{00000000-0005-0000-0000-00002AB30000}"/>
    <cellStyle name="Normal 12 2" xfId="121" xr:uid="{00000000-0005-0000-0000-00002BB30000}"/>
    <cellStyle name="Normal 12 2 10" xfId="1686" xr:uid="{00000000-0005-0000-0000-00002CB30000}"/>
    <cellStyle name="Normal 12 2 10 10" xfId="46234" xr:uid="{00000000-0005-0000-0000-00002DB30000}"/>
    <cellStyle name="Normal 12 2 10 11" xfId="51713" xr:uid="{00000000-0005-0000-0000-00002EB30000}"/>
    <cellStyle name="Normal 12 2 10 2" xfId="3447" xr:uid="{00000000-0005-0000-0000-00002FB30000}"/>
    <cellStyle name="Normal 12 2 10 2 2" xfId="8927" xr:uid="{00000000-0005-0000-0000-000030B30000}"/>
    <cellStyle name="Normal 12 2 10 2 3" xfId="14403" xr:uid="{00000000-0005-0000-0000-000031B30000}"/>
    <cellStyle name="Normal 12 2 10 2 4" xfId="19879" xr:uid="{00000000-0005-0000-0000-000032B30000}"/>
    <cellStyle name="Normal 12 2 10 2 5" xfId="25355" xr:uid="{00000000-0005-0000-0000-000033B30000}"/>
    <cellStyle name="Normal 12 2 10 2 6" xfId="37151" xr:uid="{00000000-0005-0000-0000-000034B30000}"/>
    <cellStyle name="Normal 12 2 10 2 7" xfId="42628" xr:uid="{00000000-0005-0000-0000-000035B30000}"/>
    <cellStyle name="Normal 12 2 10 2 8" xfId="48105" xr:uid="{00000000-0005-0000-0000-000036B30000}"/>
    <cellStyle name="Normal 12 2 10 2 9" xfId="53623" xr:uid="{00000000-0005-0000-0000-000037B30000}"/>
    <cellStyle name="Normal 12 2 10 3" xfId="5219" xr:uid="{00000000-0005-0000-0000-000038B30000}"/>
    <cellStyle name="Normal 12 2 10 3 2" xfId="10699" xr:uid="{00000000-0005-0000-0000-000039B30000}"/>
    <cellStyle name="Normal 12 2 10 3 3" xfId="16175" xr:uid="{00000000-0005-0000-0000-00003AB30000}"/>
    <cellStyle name="Normal 12 2 10 3 4" xfId="21651" xr:uid="{00000000-0005-0000-0000-00003BB30000}"/>
    <cellStyle name="Normal 12 2 10 3 5" xfId="27127" xr:uid="{00000000-0005-0000-0000-00003CB30000}"/>
    <cellStyle name="Normal 12 2 10 3 6" xfId="38923" xr:uid="{00000000-0005-0000-0000-00003DB30000}"/>
    <cellStyle name="Normal 12 2 10 3 7" xfId="44400" xr:uid="{00000000-0005-0000-0000-00003EB30000}"/>
    <cellStyle name="Normal 12 2 10 3 8" xfId="49877" xr:uid="{00000000-0005-0000-0000-00003FB30000}"/>
    <cellStyle name="Normal 12 2 10 3 9" xfId="55395" xr:uid="{00000000-0005-0000-0000-000040B30000}"/>
    <cellStyle name="Normal 12 2 10 4" xfId="7053" xr:uid="{00000000-0005-0000-0000-000041B30000}"/>
    <cellStyle name="Normal 12 2 10 5" xfId="12533" xr:uid="{00000000-0005-0000-0000-000042B30000}"/>
    <cellStyle name="Normal 12 2 10 6" xfId="18009" xr:uid="{00000000-0005-0000-0000-000043B30000}"/>
    <cellStyle name="Normal 12 2 10 7" xfId="23485" xr:uid="{00000000-0005-0000-0000-000044B30000}"/>
    <cellStyle name="Normal 12 2 10 8" xfId="35280" xr:uid="{00000000-0005-0000-0000-000045B30000}"/>
    <cellStyle name="Normal 12 2 10 9" xfId="40757" xr:uid="{00000000-0005-0000-0000-000046B30000}"/>
    <cellStyle name="Normal 12 2 11" xfId="1877" xr:uid="{00000000-0005-0000-0000-000047B30000}"/>
    <cellStyle name="Normal 12 2 11 10" xfId="46235" xr:uid="{00000000-0005-0000-0000-000048B30000}"/>
    <cellStyle name="Normal 12 2 11 11" xfId="51714" xr:uid="{00000000-0005-0000-0000-000049B30000}"/>
    <cellStyle name="Normal 12 2 11 2" xfId="3638" xr:uid="{00000000-0005-0000-0000-00004AB30000}"/>
    <cellStyle name="Normal 12 2 11 2 2" xfId="9118" xr:uid="{00000000-0005-0000-0000-00004BB30000}"/>
    <cellStyle name="Normal 12 2 11 2 3" xfId="14594" xr:uid="{00000000-0005-0000-0000-00004CB30000}"/>
    <cellStyle name="Normal 12 2 11 2 4" xfId="20070" xr:uid="{00000000-0005-0000-0000-00004DB30000}"/>
    <cellStyle name="Normal 12 2 11 2 5" xfId="25546" xr:uid="{00000000-0005-0000-0000-00004EB30000}"/>
    <cellStyle name="Normal 12 2 11 2 6" xfId="37342" xr:uid="{00000000-0005-0000-0000-00004FB30000}"/>
    <cellStyle name="Normal 12 2 11 2 7" xfId="42819" xr:uid="{00000000-0005-0000-0000-000050B30000}"/>
    <cellStyle name="Normal 12 2 11 2 8" xfId="48296" xr:uid="{00000000-0005-0000-0000-000051B30000}"/>
    <cellStyle name="Normal 12 2 11 2 9" xfId="53814" xr:uid="{00000000-0005-0000-0000-000052B30000}"/>
    <cellStyle name="Normal 12 2 11 3" xfId="5410" xr:uid="{00000000-0005-0000-0000-000053B30000}"/>
    <cellStyle name="Normal 12 2 11 3 2" xfId="10890" xr:uid="{00000000-0005-0000-0000-000054B30000}"/>
    <cellStyle name="Normal 12 2 11 3 3" xfId="16366" xr:uid="{00000000-0005-0000-0000-000055B30000}"/>
    <cellStyle name="Normal 12 2 11 3 4" xfId="21842" xr:uid="{00000000-0005-0000-0000-000056B30000}"/>
    <cellStyle name="Normal 12 2 11 3 5" xfId="27318" xr:uid="{00000000-0005-0000-0000-000057B30000}"/>
    <cellStyle name="Normal 12 2 11 3 6" xfId="39114" xr:uid="{00000000-0005-0000-0000-000058B30000}"/>
    <cellStyle name="Normal 12 2 11 3 7" xfId="44591" xr:uid="{00000000-0005-0000-0000-000059B30000}"/>
    <cellStyle name="Normal 12 2 11 3 8" xfId="50068" xr:uid="{00000000-0005-0000-0000-00005AB30000}"/>
    <cellStyle name="Normal 12 2 11 3 9" xfId="55586" xr:uid="{00000000-0005-0000-0000-00005BB30000}"/>
    <cellStyle name="Normal 12 2 11 4" xfId="7054" xr:uid="{00000000-0005-0000-0000-00005CB30000}"/>
    <cellStyle name="Normal 12 2 11 5" xfId="12534" xr:uid="{00000000-0005-0000-0000-00005DB30000}"/>
    <cellStyle name="Normal 12 2 11 6" xfId="18010" xr:uid="{00000000-0005-0000-0000-00005EB30000}"/>
    <cellStyle name="Normal 12 2 11 7" xfId="23486" xr:uid="{00000000-0005-0000-0000-00005FB30000}"/>
    <cellStyle name="Normal 12 2 11 8" xfId="35281" xr:uid="{00000000-0005-0000-0000-000060B30000}"/>
    <cellStyle name="Normal 12 2 11 9" xfId="40758" xr:uid="{00000000-0005-0000-0000-000061B30000}"/>
    <cellStyle name="Normal 12 2 12" xfId="2048" xr:uid="{00000000-0005-0000-0000-000062B30000}"/>
    <cellStyle name="Normal 12 2 12 10" xfId="52225" xr:uid="{00000000-0005-0000-0000-000063B30000}"/>
    <cellStyle name="Normal 12 2 12 2" xfId="5580" xr:uid="{00000000-0005-0000-0000-000064B30000}"/>
    <cellStyle name="Normal 12 2 12 2 2" xfId="11060" xr:uid="{00000000-0005-0000-0000-000065B30000}"/>
    <cellStyle name="Normal 12 2 12 2 3" xfId="16536" xr:uid="{00000000-0005-0000-0000-000066B30000}"/>
    <cellStyle name="Normal 12 2 12 2 4" xfId="22012" xr:uid="{00000000-0005-0000-0000-000067B30000}"/>
    <cellStyle name="Normal 12 2 12 2 5" xfId="27488" xr:uid="{00000000-0005-0000-0000-000068B30000}"/>
    <cellStyle name="Normal 12 2 12 2 6" xfId="39284" xr:uid="{00000000-0005-0000-0000-000069B30000}"/>
    <cellStyle name="Normal 12 2 12 2 7" xfId="44761" xr:uid="{00000000-0005-0000-0000-00006AB30000}"/>
    <cellStyle name="Normal 12 2 12 2 8" xfId="50238" xr:uid="{00000000-0005-0000-0000-00006BB30000}"/>
    <cellStyle name="Normal 12 2 12 2 9" xfId="55756" xr:uid="{00000000-0005-0000-0000-00006CB30000}"/>
    <cellStyle name="Normal 12 2 12 3" xfId="7529" xr:uid="{00000000-0005-0000-0000-00006DB30000}"/>
    <cellStyle name="Normal 12 2 12 4" xfId="13005" xr:uid="{00000000-0005-0000-0000-00006EB30000}"/>
    <cellStyle name="Normal 12 2 12 5" xfId="18481" xr:uid="{00000000-0005-0000-0000-00006FB30000}"/>
    <cellStyle name="Normal 12 2 12 6" xfId="23957" xr:uid="{00000000-0005-0000-0000-000070B30000}"/>
    <cellStyle name="Normal 12 2 12 7" xfId="35753" xr:uid="{00000000-0005-0000-0000-000071B30000}"/>
    <cellStyle name="Normal 12 2 12 8" xfId="41230" xr:uid="{00000000-0005-0000-0000-000072B30000}"/>
    <cellStyle name="Normal 12 2 12 9" xfId="46707" xr:uid="{00000000-0005-0000-0000-000073B30000}"/>
    <cellStyle name="Normal 12 2 13" xfId="3699" xr:uid="{00000000-0005-0000-0000-000074B30000}"/>
    <cellStyle name="Normal 12 2 13 2" xfId="9179" xr:uid="{00000000-0005-0000-0000-000075B30000}"/>
    <cellStyle name="Normal 12 2 13 3" xfId="14655" xr:uid="{00000000-0005-0000-0000-000076B30000}"/>
    <cellStyle name="Normal 12 2 13 4" xfId="20131" xr:uid="{00000000-0005-0000-0000-000077B30000}"/>
    <cellStyle name="Normal 12 2 13 5" xfId="25607" xr:uid="{00000000-0005-0000-0000-000078B30000}"/>
    <cellStyle name="Normal 12 2 13 6" xfId="37403" xr:uid="{00000000-0005-0000-0000-000079B30000}"/>
    <cellStyle name="Normal 12 2 13 7" xfId="42880" xr:uid="{00000000-0005-0000-0000-00007AB30000}"/>
    <cellStyle name="Normal 12 2 13 8" xfId="48357" xr:uid="{00000000-0005-0000-0000-00007BB30000}"/>
    <cellStyle name="Normal 12 2 13 9" xfId="53875" xr:uid="{00000000-0005-0000-0000-00007CB30000}"/>
    <cellStyle name="Normal 12 2 14" xfId="7052" xr:uid="{00000000-0005-0000-0000-00007DB30000}"/>
    <cellStyle name="Normal 12 2 15" xfId="12532" xr:uid="{00000000-0005-0000-0000-00007EB30000}"/>
    <cellStyle name="Normal 12 2 16" xfId="18008" xr:uid="{00000000-0005-0000-0000-00007FB30000}"/>
    <cellStyle name="Normal 12 2 17" xfId="23484" xr:uid="{00000000-0005-0000-0000-000080B30000}"/>
    <cellStyle name="Normal 12 2 18" xfId="32953" xr:uid="{00000000-0005-0000-0000-000081B30000}"/>
    <cellStyle name="Normal 12 2 19" xfId="35279" xr:uid="{00000000-0005-0000-0000-000082B30000}"/>
    <cellStyle name="Normal 12 2 2" xfId="219" xr:uid="{00000000-0005-0000-0000-000083B30000}"/>
    <cellStyle name="Normal 12 2 2 10" xfId="1878" xr:uid="{00000000-0005-0000-0000-000084B30000}"/>
    <cellStyle name="Normal 12 2 2 10 10" xfId="46237" xr:uid="{00000000-0005-0000-0000-000085B30000}"/>
    <cellStyle name="Normal 12 2 2 10 11" xfId="51716" xr:uid="{00000000-0005-0000-0000-000086B30000}"/>
    <cellStyle name="Normal 12 2 2 10 2" xfId="3639" xr:uid="{00000000-0005-0000-0000-000087B30000}"/>
    <cellStyle name="Normal 12 2 2 10 2 2" xfId="9119" xr:uid="{00000000-0005-0000-0000-000088B30000}"/>
    <cellStyle name="Normal 12 2 2 10 2 3" xfId="14595" xr:uid="{00000000-0005-0000-0000-000089B30000}"/>
    <cellStyle name="Normal 12 2 2 10 2 4" xfId="20071" xr:uid="{00000000-0005-0000-0000-00008AB30000}"/>
    <cellStyle name="Normal 12 2 2 10 2 5" xfId="25547" xr:uid="{00000000-0005-0000-0000-00008BB30000}"/>
    <cellStyle name="Normal 12 2 2 10 2 6" xfId="37343" xr:uid="{00000000-0005-0000-0000-00008CB30000}"/>
    <cellStyle name="Normal 12 2 2 10 2 7" xfId="42820" xr:uid="{00000000-0005-0000-0000-00008DB30000}"/>
    <cellStyle name="Normal 12 2 2 10 2 8" xfId="48297" xr:uid="{00000000-0005-0000-0000-00008EB30000}"/>
    <cellStyle name="Normal 12 2 2 10 2 9" xfId="53815" xr:uid="{00000000-0005-0000-0000-00008FB30000}"/>
    <cellStyle name="Normal 12 2 2 10 3" xfId="5411" xr:uid="{00000000-0005-0000-0000-000090B30000}"/>
    <cellStyle name="Normal 12 2 2 10 3 2" xfId="10891" xr:uid="{00000000-0005-0000-0000-000091B30000}"/>
    <cellStyle name="Normal 12 2 2 10 3 3" xfId="16367" xr:uid="{00000000-0005-0000-0000-000092B30000}"/>
    <cellStyle name="Normal 12 2 2 10 3 4" xfId="21843" xr:uid="{00000000-0005-0000-0000-000093B30000}"/>
    <cellStyle name="Normal 12 2 2 10 3 5" xfId="27319" xr:uid="{00000000-0005-0000-0000-000094B30000}"/>
    <cellStyle name="Normal 12 2 2 10 3 6" xfId="39115" xr:uid="{00000000-0005-0000-0000-000095B30000}"/>
    <cellStyle name="Normal 12 2 2 10 3 7" xfId="44592" xr:uid="{00000000-0005-0000-0000-000096B30000}"/>
    <cellStyle name="Normal 12 2 2 10 3 8" xfId="50069" xr:uid="{00000000-0005-0000-0000-000097B30000}"/>
    <cellStyle name="Normal 12 2 2 10 3 9" xfId="55587" xr:uid="{00000000-0005-0000-0000-000098B30000}"/>
    <cellStyle name="Normal 12 2 2 10 4" xfId="7056" xr:uid="{00000000-0005-0000-0000-000099B30000}"/>
    <cellStyle name="Normal 12 2 2 10 5" xfId="12536" xr:uid="{00000000-0005-0000-0000-00009AB30000}"/>
    <cellStyle name="Normal 12 2 2 10 6" xfId="18012" xr:uid="{00000000-0005-0000-0000-00009BB30000}"/>
    <cellStyle name="Normal 12 2 2 10 7" xfId="23488" xr:uid="{00000000-0005-0000-0000-00009CB30000}"/>
    <cellStyle name="Normal 12 2 2 10 8" xfId="35283" xr:uid="{00000000-0005-0000-0000-00009DB30000}"/>
    <cellStyle name="Normal 12 2 2 10 9" xfId="40760" xr:uid="{00000000-0005-0000-0000-00009EB30000}"/>
    <cellStyle name="Normal 12 2 2 11" xfId="2049" xr:uid="{00000000-0005-0000-0000-00009FB30000}"/>
    <cellStyle name="Normal 12 2 2 11 10" xfId="52226" xr:uid="{00000000-0005-0000-0000-0000A0B30000}"/>
    <cellStyle name="Normal 12 2 2 11 2" xfId="5581" xr:uid="{00000000-0005-0000-0000-0000A1B30000}"/>
    <cellStyle name="Normal 12 2 2 11 2 2" xfId="11061" xr:uid="{00000000-0005-0000-0000-0000A2B30000}"/>
    <cellStyle name="Normal 12 2 2 11 2 3" xfId="16537" xr:uid="{00000000-0005-0000-0000-0000A3B30000}"/>
    <cellStyle name="Normal 12 2 2 11 2 4" xfId="22013" xr:uid="{00000000-0005-0000-0000-0000A4B30000}"/>
    <cellStyle name="Normal 12 2 2 11 2 5" xfId="27489" xr:uid="{00000000-0005-0000-0000-0000A5B30000}"/>
    <cellStyle name="Normal 12 2 2 11 2 6" xfId="39285" xr:uid="{00000000-0005-0000-0000-0000A6B30000}"/>
    <cellStyle name="Normal 12 2 2 11 2 7" xfId="44762" xr:uid="{00000000-0005-0000-0000-0000A7B30000}"/>
    <cellStyle name="Normal 12 2 2 11 2 8" xfId="50239" xr:uid="{00000000-0005-0000-0000-0000A8B30000}"/>
    <cellStyle name="Normal 12 2 2 11 2 9" xfId="55757" xr:uid="{00000000-0005-0000-0000-0000A9B30000}"/>
    <cellStyle name="Normal 12 2 2 11 3" xfId="7530" xr:uid="{00000000-0005-0000-0000-0000AAB30000}"/>
    <cellStyle name="Normal 12 2 2 11 4" xfId="13006" xr:uid="{00000000-0005-0000-0000-0000ABB30000}"/>
    <cellStyle name="Normal 12 2 2 11 5" xfId="18482" xr:uid="{00000000-0005-0000-0000-0000ACB30000}"/>
    <cellStyle name="Normal 12 2 2 11 6" xfId="23958" xr:uid="{00000000-0005-0000-0000-0000ADB30000}"/>
    <cellStyle name="Normal 12 2 2 11 7" xfId="35754" xr:uid="{00000000-0005-0000-0000-0000AEB30000}"/>
    <cellStyle name="Normal 12 2 2 11 8" xfId="41231" xr:uid="{00000000-0005-0000-0000-0000AFB30000}"/>
    <cellStyle name="Normal 12 2 2 11 9" xfId="46708" xr:uid="{00000000-0005-0000-0000-0000B0B30000}"/>
    <cellStyle name="Normal 12 2 2 12" xfId="3785" xr:uid="{00000000-0005-0000-0000-0000B1B30000}"/>
    <cellStyle name="Normal 12 2 2 12 2" xfId="9265" xr:uid="{00000000-0005-0000-0000-0000B2B30000}"/>
    <cellStyle name="Normal 12 2 2 12 3" xfId="14741" xr:uid="{00000000-0005-0000-0000-0000B3B30000}"/>
    <cellStyle name="Normal 12 2 2 12 4" xfId="20217" xr:uid="{00000000-0005-0000-0000-0000B4B30000}"/>
    <cellStyle name="Normal 12 2 2 12 5" xfId="25693" xr:uid="{00000000-0005-0000-0000-0000B5B30000}"/>
    <cellStyle name="Normal 12 2 2 12 6" xfId="37489" xr:uid="{00000000-0005-0000-0000-0000B6B30000}"/>
    <cellStyle name="Normal 12 2 2 12 7" xfId="42966" xr:uid="{00000000-0005-0000-0000-0000B7B30000}"/>
    <cellStyle name="Normal 12 2 2 12 8" xfId="48443" xr:uid="{00000000-0005-0000-0000-0000B8B30000}"/>
    <cellStyle name="Normal 12 2 2 12 9" xfId="53961" xr:uid="{00000000-0005-0000-0000-0000B9B30000}"/>
    <cellStyle name="Normal 12 2 2 13" xfId="7055" xr:uid="{00000000-0005-0000-0000-0000BAB30000}"/>
    <cellStyle name="Normal 12 2 2 14" xfId="12535" xr:uid="{00000000-0005-0000-0000-0000BBB30000}"/>
    <cellStyle name="Normal 12 2 2 15" xfId="18011" xr:uid="{00000000-0005-0000-0000-0000BCB30000}"/>
    <cellStyle name="Normal 12 2 2 16" xfId="23487" xr:uid="{00000000-0005-0000-0000-0000BDB30000}"/>
    <cellStyle name="Normal 12 2 2 17" xfId="32954" xr:uid="{00000000-0005-0000-0000-0000BEB30000}"/>
    <cellStyle name="Normal 12 2 2 18" xfId="35282" xr:uid="{00000000-0005-0000-0000-0000BFB30000}"/>
    <cellStyle name="Normal 12 2 2 19" xfId="40759" xr:uid="{00000000-0005-0000-0000-0000C0B30000}"/>
    <cellStyle name="Normal 12 2 2 2" xfId="444" xr:uid="{00000000-0005-0000-0000-0000C1B30000}"/>
    <cellStyle name="Normal 12 2 2 2 10" xfId="46238" xr:uid="{00000000-0005-0000-0000-0000C2B30000}"/>
    <cellStyle name="Normal 12 2 2 2 11" xfId="51717" xr:uid="{00000000-0005-0000-0000-0000C3B30000}"/>
    <cellStyle name="Normal 12 2 2 2 2" xfId="2210" xr:uid="{00000000-0005-0000-0000-0000C4B30000}"/>
    <cellStyle name="Normal 12 2 2 2 2 2" xfId="7690" xr:uid="{00000000-0005-0000-0000-0000C5B30000}"/>
    <cellStyle name="Normal 12 2 2 2 2 3" xfId="13166" xr:uid="{00000000-0005-0000-0000-0000C6B30000}"/>
    <cellStyle name="Normal 12 2 2 2 2 4" xfId="18642" xr:uid="{00000000-0005-0000-0000-0000C7B30000}"/>
    <cellStyle name="Normal 12 2 2 2 2 5" xfId="24118" xr:uid="{00000000-0005-0000-0000-0000C8B30000}"/>
    <cellStyle name="Normal 12 2 2 2 2 6" xfId="35914" xr:uid="{00000000-0005-0000-0000-0000C9B30000}"/>
    <cellStyle name="Normal 12 2 2 2 2 7" xfId="41391" xr:uid="{00000000-0005-0000-0000-0000CAB30000}"/>
    <cellStyle name="Normal 12 2 2 2 2 8" xfId="46868" xr:uid="{00000000-0005-0000-0000-0000CBB30000}"/>
    <cellStyle name="Normal 12 2 2 2 2 9" xfId="52386" xr:uid="{00000000-0005-0000-0000-0000CCB30000}"/>
    <cellStyle name="Normal 12 2 2 2 3" xfId="3982" xr:uid="{00000000-0005-0000-0000-0000CDB30000}"/>
    <cellStyle name="Normal 12 2 2 2 3 2" xfId="9462" xr:uid="{00000000-0005-0000-0000-0000CEB30000}"/>
    <cellStyle name="Normal 12 2 2 2 3 3" xfId="14938" xr:uid="{00000000-0005-0000-0000-0000CFB30000}"/>
    <cellStyle name="Normal 12 2 2 2 3 4" xfId="20414" xr:uid="{00000000-0005-0000-0000-0000D0B30000}"/>
    <cellStyle name="Normal 12 2 2 2 3 5" xfId="25890" xr:uid="{00000000-0005-0000-0000-0000D1B30000}"/>
    <cellStyle name="Normal 12 2 2 2 3 6" xfId="37686" xr:uid="{00000000-0005-0000-0000-0000D2B30000}"/>
    <cellStyle name="Normal 12 2 2 2 3 7" xfId="43163" xr:uid="{00000000-0005-0000-0000-0000D3B30000}"/>
    <cellStyle name="Normal 12 2 2 2 3 8" xfId="48640" xr:uid="{00000000-0005-0000-0000-0000D4B30000}"/>
    <cellStyle name="Normal 12 2 2 2 3 9" xfId="54158" xr:uid="{00000000-0005-0000-0000-0000D5B30000}"/>
    <cellStyle name="Normal 12 2 2 2 4" xfId="7057" xr:uid="{00000000-0005-0000-0000-0000D6B30000}"/>
    <cellStyle name="Normal 12 2 2 2 5" xfId="12537" xr:uid="{00000000-0005-0000-0000-0000D7B30000}"/>
    <cellStyle name="Normal 12 2 2 2 6" xfId="18013" xr:uid="{00000000-0005-0000-0000-0000D8B30000}"/>
    <cellStyle name="Normal 12 2 2 2 7" xfId="23489" xr:uid="{00000000-0005-0000-0000-0000D9B30000}"/>
    <cellStyle name="Normal 12 2 2 2 8" xfId="35284" xr:uid="{00000000-0005-0000-0000-0000DAB30000}"/>
    <cellStyle name="Normal 12 2 2 2 9" xfId="40761" xr:uid="{00000000-0005-0000-0000-0000DBB30000}"/>
    <cellStyle name="Normal 12 2 2 20" xfId="46236" xr:uid="{00000000-0005-0000-0000-0000DCB30000}"/>
    <cellStyle name="Normal 12 2 2 21" xfId="51715" xr:uid="{00000000-0005-0000-0000-0000DDB30000}"/>
    <cellStyle name="Normal 12 2 2 3" xfId="621" xr:uid="{00000000-0005-0000-0000-0000DEB30000}"/>
    <cellStyle name="Normal 12 2 2 3 10" xfId="46239" xr:uid="{00000000-0005-0000-0000-0000DFB30000}"/>
    <cellStyle name="Normal 12 2 2 3 11" xfId="51718" xr:uid="{00000000-0005-0000-0000-0000E0B30000}"/>
    <cellStyle name="Normal 12 2 2 3 2" xfId="2382" xr:uid="{00000000-0005-0000-0000-0000E1B30000}"/>
    <cellStyle name="Normal 12 2 2 3 2 2" xfId="7862" xr:uid="{00000000-0005-0000-0000-0000E2B30000}"/>
    <cellStyle name="Normal 12 2 2 3 2 3" xfId="13338" xr:uid="{00000000-0005-0000-0000-0000E3B30000}"/>
    <cellStyle name="Normal 12 2 2 3 2 4" xfId="18814" xr:uid="{00000000-0005-0000-0000-0000E4B30000}"/>
    <cellStyle name="Normal 12 2 2 3 2 5" xfId="24290" xr:uid="{00000000-0005-0000-0000-0000E5B30000}"/>
    <cellStyle name="Normal 12 2 2 3 2 6" xfId="36086" xr:uid="{00000000-0005-0000-0000-0000E6B30000}"/>
    <cellStyle name="Normal 12 2 2 3 2 7" xfId="41563" xr:uid="{00000000-0005-0000-0000-0000E7B30000}"/>
    <cellStyle name="Normal 12 2 2 3 2 8" xfId="47040" xr:uid="{00000000-0005-0000-0000-0000E8B30000}"/>
    <cellStyle name="Normal 12 2 2 3 2 9" xfId="52558" xr:uid="{00000000-0005-0000-0000-0000E9B30000}"/>
    <cellStyle name="Normal 12 2 2 3 3" xfId="4154" xr:uid="{00000000-0005-0000-0000-0000EAB30000}"/>
    <cellStyle name="Normal 12 2 2 3 3 2" xfId="9634" xr:uid="{00000000-0005-0000-0000-0000EBB30000}"/>
    <cellStyle name="Normal 12 2 2 3 3 3" xfId="15110" xr:uid="{00000000-0005-0000-0000-0000ECB30000}"/>
    <cellStyle name="Normal 12 2 2 3 3 4" xfId="20586" xr:uid="{00000000-0005-0000-0000-0000EDB30000}"/>
    <cellStyle name="Normal 12 2 2 3 3 5" xfId="26062" xr:uid="{00000000-0005-0000-0000-0000EEB30000}"/>
    <cellStyle name="Normal 12 2 2 3 3 6" xfId="37858" xr:uid="{00000000-0005-0000-0000-0000EFB30000}"/>
    <cellStyle name="Normal 12 2 2 3 3 7" xfId="43335" xr:uid="{00000000-0005-0000-0000-0000F0B30000}"/>
    <cellStyle name="Normal 12 2 2 3 3 8" xfId="48812" xr:uid="{00000000-0005-0000-0000-0000F1B30000}"/>
    <cellStyle name="Normal 12 2 2 3 3 9" xfId="54330" xr:uid="{00000000-0005-0000-0000-0000F2B30000}"/>
    <cellStyle name="Normal 12 2 2 3 4" xfId="7058" xr:uid="{00000000-0005-0000-0000-0000F3B30000}"/>
    <cellStyle name="Normal 12 2 2 3 5" xfId="12538" xr:uid="{00000000-0005-0000-0000-0000F4B30000}"/>
    <cellStyle name="Normal 12 2 2 3 6" xfId="18014" xr:uid="{00000000-0005-0000-0000-0000F5B30000}"/>
    <cellStyle name="Normal 12 2 2 3 7" xfId="23490" xr:uid="{00000000-0005-0000-0000-0000F6B30000}"/>
    <cellStyle name="Normal 12 2 2 3 8" xfId="35285" xr:uid="{00000000-0005-0000-0000-0000F7B30000}"/>
    <cellStyle name="Normal 12 2 2 3 9" xfId="40762" xr:uid="{00000000-0005-0000-0000-0000F8B30000}"/>
    <cellStyle name="Normal 12 2 2 4" xfId="793" xr:uid="{00000000-0005-0000-0000-0000F9B30000}"/>
    <cellStyle name="Normal 12 2 2 4 10" xfId="46240" xr:uid="{00000000-0005-0000-0000-0000FAB30000}"/>
    <cellStyle name="Normal 12 2 2 4 11" xfId="51719" xr:uid="{00000000-0005-0000-0000-0000FBB30000}"/>
    <cellStyle name="Normal 12 2 2 4 2" xfId="2554" xr:uid="{00000000-0005-0000-0000-0000FCB30000}"/>
    <cellStyle name="Normal 12 2 2 4 2 2" xfId="8034" xr:uid="{00000000-0005-0000-0000-0000FDB30000}"/>
    <cellStyle name="Normal 12 2 2 4 2 3" xfId="13510" xr:uid="{00000000-0005-0000-0000-0000FEB30000}"/>
    <cellStyle name="Normal 12 2 2 4 2 4" xfId="18986" xr:uid="{00000000-0005-0000-0000-0000FFB30000}"/>
    <cellStyle name="Normal 12 2 2 4 2 5" xfId="24462" xr:uid="{00000000-0005-0000-0000-000000B40000}"/>
    <cellStyle name="Normal 12 2 2 4 2 6" xfId="36258" xr:uid="{00000000-0005-0000-0000-000001B40000}"/>
    <cellStyle name="Normal 12 2 2 4 2 7" xfId="41735" xr:uid="{00000000-0005-0000-0000-000002B40000}"/>
    <cellStyle name="Normal 12 2 2 4 2 8" xfId="47212" xr:uid="{00000000-0005-0000-0000-000003B40000}"/>
    <cellStyle name="Normal 12 2 2 4 2 9" xfId="52730" xr:uid="{00000000-0005-0000-0000-000004B40000}"/>
    <cellStyle name="Normal 12 2 2 4 3" xfId="4326" xr:uid="{00000000-0005-0000-0000-000005B40000}"/>
    <cellStyle name="Normal 12 2 2 4 3 2" xfId="9806" xr:uid="{00000000-0005-0000-0000-000006B40000}"/>
    <cellStyle name="Normal 12 2 2 4 3 3" xfId="15282" xr:uid="{00000000-0005-0000-0000-000007B40000}"/>
    <cellStyle name="Normal 12 2 2 4 3 4" xfId="20758" xr:uid="{00000000-0005-0000-0000-000008B40000}"/>
    <cellStyle name="Normal 12 2 2 4 3 5" xfId="26234" xr:uid="{00000000-0005-0000-0000-000009B40000}"/>
    <cellStyle name="Normal 12 2 2 4 3 6" xfId="38030" xr:uid="{00000000-0005-0000-0000-00000AB40000}"/>
    <cellStyle name="Normal 12 2 2 4 3 7" xfId="43507" xr:uid="{00000000-0005-0000-0000-00000BB40000}"/>
    <cellStyle name="Normal 12 2 2 4 3 8" xfId="48984" xr:uid="{00000000-0005-0000-0000-00000CB40000}"/>
    <cellStyle name="Normal 12 2 2 4 3 9" xfId="54502" xr:uid="{00000000-0005-0000-0000-00000DB40000}"/>
    <cellStyle name="Normal 12 2 2 4 4" xfId="7059" xr:uid="{00000000-0005-0000-0000-00000EB40000}"/>
    <cellStyle name="Normal 12 2 2 4 5" xfId="12539" xr:uid="{00000000-0005-0000-0000-00000FB40000}"/>
    <cellStyle name="Normal 12 2 2 4 6" xfId="18015" xr:uid="{00000000-0005-0000-0000-000010B40000}"/>
    <cellStyle name="Normal 12 2 2 4 7" xfId="23491" xr:uid="{00000000-0005-0000-0000-000011B40000}"/>
    <cellStyle name="Normal 12 2 2 4 8" xfId="35286" xr:uid="{00000000-0005-0000-0000-000012B40000}"/>
    <cellStyle name="Normal 12 2 2 4 9" xfId="40763" xr:uid="{00000000-0005-0000-0000-000013B40000}"/>
    <cellStyle name="Normal 12 2 2 5" xfId="965" xr:uid="{00000000-0005-0000-0000-000014B40000}"/>
    <cellStyle name="Normal 12 2 2 5 10" xfId="46241" xr:uid="{00000000-0005-0000-0000-000015B40000}"/>
    <cellStyle name="Normal 12 2 2 5 11" xfId="51720" xr:uid="{00000000-0005-0000-0000-000016B40000}"/>
    <cellStyle name="Normal 12 2 2 5 2" xfId="2726" xr:uid="{00000000-0005-0000-0000-000017B40000}"/>
    <cellStyle name="Normal 12 2 2 5 2 2" xfId="8206" xr:uid="{00000000-0005-0000-0000-000018B40000}"/>
    <cellStyle name="Normal 12 2 2 5 2 3" xfId="13682" xr:uid="{00000000-0005-0000-0000-000019B40000}"/>
    <cellStyle name="Normal 12 2 2 5 2 4" xfId="19158" xr:uid="{00000000-0005-0000-0000-00001AB40000}"/>
    <cellStyle name="Normal 12 2 2 5 2 5" xfId="24634" xr:uid="{00000000-0005-0000-0000-00001BB40000}"/>
    <cellStyle name="Normal 12 2 2 5 2 6" xfId="36430" xr:uid="{00000000-0005-0000-0000-00001CB40000}"/>
    <cellStyle name="Normal 12 2 2 5 2 7" xfId="41907" xr:uid="{00000000-0005-0000-0000-00001DB40000}"/>
    <cellStyle name="Normal 12 2 2 5 2 8" xfId="47384" xr:uid="{00000000-0005-0000-0000-00001EB40000}"/>
    <cellStyle name="Normal 12 2 2 5 2 9" xfId="52902" xr:uid="{00000000-0005-0000-0000-00001FB40000}"/>
    <cellStyle name="Normal 12 2 2 5 3" xfId="4498" xr:uid="{00000000-0005-0000-0000-000020B40000}"/>
    <cellStyle name="Normal 12 2 2 5 3 2" xfId="9978" xr:uid="{00000000-0005-0000-0000-000021B40000}"/>
    <cellStyle name="Normal 12 2 2 5 3 3" xfId="15454" xr:uid="{00000000-0005-0000-0000-000022B40000}"/>
    <cellStyle name="Normal 12 2 2 5 3 4" xfId="20930" xr:uid="{00000000-0005-0000-0000-000023B40000}"/>
    <cellStyle name="Normal 12 2 2 5 3 5" xfId="26406" xr:uid="{00000000-0005-0000-0000-000024B40000}"/>
    <cellStyle name="Normal 12 2 2 5 3 6" xfId="38202" xr:uid="{00000000-0005-0000-0000-000025B40000}"/>
    <cellStyle name="Normal 12 2 2 5 3 7" xfId="43679" xr:uid="{00000000-0005-0000-0000-000026B40000}"/>
    <cellStyle name="Normal 12 2 2 5 3 8" xfId="49156" xr:uid="{00000000-0005-0000-0000-000027B40000}"/>
    <cellStyle name="Normal 12 2 2 5 3 9" xfId="54674" xr:uid="{00000000-0005-0000-0000-000028B40000}"/>
    <cellStyle name="Normal 12 2 2 5 4" xfId="7060" xr:uid="{00000000-0005-0000-0000-000029B40000}"/>
    <cellStyle name="Normal 12 2 2 5 5" xfId="12540" xr:uid="{00000000-0005-0000-0000-00002AB40000}"/>
    <cellStyle name="Normal 12 2 2 5 6" xfId="18016" xr:uid="{00000000-0005-0000-0000-00002BB40000}"/>
    <cellStyle name="Normal 12 2 2 5 7" xfId="23492" xr:uid="{00000000-0005-0000-0000-00002CB40000}"/>
    <cellStyle name="Normal 12 2 2 5 8" xfId="35287" xr:uid="{00000000-0005-0000-0000-00002DB40000}"/>
    <cellStyle name="Normal 12 2 2 5 9" xfId="40764" xr:uid="{00000000-0005-0000-0000-00002EB40000}"/>
    <cellStyle name="Normal 12 2 2 6" xfId="1171" xr:uid="{00000000-0005-0000-0000-00002FB40000}"/>
    <cellStyle name="Normal 12 2 2 6 10" xfId="46242" xr:uid="{00000000-0005-0000-0000-000030B40000}"/>
    <cellStyle name="Normal 12 2 2 6 11" xfId="51721" xr:uid="{00000000-0005-0000-0000-000031B40000}"/>
    <cellStyle name="Normal 12 2 2 6 2" xfId="2932" xr:uid="{00000000-0005-0000-0000-000032B40000}"/>
    <cellStyle name="Normal 12 2 2 6 2 2" xfId="8412" xr:uid="{00000000-0005-0000-0000-000033B40000}"/>
    <cellStyle name="Normal 12 2 2 6 2 3" xfId="13888" xr:uid="{00000000-0005-0000-0000-000034B40000}"/>
    <cellStyle name="Normal 12 2 2 6 2 4" xfId="19364" xr:uid="{00000000-0005-0000-0000-000035B40000}"/>
    <cellStyle name="Normal 12 2 2 6 2 5" xfId="24840" xr:uid="{00000000-0005-0000-0000-000036B40000}"/>
    <cellStyle name="Normal 12 2 2 6 2 6" xfId="36636" xr:uid="{00000000-0005-0000-0000-000037B40000}"/>
    <cellStyle name="Normal 12 2 2 6 2 7" xfId="42113" xr:uid="{00000000-0005-0000-0000-000038B40000}"/>
    <cellStyle name="Normal 12 2 2 6 2 8" xfId="47590" xr:uid="{00000000-0005-0000-0000-000039B40000}"/>
    <cellStyle name="Normal 12 2 2 6 2 9" xfId="53108" xr:uid="{00000000-0005-0000-0000-00003AB40000}"/>
    <cellStyle name="Normal 12 2 2 6 3" xfId="4704" xr:uid="{00000000-0005-0000-0000-00003BB40000}"/>
    <cellStyle name="Normal 12 2 2 6 3 2" xfId="10184" xr:uid="{00000000-0005-0000-0000-00003CB40000}"/>
    <cellStyle name="Normal 12 2 2 6 3 3" xfId="15660" xr:uid="{00000000-0005-0000-0000-00003DB40000}"/>
    <cellStyle name="Normal 12 2 2 6 3 4" xfId="21136" xr:uid="{00000000-0005-0000-0000-00003EB40000}"/>
    <cellStyle name="Normal 12 2 2 6 3 5" xfId="26612" xr:uid="{00000000-0005-0000-0000-00003FB40000}"/>
    <cellStyle name="Normal 12 2 2 6 3 6" xfId="38408" xr:uid="{00000000-0005-0000-0000-000040B40000}"/>
    <cellStyle name="Normal 12 2 2 6 3 7" xfId="43885" xr:uid="{00000000-0005-0000-0000-000041B40000}"/>
    <cellStyle name="Normal 12 2 2 6 3 8" xfId="49362" xr:uid="{00000000-0005-0000-0000-000042B40000}"/>
    <cellStyle name="Normal 12 2 2 6 3 9" xfId="54880" xr:uid="{00000000-0005-0000-0000-000043B40000}"/>
    <cellStyle name="Normal 12 2 2 6 4" xfId="7061" xr:uid="{00000000-0005-0000-0000-000044B40000}"/>
    <cellStyle name="Normal 12 2 2 6 5" xfId="12541" xr:uid="{00000000-0005-0000-0000-000045B40000}"/>
    <cellStyle name="Normal 12 2 2 6 6" xfId="18017" xr:uid="{00000000-0005-0000-0000-000046B40000}"/>
    <cellStyle name="Normal 12 2 2 6 7" xfId="23493" xr:uid="{00000000-0005-0000-0000-000047B40000}"/>
    <cellStyle name="Normal 12 2 2 6 8" xfId="35288" xr:uid="{00000000-0005-0000-0000-000048B40000}"/>
    <cellStyle name="Normal 12 2 2 6 9" xfId="40765" xr:uid="{00000000-0005-0000-0000-000049B40000}"/>
    <cellStyle name="Normal 12 2 2 7" xfId="1343" xr:uid="{00000000-0005-0000-0000-00004AB40000}"/>
    <cellStyle name="Normal 12 2 2 7 10" xfId="46243" xr:uid="{00000000-0005-0000-0000-00004BB40000}"/>
    <cellStyle name="Normal 12 2 2 7 11" xfId="51722" xr:uid="{00000000-0005-0000-0000-00004CB40000}"/>
    <cellStyle name="Normal 12 2 2 7 2" xfId="3104" xr:uid="{00000000-0005-0000-0000-00004DB40000}"/>
    <cellStyle name="Normal 12 2 2 7 2 2" xfId="8584" xr:uid="{00000000-0005-0000-0000-00004EB40000}"/>
    <cellStyle name="Normal 12 2 2 7 2 3" xfId="14060" xr:uid="{00000000-0005-0000-0000-00004FB40000}"/>
    <cellStyle name="Normal 12 2 2 7 2 4" xfId="19536" xr:uid="{00000000-0005-0000-0000-000050B40000}"/>
    <cellStyle name="Normal 12 2 2 7 2 5" xfId="25012" xr:uid="{00000000-0005-0000-0000-000051B40000}"/>
    <cellStyle name="Normal 12 2 2 7 2 6" xfId="36808" xr:uid="{00000000-0005-0000-0000-000052B40000}"/>
    <cellStyle name="Normal 12 2 2 7 2 7" xfId="42285" xr:uid="{00000000-0005-0000-0000-000053B40000}"/>
    <cellStyle name="Normal 12 2 2 7 2 8" xfId="47762" xr:uid="{00000000-0005-0000-0000-000054B40000}"/>
    <cellStyle name="Normal 12 2 2 7 2 9" xfId="53280" xr:uid="{00000000-0005-0000-0000-000055B40000}"/>
    <cellStyle name="Normal 12 2 2 7 3" xfId="4876" xr:uid="{00000000-0005-0000-0000-000056B40000}"/>
    <cellStyle name="Normal 12 2 2 7 3 2" xfId="10356" xr:uid="{00000000-0005-0000-0000-000057B40000}"/>
    <cellStyle name="Normal 12 2 2 7 3 3" xfId="15832" xr:uid="{00000000-0005-0000-0000-000058B40000}"/>
    <cellStyle name="Normal 12 2 2 7 3 4" xfId="21308" xr:uid="{00000000-0005-0000-0000-000059B40000}"/>
    <cellStyle name="Normal 12 2 2 7 3 5" xfId="26784" xr:uid="{00000000-0005-0000-0000-00005AB40000}"/>
    <cellStyle name="Normal 12 2 2 7 3 6" xfId="38580" xr:uid="{00000000-0005-0000-0000-00005BB40000}"/>
    <cellStyle name="Normal 12 2 2 7 3 7" xfId="44057" xr:uid="{00000000-0005-0000-0000-00005CB40000}"/>
    <cellStyle name="Normal 12 2 2 7 3 8" xfId="49534" xr:uid="{00000000-0005-0000-0000-00005DB40000}"/>
    <cellStyle name="Normal 12 2 2 7 3 9" xfId="55052" xr:uid="{00000000-0005-0000-0000-00005EB40000}"/>
    <cellStyle name="Normal 12 2 2 7 4" xfId="7062" xr:uid="{00000000-0005-0000-0000-00005FB40000}"/>
    <cellStyle name="Normal 12 2 2 7 5" xfId="12542" xr:uid="{00000000-0005-0000-0000-000060B40000}"/>
    <cellStyle name="Normal 12 2 2 7 6" xfId="18018" xr:uid="{00000000-0005-0000-0000-000061B40000}"/>
    <cellStyle name="Normal 12 2 2 7 7" xfId="23494" xr:uid="{00000000-0005-0000-0000-000062B40000}"/>
    <cellStyle name="Normal 12 2 2 7 8" xfId="35289" xr:uid="{00000000-0005-0000-0000-000063B40000}"/>
    <cellStyle name="Normal 12 2 2 7 9" xfId="40766" xr:uid="{00000000-0005-0000-0000-000064B40000}"/>
    <cellStyle name="Normal 12 2 2 8" xfId="1515" xr:uid="{00000000-0005-0000-0000-000065B40000}"/>
    <cellStyle name="Normal 12 2 2 8 10" xfId="46244" xr:uid="{00000000-0005-0000-0000-000066B40000}"/>
    <cellStyle name="Normal 12 2 2 8 11" xfId="51723" xr:uid="{00000000-0005-0000-0000-000067B40000}"/>
    <cellStyle name="Normal 12 2 2 8 2" xfId="3276" xr:uid="{00000000-0005-0000-0000-000068B40000}"/>
    <cellStyle name="Normal 12 2 2 8 2 2" xfId="8756" xr:uid="{00000000-0005-0000-0000-000069B40000}"/>
    <cellStyle name="Normal 12 2 2 8 2 3" xfId="14232" xr:uid="{00000000-0005-0000-0000-00006AB40000}"/>
    <cellStyle name="Normal 12 2 2 8 2 4" xfId="19708" xr:uid="{00000000-0005-0000-0000-00006BB40000}"/>
    <cellStyle name="Normal 12 2 2 8 2 5" xfId="25184" xr:uid="{00000000-0005-0000-0000-00006CB40000}"/>
    <cellStyle name="Normal 12 2 2 8 2 6" xfId="36980" xr:uid="{00000000-0005-0000-0000-00006DB40000}"/>
    <cellStyle name="Normal 12 2 2 8 2 7" xfId="42457" xr:uid="{00000000-0005-0000-0000-00006EB40000}"/>
    <cellStyle name="Normal 12 2 2 8 2 8" xfId="47934" xr:uid="{00000000-0005-0000-0000-00006FB40000}"/>
    <cellStyle name="Normal 12 2 2 8 2 9" xfId="53452" xr:uid="{00000000-0005-0000-0000-000070B40000}"/>
    <cellStyle name="Normal 12 2 2 8 3" xfId="5048" xr:uid="{00000000-0005-0000-0000-000071B40000}"/>
    <cellStyle name="Normal 12 2 2 8 3 2" xfId="10528" xr:uid="{00000000-0005-0000-0000-000072B40000}"/>
    <cellStyle name="Normal 12 2 2 8 3 3" xfId="16004" xr:uid="{00000000-0005-0000-0000-000073B40000}"/>
    <cellStyle name="Normal 12 2 2 8 3 4" xfId="21480" xr:uid="{00000000-0005-0000-0000-000074B40000}"/>
    <cellStyle name="Normal 12 2 2 8 3 5" xfId="26956" xr:uid="{00000000-0005-0000-0000-000075B40000}"/>
    <cellStyle name="Normal 12 2 2 8 3 6" xfId="38752" xr:uid="{00000000-0005-0000-0000-000076B40000}"/>
    <cellStyle name="Normal 12 2 2 8 3 7" xfId="44229" xr:uid="{00000000-0005-0000-0000-000077B40000}"/>
    <cellStyle name="Normal 12 2 2 8 3 8" xfId="49706" xr:uid="{00000000-0005-0000-0000-000078B40000}"/>
    <cellStyle name="Normal 12 2 2 8 3 9" xfId="55224" xr:uid="{00000000-0005-0000-0000-000079B40000}"/>
    <cellStyle name="Normal 12 2 2 8 4" xfId="7063" xr:uid="{00000000-0005-0000-0000-00007AB40000}"/>
    <cellStyle name="Normal 12 2 2 8 5" xfId="12543" xr:uid="{00000000-0005-0000-0000-00007BB40000}"/>
    <cellStyle name="Normal 12 2 2 8 6" xfId="18019" xr:uid="{00000000-0005-0000-0000-00007CB40000}"/>
    <cellStyle name="Normal 12 2 2 8 7" xfId="23495" xr:uid="{00000000-0005-0000-0000-00007DB40000}"/>
    <cellStyle name="Normal 12 2 2 8 8" xfId="35290" xr:uid="{00000000-0005-0000-0000-00007EB40000}"/>
    <cellStyle name="Normal 12 2 2 8 9" xfId="40767" xr:uid="{00000000-0005-0000-0000-00007FB40000}"/>
    <cellStyle name="Normal 12 2 2 9" xfId="1687" xr:uid="{00000000-0005-0000-0000-000080B40000}"/>
    <cellStyle name="Normal 12 2 2 9 10" xfId="46245" xr:uid="{00000000-0005-0000-0000-000081B40000}"/>
    <cellStyle name="Normal 12 2 2 9 11" xfId="51724" xr:uid="{00000000-0005-0000-0000-000082B40000}"/>
    <cellStyle name="Normal 12 2 2 9 2" xfId="3448" xr:uid="{00000000-0005-0000-0000-000083B40000}"/>
    <cellStyle name="Normal 12 2 2 9 2 2" xfId="8928" xr:uid="{00000000-0005-0000-0000-000084B40000}"/>
    <cellStyle name="Normal 12 2 2 9 2 3" xfId="14404" xr:uid="{00000000-0005-0000-0000-000085B40000}"/>
    <cellStyle name="Normal 12 2 2 9 2 4" xfId="19880" xr:uid="{00000000-0005-0000-0000-000086B40000}"/>
    <cellStyle name="Normal 12 2 2 9 2 5" xfId="25356" xr:uid="{00000000-0005-0000-0000-000087B40000}"/>
    <cellStyle name="Normal 12 2 2 9 2 6" xfId="37152" xr:uid="{00000000-0005-0000-0000-000088B40000}"/>
    <cellStyle name="Normal 12 2 2 9 2 7" xfId="42629" xr:uid="{00000000-0005-0000-0000-000089B40000}"/>
    <cellStyle name="Normal 12 2 2 9 2 8" xfId="48106" xr:uid="{00000000-0005-0000-0000-00008AB40000}"/>
    <cellStyle name="Normal 12 2 2 9 2 9" xfId="53624" xr:uid="{00000000-0005-0000-0000-00008BB40000}"/>
    <cellStyle name="Normal 12 2 2 9 3" xfId="5220" xr:uid="{00000000-0005-0000-0000-00008CB40000}"/>
    <cellStyle name="Normal 12 2 2 9 3 2" xfId="10700" xr:uid="{00000000-0005-0000-0000-00008DB40000}"/>
    <cellStyle name="Normal 12 2 2 9 3 3" xfId="16176" xr:uid="{00000000-0005-0000-0000-00008EB40000}"/>
    <cellStyle name="Normal 12 2 2 9 3 4" xfId="21652" xr:uid="{00000000-0005-0000-0000-00008FB40000}"/>
    <cellStyle name="Normal 12 2 2 9 3 5" xfId="27128" xr:uid="{00000000-0005-0000-0000-000090B40000}"/>
    <cellStyle name="Normal 12 2 2 9 3 6" xfId="38924" xr:uid="{00000000-0005-0000-0000-000091B40000}"/>
    <cellStyle name="Normal 12 2 2 9 3 7" xfId="44401" xr:uid="{00000000-0005-0000-0000-000092B40000}"/>
    <cellStyle name="Normal 12 2 2 9 3 8" xfId="49878" xr:uid="{00000000-0005-0000-0000-000093B40000}"/>
    <cellStyle name="Normal 12 2 2 9 3 9" xfId="55396" xr:uid="{00000000-0005-0000-0000-000094B40000}"/>
    <cellStyle name="Normal 12 2 2 9 4" xfId="7064" xr:uid="{00000000-0005-0000-0000-000095B40000}"/>
    <cellStyle name="Normal 12 2 2 9 5" xfId="12544" xr:uid="{00000000-0005-0000-0000-000096B40000}"/>
    <cellStyle name="Normal 12 2 2 9 6" xfId="18020" xr:uid="{00000000-0005-0000-0000-000097B40000}"/>
    <cellStyle name="Normal 12 2 2 9 7" xfId="23496" xr:uid="{00000000-0005-0000-0000-000098B40000}"/>
    <cellStyle name="Normal 12 2 2 9 8" xfId="35291" xr:uid="{00000000-0005-0000-0000-000099B40000}"/>
    <cellStyle name="Normal 12 2 2 9 9" xfId="40768" xr:uid="{00000000-0005-0000-0000-00009AB40000}"/>
    <cellStyle name="Normal 12 2 20" xfId="40756" xr:uid="{00000000-0005-0000-0000-00009BB40000}"/>
    <cellStyle name="Normal 12 2 21" xfId="46233" xr:uid="{00000000-0005-0000-0000-00009CB40000}"/>
    <cellStyle name="Normal 12 2 22" xfId="51712" xr:uid="{00000000-0005-0000-0000-00009DB40000}"/>
    <cellStyle name="Normal 12 2 3" xfId="443" xr:uid="{00000000-0005-0000-0000-00009EB40000}"/>
    <cellStyle name="Normal 12 2 3 10" xfId="46246" xr:uid="{00000000-0005-0000-0000-00009FB40000}"/>
    <cellStyle name="Normal 12 2 3 11" xfId="51725" xr:uid="{00000000-0005-0000-0000-0000A0B40000}"/>
    <cellStyle name="Normal 12 2 3 2" xfId="2209" xr:uid="{00000000-0005-0000-0000-0000A1B40000}"/>
    <cellStyle name="Normal 12 2 3 2 2" xfId="7689" xr:uid="{00000000-0005-0000-0000-0000A2B40000}"/>
    <cellStyle name="Normal 12 2 3 2 3" xfId="13165" xr:uid="{00000000-0005-0000-0000-0000A3B40000}"/>
    <cellStyle name="Normal 12 2 3 2 4" xfId="18641" xr:uid="{00000000-0005-0000-0000-0000A4B40000}"/>
    <cellStyle name="Normal 12 2 3 2 5" xfId="24117" xr:uid="{00000000-0005-0000-0000-0000A5B40000}"/>
    <cellStyle name="Normal 12 2 3 2 6" xfId="35913" xr:uid="{00000000-0005-0000-0000-0000A6B40000}"/>
    <cellStyle name="Normal 12 2 3 2 7" xfId="41390" xr:uid="{00000000-0005-0000-0000-0000A7B40000}"/>
    <cellStyle name="Normal 12 2 3 2 8" xfId="46867" xr:uid="{00000000-0005-0000-0000-0000A8B40000}"/>
    <cellStyle name="Normal 12 2 3 2 9" xfId="52385" xr:uid="{00000000-0005-0000-0000-0000A9B40000}"/>
    <cellStyle name="Normal 12 2 3 3" xfId="3981" xr:uid="{00000000-0005-0000-0000-0000AAB40000}"/>
    <cellStyle name="Normal 12 2 3 3 2" xfId="9461" xr:uid="{00000000-0005-0000-0000-0000ABB40000}"/>
    <cellStyle name="Normal 12 2 3 3 3" xfId="14937" xr:uid="{00000000-0005-0000-0000-0000ACB40000}"/>
    <cellStyle name="Normal 12 2 3 3 4" xfId="20413" xr:uid="{00000000-0005-0000-0000-0000ADB40000}"/>
    <cellStyle name="Normal 12 2 3 3 5" xfId="25889" xr:uid="{00000000-0005-0000-0000-0000AEB40000}"/>
    <cellStyle name="Normal 12 2 3 3 6" xfId="37685" xr:uid="{00000000-0005-0000-0000-0000AFB40000}"/>
    <cellStyle name="Normal 12 2 3 3 7" xfId="43162" xr:uid="{00000000-0005-0000-0000-0000B0B40000}"/>
    <cellStyle name="Normal 12 2 3 3 8" xfId="48639" xr:uid="{00000000-0005-0000-0000-0000B1B40000}"/>
    <cellStyle name="Normal 12 2 3 3 9" xfId="54157" xr:uid="{00000000-0005-0000-0000-0000B2B40000}"/>
    <cellStyle name="Normal 12 2 3 4" xfId="7065" xr:uid="{00000000-0005-0000-0000-0000B3B40000}"/>
    <cellStyle name="Normal 12 2 3 5" xfId="12545" xr:uid="{00000000-0005-0000-0000-0000B4B40000}"/>
    <cellStyle name="Normal 12 2 3 6" xfId="18021" xr:uid="{00000000-0005-0000-0000-0000B5B40000}"/>
    <cellStyle name="Normal 12 2 3 7" xfId="23497" xr:uid="{00000000-0005-0000-0000-0000B6B40000}"/>
    <cellStyle name="Normal 12 2 3 8" xfId="35292" xr:uid="{00000000-0005-0000-0000-0000B7B40000}"/>
    <cellStyle name="Normal 12 2 3 9" xfId="40769" xr:uid="{00000000-0005-0000-0000-0000B8B40000}"/>
    <cellStyle name="Normal 12 2 4" xfId="620" xr:uid="{00000000-0005-0000-0000-0000B9B40000}"/>
    <cellStyle name="Normal 12 2 4 10" xfId="46247" xr:uid="{00000000-0005-0000-0000-0000BAB40000}"/>
    <cellStyle name="Normal 12 2 4 11" xfId="51726" xr:uid="{00000000-0005-0000-0000-0000BBB40000}"/>
    <cellStyle name="Normal 12 2 4 2" xfId="2381" xr:uid="{00000000-0005-0000-0000-0000BCB40000}"/>
    <cellStyle name="Normal 12 2 4 2 2" xfId="7861" xr:uid="{00000000-0005-0000-0000-0000BDB40000}"/>
    <cellStyle name="Normal 12 2 4 2 3" xfId="13337" xr:uid="{00000000-0005-0000-0000-0000BEB40000}"/>
    <cellStyle name="Normal 12 2 4 2 4" xfId="18813" xr:uid="{00000000-0005-0000-0000-0000BFB40000}"/>
    <cellStyle name="Normal 12 2 4 2 5" xfId="24289" xr:uid="{00000000-0005-0000-0000-0000C0B40000}"/>
    <cellStyle name="Normal 12 2 4 2 6" xfId="36085" xr:uid="{00000000-0005-0000-0000-0000C1B40000}"/>
    <cellStyle name="Normal 12 2 4 2 7" xfId="41562" xr:uid="{00000000-0005-0000-0000-0000C2B40000}"/>
    <cellStyle name="Normal 12 2 4 2 8" xfId="47039" xr:uid="{00000000-0005-0000-0000-0000C3B40000}"/>
    <cellStyle name="Normal 12 2 4 2 9" xfId="52557" xr:uid="{00000000-0005-0000-0000-0000C4B40000}"/>
    <cellStyle name="Normal 12 2 4 3" xfId="4153" xr:uid="{00000000-0005-0000-0000-0000C5B40000}"/>
    <cellStyle name="Normal 12 2 4 3 2" xfId="9633" xr:uid="{00000000-0005-0000-0000-0000C6B40000}"/>
    <cellStyle name="Normal 12 2 4 3 3" xfId="15109" xr:uid="{00000000-0005-0000-0000-0000C7B40000}"/>
    <cellStyle name="Normal 12 2 4 3 4" xfId="20585" xr:uid="{00000000-0005-0000-0000-0000C8B40000}"/>
    <cellStyle name="Normal 12 2 4 3 5" xfId="26061" xr:uid="{00000000-0005-0000-0000-0000C9B40000}"/>
    <cellStyle name="Normal 12 2 4 3 6" xfId="37857" xr:uid="{00000000-0005-0000-0000-0000CAB40000}"/>
    <cellStyle name="Normal 12 2 4 3 7" xfId="43334" xr:uid="{00000000-0005-0000-0000-0000CBB40000}"/>
    <cellStyle name="Normal 12 2 4 3 8" xfId="48811" xr:uid="{00000000-0005-0000-0000-0000CCB40000}"/>
    <cellStyle name="Normal 12 2 4 3 9" xfId="54329" xr:uid="{00000000-0005-0000-0000-0000CDB40000}"/>
    <cellStyle name="Normal 12 2 4 4" xfId="7066" xr:uid="{00000000-0005-0000-0000-0000CEB40000}"/>
    <cellStyle name="Normal 12 2 4 5" xfId="12546" xr:uid="{00000000-0005-0000-0000-0000CFB40000}"/>
    <cellStyle name="Normal 12 2 4 6" xfId="18022" xr:uid="{00000000-0005-0000-0000-0000D0B40000}"/>
    <cellStyle name="Normal 12 2 4 7" xfId="23498" xr:uid="{00000000-0005-0000-0000-0000D1B40000}"/>
    <cellStyle name="Normal 12 2 4 8" xfId="35293" xr:uid="{00000000-0005-0000-0000-0000D2B40000}"/>
    <cellStyle name="Normal 12 2 4 9" xfId="40770" xr:uid="{00000000-0005-0000-0000-0000D3B40000}"/>
    <cellStyle name="Normal 12 2 5" xfId="792" xr:uid="{00000000-0005-0000-0000-0000D4B40000}"/>
    <cellStyle name="Normal 12 2 5 10" xfId="46248" xr:uid="{00000000-0005-0000-0000-0000D5B40000}"/>
    <cellStyle name="Normal 12 2 5 11" xfId="51727" xr:uid="{00000000-0005-0000-0000-0000D6B40000}"/>
    <cellStyle name="Normal 12 2 5 2" xfId="2553" xr:uid="{00000000-0005-0000-0000-0000D7B40000}"/>
    <cellStyle name="Normal 12 2 5 2 2" xfId="8033" xr:uid="{00000000-0005-0000-0000-0000D8B40000}"/>
    <cellStyle name="Normal 12 2 5 2 3" xfId="13509" xr:uid="{00000000-0005-0000-0000-0000D9B40000}"/>
    <cellStyle name="Normal 12 2 5 2 4" xfId="18985" xr:uid="{00000000-0005-0000-0000-0000DAB40000}"/>
    <cellStyle name="Normal 12 2 5 2 5" xfId="24461" xr:uid="{00000000-0005-0000-0000-0000DBB40000}"/>
    <cellStyle name="Normal 12 2 5 2 6" xfId="36257" xr:uid="{00000000-0005-0000-0000-0000DCB40000}"/>
    <cellStyle name="Normal 12 2 5 2 7" xfId="41734" xr:uid="{00000000-0005-0000-0000-0000DDB40000}"/>
    <cellStyle name="Normal 12 2 5 2 8" xfId="47211" xr:uid="{00000000-0005-0000-0000-0000DEB40000}"/>
    <cellStyle name="Normal 12 2 5 2 9" xfId="52729" xr:uid="{00000000-0005-0000-0000-0000DFB40000}"/>
    <cellStyle name="Normal 12 2 5 3" xfId="4325" xr:uid="{00000000-0005-0000-0000-0000E0B40000}"/>
    <cellStyle name="Normal 12 2 5 3 2" xfId="9805" xr:uid="{00000000-0005-0000-0000-0000E1B40000}"/>
    <cellStyle name="Normal 12 2 5 3 3" xfId="15281" xr:uid="{00000000-0005-0000-0000-0000E2B40000}"/>
    <cellStyle name="Normal 12 2 5 3 4" xfId="20757" xr:uid="{00000000-0005-0000-0000-0000E3B40000}"/>
    <cellStyle name="Normal 12 2 5 3 5" xfId="26233" xr:uid="{00000000-0005-0000-0000-0000E4B40000}"/>
    <cellStyle name="Normal 12 2 5 3 6" xfId="38029" xr:uid="{00000000-0005-0000-0000-0000E5B40000}"/>
    <cellStyle name="Normal 12 2 5 3 7" xfId="43506" xr:uid="{00000000-0005-0000-0000-0000E6B40000}"/>
    <cellStyle name="Normal 12 2 5 3 8" xfId="48983" xr:uid="{00000000-0005-0000-0000-0000E7B40000}"/>
    <cellStyle name="Normal 12 2 5 3 9" xfId="54501" xr:uid="{00000000-0005-0000-0000-0000E8B40000}"/>
    <cellStyle name="Normal 12 2 5 4" xfId="7067" xr:uid="{00000000-0005-0000-0000-0000E9B40000}"/>
    <cellStyle name="Normal 12 2 5 5" xfId="12547" xr:uid="{00000000-0005-0000-0000-0000EAB40000}"/>
    <cellStyle name="Normal 12 2 5 6" xfId="18023" xr:uid="{00000000-0005-0000-0000-0000EBB40000}"/>
    <cellStyle name="Normal 12 2 5 7" xfId="23499" xr:uid="{00000000-0005-0000-0000-0000ECB40000}"/>
    <cellStyle name="Normal 12 2 5 8" xfId="35294" xr:uid="{00000000-0005-0000-0000-0000EDB40000}"/>
    <cellStyle name="Normal 12 2 5 9" xfId="40771" xr:uid="{00000000-0005-0000-0000-0000EEB40000}"/>
    <cellStyle name="Normal 12 2 6" xfId="964" xr:uid="{00000000-0005-0000-0000-0000EFB40000}"/>
    <cellStyle name="Normal 12 2 6 10" xfId="46249" xr:uid="{00000000-0005-0000-0000-0000F0B40000}"/>
    <cellStyle name="Normal 12 2 6 11" xfId="51728" xr:uid="{00000000-0005-0000-0000-0000F1B40000}"/>
    <cellStyle name="Normal 12 2 6 2" xfId="2725" xr:uid="{00000000-0005-0000-0000-0000F2B40000}"/>
    <cellStyle name="Normal 12 2 6 2 2" xfId="8205" xr:uid="{00000000-0005-0000-0000-0000F3B40000}"/>
    <cellStyle name="Normal 12 2 6 2 3" xfId="13681" xr:uid="{00000000-0005-0000-0000-0000F4B40000}"/>
    <cellStyle name="Normal 12 2 6 2 4" xfId="19157" xr:uid="{00000000-0005-0000-0000-0000F5B40000}"/>
    <cellStyle name="Normal 12 2 6 2 5" xfId="24633" xr:uid="{00000000-0005-0000-0000-0000F6B40000}"/>
    <cellStyle name="Normal 12 2 6 2 6" xfId="36429" xr:uid="{00000000-0005-0000-0000-0000F7B40000}"/>
    <cellStyle name="Normal 12 2 6 2 7" xfId="41906" xr:uid="{00000000-0005-0000-0000-0000F8B40000}"/>
    <cellStyle name="Normal 12 2 6 2 8" xfId="47383" xr:uid="{00000000-0005-0000-0000-0000F9B40000}"/>
    <cellStyle name="Normal 12 2 6 2 9" xfId="52901" xr:uid="{00000000-0005-0000-0000-0000FAB40000}"/>
    <cellStyle name="Normal 12 2 6 3" xfId="4497" xr:uid="{00000000-0005-0000-0000-0000FBB40000}"/>
    <cellStyle name="Normal 12 2 6 3 2" xfId="9977" xr:uid="{00000000-0005-0000-0000-0000FCB40000}"/>
    <cellStyle name="Normal 12 2 6 3 3" xfId="15453" xr:uid="{00000000-0005-0000-0000-0000FDB40000}"/>
    <cellStyle name="Normal 12 2 6 3 4" xfId="20929" xr:uid="{00000000-0005-0000-0000-0000FEB40000}"/>
    <cellStyle name="Normal 12 2 6 3 5" xfId="26405" xr:uid="{00000000-0005-0000-0000-0000FFB40000}"/>
    <cellStyle name="Normal 12 2 6 3 6" xfId="38201" xr:uid="{00000000-0005-0000-0000-000000B50000}"/>
    <cellStyle name="Normal 12 2 6 3 7" xfId="43678" xr:uid="{00000000-0005-0000-0000-000001B50000}"/>
    <cellStyle name="Normal 12 2 6 3 8" xfId="49155" xr:uid="{00000000-0005-0000-0000-000002B50000}"/>
    <cellStyle name="Normal 12 2 6 3 9" xfId="54673" xr:uid="{00000000-0005-0000-0000-000003B50000}"/>
    <cellStyle name="Normal 12 2 6 4" xfId="7068" xr:uid="{00000000-0005-0000-0000-000004B50000}"/>
    <cellStyle name="Normal 12 2 6 5" xfId="12548" xr:uid="{00000000-0005-0000-0000-000005B50000}"/>
    <cellStyle name="Normal 12 2 6 6" xfId="18024" xr:uid="{00000000-0005-0000-0000-000006B50000}"/>
    <cellStyle name="Normal 12 2 6 7" xfId="23500" xr:uid="{00000000-0005-0000-0000-000007B50000}"/>
    <cellStyle name="Normal 12 2 6 8" xfId="35295" xr:uid="{00000000-0005-0000-0000-000008B50000}"/>
    <cellStyle name="Normal 12 2 6 9" xfId="40772" xr:uid="{00000000-0005-0000-0000-000009B50000}"/>
    <cellStyle name="Normal 12 2 7" xfId="1170" xr:uid="{00000000-0005-0000-0000-00000AB50000}"/>
    <cellStyle name="Normal 12 2 7 10" xfId="46250" xr:uid="{00000000-0005-0000-0000-00000BB50000}"/>
    <cellStyle name="Normal 12 2 7 11" xfId="51729" xr:uid="{00000000-0005-0000-0000-00000CB50000}"/>
    <cellStyle name="Normal 12 2 7 2" xfId="2931" xr:uid="{00000000-0005-0000-0000-00000DB50000}"/>
    <cellStyle name="Normal 12 2 7 2 2" xfId="8411" xr:uid="{00000000-0005-0000-0000-00000EB50000}"/>
    <cellStyle name="Normal 12 2 7 2 3" xfId="13887" xr:uid="{00000000-0005-0000-0000-00000FB50000}"/>
    <cellStyle name="Normal 12 2 7 2 4" xfId="19363" xr:uid="{00000000-0005-0000-0000-000010B50000}"/>
    <cellStyle name="Normal 12 2 7 2 5" xfId="24839" xr:uid="{00000000-0005-0000-0000-000011B50000}"/>
    <cellStyle name="Normal 12 2 7 2 6" xfId="36635" xr:uid="{00000000-0005-0000-0000-000012B50000}"/>
    <cellStyle name="Normal 12 2 7 2 7" xfId="42112" xr:uid="{00000000-0005-0000-0000-000013B50000}"/>
    <cellStyle name="Normal 12 2 7 2 8" xfId="47589" xr:uid="{00000000-0005-0000-0000-000014B50000}"/>
    <cellStyle name="Normal 12 2 7 2 9" xfId="53107" xr:uid="{00000000-0005-0000-0000-000015B50000}"/>
    <cellStyle name="Normal 12 2 7 3" xfId="4703" xr:uid="{00000000-0005-0000-0000-000016B50000}"/>
    <cellStyle name="Normal 12 2 7 3 2" xfId="10183" xr:uid="{00000000-0005-0000-0000-000017B50000}"/>
    <cellStyle name="Normal 12 2 7 3 3" xfId="15659" xr:uid="{00000000-0005-0000-0000-000018B50000}"/>
    <cellStyle name="Normal 12 2 7 3 4" xfId="21135" xr:uid="{00000000-0005-0000-0000-000019B50000}"/>
    <cellStyle name="Normal 12 2 7 3 5" xfId="26611" xr:uid="{00000000-0005-0000-0000-00001AB50000}"/>
    <cellStyle name="Normal 12 2 7 3 6" xfId="38407" xr:uid="{00000000-0005-0000-0000-00001BB50000}"/>
    <cellStyle name="Normal 12 2 7 3 7" xfId="43884" xr:uid="{00000000-0005-0000-0000-00001CB50000}"/>
    <cellStyle name="Normal 12 2 7 3 8" xfId="49361" xr:uid="{00000000-0005-0000-0000-00001DB50000}"/>
    <cellStyle name="Normal 12 2 7 3 9" xfId="54879" xr:uid="{00000000-0005-0000-0000-00001EB50000}"/>
    <cellStyle name="Normal 12 2 7 4" xfId="7069" xr:uid="{00000000-0005-0000-0000-00001FB50000}"/>
    <cellStyle name="Normal 12 2 7 5" xfId="12549" xr:uid="{00000000-0005-0000-0000-000020B50000}"/>
    <cellStyle name="Normal 12 2 7 6" xfId="18025" xr:uid="{00000000-0005-0000-0000-000021B50000}"/>
    <cellStyle name="Normal 12 2 7 7" xfId="23501" xr:uid="{00000000-0005-0000-0000-000022B50000}"/>
    <cellStyle name="Normal 12 2 7 8" xfId="35296" xr:uid="{00000000-0005-0000-0000-000023B50000}"/>
    <cellStyle name="Normal 12 2 7 9" xfId="40773" xr:uid="{00000000-0005-0000-0000-000024B50000}"/>
    <cellStyle name="Normal 12 2 8" xfId="1342" xr:uid="{00000000-0005-0000-0000-000025B50000}"/>
    <cellStyle name="Normal 12 2 8 10" xfId="46251" xr:uid="{00000000-0005-0000-0000-000026B50000}"/>
    <cellStyle name="Normal 12 2 8 11" xfId="51730" xr:uid="{00000000-0005-0000-0000-000027B50000}"/>
    <cellStyle name="Normal 12 2 8 2" xfId="3103" xr:uid="{00000000-0005-0000-0000-000028B50000}"/>
    <cellStyle name="Normal 12 2 8 2 2" xfId="8583" xr:uid="{00000000-0005-0000-0000-000029B50000}"/>
    <cellStyle name="Normal 12 2 8 2 3" xfId="14059" xr:uid="{00000000-0005-0000-0000-00002AB50000}"/>
    <cellStyle name="Normal 12 2 8 2 4" xfId="19535" xr:uid="{00000000-0005-0000-0000-00002BB50000}"/>
    <cellStyle name="Normal 12 2 8 2 5" xfId="25011" xr:uid="{00000000-0005-0000-0000-00002CB50000}"/>
    <cellStyle name="Normal 12 2 8 2 6" xfId="36807" xr:uid="{00000000-0005-0000-0000-00002DB50000}"/>
    <cellStyle name="Normal 12 2 8 2 7" xfId="42284" xr:uid="{00000000-0005-0000-0000-00002EB50000}"/>
    <cellStyle name="Normal 12 2 8 2 8" xfId="47761" xr:uid="{00000000-0005-0000-0000-00002FB50000}"/>
    <cellStyle name="Normal 12 2 8 2 9" xfId="53279" xr:uid="{00000000-0005-0000-0000-000030B50000}"/>
    <cellStyle name="Normal 12 2 8 3" xfId="4875" xr:uid="{00000000-0005-0000-0000-000031B50000}"/>
    <cellStyle name="Normal 12 2 8 3 2" xfId="10355" xr:uid="{00000000-0005-0000-0000-000032B50000}"/>
    <cellStyle name="Normal 12 2 8 3 3" xfId="15831" xr:uid="{00000000-0005-0000-0000-000033B50000}"/>
    <cellStyle name="Normal 12 2 8 3 4" xfId="21307" xr:uid="{00000000-0005-0000-0000-000034B50000}"/>
    <cellStyle name="Normal 12 2 8 3 5" xfId="26783" xr:uid="{00000000-0005-0000-0000-000035B50000}"/>
    <cellStyle name="Normal 12 2 8 3 6" xfId="38579" xr:uid="{00000000-0005-0000-0000-000036B50000}"/>
    <cellStyle name="Normal 12 2 8 3 7" xfId="44056" xr:uid="{00000000-0005-0000-0000-000037B50000}"/>
    <cellStyle name="Normal 12 2 8 3 8" xfId="49533" xr:uid="{00000000-0005-0000-0000-000038B50000}"/>
    <cellStyle name="Normal 12 2 8 3 9" xfId="55051" xr:uid="{00000000-0005-0000-0000-000039B50000}"/>
    <cellStyle name="Normal 12 2 8 4" xfId="7070" xr:uid="{00000000-0005-0000-0000-00003AB50000}"/>
    <cellStyle name="Normal 12 2 8 5" xfId="12550" xr:uid="{00000000-0005-0000-0000-00003BB50000}"/>
    <cellStyle name="Normal 12 2 8 6" xfId="18026" xr:uid="{00000000-0005-0000-0000-00003CB50000}"/>
    <cellStyle name="Normal 12 2 8 7" xfId="23502" xr:uid="{00000000-0005-0000-0000-00003DB50000}"/>
    <cellStyle name="Normal 12 2 8 8" xfId="35297" xr:uid="{00000000-0005-0000-0000-00003EB50000}"/>
    <cellStyle name="Normal 12 2 8 9" xfId="40774" xr:uid="{00000000-0005-0000-0000-00003FB50000}"/>
    <cellStyle name="Normal 12 2 9" xfId="1514" xr:uid="{00000000-0005-0000-0000-000040B50000}"/>
    <cellStyle name="Normal 12 2 9 10" xfId="46252" xr:uid="{00000000-0005-0000-0000-000041B50000}"/>
    <cellStyle name="Normal 12 2 9 11" xfId="51731" xr:uid="{00000000-0005-0000-0000-000042B50000}"/>
    <cellStyle name="Normal 12 2 9 2" xfId="3275" xr:uid="{00000000-0005-0000-0000-000043B50000}"/>
    <cellStyle name="Normal 12 2 9 2 2" xfId="8755" xr:uid="{00000000-0005-0000-0000-000044B50000}"/>
    <cellStyle name="Normal 12 2 9 2 3" xfId="14231" xr:uid="{00000000-0005-0000-0000-000045B50000}"/>
    <cellStyle name="Normal 12 2 9 2 4" xfId="19707" xr:uid="{00000000-0005-0000-0000-000046B50000}"/>
    <cellStyle name="Normal 12 2 9 2 5" xfId="25183" xr:uid="{00000000-0005-0000-0000-000047B50000}"/>
    <cellStyle name="Normal 12 2 9 2 6" xfId="36979" xr:uid="{00000000-0005-0000-0000-000048B50000}"/>
    <cellStyle name="Normal 12 2 9 2 7" xfId="42456" xr:uid="{00000000-0005-0000-0000-000049B50000}"/>
    <cellStyle name="Normal 12 2 9 2 8" xfId="47933" xr:uid="{00000000-0005-0000-0000-00004AB50000}"/>
    <cellStyle name="Normal 12 2 9 2 9" xfId="53451" xr:uid="{00000000-0005-0000-0000-00004BB50000}"/>
    <cellStyle name="Normal 12 2 9 3" xfId="5047" xr:uid="{00000000-0005-0000-0000-00004CB50000}"/>
    <cellStyle name="Normal 12 2 9 3 2" xfId="10527" xr:uid="{00000000-0005-0000-0000-00004DB50000}"/>
    <cellStyle name="Normal 12 2 9 3 3" xfId="16003" xr:uid="{00000000-0005-0000-0000-00004EB50000}"/>
    <cellStyle name="Normal 12 2 9 3 4" xfId="21479" xr:uid="{00000000-0005-0000-0000-00004FB50000}"/>
    <cellStyle name="Normal 12 2 9 3 5" xfId="26955" xr:uid="{00000000-0005-0000-0000-000050B50000}"/>
    <cellStyle name="Normal 12 2 9 3 6" xfId="38751" xr:uid="{00000000-0005-0000-0000-000051B50000}"/>
    <cellStyle name="Normal 12 2 9 3 7" xfId="44228" xr:uid="{00000000-0005-0000-0000-000052B50000}"/>
    <cellStyle name="Normal 12 2 9 3 8" xfId="49705" xr:uid="{00000000-0005-0000-0000-000053B50000}"/>
    <cellStyle name="Normal 12 2 9 3 9" xfId="55223" xr:uid="{00000000-0005-0000-0000-000054B50000}"/>
    <cellStyle name="Normal 12 2 9 4" xfId="7071" xr:uid="{00000000-0005-0000-0000-000055B50000}"/>
    <cellStyle name="Normal 12 2 9 5" xfId="12551" xr:uid="{00000000-0005-0000-0000-000056B50000}"/>
    <cellStyle name="Normal 12 2 9 6" xfId="18027" xr:uid="{00000000-0005-0000-0000-000057B50000}"/>
    <cellStyle name="Normal 12 2 9 7" xfId="23503" xr:uid="{00000000-0005-0000-0000-000058B50000}"/>
    <cellStyle name="Normal 12 2 9 8" xfId="35298" xr:uid="{00000000-0005-0000-0000-000059B50000}"/>
    <cellStyle name="Normal 12 2 9 9" xfId="40775" xr:uid="{00000000-0005-0000-0000-00005AB50000}"/>
    <cellStyle name="Normal 12 20" xfId="3684" xr:uid="{00000000-0005-0000-0000-00005BB50000}"/>
    <cellStyle name="Normal 12 20 2" xfId="9164" xr:uid="{00000000-0005-0000-0000-00005CB50000}"/>
    <cellStyle name="Normal 12 20 3" xfId="14640" xr:uid="{00000000-0005-0000-0000-00005DB50000}"/>
    <cellStyle name="Normal 12 20 4" xfId="20116" xr:uid="{00000000-0005-0000-0000-00005EB50000}"/>
    <cellStyle name="Normal 12 20 5" xfId="25592" xr:uid="{00000000-0005-0000-0000-00005FB50000}"/>
    <cellStyle name="Normal 12 20 6" xfId="37388" xr:uid="{00000000-0005-0000-0000-000060B50000}"/>
    <cellStyle name="Normal 12 20 7" xfId="42865" xr:uid="{00000000-0005-0000-0000-000061B50000}"/>
    <cellStyle name="Normal 12 20 8" xfId="48342" xr:uid="{00000000-0005-0000-0000-000062B50000}"/>
    <cellStyle name="Normal 12 20 9" xfId="53860" xr:uid="{00000000-0005-0000-0000-000063B50000}"/>
    <cellStyle name="Normal 12 21" xfId="7042" xr:uid="{00000000-0005-0000-0000-000064B50000}"/>
    <cellStyle name="Normal 12 22" xfId="12522" xr:uid="{00000000-0005-0000-0000-000065B50000}"/>
    <cellStyle name="Normal 12 23" xfId="17998" xr:uid="{00000000-0005-0000-0000-000066B50000}"/>
    <cellStyle name="Normal 12 24" xfId="23474" xr:uid="{00000000-0005-0000-0000-000067B50000}"/>
    <cellStyle name="Normal 12 25" xfId="32952" xr:uid="{00000000-0005-0000-0000-000068B50000}"/>
    <cellStyle name="Normal 12 26" xfId="35269" xr:uid="{00000000-0005-0000-0000-000069B50000}"/>
    <cellStyle name="Normal 12 27" xfId="40746" xr:uid="{00000000-0005-0000-0000-00006AB50000}"/>
    <cellStyle name="Normal 12 28" xfId="46223" xr:uid="{00000000-0005-0000-0000-00006BB50000}"/>
    <cellStyle name="Normal 12 29" xfId="51702" xr:uid="{00000000-0005-0000-0000-00006CB50000}"/>
    <cellStyle name="Normal 12 3" xfId="144" xr:uid="{00000000-0005-0000-0000-00006DB50000}"/>
    <cellStyle name="Normal 12 3 10" xfId="1688" xr:uid="{00000000-0005-0000-0000-00006EB50000}"/>
    <cellStyle name="Normal 12 3 10 10" xfId="46254" xr:uid="{00000000-0005-0000-0000-00006FB50000}"/>
    <cellStyle name="Normal 12 3 10 11" xfId="51733" xr:uid="{00000000-0005-0000-0000-000070B50000}"/>
    <cellStyle name="Normal 12 3 10 2" xfId="3449" xr:uid="{00000000-0005-0000-0000-000071B50000}"/>
    <cellStyle name="Normal 12 3 10 2 2" xfId="8929" xr:uid="{00000000-0005-0000-0000-000072B50000}"/>
    <cellStyle name="Normal 12 3 10 2 3" xfId="14405" xr:uid="{00000000-0005-0000-0000-000073B50000}"/>
    <cellStyle name="Normal 12 3 10 2 4" xfId="19881" xr:uid="{00000000-0005-0000-0000-000074B50000}"/>
    <cellStyle name="Normal 12 3 10 2 5" xfId="25357" xr:uid="{00000000-0005-0000-0000-000075B50000}"/>
    <cellStyle name="Normal 12 3 10 2 6" xfId="37153" xr:uid="{00000000-0005-0000-0000-000076B50000}"/>
    <cellStyle name="Normal 12 3 10 2 7" xfId="42630" xr:uid="{00000000-0005-0000-0000-000077B50000}"/>
    <cellStyle name="Normal 12 3 10 2 8" xfId="48107" xr:uid="{00000000-0005-0000-0000-000078B50000}"/>
    <cellStyle name="Normal 12 3 10 2 9" xfId="53625" xr:uid="{00000000-0005-0000-0000-000079B50000}"/>
    <cellStyle name="Normal 12 3 10 3" xfId="5221" xr:uid="{00000000-0005-0000-0000-00007AB50000}"/>
    <cellStyle name="Normal 12 3 10 3 2" xfId="10701" xr:uid="{00000000-0005-0000-0000-00007BB50000}"/>
    <cellStyle name="Normal 12 3 10 3 3" xfId="16177" xr:uid="{00000000-0005-0000-0000-00007CB50000}"/>
    <cellStyle name="Normal 12 3 10 3 4" xfId="21653" xr:uid="{00000000-0005-0000-0000-00007DB50000}"/>
    <cellStyle name="Normal 12 3 10 3 5" xfId="27129" xr:uid="{00000000-0005-0000-0000-00007EB50000}"/>
    <cellStyle name="Normal 12 3 10 3 6" xfId="38925" xr:uid="{00000000-0005-0000-0000-00007FB50000}"/>
    <cellStyle name="Normal 12 3 10 3 7" xfId="44402" xr:uid="{00000000-0005-0000-0000-000080B50000}"/>
    <cellStyle name="Normal 12 3 10 3 8" xfId="49879" xr:uid="{00000000-0005-0000-0000-000081B50000}"/>
    <cellStyle name="Normal 12 3 10 3 9" xfId="55397" xr:uid="{00000000-0005-0000-0000-000082B50000}"/>
    <cellStyle name="Normal 12 3 10 4" xfId="7073" xr:uid="{00000000-0005-0000-0000-000083B50000}"/>
    <cellStyle name="Normal 12 3 10 5" xfId="12553" xr:uid="{00000000-0005-0000-0000-000084B50000}"/>
    <cellStyle name="Normal 12 3 10 6" xfId="18029" xr:uid="{00000000-0005-0000-0000-000085B50000}"/>
    <cellStyle name="Normal 12 3 10 7" xfId="23505" xr:uid="{00000000-0005-0000-0000-000086B50000}"/>
    <cellStyle name="Normal 12 3 10 8" xfId="35300" xr:uid="{00000000-0005-0000-0000-000087B50000}"/>
    <cellStyle name="Normal 12 3 10 9" xfId="40777" xr:uid="{00000000-0005-0000-0000-000088B50000}"/>
    <cellStyle name="Normal 12 3 11" xfId="1879" xr:uid="{00000000-0005-0000-0000-000089B50000}"/>
    <cellStyle name="Normal 12 3 11 10" xfId="46255" xr:uid="{00000000-0005-0000-0000-00008AB50000}"/>
    <cellStyle name="Normal 12 3 11 11" xfId="51734" xr:uid="{00000000-0005-0000-0000-00008BB50000}"/>
    <cellStyle name="Normal 12 3 11 2" xfId="3640" xr:uid="{00000000-0005-0000-0000-00008CB50000}"/>
    <cellStyle name="Normal 12 3 11 2 2" xfId="9120" xr:uid="{00000000-0005-0000-0000-00008DB50000}"/>
    <cellStyle name="Normal 12 3 11 2 3" xfId="14596" xr:uid="{00000000-0005-0000-0000-00008EB50000}"/>
    <cellStyle name="Normal 12 3 11 2 4" xfId="20072" xr:uid="{00000000-0005-0000-0000-00008FB50000}"/>
    <cellStyle name="Normal 12 3 11 2 5" xfId="25548" xr:uid="{00000000-0005-0000-0000-000090B50000}"/>
    <cellStyle name="Normal 12 3 11 2 6" xfId="37344" xr:uid="{00000000-0005-0000-0000-000091B50000}"/>
    <cellStyle name="Normal 12 3 11 2 7" xfId="42821" xr:uid="{00000000-0005-0000-0000-000092B50000}"/>
    <cellStyle name="Normal 12 3 11 2 8" xfId="48298" xr:uid="{00000000-0005-0000-0000-000093B50000}"/>
    <cellStyle name="Normal 12 3 11 2 9" xfId="53816" xr:uid="{00000000-0005-0000-0000-000094B50000}"/>
    <cellStyle name="Normal 12 3 11 3" xfId="5412" xr:uid="{00000000-0005-0000-0000-000095B50000}"/>
    <cellStyle name="Normal 12 3 11 3 2" xfId="10892" xr:uid="{00000000-0005-0000-0000-000096B50000}"/>
    <cellStyle name="Normal 12 3 11 3 3" xfId="16368" xr:uid="{00000000-0005-0000-0000-000097B50000}"/>
    <cellStyle name="Normal 12 3 11 3 4" xfId="21844" xr:uid="{00000000-0005-0000-0000-000098B50000}"/>
    <cellStyle name="Normal 12 3 11 3 5" xfId="27320" xr:uid="{00000000-0005-0000-0000-000099B50000}"/>
    <cellStyle name="Normal 12 3 11 3 6" xfId="39116" xr:uid="{00000000-0005-0000-0000-00009AB50000}"/>
    <cellStyle name="Normal 12 3 11 3 7" xfId="44593" xr:uid="{00000000-0005-0000-0000-00009BB50000}"/>
    <cellStyle name="Normal 12 3 11 3 8" xfId="50070" xr:uid="{00000000-0005-0000-0000-00009CB50000}"/>
    <cellStyle name="Normal 12 3 11 3 9" xfId="55588" xr:uid="{00000000-0005-0000-0000-00009DB50000}"/>
    <cellStyle name="Normal 12 3 11 4" xfId="7074" xr:uid="{00000000-0005-0000-0000-00009EB50000}"/>
    <cellStyle name="Normal 12 3 11 5" xfId="12554" xr:uid="{00000000-0005-0000-0000-00009FB50000}"/>
    <cellStyle name="Normal 12 3 11 6" xfId="18030" xr:uid="{00000000-0005-0000-0000-0000A0B50000}"/>
    <cellStyle name="Normal 12 3 11 7" xfId="23506" xr:uid="{00000000-0005-0000-0000-0000A1B50000}"/>
    <cellStyle name="Normal 12 3 11 8" xfId="35301" xr:uid="{00000000-0005-0000-0000-0000A2B50000}"/>
    <cellStyle name="Normal 12 3 11 9" xfId="40778" xr:uid="{00000000-0005-0000-0000-0000A3B50000}"/>
    <cellStyle name="Normal 12 3 12" xfId="2050" xr:uid="{00000000-0005-0000-0000-0000A4B50000}"/>
    <cellStyle name="Normal 12 3 12 10" xfId="52227" xr:uid="{00000000-0005-0000-0000-0000A5B50000}"/>
    <cellStyle name="Normal 12 3 12 2" xfId="5582" xr:uid="{00000000-0005-0000-0000-0000A6B50000}"/>
    <cellStyle name="Normal 12 3 12 2 2" xfId="11062" xr:uid="{00000000-0005-0000-0000-0000A7B50000}"/>
    <cellStyle name="Normal 12 3 12 2 3" xfId="16538" xr:uid="{00000000-0005-0000-0000-0000A8B50000}"/>
    <cellStyle name="Normal 12 3 12 2 4" xfId="22014" xr:uid="{00000000-0005-0000-0000-0000A9B50000}"/>
    <cellStyle name="Normal 12 3 12 2 5" xfId="27490" xr:uid="{00000000-0005-0000-0000-0000AAB50000}"/>
    <cellStyle name="Normal 12 3 12 2 6" xfId="39286" xr:uid="{00000000-0005-0000-0000-0000ABB50000}"/>
    <cellStyle name="Normal 12 3 12 2 7" xfId="44763" xr:uid="{00000000-0005-0000-0000-0000ACB50000}"/>
    <cellStyle name="Normal 12 3 12 2 8" xfId="50240" xr:uid="{00000000-0005-0000-0000-0000ADB50000}"/>
    <cellStyle name="Normal 12 3 12 2 9" xfId="55758" xr:uid="{00000000-0005-0000-0000-0000AEB50000}"/>
    <cellStyle name="Normal 12 3 12 3" xfId="7531" xr:uid="{00000000-0005-0000-0000-0000AFB50000}"/>
    <cellStyle name="Normal 12 3 12 4" xfId="13007" xr:uid="{00000000-0005-0000-0000-0000B0B50000}"/>
    <cellStyle name="Normal 12 3 12 5" xfId="18483" xr:uid="{00000000-0005-0000-0000-0000B1B50000}"/>
    <cellStyle name="Normal 12 3 12 6" xfId="23959" xr:uid="{00000000-0005-0000-0000-0000B2B50000}"/>
    <cellStyle name="Normal 12 3 12 7" xfId="35755" xr:uid="{00000000-0005-0000-0000-0000B3B50000}"/>
    <cellStyle name="Normal 12 3 12 8" xfId="41232" xr:uid="{00000000-0005-0000-0000-0000B4B50000}"/>
    <cellStyle name="Normal 12 3 12 9" xfId="46709" xr:uid="{00000000-0005-0000-0000-0000B5B50000}"/>
    <cellStyle name="Normal 12 3 13" xfId="3716" xr:uid="{00000000-0005-0000-0000-0000B6B50000}"/>
    <cellStyle name="Normal 12 3 13 2" xfId="9196" xr:uid="{00000000-0005-0000-0000-0000B7B50000}"/>
    <cellStyle name="Normal 12 3 13 3" xfId="14672" xr:uid="{00000000-0005-0000-0000-0000B8B50000}"/>
    <cellStyle name="Normal 12 3 13 4" xfId="20148" xr:uid="{00000000-0005-0000-0000-0000B9B50000}"/>
    <cellStyle name="Normal 12 3 13 5" xfId="25624" xr:uid="{00000000-0005-0000-0000-0000BAB50000}"/>
    <cellStyle name="Normal 12 3 13 6" xfId="37420" xr:uid="{00000000-0005-0000-0000-0000BBB50000}"/>
    <cellStyle name="Normal 12 3 13 7" xfId="42897" xr:uid="{00000000-0005-0000-0000-0000BCB50000}"/>
    <cellStyle name="Normal 12 3 13 8" xfId="48374" xr:uid="{00000000-0005-0000-0000-0000BDB50000}"/>
    <cellStyle name="Normal 12 3 13 9" xfId="53892" xr:uid="{00000000-0005-0000-0000-0000BEB50000}"/>
    <cellStyle name="Normal 12 3 14" xfId="7072" xr:uid="{00000000-0005-0000-0000-0000BFB50000}"/>
    <cellStyle name="Normal 12 3 15" xfId="12552" xr:uid="{00000000-0005-0000-0000-0000C0B50000}"/>
    <cellStyle name="Normal 12 3 16" xfId="18028" xr:uid="{00000000-0005-0000-0000-0000C1B50000}"/>
    <cellStyle name="Normal 12 3 17" xfId="23504" xr:uid="{00000000-0005-0000-0000-0000C2B50000}"/>
    <cellStyle name="Normal 12 3 18" xfId="32955" xr:uid="{00000000-0005-0000-0000-0000C3B50000}"/>
    <cellStyle name="Normal 12 3 19" xfId="35299" xr:uid="{00000000-0005-0000-0000-0000C4B50000}"/>
    <cellStyle name="Normal 12 3 2" xfId="236" xr:uid="{00000000-0005-0000-0000-0000C5B50000}"/>
    <cellStyle name="Normal 12 3 2 10" xfId="1880" xr:uid="{00000000-0005-0000-0000-0000C6B50000}"/>
    <cellStyle name="Normal 12 3 2 10 10" xfId="46257" xr:uid="{00000000-0005-0000-0000-0000C7B50000}"/>
    <cellStyle name="Normal 12 3 2 10 11" xfId="51736" xr:uid="{00000000-0005-0000-0000-0000C8B50000}"/>
    <cellStyle name="Normal 12 3 2 10 2" xfId="3641" xr:uid="{00000000-0005-0000-0000-0000C9B50000}"/>
    <cellStyle name="Normal 12 3 2 10 2 2" xfId="9121" xr:uid="{00000000-0005-0000-0000-0000CAB50000}"/>
    <cellStyle name="Normal 12 3 2 10 2 3" xfId="14597" xr:uid="{00000000-0005-0000-0000-0000CBB50000}"/>
    <cellStyle name="Normal 12 3 2 10 2 4" xfId="20073" xr:uid="{00000000-0005-0000-0000-0000CCB50000}"/>
    <cellStyle name="Normal 12 3 2 10 2 5" xfId="25549" xr:uid="{00000000-0005-0000-0000-0000CDB50000}"/>
    <cellStyle name="Normal 12 3 2 10 2 6" xfId="37345" xr:uid="{00000000-0005-0000-0000-0000CEB50000}"/>
    <cellStyle name="Normal 12 3 2 10 2 7" xfId="42822" xr:uid="{00000000-0005-0000-0000-0000CFB50000}"/>
    <cellStyle name="Normal 12 3 2 10 2 8" xfId="48299" xr:uid="{00000000-0005-0000-0000-0000D0B50000}"/>
    <cellStyle name="Normal 12 3 2 10 2 9" xfId="53817" xr:uid="{00000000-0005-0000-0000-0000D1B50000}"/>
    <cellStyle name="Normal 12 3 2 10 3" xfId="5413" xr:uid="{00000000-0005-0000-0000-0000D2B50000}"/>
    <cellStyle name="Normal 12 3 2 10 3 2" xfId="10893" xr:uid="{00000000-0005-0000-0000-0000D3B50000}"/>
    <cellStyle name="Normal 12 3 2 10 3 3" xfId="16369" xr:uid="{00000000-0005-0000-0000-0000D4B50000}"/>
    <cellStyle name="Normal 12 3 2 10 3 4" xfId="21845" xr:uid="{00000000-0005-0000-0000-0000D5B50000}"/>
    <cellStyle name="Normal 12 3 2 10 3 5" xfId="27321" xr:uid="{00000000-0005-0000-0000-0000D6B50000}"/>
    <cellStyle name="Normal 12 3 2 10 3 6" xfId="39117" xr:uid="{00000000-0005-0000-0000-0000D7B50000}"/>
    <cellStyle name="Normal 12 3 2 10 3 7" xfId="44594" xr:uid="{00000000-0005-0000-0000-0000D8B50000}"/>
    <cellStyle name="Normal 12 3 2 10 3 8" xfId="50071" xr:uid="{00000000-0005-0000-0000-0000D9B50000}"/>
    <cellStyle name="Normal 12 3 2 10 3 9" xfId="55589" xr:uid="{00000000-0005-0000-0000-0000DAB50000}"/>
    <cellStyle name="Normal 12 3 2 10 4" xfId="7076" xr:uid="{00000000-0005-0000-0000-0000DBB50000}"/>
    <cellStyle name="Normal 12 3 2 10 5" xfId="12556" xr:uid="{00000000-0005-0000-0000-0000DCB50000}"/>
    <cellStyle name="Normal 12 3 2 10 6" xfId="18032" xr:uid="{00000000-0005-0000-0000-0000DDB50000}"/>
    <cellStyle name="Normal 12 3 2 10 7" xfId="23508" xr:uid="{00000000-0005-0000-0000-0000DEB50000}"/>
    <cellStyle name="Normal 12 3 2 10 8" xfId="35303" xr:uid="{00000000-0005-0000-0000-0000DFB50000}"/>
    <cellStyle name="Normal 12 3 2 10 9" xfId="40780" xr:uid="{00000000-0005-0000-0000-0000E0B50000}"/>
    <cellStyle name="Normal 12 3 2 11" xfId="2051" xr:uid="{00000000-0005-0000-0000-0000E1B50000}"/>
    <cellStyle name="Normal 12 3 2 11 10" xfId="52228" xr:uid="{00000000-0005-0000-0000-0000E2B50000}"/>
    <cellStyle name="Normal 12 3 2 11 2" xfId="5583" xr:uid="{00000000-0005-0000-0000-0000E3B50000}"/>
    <cellStyle name="Normal 12 3 2 11 2 2" xfId="11063" xr:uid="{00000000-0005-0000-0000-0000E4B50000}"/>
    <cellStyle name="Normal 12 3 2 11 2 3" xfId="16539" xr:uid="{00000000-0005-0000-0000-0000E5B50000}"/>
    <cellStyle name="Normal 12 3 2 11 2 4" xfId="22015" xr:uid="{00000000-0005-0000-0000-0000E6B50000}"/>
    <cellStyle name="Normal 12 3 2 11 2 5" xfId="27491" xr:uid="{00000000-0005-0000-0000-0000E7B50000}"/>
    <cellStyle name="Normal 12 3 2 11 2 6" xfId="39287" xr:uid="{00000000-0005-0000-0000-0000E8B50000}"/>
    <cellStyle name="Normal 12 3 2 11 2 7" xfId="44764" xr:uid="{00000000-0005-0000-0000-0000E9B50000}"/>
    <cellStyle name="Normal 12 3 2 11 2 8" xfId="50241" xr:uid="{00000000-0005-0000-0000-0000EAB50000}"/>
    <cellStyle name="Normal 12 3 2 11 2 9" xfId="55759" xr:uid="{00000000-0005-0000-0000-0000EBB50000}"/>
    <cellStyle name="Normal 12 3 2 11 3" xfId="7532" xr:uid="{00000000-0005-0000-0000-0000ECB50000}"/>
    <cellStyle name="Normal 12 3 2 11 4" xfId="13008" xr:uid="{00000000-0005-0000-0000-0000EDB50000}"/>
    <cellStyle name="Normal 12 3 2 11 5" xfId="18484" xr:uid="{00000000-0005-0000-0000-0000EEB50000}"/>
    <cellStyle name="Normal 12 3 2 11 6" xfId="23960" xr:uid="{00000000-0005-0000-0000-0000EFB50000}"/>
    <cellStyle name="Normal 12 3 2 11 7" xfId="35756" xr:uid="{00000000-0005-0000-0000-0000F0B50000}"/>
    <cellStyle name="Normal 12 3 2 11 8" xfId="41233" xr:uid="{00000000-0005-0000-0000-0000F1B50000}"/>
    <cellStyle name="Normal 12 3 2 11 9" xfId="46710" xr:uid="{00000000-0005-0000-0000-0000F2B50000}"/>
    <cellStyle name="Normal 12 3 2 12" xfId="3802" xr:uid="{00000000-0005-0000-0000-0000F3B50000}"/>
    <cellStyle name="Normal 12 3 2 12 2" xfId="9282" xr:uid="{00000000-0005-0000-0000-0000F4B50000}"/>
    <cellStyle name="Normal 12 3 2 12 3" xfId="14758" xr:uid="{00000000-0005-0000-0000-0000F5B50000}"/>
    <cellStyle name="Normal 12 3 2 12 4" xfId="20234" xr:uid="{00000000-0005-0000-0000-0000F6B50000}"/>
    <cellStyle name="Normal 12 3 2 12 5" xfId="25710" xr:uid="{00000000-0005-0000-0000-0000F7B50000}"/>
    <cellStyle name="Normal 12 3 2 12 6" xfId="37506" xr:uid="{00000000-0005-0000-0000-0000F8B50000}"/>
    <cellStyle name="Normal 12 3 2 12 7" xfId="42983" xr:uid="{00000000-0005-0000-0000-0000F9B50000}"/>
    <cellStyle name="Normal 12 3 2 12 8" xfId="48460" xr:uid="{00000000-0005-0000-0000-0000FAB50000}"/>
    <cellStyle name="Normal 12 3 2 12 9" xfId="53978" xr:uid="{00000000-0005-0000-0000-0000FBB50000}"/>
    <cellStyle name="Normal 12 3 2 13" xfId="7075" xr:uid="{00000000-0005-0000-0000-0000FCB50000}"/>
    <cellStyle name="Normal 12 3 2 14" xfId="12555" xr:uid="{00000000-0005-0000-0000-0000FDB50000}"/>
    <cellStyle name="Normal 12 3 2 15" xfId="18031" xr:uid="{00000000-0005-0000-0000-0000FEB50000}"/>
    <cellStyle name="Normal 12 3 2 16" xfId="23507" xr:uid="{00000000-0005-0000-0000-0000FFB50000}"/>
    <cellStyle name="Normal 12 3 2 17" xfId="35302" xr:uid="{00000000-0005-0000-0000-000000B60000}"/>
    <cellStyle name="Normal 12 3 2 18" xfId="40779" xr:uid="{00000000-0005-0000-0000-000001B60000}"/>
    <cellStyle name="Normal 12 3 2 19" xfId="46256" xr:uid="{00000000-0005-0000-0000-000002B60000}"/>
    <cellStyle name="Normal 12 3 2 2" xfId="446" xr:uid="{00000000-0005-0000-0000-000003B60000}"/>
    <cellStyle name="Normal 12 3 2 2 10" xfId="46258" xr:uid="{00000000-0005-0000-0000-000004B60000}"/>
    <cellStyle name="Normal 12 3 2 2 11" xfId="51737" xr:uid="{00000000-0005-0000-0000-000005B60000}"/>
    <cellStyle name="Normal 12 3 2 2 2" xfId="2212" xr:uid="{00000000-0005-0000-0000-000006B60000}"/>
    <cellStyle name="Normal 12 3 2 2 2 2" xfId="7692" xr:uid="{00000000-0005-0000-0000-000007B60000}"/>
    <cellStyle name="Normal 12 3 2 2 2 3" xfId="13168" xr:uid="{00000000-0005-0000-0000-000008B60000}"/>
    <cellStyle name="Normal 12 3 2 2 2 4" xfId="18644" xr:uid="{00000000-0005-0000-0000-000009B60000}"/>
    <cellStyle name="Normal 12 3 2 2 2 5" xfId="24120" xr:uid="{00000000-0005-0000-0000-00000AB60000}"/>
    <cellStyle name="Normal 12 3 2 2 2 6" xfId="35916" xr:uid="{00000000-0005-0000-0000-00000BB60000}"/>
    <cellStyle name="Normal 12 3 2 2 2 7" xfId="41393" xr:uid="{00000000-0005-0000-0000-00000CB60000}"/>
    <cellStyle name="Normal 12 3 2 2 2 8" xfId="46870" xr:uid="{00000000-0005-0000-0000-00000DB60000}"/>
    <cellStyle name="Normal 12 3 2 2 2 9" xfId="52388" xr:uid="{00000000-0005-0000-0000-00000EB60000}"/>
    <cellStyle name="Normal 12 3 2 2 3" xfId="3984" xr:uid="{00000000-0005-0000-0000-00000FB60000}"/>
    <cellStyle name="Normal 12 3 2 2 3 2" xfId="9464" xr:uid="{00000000-0005-0000-0000-000010B60000}"/>
    <cellStyle name="Normal 12 3 2 2 3 3" xfId="14940" xr:uid="{00000000-0005-0000-0000-000011B60000}"/>
    <cellStyle name="Normal 12 3 2 2 3 4" xfId="20416" xr:uid="{00000000-0005-0000-0000-000012B60000}"/>
    <cellStyle name="Normal 12 3 2 2 3 5" xfId="25892" xr:uid="{00000000-0005-0000-0000-000013B60000}"/>
    <cellStyle name="Normal 12 3 2 2 3 6" xfId="37688" xr:uid="{00000000-0005-0000-0000-000014B60000}"/>
    <cellStyle name="Normal 12 3 2 2 3 7" xfId="43165" xr:uid="{00000000-0005-0000-0000-000015B60000}"/>
    <cellStyle name="Normal 12 3 2 2 3 8" xfId="48642" xr:uid="{00000000-0005-0000-0000-000016B60000}"/>
    <cellStyle name="Normal 12 3 2 2 3 9" xfId="54160" xr:uid="{00000000-0005-0000-0000-000017B60000}"/>
    <cellStyle name="Normal 12 3 2 2 4" xfId="7077" xr:uid="{00000000-0005-0000-0000-000018B60000}"/>
    <cellStyle name="Normal 12 3 2 2 5" xfId="12557" xr:uid="{00000000-0005-0000-0000-000019B60000}"/>
    <cellStyle name="Normal 12 3 2 2 6" xfId="18033" xr:uid="{00000000-0005-0000-0000-00001AB60000}"/>
    <cellStyle name="Normal 12 3 2 2 7" xfId="23509" xr:uid="{00000000-0005-0000-0000-00001BB60000}"/>
    <cellStyle name="Normal 12 3 2 2 8" xfId="35304" xr:uid="{00000000-0005-0000-0000-00001CB60000}"/>
    <cellStyle name="Normal 12 3 2 2 9" xfId="40781" xr:uid="{00000000-0005-0000-0000-00001DB60000}"/>
    <cellStyle name="Normal 12 3 2 20" xfId="51735" xr:uid="{00000000-0005-0000-0000-00001EB60000}"/>
    <cellStyle name="Normal 12 3 2 3" xfId="623" xr:uid="{00000000-0005-0000-0000-00001FB60000}"/>
    <cellStyle name="Normal 12 3 2 3 10" xfId="46259" xr:uid="{00000000-0005-0000-0000-000020B60000}"/>
    <cellStyle name="Normal 12 3 2 3 11" xfId="51738" xr:uid="{00000000-0005-0000-0000-000021B60000}"/>
    <cellStyle name="Normal 12 3 2 3 2" xfId="2384" xr:uid="{00000000-0005-0000-0000-000022B60000}"/>
    <cellStyle name="Normal 12 3 2 3 2 2" xfId="7864" xr:uid="{00000000-0005-0000-0000-000023B60000}"/>
    <cellStyle name="Normal 12 3 2 3 2 3" xfId="13340" xr:uid="{00000000-0005-0000-0000-000024B60000}"/>
    <cellStyle name="Normal 12 3 2 3 2 4" xfId="18816" xr:uid="{00000000-0005-0000-0000-000025B60000}"/>
    <cellStyle name="Normal 12 3 2 3 2 5" xfId="24292" xr:uid="{00000000-0005-0000-0000-000026B60000}"/>
    <cellStyle name="Normal 12 3 2 3 2 6" xfId="36088" xr:uid="{00000000-0005-0000-0000-000027B60000}"/>
    <cellStyle name="Normal 12 3 2 3 2 7" xfId="41565" xr:uid="{00000000-0005-0000-0000-000028B60000}"/>
    <cellStyle name="Normal 12 3 2 3 2 8" xfId="47042" xr:uid="{00000000-0005-0000-0000-000029B60000}"/>
    <cellStyle name="Normal 12 3 2 3 2 9" xfId="52560" xr:uid="{00000000-0005-0000-0000-00002AB60000}"/>
    <cellStyle name="Normal 12 3 2 3 3" xfId="4156" xr:uid="{00000000-0005-0000-0000-00002BB60000}"/>
    <cellStyle name="Normal 12 3 2 3 3 2" xfId="9636" xr:uid="{00000000-0005-0000-0000-00002CB60000}"/>
    <cellStyle name="Normal 12 3 2 3 3 3" xfId="15112" xr:uid="{00000000-0005-0000-0000-00002DB60000}"/>
    <cellStyle name="Normal 12 3 2 3 3 4" xfId="20588" xr:uid="{00000000-0005-0000-0000-00002EB60000}"/>
    <cellStyle name="Normal 12 3 2 3 3 5" xfId="26064" xr:uid="{00000000-0005-0000-0000-00002FB60000}"/>
    <cellStyle name="Normal 12 3 2 3 3 6" xfId="37860" xr:uid="{00000000-0005-0000-0000-000030B60000}"/>
    <cellStyle name="Normal 12 3 2 3 3 7" xfId="43337" xr:uid="{00000000-0005-0000-0000-000031B60000}"/>
    <cellStyle name="Normal 12 3 2 3 3 8" xfId="48814" xr:uid="{00000000-0005-0000-0000-000032B60000}"/>
    <cellStyle name="Normal 12 3 2 3 3 9" xfId="54332" xr:uid="{00000000-0005-0000-0000-000033B60000}"/>
    <cellStyle name="Normal 12 3 2 3 4" xfId="7078" xr:uid="{00000000-0005-0000-0000-000034B60000}"/>
    <cellStyle name="Normal 12 3 2 3 5" xfId="12558" xr:uid="{00000000-0005-0000-0000-000035B60000}"/>
    <cellStyle name="Normal 12 3 2 3 6" xfId="18034" xr:uid="{00000000-0005-0000-0000-000036B60000}"/>
    <cellStyle name="Normal 12 3 2 3 7" xfId="23510" xr:uid="{00000000-0005-0000-0000-000037B60000}"/>
    <cellStyle name="Normal 12 3 2 3 8" xfId="35305" xr:uid="{00000000-0005-0000-0000-000038B60000}"/>
    <cellStyle name="Normal 12 3 2 3 9" xfId="40782" xr:uid="{00000000-0005-0000-0000-000039B60000}"/>
    <cellStyle name="Normal 12 3 2 4" xfId="795" xr:uid="{00000000-0005-0000-0000-00003AB60000}"/>
    <cellStyle name="Normal 12 3 2 4 10" xfId="46260" xr:uid="{00000000-0005-0000-0000-00003BB60000}"/>
    <cellStyle name="Normal 12 3 2 4 11" xfId="51739" xr:uid="{00000000-0005-0000-0000-00003CB60000}"/>
    <cellStyle name="Normal 12 3 2 4 2" xfId="2556" xr:uid="{00000000-0005-0000-0000-00003DB60000}"/>
    <cellStyle name="Normal 12 3 2 4 2 2" xfId="8036" xr:uid="{00000000-0005-0000-0000-00003EB60000}"/>
    <cellStyle name="Normal 12 3 2 4 2 3" xfId="13512" xr:uid="{00000000-0005-0000-0000-00003FB60000}"/>
    <cellStyle name="Normal 12 3 2 4 2 4" xfId="18988" xr:uid="{00000000-0005-0000-0000-000040B60000}"/>
    <cellStyle name="Normal 12 3 2 4 2 5" xfId="24464" xr:uid="{00000000-0005-0000-0000-000041B60000}"/>
    <cellStyle name="Normal 12 3 2 4 2 6" xfId="36260" xr:uid="{00000000-0005-0000-0000-000042B60000}"/>
    <cellStyle name="Normal 12 3 2 4 2 7" xfId="41737" xr:uid="{00000000-0005-0000-0000-000043B60000}"/>
    <cellStyle name="Normal 12 3 2 4 2 8" xfId="47214" xr:uid="{00000000-0005-0000-0000-000044B60000}"/>
    <cellStyle name="Normal 12 3 2 4 2 9" xfId="52732" xr:uid="{00000000-0005-0000-0000-000045B60000}"/>
    <cellStyle name="Normal 12 3 2 4 3" xfId="4328" xr:uid="{00000000-0005-0000-0000-000046B60000}"/>
    <cellStyle name="Normal 12 3 2 4 3 2" xfId="9808" xr:uid="{00000000-0005-0000-0000-000047B60000}"/>
    <cellStyle name="Normal 12 3 2 4 3 3" xfId="15284" xr:uid="{00000000-0005-0000-0000-000048B60000}"/>
    <cellStyle name="Normal 12 3 2 4 3 4" xfId="20760" xr:uid="{00000000-0005-0000-0000-000049B60000}"/>
    <cellStyle name="Normal 12 3 2 4 3 5" xfId="26236" xr:uid="{00000000-0005-0000-0000-00004AB60000}"/>
    <cellStyle name="Normal 12 3 2 4 3 6" xfId="38032" xr:uid="{00000000-0005-0000-0000-00004BB60000}"/>
    <cellStyle name="Normal 12 3 2 4 3 7" xfId="43509" xr:uid="{00000000-0005-0000-0000-00004CB60000}"/>
    <cellStyle name="Normal 12 3 2 4 3 8" xfId="48986" xr:uid="{00000000-0005-0000-0000-00004DB60000}"/>
    <cellStyle name="Normal 12 3 2 4 3 9" xfId="54504" xr:uid="{00000000-0005-0000-0000-00004EB60000}"/>
    <cellStyle name="Normal 12 3 2 4 4" xfId="7079" xr:uid="{00000000-0005-0000-0000-00004FB60000}"/>
    <cellStyle name="Normal 12 3 2 4 5" xfId="12559" xr:uid="{00000000-0005-0000-0000-000050B60000}"/>
    <cellStyle name="Normal 12 3 2 4 6" xfId="18035" xr:uid="{00000000-0005-0000-0000-000051B60000}"/>
    <cellStyle name="Normal 12 3 2 4 7" xfId="23511" xr:uid="{00000000-0005-0000-0000-000052B60000}"/>
    <cellStyle name="Normal 12 3 2 4 8" xfId="35306" xr:uid="{00000000-0005-0000-0000-000053B60000}"/>
    <cellStyle name="Normal 12 3 2 4 9" xfId="40783" xr:uid="{00000000-0005-0000-0000-000054B60000}"/>
    <cellStyle name="Normal 12 3 2 5" xfId="967" xr:uid="{00000000-0005-0000-0000-000055B60000}"/>
    <cellStyle name="Normal 12 3 2 5 10" xfId="46261" xr:uid="{00000000-0005-0000-0000-000056B60000}"/>
    <cellStyle name="Normal 12 3 2 5 11" xfId="51740" xr:uid="{00000000-0005-0000-0000-000057B60000}"/>
    <cellStyle name="Normal 12 3 2 5 2" xfId="2728" xr:uid="{00000000-0005-0000-0000-000058B60000}"/>
    <cellStyle name="Normal 12 3 2 5 2 2" xfId="8208" xr:uid="{00000000-0005-0000-0000-000059B60000}"/>
    <cellStyle name="Normal 12 3 2 5 2 3" xfId="13684" xr:uid="{00000000-0005-0000-0000-00005AB60000}"/>
    <cellStyle name="Normal 12 3 2 5 2 4" xfId="19160" xr:uid="{00000000-0005-0000-0000-00005BB60000}"/>
    <cellStyle name="Normal 12 3 2 5 2 5" xfId="24636" xr:uid="{00000000-0005-0000-0000-00005CB60000}"/>
    <cellStyle name="Normal 12 3 2 5 2 6" xfId="36432" xr:uid="{00000000-0005-0000-0000-00005DB60000}"/>
    <cellStyle name="Normal 12 3 2 5 2 7" xfId="41909" xr:uid="{00000000-0005-0000-0000-00005EB60000}"/>
    <cellStyle name="Normal 12 3 2 5 2 8" xfId="47386" xr:uid="{00000000-0005-0000-0000-00005FB60000}"/>
    <cellStyle name="Normal 12 3 2 5 2 9" xfId="52904" xr:uid="{00000000-0005-0000-0000-000060B60000}"/>
    <cellStyle name="Normal 12 3 2 5 3" xfId="4500" xr:uid="{00000000-0005-0000-0000-000061B60000}"/>
    <cellStyle name="Normal 12 3 2 5 3 2" xfId="9980" xr:uid="{00000000-0005-0000-0000-000062B60000}"/>
    <cellStyle name="Normal 12 3 2 5 3 3" xfId="15456" xr:uid="{00000000-0005-0000-0000-000063B60000}"/>
    <cellStyle name="Normal 12 3 2 5 3 4" xfId="20932" xr:uid="{00000000-0005-0000-0000-000064B60000}"/>
    <cellStyle name="Normal 12 3 2 5 3 5" xfId="26408" xr:uid="{00000000-0005-0000-0000-000065B60000}"/>
    <cellStyle name="Normal 12 3 2 5 3 6" xfId="38204" xr:uid="{00000000-0005-0000-0000-000066B60000}"/>
    <cellStyle name="Normal 12 3 2 5 3 7" xfId="43681" xr:uid="{00000000-0005-0000-0000-000067B60000}"/>
    <cellStyle name="Normal 12 3 2 5 3 8" xfId="49158" xr:uid="{00000000-0005-0000-0000-000068B60000}"/>
    <cellStyle name="Normal 12 3 2 5 3 9" xfId="54676" xr:uid="{00000000-0005-0000-0000-000069B60000}"/>
    <cellStyle name="Normal 12 3 2 5 4" xfId="7080" xr:uid="{00000000-0005-0000-0000-00006AB60000}"/>
    <cellStyle name="Normal 12 3 2 5 5" xfId="12560" xr:uid="{00000000-0005-0000-0000-00006BB60000}"/>
    <cellStyle name="Normal 12 3 2 5 6" xfId="18036" xr:uid="{00000000-0005-0000-0000-00006CB60000}"/>
    <cellStyle name="Normal 12 3 2 5 7" xfId="23512" xr:uid="{00000000-0005-0000-0000-00006DB60000}"/>
    <cellStyle name="Normal 12 3 2 5 8" xfId="35307" xr:uid="{00000000-0005-0000-0000-00006EB60000}"/>
    <cellStyle name="Normal 12 3 2 5 9" xfId="40784" xr:uid="{00000000-0005-0000-0000-00006FB60000}"/>
    <cellStyle name="Normal 12 3 2 6" xfId="1173" xr:uid="{00000000-0005-0000-0000-000070B60000}"/>
    <cellStyle name="Normal 12 3 2 6 10" xfId="46262" xr:uid="{00000000-0005-0000-0000-000071B60000}"/>
    <cellStyle name="Normal 12 3 2 6 11" xfId="51741" xr:uid="{00000000-0005-0000-0000-000072B60000}"/>
    <cellStyle name="Normal 12 3 2 6 2" xfId="2934" xr:uid="{00000000-0005-0000-0000-000073B60000}"/>
    <cellStyle name="Normal 12 3 2 6 2 2" xfId="8414" xr:uid="{00000000-0005-0000-0000-000074B60000}"/>
    <cellStyle name="Normal 12 3 2 6 2 3" xfId="13890" xr:uid="{00000000-0005-0000-0000-000075B60000}"/>
    <cellStyle name="Normal 12 3 2 6 2 4" xfId="19366" xr:uid="{00000000-0005-0000-0000-000076B60000}"/>
    <cellStyle name="Normal 12 3 2 6 2 5" xfId="24842" xr:uid="{00000000-0005-0000-0000-000077B60000}"/>
    <cellStyle name="Normal 12 3 2 6 2 6" xfId="36638" xr:uid="{00000000-0005-0000-0000-000078B60000}"/>
    <cellStyle name="Normal 12 3 2 6 2 7" xfId="42115" xr:uid="{00000000-0005-0000-0000-000079B60000}"/>
    <cellStyle name="Normal 12 3 2 6 2 8" xfId="47592" xr:uid="{00000000-0005-0000-0000-00007AB60000}"/>
    <cellStyle name="Normal 12 3 2 6 2 9" xfId="53110" xr:uid="{00000000-0005-0000-0000-00007BB60000}"/>
    <cellStyle name="Normal 12 3 2 6 3" xfId="4706" xr:uid="{00000000-0005-0000-0000-00007CB60000}"/>
    <cellStyle name="Normal 12 3 2 6 3 2" xfId="10186" xr:uid="{00000000-0005-0000-0000-00007DB60000}"/>
    <cellStyle name="Normal 12 3 2 6 3 3" xfId="15662" xr:uid="{00000000-0005-0000-0000-00007EB60000}"/>
    <cellStyle name="Normal 12 3 2 6 3 4" xfId="21138" xr:uid="{00000000-0005-0000-0000-00007FB60000}"/>
    <cellStyle name="Normal 12 3 2 6 3 5" xfId="26614" xr:uid="{00000000-0005-0000-0000-000080B60000}"/>
    <cellStyle name="Normal 12 3 2 6 3 6" xfId="38410" xr:uid="{00000000-0005-0000-0000-000081B60000}"/>
    <cellStyle name="Normal 12 3 2 6 3 7" xfId="43887" xr:uid="{00000000-0005-0000-0000-000082B60000}"/>
    <cellStyle name="Normal 12 3 2 6 3 8" xfId="49364" xr:uid="{00000000-0005-0000-0000-000083B60000}"/>
    <cellStyle name="Normal 12 3 2 6 3 9" xfId="54882" xr:uid="{00000000-0005-0000-0000-000084B60000}"/>
    <cellStyle name="Normal 12 3 2 6 4" xfId="7081" xr:uid="{00000000-0005-0000-0000-000085B60000}"/>
    <cellStyle name="Normal 12 3 2 6 5" xfId="12561" xr:uid="{00000000-0005-0000-0000-000086B60000}"/>
    <cellStyle name="Normal 12 3 2 6 6" xfId="18037" xr:uid="{00000000-0005-0000-0000-000087B60000}"/>
    <cellStyle name="Normal 12 3 2 6 7" xfId="23513" xr:uid="{00000000-0005-0000-0000-000088B60000}"/>
    <cellStyle name="Normal 12 3 2 6 8" xfId="35308" xr:uid="{00000000-0005-0000-0000-000089B60000}"/>
    <cellStyle name="Normal 12 3 2 6 9" xfId="40785" xr:uid="{00000000-0005-0000-0000-00008AB60000}"/>
    <cellStyle name="Normal 12 3 2 7" xfId="1345" xr:uid="{00000000-0005-0000-0000-00008BB60000}"/>
    <cellStyle name="Normal 12 3 2 7 10" xfId="46263" xr:uid="{00000000-0005-0000-0000-00008CB60000}"/>
    <cellStyle name="Normal 12 3 2 7 11" xfId="51742" xr:uid="{00000000-0005-0000-0000-00008DB60000}"/>
    <cellStyle name="Normal 12 3 2 7 2" xfId="3106" xr:uid="{00000000-0005-0000-0000-00008EB60000}"/>
    <cellStyle name="Normal 12 3 2 7 2 2" xfId="8586" xr:uid="{00000000-0005-0000-0000-00008FB60000}"/>
    <cellStyle name="Normal 12 3 2 7 2 3" xfId="14062" xr:uid="{00000000-0005-0000-0000-000090B60000}"/>
    <cellStyle name="Normal 12 3 2 7 2 4" xfId="19538" xr:uid="{00000000-0005-0000-0000-000091B60000}"/>
    <cellStyle name="Normal 12 3 2 7 2 5" xfId="25014" xr:uid="{00000000-0005-0000-0000-000092B60000}"/>
    <cellStyle name="Normal 12 3 2 7 2 6" xfId="36810" xr:uid="{00000000-0005-0000-0000-000093B60000}"/>
    <cellStyle name="Normal 12 3 2 7 2 7" xfId="42287" xr:uid="{00000000-0005-0000-0000-000094B60000}"/>
    <cellStyle name="Normal 12 3 2 7 2 8" xfId="47764" xr:uid="{00000000-0005-0000-0000-000095B60000}"/>
    <cellStyle name="Normal 12 3 2 7 2 9" xfId="53282" xr:uid="{00000000-0005-0000-0000-000096B60000}"/>
    <cellStyle name="Normal 12 3 2 7 3" xfId="4878" xr:uid="{00000000-0005-0000-0000-000097B60000}"/>
    <cellStyle name="Normal 12 3 2 7 3 2" xfId="10358" xr:uid="{00000000-0005-0000-0000-000098B60000}"/>
    <cellStyle name="Normal 12 3 2 7 3 3" xfId="15834" xr:uid="{00000000-0005-0000-0000-000099B60000}"/>
    <cellStyle name="Normal 12 3 2 7 3 4" xfId="21310" xr:uid="{00000000-0005-0000-0000-00009AB60000}"/>
    <cellStyle name="Normal 12 3 2 7 3 5" xfId="26786" xr:uid="{00000000-0005-0000-0000-00009BB60000}"/>
    <cellStyle name="Normal 12 3 2 7 3 6" xfId="38582" xr:uid="{00000000-0005-0000-0000-00009CB60000}"/>
    <cellStyle name="Normal 12 3 2 7 3 7" xfId="44059" xr:uid="{00000000-0005-0000-0000-00009DB60000}"/>
    <cellStyle name="Normal 12 3 2 7 3 8" xfId="49536" xr:uid="{00000000-0005-0000-0000-00009EB60000}"/>
    <cellStyle name="Normal 12 3 2 7 3 9" xfId="55054" xr:uid="{00000000-0005-0000-0000-00009FB60000}"/>
    <cellStyle name="Normal 12 3 2 7 4" xfId="7082" xr:uid="{00000000-0005-0000-0000-0000A0B60000}"/>
    <cellStyle name="Normal 12 3 2 7 5" xfId="12562" xr:uid="{00000000-0005-0000-0000-0000A1B60000}"/>
    <cellStyle name="Normal 12 3 2 7 6" xfId="18038" xr:uid="{00000000-0005-0000-0000-0000A2B60000}"/>
    <cellStyle name="Normal 12 3 2 7 7" xfId="23514" xr:uid="{00000000-0005-0000-0000-0000A3B60000}"/>
    <cellStyle name="Normal 12 3 2 7 8" xfId="35309" xr:uid="{00000000-0005-0000-0000-0000A4B60000}"/>
    <cellStyle name="Normal 12 3 2 7 9" xfId="40786" xr:uid="{00000000-0005-0000-0000-0000A5B60000}"/>
    <cellStyle name="Normal 12 3 2 8" xfId="1517" xr:uid="{00000000-0005-0000-0000-0000A6B60000}"/>
    <cellStyle name="Normal 12 3 2 8 10" xfId="46264" xr:uid="{00000000-0005-0000-0000-0000A7B60000}"/>
    <cellStyle name="Normal 12 3 2 8 11" xfId="51743" xr:uid="{00000000-0005-0000-0000-0000A8B60000}"/>
    <cellStyle name="Normal 12 3 2 8 2" xfId="3278" xr:uid="{00000000-0005-0000-0000-0000A9B60000}"/>
    <cellStyle name="Normal 12 3 2 8 2 2" xfId="8758" xr:uid="{00000000-0005-0000-0000-0000AAB60000}"/>
    <cellStyle name="Normal 12 3 2 8 2 3" xfId="14234" xr:uid="{00000000-0005-0000-0000-0000ABB60000}"/>
    <cellStyle name="Normal 12 3 2 8 2 4" xfId="19710" xr:uid="{00000000-0005-0000-0000-0000ACB60000}"/>
    <cellStyle name="Normal 12 3 2 8 2 5" xfId="25186" xr:uid="{00000000-0005-0000-0000-0000ADB60000}"/>
    <cellStyle name="Normal 12 3 2 8 2 6" xfId="36982" xr:uid="{00000000-0005-0000-0000-0000AEB60000}"/>
    <cellStyle name="Normal 12 3 2 8 2 7" xfId="42459" xr:uid="{00000000-0005-0000-0000-0000AFB60000}"/>
    <cellStyle name="Normal 12 3 2 8 2 8" xfId="47936" xr:uid="{00000000-0005-0000-0000-0000B0B60000}"/>
    <cellStyle name="Normal 12 3 2 8 2 9" xfId="53454" xr:uid="{00000000-0005-0000-0000-0000B1B60000}"/>
    <cellStyle name="Normal 12 3 2 8 3" xfId="5050" xr:uid="{00000000-0005-0000-0000-0000B2B60000}"/>
    <cellStyle name="Normal 12 3 2 8 3 2" xfId="10530" xr:uid="{00000000-0005-0000-0000-0000B3B60000}"/>
    <cellStyle name="Normal 12 3 2 8 3 3" xfId="16006" xr:uid="{00000000-0005-0000-0000-0000B4B60000}"/>
    <cellStyle name="Normal 12 3 2 8 3 4" xfId="21482" xr:uid="{00000000-0005-0000-0000-0000B5B60000}"/>
    <cellStyle name="Normal 12 3 2 8 3 5" xfId="26958" xr:uid="{00000000-0005-0000-0000-0000B6B60000}"/>
    <cellStyle name="Normal 12 3 2 8 3 6" xfId="38754" xr:uid="{00000000-0005-0000-0000-0000B7B60000}"/>
    <cellStyle name="Normal 12 3 2 8 3 7" xfId="44231" xr:uid="{00000000-0005-0000-0000-0000B8B60000}"/>
    <cellStyle name="Normal 12 3 2 8 3 8" xfId="49708" xr:uid="{00000000-0005-0000-0000-0000B9B60000}"/>
    <cellStyle name="Normal 12 3 2 8 3 9" xfId="55226" xr:uid="{00000000-0005-0000-0000-0000BAB60000}"/>
    <cellStyle name="Normal 12 3 2 8 4" xfId="7083" xr:uid="{00000000-0005-0000-0000-0000BBB60000}"/>
    <cellStyle name="Normal 12 3 2 8 5" xfId="12563" xr:uid="{00000000-0005-0000-0000-0000BCB60000}"/>
    <cellStyle name="Normal 12 3 2 8 6" xfId="18039" xr:uid="{00000000-0005-0000-0000-0000BDB60000}"/>
    <cellStyle name="Normal 12 3 2 8 7" xfId="23515" xr:uid="{00000000-0005-0000-0000-0000BEB60000}"/>
    <cellStyle name="Normal 12 3 2 8 8" xfId="35310" xr:uid="{00000000-0005-0000-0000-0000BFB60000}"/>
    <cellStyle name="Normal 12 3 2 8 9" xfId="40787" xr:uid="{00000000-0005-0000-0000-0000C0B60000}"/>
    <cellStyle name="Normal 12 3 2 9" xfId="1689" xr:uid="{00000000-0005-0000-0000-0000C1B60000}"/>
    <cellStyle name="Normal 12 3 2 9 10" xfId="46265" xr:uid="{00000000-0005-0000-0000-0000C2B60000}"/>
    <cellStyle name="Normal 12 3 2 9 11" xfId="51744" xr:uid="{00000000-0005-0000-0000-0000C3B60000}"/>
    <cellStyle name="Normal 12 3 2 9 2" xfId="3450" xr:uid="{00000000-0005-0000-0000-0000C4B60000}"/>
    <cellStyle name="Normal 12 3 2 9 2 2" xfId="8930" xr:uid="{00000000-0005-0000-0000-0000C5B60000}"/>
    <cellStyle name="Normal 12 3 2 9 2 3" xfId="14406" xr:uid="{00000000-0005-0000-0000-0000C6B60000}"/>
    <cellStyle name="Normal 12 3 2 9 2 4" xfId="19882" xr:uid="{00000000-0005-0000-0000-0000C7B60000}"/>
    <cellStyle name="Normal 12 3 2 9 2 5" xfId="25358" xr:uid="{00000000-0005-0000-0000-0000C8B60000}"/>
    <cellStyle name="Normal 12 3 2 9 2 6" xfId="37154" xr:uid="{00000000-0005-0000-0000-0000C9B60000}"/>
    <cellStyle name="Normal 12 3 2 9 2 7" xfId="42631" xr:uid="{00000000-0005-0000-0000-0000CAB60000}"/>
    <cellStyle name="Normal 12 3 2 9 2 8" xfId="48108" xr:uid="{00000000-0005-0000-0000-0000CBB60000}"/>
    <cellStyle name="Normal 12 3 2 9 2 9" xfId="53626" xr:uid="{00000000-0005-0000-0000-0000CCB60000}"/>
    <cellStyle name="Normal 12 3 2 9 3" xfId="5222" xr:uid="{00000000-0005-0000-0000-0000CDB60000}"/>
    <cellStyle name="Normal 12 3 2 9 3 2" xfId="10702" xr:uid="{00000000-0005-0000-0000-0000CEB60000}"/>
    <cellStyle name="Normal 12 3 2 9 3 3" xfId="16178" xr:uid="{00000000-0005-0000-0000-0000CFB60000}"/>
    <cellStyle name="Normal 12 3 2 9 3 4" xfId="21654" xr:uid="{00000000-0005-0000-0000-0000D0B60000}"/>
    <cellStyle name="Normal 12 3 2 9 3 5" xfId="27130" xr:uid="{00000000-0005-0000-0000-0000D1B60000}"/>
    <cellStyle name="Normal 12 3 2 9 3 6" xfId="38926" xr:uid="{00000000-0005-0000-0000-0000D2B60000}"/>
    <cellStyle name="Normal 12 3 2 9 3 7" xfId="44403" xr:uid="{00000000-0005-0000-0000-0000D3B60000}"/>
    <cellStyle name="Normal 12 3 2 9 3 8" xfId="49880" xr:uid="{00000000-0005-0000-0000-0000D4B60000}"/>
    <cellStyle name="Normal 12 3 2 9 3 9" xfId="55398" xr:uid="{00000000-0005-0000-0000-0000D5B60000}"/>
    <cellStyle name="Normal 12 3 2 9 4" xfId="7084" xr:uid="{00000000-0005-0000-0000-0000D6B60000}"/>
    <cellStyle name="Normal 12 3 2 9 5" xfId="12564" xr:uid="{00000000-0005-0000-0000-0000D7B60000}"/>
    <cellStyle name="Normal 12 3 2 9 6" xfId="18040" xr:uid="{00000000-0005-0000-0000-0000D8B60000}"/>
    <cellStyle name="Normal 12 3 2 9 7" xfId="23516" xr:uid="{00000000-0005-0000-0000-0000D9B60000}"/>
    <cellStyle name="Normal 12 3 2 9 8" xfId="35311" xr:uid="{00000000-0005-0000-0000-0000DAB60000}"/>
    <cellStyle name="Normal 12 3 2 9 9" xfId="40788" xr:uid="{00000000-0005-0000-0000-0000DBB60000}"/>
    <cellStyle name="Normal 12 3 20" xfId="40776" xr:uid="{00000000-0005-0000-0000-0000DCB60000}"/>
    <cellStyle name="Normal 12 3 21" xfId="46253" xr:uid="{00000000-0005-0000-0000-0000DDB60000}"/>
    <cellStyle name="Normal 12 3 22" xfId="51732" xr:uid="{00000000-0005-0000-0000-0000DEB60000}"/>
    <cellStyle name="Normal 12 3 3" xfId="445" xr:uid="{00000000-0005-0000-0000-0000DFB60000}"/>
    <cellStyle name="Normal 12 3 3 10" xfId="46266" xr:uid="{00000000-0005-0000-0000-0000E0B60000}"/>
    <cellStyle name="Normal 12 3 3 11" xfId="51745" xr:uid="{00000000-0005-0000-0000-0000E1B60000}"/>
    <cellStyle name="Normal 12 3 3 2" xfId="2211" xr:uid="{00000000-0005-0000-0000-0000E2B60000}"/>
    <cellStyle name="Normal 12 3 3 2 2" xfId="7691" xr:uid="{00000000-0005-0000-0000-0000E3B60000}"/>
    <cellStyle name="Normal 12 3 3 2 3" xfId="13167" xr:uid="{00000000-0005-0000-0000-0000E4B60000}"/>
    <cellStyle name="Normal 12 3 3 2 4" xfId="18643" xr:uid="{00000000-0005-0000-0000-0000E5B60000}"/>
    <cellStyle name="Normal 12 3 3 2 5" xfId="24119" xr:uid="{00000000-0005-0000-0000-0000E6B60000}"/>
    <cellStyle name="Normal 12 3 3 2 6" xfId="35915" xr:uid="{00000000-0005-0000-0000-0000E7B60000}"/>
    <cellStyle name="Normal 12 3 3 2 7" xfId="41392" xr:uid="{00000000-0005-0000-0000-0000E8B60000}"/>
    <cellStyle name="Normal 12 3 3 2 8" xfId="46869" xr:uid="{00000000-0005-0000-0000-0000E9B60000}"/>
    <cellStyle name="Normal 12 3 3 2 9" xfId="52387" xr:uid="{00000000-0005-0000-0000-0000EAB60000}"/>
    <cellStyle name="Normal 12 3 3 3" xfId="3983" xr:uid="{00000000-0005-0000-0000-0000EBB60000}"/>
    <cellStyle name="Normal 12 3 3 3 2" xfId="9463" xr:uid="{00000000-0005-0000-0000-0000ECB60000}"/>
    <cellStyle name="Normal 12 3 3 3 3" xfId="14939" xr:uid="{00000000-0005-0000-0000-0000EDB60000}"/>
    <cellStyle name="Normal 12 3 3 3 4" xfId="20415" xr:uid="{00000000-0005-0000-0000-0000EEB60000}"/>
    <cellStyle name="Normal 12 3 3 3 5" xfId="25891" xr:uid="{00000000-0005-0000-0000-0000EFB60000}"/>
    <cellStyle name="Normal 12 3 3 3 6" xfId="37687" xr:uid="{00000000-0005-0000-0000-0000F0B60000}"/>
    <cellStyle name="Normal 12 3 3 3 7" xfId="43164" xr:uid="{00000000-0005-0000-0000-0000F1B60000}"/>
    <cellStyle name="Normal 12 3 3 3 8" xfId="48641" xr:uid="{00000000-0005-0000-0000-0000F2B60000}"/>
    <cellStyle name="Normal 12 3 3 3 9" xfId="54159" xr:uid="{00000000-0005-0000-0000-0000F3B60000}"/>
    <cellStyle name="Normal 12 3 3 4" xfId="7085" xr:uid="{00000000-0005-0000-0000-0000F4B60000}"/>
    <cellStyle name="Normal 12 3 3 5" xfId="12565" xr:uid="{00000000-0005-0000-0000-0000F5B60000}"/>
    <cellStyle name="Normal 12 3 3 6" xfId="18041" xr:uid="{00000000-0005-0000-0000-0000F6B60000}"/>
    <cellStyle name="Normal 12 3 3 7" xfId="23517" xr:uid="{00000000-0005-0000-0000-0000F7B60000}"/>
    <cellStyle name="Normal 12 3 3 8" xfId="35312" xr:uid="{00000000-0005-0000-0000-0000F8B60000}"/>
    <cellStyle name="Normal 12 3 3 9" xfId="40789" xr:uid="{00000000-0005-0000-0000-0000F9B60000}"/>
    <cellStyle name="Normal 12 3 4" xfId="622" xr:uid="{00000000-0005-0000-0000-0000FAB60000}"/>
    <cellStyle name="Normal 12 3 4 10" xfId="46267" xr:uid="{00000000-0005-0000-0000-0000FBB60000}"/>
    <cellStyle name="Normal 12 3 4 11" xfId="51746" xr:uid="{00000000-0005-0000-0000-0000FCB60000}"/>
    <cellStyle name="Normal 12 3 4 2" xfId="2383" xr:uid="{00000000-0005-0000-0000-0000FDB60000}"/>
    <cellStyle name="Normal 12 3 4 2 2" xfId="7863" xr:uid="{00000000-0005-0000-0000-0000FEB60000}"/>
    <cellStyle name="Normal 12 3 4 2 3" xfId="13339" xr:uid="{00000000-0005-0000-0000-0000FFB60000}"/>
    <cellStyle name="Normal 12 3 4 2 4" xfId="18815" xr:uid="{00000000-0005-0000-0000-000000B70000}"/>
    <cellStyle name="Normal 12 3 4 2 5" xfId="24291" xr:uid="{00000000-0005-0000-0000-000001B70000}"/>
    <cellStyle name="Normal 12 3 4 2 6" xfId="36087" xr:uid="{00000000-0005-0000-0000-000002B70000}"/>
    <cellStyle name="Normal 12 3 4 2 7" xfId="41564" xr:uid="{00000000-0005-0000-0000-000003B70000}"/>
    <cellStyle name="Normal 12 3 4 2 8" xfId="47041" xr:uid="{00000000-0005-0000-0000-000004B70000}"/>
    <cellStyle name="Normal 12 3 4 2 9" xfId="52559" xr:uid="{00000000-0005-0000-0000-000005B70000}"/>
    <cellStyle name="Normal 12 3 4 3" xfId="4155" xr:uid="{00000000-0005-0000-0000-000006B70000}"/>
    <cellStyle name="Normal 12 3 4 3 2" xfId="9635" xr:uid="{00000000-0005-0000-0000-000007B70000}"/>
    <cellStyle name="Normal 12 3 4 3 3" xfId="15111" xr:uid="{00000000-0005-0000-0000-000008B70000}"/>
    <cellStyle name="Normal 12 3 4 3 4" xfId="20587" xr:uid="{00000000-0005-0000-0000-000009B70000}"/>
    <cellStyle name="Normal 12 3 4 3 5" xfId="26063" xr:uid="{00000000-0005-0000-0000-00000AB70000}"/>
    <cellStyle name="Normal 12 3 4 3 6" xfId="37859" xr:uid="{00000000-0005-0000-0000-00000BB70000}"/>
    <cellStyle name="Normal 12 3 4 3 7" xfId="43336" xr:uid="{00000000-0005-0000-0000-00000CB70000}"/>
    <cellStyle name="Normal 12 3 4 3 8" xfId="48813" xr:uid="{00000000-0005-0000-0000-00000DB70000}"/>
    <cellStyle name="Normal 12 3 4 3 9" xfId="54331" xr:uid="{00000000-0005-0000-0000-00000EB70000}"/>
    <cellStyle name="Normal 12 3 4 4" xfId="7086" xr:uid="{00000000-0005-0000-0000-00000FB70000}"/>
    <cellStyle name="Normal 12 3 4 5" xfId="12566" xr:uid="{00000000-0005-0000-0000-000010B70000}"/>
    <cellStyle name="Normal 12 3 4 6" xfId="18042" xr:uid="{00000000-0005-0000-0000-000011B70000}"/>
    <cellStyle name="Normal 12 3 4 7" xfId="23518" xr:uid="{00000000-0005-0000-0000-000012B70000}"/>
    <cellStyle name="Normal 12 3 4 8" xfId="35313" xr:uid="{00000000-0005-0000-0000-000013B70000}"/>
    <cellStyle name="Normal 12 3 4 9" xfId="40790" xr:uid="{00000000-0005-0000-0000-000014B70000}"/>
    <cellStyle name="Normal 12 3 5" xfId="794" xr:uid="{00000000-0005-0000-0000-000015B70000}"/>
    <cellStyle name="Normal 12 3 5 10" xfId="46268" xr:uid="{00000000-0005-0000-0000-000016B70000}"/>
    <cellStyle name="Normal 12 3 5 11" xfId="51747" xr:uid="{00000000-0005-0000-0000-000017B70000}"/>
    <cellStyle name="Normal 12 3 5 2" xfId="2555" xr:uid="{00000000-0005-0000-0000-000018B70000}"/>
    <cellStyle name="Normal 12 3 5 2 2" xfId="8035" xr:uid="{00000000-0005-0000-0000-000019B70000}"/>
    <cellStyle name="Normal 12 3 5 2 3" xfId="13511" xr:uid="{00000000-0005-0000-0000-00001AB70000}"/>
    <cellStyle name="Normal 12 3 5 2 4" xfId="18987" xr:uid="{00000000-0005-0000-0000-00001BB70000}"/>
    <cellStyle name="Normal 12 3 5 2 5" xfId="24463" xr:uid="{00000000-0005-0000-0000-00001CB70000}"/>
    <cellStyle name="Normal 12 3 5 2 6" xfId="36259" xr:uid="{00000000-0005-0000-0000-00001DB70000}"/>
    <cellStyle name="Normal 12 3 5 2 7" xfId="41736" xr:uid="{00000000-0005-0000-0000-00001EB70000}"/>
    <cellStyle name="Normal 12 3 5 2 8" xfId="47213" xr:uid="{00000000-0005-0000-0000-00001FB70000}"/>
    <cellStyle name="Normal 12 3 5 2 9" xfId="52731" xr:uid="{00000000-0005-0000-0000-000020B70000}"/>
    <cellStyle name="Normal 12 3 5 3" xfId="4327" xr:uid="{00000000-0005-0000-0000-000021B70000}"/>
    <cellStyle name="Normal 12 3 5 3 2" xfId="9807" xr:uid="{00000000-0005-0000-0000-000022B70000}"/>
    <cellStyle name="Normal 12 3 5 3 3" xfId="15283" xr:uid="{00000000-0005-0000-0000-000023B70000}"/>
    <cellStyle name="Normal 12 3 5 3 4" xfId="20759" xr:uid="{00000000-0005-0000-0000-000024B70000}"/>
    <cellStyle name="Normal 12 3 5 3 5" xfId="26235" xr:uid="{00000000-0005-0000-0000-000025B70000}"/>
    <cellStyle name="Normal 12 3 5 3 6" xfId="38031" xr:uid="{00000000-0005-0000-0000-000026B70000}"/>
    <cellStyle name="Normal 12 3 5 3 7" xfId="43508" xr:uid="{00000000-0005-0000-0000-000027B70000}"/>
    <cellStyle name="Normal 12 3 5 3 8" xfId="48985" xr:uid="{00000000-0005-0000-0000-000028B70000}"/>
    <cellStyle name="Normal 12 3 5 3 9" xfId="54503" xr:uid="{00000000-0005-0000-0000-000029B70000}"/>
    <cellStyle name="Normal 12 3 5 4" xfId="7087" xr:uid="{00000000-0005-0000-0000-00002AB70000}"/>
    <cellStyle name="Normal 12 3 5 5" xfId="12567" xr:uid="{00000000-0005-0000-0000-00002BB70000}"/>
    <cellStyle name="Normal 12 3 5 6" xfId="18043" xr:uid="{00000000-0005-0000-0000-00002CB70000}"/>
    <cellStyle name="Normal 12 3 5 7" xfId="23519" xr:uid="{00000000-0005-0000-0000-00002DB70000}"/>
    <cellStyle name="Normal 12 3 5 8" xfId="35314" xr:uid="{00000000-0005-0000-0000-00002EB70000}"/>
    <cellStyle name="Normal 12 3 5 9" xfId="40791" xr:uid="{00000000-0005-0000-0000-00002FB70000}"/>
    <cellStyle name="Normal 12 3 6" xfId="966" xr:uid="{00000000-0005-0000-0000-000030B70000}"/>
    <cellStyle name="Normal 12 3 6 10" xfId="46269" xr:uid="{00000000-0005-0000-0000-000031B70000}"/>
    <cellStyle name="Normal 12 3 6 11" xfId="51748" xr:uid="{00000000-0005-0000-0000-000032B70000}"/>
    <cellStyle name="Normal 12 3 6 2" xfId="2727" xr:uid="{00000000-0005-0000-0000-000033B70000}"/>
    <cellStyle name="Normal 12 3 6 2 2" xfId="8207" xr:uid="{00000000-0005-0000-0000-000034B70000}"/>
    <cellStyle name="Normal 12 3 6 2 3" xfId="13683" xr:uid="{00000000-0005-0000-0000-000035B70000}"/>
    <cellStyle name="Normal 12 3 6 2 4" xfId="19159" xr:uid="{00000000-0005-0000-0000-000036B70000}"/>
    <cellStyle name="Normal 12 3 6 2 5" xfId="24635" xr:uid="{00000000-0005-0000-0000-000037B70000}"/>
    <cellStyle name="Normal 12 3 6 2 6" xfId="36431" xr:uid="{00000000-0005-0000-0000-000038B70000}"/>
    <cellStyle name="Normal 12 3 6 2 7" xfId="41908" xr:uid="{00000000-0005-0000-0000-000039B70000}"/>
    <cellStyle name="Normal 12 3 6 2 8" xfId="47385" xr:uid="{00000000-0005-0000-0000-00003AB70000}"/>
    <cellStyle name="Normal 12 3 6 2 9" xfId="52903" xr:uid="{00000000-0005-0000-0000-00003BB70000}"/>
    <cellStyle name="Normal 12 3 6 3" xfId="4499" xr:uid="{00000000-0005-0000-0000-00003CB70000}"/>
    <cellStyle name="Normal 12 3 6 3 2" xfId="9979" xr:uid="{00000000-0005-0000-0000-00003DB70000}"/>
    <cellStyle name="Normal 12 3 6 3 3" xfId="15455" xr:uid="{00000000-0005-0000-0000-00003EB70000}"/>
    <cellStyle name="Normal 12 3 6 3 4" xfId="20931" xr:uid="{00000000-0005-0000-0000-00003FB70000}"/>
    <cellStyle name="Normal 12 3 6 3 5" xfId="26407" xr:uid="{00000000-0005-0000-0000-000040B70000}"/>
    <cellStyle name="Normal 12 3 6 3 6" xfId="38203" xr:uid="{00000000-0005-0000-0000-000041B70000}"/>
    <cellStyle name="Normal 12 3 6 3 7" xfId="43680" xr:uid="{00000000-0005-0000-0000-000042B70000}"/>
    <cellStyle name="Normal 12 3 6 3 8" xfId="49157" xr:uid="{00000000-0005-0000-0000-000043B70000}"/>
    <cellStyle name="Normal 12 3 6 3 9" xfId="54675" xr:uid="{00000000-0005-0000-0000-000044B70000}"/>
    <cellStyle name="Normal 12 3 6 4" xfId="7088" xr:uid="{00000000-0005-0000-0000-000045B70000}"/>
    <cellStyle name="Normal 12 3 6 5" xfId="12568" xr:uid="{00000000-0005-0000-0000-000046B70000}"/>
    <cellStyle name="Normal 12 3 6 6" xfId="18044" xr:uid="{00000000-0005-0000-0000-000047B70000}"/>
    <cellStyle name="Normal 12 3 6 7" xfId="23520" xr:uid="{00000000-0005-0000-0000-000048B70000}"/>
    <cellStyle name="Normal 12 3 6 8" xfId="35315" xr:uid="{00000000-0005-0000-0000-000049B70000}"/>
    <cellStyle name="Normal 12 3 6 9" xfId="40792" xr:uid="{00000000-0005-0000-0000-00004AB70000}"/>
    <cellStyle name="Normal 12 3 7" xfId="1172" xr:uid="{00000000-0005-0000-0000-00004BB70000}"/>
    <cellStyle name="Normal 12 3 7 10" xfId="46270" xr:uid="{00000000-0005-0000-0000-00004CB70000}"/>
    <cellStyle name="Normal 12 3 7 11" xfId="51749" xr:uid="{00000000-0005-0000-0000-00004DB70000}"/>
    <cellStyle name="Normal 12 3 7 2" xfId="2933" xr:uid="{00000000-0005-0000-0000-00004EB70000}"/>
    <cellStyle name="Normal 12 3 7 2 2" xfId="8413" xr:uid="{00000000-0005-0000-0000-00004FB70000}"/>
    <cellStyle name="Normal 12 3 7 2 3" xfId="13889" xr:uid="{00000000-0005-0000-0000-000050B70000}"/>
    <cellStyle name="Normal 12 3 7 2 4" xfId="19365" xr:uid="{00000000-0005-0000-0000-000051B70000}"/>
    <cellStyle name="Normal 12 3 7 2 5" xfId="24841" xr:uid="{00000000-0005-0000-0000-000052B70000}"/>
    <cellStyle name="Normal 12 3 7 2 6" xfId="36637" xr:uid="{00000000-0005-0000-0000-000053B70000}"/>
    <cellStyle name="Normal 12 3 7 2 7" xfId="42114" xr:uid="{00000000-0005-0000-0000-000054B70000}"/>
    <cellStyle name="Normal 12 3 7 2 8" xfId="47591" xr:uid="{00000000-0005-0000-0000-000055B70000}"/>
    <cellStyle name="Normal 12 3 7 2 9" xfId="53109" xr:uid="{00000000-0005-0000-0000-000056B70000}"/>
    <cellStyle name="Normal 12 3 7 3" xfId="4705" xr:uid="{00000000-0005-0000-0000-000057B70000}"/>
    <cellStyle name="Normal 12 3 7 3 2" xfId="10185" xr:uid="{00000000-0005-0000-0000-000058B70000}"/>
    <cellStyle name="Normal 12 3 7 3 3" xfId="15661" xr:uid="{00000000-0005-0000-0000-000059B70000}"/>
    <cellStyle name="Normal 12 3 7 3 4" xfId="21137" xr:uid="{00000000-0005-0000-0000-00005AB70000}"/>
    <cellStyle name="Normal 12 3 7 3 5" xfId="26613" xr:uid="{00000000-0005-0000-0000-00005BB70000}"/>
    <cellStyle name="Normal 12 3 7 3 6" xfId="38409" xr:uid="{00000000-0005-0000-0000-00005CB70000}"/>
    <cellStyle name="Normal 12 3 7 3 7" xfId="43886" xr:uid="{00000000-0005-0000-0000-00005DB70000}"/>
    <cellStyle name="Normal 12 3 7 3 8" xfId="49363" xr:uid="{00000000-0005-0000-0000-00005EB70000}"/>
    <cellStyle name="Normal 12 3 7 3 9" xfId="54881" xr:uid="{00000000-0005-0000-0000-00005FB70000}"/>
    <cellStyle name="Normal 12 3 7 4" xfId="7089" xr:uid="{00000000-0005-0000-0000-000060B70000}"/>
    <cellStyle name="Normal 12 3 7 5" xfId="12569" xr:uid="{00000000-0005-0000-0000-000061B70000}"/>
    <cellStyle name="Normal 12 3 7 6" xfId="18045" xr:uid="{00000000-0005-0000-0000-000062B70000}"/>
    <cellStyle name="Normal 12 3 7 7" xfId="23521" xr:uid="{00000000-0005-0000-0000-000063B70000}"/>
    <cellStyle name="Normal 12 3 7 8" xfId="35316" xr:uid="{00000000-0005-0000-0000-000064B70000}"/>
    <cellStyle name="Normal 12 3 7 9" xfId="40793" xr:uid="{00000000-0005-0000-0000-000065B70000}"/>
    <cellStyle name="Normal 12 3 8" xfId="1344" xr:uid="{00000000-0005-0000-0000-000066B70000}"/>
    <cellStyle name="Normal 12 3 8 10" xfId="46271" xr:uid="{00000000-0005-0000-0000-000067B70000}"/>
    <cellStyle name="Normal 12 3 8 11" xfId="51750" xr:uid="{00000000-0005-0000-0000-000068B70000}"/>
    <cellStyle name="Normal 12 3 8 2" xfId="3105" xr:uid="{00000000-0005-0000-0000-000069B70000}"/>
    <cellStyle name="Normal 12 3 8 2 2" xfId="8585" xr:uid="{00000000-0005-0000-0000-00006AB70000}"/>
    <cellStyle name="Normal 12 3 8 2 3" xfId="14061" xr:uid="{00000000-0005-0000-0000-00006BB70000}"/>
    <cellStyle name="Normal 12 3 8 2 4" xfId="19537" xr:uid="{00000000-0005-0000-0000-00006CB70000}"/>
    <cellStyle name="Normal 12 3 8 2 5" xfId="25013" xr:uid="{00000000-0005-0000-0000-00006DB70000}"/>
    <cellStyle name="Normal 12 3 8 2 6" xfId="36809" xr:uid="{00000000-0005-0000-0000-00006EB70000}"/>
    <cellStyle name="Normal 12 3 8 2 7" xfId="42286" xr:uid="{00000000-0005-0000-0000-00006FB70000}"/>
    <cellStyle name="Normal 12 3 8 2 8" xfId="47763" xr:uid="{00000000-0005-0000-0000-000070B70000}"/>
    <cellStyle name="Normal 12 3 8 2 9" xfId="53281" xr:uid="{00000000-0005-0000-0000-000071B70000}"/>
    <cellStyle name="Normal 12 3 8 3" xfId="4877" xr:uid="{00000000-0005-0000-0000-000072B70000}"/>
    <cellStyle name="Normal 12 3 8 3 2" xfId="10357" xr:uid="{00000000-0005-0000-0000-000073B70000}"/>
    <cellStyle name="Normal 12 3 8 3 3" xfId="15833" xr:uid="{00000000-0005-0000-0000-000074B70000}"/>
    <cellStyle name="Normal 12 3 8 3 4" xfId="21309" xr:uid="{00000000-0005-0000-0000-000075B70000}"/>
    <cellStyle name="Normal 12 3 8 3 5" xfId="26785" xr:uid="{00000000-0005-0000-0000-000076B70000}"/>
    <cellStyle name="Normal 12 3 8 3 6" xfId="38581" xr:uid="{00000000-0005-0000-0000-000077B70000}"/>
    <cellStyle name="Normal 12 3 8 3 7" xfId="44058" xr:uid="{00000000-0005-0000-0000-000078B70000}"/>
    <cellStyle name="Normal 12 3 8 3 8" xfId="49535" xr:uid="{00000000-0005-0000-0000-000079B70000}"/>
    <cellStyle name="Normal 12 3 8 3 9" xfId="55053" xr:uid="{00000000-0005-0000-0000-00007AB70000}"/>
    <cellStyle name="Normal 12 3 8 4" xfId="7090" xr:uid="{00000000-0005-0000-0000-00007BB70000}"/>
    <cellStyle name="Normal 12 3 8 5" xfId="12570" xr:uid="{00000000-0005-0000-0000-00007CB70000}"/>
    <cellStyle name="Normal 12 3 8 6" xfId="18046" xr:uid="{00000000-0005-0000-0000-00007DB70000}"/>
    <cellStyle name="Normal 12 3 8 7" xfId="23522" xr:uid="{00000000-0005-0000-0000-00007EB70000}"/>
    <cellStyle name="Normal 12 3 8 8" xfId="35317" xr:uid="{00000000-0005-0000-0000-00007FB70000}"/>
    <cellStyle name="Normal 12 3 8 9" xfId="40794" xr:uid="{00000000-0005-0000-0000-000080B70000}"/>
    <cellStyle name="Normal 12 3 9" xfId="1516" xr:uid="{00000000-0005-0000-0000-000081B70000}"/>
    <cellStyle name="Normal 12 3 9 10" xfId="46272" xr:uid="{00000000-0005-0000-0000-000082B70000}"/>
    <cellStyle name="Normal 12 3 9 11" xfId="51751" xr:uid="{00000000-0005-0000-0000-000083B70000}"/>
    <cellStyle name="Normal 12 3 9 2" xfId="3277" xr:uid="{00000000-0005-0000-0000-000084B70000}"/>
    <cellStyle name="Normal 12 3 9 2 2" xfId="8757" xr:uid="{00000000-0005-0000-0000-000085B70000}"/>
    <cellStyle name="Normal 12 3 9 2 3" xfId="14233" xr:uid="{00000000-0005-0000-0000-000086B70000}"/>
    <cellStyle name="Normal 12 3 9 2 4" xfId="19709" xr:uid="{00000000-0005-0000-0000-000087B70000}"/>
    <cellStyle name="Normal 12 3 9 2 5" xfId="25185" xr:uid="{00000000-0005-0000-0000-000088B70000}"/>
    <cellStyle name="Normal 12 3 9 2 6" xfId="36981" xr:uid="{00000000-0005-0000-0000-000089B70000}"/>
    <cellStyle name="Normal 12 3 9 2 7" xfId="42458" xr:uid="{00000000-0005-0000-0000-00008AB70000}"/>
    <cellStyle name="Normal 12 3 9 2 8" xfId="47935" xr:uid="{00000000-0005-0000-0000-00008BB70000}"/>
    <cellStyle name="Normal 12 3 9 2 9" xfId="53453" xr:uid="{00000000-0005-0000-0000-00008CB70000}"/>
    <cellStyle name="Normal 12 3 9 3" xfId="5049" xr:uid="{00000000-0005-0000-0000-00008DB70000}"/>
    <cellStyle name="Normal 12 3 9 3 2" xfId="10529" xr:uid="{00000000-0005-0000-0000-00008EB70000}"/>
    <cellStyle name="Normal 12 3 9 3 3" xfId="16005" xr:uid="{00000000-0005-0000-0000-00008FB70000}"/>
    <cellStyle name="Normal 12 3 9 3 4" xfId="21481" xr:uid="{00000000-0005-0000-0000-000090B70000}"/>
    <cellStyle name="Normal 12 3 9 3 5" xfId="26957" xr:uid="{00000000-0005-0000-0000-000091B70000}"/>
    <cellStyle name="Normal 12 3 9 3 6" xfId="38753" xr:uid="{00000000-0005-0000-0000-000092B70000}"/>
    <cellStyle name="Normal 12 3 9 3 7" xfId="44230" xr:uid="{00000000-0005-0000-0000-000093B70000}"/>
    <cellStyle name="Normal 12 3 9 3 8" xfId="49707" xr:uid="{00000000-0005-0000-0000-000094B70000}"/>
    <cellStyle name="Normal 12 3 9 3 9" xfId="55225" xr:uid="{00000000-0005-0000-0000-000095B70000}"/>
    <cellStyle name="Normal 12 3 9 4" xfId="7091" xr:uid="{00000000-0005-0000-0000-000096B70000}"/>
    <cellStyle name="Normal 12 3 9 5" xfId="12571" xr:uid="{00000000-0005-0000-0000-000097B70000}"/>
    <cellStyle name="Normal 12 3 9 6" xfId="18047" xr:uid="{00000000-0005-0000-0000-000098B70000}"/>
    <cellStyle name="Normal 12 3 9 7" xfId="23523" xr:uid="{00000000-0005-0000-0000-000099B70000}"/>
    <cellStyle name="Normal 12 3 9 8" xfId="35318" xr:uid="{00000000-0005-0000-0000-00009AB70000}"/>
    <cellStyle name="Normal 12 3 9 9" xfId="40795" xr:uid="{00000000-0005-0000-0000-00009BB70000}"/>
    <cellStyle name="Normal 12 4" xfId="161" xr:uid="{00000000-0005-0000-0000-00009CB70000}"/>
    <cellStyle name="Normal 12 4 10" xfId="1690" xr:uid="{00000000-0005-0000-0000-00009DB70000}"/>
    <cellStyle name="Normal 12 4 10 10" xfId="46274" xr:uid="{00000000-0005-0000-0000-00009EB70000}"/>
    <cellStyle name="Normal 12 4 10 11" xfId="51753" xr:uid="{00000000-0005-0000-0000-00009FB70000}"/>
    <cellStyle name="Normal 12 4 10 2" xfId="3451" xr:uid="{00000000-0005-0000-0000-0000A0B70000}"/>
    <cellStyle name="Normal 12 4 10 2 2" xfId="8931" xr:uid="{00000000-0005-0000-0000-0000A1B70000}"/>
    <cellStyle name="Normal 12 4 10 2 3" xfId="14407" xr:uid="{00000000-0005-0000-0000-0000A2B70000}"/>
    <cellStyle name="Normal 12 4 10 2 4" xfId="19883" xr:uid="{00000000-0005-0000-0000-0000A3B70000}"/>
    <cellStyle name="Normal 12 4 10 2 5" xfId="25359" xr:uid="{00000000-0005-0000-0000-0000A4B70000}"/>
    <cellStyle name="Normal 12 4 10 2 6" xfId="37155" xr:uid="{00000000-0005-0000-0000-0000A5B70000}"/>
    <cellStyle name="Normal 12 4 10 2 7" xfId="42632" xr:uid="{00000000-0005-0000-0000-0000A6B70000}"/>
    <cellStyle name="Normal 12 4 10 2 8" xfId="48109" xr:uid="{00000000-0005-0000-0000-0000A7B70000}"/>
    <cellStyle name="Normal 12 4 10 2 9" xfId="53627" xr:uid="{00000000-0005-0000-0000-0000A8B70000}"/>
    <cellStyle name="Normal 12 4 10 3" xfId="5223" xr:uid="{00000000-0005-0000-0000-0000A9B70000}"/>
    <cellStyle name="Normal 12 4 10 3 2" xfId="10703" xr:uid="{00000000-0005-0000-0000-0000AAB70000}"/>
    <cellStyle name="Normal 12 4 10 3 3" xfId="16179" xr:uid="{00000000-0005-0000-0000-0000ABB70000}"/>
    <cellStyle name="Normal 12 4 10 3 4" xfId="21655" xr:uid="{00000000-0005-0000-0000-0000ACB70000}"/>
    <cellStyle name="Normal 12 4 10 3 5" xfId="27131" xr:uid="{00000000-0005-0000-0000-0000ADB70000}"/>
    <cellStyle name="Normal 12 4 10 3 6" xfId="38927" xr:uid="{00000000-0005-0000-0000-0000AEB70000}"/>
    <cellStyle name="Normal 12 4 10 3 7" xfId="44404" xr:uid="{00000000-0005-0000-0000-0000AFB70000}"/>
    <cellStyle name="Normal 12 4 10 3 8" xfId="49881" xr:uid="{00000000-0005-0000-0000-0000B0B70000}"/>
    <cellStyle name="Normal 12 4 10 3 9" xfId="55399" xr:uid="{00000000-0005-0000-0000-0000B1B70000}"/>
    <cellStyle name="Normal 12 4 10 4" xfId="7093" xr:uid="{00000000-0005-0000-0000-0000B2B70000}"/>
    <cellStyle name="Normal 12 4 10 5" xfId="12573" xr:uid="{00000000-0005-0000-0000-0000B3B70000}"/>
    <cellStyle name="Normal 12 4 10 6" xfId="18049" xr:uid="{00000000-0005-0000-0000-0000B4B70000}"/>
    <cellStyle name="Normal 12 4 10 7" xfId="23525" xr:uid="{00000000-0005-0000-0000-0000B5B70000}"/>
    <cellStyle name="Normal 12 4 10 8" xfId="35320" xr:uid="{00000000-0005-0000-0000-0000B6B70000}"/>
    <cellStyle name="Normal 12 4 10 9" xfId="40797" xr:uid="{00000000-0005-0000-0000-0000B7B70000}"/>
    <cellStyle name="Normal 12 4 11" xfId="1881" xr:uid="{00000000-0005-0000-0000-0000B8B70000}"/>
    <cellStyle name="Normal 12 4 11 10" xfId="46275" xr:uid="{00000000-0005-0000-0000-0000B9B70000}"/>
    <cellStyle name="Normal 12 4 11 11" xfId="51754" xr:uid="{00000000-0005-0000-0000-0000BAB70000}"/>
    <cellStyle name="Normal 12 4 11 2" xfId="3642" xr:uid="{00000000-0005-0000-0000-0000BBB70000}"/>
    <cellStyle name="Normal 12 4 11 2 2" xfId="9122" xr:uid="{00000000-0005-0000-0000-0000BCB70000}"/>
    <cellStyle name="Normal 12 4 11 2 3" xfId="14598" xr:uid="{00000000-0005-0000-0000-0000BDB70000}"/>
    <cellStyle name="Normal 12 4 11 2 4" xfId="20074" xr:uid="{00000000-0005-0000-0000-0000BEB70000}"/>
    <cellStyle name="Normal 12 4 11 2 5" xfId="25550" xr:uid="{00000000-0005-0000-0000-0000BFB70000}"/>
    <cellStyle name="Normal 12 4 11 2 6" xfId="37346" xr:uid="{00000000-0005-0000-0000-0000C0B70000}"/>
    <cellStyle name="Normal 12 4 11 2 7" xfId="42823" xr:uid="{00000000-0005-0000-0000-0000C1B70000}"/>
    <cellStyle name="Normal 12 4 11 2 8" xfId="48300" xr:uid="{00000000-0005-0000-0000-0000C2B70000}"/>
    <cellStyle name="Normal 12 4 11 2 9" xfId="53818" xr:uid="{00000000-0005-0000-0000-0000C3B70000}"/>
    <cellStyle name="Normal 12 4 11 3" xfId="5414" xr:uid="{00000000-0005-0000-0000-0000C4B70000}"/>
    <cellStyle name="Normal 12 4 11 3 2" xfId="10894" xr:uid="{00000000-0005-0000-0000-0000C5B70000}"/>
    <cellStyle name="Normal 12 4 11 3 3" xfId="16370" xr:uid="{00000000-0005-0000-0000-0000C6B70000}"/>
    <cellStyle name="Normal 12 4 11 3 4" xfId="21846" xr:uid="{00000000-0005-0000-0000-0000C7B70000}"/>
    <cellStyle name="Normal 12 4 11 3 5" xfId="27322" xr:uid="{00000000-0005-0000-0000-0000C8B70000}"/>
    <cellStyle name="Normal 12 4 11 3 6" xfId="39118" xr:uid="{00000000-0005-0000-0000-0000C9B70000}"/>
    <cellStyle name="Normal 12 4 11 3 7" xfId="44595" xr:uid="{00000000-0005-0000-0000-0000CAB70000}"/>
    <cellStyle name="Normal 12 4 11 3 8" xfId="50072" xr:uid="{00000000-0005-0000-0000-0000CBB70000}"/>
    <cellStyle name="Normal 12 4 11 3 9" xfId="55590" xr:uid="{00000000-0005-0000-0000-0000CCB70000}"/>
    <cellStyle name="Normal 12 4 11 4" xfId="7094" xr:uid="{00000000-0005-0000-0000-0000CDB70000}"/>
    <cellStyle name="Normal 12 4 11 5" xfId="12574" xr:uid="{00000000-0005-0000-0000-0000CEB70000}"/>
    <cellStyle name="Normal 12 4 11 6" xfId="18050" xr:uid="{00000000-0005-0000-0000-0000CFB70000}"/>
    <cellStyle name="Normal 12 4 11 7" xfId="23526" xr:uid="{00000000-0005-0000-0000-0000D0B70000}"/>
    <cellStyle name="Normal 12 4 11 8" xfId="35321" xr:uid="{00000000-0005-0000-0000-0000D1B70000}"/>
    <cellStyle name="Normal 12 4 11 9" xfId="40798" xr:uid="{00000000-0005-0000-0000-0000D2B70000}"/>
    <cellStyle name="Normal 12 4 12" xfId="2052" xr:uid="{00000000-0005-0000-0000-0000D3B70000}"/>
    <cellStyle name="Normal 12 4 12 10" xfId="52229" xr:uid="{00000000-0005-0000-0000-0000D4B70000}"/>
    <cellStyle name="Normal 12 4 12 2" xfId="5584" xr:uid="{00000000-0005-0000-0000-0000D5B70000}"/>
    <cellStyle name="Normal 12 4 12 2 2" xfId="11064" xr:uid="{00000000-0005-0000-0000-0000D6B70000}"/>
    <cellStyle name="Normal 12 4 12 2 3" xfId="16540" xr:uid="{00000000-0005-0000-0000-0000D7B70000}"/>
    <cellStyle name="Normal 12 4 12 2 4" xfId="22016" xr:uid="{00000000-0005-0000-0000-0000D8B70000}"/>
    <cellStyle name="Normal 12 4 12 2 5" xfId="27492" xr:uid="{00000000-0005-0000-0000-0000D9B70000}"/>
    <cellStyle name="Normal 12 4 12 2 6" xfId="39288" xr:uid="{00000000-0005-0000-0000-0000DAB70000}"/>
    <cellStyle name="Normal 12 4 12 2 7" xfId="44765" xr:uid="{00000000-0005-0000-0000-0000DBB70000}"/>
    <cellStyle name="Normal 12 4 12 2 8" xfId="50242" xr:uid="{00000000-0005-0000-0000-0000DCB70000}"/>
    <cellStyle name="Normal 12 4 12 2 9" xfId="55760" xr:uid="{00000000-0005-0000-0000-0000DDB70000}"/>
    <cellStyle name="Normal 12 4 12 3" xfId="7533" xr:uid="{00000000-0005-0000-0000-0000DEB70000}"/>
    <cellStyle name="Normal 12 4 12 4" xfId="13009" xr:uid="{00000000-0005-0000-0000-0000DFB70000}"/>
    <cellStyle name="Normal 12 4 12 5" xfId="18485" xr:uid="{00000000-0005-0000-0000-0000E0B70000}"/>
    <cellStyle name="Normal 12 4 12 6" xfId="23961" xr:uid="{00000000-0005-0000-0000-0000E1B70000}"/>
    <cellStyle name="Normal 12 4 12 7" xfId="35757" xr:uid="{00000000-0005-0000-0000-0000E2B70000}"/>
    <cellStyle name="Normal 12 4 12 8" xfId="41234" xr:uid="{00000000-0005-0000-0000-0000E3B70000}"/>
    <cellStyle name="Normal 12 4 12 9" xfId="46711" xr:uid="{00000000-0005-0000-0000-0000E4B70000}"/>
    <cellStyle name="Normal 12 4 13" xfId="3733" xr:uid="{00000000-0005-0000-0000-0000E5B70000}"/>
    <cellStyle name="Normal 12 4 13 2" xfId="9213" xr:uid="{00000000-0005-0000-0000-0000E6B70000}"/>
    <cellStyle name="Normal 12 4 13 3" xfId="14689" xr:uid="{00000000-0005-0000-0000-0000E7B70000}"/>
    <cellStyle name="Normal 12 4 13 4" xfId="20165" xr:uid="{00000000-0005-0000-0000-0000E8B70000}"/>
    <cellStyle name="Normal 12 4 13 5" xfId="25641" xr:uid="{00000000-0005-0000-0000-0000E9B70000}"/>
    <cellStyle name="Normal 12 4 13 6" xfId="37437" xr:uid="{00000000-0005-0000-0000-0000EAB70000}"/>
    <cellStyle name="Normal 12 4 13 7" xfId="42914" xr:uid="{00000000-0005-0000-0000-0000EBB70000}"/>
    <cellStyle name="Normal 12 4 13 8" xfId="48391" xr:uid="{00000000-0005-0000-0000-0000ECB70000}"/>
    <cellStyle name="Normal 12 4 13 9" xfId="53909" xr:uid="{00000000-0005-0000-0000-0000EDB70000}"/>
    <cellStyle name="Normal 12 4 14" xfId="7092" xr:uid="{00000000-0005-0000-0000-0000EEB70000}"/>
    <cellStyle name="Normal 12 4 15" xfId="12572" xr:uid="{00000000-0005-0000-0000-0000EFB70000}"/>
    <cellStyle name="Normal 12 4 16" xfId="18048" xr:uid="{00000000-0005-0000-0000-0000F0B70000}"/>
    <cellStyle name="Normal 12 4 17" xfId="23524" xr:uid="{00000000-0005-0000-0000-0000F1B70000}"/>
    <cellStyle name="Normal 12 4 18" xfId="35319" xr:uid="{00000000-0005-0000-0000-0000F2B70000}"/>
    <cellStyle name="Normal 12 4 19" xfId="40796" xr:uid="{00000000-0005-0000-0000-0000F3B70000}"/>
    <cellStyle name="Normal 12 4 2" xfId="253" xr:uid="{00000000-0005-0000-0000-0000F4B70000}"/>
    <cellStyle name="Normal 12 4 2 10" xfId="1882" xr:uid="{00000000-0005-0000-0000-0000F5B70000}"/>
    <cellStyle name="Normal 12 4 2 10 10" xfId="46277" xr:uid="{00000000-0005-0000-0000-0000F6B70000}"/>
    <cellStyle name="Normal 12 4 2 10 11" xfId="51756" xr:uid="{00000000-0005-0000-0000-0000F7B70000}"/>
    <cellStyle name="Normal 12 4 2 10 2" xfId="3643" xr:uid="{00000000-0005-0000-0000-0000F8B70000}"/>
    <cellStyle name="Normal 12 4 2 10 2 2" xfId="9123" xr:uid="{00000000-0005-0000-0000-0000F9B70000}"/>
    <cellStyle name="Normal 12 4 2 10 2 3" xfId="14599" xr:uid="{00000000-0005-0000-0000-0000FAB70000}"/>
    <cellStyle name="Normal 12 4 2 10 2 4" xfId="20075" xr:uid="{00000000-0005-0000-0000-0000FBB70000}"/>
    <cellStyle name="Normal 12 4 2 10 2 5" xfId="25551" xr:uid="{00000000-0005-0000-0000-0000FCB70000}"/>
    <cellStyle name="Normal 12 4 2 10 2 6" xfId="37347" xr:uid="{00000000-0005-0000-0000-0000FDB70000}"/>
    <cellStyle name="Normal 12 4 2 10 2 7" xfId="42824" xr:uid="{00000000-0005-0000-0000-0000FEB70000}"/>
    <cellStyle name="Normal 12 4 2 10 2 8" xfId="48301" xr:uid="{00000000-0005-0000-0000-0000FFB70000}"/>
    <cellStyle name="Normal 12 4 2 10 2 9" xfId="53819" xr:uid="{00000000-0005-0000-0000-000000B80000}"/>
    <cellStyle name="Normal 12 4 2 10 3" xfId="5415" xr:uid="{00000000-0005-0000-0000-000001B80000}"/>
    <cellStyle name="Normal 12 4 2 10 3 2" xfId="10895" xr:uid="{00000000-0005-0000-0000-000002B80000}"/>
    <cellStyle name="Normal 12 4 2 10 3 3" xfId="16371" xr:uid="{00000000-0005-0000-0000-000003B80000}"/>
    <cellStyle name="Normal 12 4 2 10 3 4" xfId="21847" xr:uid="{00000000-0005-0000-0000-000004B80000}"/>
    <cellStyle name="Normal 12 4 2 10 3 5" xfId="27323" xr:uid="{00000000-0005-0000-0000-000005B80000}"/>
    <cellStyle name="Normal 12 4 2 10 3 6" xfId="39119" xr:uid="{00000000-0005-0000-0000-000006B80000}"/>
    <cellStyle name="Normal 12 4 2 10 3 7" xfId="44596" xr:uid="{00000000-0005-0000-0000-000007B80000}"/>
    <cellStyle name="Normal 12 4 2 10 3 8" xfId="50073" xr:uid="{00000000-0005-0000-0000-000008B80000}"/>
    <cellStyle name="Normal 12 4 2 10 3 9" xfId="55591" xr:uid="{00000000-0005-0000-0000-000009B80000}"/>
    <cellStyle name="Normal 12 4 2 10 4" xfId="7096" xr:uid="{00000000-0005-0000-0000-00000AB80000}"/>
    <cellStyle name="Normal 12 4 2 10 5" xfId="12576" xr:uid="{00000000-0005-0000-0000-00000BB80000}"/>
    <cellStyle name="Normal 12 4 2 10 6" xfId="18052" xr:uid="{00000000-0005-0000-0000-00000CB80000}"/>
    <cellStyle name="Normal 12 4 2 10 7" xfId="23528" xr:uid="{00000000-0005-0000-0000-00000DB80000}"/>
    <cellStyle name="Normal 12 4 2 10 8" xfId="35323" xr:uid="{00000000-0005-0000-0000-00000EB80000}"/>
    <cellStyle name="Normal 12 4 2 10 9" xfId="40800" xr:uid="{00000000-0005-0000-0000-00000FB80000}"/>
    <cellStyle name="Normal 12 4 2 11" xfId="2053" xr:uid="{00000000-0005-0000-0000-000010B80000}"/>
    <cellStyle name="Normal 12 4 2 11 10" xfId="52230" xr:uid="{00000000-0005-0000-0000-000011B80000}"/>
    <cellStyle name="Normal 12 4 2 11 2" xfId="5585" xr:uid="{00000000-0005-0000-0000-000012B80000}"/>
    <cellStyle name="Normal 12 4 2 11 2 2" xfId="11065" xr:uid="{00000000-0005-0000-0000-000013B80000}"/>
    <cellStyle name="Normal 12 4 2 11 2 3" xfId="16541" xr:uid="{00000000-0005-0000-0000-000014B80000}"/>
    <cellStyle name="Normal 12 4 2 11 2 4" xfId="22017" xr:uid="{00000000-0005-0000-0000-000015B80000}"/>
    <cellStyle name="Normal 12 4 2 11 2 5" xfId="27493" xr:uid="{00000000-0005-0000-0000-000016B80000}"/>
    <cellStyle name="Normal 12 4 2 11 2 6" xfId="39289" xr:uid="{00000000-0005-0000-0000-000017B80000}"/>
    <cellStyle name="Normal 12 4 2 11 2 7" xfId="44766" xr:uid="{00000000-0005-0000-0000-000018B80000}"/>
    <cellStyle name="Normal 12 4 2 11 2 8" xfId="50243" xr:uid="{00000000-0005-0000-0000-000019B80000}"/>
    <cellStyle name="Normal 12 4 2 11 2 9" xfId="55761" xr:uid="{00000000-0005-0000-0000-00001AB80000}"/>
    <cellStyle name="Normal 12 4 2 11 3" xfId="7534" xr:uid="{00000000-0005-0000-0000-00001BB80000}"/>
    <cellStyle name="Normal 12 4 2 11 4" xfId="13010" xr:uid="{00000000-0005-0000-0000-00001CB80000}"/>
    <cellStyle name="Normal 12 4 2 11 5" xfId="18486" xr:uid="{00000000-0005-0000-0000-00001DB80000}"/>
    <cellStyle name="Normal 12 4 2 11 6" xfId="23962" xr:uid="{00000000-0005-0000-0000-00001EB80000}"/>
    <cellStyle name="Normal 12 4 2 11 7" xfId="35758" xr:uid="{00000000-0005-0000-0000-00001FB80000}"/>
    <cellStyle name="Normal 12 4 2 11 8" xfId="41235" xr:uid="{00000000-0005-0000-0000-000020B80000}"/>
    <cellStyle name="Normal 12 4 2 11 9" xfId="46712" xr:uid="{00000000-0005-0000-0000-000021B80000}"/>
    <cellStyle name="Normal 12 4 2 12" xfId="3819" xr:uid="{00000000-0005-0000-0000-000022B80000}"/>
    <cellStyle name="Normal 12 4 2 12 2" xfId="9299" xr:uid="{00000000-0005-0000-0000-000023B80000}"/>
    <cellStyle name="Normal 12 4 2 12 3" xfId="14775" xr:uid="{00000000-0005-0000-0000-000024B80000}"/>
    <cellStyle name="Normal 12 4 2 12 4" xfId="20251" xr:uid="{00000000-0005-0000-0000-000025B80000}"/>
    <cellStyle name="Normal 12 4 2 12 5" xfId="25727" xr:uid="{00000000-0005-0000-0000-000026B80000}"/>
    <cellStyle name="Normal 12 4 2 12 6" xfId="37523" xr:uid="{00000000-0005-0000-0000-000027B80000}"/>
    <cellStyle name="Normal 12 4 2 12 7" xfId="43000" xr:uid="{00000000-0005-0000-0000-000028B80000}"/>
    <cellStyle name="Normal 12 4 2 12 8" xfId="48477" xr:uid="{00000000-0005-0000-0000-000029B80000}"/>
    <cellStyle name="Normal 12 4 2 12 9" xfId="53995" xr:uid="{00000000-0005-0000-0000-00002AB80000}"/>
    <cellStyle name="Normal 12 4 2 13" xfId="7095" xr:uid="{00000000-0005-0000-0000-00002BB80000}"/>
    <cellStyle name="Normal 12 4 2 14" xfId="12575" xr:uid="{00000000-0005-0000-0000-00002CB80000}"/>
    <cellStyle name="Normal 12 4 2 15" xfId="18051" xr:uid="{00000000-0005-0000-0000-00002DB80000}"/>
    <cellStyle name="Normal 12 4 2 16" xfId="23527" xr:uid="{00000000-0005-0000-0000-00002EB80000}"/>
    <cellStyle name="Normal 12 4 2 17" xfId="35322" xr:uid="{00000000-0005-0000-0000-00002FB80000}"/>
    <cellStyle name="Normal 12 4 2 18" xfId="40799" xr:uid="{00000000-0005-0000-0000-000030B80000}"/>
    <cellStyle name="Normal 12 4 2 19" xfId="46276" xr:uid="{00000000-0005-0000-0000-000031B80000}"/>
    <cellStyle name="Normal 12 4 2 2" xfId="448" xr:uid="{00000000-0005-0000-0000-000032B80000}"/>
    <cellStyle name="Normal 12 4 2 2 10" xfId="46278" xr:uid="{00000000-0005-0000-0000-000033B80000}"/>
    <cellStyle name="Normal 12 4 2 2 11" xfId="51757" xr:uid="{00000000-0005-0000-0000-000034B80000}"/>
    <cellStyle name="Normal 12 4 2 2 2" xfId="2214" xr:uid="{00000000-0005-0000-0000-000035B80000}"/>
    <cellStyle name="Normal 12 4 2 2 2 2" xfId="7694" xr:uid="{00000000-0005-0000-0000-000036B80000}"/>
    <cellStyle name="Normal 12 4 2 2 2 3" xfId="13170" xr:uid="{00000000-0005-0000-0000-000037B80000}"/>
    <cellStyle name="Normal 12 4 2 2 2 4" xfId="18646" xr:uid="{00000000-0005-0000-0000-000038B80000}"/>
    <cellStyle name="Normal 12 4 2 2 2 5" xfId="24122" xr:uid="{00000000-0005-0000-0000-000039B80000}"/>
    <cellStyle name="Normal 12 4 2 2 2 6" xfId="35918" xr:uid="{00000000-0005-0000-0000-00003AB80000}"/>
    <cellStyle name="Normal 12 4 2 2 2 7" xfId="41395" xr:uid="{00000000-0005-0000-0000-00003BB80000}"/>
    <cellStyle name="Normal 12 4 2 2 2 8" xfId="46872" xr:uid="{00000000-0005-0000-0000-00003CB80000}"/>
    <cellStyle name="Normal 12 4 2 2 2 9" xfId="52390" xr:uid="{00000000-0005-0000-0000-00003DB80000}"/>
    <cellStyle name="Normal 12 4 2 2 3" xfId="3986" xr:uid="{00000000-0005-0000-0000-00003EB80000}"/>
    <cellStyle name="Normal 12 4 2 2 3 2" xfId="9466" xr:uid="{00000000-0005-0000-0000-00003FB80000}"/>
    <cellStyle name="Normal 12 4 2 2 3 3" xfId="14942" xr:uid="{00000000-0005-0000-0000-000040B80000}"/>
    <cellStyle name="Normal 12 4 2 2 3 4" xfId="20418" xr:uid="{00000000-0005-0000-0000-000041B80000}"/>
    <cellStyle name="Normal 12 4 2 2 3 5" xfId="25894" xr:uid="{00000000-0005-0000-0000-000042B80000}"/>
    <cellStyle name="Normal 12 4 2 2 3 6" xfId="37690" xr:uid="{00000000-0005-0000-0000-000043B80000}"/>
    <cellStyle name="Normal 12 4 2 2 3 7" xfId="43167" xr:uid="{00000000-0005-0000-0000-000044B80000}"/>
    <cellStyle name="Normal 12 4 2 2 3 8" xfId="48644" xr:uid="{00000000-0005-0000-0000-000045B80000}"/>
    <cellStyle name="Normal 12 4 2 2 3 9" xfId="54162" xr:uid="{00000000-0005-0000-0000-000046B80000}"/>
    <cellStyle name="Normal 12 4 2 2 4" xfId="7097" xr:uid="{00000000-0005-0000-0000-000047B80000}"/>
    <cellStyle name="Normal 12 4 2 2 5" xfId="12577" xr:uid="{00000000-0005-0000-0000-000048B80000}"/>
    <cellStyle name="Normal 12 4 2 2 6" xfId="18053" xr:uid="{00000000-0005-0000-0000-000049B80000}"/>
    <cellStyle name="Normal 12 4 2 2 7" xfId="23529" xr:uid="{00000000-0005-0000-0000-00004AB80000}"/>
    <cellStyle name="Normal 12 4 2 2 8" xfId="35324" xr:uid="{00000000-0005-0000-0000-00004BB80000}"/>
    <cellStyle name="Normal 12 4 2 2 9" xfId="40801" xr:uid="{00000000-0005-0000-0000-00004CB80000}"/>
    <cellStyle name="Normal 12 4 2 20" xfId="51755" xr:uid="{00000000-0005-0000-0000-00004DB80000}"/>
    <cellStyle name="Normal 12 4 2 3" xfId="625" xr:uid="{00000000-0005-0000-0000-00004EB80000}"/>
    <cellStyle name="Normal 12 4 2 3 10" xfId="46279" xr:uid="{00000000-0005-0000-0000-00004FB80000}"/>
    <cellStyle name="Normal 12 4 2 3 11" xfId="51758" xr:uid="{00000000-0005-0000-0000-000050B80000}"/>
    <cellStyle name="Normal 12 4 2 3 2" xfId="2386" xr:uid="{00000000-0005-0000-0000-000051B80000}"/>
    <cellStyle name="Normal 12 4 2 3 2 2" xfId="7866" xr:uid="{00000000-0005-0000-0000-000052B80000}"/>
    <cellStyle name="Normal 12 4 2 3 2 3" xfId="13342" xr:uid="{00000000-0005-0000-0000-000053B80000}"/>
    <cellStyle name="Normal 12 4 2 3 2 4" xfId="18818" xr:uid="{00000000-0005-0000-0000-000054B80000}"/>
    <cellStyle name="Normal 12 4 2 3 2 5" xfId="24294" xr:uid="{00000000-0005-0000-0000-000055B80000}"/>
    <cellStyle name="Normal 12 4 2 3 2 6" xfId="36090" xr:uid="{00000000-0005-0000-0000-000056B80000}"/>
    <cellStyle name="Normal 12 4 2 3 2 7" xfId="41567" xr:uid="{00000000-0005-0000-0000-000057B80000}"/>
    <cellStyle name="Normal 12 4 2 3 2 8" xfId="47044" xr:uid="{00000000-0005-0000-0000-000058B80000}"/>
    <cellStyle name="Normal 12 4 2 3 2 9" xfId="52562" xr:uid="{00000000-0005-0000-0000-000059B80000}"/>
    <cellStyle name="Normal 12 4 2 3 3" xfId="4158" xr:uid="{00000000-0005-0000-0000-00005AB80000}"/>
    <cellStyle name="Normal 12 4 2 3 3 2" xfId="9638" xr:uid="{00000000-0005-0000-0000-00005BB80000}"/>
    <cellStyle name="Normal 12 4 2 3 3 3" xfId="15114" xr:uid="{00000000-0005-0000-0000-00005CB80000}"/>
    <cellStyle name="Normal 12 4 2 3 3 4" xfId="20590" xr:uid="{00000000-0005-0000-0000-00005DB80000}"/>
    <cellStyle name="Normal 12 4 2 3 3 5" xfId="26066" xr:uid="{00000000-0005-0000-0000-00005EB80000}"/>
    <cellStyle name="Normal 12 4 2 3 3 6" xfId="37862" xr:uid="{00000000-0005-0000-0000-00005FB80000}"/>
    <cellStyle name="Normal 12 4 2 3 3 7" xfId="43339" xr:uid="{00000000-0005-0000-0000-000060B80000}"/>
    <cellStyle name="Normal 12 4 2 3 3 8" xfId="48816" xr:uid="{00000000-0005-0000-0000-000061B80000}"/>
    <cellStyle name="Normal 12 4 2 3 3 9" xfId="54334" xr:uid="{00000000-0005-0000-0000-000062B80000}"/>
    <cellStyle name="Normal 12 4 2 3 4" xfId="7098" xr:uid="{00000000-0005-0000-0000-000063B80000}"/>
    <cellStyle name="Normal 12 4 2 3 5" xfId="12578" xr:uid="{00000000-0005-0000-0000-000064B80000}"/>
    <cellStyle name="Normal 12 4 2 3 6" xfId="18054" xr:uid="{00000000-0005-0000-0000-000065B80000}"/>
    <cellStyle name="Normal 12 4 2 3 7" xfId="23530" xr:uid="{00000000-0005-0000-0000-000066B80000}"/>
    <cellStyle name="Normal 12 4 2 3 8" xfId="35325" xr:uid="{00000000-0005-0000-0000-000067B80000}"/>
    <cellStyle name="Normal 12 4 2 3 9" xfId="40802" xr:uid="{00000000-0005-0000-0000-000068B80000}"/>
    <cellStyle name="Normal 12 4 2 4" xfId="797" xr:uid="{00000000-0005-0000-0000-000069B80000}"/>
    <cellStyle name="Normal 12 4 2 4 10" xfId="46280" xr:uid="{00000000-0005-0000-0000-00006AB80000}"/>
    <cellStyle name="Normal 12 4 2 4 11" xfId="51759" xr:uid="{00000000-0005-0000-0000-00006BB80000}"/>
    <cellStyle name="Normal 12 4 2 4 2" xfId="2558" xr:uid="{00000000-0005-0000-0000-00006CB80000}"/>
    <cellStyle name="Normal 12 4 2 4 2 2" xfId="8038" xr:uid="{00000000-0005-0000-0000-00006DB80000}"/>
    <cellStyle name="Normal 12 4 2 4 2 3" xfId="13514" xr:uid="{00000000-0005-0000-0000-00006EB80000}"/>
    <cellStyle name="Normal 12 4 2 4 2 4" xfId="18990" xr:uid="{00000000-0005-0000-0000-00006FB80000}"/>
    <cellStyle name="Normal 12 4 2 4 2 5" xfId="24466" xr:uid="{00000000-0005-0000-0000-000070B80000}"/>
    <cellStyle name="Normal 12 4 2 4 2 6" xfId="36262" xr:uid="{00000000-0005-0000-0000-000071B80000}"/>
    <cellStyle name="Normal 12 4 2 4 2 7" xfId="41739" xr:uid="{00000000-0005-0000-0000-000072B80000}"/>
    <cellStyle name="Normal 12 4 2 4 2 8" xfId="47216" xr:uid="{00000000-0005-0000-0000-000073B80000}"/>
    <cellStyle name="Normal 12 4 2 4 2 9" xfId="52734" xr:uid="{00000000-0005-0000-0000-000074B80000}"/>
    <cellStyle name="Normal 12 4 2 4 3" xfId="4330" xr:uid="{00000000-0005-0000-0000-000075B80000}"/>
    <cellStyle name="Normal 12 4 2 4 3 2" xfId="9810" xr:uid="{00000000-0005-0000-0000-000076B80000}"/>
    <cellStyle name="Normal 12 4 2 4 3 3" xfId="15286" xr:uid="{00000000-0005-0000-0000-000077B80000}"/>
    <cellStyle name="Normal 12 4 2 4 3 4" xfId="20762" xr:uid="{00000000-0005-0000-0000-000078B80000}"/>
    <cellStyle name="Normal 12 4 2 4 3 5" xfId="26238" xr:uid="{00000000-0005-0000-0000-000079B80000}"/>
    <cellStyle name="Normal 12 4 2 4 3 6" xfId="38034" xr:uid="{00000000-0005-0000-0000-00007AB80000}"/>
    <cellStyle name="Normal 12 4 2 4 3 7" xfId="43511" xr:uid="{00000000-0005-0000-0000-00007BB80000}"/>
    <cellStyle name="Normal 12 4 2 4 3 8" xfId="48988" xr:uid="{00000000-0005-0000-0000-00007CB80000}"/>
    <cellStyle name="Normal 12 4 2 4 3 9" xfId="54506" xr:uid="{00000000-0005-0000-0000-00007DB80000}"/>
    <cellStyle name="Normal 12 4 2 4 4" xfId="7099" xr:uid="{00000000-0005-0000-0000-00007EB80000}"/>
    <cellStyle name="Normal 12 4 2 4 5" xfId="12579" xr:uid="{00000000-0005-0000-0000-00007FB80000}"/>
    <cellStyle name="Normal 12 4 2 4 6" xfId="18055" xr:uid="{00000000-0005-0000-0000-000080B80000}"/>
    <cellStyle name="Normal 12 4 2 4 7" xfId="23531" xr:uid="{00000000-0005-0000-0000-000081B80000}"/>
    <cellStyle name="Normal 12 4 2 4 8" xfId="35326" xr:uid="{00000000-0005-0000-0000-000082B80000}"/>
    <cellStyle name="Normal 12 4 2 4 9" xfId="40803" xr:uid="{00000000-0005-0000-0000-000083B80000}"/>
    <cellStyle name="Normal 12 4 2 5" xfId="969" xr:uid="{00000000-0005-0000-0000-000084B80000}"/>
    <cellStyle name="Normal 12 4 2 5 10" xfId="46281" xr:uid="{00000000-0005-0000-0000-000085B80000}"/>
    <cellStyle name="Normal 12 4 2 5 11" xfId="51760" xr:uid="{00000000-0005-0000-0000-000086B80000}"/>
    <cellStyle name="Normal 12 4 2 5 2" xfId="2730" xr:uid="{00000000-0005-0000-0000-000087B80000}"/>
    <cellStyle name="Normal 12 4 2 5 2 2" xfId="8210" xr:uid="{00000000-0005-0000-0000-000088B80000}"/>
    <cellStyle name="Normal 12 4 2 5 2 3" xfId="13686" xr:uid="{00000000-0005-0000-0000-000089B80000}"/>
    <cellStyle name="Normal 12 4 2 5 2 4" xfId="19162" xr:uid="{00000000-0005-0000-0000-00008AB80000}"/>
    <cellStyle name="Normal 12 4 2 5 2 5" xfId="24638" xr:uid="{00000000-0005-0000-0000-00008BB80000}"/>
    <cellStyle name="Normal 12 4 2 5 2 6" xfId="36434" xr:uid="{00000000-0005-0000-0000-00008CB80000}"/>
    <cellStyle name="Normal 12 4 2 5 2 7" xfId="41911" xr:uid="{00000000-0005-0000-0000-00008DB80000}"/>
    <cellStyle name="Normal 12 4 2 5 2 8" xfId="47388" xr:uid="{00000000-0005-0000-0000-00008EB80000}"/>
    <cellStyle name="Normal 12 4 2 5 2 9" xfId="52906" xr:uid="{00000000-0005-0000-0000-00008FB80000}"/>
    <cellStyle name="Normal 12 4 2 5 3" xfId="4502" xr:uid="{00000000-0005-0000-0000-000090B80000}"/>
    <cellStyle name="Normal 12 4 2 5 3 2" xfId="9982" xr:uid="{00000000-0005-0000-0000-000091B80000}"/>
    <cellStyle name="Normal 12 4 2 5 3 3" xfId="15458" xr:uid="{00000000-0005-0000-0000-000092B80000}"/>
    <cellStyle name="Normal 12 4 2 5 3 4" xfId="20934" xr:uid="{00000000-0005-0000-0000-000093B80000}"/>
    <cellStyle name="Normal 12 4 2 5 3 5" xfId="26410" xr:uid="{00000000-0005-0000-0000-000094B80000}"/>
    <cellStyle name="Normal 12 4 2 5 3 6" xfId="38206" xr:uid="{00000000-0005-0000-0000-000095B80000}"/>
    <cellStyle name="Normal 12 4 2 5 3 7" xfId="43683" xr:uid="{00000000-0005-0000-0000-000096B80000}"/>
    <cellStyle name="Normal 12 4 2 5 3 8" xfId="49160" xr:uid="{00000000-0005-0000-0000-000097B80000}"/>
    <cellStyle name="Normal 12 4 2 5 3 9" xfId="54678" xr:uid="{00000000-0005-0000-0000-000098B80000}"/>
    <cellStyle name="Normal 12 4 2 5 4" xfId="7100" xr:uid="{00000000-0005-0000-0000-000099B80000}"/>
    <cellStyle name="Normal 12 4 2 5 5" xfId="12580" xr:uid="{00000000-0005-0000-0000-00009AB80000}"/>
    <cellStyle name="Normal 12 4 2 5 6" xfId="18056" xr:uid="{00000000-0005-0000-0000-00009BB80000}"/>
    <cellStyle name="Normal 12 4 2 5 7" xfId="23532" xr:uid="{00000000-0005-0000-0000-00009CB80000}"/>
    <cellStyle name="Normal 12 4 2 5 8" xfId="35327" xr:uid="{00000000-0005-0000-0000-00009DB80000}"/>
    <cellStyle name="Normal 12 4 2 5 9" xfId="40804" xr:uid="{00000000-0005-0000-0000-00009EB80000}"/>
    <cellStyle name="Normal 12 4 2 6" xfId="1175" xr:uid="{00000000-0005-0000-0000-00009FB80000}"/>
    <cellStyle name="Normal 12 4 2 6 10" xfId="46282" xr:uid="{00000000-0005-0000-0000-0000A0B80000}"/>
    <cellStyle name="Normal 12 4 2 6 11" xfId="51761" xr:uid="{00000000-0005-0000-0000-0000A1B80000}"/>
    <cellStyle name="Normal 12 4 2 6 2" xfId="2936" xr:uid="{00000000-0005-0000-0000-0000A2B80000}"/>
    <cellStyle name="Normal 12 4 2 6 2 2" xfId="8416" xr:uid="{00000000-0005-0000-0000-0000A3B80000}"/>
    <cellStyle name="Normal 12 4 2 6 2 3" xfId="13892" xr:uid="{00000000-0005-0000-0000-0000A4B80000}"/>
    <cellStyle name="Normal 12 4 2 6 2 4" xfId="19368" xr:uid="{00000000-0005-0000-0000-0000A5B80000}"/>
    <cellStyle name="Normal 12 4 2 6 2 5" xfId="24844" xr:uid="{00000000-0005-0000-0000-0000A6B80000}"/>
    <cellStyle name="Normal 12 4 2 6 2 6" xfId="36640" xr:uid="{00000000-0005-0000-0000-0000A7B80000}"/>
    <cellStyle name="Normal 12 4 2 6 2 7" xfId="42117" xr:uid="{00000000-0005-0000-0000-0000A8B80000}"/>
    <cellStyle name="Normal 12 4 2 6 2 8" xfId="47594" xr:uid="{00000000-0005-0000-0000-0000A9B80000}"/>
    <cellStyle name="Normal 12 4 2 6 2 9" xfId="53112" xr:uid="{00000000-0005-0000-0000-0000AAB80000}"/>
    <cellStyle name="Normal 12 4 2 6 3" xfId="4708" xr:uid="{00000000-0005-0000-0000-0000ABB80000}"/>
    <cellStyle name="Normal 12 4 2 6 3 2" xfId="10188" xr:uid="{00000000-0005-0000-0000-0000ACB80000}"/>
    <cellStyle name="Normal 12 4 2 6 3 3" xfId="15664" xr:uid="{00000000-0005-0000-0000-0000ADB80000}"/>
    <cellStyle name="Normal 12 4 2 6 3 4" xfId="21140" xr:uid="{00000000-0005-0000-0000-0000AEB80000}"/>
    <cellStyle name="Normal 12 4 2 6 3 5" xfId="26616" xr:uid="{00000000-0005-0000-0000-0000AFB80000}"/>
    <cellStyle name="Normal 12 4 2 6 3 6" xfId="38412" xr:uid="{00000000-0005-0000-0000-0000B0B80000}"/>
    <cellStyle name="Normal 12 4 2 6 3 7" xfId="43889" xr:uid="{00000000-0005-0000-0000-0000B1B80000}"/>
    <cellStyle name="Normal 12 4 2 6 3 8" xfId="49366" xr:uid="{00000000-0005-0000-0000-0000B2B80000}"/>
    <cellStyle name="Normal 12 4 2 6 3 9" xfId="54884" xr:uid="{00000000-0005-0000-0000-0000B3B80000}"/>
    <cellStyle name="Normal 12 4 2 6 4" xfId="7101" xr:uid="{00000000-0005-0000-0000-0000B4B80000}"/>
    <cellStyle name="Normal 12 4 2 6 5" xfId="12581" xr:uid="{00000000-0005-0000-0000-0000B5B80000}"/>
    <cellStyle name="Normal 12 4 2 6 6" xfId="18057" xr:uid="{00000000-0005-0000-0000-0000B6B80000}"/>
    <cellStyle name="Normal 12 4 2 6 7" xfId="23533" xr:uid="{00000000-0005-0000-0000-0000B7B80000}"/>
    <cellStyle name="Normal 12 4 2 6 8" xfId="35328" xr:uid="{00000000-0005-0000-0000-0000B8B80000}"/>
    <cellStyle name="Normal 12 4 2 6 9" xfId="40805" xr:uid="{00000000-0005-0000-0000-0000B9B80000}"/>
    <cellStyle name="Normal 12 4 2 7" xfId="1347" xr:uid="{00000000-0005-0000-0000-0000BAB80000}"/>
    <cellStyle name="Normal 12 4 2 7 10" xfId="46283" xr:uid="{00000000-0005-0000-0000-0000BBB80000}"/>
    <cellStyle name="Normal 12 4 2 7 11" xfId="51762" xr:uid="{00000000-0005-0000-0000-0000BCB80000}"/>
    <cellStyle name="Normal 12 4 2 7 2" xfId="3108" xr:uid="{00000000-0005-0000-0000-0000BDB80000}"/>
    <cellStyle name="Normal 12 4 2 7 2 2" xfId="8588" xr:uid="{00000000-0005-0000-0000-0000BEB80000}"/>
    <cellStyle name="Normal 12 4 2 7 2 3" xfId="14064" xr:uid="{00000000-0005-0000-0000-0000BFB80000}"/>
    <cellStyle name="Normal 12 4 2 7 2 4" xfId="19540" xr:uid="{00000000-0005-0000-0000-0000C0B80000}"/>
    <cellStyle name="Normal 12 4 2 7 2 5" xfId="25016" xr:uid="{00000000-0005-0000-0000-0000C1B80000}"/>
    <cellStyle name="Normal 12 4 2 7 2 6" xfId="36812" xr:uid="{00000000-0005-0000-0000-0000C2B80000}"/>
    <cellStyle name="Normal 12 4 2 7 2 7" xfId="42289" xr:uid="{00000000-0005-0000-0000-0000C3B80000}"/>
    <cellStyle name="Normal 12 4 2 7 2 8" xfId="47766" xr:uid="{00000000-0005-0000-0000-0000C4B80000}"/>
    <cellStyle name="Normal 12 4 2 7 2 9" xfId="53284" xr:uid="{00000000-0005-0000-0000-0000C5B80000}"/>
    <cellStyle name="Normal 12 4 2 7 3" xfId="4880" xr:uid="{00000000-0005-0000-0000-0000C6B80000}"/>
    <cellStyle name="Normal 12 4 2 7 3 2" xfId="10360" xr:uid="{00000000-0005-0000-0000-0000C7B80000}"/>
    <cellStyle name="Normal 12 4 2 7 3 3" xfId="15836" xr:uid="{00000000-0005-0000-0000-0000C8B80000}"/>
    <cellStyle name="Normal 12 4 2 7 3 4" xfId="21312" xr:uid="{00000000-0005-0000-0000-0000C9B80000}"/>
    <cellStyle name="Normal 12 4 2 7 3 5" xfId="26788" xr:uid="{00000000-0005-0000-0000-0000CAB80000}"/>
    <cellStyle name="Normal 12 4 2 7 3 6" xfId="38584" xr:uid="{00000000-0005-0000-0000-0000CBB80000}"/>
    <cellStyle name="Normal 12 4 2 7 3 7" xfId="44061" xr:uid="{00000000-0005-0000-0000-0000CCB80000}"/>
    <cellStyle name="Normal 12 4 2 7 3 8" xfId="49538" xr:uid="{00000000-0005-0000-0000-0000CDB80000}"/>
    <cellStyle name="Normal 12 4 2 7 3 9" xfId="55056" xr:uid="{00000000-0005-0000-0000-0000CEB80000}"/>
    <cellStyle name="Normal 12 4 2 7 4" xfId="7102" xr:uid="{00000000-0005-0000-0000-0000CFB80000}"/>
    <cellStyle name="Normal 12 4 2 7 5" xfId="12582" xr:uid="{00000000-0005-0000-0000-0000D0B80000}"/>
    <cellStyle name="Normal 12 4 2 7 6" xfId="18058" xr:uid="{00000000-0005-0000-0000-0000D1B80000}"/>
    <cellStyle name="Normal 12 4 2 7 7" xfId="23534" xr:uid="{00000000-0005-0000-0000-0000D2B80000}"/>
    <cellStyle name="Normal 12 4 2 7 8" xfId="35329" xr:uid="{00000000-0005-0000-0000-0000D3B80000}"/>
    <cellStyle name="Normal 12 4 2 7 9" xfId="40806" xr:uid="{00000000-0005-0000-0000-0000D4B80000}"/>
    <cellStyle name="Normal 12 4 2 8" xfId="1519" xr:uid="{00000000-0005-0000-0000-0000D5B80000}"/>
    <cellStyle name="Normal 12 4 2 8 10" xfId="46284" xr:uid="{00000000-0005-0000-0000-0000D6B80000}"/>
    <cellStyle name="Normal 12 4 2 8 11" xfId="51763" xr:uid="{00000000-0005-0000-0000-0000D7B80000}"/>
    <cellStyle name="Normal 12 4 2 8 2" xfId="3280" xr:uid="{00000000-0005-0000-0000-0000D8B80000}"/>
    <cellStyle name="Normal 12 4 2 8 2 2" xfId="8760" xr:uid="{00000000-0005-0000-0000-0000D9B80000}"/>
    <cellStyle name="Normal 12 4 2 8 2 3" xfId="14236" xr:uid="{00000000-0005-0000-0000-0000DAB80000}"/>
    <cellStyle name="Normal 12 4 2 8 2 4" xfId="19712" xr:uid="{00000000-0005-0000-0000-0000DBB80000}"/>
    <cellStyle name="Normal 12 4 2 8 2 5" xfId="25188" xr:uid="{00000000-0005-0000-0000-0000DCB80000}"/>
    <cellStyle name="Normal 12 4 2 8 2 6" xfId="36984" xr:uid="{00000000-0005-0000-0000-0000DDB80000}"/>
    <cellStyle name="Normal 12 4 2 8 2 7" xfId="42461" xr:uid="{00000000-0005-0000-0000-0000DEB80000}"/>
    <cellStyle name="Normal 12 4 2 8 2 8" xfId="47938" xr:uid="{00000000-0005-0000-0000-0000DFB80000}"/>
    <cellStyle name="Normal 12 4 2 8 2 9" xfId="53456" xr:uid="{00000000-0005-0000-0000-0000E0B80000}"/>
    <cellStyle name="Normal 12 4 2 8 3" xfId="5052" xr:uid="{00000000-0005-0000-0000-0000E1B80000}"/>
    <cellStyle name="Normal 12 4 2 8 3 2" xfId="10532" xr:uid="{00000000-0005-0000-0000-0000E2B80000}"/>
    <cellStyle name="Normal 12 4 2 8 3 3" xfId="16008" xr:uid="{00000000-0005-0000-0000-0000E3B80000}"/>
    <cellStyle name="Normal 12 4 2 8 3 4" xfId="21484" xr:uid="{00000000-0005-0000-0000-0000E4B80000}"/>
    <cellStyle name="Normal 12 4 2 8 3 5" xfId="26960" xr:uid="{00000000-0005-0000-0000-0000E5B80000}"/>
    <cellStyle name="Normal 12 4 2 8 3 6" xfId="38756" xr:uid="{00000000-0005-0000-0000-0000E6B80000}"/>
    <cellStyle name="Normal 12 4 2 8 3 7" xfId="44233" xr:uid="{00000000-0005-0000-0000-0000E7B80000}"/>
    <cellStyle name="Normal 12 4 2 8 3 8" xfId="49710" xr:uid="{00000000-0005-0000-0000-0000E8B80000}"/>
    <cellStyle name="Normal 12 4 2 8 3 9" xfId="55228" xr:uid="{00000000-0005-0000-0000-0000E9B80000}"/>
    <cellStyle name="Normal 12 4 2 8 4" xfId="7103" xr:uid="{00000000-0005-0000-0000-0000EAB80000}"/>
    <cellStyle name="Normal 12 4 2 8 5" xfId="12583" xr:uid="{00000000-0005-0000-0000-0000EBB80000}"/>
    <cellStyle name="Normal 12 4 2 8 6" xfId="18059" xr:uid="{00000000-0005-0000-0000-0000ECB80000}"/>
    <cellStyle name="Normal 12 4 2 8 7" xfId="23535" xr:uid="{00000000-0005-0000-0000-0000EDB80000}"/>
    <cellStyle name="Normal 12 4 2 8 8" xfId="35330" xr:uid="{00000000-0005-0000-0000-0000EEB80000}"/>
    <cellStyle name="Normal 12 4 2 8 9" xfId="40807" xr:uid="{00000000-0005-0000-0000-0000EFB80000}"/>
    <cellStyle name="Normal 12 4 2 9" xfId="1691" xr:uid="{00000000-0005-0000-0000-0000F0B80000}"/>
    <cellStyle name="Normal 12 4 2 9 10" xfId="46285" xr:uid="{00000000-0005-0000-0000-0000F1B80000}"/>
    <cellStyle name="Normal 12 4 2 9 11" xfId="51764" xr:uid="{00000000-0005-0000-0000-0000F2B80000}"/>
    <cellStyle name="Normal 12 4 2 9 2" xfId="3452" xr:uid="{00000000-0005-0000-0000-0000F3B80000}"/>
    <cellStyle name="Normal 12 4 2 9 2 2" xfId="8932" xr:uid="{00000000-0005-0000-0000-0000F4B80000}"/>
    <cellStyle name="Normal 12 4 2 9 2 3" xfId="14408" xr:uid="{00000000-0005-0000-0000-0000F5B80000}"/>
    <cellStyle name="Normal 12 4 2 9 2 4" xfId="19884" xr:uid="{00000000-0005-0000-0000-0000F6B80000}"/>
    <cellStyle name="Normal 12 4 2 9 2 5" xfId="25360" xr:uid="{00000000-0005-0000-0000-0000F7B80000}"/>
    <cellStyle name="Normal 12 4 2 9 2 6" xfId="37156" xr:uid="{00000000-0005-0000-0000-0000F8B80000}"/>
    <cellStyle name="Normal 12 4 2 9 2 7" xfId="42633" xr:uid="{00000000-0005-0000-0000-0000F9B80000}"/>
    <cellStyle name="Normal 12 4 2 9 2 8" xfId="48110" xr:uid="{00000000-0005-0000-0000-0000FAB80000}"/>
    <cellStyle name="Normal 12 4 2 9 2 9" xfId="53628" xr:uid="{00000000-0005-0000-0000-0000FBB80000}"/>
    <cellStyle name="Normal 12 4 2 9 3" xfId="5224" xr:uid="{00000000-0005-0000-0000-0000FCB80000}"/>
    <cellStyle name="Normal 12 4 2 9 3 2" xfId="10704" xr:uid="{00000000-0005-0000-0000-0000FDB80000}"/>
    <cellStyle name="Normal 12 4 2 9 3 3" xfId="16180" xr:uid="{00000000-0005-0000-0000-0000FEB80000}"/>
    <cellStyle name="Normal 12 4 2 9 3 4" xfId="21656" xr:uid="{00000000-0005-0000-0000-0000FFB80000}"/>
    <cellStyle name="Normal 12 4 2 9 3 5" xfId="27132" xr:uid="{00000000-0005-0000-0000-000000B90000}"/>
    <cellStyle name="Normal 12 4 2 9 3 6" xfId="38928" xr:uid="{00000000-0005-0000-0000-000001B90000}"/>
    <cellStyle name="Normal 12 4 2 9 3 7" xfId="44405" xr:uid="{00000000-0005-0000-0000-000002B90000}"/>
    <cellStyle name="Normal 12 4 2 9 3 8" xfId="49882" xr:uid="{00000000-0005-0000-0000-000003B90000}"/>
    <cellStyle name="Normal 12 4 2 9 3 9" xfId="55400" xr:uid="{00000000-0005-0000-0000-000004B90000}"/>
    <cellStyle name="Normal 12 4 2 9 4" xfId="7104" xr:uid="{00000000-0005-0000-0000-000005B90000}"/>
    <cellStyle name="Normal 12 4 2 9 5" xfId="12584" xr:uid="{00000000-0005-0000-0000-000006B90000}"/>
    <cellStyle name="Normal 12 4 2 9 6" xfId="18060" xr:uid="{00000000-0005-0000-0000-000007B90000}"/>
    <cellStyle name="Normal 12 4 2 9 7" xfId="23536" xr:uid="{00000000-0005-0000-0000-000008B90000}"/>
    <cellStyle name="Normal 12 4 2 9 8" xfId="35331" xr:uid="{00000000-0005-0000-0000-000009B90000}"/>
    <cellStyle name="Normal 12 4 2 9 9" xfId="40808" xr:uid="{00000000-0005-0000-0000-00000AB90000}"/>
    <cellStyle name="Normal 12 4 20" xfId="46273" xr:uid="{00000000-0005-0000-0000-00000BB90000}"/>
    <cellStyle name="Normal 12 4 21" xfId="51752" xr:uid="{00000000-0005-0000-0000-00000CB90000}"/>
    <cellStyle name="Normal 12 4 3" xfId="447" xr:uid="{00000000-0005-0000-0000-00000DB90000}"/>
    <cellStyle name="Normal 12 4 3 10" xfId="46286" xr:uid="{00000000-0005-0000-0000-00000EB90000}"/>
    <cellStyle name="Normal 12 4 3 11" xfId="51765" xr:uid="{00000000-0005-0000-0000-00000FB90000}"/>
    <cellStyle name="Normal 12 4 3 2" xfId="2213" xr:uid="{00000000-0005-0000-0000-000010B90000}"/>
    <cellStyle name="Normal 12 4 3 2 2" xfId="7693" xr:uid="{00000000-0005-0000-0000-000011B90000}"/>
    <cellStyle name="Normal 12 4 3 2 3" xfId="13169" xr:uid="{00000000-0005-0000-0000-000012B90000}"/>
    <cellStyle name="Normal 12 4 3 2 4" xfId="18645" xr:uid="{00000000-0005-0000-0000-000013B90000}"/>
    <cellStyle name="Normal 12 4 3 2 5" xfId="24121" xr:uid="{00000000-0005-0000-0000-000014B90000}"/>
    <cellStyle name="Normal 12 4 3 2 6" xfId="35917" xr:uid="{00000000-0005-0000-0000-000015B90000}"/>
    <cellStyle name="Normal 12 4 3 2 7" xfId="41394" xr:uid="{00000000-0005-0000-0000-000016B90000}"/>
    <cellStyle name="Normal 12 4 3 2 8" xfId="46871" xr:uid="{00000000-0005-0000-0000-000017B90000}"/>
    <cellStyle name="Normal 12 4 3 2 9" xfId="52389" xr:uid="{00000000-0005-0000-0000-000018B90000}"/>
    <cellStyle name="Normal 12 4 3 3" xfId="3985" xr:uid="{00000000-0005-0000-0000-000019B90000}"/>
    <cellStyle name="Normal 12 4 3 3 2" xfId="9465" xr:uid="{00000000-0005-0000-0000-00001AB90000}"/>
    <cellStyle name="Normal 12 4 3 3 3" xfId="14941" xr:uid="{00000000-0005-0000-0000-00001BB90000}"/>
    <cellStyle name="Normal 12 4 3 3 4" xfId="20417" xr:uid="{00000000-0005-0000-0000-00001CB90000}"/>
    <cellStyle name="Normal 12 4 3 3 5" xfId="25893" xr:uid="{00000000-0005-0000-0000-00001DB90000}"/>
    <cellStyle name="Normal 12 4 3 3 6" xfId="37689" xr:uid="{00000000-0005-0000-0000-00001EB90000}"/>
    <cellStyle name="Normal 12 4 3 3 7" xfId="43166" xr:uid="{00000000-0005-0000-0000-00001FB90000}"/>
    <cellStyle name="Normal 12 4 3 3 8" xfId="48643" xr:uid="{00000000-0005-0000-0000-000020B90000}"/>
    <cellStyle name="Normal 12 4 3 3 9" xfId="54161" xr:uid="{00000000-0005-0000-0000-000021B90000}"/>
    <cellStyle name="Normal 12 4 3 4" xfId="7105" xr:uid="{00000000-0005-0000-0000-000022B90000}"/>
    <cellStyle name="Normal 12 4 3 5" xfId="12585" xr:uid="{00000000-0005-0000-0000-000023B90000}"/>
    <cellStyle name="Normal 12 4 3 6" xfId="18061" xr:uid="{00000000-0005-0000-0000-000024B90000}"/>
    <cellStyle name="Normal 12 4 3 7" xfId="23537" xr:uid="{00000000-0005-0000-0000-000025B90000}"/>
    <cellStyle name="Normal 12 4 3 8" xfId="35332" xr:uid="{00000000-0005-0000-0000-000026B90000}"/>
    <cellStyle name="Normal 12 4 3 9" xfId="40809" xr:uid="{00000000-0005-0000-0000-000027B90000}"/>
    <cellStyle name="Normal 12 4 4" xfId="624" xr:uid="{00000000-0005-0000-0000-000028B90000}"/>
    <cellStyle name="Normal 12 4 4 10" xfId="46287" xr:uid="{00000000-0005-0000-0000-000029B90000}"/>
    <cellStyle name="Normal 12 4 4 11" xfId="51766" xr:uid="{00000000-0005-0000-0000-00002AB90000}"/>
    <cellStyle name="Normal 12 4 4 2" xfId="2385" xr:uid="{00000000-0005-0000-0000-00002BB90000}"/>
    <cellStyle name="Normal 12 4 4 2 2" xfId="7865" xr:uid="{00000000-0005-0000-0000-00002CB90000}"/>
    <cellStyle name="Normal 12 4 4 2 3" xfId="13341" xr:uid="{00000000-0005-0000-0000-00002DB90000}"/>
    <cellStyle name="Normal 12 4 4 2 4" xfId="18817" xr:uid="{00000000-0005-0000-0000-00002EB90000}"/>
    <cellStyle name="Normal 12 4 4 2 5" xfId="24293" xr:uid="{00000000-0005-0000-0000-00002FB90000}"/>
    <cellStyle name="Normal 12 4 4 2 6" xfId="36089" xr:uid="{00000000-0005-0000-0000-000030B90000}"/>
    <cellStyle name="Normal 12 4 4 2 7" xfId="41566" xr:uid="{00000000-0005-0000-0000-000031B90000}"/>
    <cellStyle name="Normal 12 4 4 2 8" xfId="47043" xr:uid="{00000000-0005-0000-0000-000032B90000}"/>
    <cellStyle name="Normal 12 4 4 2 9" xfId="52561" xr:uid="{00000000-0005-0000-0000-000033B90000}"/>
    <cellStyle name="Normal 12 4 4 3" xfId="4157" xr:uid="{00000000-0005-0000-0000-000034B90000}"/>
    <cellStyle name="Normal 12 4 4 3 2" xfId="9637" xr:uid="{00000000-0005-0000-0000-000035B90000}"/>
    <cellStyle name="Normal 12 4 4 3 3" xfId="15113" xr:uid="{00000000-0005-0000-0000-000036B90000}"/>
    <cellStyle name="Normal 12 4 4 3 4" xfId="20589" xr:uid="{00000000-0005-0000-0000-000037B90000}"/>
    <cellStyle name="Normal 12 4 4 3 5" xfId="26065" xr:uid="{00000000-0005-0000-0000-000038B90000}"/>
    <cellStyle name="Normal 12 4 4 3 6" xfId="37861" xr:uid="{00000000-0005-0000-0000-000039B90000}"/>
    <cellStyle name="Normal 12 4 4 3 7" xfId="43338" xr:uid="{00000000-0005-0000-0000-00003AB90000}"/>
    <cellStyle name="Normal 12 4 4 3 8" xfId="48815" xr:uid="{00000000-0005-0000-0000-00003BB90000}"/>
    <cellStyle name="Normal 12 4 4 3 9" xfId="54333" xr:uid="{00000000-0005-0000-0000-00003CB90000}"/>
    <cellStyle name="Normal 12 4 4 4" xfId="7106" xr:uid="{00000000-0005-0000-0000-00003DB90000}"/>
    <cellStyle name="Normal 12 4 4 5" xfId="12586" xr:uid="{00000000-0005-0000-0000-00003EB90000}"/>
    <cellStyle name="Normal 12 4 4 6" xfId="18062" xr:uid="{00000000-0005-0000-0000-00003FB90000}"/>
    <cellStyle name="Normal 12 4 4 7" xfId="23538" xr:uid="{00000000-0005-0000-0000-000040B90000}"/>
    <cellStyle name="Normal 12 4 4 8" xfId="35333" xr:uid="{00000000-0005-0000-0000-000041B90000}"/>
    <cellStyle name="Normal 12 4 4 9" xfId="40810" xr:uid="{00000000-0005-0000-0000-000042B90000}"/>
    <cellStyle name="Normal 12 4 5" xfId="796" xr:uid="{00000000-0005-0000-0000-000043B90000}"/>
    <cellStyle name="Normal 12 4 5 10" xfId="46288" xr:uid="{00000000-0005-0000-0000-000044B90000}"/>
    <cellStyle name="Normal 12 4 5 11" xfId="51767" xr:uid="{00000000-0005-0000-0000-000045B90000}"/>
    <cellStyle name="Normal 12 4 5 2" xfId="2557" xr:uid="{00000000-0005-0000-0000-000046B90000}"/>
    <cellStyle name="Normal 12 4 5 2 2" xfId="8037" xr:uid="{00000000-0005-0000-0000-000047B90000}"/>
    <cellStyle name="Normal 12 4 5 2 3" xfId="13513" xr:uid="{00000000-0005-0000-0000-000048B90000}"/>
    <cellStyle name="Normal 12 4 5 2 4" xfId="18989" xr:uid="{00000000-0005-0000-0000-000049B90000}"/>
    <cellStyle name="Normal 12 4 5 2 5" xfId="24465" xr:uid="{00000000-0005-0000-0000-00004AB90000}"/>
    <cellStyle name="Normal 12 4 5 2 6" xfId="36261" xr:uid="{00000000-0005-0000-0000-00004BB90000}"/>
    <cellStyle name="Normal 12 4 5 2 7" xfId="41738" xr:uid="{00000000-0005-0000-0000-00004CB90000}"/>
    <cellStyle name="Normal 12 4 5 2 8" xfId="47215" xr:uid="{00000000-0005-0000-0000-00004DB90000}"/>
    <cellStyle name="Normal 12 4 5 2 9" xfId="52733" xr:uid="{00000000-0005-0000-0000-00004EB90000}"/>
    <cellStyle name="Normal 12 4 5 3" xfId="4329" xr:uid="{00000000-0005-0000-0000-00004FB90000}"/>
    <cellStyle name="Normal 12 4 5 3 2" xfId="9809" xr:uid="{00000000-0005-0000-0000-000050B90000}"/>
    <cellStyle name="Normal 12 4 5 3 3" xfId="15285" xr:uid="{00000000-0005-0000-0000-000051B90000}"/>
    <cellStyle name="Normal 12 4 5 3 4" xfId="20761" xr:uid="{00000000-0005-0000-0000-000052B90000}"/>
    <cellStyle name="Normal 12 4 5 3 5" xfId="26237" xr:uid="{00000000-0005-0000-0000-000053B90000}"/>
    <cellStyle name="Normal 12 4 5 3 6" xfId="38033" xr:uid="{00000000-0005-0000-0000-000054B90000}"/>
    <cellStyle name="Normal 12 4 5 3 7" xfId="43510" xr:uid="{00000000-0005-0000-0000-000055B90000}"/>
    <cellStyle name="Normal 12 4 5 3 8" xfId="48987" xr:uid="{00000000-0005-0000-0000-000056B90000}"/>
    <cellStyle name="Normal 12 4 5 3 9" xfId="54505" xr:uid="{00000000-0005-0000-0000-000057B90000}"/>
    <cellStyle name="Normal 12 4 5 4" xfId="7107" xr:uid="{00000000-0005-0000-0000-000058B90000}"/>
    <cellStyle name="Normal 12 4 5 5" xfId="12587" xr:uid="{00000000-0005-0000-0000-000059B90000}"/>
    <cellStyle name="Normal 12 4 5 6" xfId="18063" xr:uid="{00000000-0005-0000-0000-00005AB90000}"/>
    <cellStyle name="Normal 12 4 5 7" xfId="23539" xr:uid="{00000000-0005-0000-0000-00005BB90000}"/>
    <cellStyle name="Normal 12 4 5 8" xfId="35334" xr:uid="{00000000-0005-0000-0000-00005CB90000}"/>
    <cellStyle name="Normal 12 4 5 9" xfId="40811" xr:uid="{00000000-0005-0000-0000-00005DB90000}"/>
    <cellStyle name="Normal 12 4 6" xfId="968" xr:uid="{00000000-0005-0000-0000-00005EB90000}"/>
    <cellStyle name="Normal 12 4 6 10" xfId="46289" xr:uid="{00000000-0005-0000-0000-00005FB90000}"/>
    <cellStyle name="Normal 12 4 6 11" xfId="51768" xr:uid="{00000000-0005-0000-0000-000060B90000}"/>
    <cellStyle name="Normal 12 4 6 2" xfId="2729" xr:uid="{00000000-0005-0000-0000-000061B90000}"/>
    <cellStyle name="Normal 12 4 6 2 2" xfId="8209" xr:uid="{00000000-0005-0000-0000-000062B90000}"/>
    <cellStyle name="Normal 12 4 6 2 3" xfId="13685" xr:uid="{00000000-0005-0000-0000-000063B90000}"/>
    <cellStyle name="Normal 12 4 6 2 4" xfId="19161" xr:uid="{00000000-0005-0000-0000-000064B90000}"/>
    <cellStyle name="Normal 12 4 6 2 5" xfId="24637" xr:uid="{00000000-0005-0000-0000-000065B90000}"/>
    <cellStyle name="Normal 12 4 6 2 6" xfId="36433" xr:uid="{00000000-0005-0000-0000-000066B90000}"/>
    <cellStyle name="Normal 12 4 6 2 7" xfId="41910" xr:uid="{00000000-0005-0000-0000-000067B90000}"/>
    <cellStyle name="Normal 12 4 6 2 8" xfId="47387" xr:uid="{00000000-0005-0000-0000-000068B90000}"/>
    <cellStyle name="Normal 12 4 6 2 9" xfId="52905" xr:uid="{00000000-0005-0000-0000-000069B90000}"/>
    <cellStyle name="Normal 12 4 6 3" xfId="4501" xr:uid="{00000000-0005-0000-0000-00006AB90000}"/>
    <cellStyle name="Normal 12 4 6 3 2" xfId="9981" xr:uid="{00000000-0005-0000-0000-00006BB90000}"/>
    <cellStyle name="Normal 12 4 6 3 3" xfId="15457" xr:uid="{00000000-0005-0000-0000-00006CB90000}"/>
    <cellStyle name="Normal 12 4 6 3 4" xfId="20933" xr:uid="{00000000-0005-0000-0000-00006DB90000}"/>
    <cellStyle name="Normal 12 4 6 3 5" xfId="26409" xr:uid="{00000000-0005-0000-0000-00006EB90000}"/>
    <cellStyle name="Normal 12 4 6 3 6" xfId="38205" xr:uid="{00000000-0005-0000-0000-00006FB90000}"/>
    <cellStyle name="Normal 12 4 6 3 7" xfId="43682" xr:uid="{00000000-0005-0000-0000-000070B90000}"/>
    <cellStyle name="Normal 12 4 6 3 8" xfId="49159" xr:uid="{00000000-0005-0000-0000-000071B90000}"/>
    <cellStyle name="Normal 12 4 6 3 9" xfId="54677" xr:uid="{00000000-0005-0000-0000-000072B90000}"/>
    <cellStyle name="Normal 12 4 6 4" xfId="7108" xr:uid="{00000000-0005-0000-0000-000073B90000}"/>
    <cellStyle name="Normal 12 4 6 5" xfId="12588" xr:uid="{00000000-0005-0000-0000-000074B90000}"/>
    <cellStyle name="Normal 12 4 6 6" xfId="18064" xr:uid="{00000000-0005-0000-0000-000075B90000}"/>
    <cellStyle name="Normal 12 4 6 7" xfId="23540" xr:uid="{00000000-0005-0000-0000-000076B90000}"/>
    <cellStyle name="Normal 12 4 6 8" xfId="35335" xr:uid="{00000000-0005-0000-0000-000077B90000}"/>
    <cellStyle name="Normal 12 4 6 9" xfId="40812" xr:uid="{00000000-0005-0000-0000-000078B90000}"/>
    <cellStyle name="Normal 12 4 7" xfId="1174" xr:uid="{00000000-0005-0000-0000-000079B90000}"/>
    <cellStyle name="Normal 12 4 7 10" xfId="46290" xr:uid="{00000000-0005-0000-0000-00007AB90000}"/>
    <cellStyle name="Normal 12 4 7 11" xfId="51769" xr:uid="{00000000-0005-0000-0000-00007BB90000}"/>
    <cellStyle name="Normal 12 4 7 2" xfId="2935" xr:uid="{00000000-0005-0000-0000-00007CB90000}"/>
    <cellStyle name="Normal 12 4 7 2 2" xfId="8415" xr:uid="{00000000-0005-0000-0000-00007DB90000}"/>
    <cellStyle name="Normal 12 4 7 2 3" xfId="13891" xr:uid="{00000000-0005-0000-0000-00007EB90000}"/>
    <cellStyle name="Normal 12 4 7 2 4" xfId="19367" xr:uid="{00000000-0005-0000-0000-00007FB90000}"/>
    <cellStyle name="Normal 12 4 7 2 5" xfId="24843" xr:uid="{00000000-0005-0000-0000-000080B90000}"/>
    <cellStyle name="Normal 12 4 7 2 6" xfId="36639" xr:uid="{00000000-0005-0000-0000-000081B90000}"/>
    <cellStyle name="Normal 12 4 7 2 7" xfId="42116" xr:uid="{00000000-0005-0000-0000-000082B90000}"/>
    <cellStyle name="Normal 12 4 7 2 8" xfId="47593" xr:uid="{00000000-0005-0000-0000-000083B90000}"/>
    <cellStyle name="Normal 12 4 7 2 9" xfId="53111" xr:uid="{00000000-0005-0000-0000-000084B90000}"/>
    <cellStyle name="Normal 12 4 7 3" xfId="4707" xr:uid="{00000000-0005-0000-0000-000085B90000}"/>
    <cellStyle name="Normal 12 4 7 3 2" xfId="10187" xr:uid="{00000000-0005-0000-0000-000086B90000}"/>
    <cellStyle name="Normal 12 4 7 3 3" xfId="15663" xr:uid="{00000000-0005-0000-0000-000087B90000}"/>
    <cellStyle name="Normal 12 4 7 3 4" xfId="21139" xr:uid="{00000000-0005-0000-0000-000088B90000}"/>
    <cellStyle name="Normal 12 4 7 3 5" xfId="26615" xr:uid="{00000000-0005-0000-0000-000089B90000}"/>
    <cellStyle name="Normal 12 4 7 3 6" xfId="38411" xr:uid="{00000000-0005-0000-0000-00008AB90000}"/>
    <cellStyle name="Normal 12 4 7 3 7" xfId="43888" xr:uid="{00000000-0005-0000-0000-00008BB90000}"/>
    <cellStyle name="Normal 12 4 7 3 8" xfId="49365" xr:uid="{00000000-0005-0000-0000-00008CB90000}"/>
    <cellStyle name="Normal 12 4 7 3 9" xfId="54883" xr:uid="{00000000-0005-0000-0000-00008DB90000}"/>
    <cellStyle name="Normal 12 4 7 4" xfId="7109" xr:uid="{00000000-0005-0000-0000-00008EB90000}"/>
    <cellStyle name="Normal 12 4 7 5" xfId="12589" xr:uid="{00000000-0005-0000-0000-00008FB90000}"/>
    <cellStyle name="Normal 12 4 7 6" xfId="18065" xr:uid="{00000000-0005-0000-0000-000090B90000}"/>
    <cellStyle name="Normal 12 4 7 7" xfId="23541" xr:uid="{00000000-0005-0000-0000-000091B90000}"/>
    <cellStyle name="Normal 12 4 7 8" xfId="35336" xr:uid="{00000000-0005-0000-0000-000092B90000}"/>
    <cellStyle name="Normal 12 4 7 9" xfId="40813" xr:uid="{00000000-0005-0000-0000-000093B90000}"/>
    <cellStyle name="Normal 12 4 8" xfId="1346" xr:uid="{00000000-0005-0000-0000-000094B90000}"/>
    <cellStyle name="Normal 12 4 8 10" xfId="46291" xr:uid="{00000000-0005-0000-0000-000095B90000}"/>
    <cellStyle name="Normal 12 4 8 11" xfId="51770" xr:uid="{00000000-0005-0000-0000-000096B90000}"/>
    <cellStyle name="Normal 12 4 8 2" xfId="3107" xr:uid="{00000000-0005-0000-0000-000097B90000}"/>
    <cellStyle name="Normal 12 4 8 2 2" xfId="8587" xr:uid="{00000000-0005-0000-0000-000098B90000}"/>
    <cellStyle name="Normal 12 4 8 2 3" xfId="14063" xr:uid="{00000000-0005-0000-0000-000099B90000}"/>
    <cellStyle name="Normal 12 4 8 2 4" xfId="19539" xr:uid="{00000000-0005-0000-0000-00009AB90000}"/>
    <cellStyle name="Normal 12 4 8 2 5" xfId="25015" xr:uid="{00000000-0005-0000-0000-00009BB90000}"/>
    <cellStyle name="Normal 12 4 8 2 6" xfId="36811" xr:uid="{00000000-0005-0000-0000-00009CB90000}"/>
    <cellStyle name="Normal 12 4 8 2 7" xfId="42288" xr:uid="{00000000-0005-0000-0000-00009DB90000}"/>
    <cellStyle name="Normal 12 4 8 2 8" xfId="47765" xr:uid="{00000000-0005-0000-0000-00009EB90000}"/>
    <cellStyle name="Normal 12 4 8 2 9" xfId="53283" xr:uid="{00000000-0005-0000-0000-00009FB90000}"/>
    <cellStyle name="Normal 12 4 8 3" xfId="4879" xr:uid="{00000000-0005-0000-0000-0000A0B90000}"/>
    <cellStyle name="Normal 12 4 8 3 2" xfId="10359" xr:uid="{00000000-0005-0000-0000-0000A1B90000}"/>
    <cellStyle name="Normal 12 4 8 3 3" xfId="15835" xr:uid="{00000000-0005-0000-0000-0000A2B90000}"/>
    <cellStyle name="Normal 12 4 8 3 4" xfId="21311" xr:uid="{00000000-0005-0000-0000-0000A3B90000}"/>
    <cellStyle name="Normal 12 4 8 3 5" xfId="26787" xr:uid="{00000000-0005-0000-0000-0000A4B90000}"/>
    <cellStyle name="Normal 12 4 8 3 6" xfId="38583" xr:uid="{00000000-0005-0000-0000-0000A5B90000}"/>
    <cellStyle name="Normal 12 4 8 3 7" xfId="44060" xr:uid="{00000000-0005-0000-0000-0000A6B90000}"/>
    <cellStyle name="Normal 12 4 8 3 8" xfId="49537" xr:uid="{00000000-0005-0000-0000-0000A7B90000}"/>
    <cellStyle name="Normal 12 4 8 3 9" xfId="55055" xr:uid="{00000000-0005-0000-0000-0000A8B90000}"/>
    <cellStyle name="Normal 12 4 8 4" xfId="7110" xr:uid="{00000000-0005-0000-0000-0000A9B90000}"/>
    <cellStyle name="Normal 12 4 8 5" xfId="12590" xr:uid="{00000000-0005-0000-0000-0000AAB90000}"/>
    <cellStyle name="Normal 12 4 8 6" xfId="18066" xr:uid="{00000000-0005-0000-0000-0000ABB90000}"/>
    <cellStyle name="Normal 12 4 8 7" xfId="23542" xr:uid="{00000000-0005-0000-0000-0000ACB90000}"/>
    <cellStyle name="Normal 12 4 8 8" xfId="35337" xr:uid="{00000000-0005-0000-0000-0000ADB90000}"/>
    <cellStyle name="Normal 12 4 8 9" xfId="40814" xr:uid="{00000000-0005-0000-0000-0000AEB90000}"/>
    <cellStyle name="Normal 12 4 9" xfId="1518" xr:uid="{00000000-0005-0000-0000-0000AFB90000}"/>
    <cellStyle name="Normal 12 4 9 10" xfId="46292" xr:uid="{00000000-0005-0000-0000-0000B0B90000}"/>
    <cellStyle name="Normal 12 4 9 11" xfId="51771" xr:uid="{00000000-0005-0000-0000-0000B1B90000}"/>
    <cellStyle name="Normal 12 4 9 2" xfId="3279" xr:uid="{00000000-0005-0000-0000-0000B2B90000}"/>
    <cellStyle name="Normal 12 4 9 2 2" xfId="8759" xr:uid="{00000000-0005-0000-0000-0000B3B90000}"/>
    <cellStyle name="Normal 12 4 9 2 3" xfId="14235" xr:uid="{00000000-0005-0000-0000-0000B4B90000}"/>
    <cellStyle name="Normal 12 4 9 2 4" xfId="19711" xr:uid="{00000000-0005-0000-0000-0000B5B90000}"/>
    <cellStyle name="Normal 12 4 9 2 5" xfId="25187" xr:uid="{00000000-0005-0000-0000-0000B6B90000}"/>
    <cellStyle name="Normal 12 4 9 2 6" xfId="36983" xr:uid="{00000000-0005-0000-0000-0000B7B90000}"/>
    <cellStyle name="Normal 12 4 9 2 7" xfId="42460" xr:uid="{00000000-0005-0000-0000-0000B8B90000}"/>
    <cellStyle name="Normal 12 4 9 2 8" xfId="47937" xr:uid="{00000000-0005-0000-0000-0000B9B90000}"/>
    <cellStyle name="Normal 12 4 9 2 9" xfId="53455" xr:uid="{00000000-0005-0000-0000-0000BAB90000}"/>
    <cellStyle name="Normal 12 4 9 3" xfId="5051" xr:uid="{00000000-0005-0000-0000-0000BBB90000}"/>
    <cellStyle name="Normal 12 4 9 3 2" xfId="10531" xr:uid="{00000000-0005-0000-0000-0000BCB90000}"/>
    <cellStyle name="Normal 12 4 9 3 3" xfId="16007" xr:uid="{00000000-0005-0000-0000-0000BDB90000}"/>
    <cellStyle name="Normal 12 4 9 3 4" xfId="21483" xr:uid="{00000000-0005-0000-0000-0000BEB90000}"/>
    <cellStyle name="Normal 12 4 9 3 5" xfId="26959" xr:uid="{00000000-0005-0000-0000-0000BFB90000}"/>
    <cellStyle name="Normal 12 4 9 3 6" xfId="38755" xr:uid="{00000000-0005-0000-0000-0000C0B90000}"/>
    <cellStyle name="Normal 12 4 9 3 7" xfId="44232" xr:uid="{00000000-0005-0000-0000-0000C1B90000}"/>
    <cellStyle name="Normal 12 4 9 3 8" xfId="49709" xr:uid="{00000000-0005-0000-0000-0000C2B90000}"/>
    <cellStyle name="Normal 12 4 9 3 9" xfId="55227" xr:uid="{00000000-0005-0000-0000-0000C3B90000}"/>
    <cellStyle name="Normal 12 4 9 4" xfId="7111" xr:uid="{00000000-0005-0000-0000-0000C4B90000}"/>
    <cellStyle name="Normal 12 4 9 5" xfId="12591" xr:uid="{00000000-0005-0000-0000-0000C5B90000}"/>
    <cellStyle name="Normal 12 4 9 6" xfId="18067" xr:uid="{00000000-0005-0000-0000-0000C6B90000}"/>
    <cellStyle name="Normal 12 4 9 7" xfId="23543" xr:uid="{00000000-0005-0000-0000-0000C7B90000}"/>
    <cellStyle name="Normal 12 4 9 8" xfId="35338" xr:uid="{00000000-0005-0000-0000-0000C8B90000}"/>
    <cellStyle name="Normal 12 4 9 9" xfId="40815" xr:uid="{00000000-0005-0000-0000-0000C9B90000}"/>
    <cellStyle name="Normal 12 5" xfId="178" xr:uid="{00000000-0005-0000-0000-0000CAB90000}"/>
    <cellStyle name="Normal 12 5 10" xfId="1692" xr:uid="{00000000-0005-0000-0000-0000CBB90000}"/>
    <cellStyle name="Normal 12 5 10 10" xfId="46294" xr:uid="{00000000-0005-0000-0000-0000CCB90000}"/>
    <cellStyle name="Normal 12 5 10 11" xfId="51773" xr:uid="{00000000-0005-0000-0000-0000CDB90000}"/>
    <cellStyle name="Normal 12 5 10 2" xfId="3453" xr:uid="{00000000-0005-0000-0000-0000CEB90000}"/>
    <cellStyle name="Normal 12 5 10 2 2" xfId="8933" xr:uid="{00000000-0005-0000-0000-0000CFB90000}"/>
    <cellStyle name="Normal 12 5 10 2 3" xfId="14409" xr:uid="{00000000-0005-0000-0000-0000D0B90000}"/>
    <cellStyle name="Normal 12 5 10 2 4" xfId="19885" xr:uid="{00000000-0005-0000-0000-0000D1B90000}"/>
    <cellStyle name="Normal 12 5 10 2 5" xfId="25361" xr:uid="{00000000-0005-0000-0000-0000D2B90000}"/>
    <cellStyle name="Normal 12 5 10 2 6" xfId="37157" xr:uid="{00000000-0005-0000-0000-0000D3B90000}"/>
    <cellStyle name="Normal 12 5 10 2 7" xfId="42634" xr:uid="{00000000-0005-0000-0000-0000D4B90000}"/>
    <cellStyle name="Normal 12 5 10 2 8" xfId="48111" xr:uid="{00000000-0005-0000-0000-0000D5B90000}"/>
    <cellStyle name="Normal 12 5 10 2 9" xfId="53629" xr:uid="{00000000-0005-0000-0000-0000D6B90000}"/>
    <cellStyle name="Normal 12 5 10 3" xfId="5225" xr:uid="{00000000-0005-0000-0000-0000D7B90000}"/>
    <cellStyle name="Normal 12 5 10 3 2" xfId="10705" xr:uid="{00000000-0005-0000-0000-0000D8B90000}"/>
    <cellStyle name="Normal 12 5 10 3 3" xfId="16181" xr:uid="{00000000-0005-0000-0000-0000D9B90000}"/>
    <cellStyle name="Normal 12 5 10 3 4" xfId="21657" xr:uid="{00000000-0005-0000-0000-0000DAB90000}"/>
    <cellStyle name="Normal 12 5 10 3 5" xfId="27133" xr:uid="{00000000-0005-0000-0000-0000DBB90000}"/>
    <cellStyle name="Normal 12 5 10 3 6" xfId="38929" xr:uid="{00000000-0005-0000-0000-0000DCB90000}"/>
    <cellStyle name="Normal 12 5 10 3 7" xfId="44406" xr:uid="{00000000-0005-0000-0000-0000DDB90000}"/>
    <cellStyle name="Normal 12 5 10 3 8" xfId="49883" xr:uid="{00000000-0005-0000-0000-0000DEB90000}"/>
    <cellStyle name="Normal 12 5 10 3 9" xfId="55401" xr:uid="{00000000-0005-0000-0000-0000DFB90000}"/>
    <cellStyle name="Normal 12 5 10 4" xfId="7113" xr:uid="{00000000-0005-0000-0000-0000E0B90000}"/>
    <cellStyle name="Normal 12 5 10 5" xfId="12593" xr:uid="{00000000-0005-0000-0000-0000E1B90000}"/>
    <cellStyle name="Normal 12 5 10 6" xfId="18069" xr:uid="{00000000-0005-0000-0000-0000E2B90000}"/>
    <cellStyle name="Normal 12 5 10 7" xfId="23545" xr:uid="{00000000-0005-0000-0000-0000E3B90000}"/>
    <cellStyle name="Normal 12 5 10 8" xfId="35340" xr:uid="{00000000-0005-0000-0000-0000E4B90000}"/>
    <cellStyle name="Normal 12 5 10 9" xfId="40817" xr:uid="{00000000-0005-0000-0000-0000E5B90000}"/>
    <cellStyle name="Normal 12 5 11" xfId="1883" xr:uid="{00000000-0005-0000-0000-0000E6B90000}"/>
    <cellStyle name="Normal 12 5 11 10" xfId="46295" xr:uid="{00000000-0005-0000-0000-0000E7B90000}"/>
    <cellStyle name="Normal 12 5 11 11" xfId="51774" xr:uid="{00000000-0005-0000-0000-0000E8B90000}"/>
    <cellStyle name="Normal 12 5 11 2" xfId="3644" xr:uid="{00000000-0005-0000-0000-0000E9B90000}"/>
    <cellStyle name="Normal 12 5 11 2 2" xfId="9124" xr:uid="{00000000-0005-0000-0000-0000EAB90000}"/>
    <cellStyle name="Normal 12 5 11 2 3" xfId="14600" xr:uid="{00000000-0005-0000-0000-0000EBB90000}"/>
    <cellStyle name="Normal 12 5 11 2 4" xfId="20076" xr:uid="{00000000-0005-0000-0000-0000ECB90000}"/>
    <cellStyle name="Normal 12 5 11 2 5" xfId="25552" xr:uid="{00000000-0005-0000-0000-0000EDB90000}"/>
    <cellStyle name="Normal 12 5 11 2 6" xfId="37348" xr:uid="{00000000-0005-0000-0000-0000EEB90000}"/>
    <cellStyle name="Normal 12 5 11 2 7" xfId="42825" xr:uid="{00000000-0005-0000-0000-0000EFB90000}"/>
    <cellStyle name="Normal 12 5 11 2 8" xfId="48302" xr:uid="{00000000-0005-0000-0000-0000F0B90000}"/>
    <cellStyle name="Normal 12 5 11 2 9" xfId="53820" xr:uid="{00000000-0005-0000-0000-0000F1B90000}"/>
    <cellStyle name="Normal 12 5 11 3" xfId="5416" xr:uid="{00000000-0005-0000-0000-0000F2B90000}"/>
    <cellStyle name="Normal 12 5 11 3 2" xfId="10896" xr:uid="{00000000-0005-0000-0000-0000F3B90000}"/>
    <cellStyle name="Normal 12 5 11 3 3" xfId="16372" xr:uid="{00000000-0005-0000-0000-0000F4B90000}"/>
    <cellStyle name="Normal 12 5 11 3 4" xfId="21848" xr:uid="{00000000-0005-0000-0000-0000F5B90000}"/>
    <cellStyle name="Normal 12 5 11 3 5" xfId="27324" xr:uid="{00000000-0005-0000-0000-0000F6B90000}"/>
    <cellStyle name="Normal 12 5 11 3 6" xfId="39120" xr:uid="{00000000-0005-0000-0000-0000F7B90000}"/>
    <cellStyle name="Normal 12 5 11 3 7" xfId="44597" xr:uid="{00000000-0005-0000-0000-0000F8B90000}"/>
    <cellStyle name="Normal 12 5 11 3 8" xfId="50074" xr:uid="{00000000-0005-0000-0000-0000F9B90000}"/>
    <cellStyle name="Normal 12 5 11 3 9" xfId="55592" xr:uid="{00000000-0005-0000-0000-0000FAB90000}"/>
    <cellStyle name="Normal 12 5 11 4" xfId="7114" xr:uid="{00000000-0005-0000-0000-0000FBB90000}"/>
    <cellStyle name="Normal 12 5 11 5" xfId="12594" xr:uid="{00000000-0005-0000-0000-0000FCB90000}"/>
    <cellStyle name="Normal 12 5 11 6" xfId="18070" xr:uid="{00000000-0005-0000-0000-0000FDB90000}"/>
    <cellStyle name="Normal 12 5 11 7" xfId="23546" xr:uid="{00000000-0005-0000-0000-0000FEB90000}"/>
    <cellStyle name="Normal 12 5 11 8" xfId="35341" xr:uid="{00000000-0005-0000-0000-0000FFB90000}"/>
    <cellStyle name="Normal 12 5 11 9" xfId="40818" xr:uid="{00000000-0005-0000-0000-000000BA0000}"/>
    <cellStyle name="Normal 12 5 12" xfId="2054" xr:uid="{00000000-0005-0000-0000-000001BA0000}"/>
    <cellStyle name="Normal 12 5 12 10" xfId="52231" xr:uid="{00000000-0005-0000-0000-000002BA0000}"/>
    <cellStyle name="Normal 12 5 12 2" xfId="5586" xr:uid="{00000000-0005-0000-0000-000003BA0000}"/>
    <cellStyle name="Normal 12 5 12 2 2" xfId="11066" xr:uid="{00000000-0005-0000-0000-000004BA0000}"/>
    <cellStyle name="Normal 12 5 12 2 3" xfId="16542" xr:uid="{00000000-0005-0000-0000-000005BA0000}"/>
    <cellStyle name="Normal 12 5 12 2 4" xfId="22018" xr:uid="{00000000-0005-0000-0000-000006BA0000}"/>
    <cellStyle name="Normal 12 5 12 2 5" xfId="27494" xr:uid="{00000000-0005-0000-0000-000007BA0000}"/>
    <cellStyle name="Normal 12 5 12 2 6" xfId="39290" xr:uid="{00000000-0005-0000-0000-000008BA0000}"/>
    <cellStyle name="Normal 12 5 12 2 7" xfId="44767" xr:uid="{00000000-0005-0000-0000-000009BA0000}"/>
    <cellStyle name="Normal 12 5 12 2 8" xfId="50244" xr:uid="{00000000-0005-0000-0000-00000ABA0000}"/>
    <cellStyle name="Normal 12 5 12 2 9" xfId="55762" xr:uid="{00000000-0005-0000-0000-00000BBA0000}"/>
    <cellStyle name="Normal 12 5 12 3" xfId="7535" xr:uid="{00000000-0005-0000-0000-00000CBA0000}"/>
    <cellStyle name="Normal 12 5 12 4" xfId="13011" xr:uid="{00000000-0005-0000-0000-00000DBA0000}"/>
    <cellStyle name="Normal 12 5 12 5" xfId="18487" xr:uid="{00000000-0005-0000-0000-00000EBA0000}"/>
    <cellStyle name="Normal 12 5 12 6" xfId="23963" xr:uid="{00000000-0005-0000-0000-00000FBA0000}"/>
    <cellStyle name="Normal 12 5 12 7" xfId="35759" xr:uid="{00000000-0005-0000-0000-000010BA0000}"/>
    <cellStyle name="Normal 12 5 12 8" xfId="41236" xr:uid="{00000000-0005-0000-0000-000011BA0000}"/>
    <cellStyle name="Normal 12 5 12 9" xfId="46713" xr:uid="{00000000-0005-0000-0000-000012BA0000}"/>
    <cellStyle name="Normal 12 5 13" xfId="3750" xr:uid="{00000000-0005-0000-0000-000013BA0000}"/>
    <cellStyle name="Normal 12 5 13 2" xfId="9230" xr:uid="{00000000-0005-0000-0000-000014BA0000}"/>
    <cellStyle name="Normal 12 5 13 3" xfId="14706" xr:uid="{00000000-0005-0000-0000-000015BA0000}"/>
    <cellStyle name="Normal 12 5 13 4" xfId="20182" xr:uid="{00000000-0005-0000-0000-000016BA0000}"/>
    <cellStyle name="Normal 12 5 13 5" xfId="25658" xr:uid="{00000000-0005-0000-0000-000017BA0000}"/>
    <cellStyle name="Normal 12 5 13 6" xfId="37454" xr:uid="{00000000-0005-0000-0000-000018BA0000}"/>
    <cellStyle name="Normal 12 5 13 7" xfId="42931" xr:uid="{00000000-0005-0000-0000-000019BA0000}"/>
    <cellStyle name="Normal 12 5 13 8" xfId="48408" xr:uid="{00000000-0005-0000-0000-00001ABA0000}"/>
    <cellStyle name="Normal 12 5 13 9" xfId="53926" xr:uid="{00000000-0005-0000-0000-00001BBA0000}"/>
    <cellStyle name="Normal 12 5 14" xfId="7112" xr:uid="{00000000-0005-0000-0000-00001CBA0000}"/>
    <cellStyle name="Normal 12 5 15" xfId="12592" xr:uid="{00000000-0005-0000-0000-00001DBA0000}"/>
    <cellStyle name="Normal 12 5 16" xfId="18068" xr:uid="{00000000-0005-0000-0000-00001EBA0000}"/>
    <cellStyle name="Normal 12 5 17" xfId="23544" xr:uid="{00000000-0005-0000-0000-00001FBA0000}"/>
    <cellStyle name="Normal 12 5 18" xfId="35339" xr:uid="{00000000-0005-0000-0000-000020BA0000}"/>
    <cellStyle name="Normal 12 5 19" xfId="40816" xr:uid="{00000000-0005-0000-0000-000021BA0000}"/>
    <cellStyle name="Normal 12 5 2" xfId="270" xr:uid="{00000000-0005-0000-0000-000022BA0000}"/>
    <cellStyle name="Normal 12 5 2 10" xfId="1884" xr:uid="{00000000-0005-0000-0000-000023BA0000}"/>
    <cellStyle name="Normal 12 5 2 10 10" xfId="46297" xr:uid="{00000000-0005-0000-0000-000024BA0000}"/>
    <cellStyle name="Normal 12 5 2 10 11" xfId="51776" xr:uid="{00000000-0005-0000-0000-000025BA0000}"/>
    <cellStyle name="Normal 12 5 2 10 2" xfId="3645" xr:uid="{00000000-0005-0000-0000-000026BA0000}"/>
    <cellStyle name="Normal 12 5 2 10 2 2" xfId="9125" xr:uid="{00000000-0005-0000-0000-000027BA0000}"/>
    <cellStyle name="Normal 12 5 2 10 2 3" xfId="14601" xr:uid="{00000000-0005-0000-0000-000028BA0000}"/>
    <cellStyle name="Normal 12 5 2 10 2 4" xfId="20077" xr:uid="{00000000-0005-0000-0000-000029BA0000}"/>
    <cellStyle name="Normal 12 5 2 10 2 5" xfId="25553" xr:uid="{00000000-0005-0000-0000-00002ABA0000}"/>
    <cellStyle name="Normal 12 5 2 10 2 6" xfId="37349" xr:uid="{00000000-0005-0000-0000-00002BBA0000}"/>
    <cellStyle name="Normal 12 5 2 10 2 7" xfId="42826" xr:uid="{00000000-0005-0000-0000-00002CBA0000}"/>
    <cellStyle name="Normal 12 5 2 10 2 8" xfId="48303" xr:uid="{00000000-0005-0000-0000-00002DBA0000}"/>
    <cellStyle name="Normal 12 5 2 10 2 9" xfId="53821" xr:uid="{00000000-0005-0000-0000-00002EBA0000}"/>
    <cellStyle name="Normal 12 5 2 10 3" xfId="5417" xr:uid="{00000000-0005-0000-0000-00002FBA0000}"/>
    <cellStyle name="Normal 12 5 2 10 3 2" xfId="10897" xr:uid="{00000000-0005-0000-0000-000030BA0000}"/>
    <cellStyle name="Normal 12 5 2 10 3 3" xfId="16373" xr:uid="{00000000-0005-0000-0000-000031BA0000}"/>
    <cellStyle name="Normal 12 5 2 10 3 4" xfId="21849" xr:uid="{00000000-0005-0000-0000-000032BA0000}"/>
    <cellStyle name="Normal 12 5 2 10 3 5" xfId="27325" xr:uid="{00000000-0005-0000-0000-000033BA0000}"/>
    <cellStyle name="Normal 12 5 2 10 3 6" xfId="39121" xr:uid="{00000000-0005-0000-0000-000034BA0000}"/>
    <cellStyle name="Normal 12 5 2 10 3 7" xfId="44598" xr:uid="{00000000-0005-0000-0000-000035BA0000}"/>
    <cellStyle name="Normal 12 5 2 10 3 8" xfId="50075" xr:uid="{00000000-0005-0000-0000-000036BA0000}"/>
    <cellStyle name="Normal 12 5 2 10 3 9" xfId="55593" xr:uid="{00000000-0005-0000-0000-000037BA0000}"/>
    <cellStyle name="Normal 12 5 2 10 4" xfId="7116" xr:uid="{00000000-0005-0000-0000-000038BA0000}"/>
    <cellStyle name="Normal 12 5 2 10 5" xfId="12596" xr:uid="{00000000-0005-0000-0000-000039BA0000}"/>
    <cellStyle name="Normal 12 5 2 10 6" xfId="18072" xr:uid="{00000000-0005-0000-0000-00003ABA0000}"/>
    <cellStyle name="Normal 12 5 2 10 7" xfId="23548" xr:uid="{00000000-0005-0000-0000-00003BBA0000}"/>
    <cellStyle name="Normal 12 5 2 10 8" xfId="35343" xr:uid="{00000000-0005-0000-0000-00003CBA0000}"/>
    <cellStyle name="Normal 12 5 2 10 9" xfId="40820" xr:uid="{00000000-0005-0000-0000-00003DBA0000}"/>
    <cellStyle name="Normal 12 5 2 11" xfId="2055" xr:uid="{00000000-0005-0000-0000-00003EBA0000}"/>
    <cellStyle name="Normal 12 5 2 11 10" xfId="52232" xr:uid="{00000000-0005-0000-0000-00003FBA0000}"/>
    <cellStyle name="Normal 12 5 2 11 2" xfId="5587" xr:uid="{00000000-0005-0000-0000-000040BA0000}"/>
    <cellStyle name="Normal 12 5 2 11 2 2" xfId="11067" xr:uid="{00000000-0005-0000-0000-000041BA0000}"/>
    <cellStyle name="Normal 12 5 2 11 2 3" xfId="16543" xr:uid="{00000000-0005-0000-0000-000042BA0000}"/>
    <cellStyle name="Normal 12 5 2 11 2 4" xfId="22019" xr:uid="{00000000-0005-0000-0000-000043BA0000}"/>
    <cellStyle name="Normal 12 5 2 11 2 5" xfId="27495" xr:uid="{00000000-0005-0000-0000-000044BA0000}"/>
    <cellStyle name="Normal 12 5 2 11 2 6" xfId="39291" xr:uid="{00000000-0005-0000-0000-000045BA0000}"/>
    <cellStyle name="Normal 12 5 2 11 2 7" xfId="44768" xr:uid="{00000000-0005-0000-0000-000046BA0000}"/>
    <cellStyle name="Normal 12 5 2 11 2 8" xfId="50245" xr:uid="{00000000-0005-0000-0000-000047BA0000}"/>
    <cellStyle name="Normal 12 5 2 11 2 9" xfId="55763" xr:uid="{00000000-0005-0000-0000-000048BA0000}"/>
    <cellStyle name="Normal 12 5 2 11 3" xfId="7536" xr:uid="{00000000-0005-0000-0000-000049BA0000}"/>
    <cellStyle name="Normal 12 5 2 11 4" xfId="13012" xr:uid="{00000000-0005-0000-0000-00004ABA0000}"/>
    <cellStyle name="Normal 12 5 2 11 5" xfId="18488" xr:uid="{00000000-0005-0000-0000-00004BBA0000}"/>
    <cellStyle name="Normal 12 5 2 11 6" xfId="23964" xr:uid="{00000000-0005-0000-0000-00004CBA0000}"/>
    <cellStyle name="Normal 12 5 2 11 7" xfId="35760" xr:uid="{00000000-0005-0000-0000-00004DBA0000}"/>
    <cellStyle name="Normal 12 5 2 11 8" xfId="41237" xr:uid="{00000000-0005-0000-0000-00004EBA0000}"/>
    <cellStyle name="Normal 12 5 2 11 9" xfId="46714" xr:uid="{00000000-0005-0000-0000-00004FBA0000}"/>
    <cellStyle name="Normal 12 5 2 12" xfId="3836" xr:uid="{00000000-0005-0000-0000-000050BA0000}"/>
    <cellStyle name="Normal 12 5 2 12 2" xfId="9316" xr:uid="{00000000-0005-0000-0000-000051BA0000}"/>
    <cellStyle name="Normal 12 5 2 12 3" xfId="14792" xr:uid="{00000000-0005-0000-0000-000052BA0000}"/>
    <cellStyle name="Normal 12 5 2 12 4" xfId="20268" xr:uid="{00000000-0005-0000-0000-000053BA0000}"/>
    <cellStyle name="Normal 12 5 2 12 5" xfId="25744" xr:uid="{00000000-0005-0000-0000-000054BA0000}"/>
    <cellStyle name="Normal 12 5 2 12 6" xfId="37540" xr:uid="{00000000-0005-0000-0000-000055BA0000}"/>
    <cellStyle name="Normal 12 5 2 12 7" xfId="43017" xr:uid="{00000000-0005-0000-0000-000056BA0000}"/>
    <cellStyle name="Normal 12 5 2 12 8" xfId="48494" xr:uid="{00000000-0005-0000-0000-000057BA0000}"/>
    <cellStyle name="Normal 12 5 2 12 9" xfId="54012" xr:uid="{00000000-0005-0000-0000-000058BA0000}"/>
    <cellStyle name="Normal 12 5 2 13" xfId="7115" xr:uid="{00000000-0005-0000-0000-000059BA0000}"/>
    <cellStyle name="Normal 12 5 2 14" xfId="12595" xr:uid="{00000000-0005-0000-0000-00005ABA0000}"/>
    <cellStyle name="Normal 12 5 2 15" xfId="18071" xr:uid="{00000000-0005-0000-0000-00005BBA0000}"/>
    <cellStyle name="Normal 12 5 2 16" xfId="23547" xr:uid="{00000000-0005-0000-0000-00005CBA0000}"/>
    <cellStyle name="Normal 12 5 2 17" xfId="35342" xr:uid="{00000000-0005-0000-0000-00005DBA0000}"/>
    <cellStyle name="Normal 12 5 2 18" xfId="40819" xr:uid="{00000000-0005-0000-0000-00005EBA0000}"/>
    <cellStyle name="Normal 12 5 2 19" xfId="46296" xr:uid="{00000000-0005-0000-0000-00005FBA0000}"/>
    <cellStyle name="Normal 12 5 2 2" xfId="450" xr:uid="{00000000-0005-0000-0000-000060BA0000}"/>
    <cellStyle name="Normal 12 5 2 2 10" xfId="46298" xr:uid="{00000000-0005-0000-0000-000061BA0000}"/>
    <cellStyle name="Normal 12 5 2 2 11" xfId="51777" xr:uid="{00000000-0005-0000-0000-000062BA0000}"/>
    <cellStyle name="Normal 12 5 2 2 2" xfId="2216" xr:uid="{00000000-0005-0000-0000-000063BA0000}"/>
    <cellStyle name="Normal 12 5 2 2 2 2" xfId="7696" xr:uid="{00000000-0005-0000-0000-000064BA0000}"/>
    <cellStyle name="Normal 12 5 2 2 2 3" xfId="13172" xr:uid="{00000000-0005-0000-0000-000065BA0000}"/>
    <cellStyle name="Normal 12 5 2 2 2 4" xfId="18648" xr:uid="{00000000-0005-0000-0000-000066BA0000}"/>
    <cellStyle name="Normal 12 5 2 2 2 5" xfId="24124" xr:uid="{00000000-0005-0000-0000-000067BA0000}"/>
    <cellStyle name="Normal 12 5 2 2 2 6" xfId="35920" xr:uid="{00000000-0005-0000-0000-000068BA0000}"/>
    <cellStyle name="Normal 12 5 2 2 2 7" xfId="41397" xr:uid="{00000000-0005-0000-0000-000069BA0000}"/>
    <cellStyle name="Normal 12 5 2 2 2 8" xfId="46874" xr:uid="{00000000-0005-0000-0000-00006ABA0000}"/>
    <cellStyle name="Normal 12 5 2 2 2 9" xfId="52392" xr:uid="{00000000-0005-0000-0000-00006BBA0000}"/>
    <cellStyle name="Normal 12 5 2 2 3" xfId="3988" xr:uid="{00000000-0005-0000-0000-00006CBA0000}"/>
    <cellStyle name="Normal 12 5 2 2 3 2" xfId="9468" xr:uid="{00000000-0005-0000-0000-00006DBA0000}"/>
    <cellStyle name="Normal 12 5 2 2 3 3" xfId="14944" xr:uid="{00000000-0005-0000-0000-00006EBA0000}"/>
    <cellStyle name="Normal 12 5 2 2 3 4" xfId="20420" xr:uid="{00000000-0005-0000-0000-00006FBA0000}"/>
    <cellStyle name="Normal 12 5 2 2 3 5" xfId="25896" xr:uid="{00000000-0005-0000-0000-000070BA0000}"/>
    <cellStyle name="Normal 12 5 2 2 3 6" xfId="37692" xr:uid="{00000000-0005-0000-0000-000071BA0000}"/>
    <cellStyle name="Normal 12 5 2 2 3 7" xfId="43169" xr:uid="{00000000-0005-0000-0000-000072BA0000}"/>
    <cellStyle name="Normal 12 5 2 2 3 8" xfId="48646" xr:uid="{00000000-0005-0000-0000-000073BA0000}"/>
    <cellStyle name="Normal 12 5 2 2 3 9" xfId="54164" xr:uid="{00000000-0005-0000-0000-000074BA0000}"/>
    <cellStyle name="Normal 12 5 2 2 4" xfId="7117" xr:uid="{00000000-0005-0000-0000-000075BA0000}"/>
    <cellStyle name="Normal 12 5 2 2 5" xfId="12597" xr:uid="{00000000-0005-0000-0000-000076BA0000}"/>
    <cellStyle name="Normal 12 5 2 2 6" xfId="18073" xr:uid="{00000000-0005-0000-0000-000077BA0000}"/>
    <cellStyle name="Normal 12 5 2 2 7" xfId="23549" xr:uid="{00000000-0005-0000-0000-000078BA0000}"/>
    <cellStyle name="Normal 12 5 2 2 8" xfId="35344" xr:uid="{00000000-0005-0000-0000-000079BA0000}"/>
    <cellStyle name="Normal 12 5 2 2 9" xfId="40821" xr:uid="{00000000-0005-0000-0000-00007ABA0000}"/>
    <cellStyle name="Normal 12 5 2 20" xfId="51775" xr:uid="{00000000-0005-0000-0000-00007BBA0000}"/>
    <cellStyle name="Normal 12 5 2 3" xfId="627" xr:uid="{00000000-0005-0000-0000-00007CBA0000}"/>
    <cellStyle name="Normal 12 5 2 3 10" xfId="46299" xr:uid="{00000000-0005-0000-0000-00007DBA0000}"/>
    <cellStyle name="Normal 12 5 2 3 11" xfId="51778" xr:uid="{00000000-0005-0000-0000-00007EBA0000}"/>
    <cellStyle name="Normal 12 5 2 3 2" xfId="2388" xr:uid="{00000000-0005-0000-0000-00007FBA0000}"/>
    <cellStyle name="Normal 12 5 2 3 2 2" xfId="7868" xr:uid="{00000000-0005-0000-0000-000080BA0000}"/>
    <cellStyle name="Normal 12 5 2 3 2 3" xfId="13344" xr:uid="{00000000-0005-0000-0000-000081BA0000}"/>
    <cellStyle name="Normal 12 5 2 3 2 4" xfId="18820" xr:uid="{00000000-0005-0000-0000-000082BA0000}"/>
    <cellStyle name="Normal 12 5 2 3 2 5" xfId="24296" xr:uid="{00000000-0005-0000-0000-000083BA0000}"/>
    <cellStyle name="Normal 12 5 2 3 2 6" xfId="36092" xr:uid="{00000000-0005-0000-0000-000084BA0000}"/>
    <cellStyle name="Normal 12 5 2 3 2 7" xfId="41569" xr:uid="{00000000-0005-0000-0000-000085BA0000}"/>
    <cellStyle name="Normal 12 5 2 3 2 8" xfId="47046" xr:uid="{00000000-0005-0000-0000-000086BA0000}"/>
    <cellStyle name="Normal 12 5 2 3 2 9" xfId="52564" xr:uid="{00000000-0005-0000-0000-000087BA0000}"/>
    <cellStyle name="Normal 12 5 2 3 3" xfId="4160" xr:uid="{00000000-0005-0000-0000-000088BA0000}"/>
    <cellStyle name="Normal 12 5 2 3 3 2" xfId="9640" xr:uid="{00000000-0005-0000-0000-000089BA0000}"/>
    <cellStyle name="Normal 12 5 2 3 3 3" xfId="15116" xr:uid="{00000000-0005-0000-0000-00008ABA0000}"/>
    <cellStyle name="Normal 12 5 2 3 3 4" xfId="20592" xr:uid="{00000000-0005-0000-0000-00008BBA0000}"/>
    <cellStyle name="Normal 12 5 2 3 3 5" xfId="26068" xr:uid="{00000000-0005-0000-0000-00008CBA0000}"/>
    <cellStyle name="Normal 12 5 2 3 3 6" xfId="37864" xr:uid="{00000000-0005-0000-0000-00008DBA0000}"/>
    <cellStyle name="Normal 12 5 2 3 3 7" xfId="43341" xr:uid="{00000000-0005-0000-0000-00008EBA0000}"/>
    <cellStyle name="Normal 12 5 2 3 3 8" xfId="48818" xr:uid="{00000000-0005-0000-0000-00008FBA0000}"/>
    <cellStyle name="Normal 12 5 2 3 3 9" xfId="54336" xr:uid="{00000000-0005-0000-0000-000090BA0000}"/>
    <cellStyle name="Normal 12 5 2 3 4" xfId="7118" xr:uid="{00000000-0005-0000-0000-000091BA0000}"/>
    <cellStyle name="Normal 12 5 2 3 5" xfId="12598" xr:uid="{00000000-0005-0000-0000-000092BA0000}"/>
    <cellStyle name="Normal 12 5 2 3 6" xfId="18074" xr:uid="{00000000-0005-0000-0000-000093BA0000}"/>
    <cellStyle name="Normal 12 5 2 3 7" xfId="23550" xr:uid="{00000000-0005-0000-0000-000094BA0000}"/>
    <cellStyle name="Normal 12 5 2 3 8" xfId="35345" xr:uid="{00000000-0005-0000-0000-000095BA0000}"/>
    <cellStyle name="Normal 12 5 2 3 9" xfId="40822" xr:uid="{00000000-0005-0000-0000-000096BA0000}"/>
    <cellStyle name="Normal 12 5 2 4" xfId="799" xr:uid="{00000000-0005-0000-0000-000097BA0000}"/>
    <cellStyle name="Normal 12 5 2 4 10" xfId="46300" xr:uid="{00000000-0005-0000-0000-000098BA0000}"/>
    <cellStyle name="Normal 12 5 2 4 11" xfId="51779" xr:uid="{00000000-0005-0000-0000-000099BA0000}"/>
    <cellStyle name="Normal 12 5 2 4 2" xfId="2560" xr:uid="{00000000-0005-0000-0000-00009ABA0000}"/>
    <cellStyle name="Normal 12 5 2 4 2 2" xfId="8040" xr:uid="{00000000-0005-0000-0000-00009BBA0000}"/>
    <cellStyle name="Normal 12 5 2 4 2 3" xfId="13516" xr:uid="{00000000-0005-0000-0000-00009CBA0000}"/>
    <cellStyle name="Normal 12 5 2 4 2 4" xfId="18992" xr:uid="{00000000-0005-0000-0000-00009DBA0000}"/>
    <cellStyle name="Normal 12 5 2 4 2 5" xfId="24468" xr:uid="{00000000-0005-0000-0000-00009EBA0000}"/>
    <cellStyle name="Normal 12 5 2 4 2 6" xfId="36264" xr:uid="{00000000-0005-0000-0000-00009FBA0000}"/>
    <cellStyle name="Normal 12 5 2 4 2 7" xfId="41741" xr:uid="{00000000-0005-0000-0000-0000A0BA0000}"/>
    <cellStyle name="Normal 12 5 2 4 2 8" xfId="47218" xr:uid="{00000000-0005-0000-0000-0000A1BA0000}"/>
    <cellStyle name="Normal 12 5 2 4 2 9" xfId="52736" xr:uid="{00000000-0005-0000-0000-0000A2BA0000}"/>
    <cellStyle name="Normal 12 5 2 4 3" xfId="4332" xr:uid="{00000000-0005-0000-0000-0000A3BA0000}"/>
    <cellStyle name="Normal 12 5 2 4 3 2" xfId="9812" xr:uid="{00000000-0005-0000-0000-0000A4BA0000}"/>
    <cellStyle name="Normal 12 5 2 4 3 3" xfId="15288" xr:uid="{00000000-0005-0000-0000-0000A5BA0000}"/>
    <cellStyle name="Normal 12 5 2 4 3 4" xfId="20764" xr:uid="{00000000-0005-0000-0000-0000A6BA0000}"/>
    <cellStyle name="Normal 12 5 2 4 3 5" xfId="26240" xr:uid="{00000000-0005-0000-0000-0000A7BA0000}"/>
    <cellStyle name="Normal 12 5 2 4 3 6" xfId="38036" xr:uid="{00000000-0005-0000-0000-0000A8BA0000}"/>
    <cellStyle name="Normal 12 5 2 4 3 7" xfId="43513" xr:uid="{00000000-0005-0000-0000-0000A9BA0000}"/>
    <cellStyle name="Normal 12 5 2 4 3 8" xfId="48990" xr:uid="{00000000-0005-0000-0000-0000AABA0000}"/>
    <cellStyle name="Normal 12 5 2 4 3 9" xfId="54508" xr:uid="{00000000-0005-0000-0000-0000ABBA0000}"/>
    <cellStyle name="Normal 12 5 2 4 4" xfId="7119" xr:uid="{00000000-0005-0000-0000-0000ACBA0000}"/>
    <cellStyle name="Normal 12 5 2 4 5" xfId="12599" xr:uid="{00000000-0005-0000-0000-0000ADBA0000}"/>
    <cellStyle name="Normal 12 5 2 4 6" xfId="18075" xr:uid="{00000000-0005-0000-0000-0000AEBA0000}"/>
    <cellStyle name="Normal 12 5 2 4 7" xfId="23551" xr:uid="{00000000-0005-0000-0000-0000AFBA0000}"/>
    <cellStyle name="Normal 12 5 2 4 8" xfId="35346" xr:uid="{00000000-0005-0000-0000-0000B0BA0000}"/>
    <cellStyle name="Normal 12 5 2 4 9" xfId="40823" xr:uid="{00000000-0005-0000-0000-0000B1BA0000}"/>
    <cellStyle name="Normal 12 5 2 5" xfId="971" xr:uid="{00000000-0005-0000-0000-0000B2BA0000}"/>
    <cellStyle name="Normal 12 5 2 5 10" xfId="46301" xr:uid="{00000000-0005-0000-0000-0000B3BA0000}"/>
    <cellStyle name="Normal 12 5 2 5 11" xfId="51780" xr:uid="{00000000-0005-0000-0000-0000B4BA0000}"/>
    <cellStyle name="Normal 12 5 2 5 2" xfId="2732" xr:uid="{00000000-0005-0000-0000-0000B5BA0000}"/>
    <cellStyle name="Normal 12 5 2 5 2 2" xfId="8212" xr:uid="{00000000-0005-0000-0000-0000B6BA0000}"/>
    <cellStyle name="Normal 12 5 2 5 2 3" xfId="13688" xr:uid="{00000000-0005-0000-0000-0000B7BA0000}"/>
    <cellStyle name="Normal 12 5 2 5 2 4" xfId="19164" xr:uid="{00000000-0005-0000-0000-0000B8BA0000}"/>
    <cellStyle name="Normal 12 5 2 5 2 5" xfId="24640" xr:uid="{00000000-0005-0000-0000-0000B9BA0000}"/>
    <cellStyle name="Normal 12 5 2 5 2 6" xfId="36436" xr:uid="{00000000-0005-0000-0000-0000BABA0000}"/>
    <cellStyle name="Normal 12 5 2 5 2 7" xfId="41913" xr:uid="{00000000-0005-0000-0000-0000BBBA0000}"/>
    <cellStyle name="Normal 12 5 2 5 2 8" xfId="47390" xr:uid="{00000000-0005-0000-0000-0000BCBA0000}"/>
    <cellStyle name="Normal 12 5 2 5 2 9" xfId="52908" xr:uid="{00000000-0005-0000-0000-0000BDBA0000}"/>
    <cellStyle name="Normal 12 5 2 5 3" xfId="4504" xr:uid="{00000000-0005-0000-0000-0000BEBA0000}"/>
    <cellStyle name="Normal 12 5 2 5 3 2" xfId="9984" xr:uid="{00000000-0005-0000-0000-0000BFBA0000}"/>
    <cellStyle name="Normal 12 5 2 5 3 3" xfId="15460" xr:uid="{00000000-0005-0000-0000-0000C0BA0000}"/>
    <cellStyle name="Normal 12 5 2 5 3 4" xfId="20936" xr:uid="{00000000-0005-0000-0000-0000C1BA0000}"/>
    <cellStyle name="Normal 12 5 2 5 3 5" xfId="26412" xr:uid="{00000000-0005-0000-0000-0000C2BA0000}"/>
    <cellStyle name="Normal 12 5 2 5 3 6" xfId="38208" xr:uid="{00000000-0005-0000-0000-0000C3BA0000}"/>
    <cellStyle name="Normal 12 5 2 5 3 7" xfId="43685" xr:uid="{00000000-0005-0000-0000-0000C4BA0000}"/>
    <cellStyle name="Normal 12 5 2 5 3 8" xfId="49162" xr:uid="{00000000-0005-0000-0000-0000C5BA0000}"/>
    <cellStyle name="Normal 12 5 2 5 3 9" xfId="54680" xr:uid="{00000000-0005-0000-0000-0000C6BA0000}"/>
    <cellStyle name="Normal 12 5 2 5 4" xfId="7120" xr:uid="{00000000-0005-0000-0000-0000C7BA0000}"/>
    <cellStyle name="Normal 12 5 2 5 5" xfId="12600" xr:uid="{00000000-0005-0000-0000-0000C8BA0000}"/>
    <cellStyle name="Normal 12 5 2 5 6" xfId="18076" xr:uid="{00000000-0005-0000-0000-0000C9BA0000}"/>
    <cellStyle name="Normal 12 5 2 5 7" xfId="23552" xr:uid="{00000000-0005-0000-0000-0000CABA0000}"/>
    <cellStyle name="Normal 12 5 2 5 8" xfId="35347" xr:uid="{00000000-0005-0000-0000-0000CBBA0000}"/>
    <cellStyle name="Normal 12 5 2 5 9" xfId="40824" xr:uid="{00000000-0005-0000-0000-0000CCBA0000}"/>
    <cellStyle name="Normal 12 5 2 6" xfId="1177" xr:uid="{00000000-0005-0000-0000-0000CDBA0000}"/>
    <cellStyle name="Normal 12 5 2 6 10" xfId="46302" xr:uid="{00000000-0005-0000-0000-0000CEBA0000}"/>
    <cellStyle name="Normal 12 5 2 6 11" xfId="51781" xr:uid="{00000000-0005-0000-0000-0000CFBA0000}"/>
    <cellStyle name="Normal 12 5 2 6 2" xfId="2938" xr:uid="{00000000-0005-0000-0000-0000D0BA0000}"/>
    <cellStyle name="Normal 12 5 2 6 2 2" xfId="8418" xr:uid="{00000000-0005-0000-0000-0000D1BA0000}"/>
    <cellStyle name="Normal 12 5 2 6 2 3" xfId="13894" xr:uid="{00000000-0005-0000-0000-0000D2BA0000}"/>
    <cellStyle name="Normal 12 5 2 6 2 4" xfId="19370" xr:uid="{00000000-0005-0000-0000-0000D3BA0000}"/>
    <cellStyle name="Normal 12 5 2 6 2 5" xfId="24846" xr:uid="{00000000-0005-0000-0000-0000D4BA0000}"/>
    <cellStyle name="Normal 12 5 2 6 2 6" xfId="36642" xr:uid="{00000000-0005-0000-0000-0000D5BA0000}"/>
    <cellStyle name="Normal 12 5 2 6 2 7" xfId="42119" xr:uid="{00000000-0005-0000-0000-0000D6BA0000}"/>
    <cellStyle name="Normal 12 5 2 6 2 8" xfId="47596" xr:uid="{00000000-0005-0000-0000-0000D7BA0000}"/>
    <cellStyle name="Normal 12 5 2 6 2 9" xfId="53114" xr:uid="{00000000-0005-0000-0000-0000D8BA0000}"/>
    <cellStyle name="Normal 12 5 2 6 3" xfId="4710" xr:uid="{00000000-0005-0000-0000-0000D9BA0000}"/>
    <cellStyle name="Normal 12 5 2 6 3 2" xfId="10190" xr:uid="{00000000-0005-0000-0000-0000DABA0000}"/>
    <cellStyle name="Normal 12 5 2 6 3 3" xfId="15666" xr:uid="{00000000-0005-0000-0000-0000DBBA0000}"/>
    <cellStyle name="Normal 12 5 2 6 3 4" xfId="21142" xr:uid="{00000000-0005-0000-0000-0000DCBA0000}"/>
    <cellStyle name="Normal 12 5 2 6 3 5" xfId="26618" xr:uid="{00000000-0005-0000-0000-0000DDBA0000}"/>
    <cellStyle name="Normal 12 5 2 6 3 6" xfId="38414" xr:uid="{00000000-0005-0000-0000-0000DEBA0000}"/>
    <cellStyle name="Normal 12 5 2 6 3 7" xfId="43891" xr:uid="{00000000-0005-0000-0000-0000DFBA0000}"/>
    <cellStyle name="Normal 12 5 2 6 3 8" xfId="49368" xr:uid="{00000000-0005-0000-0000-0000E0BA0000}"/>
    <cellStyle name="Normal 12 5 2 6 3 9" xfId="54886" xr:uid="{00000000-0005-0000-0000-0000E1BA0000}"/>
    <cellStyle name="Normal 12 5 2 6 4" xfId="7121" xr:uid="{00000000-0005-0000-0000-0000E2BA0000}"/>
    <cellStyle name="Normal 12 5 2 6 5" xfId="12601" xr:uid="{00000000-0005-0000-0000-0000E3BA0000}"/>
    <cellStyle name="Normal 12 5 2 6 6" xfId="18077" xr:uid="{00000000-0005-0000-0000-0000E4BA0000}"/>
    <cellStyle name="Normal 12 5 2 6 7" xfId="23553" xr:uid="{00000000-0005-0000-0000-0000E5BA0000}"/>
    <cellStyle name="Normal 12 5 2 6 8" xfId="35348" xr:uid="{00000000-0005-0000-0000-0000E6BA0000}"/>
    <cellStyle name="Normal 12 5 2 6 9" xfId="40825" xr:uid="{00000000-0005-0000-0000-0000E7BA0000}"/>
    <cellStyle name="Normal 12 5 2 7" xfId="1349" xr:uid="{00000000-0005-0000-0000-0000E8BA0000}"/>
    <cellStyle name="Normal 12 5 2 7 10" xfId="46303" xr:uid="{00000000-0005-0000-0000-0000E9BA0000}"/>
    <cellStyle name="Normal 12 5 2 7 11" xfId="51782" xr:uid="{00000000-0005-0000-0000-0000EABA0000}"/>
    <cellStyle name="Normal 12 5 2 7 2" xfId="3110" xr:uid="{00000000-0005-0000-0000-0000EBBA0000}"/>
    <cellStyle name="Normal 12 5 2 7 2 2" xfId="8590" xr:uid="{00000000-0005-0000-0000-0000ECBA0000}"/>
    <cellStyle name="Normal 12 5 2 7 2 3" xfId="14066" xr:uid="{00000000-0005-0000-0000-0000EDBA0000}"/>
    <cellStyle name="Normal 12 5 2 7 2 4" xfId="19542" xr:uid="{00000000-0005-0000-0000-0000EEBA0000}"/>
    <cellStyle name="Normal 12 5 2 7 2 5" xfId="25018" xr:uid="{00000000-0005-0000-0000-0000EFBA0000}"/>
    <cellStyle name="Normal 12 5 2 7 2 6" xfId="36814" xr:uid="{00000000-0005-0000-0000-0000F0BA0000}"/>
    <cellStyle name="Normal 12 5 2 7 2 7" xfId="42291" xr:uid="{00000000-0005-0000-0000-0000F1BA0000}"/>
    <cellStyle name="Normal 12 5 2 7 2 8" xfId="47768" xr:uid="{00000000-0005-0000-0000-0000F2BA0000}"/>
    <cellStyle name="Normal 12 5 2 7 2 9" xfId="53286" xr:uid="{00000000-0005-0000-0000-0000F3BA0000}"/>
    <cellStyle name="Normal 12 5 2 7 3" xfId="4882" xr:uid="{00000000-0005-0000-0000-0000F4BA0000}"/>
    <cellStyle name="Normal 12 5 2 7 3 2" xfId="10362" xr:uid="{00000000-0005-0000-0000-0000F5BA0000}"/>
    <cellStyle name="Normal 12 5 2 7 3 3" xfId="15838" xr:uid="{00000000-0005-0000-0000-0000F6BA0000}"/>
    <cellStyle name="Normal 12 5 2 7 3 4" xfId="21314" xr:uid="{00000000-0005-0000-0000-0000F7BA0000}"/>
    <cellStyle name="Normal 12 5 2 7 3 5" xfId="26790" xr:uid="{00000000-0005-0000-0000-0000F8BA0000}"/>
    <cellStyle name="Normal 12 5 2 7 3 6" xfId="38586" xr:uid="{00000000-0005-0000-0000-0000F9BA0000}"/>
    <cellStyle name="Normal 12 5 2 7 3 7" xfId="44063" xr:uid="{00000000-0005-0000-0000-0000FABA0000}"/>
    <cellStyle name="Normal 12 5 2 7 3 8" xfId="49540" xr:uid="{00000000-0005-0000-0000-0000FBBA0000}"/>
    <cellStyle name="Normal 12 5 2 7 3 9" xfId="55058" xr:uid="{00000000-0005-0000-0000-0000FCBA0000}"/>
    <cellStyle name="Normal 12 5 2 7 4" xfId="7122" xr:uid="{00000000-0005-0000-0000-0000FDBA0000}"/>
    <cellStyle name="Normal 12 5 2 7 5" xfId="12602" xr:uid="{00000000-0005-0000-0000-0000FEBA0000}"/>
    <cellStyle name="Normal 12 5 2 7 6" xfId="18078" xr:uid="{00000000-0005-0000-0000-0000FFBA0000}"/>
    <cellStyle name="Normal 12 5 2 7 7" xfId="23554" xr:uid="{00000000-0005-0000-0000-000000BB0000}"/>
    <cellStyle name="Normal 12 5 2 7 8" xfId="35349" xr:uid="{00000000-0005-0000-0000-000001BB0000}"/>
    <cellStyle name="Normal 12 5 2 7 9" xfId="40826" xr:uid="{00000000-0005-0000-0000-000002BB0000}"/>
    <cellStyle name="Normal 12 5 2 8" xfId="1521" xr:uid="{00000000-0005-0000-0000-000003BB0000}"/>
    <cellStyle name="Normal 12 5 2 8 10" xfId="46304" xr:uid="{00000000-0005-0000-0000-000004BB0000}"/>
    <cellStyle name="Normal 12 5 2 8 11" xfId="51783" xr:uid="{00000000-0005-0000-0000-000005BB0000}"/>
    <cellStyle name="Normal 12 5 2 8 2" xfId="3282" xr:uid="{00000000-0005-0000-0000-000006BB0000}"/>
    <cellStyle name="Normal 12 5 2 8 2 2" xfId="8762" xr:uid="{00000000-0005-0000-0000-000007BB0000}"/>
    <cellStyle name="Normal 12 5 2 8 2 3" xfId="14238" xr:uid="{00000000-0005-0000-0000-000008BB0000}"/>
    <cellStyle name="Normal 12 5 2 8 2 4" xfId="19714" xr:uid="{00000000-0005-0000-0000-000009BB0000}"/>
    <cellStyle name="Normal 12 5 2 8 2 5" xfId="25190" xr:uid="{00000000-0005-0000-0000-00000ABB0000}"/>
    <cellStyle name="Normal 12 5 2 8 2 6" xfId="36986" xr:uid="{00000000-0005-0000-0000-00000BBB0000}"/>
    <cellStyle name="Normal 12 5 2 8 2 7" xfId="42463" xr:uid="{00000000-0005-0000-0000-00000CBB0000}"/>
    <cellStyle name="Normal 12 5 2 8 2 8" xfId="47940" xr:uid="{00000000-0005-0000-0000-00000DBB0000}"/>
    <cellStyle name="Normal 12 5 2 8 2 9" xfId="53458" xr:uid="{00000000-0005-0000-0000-00000EBB0000}"/>
    <cellStyle name="Normal 12 5 2 8 3" xfId="5054" xr:uid="{00000000-0005-0000-0000-00000FBB0000}"/>
    <cellStyle name="Normal 12 5 2 8 3 2" xfId="10534" xr:uid="{00000000-0005-0000-0000-000010BB0000}"/>
    <cellStyle name="Normal 12 5 2 8 3 3" xfId="16010" xr:uid="{00000000-0005-0000-0000-000011BB0000}"/>
    <cellStyle name="Normal 12 5 2 8 3 4" xfId="21486" xr:uid="{00000000-0005-0000-0000-000012BB0000}"/>
    <cellStyle name="Normal 12 5 2 8 3 5" xfId="26962" xr:uid="{00000000-0005-0000-0000-000013BB0000}"/>
    <cellStyle name="Normal 12 5 2 8 3 6" xfId="38758" xr:uid="{00000000-0005-0000-0000-000014BB0000}"/>
    <cellStyle name="Normal 12 5 2 8 3 7" xfId="44235" xr:uid="{00000000-0005-0000-0000-000015BB0000}"/>
    <cellStyle name="Normal 12 5 2 8 3 8" xfId="49712" xr:uid="{00000000-0005-0000-0000-000016BB0000}"/>
    <cellStyle name="Normal 12 5 2 8 3 9" xfId="55230" xr:uid="{00000000-0005-0000-0000-000017BB0000}"/>
    <cellStyle name="Normal 12 5 2 8 4" xfId="7123" xr:uid="{00000000-0005-0000-0000-000018BB0000}"/>
    <cellStyle name="Normal 12 5 2 8 5" xfId="12603" xr:uid="{00000000-0005-0000-0000-000019BB0000}"/>
    <cellStyle name="Normal 12 5 2 8 6" xfId="18079" xr:uid="{00000000-0005-0000-0000-00001ABB0000}"/>
    <cellStyle name="Normal 12 5 2 8 7" xfId="23555" xr:uid="{00000000-0005-0000-0000-00001BBB0000}"/>
    <cellStyle name="Normal 12 5 2 8 8" xfId="35350" xr:uid="{00000000-0005-0000-0000-00001CBB0000}"/>
    <cellStyle name="Normal 12 5 2 8 9" xfId="40827" xr:uid="{00000000-0005-0000-0000-00001DBB0000}"/>
    <cellStyle name="Normal 12 5 2 9" xfId="1693" xr:uid="{00000000-0005-0000-0000-00001EBB0000}"/>
    <cellStyle name="Normal 12 5 2 9 10" xfId="46305" xr:uid="{00000000-0005-0000-0000-00001FBB0000}"/>
    <cellStyle name="Normal 12 5 2 9 11" xfId="51784" xr:uid="{00000000-0005-0000-0000-000020BB0000}"/>
    <cellStyle name="Normal 12 5 2 9 2" xfId="3454" xr:uid="{00000000-0005-0000-0000-000021BB0000}"/>
    <cellStyle name="Normal 12 5 2 9 2 2" xfId="8934" xr:uid="{00000000-0005-0000-0000-000022BB0000}"/>
    <cellStyle name="Normal 12 5 2 9 2 3" xfId="14410" xr:uid="{00000000-0005-0000-0000-000023BB0000}"/>
    <cellStyle name="Normal 12 5 2 9 2 4" xfId="19886" xr:uid="{00000000-0005-0000-0000-000024BB0000}"/>
    <cellStyle name="Normal 12 5 2 9 2 5" xfId="25362" xr:uid="{00000000-0005-0000-0000-000025BB0000}"/>
    <cellStyle name="Normal 12 5 2 9 2 6" xfId="37158" xr:uid="{00000000-0005-0000-0000-000026BB0000}"/>
    <cellStyle name="Normal 12 5 2 9 2 7" xfId="42635" xr:uid="{00000000-0005-0000-0000-000027BB0000}"/>
    <cellStyle name="Normal 12 5 2 9 2 8" xfId="48112" xr:uid="{00000000-0005-0000-0000-000028BB0000}"/>
    <cellStyle name="Normal 12 5 2 9 2 9" xfId="53630" xr:uid="{00000000-0005-0000-0000-000029BB0000}"/>
    <cellStyle name="Normal 12 5 2 9 3" xfId="5226" xr:uid="{00000000-0005-0000-0000-00002ABB0000}"/>
    <cellStyle name="Normal 12 5 2 9 3 2" xfId="10706" xr:uid="{00000000-0005-0000-0000-00002BBB0000}"/>
    <cellStyle name="Normal 12 5 2 9 3 3" xfId="16182" xr:uid="{00000000-0005-0000-0000-00002CBB0000}"/>
    <cellStyle name="Normal 12 5 2 9 3 4" xfId="21658" xr:uid="{00000000-0005-0000-0000-00002DBB0000}"/>
    <cellStyle name="Normal 12 5 2 9 3 5" xfId="27134" xr:uid="{00000000-0005-0000-0000-00002EBB0000}"/>
    <cellStyle name="Normal 12 5 2 9 3 6" xfId="38930" xr:uid="{00000000-0005-0000-0000-00002FBB0000}"/>
    <cellStyle name="Normal 12 5 2 9 3 7" xfId="44407" xr:uid="{00000000-0005-0000-0000-000030BB0000}"/>
    <cellStyle name="Normal 12 5 2 9 3 8" xfId="49884" xr:uid="{00000000-0005-0000-0000-000031BB0000}"/>
    <cellStyle name="Normal 12 5 2 9 3 9" xfId="55402" xr:uid="{00000000-0005-0000-0000-000032BB0000}"/>
    <cellStyle name="Normal 12 5 2 9 4" xfId="7124" xr:uid="{00000000-0005-0000-0000-000033BB0000}"/>
    <cellStyle name="Normal 12 5 2 9 5" xfId="12604" xr:uid="{00000000-0005-0000-0000-000034BB0000}"/>
    <cellStyle name="Normal 12 5 2 9 6" xfId="18080" xr:uid="{00000000-0005-0000-0000-000035BB0000}"/>
    <cellStyle name="Normal 12 5 2 9 7" xfId="23556" xr:uid="{00000000-0005-0000-0000-000036BB0000}"/>
    <cellStyle name="Normal 12 5 2 9 8" xfId="35351" xr:uid="{00000000-0005-0000-0000-000037BB0000}"/>
    <cellStyle name="Normal 12 5 2 9 9" xfId="40828" xr:uid="{00000000-0005-0000-0000-000038BB0000}"/>
    <cellStyle name="Normal 12 5 20" xfId="46293" xr:uid="{00000000-0005-0000-0000-000039BB0000}"/>
    <cellStyle name="Normal 12 5 21" xfId="51772" xr:uid="{00000000-0005-0000-0000-00003ABB0000}"/>
    <cellStyle name="Normal 12 5 3" xfId="449" xr:uid="{00000000-0005-0000-0000-00003BBB0000}"/>
    <cellStyle name="Normal 12 5 3 10" xfId="46306" xr:uid="{00000000-0005-0000-0000-00003CBB0000}"/>
    <cellStyle name="Normal 12 5 3 11" xfId="51785" xr:uid="{00000000-0005-0000-0000-00003DBB0000}"/>
    <cellStyle name="Normal 12 5 3 2" xfId="2215" xr:uid="{00000000-0005-0000-0000-00003EBB0000}"/>
    <cellStyle name="Normal 12 5 3 2 2" xfId="7695" xr:uid="{00000000-0005-0000-0000-00003FBB0000}"/>
    <cellStyle name="Normal 12 5 3 2 3" xfId="13171" xr:uid="{00000000-0005-0000-0000-000040BB0000}"/>
    <cellStyle name="Normal 12 5 3 2 4" xfId="18647" xr:uid="{00000000-0005-0000-0000-000041BB0000}"/>
    <cellStyle name="Normal 12 5 3 2 5" xfId="24123" xr:uid="{00000000-0005-0000-0000-000042BB0000}"/>
    <cellStyle name="Normal 12 5 3 2 6" xfId="35919" xr:uid="{00000000-0005-0000-0000-000043BB0000}"/>
    <cellStyle name="Normal 12 5 3 2 7" xfId="41396" xr:uid="{00000000-0005-0000-0000-000044BB0000}"/>
    <cellStyle name="Normal 12 5 3 2 8" xfId="46873" xr:uid="{00000000-0005-0000-0000-000045BB0000}"/>
    <cellStyle name="Normal 12 5 3 2 9" xfId="52391" xr:uid="{00000000-0005-0000-0000-000046BB0000}"/>
    <cellStyle name="Normal 12 5 3 3" xfId="3987" xr:uid="{00000000-0005-0000-0000-000047BB0000}"/>
    <cellStyle name="Normal 12 5 3 3 2" xfId="9467" xr:uid="{00000000-0005-0000-0000-000048BB0000}"/>
    <cellStyle name="Normal 12 5 3 3 3" xfId="14943" xr:uid="{00000000-0005-0000-0000-000049BB0000}"/>
    <cellStyle name="Normal 12 5 3 3 4" xfId="20419" xr:uid="{00000000-0005-0000-0000-00004ABB0000}"/>
    <cellStyle name="Normal 12 5 3 3 5" xfId="25895" xr:uid="{00000000-0005-0000-0000-00004BBB0000}"/>
    <cellStyle name="Normal 12 5 3 3 6" xfId="37691" xr:uid="{00000000-0005-0000-0000-00004CBB0000}"/>
    <cellStyle name="Normal 12 5 3 3 7" xfId="43168" xr:uid="{00000000-0005-0000-0000-00004DBB0000}"/>
    <cellStyle name="Normal 12 5 3 3 8" xfId="48645" xr:uid="{00000000-0005-0000-0000-00004EBB0000}"/>
    <cellStyle name="Normal 12 5 3 3 9" xfId="54163" xr:uid="{00000000-0005-0000-0000-00004FBB0000}"/>
    <cellStyle name="Normal 12 5 3 4" xfId="7125" xr:uid="{00000000-0005-0000-0000-000050BB0000}"/>
    <cellStyle name="Normal 12 5 3 5" xfId="12605" xr:uid="{00000000-0005-0000-0000-000051BB0000}"/>
    <cellStyle name="Normal 12 5 3 6" xfId="18081" xr:uid="{00000000-0005-0000-0000-000052BB0000}"/>
    <cellStyle name="Normal 12 5 3 7" xfId="23557" xr:uid="{00000000-0005-0000-0000-000053BB0000}"/>
    <cellStyle name="Normal 12 5 3 8" xfId="35352" xr:uid="{00000000-0005-0000-0000-000054BB0000}"/>
    <cellStyle name="Normal 12 5 3 9" xfId="40829" xr:uid="{00000000-0005-0000-0000-000055BB0000}"/>
    <cellStyle name="Normal 12 5 4" xfId="626" xr:uid="{00000000-0005-0000-0000-000056BB0000}"/>
    <cellStyle name="Normal 12 5 4 10" xfId="46307" xr:uid="{00000000-0005-0000-0000-000057BB0000}"/>
    <cellStyle name="Normal 12 5 4 11" xfId="51786" xr:uid="{00000000-0005-0000-0000-000058BB0000}"/>
    <cellStyle name="Normal 12 5 4 2" xfId="2387" xr:uid="{00000000-0005-0000-0000-000059BB0000}"/>
    <cellStyle name="Normal 12 5 4 2 2" xfId="7867" xr:uid="{00000000-0005-0000-0000-00005ABB0000}"/>
    <cellStyle name="Normal 12 5 4 2 3" xfId="13343" xr:uid="{00000000-0005-0000-0000-00005BBB0000}"/>
    <cellStyle name="Normal 12 5 4 2 4" xfId="18819" xr:uid="{00000000-0005-0000-0000-00005CBB0000}"/>
    <cellStyle name="Normal 12 5 4 2 5" xfId="24295" xr:uid="{00000000-0005-0000-0000-00005DBB0000}"/>
    <cellStyle name="Normal 12 5 4 2 6" xfId="36091" xr:uid="{00000000-0005-0000-0000-00005EBB0000}"/>
    <cellStyle name="Normal 12 5 4 2 7" xfId="41568" xr:uid="{00000000-0005-0000-0000-00005FBB0000}"/>
    <cellStyle name="Normal 12 5 4 2 8" xfId="47045" xr:uid="{00000000-0005-0000-0000-000060BB0000}"/>
    <cellStyle name="Normal 12 5 4 2 9" xfId="52563" xr:uid="{00000000-0005-0000-0000-000061BB0000}"/>
    <cellStyle name="Normal 12 5 4 3" xfId="4159" xr:uid="{00000000-0005-0000-0000-000062BB0000}"/>
    <cellStyle name="Normal 12 5 4 3 2" xfId="9639" xr:uid="{00000000-0005-0000-0000-000063BB0000}"/>
    <cellStyle name="Normal 12 5 4 3 3" xfId="15115" xr:uid="{00000000-0005-0000-0000-000064BB0000}"/>
    <cellStyle name="Normal 12 5 4 3 4" xfId="20591" xr:uid="{00000000-0005-0000-0000-000065BB0000}"/>
    <cellStyle name="Normal 12 5 4 3 5" xfId="26067" xr:uid="{00000000-0005-0000-0000-000066BB0000}"/>
    <cellStyle name="Normal 12 5 4 3 6" xfId="37863" xr:uid="{00000000-0005-0000-0000-000067BB0000}"/>
    <cellStyle name="Normal 12 5 4 3 7" xfId="43340" xr:uid="{00000000-0005-0000-0000-000068BB0000}"/>
    <cellStyle name="Normal 12 5 4 3 8" xfId="48817" xr:uid="{00000000-0005-0000-0000-000069BB0000}"/>
    <cellStyle name="Normal 12 5 4 3 9" xfId="54335" xr:uid="{00000000-0005-0000-0000-00006ABB0000}"/>
    <cellStyle name="Normal 12 5 4 4" xfId="7126" xr:uid="{00000000-0005-0000-0000-00006BBB0000}"/>
    <cellStyle name="Normal 12 5 4 5" xfId="12606" xr:uid="{00000000-0005-0000-0000-00006CBB0000}"/>
    <cellStyle name="Normal 12 5 4 6" xfId="18082" xr:uid="{00000000-0005-0000-0000-00006DBB0000}"/>
    <cellStyle name="Normal 12 5 4 7" xfId="23558" xr:uid="{00000000-0005-0000-0000-00006EBB0000}"/>
    <cellStyle name="Normal 12 5 4 8" xfId="35353" xr:uid="{00000000-0005-0000-0000-00006FBB0000}"/>
    <cellStyle name="Normal 12 5 4 9" xfId="40830" xr:uid="{00000000-0005-0000-0000-000070BB0000}"/>
    <cellStyle name="Normal 12 5 5" xfId="798" xr:uid="{00000000-0005-0000-0000-000071BB0000}"/>
    <cellStyle name="Normal 12 5 5 10" xfId="46308" xr:uid="{00000000-0005-0000-0000-000072BB0000}"/>
    <cellStyle name="Normal 12 5 5 11" xfId="51787" xr:uid="{00000000-0005-0000-0000-000073BB0000}"/>
    <cellStyle name="Normal 12 5 5 2" xfId="2559" xr:uid="{00000000-0005-0000-0000-000074BB0000}"/>
    <cellStyle name="Normal 12 5 5 2 2" xfId="8039" xr:uid="{00000000-0005-0000-0000-000075BB0000}"/>
    <cellStyle name="Normal 12 5 5 2 3" xfId="13515" xr:uid="{00000000-0005-0000-0000-000076BB0000}"/>
    <cellStyle name="Normal 12 5 5 2 4" xfId="18991" xr:uid="{00000000-0005-0000-0000-000077BB0000}"/>
    <cellStyle name="Normal 12 5 5 2 5" xfId="24467" xr:uid="{00000000-0005-0000-0000-000078BB0000}"/>
    <cellStyle name="Normal 12 5 5 2 6" xfId="36263" xr:uid="{00000000-0005-0000-0000-000079BB0000}"/>
    <cellStyle name="Normal 12 5 5 2 7" xfId="41740" xr:uid="{00000000-0005-0000-0000-00007ABB0000}"/>
    <cellStyle name="Normal 12 5 5 2 8" xfId="47217" xr:uid="{00000000-0005-0000-0000-00007BBB0000}"/>
    <cellStyle name="Normal 12 5 5 2 9" xfId="52735" xr:uid="{00000000-0005-0000-0000-00007CBB0000}"/>
    <cellStyle name="Normal 12 5 5 3" xfId="4331" xr:uid="{00000000-0005-0000-0000-00007DBB0000}"/>
    <cellStyle name="Normal 12 5 5 3 2" xfId="9811" xr:uid="{00000000-0005-0000-0000-00007EBB0000}"/>
    <cellStyle name="Normal 12 5 5 3 3" xfId="15287" xr:uid="{00000000-0005-0000-0000-00007FBB0000}"/>
    <cellStyle name="Normal 12 5 5 3 4" xfId="20763" xr:uid="{00000000-0005-0000-0000-000080BB0000}"/>
    <cellStyle name="Normal 12 5 5 3 5" xfId="26239" xr:uid="{00000000-0005-0000-0000-000081BB0000}"/>
    <cellStyle name="Normal 12 5 5 3 6" xfId="38035" xr:uid="{00000000-0005-0000-0000-000082BB0000}"/>
    <cellStyle name="Normal 12 5 5 3 7" xfId="43512" xr:uid="{00000000-0005-0000-0000-000083BB0000}"/>
    <cellStyle name="Normal 12 5 5 3 8" xfId="48989" xr:uid="{00000000-0005-0000-0000-000084BB0000}"/>
    <cellStyle name="Normal 12 5 5 3 9" xfId="54507" xr:uid="{00000000-0005-0000-0000-000085BB0000}"/>
    <cellStyle name="Normal 12 5 5 4" xfId="7127" xr:uid="{00000000-0005-0000-0000-000086BB0000}"/>
    <cellStyle name="Normal 12 5 5 5" xfId="12607" xr:uid="{00000000-0005-0000-0000-000087BB0000}"/>
    <cellStyle name="Normal 12 5 5 6" xfId="18083" xr:uid="{00000000-0005-0000-0000-000088BB0000}"/>
    <cellStyle name="Normal 12 5 5 7" xfId="23559" xr:uid="{00000000-0005-0000-0000-000089BB0000}"/>
    <cellStyle name="Normal 12 5 5 8" xfId="35354" xr:uid="{00000000-0005-0000-0000-00008ABB0000}"/>
    <cellStyle name="Normal 12 5 5 9" xfId="40831" xr:uid="{00000000-0005-0000-0000-00008BBB0000}"/>
    <cellStyle name="Normal 12 5 6" xfId="970" xr:uid="{00000000-0005-0000-0000-00008CBB0000}"/>
    <cellStyle name="Normal 12 5 6 10" xfId="46309" xr:uid="{00000000-0005-0000-0000-00008DBB0000}"/>
    <cellStyle name="Normal 12 5 6 11" xfId="51788" xr:uid="{00000000-0005-0000-0000-00008EBB0000}"/>
    <cellStyle name="Normal 12 5 6 2" xfId="2731" xr:uid="{00000000-0005-0000-0000-00008FBB0000}"/>
    <cellStyle name="Normal 12 5 6 2 2" xfId="8211" xr:uid="{00000000-0005-0000-0000-000090BB0000}"/>
    <cellStyle name="Normal 12 5 6 2 3" xfId="13687" xr:uid="{00000000-0005-0000-0000-000091BB0000}"/>
    <cellStyle name="Normal 12 5 6 2 4" xfId="19163" xr:uid="{00000000-0005-0000-0000-000092BB0000}"/>
    <cellStyle name="Normal 12 5 6 2 5" xfId="24639" xr:uid="{00000000-0005-0000-0000-000093BB0000}"/>
    <cellStyle name="Normal 12 5 6 2 6" xfId="36435" xr:uid="{00000000-0005-0000-0000-000094BB0000}"/>
    <cellStyle name="Normal 12 5 6 2 7" xfId="41912" xr:uid="{00000000-0005-0000-0000-000095BB0000}"/>
    <cellStyle name="Normal 12 5 6 2 8" xfId="47389" xr:uid="{00000000-0005-0000-0000-000096BB0000}"/>
    <cellStyle name="Normal 12 5 6 2 9" xfId="52907" xr:uid="{00000000-0005-0000-0000-000097BB0000}"/>
    <cellStyle name="Normal 12 5 6 3" xfId="4503" xr:uid="{00000000-0005-0000-0000-000098BB0000}"/>
    <cellStyle name="Normal 12 5 6 3 2" xfId="9983" xr:uid="{00000000-0005-0000-0000-000099BB0000}"/>
    <cellStyle name="Normal 12 5 6 3 3" xfId="15459" xr:uid="{00000000-0005-0000-0000-00009ABB0000}"/>
    <cellStyle name="Normal 12 5 6 3 4" xfId="20935" xr:uid="{00000000-0005-0000-0000-00009BBB0000}"/>
    <cellStyle name="Normal 12 5 6 3 5" xfId="26411" xr:uid="{00000000-0005-0000-0000-00009CBB0000}"/>
    <cellStyle name="Normal 12 5 6 3 6" xfId="38207" xr:uid="{00000000-0005-0000-0000-00009DBB0000}"/>
    <cellStyle name="Normal 12 5 6 3 7" xfId="43684" xr:uid="{00000000-0005-0000-0000-00009EBB0000}"/>
    <cellStyle name="Normal 12 5 6 3 8" xfId="49161" xr:uid="{00000000-0005-0000-0000-00009FBB0000}"/>
    <cellStyle name="Normal 12 5 6 3 9" xfId="54679" xr:uid="{00000000-0005-0000-0000-0000A0BB0000}"/>
    <cellStyle name="Normal 12 5 6 4" xfId="7128" xr:uid="{00000000-0005-0000-0000-0000A1BB0000}"/>
    <cellStyle name="Normal 12 5 6 5" xfId="12608" xr:uid="{00000000-0005-0000-0000-0000A2BB0000}"/>
    <cellStyle name="Normal 12 5 6 6" xfId="18084" xr:uid="{00000000-0005-0000-0000-0000A3BB0000}"/>
    <cellStyle name="Normal 12 5 6 7" xfId="23560" xr:uid="{00000000-0005-0000-0000-0000A4BB0000}"/>
    <cellStyle name="Normal 12 5 6 8" xfId="35355" xr:uid="{00000000-0005-0000-0000-0000A5BB0000}"/>
    <cellStyle name="Normal 12 5 6 9" xfId="40832" xr:uid="{00000000-0005-0000-0000-0000A6BB0000}"/>
    <cellStyle name="Normal 12 5 7" xfId="1176" xr:uid="{00000000-0005-0000-0000-0000A7BB0000}"/>
    <cellStyle name="Normal 12 5 7 10" xfId="46310" xr:uid="{00000000-0005-0000-0000-0000A8BB0000}"/>
    <cellStyle name="Normal 12 5 7 11" xfId="51789" xr:uid="{00000000-0005-0000-0000-0000A9BB0000}"/>
    <cellStyle name="Normal 12 5 7 2" xfId="2937" xr:uid="{00000000-0005-0000-0000-0000AABB0000}"/>
    <cellStyle name="Normal 12 5 7 2 2" xfId="8417" xr:uid="{00000000-0005-0000-0000-0000ABBB0000}"/>
    <cellStyle name="Normal 12 5 7 2 3" xfId="13893" xr:uid="{00000000-0005-0000-0000-0000ACBB0000}"/>
    <cellStyle name="Normal 12 5 7 2 4" xfId="19369" xr:uid="{00000000-0005-0000-0000-0000ADBB0000}"/>
    <cellStyle name="Normal 12 5 7 2 5" xfId="24845" xr:uid="{00000000-0005-0000-0000-0000AEBB0000}"/>
    <cellStyle name="Normal 12 5 7 2 6" xfId="36641" xr:uid="{00000000-0005-0000-0000-0000AFBB0000}"/>
    <cellStyle name="Normal 12 5 7 2 7" xfId="42118" xr:uid="{00000000-0005-0000-0000-0000B0BB0000}"/>
    <cellStyle name="Normal 12 5 7 2 8" xfId="47595" xr:uid="{00000000-0005-0000-0000-0000B1BB0000}"/>
    <cellStyle name="Normal 12 5 7 2 9" xfId="53113" xr:uid="{00000000-0005-0000-0000-0000B2BB0000}"/>
    <cellStyle name="Normal 12 5 7 3" xfId="4709" xr:uid="{00000000-0005-0000-0000-0000B3BB0000}"/>
    <cellStyle name="Normal 12 5 7 3 2" xfId="10189" xr:uid="{00000000-0005-0000-0000-0000B4BB0000}"/>
    <cellStyle name="Normal 12 5 7 3 3" xfId="15665" xr:uid="{00000000-0005-0000-0000-0000B5BB0000}"/>
    <cellStyle name="Normal 12 5 7 3 4" xfId="21141" xr:uid="{00000000-0005-0000-0000-0000B6BB0000}"/>
    <cellStyle name="Normal 12 5 7 3 5" xfId="26617" xr:uid="{00000000-0005-0000-0000-0000B7BB0000}"/>
    <cellStyle name="Normal 12 5 7 3 6" xfId="38413" xr:uid="{00000000-0005-0000-0000-0000B8BB0000}"/>
    <cellStyle name="Normal 12 5 7 3 7" xfId="43890" xr:uid="{00000000-0005-0000-0000-0000B9BB0000}"/>
    <cellStyle name="Normal 12 5 7 3 8" xfId="49367" xr:uid="{00000000-0005-0000-0000-0000BABB0000}"/>
    <cellStyle name="Normal 12 5 7 3 9" xfId="54885" xr:uid="{00000000-0005-0000-0000-0000BBBB0000}"/>
    <cellStyle name="Normal 12 5 7 4" xfId="7129" xr:uid="{00000000-0005-0000-0000-0000BCBB0000}"/>
    <cellStyle name="Normal 12 5 7 5" xfId="12609" xr:uid="{00000000-0005-0000-0000-0000BDBB0000}"/>
    <cellStyle name="Normal 12 5 7 6" xfId="18085" xr:uid="{00000000-0005-0000-0000-0000BEBB0000}"/>
    <cellStyle name="Normal 12 5 7 7" xfId="23561" xr:uid="{00000000-0005-0000-0000-0000BFBB0000}"/>
    <cellStyle name="Normal 12 5 7 8" xfId="35356" xr:uid="{00000000-0005-0000-0000-0000C0BB0000}"/>
    <cellStyle name="Normal 12 5 7 9" xfId="40833" xr:uid="{00000000-0005-0000-0000-0000C1BB0000}"/>
    <cellStyle name="Normal 12 5 8" xfId="1348" xr:uid="{00000000-0005-0000-0000-0000C2BB0000}"/>
    <cellStyle name="Normal 12 5 8 10" xfId="46311" xr:uid="{00000000-0005-0000-0000-0000C3BB0000}"/>
    <cellStyle name="Normal 12 5 8 11" xfId="51790" xr:uid="{00000000-0005-0000-0000-0000C4BB0000}"/>
    <cellStyle name="Normal 12 5 8 2" xfId="3109" xr:uid="{00000000-0005-0000-0000-0000C5BB0000}"/>
    <cellStyle name="Normal 12 5 8 2 2" xfId="8589" xr:uid="{00000000-0005-0000-0000-0000C6BB0000}"/>
    <cellStyle name="Normal 12 5 8 2 3" xfId="14065" xr:uid="{00000000-0005-0000-0000-0000C7BB0000}"/>
    <cellStyle name="Normal 12 5 8 2 4" xfId="19541" xr:uid="{00000000-0005-0000-0000-0000C8BB0000}"/>
    <cellStyle name="Normal 12 5 8 2 5" xfId="25017" xr:uid="{00000000-0005-0000-0000-0000C9BB0000}"/>
    <cellStyle name="Normal 12 5 8 2 6" xfId="36813" xr:uid="{00000000-0005-0000-0000-0000CABB0000}"/>
    <cellStyle name="Normal 12 5 8 2 7" xfId="42290" xr:uid="{00000000-0005-0000-0000-0000CBBB0000}"/>
    <cellStyle name="Normal 12 5 8 2 8" xfId="47767" xr:uid="{00000000-0005-0000-0000-0000CCBB0000}"/>
    <cellStyle name="Normal 12 5 8 2 9" xfId="53285" xr:uid="{00000000-0005-0000-0000-0000CDBB0000}"/>
    <cellStyle name="Normal 12 5 8 3" xfId="4881" xr:uid="{00000000-0005-0000-0000-0000CEBB0000}"/>
    <cellStyle name="Normal 12 5 8 3 2" xfId="10361" xr:uid="{00000000-0005-0000-0000-0000CFBB0000}"/>
    <cellStyle name="Normal 12 5 8 3 3" xfId="15837" xr:uid="{00000000-0005-0000-0000-0000D0BB0000}"/>
    <cellStyle name="Normal 12 5 8 3 4" xfId="21313" xr:uid="{00000000-0005-0000-0000-0000D1BB0000}"/>
    <cellStyle name="Normal 12 5 8 3 5" xfId="26789" xr:uid="{00000000-0005-0000-0000-0000D2BB0000}"/>
    <cellStyle name="Normal 12 5 8 3 6" xfId="38585" xr:uid="{00000000-0005-0000-0000-0000D3BB0000}"/>
    <cellStyle name="Normal 12 5 8 3 7" xfId="44062" xr:uid="{00000000-0005-0000-0000-0000D4BB0000}"/>
    <cellStyle name="Normal 12 5 8 3 8" xfId="49539" xr:uid="{00000000-0005-0000-0000-0000D5BB0000}"/>
    <cellStyle name="Normal 12 5 8 3 9" xfId="55057" xr:uid="{00000000-0005-0000-0000-0000D6BB0000}"/>
    <cellStyle name="Normal 12 5 8 4" xfId="7130" xr:uid="{00000000-0005-0000-0000-0000D7BB0000}"/>
    <cellStyle name="Normal 12 5 8 5" xfId="12610" xr:uid="{00000000-0005-0000-0000-0000D8BB0000}"/>
    <cellStyle name="Normal 12 5 8 6" xfId="18086" xr:uid="{00000000-0005-0000-0000-0000D9BB0000}"/>
    <cellStyle name="Normal 12 5 8 7" xfId="23562" xr:uid="{00000000-0005-0000-0000-0000DABB0000}"/>
    <cellStyle name="Normal 12 5 8 8" xfId="35357" xr:uid="{00000000-0005-0000-0000-0000DBBB0000}"/>
    <cellStyle name="Normal 12 5 8 9" xfId="40834" xr:uid="{00000000-0005-0000-0000-0000DCBB0000}"/>
    <cellStyle name="Normal 12 5 9" xfId="1520" xr:uid="{00000000-0005-0000-0000-0000DDBB0000}"/>
    <cellStyle name="Normal 12 5 9 10" xfId="46312" xr:uid="{00000000-0005-0000-0000-0000DEBB0000}"/>
    <cellStyle name="Normal 12 5 9 11" xfId="51791" xr:uid="{00000000-0005-0000-0000-0000DFBB0000}"/>
    <cellStyle name="Normal 12 5 9 2" xfId="3281" xr:uid="{00000000-0005-0000-0000-0000E0BB0000}"/>
    <cellStyle name="Normal 12 5 9 2 2" xfId="8761" xr:uid="{00000000-0005-0000-0000-0000E1BB0000}"/>
    <cellStyle name="Normal 12 5 9 2 3" xfId="14237" xr:uid="{00000000-0005-0000-0000-0000E2BB0000}"/>
    <cellStyle name="Normal 12 5 9 2 4" xfId="19713" xr:uid="{00000000-0005-0000-0000-0000E3BB0000}"/>
    <cellStyle name="Normal 12 5 9 2 5" xfId="25189" xr:uid="{00000000-0005-0000-0000-0000E4BB0000}"/>
    <cellStyle name="Normal 12 5 9 2 6" xfId="36985" xr:uid="{00000000-0005-0000-0000-0000E5BB0000}"/>
    <cellStyle name="Normal 12 5 9 2 7" xfId="42462" xr:uid="{00000000-0005-0000-0000-0000E6BB0000}"/>
    <cellStyle name="Normal 12 5 9 2 8" xfId="47939" xr:uid="{00000000-0005-0000-0000-0000E7BB0000}"/>
    <cellStyle name="Normal 12 5 9 2 9" xfId="53457" xr:uid="{00000000-0005-0000-0000-0000E8BB0000}"/>
    <cellStyle name="Normal 12 5 9 3" xfId="5053" xr:uid="{00000000-0005-0000-0000-0000E9BB0000}"/>
    <cellStyle name="Normal 12 5 9 3 2" xfId="10533" xr:uid="{00000000-0005-0000-0000-0000EABB0000}"/>
    <cellStyle name="Normal 12 5 9 3 3" xfId="16009" xr:uid="{00000000-0005-0000-0000-0000EBBB0000}"/>
    <cellStyle name="Normal 12 5 9 3 4" xfId="21485" xr:uid="{00000000-0005-0000-0000-0000ECBB0000}"/>
    <cellStyle name="Normal 12 5 9 3 5" xfId="26961" xr:uid="{00000000-0005-0000-0000-0000EDBB0000}"/>
    <cellStyle name="Normal 12 5 9 3 6" xfId="38757" xr:uid="{00000000-0005-0000-0000-0000EEBB0000}"/>
    <cellStyle name="Normal 12 5 9 3 7" xfId="44234" xr:uid="{00000000-0005-0000-0000-0000EFBB0000}"/>
    <cellStyle name="Normal 12 5 9 3 8" xfId="49711" xr:uid="{00000000-0005-0000-0000-0000F0BB0000}"/>
    <cellStyle name="Normal 12 5 9 3 9" xfId="55229" xr:uid="{00000000-0005-0000-0000-0000F1BB0000}"/>
    <cellStyle name="Normal 12 5 9 4" xfId="7131" xr:uid="{00000000-0005-0000-0000-0000F2BB0000}"/>
    <cellStyle name="Normal 12 5 9 5" xfId="12611" xr:uid="{00000000-0005-0000-0000-0000F3BB0000}"/>
    <cellStyle name="Normal 12 5 9 6" xfId="18087" xr:uid="{00000000-0005-0000-0000-0000F4BB0000}"/>
    <cellStyle name="Normal 12 5 9 7" xfId="23563" xr:uid="{00000000-0005-0000-0000-0000F5BB0000}"/>
    <cellStyle name="Normal 12 5 9 8" xfId="35358" xr:uid="{00000000-0005-0000-0000-0000F6BB0000}"/>
    <cellStyle name="Normal 12 5 9 9" xfId="40835" xr:uid="{00000000-0005-0000-0000-0000F7BB0000}"/>
    <cellStyle name="Normal 12 6" xfId="204" xr:uid="{00000000-0005-0000-0000-0000F8BB0000}"/>
    <cellStyle name="Normal 12 6 10" xfId="1885" xr:uid="{00000000-0005-0000-0000-0000F9BB0000}"/>
    <cellStyle name="Normal 12 6 10 10" xfId="46314" xr:uid="{00000000-0005-0000-0000-0000FABB0000}"/>
    <cellStyle name="Normal 12 6 10 11" xfId="51793" xr:uid="{00000000-0005-0000-0000-0000FBBB0000}"/>
    <cellStyle name="Normal 12 6 10 2" xfId="3646" xr:uid="{00000000-0005-0000-0000-0000FCBB0000}"/>
    <cellStyle name="Normal 12 6 10 2 2" xfId="9126" xr:uid="{00000000-0005-0000-0000-0000FDBB0000}"/>
    <cellStyle name="Normal 12 6 10 2 3" xfId="14602" xr:uid="{00000000-0005-0000-0000-0000FEBB0000}"/>
    <cellStyle name="Normal 12 6 10 2 4" xfId="20078" xr:uid="{00000000-0005-0000-0000-0000FFBB0000}"/>
    <cellStyle name="Normal 12 6 10 2 5" xfId="25554" xr:uid="{00000000-0005-0000-0000-000000BC0000}"/>
    <cellStyle name="Normal 12 6 10 2 6" xfId="37350" xr:uid="{00000000-0005-0000-0000-000001BC0000}"/>
    <cellStyle name="Normal 12 6 10 2 7" xfId="42827" xr:uid="{00000000-0005-0000-0000-000002BC0000}"/>
    <cellStyle name="Normal 12 6 10 2 8" xfId="48304" xr:uid="{00000000-0005-0000-0000-000003BC0000}"/>
    <cellStyle name="Normal 12 6 10 2 9" xfId="53822" xr:uid="{00000000-0005-0000-0000-000004BC0000}"/>
    <cellStyle name="Normal 12 6 10 3" xfId="5418" xr:uid="{00000000-0005-0000-0000-000005BC0000}"/>
    <cellStyle name="Normal 12 6 10 3 2" xfId="10898" xr:uid="{00000000-0005-0000-0000-000006BC0000}"/>
    <cellStyle name="Normal 12 6 10 3 3" xfId="16374" xr:uid="{00000000-0005-0000-0000-000007BC0000}"/>
    <cellStyle name="Normal 12 6 10 3 4" xfId="21850" xr:uid="{00000000-0005-0000-0000-000008BC0000}"/>
    <cellStyle name="Normal 12 6 10 3 5" xfId="27326" xr:uid="{00000000-0005-0000-0000-000009BC0000}"/>
    <cellStyle name="Normal 12 6 10 3 6" xfId="39122" xr:uid="{00000000-0005-0000-0000-00000ABC0000}"/>
    <cellStyle name="Normal 12 6 10 3 7" xfId="44599" xr:uid="{00000000-0005-0000-0000-00000BBC0000}"/>
    <cellStyle name="Normal 12 6 10 3 8" xfId="50076" xr:uid="{00000000-0005-0000-0000-00000CBC0000}"/>
    <cellStyle name="Normal 12 6 10 3 9" xfId="55594" xr:uid="{00000000-0005-0000-0000-00000DBC0000}"/>
    <cellStyle name="Normal 12 6 10 4" xfId="7133" xr:uid="{00000000-0005-0000-0000-00000EBC0000}"/>
    <cellStyle name="Normal 12 6 10 5" xfId="12613" xr:uid="{00000000-0005-0000-0000-00000FBC0000}"/>
    <cellStyle name="Normal 12 6 10 6" xfId="18089" xr:uid="{00000000-0005-0000-0000-000010BC0000}"/>
    <cellStyle name="Normal 12 6 10 7" xfId="23565" xr:uid="{00000000-0005-0000-0000-000011BC0000}"/>
    <cellStyle name="Normal 12 6 10 8" xfId="35360" xr:uid="{00000000-0005-0000-0000-000012BC0000}"/>
    <cellStyle name="Normal 12 6 10 9" xfId="40837" xr:uid="{00000000-0005-0000-0000-000013BC0000}"/>
    <cellStyle name="Normal 12 6 11" xfId="2056" xr:uid="{00000000-0005-0000-0000-000014BC0000}"/>
    <cellStyle name="Normal 12 6 11 10" xfId="52233" xr:uid="{00000000-0005-0000-0000-000015BC0000}"/>
    <cellStyle name="Normal 12 6 11 2" xfId="5588" xr:uid="{00000000-0005-0000-0000-000016BC0000}"/>
    <cellStyle name="Normal 12 6 11 2 2" xfId="11068" xr:uid="{00000000-0005-0000-0000-000017BC0000}"/>
    <cellStyle name="Normal 12 6 11 2 3" xfId="16544" xr:uid="{00000000-0005-0000-0000-000018BC0000}"/>
    <cellStyle name="Normal 12 6 11 2 4" xfId="22020" xr:uid="{00000000-0005-0000-0000-000019BC0000}"/>
    <cellStyle name="Normal 12 6 11 2 5" xfId="27496" xr:uid="{00000000-0005-0000-0000-00001ABC0000}"/>
    <cellStyle name="Normal 12 6 11 2 6" xfId="39292" xr:uid="{00000000-0005-0000-0000-00001BBC0000}"/>
    <cellStyle name="Normal 12 6 11 2 7" xfId="44769" xr:uid="{00000000-0005-0000-0000-00001CBC0000}"/>
    <cellStyle name="Normal 12 6 11 2 8" xfId="50246" xr:uid="{00000000-0005-0000-0000-00001DBC0000}"/>
    <cellStyle name="Normal 12 6 11 2 9" xfId="55764" xr:uid="{00000000-0005-0000-0000-00001EBC0000}"/>
    <cellStyle name="Normal 12 6 11 3" xfId="7537" xr:uid="{00000000-0005-0000-0000-00001FBC0000}"/>
    <cellStyle name="Normal 12 6 11 4" xfId="13013" xr:uid="{00000000-0005-0000-0000-000020BC0000}"/>
    <cellStyle name="Normal 12 6 11 5" xfId="18489" xr:uid="{00000000-0005-0000-0000-000021BC0000}"/>
    <cellStyle name="Normal 12 6 11 6" xfId="23965" xr:uid="{00000000-0005-0000-0000-000022BC0000}"/>
    <cellStyle name="Normal 12 6 11 7" xfId="35761" xr:uid="{00000000-0005-0000-0000-000023BC0000}"/>
    <cellStyle name="Normal 12 6 11 8" xfId="41238" xr:uid="{00000000-0005-0000-0000-000024BC0000}"/>
    <cellStyle name="Normal 12 6 11 9" xfId="46715" xr:uid="{00000000-0005-0000-0000-000025BC0000}"/>
    <cellStyle name="Normal 12 6 12" xfId="3770" xr:uid="{00000000-0005-0000-0000-000026BC0000}"/>
    <cellStyle name="Normal 12 6 12 2" xfId="9250" xr:uid="{00000000-0005-0000-0000-000027BC0000}"/>
    <cellStyle name="Normal 12 6 12 3" xfId="14726" xr:uid="{00000000-0005-0000-0000-000028BC0000}"/>
    <cellStyle name="Normal 12 6 12 4" xfId="20202" xr:uid="{00000000-0005-0000-0000-000029BC0000}"/>
    <cellStyle name="Normal 12 6 12 5" xfId="25678" xr:uid="{00000000-0005-0000-0000-00002ABC0000}"/>
    <cellStyle name="Normal 12 6 12 6" xfId="37474" xr:uid="{00000000-0005-0000-0000-00002BBC0000}"/>
    <cellStyle name="Normal 12 6 12 7" xfId="42951" xr:uid="{00000000-0005-0000-0000-00002CBC0000}"/>
    <cellStyle name="Normal 12 6 12 8" xfId="48428" xr:uid="{00000000-0005-0000-0000-00002DBC0000}"/>
    <cellStyle name="Normal 12 6 12 9" xfId="53946" xr:uid="{00000000-0005-0000-0000-00002EBC0000}"/>
    <cellStyle name="Normal 12 6 13" xfId="7132" xr:uid="{00000000-0005-0000-0000-00002FBC0000}"/>
    <cellStyle name="Normal 12 6 14" xfId="12612" xr:uid="{00000000-0005-0000-0000-000030BC0000}"/>
    <cellStyle name="Normal 12 6 15" xfId="18088" xr:uid="{00000000-0005-0000-0000-000031BC0000}"/>
    <cellStyle name="Normal 12 6 16" xfId="23564" xr:uid="{00000000-0005-0000-0000-000032BC0000}"/>
    <cellStyle name="Normal 12 6 17" xfId="35359" xr:uid="{00000000-0005-0000-0000-000033BC0000}"/>
    <cellStyle name="Normal 12 6 18" xfId="40836" xr:uid="{00000000-0005-0000-0000-000034BC0000}"/>
    <cellStyle name="Normal 12 6 19" xfId="46313" xr:uid="{00000000-0005-0000-0000-000035BC0000}"/>
    <cellStyle name="Normal 12 6 2" xfId="451" xr:uid="{00000000-0005-0000-0000-000036BC0000}"/>
    <cellStyle name="Normal 12 6 2 10" xfId="46315" xr:uid="{00000000-0005-0000-0000-000037BC0000}"/>
    <cellStyle name="Normal 12 6 2 11" xfId="51794" xr:uid="{00000000-0005-0000-0000-000038BC0000}"/>
    <cellStyle name="Normal 12 6 2 2" xfId="2217" xr:uid="{00000000-0005-0000-0000-000039BC0000}"/>
    <cellStyle name="Normal 12 6 2 2 2" xfId="7697" xr:uid="{00000000-0005-0000-0000-00003ABC0000}"/>
    <cellStyle name="Normal 12 6 2 2 3" xfId="13173" xr:uid="{00000000-0005-0000-0000-00003BBC0000}"/>
    <cellStyle name="Normal 12 6 2 2 4" xfId="18649" xr:uid="{00000000-0005-0000-0000-00003CBC0000}"/>
    <cellStyle name="Normal 12 6 2 2 5" xfId="24125" xr:uid="{00000000-0005-0000-0000-00003DBC0000}"/>
    <cellStyle name="Normal 12 6 2 2 6" xfId="35921" xr:uid="{00000000-0005-0000-0000-00003EBC0000}"/>
    <cellStyle name="Normal 12 6 2 2 7" xfId="41398" xr:uid="{00000000-0005-0000-0000-00003FBC0000}"/>
    <cellStyle name="Normal 12 6 2 2 8" xfId="46875" xr:uid="{00000000-0005-0000-0000-000040BC0000}"/>
    <cellStyle name="Normal 12 6 2 2 9" xfId="52393" xr:uid="{00000000-0005-0000-0000-000041BC0000}"/>
    <cellStyle name="Normal 12 6 2 3" xfId="3989" xr:uid="{00000000-0005-0000-0000-000042BC0000}"/>
    <cellStyle name="Normal 12 6 2 3 2" xfId="9469" xr:uid="{00000000-0005-0000-0000-000043BC0000}"/>
    <cellStyle name="Normal 12 6 2 3 3" xfId="14945" xr:uid="{00000000-0005-0000-0000-000044BC0000}"/>
    <cellStyle name="Normal 12 6 2 3 4" xfId="20421" xr:uid="{00000000-0005-0000-0000-000045BC0000}"/>
    <cellStyle name="Normal 12 6 2 3 5" xfId="25897" xr:uid="{00000000-0005-0000-0000-000046BC0000}"/>
    <cellStyle name="Normal 12 6 2 3 6" xfId="37693" xr:uid="{00000000-0005-0000-0000-000047BC0000}"/>
    <cellStyle name="Normal 12 6 2 3 7" xfId="43170" xr:uid="{00000000-0005-0000-0000-000048BC0000}"/>
    <cellStyle name="Normal 12 6 2 3 8" xfId="48647" xr:uid="{00000000-0005-0000-0000-000049BC0000}"/>
    <cellStyle name="Normal 12 6 2 3 9" xfId="54165" xr:uid="{00000000-0005-0000-0000-00004ABC0000}"/>
    <cellStyle name="Normal 12 6 2 4" xfId="7134" xr:uid="{00000000-0005-0000-0000-00004BBC0000}"/>
    <cellStyle name="Normal 12 6 2 5" xfId="12614" xr:uid="{00000000-0005-0000-0000-00004CBC0000}"/>
    <cellStyle name="Normal 12 6 2 6" xfId="18090" xr:uid="{00000000-0005-0000-0000-00004DBC0000}"/>
    <cellStyle name="Normal 12 6 2 7" xfId="23566" xr:uid="{00000000-0005-0000-0000-00004EBC0000}"/>
    <cellStyle name="Normal 12 6 2 8" xfId="35361" xr:uid="{00000000-0005-0000-0000-00004FBC0000}"/>
    <cellStyle name="Normal 12 6 2 9" xfId="40838" xr:uid="{00000000-0005-0000-0000-000050BC0000}"/>
    <cellStyle name="Normal 12 6 20" xfId="51792" xr:uid="{00000000-0005-0000-0000-000051BC0000}"/>
    <cellStyle name="Normal 12 6 3" xfId="628" xr:uid="{00000000-0005-0000-0000-000052BC0000}"/>
    <cellStyle name="Normal 12 6 3 10" xfId="46316" xr:uid="{00000000-0005-0000-0000-000053BC0000}"/>
    <cellStyle name="Normal 12 6 3 11" xfId="51795" xr:uid="{00000000-0005-0000-0000-000054BC0000}"/>
    <cellStyle name="Normal 12 6 3 2" xfId="2389" xr:uid="{00000000-0005-0000-0000-000055BC0000}"/>
    <cellStyle name="Normal 12 6 3 2 2" xfId="7869" xr:uid="{00000000-0005-0000-0000-000056BC0000}"/>
    <cellStyle name="Normal 12 6 3 2 3" xfId="13345" xr:uid="{00000000-0005-0000-0000-000057BC0000}"/>
    <cellStyle name="Normal 12 6 3 2 4" xfId="18821" xr:uid="{00000000-0005-0000-0000-000058BC0000}"/>
    <cellStyle name="Normal 12 6 3 2 5" xfId="24297" xr:uid="{00000000-0005-0000-0000-000059BC0000}"/>
    <cellStyle name="Normal 12 6 3 2 6" xfId="36093" xr:uid="{00000000-0005-0000-0000-00005ABC0000}"/>
    <cellStyle name="Normal 12 6 3 2 7" xfId="41570" xr:uid="{00000000-0005-0000-0000-00005BBC0000}"/>
    <cellStyle name="Normal 12 6 3 2 8" xfId="47047" xr:uid="{00000000-0005-0000-0000-00005CBC0000}"/>
    <cellStyle name="Normal 12 6 3 2 9" xfId="52565" xr:uid="{00000000-0005-0000-0000-00005DBC0000}"/>
    <cellStyle name="Normal 12 6 3 3" xfId="4161" xr:uid="{00000000-0005-0000-0000-00005EBC0000}"/>
    <cellStyle name="Normal 12 6 3 3 2" xfId="9641" xr:uid="{00000000-0005-0000-0000-00005FBC0000}"/>
    <cellStyle name="Normal 12 6 3 3 3" xfId="15117" xr:uid="{00000000-0005-0000-0000-000060BC0000}"/>
    <cellStyle name="Normal 12 6 3 3 4" xfId="20593" xr:uid="{00000000-0005-0000-0000-000061BC0000}"/>
    <cellStyle name="Normal 12 6 3 3 5" xfId="26069" xr:uid="{00000000-0005-0000-0000-000062BC0000}"/>
    <cellStyle name="Normal 12 6 3 3 6" xfId="37865" xr:uid="{00000000-0005-0000-0000-000063BC0000}"/>
    <cellStyle name="Normal 12 6 3 3 7" xfId="43342" xr:uid="{00000000-0005-0000-0000-000064BC0000}"/>
    <cellStyle name="Normal 12 6 3 3 8" xfId="48819" xr:uid="{00000000-0005-0000-0000-000065BC0000}"/>
    <cellStyle name="Normal 12 6 3 3 9" xfId="54337" xr:uid="{00000000-0005-0000-0000-000066BC0000}"/>
    <cellStyle name="Normal 12 6 3 4" xfId="7135" xr:uid="{00000000-0005-0000-0000-000067BC0000}"/>
    <cellStyle name="Normal 12 6 3 5" xfId="12615" xr:uid="{00000000-0005-0000-0000-000068BC0000}"/>
    <cellStyle name="Normal 12 6 3 6" xfId="18091" xr:uid="{00000000-0005-0000-0000-000069BC0000}"/>
    <cellStyle name="Normal 12 6 3 7" xfId="23567" xr:uid="{00000000-0005-0000-0000-00006ABC0000}"/>
    <cellStyle name="Normal 12 6 3 8" xfId="35362" xr:uid="{00000000-0005-0000-0000-00006BBC0000}"/>
    <cellStyle name="Normal 12 6 3 9" xfId="40839" xr:uid="{00000000-0005-0000-0000-00006CBC0000}"/>
    <cellStyle name="Normal 12 6 4" xfId="800" xr:uid="{00000000-0005-0000-0000-00006DBC0000}"/>
    <cellStyle name="Normal 12 6 4 10" xfId="46317" xr:uid="{00000000-0005-0000-0000-00006EBC0000}"/>
    <cellStyle name="Normal 12 6 4 11" xfId="51796" xr:uid="{00000000-0005-0000-0000-00006FBC0000}"/>
    <cellStyle name="Normal 12 6 4 2" xfId="2561" xr:uid="{00000000-0005-0000-0000-000070BC0000}"/>
    <cellStyle name="Normal 12 6 4 2 2" xfId="8041" xr:uid="{00000000-0005-0000-0000-000071BC0000}"/>
    <cellStyle name="Normal 12 6 4 2 3" xfId="13517" xr:uid="{00000000-0005-0000-0000-000072BC0000}"/>
    <cellStyle name="Normal 12 6 4 2 4" xfId="18993" xr:uid="{00000000-0005-0000-0000-000073BC0000}"/>
    <cellStyle name="Normal 12 6 4 2 5" xfId="24469" xr:uid="{00000000-0005-0000-0000-000074BC0000}"/>
    <cellStyle name="Normal 12 6 4 2 6" xfId="36265" xr:uid="{00000000-0005-0000-0000-000075BC0000}"/>
    <cellStyle name="Normal 12 6 4 2 7" xfId="41742" xr:uid="{00000000-0005-0000-0000-000076BC0000}"/>
    <cellStyle name="Normal 12 6 4 2 8" xfId="47219" xr:uid="{00000000-0005-0000-0000-000077BC0000}"/>
    <cellStyle name="Normal 12 6 4 2 9" xfId="52737" xr:uid="{00000000-0005-0000-0000-000078BC0000}"/>
    <cellStyle name="Normal 12 6 4 3" xfId="4333" xr:uid="{00000000-0005-0000-0000-000079BC0000}"/>
    <cellStyle name="Normal 12 6 4 3 2" xfId="9813" xr:uid="{00000000-0005-0000-0000-00007ABC0000}"/>
    <cellStyle name="Normal 12 6 4 3 3" xfId="15289" xr:uid="{00000000-0005-0000-0000-00007BBC0000}"/>
    <cellStyle name="Normal 12 6 4 3 4" xfId="20765" xr:uid="{00000000-0005-0000-0000-00007CBC0000}"/>
    <cellStyle name="Normal 12 6 4 3 5" xfId="26241" xr:uid="{00000000-0005-0000-0000-00007DBC0000}"/>
    <cellStyle name="Normal 12 6 4 3 6" xfId="38037" xr:uid="{00000000-0005-0000-0000-00007EBC0000}"/>
    <cellStyle name="Normal 12 6 4 3 7" xfId="43514" xr:uid="{00000000-0005-0000-0000-00007FBC0000}"/>
    <cellStyle name="Normal 12 6 4 3 8" xfId="48991" xr:uid="{00000000-0005-0000-0000-000080BC0000}"/>
    <cellStyle name="Normal 12 6 4 3 9" xfId="54509" xr:uid="{00000000-0005-0000-0000-000081BC0000}"/>
    <cellStyle name="Normal 12 6 4 4" xfId="7136" xr:uid="{00000000-0005-0000-0000-000082BC0000}"/>
    <cellStyle name="Normal 12 6 4 5" xfId="12616" xr:uid="{00000000-0005-0000-0000-000083BC0000}"/>
    <cellStyle name="Normal 12 6 4 6" xfId="18092" xr:uid="{00000000-0005-0000-0000-000084BC0000}"/>
    <cellStyle name="Normal 12 6 4 7" xfId="23568" xr:uid="{00000000-0005-0000-0000-000085BC0000}"/>
    <cellStyle name="Normal 12 6 4 8" xfId="35363" xr:uid="{00000000-0005-0000-0000-000086BC0000}"/>
    <cellStyle name="Normal 12 6 4 9" xfId="40840" xr:uid="{00000000-0005-0000-0000-000087BC0000}"/>
    <cellStyle name="Normal 12 6 5" xfId="972" xr:uid="{00000000-0005-0000-0000-000088BC0000}"/>
    <cellStyle name="Normal 12 6 5 10" xfId="46318" xr:uid="{00000000-0005-0000-0000-000089BC0000}"/>
    <cellStyle name="Normal 12 6 5 11" xfId="51797" xr:uid="{00000000-0005-0000-0000-00008ABC0000}"/>
    <cellStyle name="Normal 12 6 5 2" xfId="2733" xr:uid="{00000000-0005-0000-0000-00008BBC0000}"/>
    <cellStyle name="Normal 12 6 5 2 2" xfId="8213" xr:uid="{00000000-0005-0000-0000-00008CBC0000}"/>
    <cellStyle name="Normal 12 6 5 2 3" xfId="13689" xr:uid="{00000000-0005-0000-0000-00008DBC0000}"/>
    <cellStyle name="Normal 12 6 5 2 4" xfId="19165" xr:uid="{00000000-0005-0000-0000-00008EBC0000}"/>
    <cellStyle name="Normal 12 6 5 2 5" xfId="24641" xr:uid="{00000000-0005-0000-0000-00008FBC0000}"/>
    <cellStyle name="Normal 12 6 5 2 6" xfId="36437" xr:uid="{00000000-0005-0000-0000-000090BC0000}"/>
    <cellStyle name="Normal 12 6 5 2 7" xfId="41914" xr:uid="{00000000-0005-0000-0000-000091BC0000}"/>
    <cellStyle name="Normal 12 6 5 2 8" xfId="47391" xr:uid="{00000000-0005-0000-0000-000092BC0000}"/>
    <cellStyle name="Normal 12 6 5 2 9" xfId="52909" xr:uid="{00000000-0005-0000-0000-000093BC0000}"/>
    <cellStyle name="Normal 12 6 5 3" xfId="4505" xr:uid="{00000000-0005-0000-0000-000094BC0000}"/>
    <cellStyle name="Normal 12 6 5 3 2" xfId="9985" xr:uid="{00000000-0005-0000-0000-000095BC0000}"/>
    <cellStyle name="Normal 12 6 5 3 3" xfId="15461" xr:uid="{00000000-0005-0000-0000-000096BC0000}"/>
    <cellStyle name="Normal 12 6 5 3 4" xfId="20937" xr:uid="{00000000-0005-0000-0000-000097BC0000}"/>
    <cellStyle name="Normal 12 6 5 3 5" xfId="26413" xr:uid="{00000000-0005-0000-0000-000098BC0000}"/>
    <cellStyle name="Normal 12 6 5 3 6" xfId="38209" xr:uid="{00000000-0005-0000-0000-000099BC0000}"/>
    <cellStyle name="Normal 12 6 5 3 7" xfId="43686" xr:uid="{00000000-0005-0000-0000-00009ABC0000}"/>
    <cellStyle name="Normal 12 6 5 3 8" xfId="49163" xr:uid="{00000000-0005-0000-0000-00009BBC0000}"/>
    <cellStyle name="Normal 12 6 5 3 9" xfId="54681" xr:uid="{00000000-0005-0000-0000-00009CBC0000}"/>
    <cellStyle name="Normal 12 6 5 4" xfId="7137" xr:uid="{00000000-0005-0000-0000-00009DBC0000}"/>
    <cellStyle name="Normal 12 6 5 5" xfId="12617" xr:uid="{00000000-0005-0000-0000-00009EBC0000}"/>
    <cellStyle name="Normal 12 6 5 6" xfId="18093" xr:uid="{00000000-0005-0000-0000-00009FBC0000}"/>
    <cellStyle name="Normal 12 6 5 7" xfId="23569" xr:uid="{00000000-0005-0000-0000-0000A0BC0000}"/>
    <cellStyle name="Normal 12 6 5 8" xfId="35364" xr:uid="{00000000-0005-0000-0000-0000A1BC0000}"/>
    <cellStyle name="Normal 12 6 5 9" xfId="40841" xr:uid="{00000000-0005-0000-0000-0000A2BC0000}"/>
    <cellStyle name="Normal 12 6 6" xfId="1178" xr:uid="{00000000-0005-0000-0000-0000A3BC0000}"/>
    <cellStyle name="Normal 12 6 6 10" xfId="46319" xr:uid="{00000000-0005-0000-0000-0000A4BC0000}"/>
    <cellStyle name="Normal 12 6 6 11" xfId="51798" xr:uid="{00000000-0005-0000-0000-0000A5BC0000}"/>
    <cellStyle name="Normal 12 6 6 2" xfId="2939" xr:uid="{00000000-0005-0000-0000-0000A6BC0000}"/>
    <cellStyle name="Normal 12 6 6 2 2" xfId="8419" xr:uid="{00000000-0005-0000-0000-0000A7BC0000}"/>
    <cellStyle name="Normal 12 6 6 2 3" xfId="13895" xr:uid="{00000000-0005-0000-0000-0000A8BC0000}"/>
    <cellStyle name="Normal 12 6 6 2 4" xfId="19371" xr:uid="{00000000-0005-0000-0000-0000A9BC0000}"/>
    <cellStyle name="Normal 12 6 6 2 5" xfId="24847" xr:uid="{00000000-0005-0000-0000-0000AABC0000}"/>
    <cellStyle name="Normal 12 6 6 2 6" xfId="36643" xr:uid="{00000000-0005-0000-0000-0000ABBC0000}"/>
    <cellStyle name="Normal 12 6 6 2 7" xfId="42120" xr:uid="{00000000-0005-0000-0000-0000ACBC0000}"/>
    <cellStyle name="Normal 12 6 6 2 8" xfId="47597" xr:uid="{00000000-0005-0000-0000-0000ADBC0000}"/>
    <cellStyle name="Normal 12 6 6 2 9" xfId="53115" xr:uid="{00000000-0005-0000-0000-0000AEBC0000}"/>
    <cellStyle name="Normal 12 6 6 3" xfId="4711" xr:uid="{00000000-0005-0000-0000-0000AFBC0000}"/>
    <cellStyle name="Normal 12 6 6 3 2" xfId="10191" xr:uid="{00000000-0005-0000-0000-0000B0BC0000}"/>
    <cellStyle name="Normal 12 6 6 3 3" xfId="15667" xr:uid="{00000000-0005-0000-0000-0000B1BC0000}"/>
    <cellStyle name="Normal 12 6 6 3 4" xfId="21143" xr:uid="{00000000-0005-0000-0000-0000B2BC0000}"/>
    <cellStyle name="Normal 12 6 6 3 5" xfId="26619" xr:uid="{00000000-0005-0000-0000-0000B3BC0000}"/>
    <cellStyle name="Normal 12 6 6 3 6" xfId="38415" xr:uid="{00000000-0005-0000-0000-0000B4BC0000}"/>
    <cellStyle name="Normal 12 6 6 3 7" xfId="43892" xr:uid="{00000000-0005-0000-0000-0000B5BC0000}"/>
    <cellStyle name="Normal 12 6 6 3 8" xfId="49369" xr:uid="{00000000-0005-0000-0000-0000B6BC0000}"/>
    <cellStyle name="Normal 12 6 6 3 9" xfId="54887" xr:uid="{00000000-0005-0000-0000-0000B7BC0000}"/>
    <cellStyle name="Normal 12 6 6 4" xfId="7138" xr:uid="{00000000-0005-0000-0000-0000B8BC0000}"/>
    <cellStyle name="Normal 12 6 6 5" xfId="12618" xr:uid="{00000000-0005-0000-0000-0000B9BC0000}"/>
    <cellStyle name="Normal 12 6 6 6" xfId="18094" xr:uid="{00000000-0005-0000-0000-0000BABC0000}"/>
    <cellStyle name="Normal 12 6 6 7" xfId="23570" xr:uid="{00000000-0005-0000-0000-0000BBBC0000}"/>
    <cellStyle name="Normal 12 6 6 8" xfId="35365" xr:uid="{00000000-0005-0000-0000-0000BCBC0000}"/>
    <cellStyle name="Normal 12 6 6 9" xfId="40842" xr:uid="{00000000-0005-0000-0000-0000BDBC0000}"/>
    <cellStyle name="Normal 12 6 7" xfId="1350" xr:uid="{00000000-0005-0000-0000-0000BEBC0000}"/>
    <cellStyle name="Normal 12 6 7 10" xfId="46320" xr:uid="{00000000-0005-0000-0000-0000BFBC0000}"/>
    <cellStyle name="Normal 12 6 7 11" xfId="51799" xr:uid="{00000000-0005-0000-0000-0000C0BC0000}"/>
    <cellStyle name="Normal 12 6 7 2" xfId="3111" xr:uid="{00000000-0005-0000-0000-0000C1BC0000}"/>
    <cellStyle name="Normal 12 6 7 2 2" xfId="8591" xr:uid="{00000000-0005-0000-0000-0000C2BC0000}"/>
    <cellStyle name="Normal 12 6 7 2 3" xfId="14067" xr:uid="{00000000-0005-0000-0000-0000C3BC0000}"/>
    <cellStyle name="Normal 12 6 7 2 4" xfId="19543" xr:uid="{00000000-0005-0000-0000-0000C4BC0000}"/>
    <cellStyle name="Normal 12 6 7 2 5" xfId="25019" xr:uid="{00000000-0005-0000-0000-0000C5BC0000}"/>
    <cellStyle name="Normal 12 6 7 2 6" xfId="36815" xr:uid="{00000000-0005-0000-0000-0000C6BC0000}"/>
    <cellStyle name="Normal 12 6 7 2 7" xfId="42292" xr:uid="{00000000-0005-0000-0000-0000C7BC0000}"/>
    <cellStyle name="Normal 12 6 7 2 8" xfId="47769" xr:uid="{00000000-0005-0000-0000-0000C8BC0000}"/>
    <cellStyle name="Normal 12 6 7 2 9" xfId="53287" xr:uid="{00000000-0005-0000-0000-0000C9BC0000}"/>
    <cellStyle name="Normal 12 6 7 3" xfId="4883" xr:uid="{00000000-0005-0000-0000-0000CABC0000}"/>
    <cellStyle name="Normal 12 6 7 3 2" xfId="10363" xr:uid="{00000000-0005-0000-0000-0000CBBC0000}"/>
    <cellStyle name="Normal 12 6 7 3 3" xfId="15839" xr:uid="{00000000-0005-0000-0000-0000CCBC0000}"/>
    <cellStyle name="Normal 12 6 7 3 4" xfId="21315" xr:uid="{00000000-0005-0000-0000-0000CDBC0000}"/>
    <cellStyle name="Normal 12 6 7 3 5" xfId="26791" xr:uid="{00000000-0005-0000-0000-0000CEBC0000}"/>
    <cellStyle name="Normal 12 6 7 3 6" xfId="38587" xr:uid="{00000000-0005-0000-0000-0000CFBC0000}"/>
    <cellStyle name="Normal 12 6 7 3 7" xfId="44064" xr:uid="{00000000-0005-0000-0000-0000D0BC0000}"/>
    <cellStyle name="Normal 12 6 7 3 8" xfId="49541" xr:uid="{00000000-0005-0000-0000-0000D1BC0000}"/>
    <cellStyle name="Normal 12 6 7 3 9" xfId="55059" xr:uid="{00000000-0005-0000-0000-0000D2BC0000}"/>
    <cellStyle name="Normal 12 6 7 4" xfId="7139" xr:uid="{00000000-0005-0000-0000-0000D3BC0000}"/>
    <cellStyle name="Normal 12 6 7 5" xfId="12619" xr:uid="{00000000-0005-0000-0000-0000D4BC0000}"/>
    <cellStyle name="Normal 12 6 7 6" xfId="18095" xr:uid="{00000000-0005-0000-0000-0000D5BC0000}"/>
    <cellStyle name="Normal 12 6 7 7" xfId="23571" xr:uid="{00000000-0005-0000-0000-0000D6BC0000}"/>
    <cellStyle name="Normal 12 6 7 8" xfId="35366" xr:uid="{00000000-0005-0000-0000-0000D7BC0000}"/>
    <cellStyle name="Normal 12 6 7 9" xfId="40843" xr:uid="{00000000-0005-0000-0000-0000D8BC0000}"/>
    <cellStyle name="Normal 12 6 8" xfId="1522" xr:uid="{00000000-0005-0000-0000-0000D9BC0000}"/>
    <cellStyle name="Normal 12 6 8 10" xfId="46321" xr:uid="{00000000-0005-0000-0000-0000DABC0000}"/>
    <cellStyle name="Normal 12 6 8 11" xfId="51800" xr:uid="{00000000-0005-0000-0000-0000DBBC0000}"/>
    <cellStyle name="Normal 12 6 8 2" xfId="3283" xr:uid="{00000000-0005-0000-0000-0000DCBC0000}"/>
    <cellStyle name="Normal 12 6 8 2 2" xfId="8763" xr:uid="{00000000-0005-0000-0000-0000DDBC0000}"/>
    <cellStyle name="Normal 12 6 8 2 3" xfId="14239" xr:uid="{00000000-0005-0000-0000-0000DEBC0000}"/>
    <cellStyle name="Normal 12 6 8 2 4" xfId="19715" xr:uid="{00000000-0005-0000-0000-0000DFBC0000}"/>
    <cellStyle name="Normal 12 6 8 2 5" xfId="25191" xr:uid="{00000000-0005-0000-0000-0000E0BC0000}"/>
    <cellStyle name="Normal 12 6 8 2 6" xfId="36987" xr:uid="{00000000-0005-0000-0000-0000E1BC0000}"/>
    <cellStyle name="Normal 12 6 8 2 7" xfId="42464" xr:uid="{00000000-0005-0000-0000-0000E2BC0000}"/>
    <cellStyle name="Normal 12 6 8 2 8" xfId="47941" xr:uid="{00000000-0005-0000-0000-0000E3BC0000}"/>
    <cellStyle name="Normal 12 6 8 2 9" xfId="53459" xr:uid="{00000000-0005-0000-0000-0000E4BC0000}"/>
    <cellStyle name="Normal 12 6 8 3" xfId="5055" xr:uid="{00000000-0005-0000-0000-0000E5BC0000}"/>
    <cellStyle name="Normal 12 6 8 3 2" xfId="10535" xr:uid="{00000000-0005-0000-0000-0000E6BC0000}"/>
    <cellStyle name="Normal 12 6 8 3 3" xfId="16011" xr:uid="{00000000-0005-0000-0000-0000E7BC0000}"/>
    <cellStyle name="Normal 12 6 8 3 4" xfId="21487" xr:uid="{00000000-0005-0000-0000-0000E8BC0000}"/>
    <cellStyle name="Normal 12 6 8 3 5" xfId="26963" xr:uid="{00000000-0005-0000-0000-0000E9BC0000}"/>
    <cellStyle name="Normal 12 6 8 3 6" xfId="38759" xr:uid="{00000000-0005-0000-0000-0000EABC0000}"/>
    <cellStyle name="Normal 12 6 8 3 7" xfId="44236" xr:uid="{00000000-0005-0000-0000-0000EBBC0000}"/>
    <cellStyle name="Normal 12 6 8 3 8" xfId="49713" xr:uid="{00000000-0005-0000-0000-0000ECBC0000}"/>
    <cellStyle name="Normal 12 6 8 3 9" xfId="55231" xr:uid="{00000000-0005-0000-0000-0000EDBC0000}"/>
    <cellStyle name="Normal 12 6 8 4" xfId="7140" xr:uid="{00000000-0005-0000-0000-0000EEBC0000}"/>
    <cellStyle name="Normal 12 6 8 5" xfId="12620" xr:uid="{00000000-0005-0000-0000-0000EFBC0000}"/>
    <cellStyle name="Normal 12 6 8 6" xfId="18096" xr:uid="{00000000-0005-0000-0000-0000F0BC0000}"/>
    <cellStyle name="Normal 12 6 8 7" xfId="23572" xr:uid="{00000000-0005-0000-0000-0000F1BC0000}"/>
    <cellStyle name="Normal 12 6 8 8" xfId="35367" xr:uid="{00000000-0005-0000-0000-0000F2BC0000}"/>
    <cellStyle name="Normal 12 6 8 9" xfId="40844" xr:uid="{00000000-0005-0000-0000-0000F3BC0000}"/>
    <cellStyle name="Normal 12 6 9" xfId="1694" xr:uid="{00000000-0005-0000-0000-0000F4BC0000}"/>
    <cellStyle name="Normal 12 6 9 10" xfId="46322" xr:uid="{00000000-0005-0000-0000-0000F5BC0000}"/>
    <cellStyle name="Normal 12 6 9 11" xfId="51801" xr:uid="{00000000-0005-0000-0000-0000F6BC0000}"/>
    <cellStyle name="Normal 12 6 9 2" xfId="3455" xr:uid="{00000000-0005-0000-0000-0000F7BC0000}"/>
    <cellStyle name="Normal 12 6 9 2 2" xfId="8935" xr:uid="{00000000-0005-0000-0000-0000F8BC0000}"/>
    <cellStyle name="Normal 12 6 9 2 3" xfId="14411" xr:uid="{00000000-0005-0000-0000-0000F9BC0000}"/>
    <cellStyle name="Normal 12 6 9 2 4" xfId="19887" xr:uid="{00000000-0005-0000-0000-0000FABC0000}"/>
    <cellStyle name="Normal 12 6 9 2 5" xfId="25363" xr:uid="{00000000-0005-0000-0000-0000FBBC0000}"/>
    <cellStyle name="Normal 12 6 9 2 6" xfId="37159" xr:uid="{00000000-0005-0000-0000-0000FCBC0000}"/>
    <cellStyle name="Normal 12 6 9 2 7" xfId="42636" xr:uid="{00000000-0005-0000-0000-0000FDBC0000}"/>
    <cellStyle name="Normal 12 6 9 2 8" xfId="48113" xr:uid="{00000000-0005-0000-0000-0000FEBC0000}"/>
    <cellStyle name="Normal 12 6 9 2 9" xfId="53631" xr:uid="{00000000-0005-0000-0000-0000FFBC0000}"/>
    <cellStyle name="Normal 12 6 9 3" xfId="5227" xr:uid="{00000000-0005-0000-0000-000000BD0000}"/>
    <cellStyle name="Normal 12 6 9 3 2" xfId="10707" xr:uid="{00000000-0005-0000-0000-000001BD0000}"/>
    <cellStyle name="Normal 12 6 9 3 3" xfId="16183" xr:uid="{00000000-0005-0000-0000-000002BD0000}"/>
    <cellStyle name="Normal 12 6 9 3 4" xfId="21659" xr:uid="{00000000-0005-0000-0000-000003BD0000}"/>
    <cellStyle name="Normal 12 6 9 3 5" xfId="27135" xr:uid="{00000000-0005-0000-0000-000004BD0000}"/>
    <cellStyle name="Normal 12 6 9 3 6" xfId="38931" xr:uid="{00000000-0005-0000-0000-000005BD0000}"/>
    <cellStyle name="Normal 12 6 9 3 7" xfId="44408" xr:uid="{00000000-0005-0000-0000-000006BD0000}"/>
    <cellStyle name="Normal 12 6 9 3 8" xfId="49885" xr:uid="{00000000-0005-0000-0000-000007BD0000}"/>
    <cellStyle name="Normal 12 6 9 3 9" xfId="55403" xr:uid="{00000000-0005-0000-0000-000008BD0000}"/>
    <cellStyle name="Normal 12 6 9 4" xfId="7141" xr:uid="{00000000-0005-0000-0000-000009BD0000}"/>
    <cellStyle name="Normal 12 6 9 5" xfId="12621" xr:uid="{00000000-0005-0000-0000-00000ABD0000}"/>
    <cellStyle name="Normal 12 6 9 6" xfId="18097" xr:uid="{00000000-0005-0000-0000-00000BBD0000}"/>
    <cellStyle name="Normal 12 6 9 7" xfId="23573" xr:uid="{00000000-0005-0000-0000-00000CBD0000}"/>
    <cellStyle name="Normal 12 6 9 8" xfId="35368" xr:uid="{00000000-0005-0000-0000-00000DBD0000}"/>
    <cellStyle name="Normal 12 6 9 9" xfId="40845" xr:uid="{00000000-0005-0000-0000-00000EBD0000}"/>
    <cellStyle name="Normal 12 7" xfId="442" xr:uid="{00000000-0005-0000-0000-00000FBD0000}"/>
    <cellStyle name="Normal 12 7 10" xfId="46323" xr:uid="{00000000-0005-0000-0000-000010BD0000}"/>
    <cellStyle name="Normal 12 7 11" xfId="51802" xr:uid="{00000000-0005-0000-0000-000011BD0000}"/>
    <cellStyle name="Normal 12 7 2" xfId="2208" xr:uid="{00000000-0005-0000-0000-000012BD0000}"/>
    <cellStyle name="Normal 12 7 2 2" xfId="7688" xr:uid="{00000000-0005-0000-0000-000013BD0000}"/>
    <cellStyle name="Normal 12 7 2 3" xfId="13164" xr:uid="{00000000-0005-0000-0000-000014BD0000}"/>
    <cellStyle name="Normal 12 7 2 4" xfId="18640" xr:uid="{00000000-0005-0000-0000-000015BD0000}"/>
    <cellStyle name="Normal 12 7 2 5" xfId="24116" xr:uid="{00000000-0005-0000-0000-000016BD0000}"/>
    <cellStyle name="Normal 12 7 2 6" xfId="35912" xr:uid="{00000000-0005-0000-0000-000017BD0000}"/>
    <cellStyle name="Normal 12 7 2 7" xfId="41389" xr:uid="{00000000-0005-0000-0000-000018BD0000}"/>
    <cellStyle name="Normal 12 7 2 8" xfId="46866" xr:uid="{00000000-0005-0000-0000-000019BD0000}"/>
    <cellStyle name="Normal 12 7 2 9" xfId="52384" xr:uid="{00000000-0005-0000-0000-00001ABD0000}"/>
    <cellStyle name="Normal 12 7 3" xfId="3980" xr:uid="{00000000-0005-0000-0000-00001BBD0000}"/>
    <cellStyle name="Normal 12 7 3 2" xfId="9460" xr:uid="{00000000-0005-0000-0000-00001CBD0000}"/>
    <cellStyle name="Normal 12 7 3 3" xfId="14936" xr:uid="{00000000-0005-0000-0000-00001DBD0000}"/>
    <cellStyle name="Normal 12 7 3 4" xfId="20412" xr:uid="{00000000-0005-0000-0000-00001EBD0000}"/>
    <cellStyle name="Normal 12 7 3 5" xfId="25888" xr:uid="{00000000-0005-0000-0000-00001FBD0000}"/>
    <cellStyle name="Normal 12 7 3 6" xfId="37684" xr:uid="{00000000-0005-0000-0000-000020BD0000}"/>
    <cellStyle name="Normal 12 7 3 7" xfId="43161" xr:uid="{00000000-0005-0000-0000-000021BD0000}"/>
    <cellStyle name="Normal 12 7 3 8" xfId="48638" xr:uid="{00000000-0005-0000-0000-000022BD0000}"/>
    <cellStyle name="Normal 12 7 3 9" xfId="54156" xr:uid="{00000000-0005-0000-0000-000023BD0000}"/>
    <cellStyle name="Normal 12 7 4" xfId="7142" xr:uid="{00000000-0005-0000-0000-000024BD0000}"/>
    <cellStyle name="Normal 12 7 5" xfId="12622" xr:uid="{00000000-0005-0000-0000-000025BD0000}"/>
    <cellStyle name="Normal 12 7 6" xfId="18098" xr:uid="{00000000-0005-0000-0000-000026BD0000}"/>
    <cellStyle name="Normal 12 7 7" xfId="23574" xr:uid="{00000000-0005-0000-0000-000027BD0000}"/>
    <cellStyle name="Normal 12 7 8" xfId="35369" xr:uid="{00000000-0005-0000-0000-000028BD0000}"/>
    <cellStyle name="Normal 12 7 9" xfId="40846" xr:uid="{00000000-0005-0000-0000-000029BD0000}"/>
    <cellStyle name="Normal 12 8" xfId="619" xr:uid="{00000000-0005-0000-0000-00002ABD0000}"/>
    <cellStyle name="Normal 12 8 10" xfId="46324" xr:uid="{00000000-0005-0000-0000-00002BBD0000}"/>
    <cellStyle name="Normal 12 8 11" xfId="51803" xr:uid="{00000000-0005-0000-0000-00002CBD0000}"/>
    <cellStyle name="Normal 12 8 2" xfId="2380" xr:uid="{00000000-0005-0000-0000-00002DBD0000}"/>
    <cellStyle name="Normal 12 8 2 2" xfId="7860" xr:uid="{00000000-0005-0000-0000-00002EBD0000}"/>
    <cellStyle name="Normal 12 8 2 3" xfId="13336" xr:uid="{00000000-0005-0000-0000-00002FBD0000}"/>
    <cellStyle name="Normal 12 8 2 4" xfId="18812" xr:uid="{00000000-0005-0000-0000-000030BD0000}"/>
    <cellStyle name="Normal 12 8 2 5" xfId="24288" xr:uid="{00000000-0005-0000-0000-000031BD0000}"/>
    <cellStyle name="Normal 12 8 2 6" xfId="36084" xr:uid="{00000000-0005-0000-0000-000032BD0000}"/>
    <cellStyle name="Normal 12 8 2 7" xfId="41561" xr:uid="{00000000-0005-0000-0000-000033BD0000}"/>
    <cellStyle name="Normal 12 8 2 8" xfId="47038" xr:uid="{00000000-0005-0000-0000-000034BD0000}"/>
    <cellStyle name="Normal 12 8 2 9" xfId="52556" xr:uid="{00000000-0005-0000-0000-000035BD0000}"/>
    <cellStyle name="Normal 12 8 3" xfId="4152" xr:uid="{00000000-0005-0000-0000-000036BD0000}"/>
    <cellStyle name="Normal 12 8 3 2" xfId="9632" xr:uid="{00000000-0005-0000-0000-000037BD0000}"/>
    <cellStyle name="Normal 12 8 3 3" xfId="15108" xr:uid="{00000000-0005-0000-0000-000038BD0000}"/>
    <cellStyle name="Normal 12 8 3 4" xfId="20584" xr:uid="{00000000-0005-0000-0000-000039BD0000}"/>
    <cellStyle name="Normal 12 8 3 5" xfId="26060" xr:uid="{00000000-0005-0000-0000-00003ABD0000}"/>
    <cellStyle name="Normal 12 8 3 6" xfId="37856" xr:uid="{00000000-0005-0000-0000-00003BBD0000}"/>
    <cellStyle name="Normal 12 8 3 7" xfId="43333" xr:uid="{00000000-0005-0000-0000-00003CBD0000}"/>
    <cellStyle name="Normal 12 8 3 8" xfId="48810" xr:uid="{00000000-0005-0000-0000-00003DBD0000}"/>
    <cellStyle name="Normal 12 8 3 9" xfId="54328" xr:uid="{00000000-0005-0000-0000-00003EBD0000}"/>
    <cellStyle name="Normal 12 8 4" xfId="7143" xr:uid="{00000000-0005-0000-0000-00003FBD0000}"/>
    <cellStyle name="Normal 12 8 5" xfId="12623" xr:uid="{00000000-0005-0000-0000-000040BD0000}"/>
    <cellStyle name="Normal 12 8 6" xfId="18099" xr:uid="{00000000-0005-0000-0000-000041BD0000}"/>
    <cellStyle name="Normal 12 8 7" xfId="23575" xr:uid="{00000000-0005-0000-0000-000042BD0000}"/>
    <cellStyle name="Normal 12 8 8" xfId="35370" xr:uid="{00000000-0005-0000-0000-000043BD0000}"/>
    <cellStyle name="Normal 12 8 9" xfId="40847" xr:uid="{00000000-0005-0000-0000-000044BD0000}"/>
    <cellStyle name="Normal 12 9" xfId="791" xr:uid="{00000000-0005-0000-0000-000045BD0000}"/>
    <cellStyle name="Normal 12 9 10" xfId="46325" xr:uid="{00000000-0005-0000-0000-000046BD0000}"/>
    <cellStyle name="Normal 12 9 11" xfId="51804" xr:uid="{00000000-0005-0000-0000-000047BD0000}"/>
    <cellStyle name="Normal 12 9 2" xfId="2552" xr:uid="{00000000-0005-0000-0000-000048BD0000}"/>
    <cellStyle name="Normal 12 9 2 2" xfId="8032" xr:uid="{00000000-0005-0000-0000-000049BD0000}"/>
    <cellStyle name="Normal 12 9 2 3" xfId="13508" xr:uid="{00000000-0005-0000-0000-00004ABD0000}"/>
    <cellStyle name="Normal 12 9 2 4" xfId="18984" xr:uid="{00000000-0005-0000-0000-00004BBD0000}"/>
    <cellStyle name="Normal 12 9 2 5" xfId="24460" xr:uid="{00000000-0005-0000-0000-00004CBD0000}"/>
    <cellStyle name="Normal 12 9 2 6" xfId="36256" xr:uid="{00000000-0005-0000-0000-00004DBD0000}"/>
    <cellStyle name="Normal 12 9 2 7" xfId="41733" xr:uid="{00000000-0005-0000-0000-00004EBD0000}"/>
    <cellStyle name="Normal 12 9 2 8" xfId="47210" xr:uid="{00000000-0005-0000-0000-00004FBD0000}"/>
    <cellStyle name="Normal 12 9 2 9" xfId="52728" xr:uid="{00000000-0005-0000-0000-000050BD0000}"/>
    <cellStyle name="Normal 12 9 3" xfId="4324" xr:uid="{00000000-0005-0000-0000-000051BD0000}"/>
    <cellStyle name="Normal 12 9 3 2" xfId="9804" xr:uid="{00000000-0005-0000-0000-000052BD0000}"/>
    <cellStyle name="Normal 12 9 3 3" xfId="15280" xr:uid="{00000000-0005-0000-0000-000053BD0000}"/>
    <cellStyle name="Normal 12 9 3 4" xfId="20756" xr:uid="{00000000-0005-0000-0000-000054BD0000}"/>
    <cellStyle name="Normal 12 9 3 5" xfId="26232" xr:uid="{00000000-0005-0000-0000-000055BD0000}"/>
    <cellStyle name="Normal 12 9 3 6" xfId="38028" xr:uid="{00000000-0005-0000-0000-000056BD0000}"/>
    <cellStyle name="Normal 12 9 3 7" xfId="43505" xr:uid="{00000000-0005-0000-0000-000057BD0000}"/>
    <cellStyle name="Normal 12 9 3 8" xfId="48982" xr:uid="{00000000-0005-0000-0000-000058BD0000}"/>
    <cellStyle name="Normal 12 9 3 9" xfId="54500" xr:uid="{00000000-0005-0000-0000-000059BD0000}"/>
    <cellStyle name="Normal 12 9 4" xfId="7144" xr:uid="{00000000-0005-0000-0000-00005ABD0000}"/>
    <cellStyle name="Normal 12 9 5" xfId="12624" xr:uid="{00000000-0005-0000-0000-00005BBD0000}"/>
    <cellStyle name="Normal 12 9 6" xfId="18100" xr:uid="{00000000-0005-0000-0000-00005CBD0000}"/>
    <cellStyle name="Normal 12 9 7" xfId="23576" xr:uid="{00000000-0005-0000-0000-00005DBD0000}"/>
    <cellStyle name="Normal 12 9 8" xfId="35371" xr:uid="{00000000-0005-0000-0000-00005EBD0000}"/>
    <cellStyle name="Normal 12 9 9" xfId="40848" xr:uid="{00000000-0005-0000-0000-00005FBD0000}"/>
    <cellStyle name="Normal 13" xfId="122" xr:uid="{00000000-0005-0000-0000-000060BD0000}"/>
    <cellStyle name="Normal 13 10" xfId="32956" xr:uid="{00000000-0005-0000-0000-000061BD0000}"/>
    <cellStyle name="Normal 13 2" xfId="32957" xr:uid="{00000000-0005-0000-0000-000062BD0000}"/>
    <cellStyle name="Normal 13 2 2" xfId="32958" xr:uid="{00000000-0005-0000-0000-000063BD0000}"/>
    <cellStyle name="Normal 13 2 2 2" xfId="32959" xr:uid="{00000000-0005-0000-0000-000064BD0000}"/>
    <cellStyle name="Normal 13 2 3" xfId="32960" xr:uid="{00000000-0005-0000-0000-000065BD0000}"/>
    <cellStyle name="Normal 13 3" xfId="32961" xr:uid="{00000000-0005-0000-0000-000066BD0000}"/>
    <cellStyle name="Normal 13 3 2" xfId="32962" xr:uid="{00000000-0005-0000-0000-000067BD0000}"/>
    <cellStyle name="Normal 13 3 2 2" xfId="32963" xr:uid="{00000000-0005-0000-0000-000068BD0000}"/>
    <cellStyle name="Normal 13 3 3" xfId="32964" xr:uid="{00000000-0005-0000-0000-000069BD0000}"/>
    <cellStyle name="Normal 13 4" xfId="32965" xr:uid="{00000000-0005-0000-0000-00006ABD0000}"/>
    <cellStyle name="Normal 13 4 2" xfId="32966" xr:uid="{00000000-0005-0000-0000-00006BBD0000}"/>
    <cellStyle name="Normal 13 4 2 2" xfId="32967" xr:uid="{00000000-0005-0000-0000-00006CBD0000}"/>
    <cellStyle name="Normal 13 4 3" xfId="32968" xr:uid="{00000000-0005-0000-0000-00006DBD0000}"/>
    <cellStyle name="Normal 13 5" xfId="32969" xr:uid="{00000000-0005-0000-0000-00006EBD0000}"/>
    <cellStyle name="Normal 13 5 2" xfId="32970" xr:uid="{00000000-0005-0000-0000-00006FBD0000}"/>
    <cellStyle name="Normal 13 5 2 2" xfId="32971" xr:uid="{00000000-0005-0000-0000-000070BD0000}"/>
    <cellStyle name="Normal 13 5 3" xfId="32972" xr:uid="{00000000-0005-0000-0000-000071BD0000}"/>
    <cellStyle name="Normal 13 6" xfId="32973" xr:uid="{00000000-0005-0000-0000-000072BD0000}"/>
    <cellStyle name="Normal 13 6 2" xfId="32974" xr:uid="{00000000-0005-0000-0000-000073BD0000}"/>
    <cellStyle name="Normal 13 6 2 2" xfId="32975" xr:uid="{00000000-0005-0000-0000-000074BD0000}"/>
    <cellStyle name="Normal 13 6 3" xfId="32976" xr:uid="{00000000-0005-0000-0000-000075BD0000}"/>
    <cellStyle name="Normal 13 7" xfId="32977" xr:uid="{00000000-0005-0000-0000-000076BD0000}"/>
    <cellStyle name="Normal 13 7 2" xfId="32978" xr:uid="{00000000-0005-0000-0000-000077BD0000}"/>
    <cellStyle name="Normal 13 7 2 2" xfId="32979" xr:uid="{00000000-0005-0000-0000-000078BD0000}"/>
    <cellStyle name="Normal 13 7 3" xfId="32980" xr:uid="{00000000-0005-0000-0000-000079BD0000}"/>
    <cellStyle name="Normal 13 8" xfId="32981" xr:uid="{00000000-0005-0000-0000-00007ABD0000}"/>
    <cellStyle name="Normal 13 8 2" xfId="32982" xr:uid="{00000000-0005-0000-0000-00007BBD0000}"/>
    <cellStyle name="Normal 13 9" xfId="32983" xr:uid="{00000000-0005-0000-0000-00007CBD0000}"/>
    <cellStyle name="Normal 14" xfId="196" xr:uid="{00000000-0005-0000-0000-00007DBD0000}"/>
    <cellStyle name="Normal 14 2" xfId="32984" xr:uid="{00000000-0005-0000-0000-00007EBD0000}"/>
    <cellStyle name="Normal 15" xfId="181" xr:uid="{00000000-0005-0000-0000-00007FBD0000}"/>
    <cellStyle name="Normal 15 10" xfId="1886" xr:uid="{00000000-0005-0000-0000-000080BD0000}"/>
    <cellStyle name="Normal 15 10 10" xfId="46327" xr:uid="{00000000-0005-0000-0000-000081BD0000}"/>
    <cellStyle name="Normal 15 10 11" xfId="51806" xr:uid="{00000000-0005-0000-0000-000082BD0000}"/>
    <cellStyle name="Normal 15 10 2" xfId="3647" xr:uid="{00000000-0005-0000-0000-000083BD0000}"/>
    <cellStyle name="Normal 15 10 2 2" xfId="9127" xr:uid="{00000000-0005-0000-0000-000084BD0000}"/>
    <cellStyle name="Normal 15 10 2 3" xfId="14603" xr:uid="{00000000-0005-0000-0000-000085BD0000}"/>
    <cellStyle name="Normal 15 10 2 4" xfId="20079" xr:uid="{00000000-0005-0000-0000-000086BD0000}"/>
    <cellStyle name="Normal 15 10 2 5" xfId="25555" xr:uid="{00000000-0005-0000-0000-000087BD0000}"/>
    <cellStyle name="Normal 15 10 2 6" xfId="37351" xr:uid="{00000000-0005-0000-0000-000088BD0000}"/>
    <cellStyle name="Normal 15 10 2 7" xfId="42828" xr:uid="{00000000-0005-0000-0000-000089BD0000}"/>
    <cellStyle name="Normal 15 10 2 8" xfId="48305" xr:uid="{00000000-0005-0000-0000-00008ABD0000}"/>
    <cellStyle name="Normal 15 10 2 9" xfId="53823" xr:uid="{00000000-0005-0000-0000-00008BBD0000}"/>
    <cellStyle name="Normal 15 10 3" xfId="5419" xr:uid="{00000000-0005-0000-0000-00008CBD0000}"/>
    <cellStyle name="Normal 15 10 3 2" xfId="10899" xr:uid="{00000000-0005-0000-0000-00008DBD0000}"/>
    <cellStyle name="Normal 15 10 3 3" xfId="16375" xr:uid="{00000000-0005-0000-0000-00008EBD0000}"/>
    <cellStyle name="Normal 15 10 3 4" xfId="21851" xr:uid="{00000000-0005-0000-0000-00008FBD0000}"/>
    <cellStyle name="Normal 15 10 3 5" xfId="27327" xr:uid="{00000000-0005-0000-0000-000090BD0000}"/>
    <cellStyle name="Normal 15 10 3 6" xfId="39123" xr:uid="{00000000-0005-0000-0000-000091BD0000}"/>
    <cellStyle name="Normal 15 10 3 7" xfId="44600" xr:uid="{00000000-0005-0000-0000-000092BD0000}"/>
    <cellStyle name="Normal 15 10 3 8" xfId="50077" xr:uid="{00000000-0005-0000-0000-000093BD0000}"/>
    <cellStyle name="Normal 15 10 3 9" xfId="55595" xr:uid="{00000000-0005-0000-0000-000094BD0000}"/>
    <cellStyle name="Normal 15 10 4" xfId="7146" xr:uid="{00000000-0005-0000-0000-000095BD0000}"/>
    <cellStyle name="Normal 15 10 5" xfId="12626" xr:uid="{00000000-0005-0000-0000-000096BD0000}"/>
    <cellStyle name="Normal 15 10 6" xfId="18102" xr:uid="{00000000-0005-0000-0000-000097BD0000}"/>
    <cellStyle name="Normal 15 10 7" xfId="23578" xr:uid="{00000000-0005-0000-0000-000098BD0000}"/>
    <cellStyle name="Normal 15 10 8" xfId="35373" xr:uid="{00000000-0005-0000-0000-000099BD0000}"/>
    <cellStyle name="Normal 15 10 9" xfId="40850" xr:uid="{00000000-0005-0000-0000-00009ABD0000}"/>
    <cellStyle name="Normal 15 11" xfId="2057" xr:uid="{00000000-0005-0000-0000-00009BBD0000}"/>
    <cellStyle name="Normal 15 11 10" xfId="52234" xr:uid="{00000000-0005-0000-0000-00009CBD0000}"/>
    <cellStyle name="Normal 15 11 2" xfId="5589" xr:uid="{00000000-0005-0000-0000-00009DBD0000}"/>
    <cellStyle name="Normal 15 11 2 2" xfId="11069" xr:uid="{00000000-0005-0000-0000-00009EBD0000}"/>
    <cellStyle name="Normal 15 11 2 3" xfId="16545" xr:uid="{00000000-0005-0000-0000-00009FBD0000}"/>
    <cellStyle name="Normal 15 11 2 4" xfId="22021" xr:uid="{00000000-0005-0000-0000-0000A0BD0000}"/>
    <cellStyle name="Normal 15 11 2 5" xfId="27497" xr:uid="{00000000-0005-0000-0000-0000A1BD0000}"/>
    <cellStyle name="Normal 15 11 2 6" xfId="39293" xr:uid="{00000000-0005-0000-0000-0000A2BD0000}"/>
    <cellStyle name="Normal 15 11 2 7" xfId="44770" xr:uid="{00000000-0005-0000-0000-0000A3BD0000}"/>
    <cellStyle name="Normal 15 11 2 8" xfId="50247" xr:uid="{00000000-0005-0000-0000-0000A4BD0000}"/>
    <cellStyle name="Normal 15 11 2 9" xfId="55765" xr:uid="{00000000-0005-0000-0000-0000A5BD0000}"/>
    <cellStyle name="Normal 15 11 3" xfId="7538" xr:uid="{00000000-0005-0000-0000-0000A6BD0000}"/>
    <cellStyle name="Normal 15 11 4" xfId="13014" xr:uid="{00000000-0005-0000-0000-0000A7BD0000}"/>
    <cellStyle name="Normal 15 11 5" xfId="18490" xr:uid="{00000000-0005-0000-0000-0000A8BD0000}"/>
    <cellStyle name="Normal 15 11 6" xfId="23966" xr:uid="{00000000-0005-0000-0000-0000A9BD0000}"/>
    <cellStyle name="Normal 15 11 7" xfId="35762" xr:uid="{00000000-0005-0000-0000-0000AABD0000}"/>
    <cellStyle name="Normal 15 11 8" xfId="41239" xr:uid="{00000000-0005-0000-0000-0000ABBD0000}"/>
    <cellStyle name="Normal 15 11 9" xfId="46716" xr:uid="{00000000-0005-0000-0000-0000ACBD0000}"/>
    <cellStyle name="Normal 15 12" xfId="3753" xr:uid="{00000000-0005-0000-0000-0000ADBD0000}"/>
    <cellStyle name="Normal 15 12 2" xfId="9233" xr:uid="{00000000-0005-0000-0000-0000AEBD0000}"/>
    <cellStyle name="Normal 15 12 3" xfId="14709" xr:uid="{00000000-0005-0000-0000-0000AFBD0000}"/>
    <cellStyle name="Normal 15 12 4" xfId="20185" xr:uid="{00000000-0005-0000-0000-0000B0BD0000}"/>
    <cellStyle name="Normal 15 12 5" xfId="25661" xr:uid="{00000000-0005-0000-0000-0000B1BD0000}"/>
    <cellStyle name="Normal 15 12 6" xfId="37457" xr:uid="{00000000-0005-0000-0000-0000B2BD0000}"/>
    <cellStyle name="Normal 15 12 7" xfId="42934" xr:uid="{00000000-0005-0000-0000-0000B3BD0000}"/>
    <cellStyle name="Normal 15 12 8" xfId="48411" xr:uid="{00000000-0005-0000-0000-0000B4BD0000}"/>
    <cellStyle name="Normal 15 12 9" xfId="53929" xr:uid="{00000000-0005-0000-0000-0000B5BD0000}"/>
    <cellStyle name="Normal 15 13" xfId="7145" xr:uid="{00000000-0005-0000-0000-0000B6BD0000}"/>
    <cellStyle name="Normal 15 14" xfId="12625" xr:uid="{00000000-0005-0000-0000-0000B7BD0000}"/>
    <cellStyle name="Normal 15 15" xfId="18101" xr:uid="{00000000-0005-0000-0000-0000B8BD0000}"/>
    <cellStyle name="Normal 15 16" xfId="23577" xr:uid="{00000000-0005-0000-0000-0000B9BD0000}"/>
    <cellStyle name="Normal 15 17" xfId="32985" xr:uid="{00000000-0005-0000-0000-0000BABD0000}"/>
    <cellStyle name="Normal 15 18" xfId="35372" xr:uid="{00000000-0005-0000-0000-0000BBBD0000}"/>
    <cellStyle name="Normal 15 19" xfId="40849" xr:uid="{00000000-0005-0000-0000-0000BCBD0000}"/>
    <cellStyle name="Normal 15 2" xfId="452" xr:uid="{00000000-0005-0000-0000-0000BDBD0000}"/>
    <cellStyle name="Normal 15 2 10" xfId="46328" xr:uid="{00000000-0005-0000-0000-0000BEBD0000}"/>
    <cellStyle name="Normal 15 2 11" xfId="51807" xr:uid="{00000000-0005-0000-0000-0000BFBD0000}"/>
    <cellStyle name="Normal 15 2 2" xfId="2218" xr:uid="{00000000-0005-0000-0000-0000C0BD0000}"/>
    <cellStyle name="Normal 15 2 2 2" xfId="7698" xr:uid="{00000000-0005-0000-0000-0000C1BD0000}"/>
    <cellStyle name="Normal 15 2 2 3" xfId="13174" xr:uid="{00000000-0005-0000-0000-0000C2BD0000}"/>
    <cellStyle name="Normal 15 2 2 4" xfId="18650" xr:uid="{00000000-0005-0000-0000-0000C3BD0000}"/>
    <cellStyle name="Normal 15 2 2 5" xfId="24126" xr:uid="{00000000-0005-0000-0000-0000C4BD0000}"/>
    <cellStyle name="Normal 15 2 2 6" xfId="35922" xr:uid="{00000000-0005-0000-0000-0000C5BD0000}"/>
    <cellStyle name="Normal 15 2 2 7" xfId="41399" xr:uid="{00000000-0005-0000-0000-0000C6BD0000}"/>
    <cellStyle name="Normal 15 2 2 8" xfId="46876" xr:uid="{00000000-0005-0000-0000-0000C7BD0000}"/>
    <cellStyle name="Normal 15 2 2 9" xfId="52394" xr:uid="{00000000-0005-0000-0000-0000C8BD0000}"/>
    <cellStyle name="Normal 15 2 3" xfId="3990" xr:uid="{00000000-0005-0000-0000-0000C9BD0000}"/>
    <cellStyle name="Normal 15 2 3 2" xfId="9470" xr:uid="{00000000-0005-0000-0000-0000CABD0000}"/>
    <cellStyle name="Normal 15 2 3 3" xfId="14946" xr:uid="{00000000-0005-0000-0000-0000CBBD0000}"/>
    <cellStyle name="Normal 15 2 3 4" xfId="20422" xr:uid="{00000000-0005-0000-0000-0000CCBD0000}"/>
    <cellStyle name="Normal 15 2 3 5" xfId="25898" xr:uid="{00000000-0005-0000-0000-0000CDBD0000}"/>
    <cellStyle name="Normal 15 2 3 6" xfId="37694" xr:uid="{00000000-0005-0000-0000-0000CEBD0000}"/>
    <cellStyle name="Normal 15 2 3 7" xfId="43171" xr:uid="{00000000-0005-0000-0000-0000CFBD0000}"/>
    <cellStyle name="Normal 15 2 3 8" xfId="48648" xr:uid="{00000000-0005-0000-0000-0000D0BD0000}"/>
    <cellStyle name="Normal 15 2 3 9" xfId="54166" xr:uid="{00000000-0005-0000-0000-0000D1BD0000}"/>
    <cellStyle name="Normal 15 2 4" xfId="7147" xr:uid="{00000000-0005-0000-0000-0000D2BD0000}"/>
    <cellStyle name="Normal 15 2 5" xfId="12627" xr:uid="{00000000-0005-0000-0000-0000D3BD0000}"/>
    <cellStyle name="Normal 15 2 6" xfId="18103" xr:uid="{00000000-0005-0000-0000-0000D4BD0000}"/>
    <cellStyle name="Normal 15 2 7" xfId="23579" xr:uid="{00000000-0005-0000-0000-0000D5BD0000}"/>
    <cellStyle name="Normal 15 2 8" xfId="35374" xr:uid="{00000000-0005-0000-0000-0000D6BD0000}"/>
    <cellStyle name="Normal 15 2 9" xfId="40851" xr:uid="{00000000-0005-0000-0000-0000D7BD0000}"/>
    <cellStyle name="Normal 15 20" xfId="46326" xr:uid="{00000000-0005-0000-0000-0000D8BD0000}"/>
    <cellStyle name="Normal 15 21" xfId="51805" xr:uid="{00000000-0005-0000-0000-0000D9BD0000}"/>
    <cellStyle name="Normal 15 3" xfId="629" xr:uid="{00000000-0005-0000-0000-0000DABD0000}"/>
    <cellStyle name="Normal 15 3 10" xfId="46329" xr:uid="{00000000-0005-0000-0000-0000DBBD0000}"/>
    <cellStyle name="Normal 15 3 11" xfId="51808" xr:uid="{00000000-0005-0000-0000-0000DCBD0000}"/>
    <cellStyle name="Normal 15 3 2" xfId="2390" xr:uid="{00000000-0005-0000-0000-0000DDBD0000}"/>
    <cellStyle name="Normal 15 3 2 2" xfId="7870" xr:uid="{00000000-0005-0000-0000-0000DEBD0000}"/>
    <cellStyle name="Normal 15 3 2 3" xfId="13346" xr:uid="{00000000-0005-0000-0000-0000DFBD0000}"/>
    <cellStyle name="Normal 15 3 2 4" xfId="18822" xr:uid="{00000000-0005-0000-0000-0000E0BD0000}"/>
    <cellStyle name="Normal 15 3 2 5" xfId="24298" xr:uid="{00000000-0005-0000-0000-0000E1BD0000}"/>
    <cellStyle name="Normal 15 3 2 6" xfId="36094" xr:uid="{00000000-0005-0000-0000-0000E2BD0000}"/>
    <cellStyle name="Normal 15 3 2 7" xfId="41571" xr:uid="{00000000-0005-0000-0000-0000E3BD0000}"/>
    <cellStyle name="Normal 15 3 2 8" xfId="47048" xr:uid="{00000000-0005-0000-0000-0000E4BD0000}"/>
    <cellStyle name="Normal 15 3 2 9" xfId="52566" xr:uid="{00000000-0005-0000-0000-0000E5BD0000}"/>
    <cellStyle name="Normal 15 3 3" xfId="4162" xr:uid="{00000000-0005-0000-0000-0000E6BD0000}"/>
    <cellStyle name="Normal 15 3 3 2" xfId="9642" xr:uid="{00000000-0005-0000-0000-0000E7BD0000}"/>
    <cellStyle name="Normal 15 3 3 3" xfId="15118" xr:uid="{00000000-0005-0000-0000-0000E8BD0000}"/>
    <cellStyle name="Normal 15 3 3 4" xfId="20594" xr:uid="{00000000-0005-0000-0000-0000E9BD0000}"/>
    <cellStyle name="Normal 15 3 3 5" xfId="26070" xr:uid="{00000000-0005-0000-0000-0000EABD0000}"/>
    <cellStyle name="Normal 15 3 3 6" xfId="37866" xr:uid="{00000000-0005-0000-0000-0000EBBD0000}"/>
    <cellStyle name="Normal 15 3 3 7" xfId="43343" xr:uid="{00000000-0005-0000-0000-0000ECBD0000}"/>
    <cellStyle name="Normal 15 3 3 8" xfId="48820" xr:uid="{00000000-0005-0000-0000-0000EDBD0000}"/>
    <cellStyle name="Normal 15 3 3 9" xfId="54338" xr:uid="{00000000-0005-0000-0000-0000EEBD0000}"/>
    <cellStyle name="Normal 15 3 4" xfId="7148" xr:uid="{00000000-0005-0000-0000-0000EFBD0000}"/>
    <cellStyle name="Normal 15 3 5" xfId="12628" xr:uid="{00000000-0005-0000-0000-0000F0BD0000}"/>
    <cellStyle name="Normal 15 3 6" xfId="18104" xr:uid="{00000000-0005-0000-0000-0000F1BD0000}"/>
    <cellStyle name="Normal 15 3 7" xfId="23580" xr:uid="{00000000-0005-0000-0000-0000F2BD0000}"/>
    <cellStyle name="Normal 15 3 8" xfId="35375" xr:uid="{00000000-0005-0000-0000-0000F3BD0000}"/>
    <cellStyle name="Normal 15 3 9" xfId="40852" xr:uid="{00000000-0005-0000-0000-0000F4BD0000}"/>
    <cellStyle name="Normal 15 4" xfId="801" xr:uid="{00000000-0005-0000-0000-0000F5BD0000}"/>
    <cellStyle name="Normal 15 4 10" xfId="46330" xr:uid="{00000000-0005-0000-0000-0000F6BD0000}"/>
    <cellStyle name="Normal 15 4 11" xfId="51809" xr:uid="{00000000-0005-0000-0000-0000F7BD0000}"/>
    <cellStyle name="Normal 15 4 2" xfId="2562" xr:uid="{00000000-0005-0000-0000-0000F8BD0000}"/>
    <cellStyle name="Normal 15 4 2 2" xfId="8042" xr:uid="{00000000-0005-0000-0000-0000F9BD0000}"/>
    <cellStyle name="Normal 15 4 2 3" xfId="13518" xr:uid="{00000000-0005-0000-0000-0000FABD0000}"/>
    <cellStyle name="Normal 15 4 2 4" xfId="18994" xr:uid="{00000000-0005-0000-0000-0000FBBD0000}"/>
    <cellStyle name="Normal 15 4 2 5" xfId="24470" xr:uid="{00000000-0005-0000-0000-0000FCBD0000}"/>
    <cellStyle name="Normal 15 4 2 6" xfId="36266" xr:uid="{00000000-0005-0000-0000-0000FDBD0000}"/>
    <cellStyle name="Normal 15 4 2 7" xfId="41743" xr:uid="{00000000-0005-0000-0000-0000FEBD0000}"/>
    <cellStyle name="Normal 15 4 2 8" xfId="47220" xr:uid="{00000000-0005-0000-0000-0000FFBD0000}"/>
    <cellStyle name="Normal 15 4 2 9" xfId="52738" xr:uid="{00000000-0005-0000-0000-000000BE0000}"/>
    <cellStyle name="Normal 15 4 3" xfId="4334" xr:uid="{00000000-0005-0000-0000-000001BE0000}"/>
    <cellStyle name="Normal 15 4 3 2" xfId="9814" xr:uid="{00000000-0005-0000-0000-000002BE0000}"/>
    <cellStyle name="Normal 15 4 3 3" xfId="15290" xr:uid="{00000000-0005-0000-0000-000003BE0000}"/>
    <cellStyle name="Normal 15 4 3 4" xfId="20766" xr:uid="{00000000-0005-0000-0000-000004BE0000}"/>
    <cellStyle name="Normal 15 4 3 5" xfId="26242" xr:uid="{00000000-0005-0000-0000-000005BE0000}"/>
    <cellStyle name="Normal 15 4 3 6" xfId="38038" xr:uid="{00000000-0005-0000-0000-000006BE0000}"/>
    <cellStyle name="Normal 15 4 3 7" xfId="43515" xr:uid="{00000000-0005-0000-0000-000007BE0000}"/>
    <cellStyle name="Normal 15 4 3 8" xfId="48992" xr:uid="{00000000-0005-0000-0000-000008BE0000}"/>
    <cellStyle name="Normal 15 4 3 9" xfId="54510" xr:uid="{00000000-0005-0000-0000-000009BE0000}"/>
    <cellStyle name="Normal 15 4 4" xfId="7149" xr:uid="{00000000-0005-0000-0000-00000ABE0000}"/>
    <cellStyle name="Normal 15 4 5" xfId="12629" xr:uid="{00000000-0005-0000-0000-00000BBE0000}"/>
    <cellStyle name="Normal 15 4 6" xfId="18105" xr:uid="{00000000-0005-0000-0000-00000CBE0000}"/>
    <cellStyle name="Normal 15 4 7" xfId="23581" xr:uid="{00000000-0005-0000-0000-00000DBE0000}"/>
    <cellStyle name="Normal 15 4 8" xfId="35376" xr:uid="{00000000-0005-0000-0000-00000EBE0000}"/>
    <cellStyle name="Normal 15 4 9" xfId="40853" xr:uid="{00000000-0005-0000-0000-00000FBE0000}"/>
    <cellStyle name="Normal 15 5" xfId="973" xr:uid="{00000000-0005-0000-0000-000010BE0000}"/>
    <cellStyle name="Normal 15 5 10" xfId="46331" xr:uid="{00000000-0005-0000-0000-000011BE0000}"/>
    <cellStyle name="Normal 15 5 11" xfId="51810" xr:uid="{00000000-0005-0000-0000-000012BE0000}"/>
    <cellStyle name="Normal 15 5 2" xfId="2734" xr:uid="{00000000-0005-0000-0000-000013BE0000}"/>
    <cellStyle name="Normal 15 5 2 2" xfId="8214" xr:uid="{00000000-0005-0000-0000-000014BE0000}"/>
    <cellStyle name="Normal 15 5 2 3" xfId="13690" xr:uid="{00000000-0005-0000-0000-000015BE0000}"/>
    <cellStyle name="Normal 15 5 2 4" xfId="19166" xr:uid="{00000000-0005-0000-0000-000016BE0000}"/>
    <cellStyle name="Normal 15 5 2 5" xfId="24642" xr:uid="{00000000-0005-0000-0000-000017BE0000}"/>
    <cellStyle name="Normal 15 5 2 6" xfId="36438" xr:uid="{00000000-0005-0000-0000-000018BE0000}"/>
    <cellStyle name="Normal 15 5 2 7" xfId="41915" xr:uid="{00000000-0005-0000-0000-000019BE0000}"/>
    <cellStyle name="Normal 15 5 2 8" xfId="47392" xr:uid="{00000000-0005-0000-0000-00001ABE0000}"/>
    <cellStyle name="Normal 15 5 2 9" xfId="52910" xr:uid="{00000000-0005-0000-0000-00001BBE0000}"/>
    <cellStyle name="Normal 15 5 3" xfId="4506" xr:uid="{00000000-0005-0000-0000-00001CBE0000}"/>
    <cellStyle name="Normal 15 5 3 2" xfId="9986" xr:uid="{00000000-0005-0000-0000-00001DBE0000}"/>
    <cellStyle name="Normal 15 5 3 3" xfId="15462" xr:uid="{00000000-0005-0000-0000-00001EBE0000}"/>
    <cellStyle name="Normal 15 5 3 4" xfId="20938" xr:uid="{00000000-0005-0000-0000-00001FBE0000}"/>
    <cellStyle name="Normal 15 5 3 5" xfId="26414" xr:uid="{00000000-0005-0000-0000-000020BE0000}"/>
    <cellStyle name="Normal 15 5 3 6" xfId="38210" xr:uid="{00000000-0005-0000-0000-000021BE0000}"/>
    <cellStyle name="Normal 15 5 3 7" xfId="43687" xr:uid="{00000000-0005-0000-0000-000022BE0000}"/>
    <cellStyle name="Normal 15 5 3 8" xfId="49164" xr:uid="{00000000-0005-0000-0000-000023BE0000}"/>
    <cellStyle name="Normal 15 5 3 9" xfId="54682" xr:uid="{00000000-0005-0000-0000-000024BE0000}"/>
    <cellStyle name="Normal 15 5 4" xfId="7150" xr:uid="{00000000-0005-0000-0000-000025BE0000}"/>
    <cellStyle name="Normal 15 5 5" xfId="12630" xr:uid="{00000000-0005-0000-0000-000026BE0000}"/>
    <cellStyle name="Normal 15 5 6" xfId="18106" xr:uid="{00000000-0005-0000-0000-000027BE0000}"/>
    <cellStyle name="Normal 15 5 7" xfId="23582" xr:uid="{00000000-0005-0000-0000-000028BE0000}"/>
    <cellStyle name="Normal 15 5 8" xfId="35377" xr:uid="{00000000-0005-0000-0000-000029BE0000}"/>
    <cellStyle name="Normal 15 5 9" xfId="40854" xr:uid="{00000000-0005-0000-0000-00002ABE0000}"/>
    <cellStyle name="Normal 15 6" xfId="1179" xr:uid="{00000000-0005-0000-0000-00002BBE0000}"/>
    <cellStyle name="Normal 15 6 10" xfId="46332" xr:uid="{00000000-0005-0000-0000-00002CBE0000}"/>
    <cellStyle name="Normal 15 6 11" xfId="51811" xr:uid="{00000000-0005-0000-0000-00002DBE0000}"/>
    <cellStyle name="Normal 15 6 2" xfId="2940" xr:uid="{00000000-0005-0000-0000-00002EBE0000}"/>
    <cellStyle name="Normal 15 6 2 2" xfId="8420" xr:uid="{00000000-0005-0000-0000-00002FBE0000}"/>
    <cellStyle name="Normal 15 6 2 3" xfId="13896" xr:uid="{00000000-0005-0000-0000-000030BE0000}"/>
    <cellStyle name="Normal 15 6 2 4" xfId="19372" xr:uid="{00000000-0005-0000-0000-000031BE0000}"/>
    <cellStyle name="Normal 15 6 2 5" xfId="24848" xr:uid="{00000000-0005-0000-0000-000032BE0000}"/>
    <cellStyle name="Normal 15 6 2 6" xfId="36644" xr:uid="{00000000-0005-0000-0000-000033BE0000}"/>
    <cellStyle name="Normal 15 6 2 7" xfId="42121" xr:uid="{00000000-0005-0000-0000-000034BE0000}"/>
    <cellStyle name="Normal 15 6 2 8" xfId="47598" xr:uid="{00000000-0005-0000-0000-000035BE0000}"/>
    <cellStyle name="Normal 15 6 2 9" xfId="53116" xr:uid="{00000000-0005-0000-0000-000036BE0000}"/>
    <cellStyle name="Normal 15 6 3" xfId="4712" xr:uid="{00000000-0005-0000-0000-000037BE0000}"/>
    <cellStyle name="Normal 15 6 3 2" xfId="10192" xr:uid="{00000000-0005-0000-0000-000038BE0000}"/>
    <cellStyle name="Normal 15 6 3 3" xfId="15668" xr:uid="{00000000-0005-0000-0000-000039BE0000}"/>
    <cellStyle name="Normal 15 6 3 4" xfId="21144" xr:uid="{00000000-0005-0000-0000-00003ABE0000}"/>
    <cellStyle name="Normal 15 6 3 5" xfId="26620" xr:uid="{00000000-0005-0000-0000-00003BBE0000}"/>
    <cellStyle name="Normal 15 6 3 6" xfId="38416" xr:uid="{00000000-0005-0000-0000-00003CBE0000}"/>
    <cellStyle name="Normal 15 6 3 7" xfId="43893" xr:uid="{00000000-0005-0000-0000-00003DBE0000}"/>
    <cellStyle name="Normal 15 6 3 8" xfId="49370" xr:uid="{00000000-0005-0000-0000-00003EBE0000}"/>
    <cellStyle name="Normal 15 6 3 9" xfId="54888" xr:uid="{00000000-0005-0000-0000-00003FBE0000}"/>
    <cellStyle name="Normal 15 6 4" xfId="7151" xr:uid="{00000000-0005-0000-0000-000040BE0000}"/>
    <cellStyle name="Normal 15 6 5" xfId="12631" xr:uid="{00000000-0005-0000-0000-000041BE0000}"/>
    <cellStyle name="Normal 15 6 6" xfId="18107" xr:uid="{00000000-0005-0000-0000-000042BE0000}"/>
    <cellStyle name="Normal 15 6 7" xfId="23583" xr:uid="{00000000-0005-0000-0000-000043BE0000}"/>
    <cellStyle name="Normal 15 6 8" xfId="35378" xr:uid="{00000000-0005-0000-0000-000044BE0000}"/>
    <cellStyle name="Normal 15 6 9" xfId="40855" xr:uid="{00000000-0005-0000-0000-000045BE0000}"/>
    <cellStyle name="Normal 15 7" xfId="1351" xr:uid="{00000000-0005-0000-0000-000046BE0000}"/>
    <cellStyle name="Normal 15 7 10" xfId="46333" xr:uid="{00000000-0005-0000-0000-000047BE0000}"/>
    <cellStyle name="Normal 15 7 11" xfId="51812" xr:uid="{00000000-0005-0000-0000-000048BE0000}"/>
    <cellStyle name="Normal 15 7 2" xfId="3112" xr:uid="{00000000-0005-0000-0000-000049BE0000}"/>
    <cellStyle name="Normal 15 7 2 2" xfId="8592" xr:uid="{00000000-0005-0000-0000-00004ABE0000}"/>
    <cellStyle name="Normal 15 7 2 3" xfId="14068" xr:uid="{00000000-0005-0000-0000-00004BBE0000}"/>
    <cellStyle name="Normal 15 7 2 4" xfId="19544" xr:uid="{00000000-0005-0000-0000-00004CBE0000}"/>
    <cellStyle name="Normal 15 7 2 5" xfId="25020" xr:uid="{00000000-0005-0000-0000-00004DBE0000}"/>
    <cellStyle name="Normal 15 7 2 6" xfId="36816" xr:uid="{00000000-0005-0000-0000-00004EBE0000}"/>
    <cellStyle name="Normal 15 7 2 7" xfId="42293" xr:uid="{00000000-0005-0000-0000-00004FBE0000}"/>
    <cellStyle name="Normal 15 7 2 8" xfId="47770" xr:uid="{00000000-0005-0000-0000-000050BE0000}"/>
    <cellStyle name="Normal 15 7 2 9" xfId="53288" xr:uid="{00000000-0005-0000-0000-000051BE0000}"/>
    <cellStyle name="Normal 15 7 3" xfId="4884" xr:uid="{00000000-0005-0000-0000-000052BE0000}"/>
    <cellStyle name="Normal 15 7 3 2" xfId="10364" xr:uid="{00000000-0005-0000-0000-000053BE0000}"/>
    <cellStyle name="Normal 15 7 3 3" xfId="15840" xr:uid="{00000000-0005-0000-0000-000054BE0000}"/>
    <cellStyle name="Normal 15 7 3 4" xfId="21316" xr:uid="{00000000-0005-0000-0000-000055BE0000}"/>
    <cellStyle name="Normal 15 7 3 5" xfId="26792" xr:uid="{00000000-0005-0000-0000-000056BE0000}"/>
    <cellStyle name="Normal 15 7 3 6" xfId="38588" xr:uid="{00000000-0005-0000-0000-000057BE0000}"/>
    <cellStyle name="Normal 15 7 3 7" xfId="44065" xr:uid="{00000000-0005-0000-0000-000058BE0000}"/>
    <cellStyle name="Normal 15 7 3 8" xfId="49542" xr:uid="{00000000-0005-0000-0000-000059BE0000}"/>
    <cellStyle name="Normal 15 7 3 9" xfId="55060" xr:uid="{00000000-0005-0000-0000-00005ABE0000}"/>
    <cellStyle name="Normal 15 7 4" xfId="7152" xr:uid="{00000000-0005-0000-0000-00005BBE0000}"/>
    <cellStyle name="Normal 15 7 5" xfId="12632" xr:uid="{00000000-0005-0000-0000-00005CBE0000}"/>
    <cellStyle name="Normal 15 7 6" xfId="18108" xr:uid="{00000000-0005-0000-0000-00005DBE0000}"/>
    <cellStyle name="Normal 15 7 7" xfId="23584" xr:uid="{00000000-0005-0000-0000-00005EBE0000}"/>
    <cellStyle name="Normal 15 7 8" xfId="35379" xr:uid="{00000000-0005-0000-0000-00005FBE0000}"/>
    <cellStyle name="Normal 15 7 9" xfId="40856" xr:uid="{00000000-0005-0000-0000-000060BE0000}"/>
    <cellStyle name="Normal 15 8" xfId="1523" xr:uid="{00000000-0005-0000-0000-000061BE0000}"/>
    <cellStyle name="Normal 15 8 10" xfId="46334" xr:uid="{00000000-0005-0000-0000-000062BE0000}"/>
    <cellStyle name="Normal 15 8 11" xfId="51813" xr:uid="{00000000-0005-0000-0000-000063BE0000}"/>
    <cellStyle name="Normal 15 8 2" xfId="3284" xr:uid="{00000000-0005-0000-0000-000064BE0000}"/>
    <cellStyle name="Normal 15 8 2 2" xfId="8764" xr:uid="{00000000-0005-0000-0000-000065BE0000}"/>
    <cellStyle name="Normal 15 8 2 3" xfId="14240" xr:uid="{00000000-0005-0000-0000-000066BE0000}"/>
    <cellStyle name="Normal 15 8 2 4" xfId="19716" xr:uid="{00000000-0005-0000-0000-000067BE0000}"/>
    <cellStyle name="Normal 15 8 2 5" xfId="25192" xr:uid="{00000000-0005-0000-0000-000068BE0000}"/>
    <cellStyle name="Normal 15 8 2 6" xfId="36988" xr:uid="{00000000-0005-0000-0000-000069BE0000}"/>
    <cellStyle name="Normal 15 8 2 7" xfId="42465" xr:uid="{00000000-0005-0000-0000-00006ABE0000}"/>
    <cellStyle name="Normal 15 8 2 8" xfId="47942" xr:uid="{00000000-0005-0000-0000-00006BBE0000}"/>
    <cellStyle name="Normal 15 8 2 9" xfId="53460" xr:uid="{00000000-0005-0000-0000-00006CBE0000}"/>
    <cellStyle name="Normal 15 8 3" xfId="5056" xr:uid="{00000000-0005-0000-0000-00006DBE0000}"/>
    <cellStyle name="Normal 15 8 3 2" xfId="10536" xr:uid="{00000000-0005-0000-0000-00006EBE0000}"/>
    <cellStyle name="Normal 15 8 3 3" xfId="16012" xr:uid="{00000000-0005-0000-0000-00006FBE0000}"/>
    <cellStyle name="Normal 15 8 3 4" xfId="21488" xr:uid="{00000000-0005-0000-0000-000070BE0000}"/>
    <cellStyle name="Normal 15 8 3 5" xfId="26964" xr:uid="{00000000-0005-0000-0000-000071BE0000}"/>
    <cellStyle name="Normal 15 8 3 6" xfId="38760" xr:uid="{00000000-0005-0000-0000-000072BE0000}"/>
    <cellStyle name="Normal 15 8 3 7" xfId="44237" xr:uid="{00000000-0005-0000-0000-000073BE0000}"/>
    <cellStyle name="Normal 15 8 3 8" xfId="49714" xr:uid="{00000000-0005-0000-0000-000074BE0000}"/>
    <cellStyle name="Normal 15 8 3 9" xfId="55232" xr:uid="{00000000-0005-0000-0000-000075BE0000}"/>
    <cellStyle name="Normal 15 8 4" xfId="7153" xr:uid="{00000000-0005-0000-0000-000076BE0000}"/>
    <cellStyle name="Normal 15 8 5" xfId="12633" xr:uid="{00000000-0005-0000-0000-000077BE0000}"/>
    <cellStyle name="Normal 15 8 6" xfId="18109" xr:uid="{00000000-0005-0000-0000-000078BE0000}"/>
    <cellStyle name="Normal 15 8 7" xfId="23585" xr:uid="{00000000-0005-0000-0000-000079BE0000}"/>
    <cellStyle name="Normal 15 8 8" xfId="35380" xr:uid="{00000000-0005-0000-0000-00007ABE0000}"/>
    <cellStyle name="Normal 15 8 9" xfId="40857" xr:uid="{00000000-0005-0000-0000-00007BBE0000}"/>
    <cellStyle name="Normal 15 9" xfId="1695" xr:uid="{00000000-0005-0000-0000-00007CBE0000}"/>
    <cellStyle name="Normal 15 9 10" xfId="46335" xr:uid="{00000000-0005-0000-0000-00007DBE0000}"/>
    <cellStyle name="Normal 15 9 11" xfId="51814" xr:uid="{00000000-0005-0000-0000-00007EBE0000}"/>
    <cellStyle name="Normal 15 9 2" xfId="3456" xr:uid="{00000000-0005-0000-0000-00007FBE0000}"/>
    <cellStyle name="Normal 15 9 2 2" xfId="8936" xr:uid="{00000000-0005-0000-0000-000080BE0000}"/>
    <cellStyle name="Normal 15 9 2 3" xfId="14412" xr:uid="{00000000-0005-0000-0000-000081BE0000}"/>
    <cellStyle name="Normal 15 9 2 4" xfId="19888" xr:uid="{00000000-0005-0000-0000-000082BE0000}"/>
    <cellStyle name="Normal 15 9 2 5" xfId="25364" xr:uid="{00000000-0005-0000-0000-000083BE0000}"/>
    <cellStyle name="Normal 15 9 2 6" xfId="37160" xr:uid="{00000000-0005-0000-0000-000084BE0000}"/>
    <cellStyle name="Normal 15 9 2 7" xfId="42637" xr:uid="{00000000-0005-0000-0000-000085BE0000}"/>
    <cellStyle name="Normal 15 9 2 8" xfId="48114" xr:uid="{00000000-0005-0000-0000-000086BE0000}"/>
    <cellStyle name="Normal 15 9 2 9" xfId="53632" xr:uid="{00000000-0005-0000-0000-000087BE0000}"/>
    <cellStyle name="Normal 15 9 3" xfId="5228" xr:uid="{00000000-0005-0000-0000-000088BE0000}"/>
    <cellStyle name="Normal 15 9 3 2" xfId="10708" xr:uid="{00000000-0005-0000-0000-000089BE0000}"/>
    <cellStyle name="Normal 15 9 3 3" xfId="16184" xr:uid="{00000000-0005-0000-0000-00008ABE0000}"/>
    <cellStyle name="Normal 15 9 3 4" xfId="21660" xr:uid="{00000000-0005-0000-0000-00008BBE0000}"/>
    <cellStyle name="Normal 15 9 3 5" xfId="27136" xr:uid="{00000000-0005-0000-0000-00008CBE0000}"/>
    <cellStyle name="Normal 15 9 3 6" xfId="38932" xr:uid="{00000000-0005-0000-0000-00008DBE0000}"/>
    <cellStyle name="Normal 15 9 3 7" xfId="44409" xr:uid="{00000000-0005-0000-0000-00008EBE0000}"/>
    <cellStyle name="Normal 15 9 3 8" xfId="49886" xr:uid="{00000000-0005-0000-0000-00008FBE0000}"/>
    <cellStyle name="Normal 15 9 3 9" xfId="55404" xr:uid="{00000000-0005-0000-0000-000090BE0000}"/>
    <cellStyle name="Normal 15 9 4" xfId="7154" xr:uid="{00000000-0005-0000-0000-000091BE0000}"/>
    <cellStyle name="Normal 15 9 5" xfId="12634" xr:uid="{00000000-0005-0000-0000-000092BE0000}"/>
    <cellStyle name="Normal 15 9 6" xfId="18110" xr:uid="{00000000-0005-0000-0000-000093BE0000}"/>
    <cellStyle name="Normal 15 9 7" xfId="23586" xr:uid="{00000000-0005-0000-0000-000094BE0000}"/>
    <cellStyle name="Normal 15 9 8" xfId="35381" xr:uid="{00000000-0005-0000-0000-000095BE0000}"/>
    <cellStyle name="Normal 15 9 9" xfId="40858" xr:uid="{00000000-0005-0000-0000-000096BE0000}"/>
    <cellStyle name="Normal 16" xfId="453" xr:uid="{00000000-0005-0000-0000-000097BE0000}"/>
    <cellStyle name="Normal 16 2" xfId="32986" xr:uid="{00000000-0005-0000-0000-000098BE0000}"/>
    <cellStyle name="Normal 17" xfId="1906" xr:uid="{00000000-0005-0000-0000-000099BE0000}"/>
    <cellStyle name="Normal 17 10" xfId="46336" xr:uid="{00000000-0005-0000-0000-00009ABE0000}"/>
    <cellStyle name="Normal 17 11" xfId="51815" xr:uid="{00000000-0005-0000-0000-00009BBE0000}"/>
    <cellStyle name="Normal 17 2" xfId="3667" xr:uid="{00000000-0005-0000-0000-00009CBE0000}"/>
    <cellStyle name="Normal 17 2 2" xfId="9147" xr:uid="{00000000-0005-0000-0000-00009DBE0000}"/>
    <cellStyle name="Normal 17 2 3" xfId="14623" xr:uid="{00000000-0005-0000-0000-00009EBE0000}"/>
    <cellStyle name="Normal 17 2 4" xfId="20099" xr:uid="{00000000-0005-0000-0000-00009FBE0000}"/>
    <cellStyle name="Normal 17 2 5" xfId="25575" xr:uid="{00000000-0005-0000-0000-0000A0BE0000}"/>
    <cellStyle name="Normal 17 2 6" xfId="37371" xr:uid="{00000000-0005-0000-0000-0000A1BE0000}"/>
    <cellStyle name="Normal 17 2 7" xfId="42848" xr:uid="{00000000-0005-0000-0000-0000A2BE0000}"/>
    <cellStyle name="Normal 17 2 8" xfId="48325" xr:uid="{00000000-0005-0000-0000-0000A3BE0000}"/>
    <cellStyle name="Normal 17 2 9" xfId="53843" xr:uid="{00000000-0005-0000-0000-0000A4BE0000}"/>
    <cellStyle name="Normal 17 3" xfId="7155" xr:uid="{00000000-0005-0000-0000-0000A5BE0000}"/>
    <cellStyle name="Normal 17 4" xfId="12635" xr:uid="{00000000-0005-0000-0000-0000A6BE0000}"/>
    <cellStyle name="Normal 17 5" xfId="18111" xr:uid="{00000000-0005-0000-0000-0000A7BE0000}"/>
    <cellStyle name="Normal 17 6" xfId="23587" xr:uid="{00000000-0005-0000-0000-0000A8BE0000}"/>
    <cellStyle name="Normal 17 7" xfId="32987" xr:uid="{00000000-0005-0000-0000-0000A9BE0000}"/>
    <cellStyle name="Normal 17 8" xfId="35382" xr:uid="{00000000-0005-0000-0000-0000AABE0000}"/>
    <cellStyle name="Normal 17 9" xfId="40859" xr:uid="{00000000-0005-0000-0000-0000ABBE0000}"/>
    <cellStyle name="Normal 18" xfId="2079" xr:uid="{00000000-0005-0000-0000-0000ACBE0000}"/>
    <cellStyle name="Normal 18 2" xfId="32988" xr:uid="{00000000-0005-0000-0000-0000ADBE0000}"/>
    <cellStyle name="Normal 19" xfId="7373" xr:uid="{00000000-0005-0000-0000-0000AEBE0000}"/>
    <cellStyle name="Normal 19 2" xfId="52082" xr:uid="{00000000-0005-0000-0000-0000AFBE0000}"/>
    <cellStyle name="Normal 2" xfId="2" xr:uid="{00000000-0005-0000-0000-0000B0BE0000}"/>
    <cellStyle name="Normal 2 10" xfId="32989" xr:uid="{00000000-0005-0000-0000-0000B1BE0000}"/>
    <cellStyle name="Normal 2 10 2" xfId="32990" xr:uid="{00000000-0005-0000-0000-0000B2BE0000}"/>
    <cellStyle name="Normal 2 11" xfId="32991" xr:uid="{00000000-0005-0000-0000-0000B3BE0000}"/>
    <cellStyle name="Normal 2 12" xfId="32992" xr:uid="{00000000-0005-0000-0000-0000B4BE0000}"/>
    <cellStyle name="Normal 2 12 2" xfId="32993" xr:uid="{00000000-0005-0000-0000-0000B5BE0000}"/>
    <cellStyle name="Normal 2 13" xfId="32994" xr:uid="{00000000-0005-0000-0000-0000B6BE0000}"/>
    <cellStyle name="Normal 2 14" xfId="27534" xr:uid="{00000000-0005-0000-0000-0000B7BE0000}"/>
    <cellStyle name="Normal 2 15" xfId="52070" xr:uid="{00000000-0005-0000-0000-0000B8BE0000}"/>
    <cellStyle name="Normal 2 2" xfId="14" xr:uid="{00000000-0005-0000-0000-0000B9BE0000}"/>
    <cellStyle name="Normal 2 2 10" xfId="27535" xr:uid="{00000000-0005-0000-0000-0000BABE0000}"/>
    <cellStyle name="Normal 2 2 11" xfId="52071" xr:uid="{00000000-0005-0000-0000-0000BBBE0000}"/>
    <cellStyle name="Normal 2 2 2" xfId="15" xr:uid="{00000000-0005-0000-0000-0000BCBE0000}"/>
    <cellStyle name="Normal 2 2 2 2" xfId="16" xr:uid="{00000000-0005-0000-0000-0000BDBE0000}"/>
    <cellStyle name="Normal 2 2 2 2 2" xfId="32997" xr:uid="{00000000-0005-0000-0000-0000BEBE0000}"/>
    <cellStyle name="Normal 2 2 2 2 3" xfId="32996" xr:uid="{00000000-0005-0000-0000-0000BFBE0000}"/>
    <cellStyle name="Normal 2 2 2 3" xfId="32998" xr:uid="{00000000-0005-0000-0000-0000C0BE0000}"/>
    <cellStyle name="Normal 2 2 2 4" xfId="32995" xr:uid="{00000000-0005-0000-0000-0000C1BE0000}"/>
    <cellStyle name="Normal 2 2 3" xfId="17" xr:uid="{00000000-0005-0000-0000-0000C2BE0000}"/>
    <cellStyle name="Normal 2 2 3 2" xfId="33000" xr:uid="{00000000-0005-0000-0000-0000C3BE0000}"/>
    <cellStyle name="Normal 2 2 3 2 2" xfId="33001" xr:uid="{00000000-0005-0000-0000-0000C4BE0000}"/>
    <cellStyle name="Normal 2 2 3 3" xfId="33002" xr:uid="{00000000-0005-0000-0000-0000C5BE0000}"/>
    <cellStyle name="Normal 2 2 3 4" xfId="32999" xr:uid="{00000000-0005-0000-0000-0000C6BE0000}"/>
    <cellStyle name="Normal 2 2 3 5" xfId="52072" xr:uid="{00000000-0005-0000-0000-0000C7BE0000}"/>
    <cellStyle name="Normal 2 2 4" xfId="18" xr:uid="{00000000-0005-0000-0000-0000C8BE0000}"/>
    <cellStyle name="Normal 2 2 4 2" xfId="33004" xr:uid="{00000000-0005-0000-0000-0000C9BE0000}"/>
    <cellStyle name="Normal 2 2 4 2 2" xfId="33005" xr:uid="{00000000-0005-0000-0000-0000CABE0000}"/>
    <cellStyle name="Normal 2 2 4 3" xfId="33006" xr:uid="{00000000-0005-0000-0000-0000CBBE0000}"/>
    <cellStyle name="Normal 2 2 4 4" xfId="33003" xr:uid="{00000000-0005-0000-0000-0000CCBE0000}"/>
    <cellStyle name="Normal 2 2 5" xfId="199" xr:uid="{00000000-0005-0000-0000-0000CDBE0000}"/>
    <cellStyle name="Normal 2 2 5 2" xfId="33008" xr:uid="{00000000-0005-0000-0000-0000CEBE0000}"/>
    <cellStyle name="Normal 2 2 5 2 2" xfId="33009" xr:uid="{00000000-0005-0000-0000-0000CFBE0000}"/>
    <cellStyle name="Normal 2 2 5 3" xfId="33010" xr:uid="{00000000-0005-0000-0000-0000D0BE0000}"/>
    <cellStyle name="Normal 2 2 5 4" xfId="33007" xr:uid="{00000000-0005-0000-0000-0000D1BE0000}"/>
    <cellStyle name="Normal 2 2 5 5" xfId="52073" xr:uid="{00000000-0005-0000-0000-0000D2BE0000}"/>
    <cellStyle name="Normal 2 2 6" xfId="276" xr:uid="{00000000-0005-0000-0000-0000D3BE0000}"/>
    <cellStyle name="Normal 2 2 6 2" xfId="33012" xr:uid="{00000000-0005-0000-0000-0000D4BE0000}"/>
    <cellStyle name="Normal 2 2 6 2 2" xfId="33013" xr:uid="{00000000-0005-0000-0000-0000D5BE0000}"/>
    <cellStyle name="Normal 2 2 6 3" xfId="33014" xr:uid="{00000000-0005-0000-0000-0000D6BE0000}"/>
    <cellStyle name="Normal 2 2 6 4" xfId="33011" xr:uid="{00000000-0005-0000-0000-0000D7BE0000}"/>
    <cellStyle name="Normal 2 2 7" xfId="183" xr:uid="{00000000-0005-0000-0000-0000D8BE0000}"/>
    <cellStyle name="Normal 2 2 7 2" xfId="33016" xr:uid="{00000000-0005-0000-0000-0000D9BE0000}"/>
    <cellStyle name="Normal 2 2 7 2 2" xfId="33017" xr:uid="{00000000-0005-0000-0000-0000DABE0000}"/>
    <cellStyle name="Normal 2 2 7 3" xfId="33018" xr:uid="{00000000-0005-0000-0000-0000DBBE0000}"/>
    <cellStyle name="Normal 2 2 7 4" xfId="33015" xr:uid="{00000000-0005-0000-0000-0000DCBE0000}"/>
    <cellStyle name="Normal 2 2 8" xfId="33019" xr:uid="{00000000-0005-0000-0000-0000DDBE0000}"/>
    <cellStyle name="Normal 2 2 8 2" xfId="33020" xr:uid="{00000000-0005-0000-0000-0000DEBE0000}"/>
    <cellStyle name="Normal 2 2 9" xfId="33021" xr:uid="{00000000-0005-0000-0000-0000DFBE0000}"/>
    <cellStyle name="Normal 2 3" xfId="19" xr:uid="{00000000-0005-0000-0000-0000E0BE0000}"/>
    <cellStyle name="Normal 2 3 10" xfId="33022" xr:uid="{00000000-0005-0000-0000-0000E1BE0000}"/>
    <cellStyle name="Normal 2 3 2" xfId="33023" xr:uid="{00000000-0005-0000-0000-0000E2BE0000}"/>
    <cellStyle name="Normal 2 3 2 2" xfId="33024" xr:uid="{00000000-0005-0000-0000-0000E3BE0000}"/>
    <cellStyle name="Normal 2 3 2 2 2" xfId="33025" xr:uid="{00000000-0005-0000-0000-0000E4BE0000}"/>
    <cellStyle name="Normal 2 3 2 3" xfId="33026" xr:uid="{00000000-0005-0000-0000-0000E5BE0000}"/>
    <cellStyle name="Normal 2 3 3" xfId="33027" xr:uid="{00000000-0005-0000-0000-0000E6BE0000}"/>
    <cellStyle name="Normal 2 3 3 2" xfId="33028" xr:uid="{00000000-0005-0000-0000-0000E7BE0000}"/>
    <cellStyle name="Normal 2 3 3 2 2" xfId="33029" xr:uid="{00000000-0005-0000-0000-0000E8BE0000}"/>
    <cellStyle name="Normal 2 3 3 3" xfId="33030" xr:uid="{00000000-0005-0000-0000-0000E9BE0000}"/>
    <cellStyle name="Normal 2 3 4" xfId="33031" xr:uid="{00000000-0005-0000-0000-0000EABE0000}"/>
    <cellStyle name="Normal 2 3 4 2" xfId="33032" xr:uid="{00000000-0005-0000-0000-0000EBBE0000}"/>
    <cellStyle name="Normal 2 3 4 2 2" xfId="33033" xr:uid="{00000000-0005-0000-0000-0000ECBE0000}"/>
    <cellStyle name="Normal 2 3 4 3" xfId="33034" xr:uid="{00000000-0005-0000-0000-0000EDBE0000}"/>
    <cellStyle name="Normal 2 3 5" xfId="33035" xr:uid="{00000000-0005-0000-0000-0000EEBE0000}"/>
    <cellStyle name="Normal 2 3 5 2" xfId="33036" xr:uid="{00000000-0005-0000-0000-0000EFBE0000}"/>
    <cellStyle name="Normal 2 3 5 2 2" xfId="33037" xr:uid="{00000000-0005-0000-0000-0000F0BE0000}"/>
    <cellStyle name="Normal 2 3 5 3" xfId="33038" xr:uid="{00000000-0005-0000-0000-0000F1BE0000}"/>
    <cellStyle name="Normal 2 3 6" xfId="33039" xr:uid="{00000000-0005-0000-0000-0000F2BE0000}"/>
    <cellStyle name="Normal 2 3 6 2" xfId="33040" xr:uid="{00000000-0005-0000-0000-0000F3BE0000}"/>
    <cellStyle name="Normal 2 3 6 2 2" xfId="33041" xr:uid="{00000000-0005-0000-0000-0000F4BE0000}"/>
    <cellStyle name="Normal 2 3 6 3" xfId="33042" xr:uid="{00000000-0005-0000-0000-0000F5BE0000}"/>
    <cellStyle name="Normal 2 3 7" xfId="33043" xr:uid="{00000000-0005-0000-0000-0000F6BE0000}"/>
    <cellStyle name="Normal 2 3 7 2" xfId="33044" xr:uid="{00000000-0005-0000-0000-0000F7BE0000}"/>
    <cellStyle name="Normal 2 3 7 2 2" xfId="33045" xr:uid="{00000000-0005-0000-0000-0000F8BE0000}"/>
    <cellStyle name="Normal 2 3 7 3" xfId="33046" xr:uid="{00000000-0005-0000-0000-0000F9BE0000}"/>
    <cellStyle name="Normal 2 3 8" xfId="33047" xr:uid="{00000000-0005-0000-0000-0000FABE0000}"/>
    <cellStyle name="Normal 2 3 8 2" xfId="33048" xr:uid="{00000000-0005-0000-0000-0000FBBE0000}"/>
    <cellStyle name="Normal 2 3 9" xfId="33049" xr:uid="{00000000-0005-0000-0000-0000FCBE0000}"/>
    <cellStyle name="Normal 2 4" xfId="20" xr:uid="{00000000-0005-0000-0000-0000FDBE0000}"/>
    <cellStyle name="Normal 2 4 2" xfId="33051" xr:uid="{00000000-0005-0000-0000-0000FEBE0000}"/>
    <cellStyle name="Normal 2 4 2 2" xfId="33052" xr:uid="{00000000-0005-0000-0000-0000FFBE0000}"/>
    <cellStyle name="Normal 2 4 3" xfId="33053" xr:uid="{00000000-0005-0000-0000-000000BF0000}"/>
    <cellStyle name="Normal 2 4 4" xfId="33050" xr:uid="{00000000-0005-0000-0000-000001BF0000}"/>
    <cellStyle name="Normal 2 5" xfId="198" xr:uid="{00000000-0005-0000-0000-000002BF0000}"/>
    <cellStyle name="Normal 2 5 2" xfId="277" xr:uid="{00000000-0005-0000-0000-000003BF0000}"/>
    <cellStyle name="Normal 2 5 2 2" xfId="33056" xr:uid="{00000000-0005-0000-0000-000004BF0000}"/>
    <cellStyle name="Normal 2 5 2 3" xfId="33055" xr:uid="{00000000-0005-0000-0000-000005BF0000}"/>
    <cellStyle name="Normal 2 5 2 4" xfId="52075" xr:uid="{00000000-0005-0000-0000-000006BF0000}"/>
    <cellStyle name="Normal 2 5 3" xfId="274" xr:uid="{00000000-0005-0000-0000-000007BF0000}"/>
    <cellStyle name="Normal 2 5 3 10" xfId="1887" xr:uid="{00000000-0005-0000-0000-000008BF0000}"/>
    <cellStyle name="Normal 2 5 3 10 10" xfId="46338" xr:uid="{00000000-0005-0000-0000-000009BF0000}"/>
    <cellStyle name="Normal 2 5 3 10 11" xfId="51817" xr:uid="{00000000-0005-0000-0000-00000ABF0000}"/>
    <cellStyle name="Normal 2 5 3 10 2" xfId="3648" xr:uid="{00000000-0005-0000-0000-00000BBF0000}"/>
    <cellStyle name="Normal 2 5 3 10 2 2" xfId="9128" xr:uid="{00000000-0005-0000-0000-00000CBF0000}"/>
    <cellStyle name="Normal 2 5 3 10 2 3" xfId="14604" xr:uid="{00000000-0005-0000-0000-00000DBF0000}"/>
    <cellStyle name="Normal 2 5 3 10 2 4" xfId="20080" xr:uid="{00000000-0005-0000-0000-00000EBF0000}"/>
    <cellStyle name="Normal 2 5 3 10 2 5" xfId="25556" xr:uid="{00000000-0005-0000-0000-00000FBF0000}"/>
    <cellStyle name="Normal 2 5 3 10 2 6" xfId="37352" xr:uid="{00000000-0005-0000-0000-000010BF0000}"/>
    <cellStyle name="Normal 2 5 3 10 2 7" xfId="42829" xr:uid="{00000000-0005-0000-0000-000011BF0000}"/>
    <cellStyle name="Normal 2 5 3 10 2 8" xfId="48306" xr:uid="{00000000-0005-0000-0000-000012BF0000}"/>
    <cellStyle name="Normal 2 5 3 10 2 9" xfId="53824" xr:uid="{00000000-0005-0000-0000-000013BF0000}"/>
    <cellStyle name="Normal 2 5 3 10 3" xfId="5420" xr:uid="{00000000-0005-0000-0000-000014BF0000}"/>
    <cellStyle name="Normal 2 5 3 10 3 2" xfId="10900" xr:uid="{00000000-0005-0000-0000-000015BF0000}"/>
    <cellStyle name="Normal 2 5 3 10 3 3" xfId="16376" xr:uid="{00000000-0005-0000-0000-000016BF0000}"/>
    <cellStyle name="Normal 2 5 3 10 3 4" xfId="21852" xr:uid="{00000000-0005-0000-0000-000017BF0000}"/>
    <cellStyle name="Normal 2 5 3 10 3 5" xfId="27328" xr:uid="{00000000-0005-0000-0000-000018BF0000}"/>
    <cellStyle name="Normal 2 5 3 10 3 6" xfId="39124" xr:uid="{00000000-0005-0000-0000-000019BF0000}"/>
    <cellStyle name="Normal 2 5 3 10 3 7" xfId="44601" xr:uid="{00000000-0005-0000-0000-00001ABF0000}"/>
    <cellStyle name="Normal 2 5 3 10 3 8" xfId="50078" xr:uid="{00000000-0005-0000-0000-00001BBF0000}"/>
    <cellStyle name="Normal 2 5 3 10 3 9" xfId="55596" xr:uid="{00000000-0005-0000-0000-00001CBF0000}"/>
    <cellStyle name="Normal 2 5 3 10 4" xfId="7158" xr:uid="{00000000-0005-0000-0000-00001DBF0000}"/>
    <cellStyle name="Normal 2 5 3 10 5" xfId="12637" xr:uid="{00000000-0005-0000-0000-00001EBF0000}"/>
    <cellStyle name="Normal 2 5 3 10 6" xfId="18113" xr:uid="{00000000-0005-0000-0000-00001FBF0000}"/>
    <cellStyle name="Normal 2 5 3 10 7" xfId="23589" xr:uid="{00000000-0005-0000-0000-000020BF0000}"/>
    <cellStyle name="Normal 2 5 3 10 8" xfId="35384" xr:uid="{00000000-0005-0000-0000-000021BF0000}"/>
    <cellStyle name="Normal 2 5 3 10 9" xfId="40861" xr:uid="{00000000-0005-0000-0000-000022BF0000}"/>
    <cellStyle name="Normal 2 5 3 11" xfId="2058" xr:uid="{00000000-0005-0000-0000-000023BF0000}"/>
    <cellStyle name="Normal 2 5 3 11 10" xfId="52235" xr:uid="{00000000-0005-0000-0000-000024BF0000}"/>
    <cellStyle name="Normal 2 5 3 11 2" xfId="5590" xr:uid="{00000000-0005-0000-0000-000025BF0000}"/>
    <cellStyle name="Normal 2 5 3 11 2 2" xfId="11070" xr:uid="{00000000-0005-0000-0000-000026BF0000}"/>
    <cellStyle name="Normal 2 5 3 11 2 3" xfId="16546" xr:uid="{00000000-0005-0000-0000-000027BF0000}"/>
    <cellStyle name="Normal 2 5 3 11 2 4" xfId="22022" xr:uid="{00000000-0005-0000-0000-000028BF0000}"/>
    <cellStyle name="Normal 2 5 3 11 2 5" xfId="27498" xr:uid="{00000000-0005-0000-0000-000029BF0000}"/>
    <cellStyle name="Normal 2 5 3 11 2 6" xfId="39294" xr:uid="{00000000-0005-0000-0000-00002ABF0000}"/>
    <cellStyle name="Normal 2 5 3 11 2 7" xfId="44771" xr:uid="{00000000-0005-0000-0000-00002BBF0000}"/>
    <cellStyle name="Normal 2 5 3 11 2 8" xfId="50248" xr:uid="{00000000-0005-0000-0000-00002CBF0000}"/>
    <cellStyle name="Normal 2 5 3 11 2 9" xfId="55766" xr:uid="{00000000-0005-0000-0000-00002DBF0000}"/>
    <cellStyle name="Normal 2 5 3 11 3" xfId="7539" xr:uid="{00000000-0005-0000-0000-00002EBF0000}"/>
    <cellStyle name="Normal 2 5 3 11 4" xfId="13015" xr:uid="{00000000-0005-0000-0000-00002FBF0000}"/>
    <cellStyle name="Normal 2 5 3 11 5" xfId="18491" xr:uid="{00000000-0005-0000-0000-000030BF0000}"/>
    <cellStyle name="Normal 2 5 3 11 6" xfId="23967" xr:uid="{00000000-0005-0000-0000-000031BF0000}"/>
    <cellStyle name="Normal 2 5 3 11 7" xfId="35763" xr:uid="{00000000-0005-0000-0000-000032BF0000}"/>
    <cellStyle name="Normal 2 5 3 11 8" xfId="41240" xr:uid="{00000000-0005-0000-0000-000033BF0000}"/>
    <cellStyle name="Normal 2 5 3 11 9" xfId="46717" xr:uid="{00000000-0005-0000-0000-000034BF0000}"/>
    <cellStyle name="Normal 2 5 3 12" xfId="3839" xr:uid="{00000000-0005-0000-0000-000035BF0000}"/>
    <cellStyle name="Normal 2 5 3 12 2" xfId="9319" xr:uid="{00000000-0005-0000-0000-000036BF0000}"/>
    <cellStyle name="Normal 2 5 3 12 3" xfId="14795" xr:uid="{00000000-0005-0000-0000-000037BF0000}"/>
    <cellStyle name="Normal 2 5 3 12 4" xfId="20271" xr:uid="{00000000-0005-0000-0000-000038BF0000}"/>
    <cellStyle name="Normal 2 5 3 12 5" xfId="25747" xr:uid="{00000000-0005-0000-0000-000039BF0000}"/>
    <cellStyle name="Normal 2 5 3 12 6" xfId="37543" xr:uid="{00000000-0005-0000-0000-00003ABF0000}"/>
    <cellStyle name="Normal 2 5 3 12 7" xfId="43020" xr:uid="{00000000-0005-0000-0000-00003BBF0000}"/>
    <cellStyle name="Normal 2 5 3 12 8" xfId="48497" xr:uid="{00000000-0005-0000-0000-00003CBF0000}"/>
    <cellStyle name="Normal 2 5 3 12 9" xfId="54015" xr:uid="{00000000-0005-0000-0000-00003DBF0000}"/>
    <cellStyle name="Normal 2 5 3 13" xfId="7157" xr:uid="{00000000-0005-0000-0000-00003EBF0000}"/>
    <cellStyle name="Normal 2 5 3 14" xfId="12636" xr:uid="{00000000-0005-0000-0000-00003FBF0000}"/>
    <cellStyle name="Normal 2 5 3 15" xfId="18112" xr:uid="{00000000-0005-0000-0000-000040BF0000}"/>
    <cellStyle name="Normal 2 5 3 16" xfId="23588" xr:uid="{00000000-0005-0000-0000-000041BF0000}"/>
    <cellStyle name="Normal 2 5 3 17" xfId="33057" xr:uid="{00000000-0005-0000-0000-000042BF0000}"/>
    <cellStyle name="Normal 2 5 3 18" xfId="35383" xr:uid="{00000000-0005-0000-0000-000043BF0000}"/>
    <cellStyle name="Normal 2 5 3 19" xfId="40860" xr:uid="{00000000-0005-0000-0000-000044BF0000}"/>
    <cellStyle name="Normal 2 5 3 2" xfId="454" xr:uid="{00000000-0005-0000-0000-000045BF0000}"/>
    <cellStyle name="Normal 2 5 3 2 10" xfId="46339" xr:uid="{00000000-0005-0000-0000-000046BF0000}"/>
    <cellStyle name="Normal 2 5 3 2 11" xfId="51818" xr:uid="{00000000-0005-0000-0000-000047BF0000}"/>
    <cellStyle name="Normal 2 5 3 2 2" xfId="2219" xr:uid="{00000000-0005-0000-0000-000048BF0000}"/>
    <cellStyle name="Normal 2 5 3 2 2 2" xfId="7699" xr:uid="{00000000-0005-0000-0000-000049BF0000}"/>
    <cellStyle name="Normal 2 5 3 2 2 3" xfId="13175" xr:uid="{00000000-0005-0000-0000-00004ABF0000}"/>
    <cellStyle name="Normal 2 5 3 2 2 4" xfId="18651" xr:uid="{00000000-0005-0000-0000-00004BBF0000}"/>
    <cellStyle name="Normal 2 5 3 2 2 5" xfId="24127" xr:uid="{00000000-0005-0000-0000-00004CBF0000}"/>
    <cellStyle name="Normal 2 5 3 2 2 6" xfId="35923" xr:uid="{00000000-0005-0000-0000-00004DBF0000}"/>
    <cellStyle name="Normal 2 5 3 2 2 7" xfId="41400" xr:uid="{00000000-0005-0000-0000-00004EBF0000}"/>
    <cellStyle name="Normal 2 5 3 2 2 8" xfId="46877" xr:uid="{00000000-0005-0000-0000-00004FBF0000}"/>
    <cellStyle name="Normal 2 5 3 2 2 9" xfId="52395" xr:uid="{00000000-0005-0000-0000-000050BF0000}"/>
    <cellStyle name="Normal 2 5 3 2 3" xfId="3991" xr:uid="{00000000-0005-0000-0000-000051BF0000}"/>
    <cellStyle name="Normal 2 5 3 2 3 2" xfId="9471" xr:uid="{00000000-0005-0000-0000-000052BF0000}"/>
    <cellStyle name="Normal 2 5 3 2 3 3" xfId="14947" xr:uid="{00000000-0005-0000-0000-000053BF0000}"/>
    <cellStyle name="Normal 2 5 3 2 3 4" xfId="20423" xr:uid="{00000000-0005-0000-0000-000054BF0000}"/>
    <cellStyle name="Normal 2 5 3 2 3 5" xfId="25899" xr:uid="{00000000-0005-0000-0000-000055BF0000}"/>
    <cellStyle name="Normal 2 5 3 2 3 6" xfId="37695" xr:uid="{00000000-0005-0000-0000-000056BF0000}"/>
    <cellStyle name="Normal 2 5 3 2 3 7" xfId="43172" xr:uid="{00000000-0005-0000-0000-000057BF0000}"/>
    <cellStyle name="Normal 2 5 3 2 3 8" xfId="48649" xr:uid="{00000000-0005-0000-0000-000058BF0000}"/>
    <cellStyle name="Normal 2 5 3 2 3 9" xfId="54167" xr:uid="{00000000-0005-0000-0000-000059BF0000}"/>
    <cellStyle name="Normal 2 5 3 2 4" xfId="7159" xr:uid="{00000000-0005-0000-0000-00005ABF0000}"/>
    <cellStyle name="Normal 2 5 3 2 5" xfId="12638" xr:uid="{00000000-0005-0000-0000-00005BBF0000}"/>
    <cellStyle name="Normal 2 5 3 2 6" xfId="18114" xr:uid="{00000000-0005-0000-0000-00005CBF0000}"/>
    <cellStyle name="Normal 2 5 3 2 7" xfId="23590" xr:uid="{00000000-0005-0000-0000-00005DBF0000}"/>
    <cellStyle name="Normal 2 5 3 2 8" xfId="35385" xr:uid="{00000000-0005-0000-0000-00005EBF0000}"/>
    <cellStyle name="Normal 2 5 3 2 9" xfId="40862" xr:uid="{00000000-0005-0000-0000-00005FBF0000}"/>
    <cellStyle name="Normal 2 5 3 20" xfId="46337" xr:uid="{00000000-0005-0000-0000-000060BF0000}"/>
    <cellStyle name="Normal 2 5 3 21" xfId="51816" xr:uid="{00000000-0005-0000-0000-000061BF0000}"/>
    <cellStyle name="Normal 2 5 3 3" xfId="630" xr:uid="{00000000-0005-0000-0000-000062BF0000}"/>
    <cellStyle name="Normal 2 5 3 3 10" xfId="46340" xr:uid="{00000000-0005-0000-0000-000063BF0000}"/>
    <cellStyle name="Normal 2 5 3 3 11" xfId="51819" xr:uid="{00000000-0005-0000-0000-000064BF0000}"/>
    <cellStyle name="Normal 2 5 3 3 2" xfId="2391" xr:uid="{00000000-0005-0000-0000-000065BF0000}"/>
    <cellStyle name="Normal 2 5 3 3 2 2" xfId="7871" xr:uid="{00000000-0005-0000-0000-000066BF0000}"/>
    <cellStyle name="Normal 2 5 3 3 2 3" xfId="13347" xr:uid="{00000000-0005-0000-0000-000067BF0000}"/>
    <cellStyle name="Normal 2 5 3 3 2 4" xfId="18823" xr:uid="{00000000-0005-0000-0000-000068BF0000}"/>
    <cellStyle name="Normal 2 5 3 3 2 5" xfId="24299" xr:uid="{00000000-0005-0000-0000-000069BF0000}"/>
    <cellStyle name="Normal 2 5 3 3 2 6" xfId="36095" xr:uid="{00000000-0005-0000-0000-00006ABF0000}"/>
    <cellStyle name="Normal 2 5 3 3 2 7" xfId="41572" xr:uid="{00000000-0005-0000-0000-00006BBF0000}"/>
    <cellStyle name="Normal 2 5 3 3 2 8" xfId="47049" xr:uid="{00000000-0005-0000-0000-00006CBF0000}"/>
    <cellStyle name="Normal 2 5 3 3 2 9" xfId="52567" xr:uid="{00000000-0005-0000-0000-00006DBF0000}"/>
    <cellStyle name="Normal 2 5 3 3 3" xfId="4163" xr:uid="{00000000-0005-0000-0000-00006EBF0000}"/>
    <cellStyle name="Normal 2 5 3 3 3 2" xfId="9643" xr:uid="{00000000-0005-0000-0000-00006FBF0000}"/>
    <cellStyle name="Normal 2 5 3 3 3 3" xfId="15119" xr:uid="{00000000-0005-0000-0000-000070BF0000}"/>
    <cellStyle name="Normal 2 5 3 3 3 4" xfId="20595" xr:uid="{00000000-0005-0000-0000-000071BF0000}"/>
    <cellStyle name="Normal 2 5 3 3 3 5" xfId="26071" xr:uid="{00000000-0005-0000-0000-000072BF0000}"/>
    <cellStyle name="Normal 2 5 3 3 3 6" xfId="37867" xr:uid="{00000000-0005-0000-0000-000073BF0000}"/>
    <cellStyle name="Normal 2 5 3 3 3 7" xfId="43344" xr:uid="{00000000-0005-0000-0000-000074BF0000}"/>
    <cellStyle name="Normal 2 5 3 3 3 8" xfId="48821" xr:uid="{00000000-0005-0000-0000-000075BF0000}"/>
    <cellStyle name="Normal 2 5 3 3 3 9" xfId="54339" xr:uid="{00000000-0005-0000-0000-000076BF0000}"/>
    <cellStyle name="Normal 2 5 3 3 4" xfId="7160" xr:uid="{00000000-0005-0000-0000-000077BF0000}"/>
    <cellStyle name="Normal 2 5 3 3 5" xfId="12639" xr:uid="{00000000-0005-0000-0000-000078BF0000}"/>
    <cellStyle name="Normal 2 5 3 3 6" xfId="18115" xr:uid="{00000000-0005-0000-0000-000079BF0000}"/>
    <cellStyle name="Normal 2 5 3 3 7" xfId="23591" xr:uid="{00000000-0005-0000-0000-00007ABF0000}"/>
    <cellStyle name="Normal 2 5 3 3 8" xfId="35386" xr:uid="{00000000-0005-0000-0000-00007BBF0000}"/>
    <cellStyle name="Normal 2 5 3 3 9" xfId="40863" xr:uid="{00000000-0005-0000-0000-00007CBF0000}"/>
    <cellStyle name="Normal 2 5 3 4" xfId="802" xr:uid="{00000000-0005-0000-0000-00007DBF0000}"/>
    <cellStyle name="Normal 2 5 3 4 10" xfId="46341" xr:uid="{00000000-0005-0000-0000-00007EBF0000}"/>
    <cellStyle name="Normal 2 5 3 4 11" xfId="51820" xr:uid="{00000000-0005-0000-0000-00007FBF0000}"/>
    <cellStyle name="Normal 2 5 3 4 2" xfId="2563" xr:uid="{00000000-0005-0000-0000-000080BF0000}"/>
    <cellStyle name="Normal 2 5 3 4 2 2" xfId="8043" xr:uid="{00000000-0005-0000-0000-000081BF0000}"/>
    <cellStyle name="Normal 2 5 3 4 2 3" xfId="13519" xr:uid="{00000000-0005-0000-0000-000082BF0000}"/>
    <cellStyle name="Normal 2 5 3 4 2 4" xfId="18995" xr:uid="{00000000-0005-0000-0000-000083BF0000}"/>
    <cellStyle name="Normal 2 5 3 4 2 5" xfId="24471" xr:uid="{00000000-0005-0000-0000-000084BF0000}"/>
    <cellStyle name="Normal 2 5 3 4 2 6" xfId="36267" xr:uid="{00000000-0005-0000-0000-000085BF0000}"/>
    <cellStyle name="Normal 2 5 3 4 2 7" xfId="41744" xr:uid="{00000000-0005-0000-0000-000086BF0000}"/>
    <cellStyle name="Normal 2 5 3 4 2 8" xfId="47221" xr:uid="{00000000-0005-0000-0000-000087BF0000}"/>
    <cellStyle name="Normal 2 5 3 4 2 9" xfId="52739" xr:uid="{00000000-0005-0000-0000-000088BF0000}"/>
    <cellStyle name="Normal 2 5 3 4 3" xfId="4335" xr:uid="{00000000-0005-0000-0000-000089BF0000}"/>
    <cellStyle name="Normal 2 5 3 4 3 2" xfId="9815" xr:uid="{00000000-0005-0000-0000-00008ABF0000}"/>
    <cellStyle name="Normal 2 5 3 4 3 3" xfId="15291" xr:uid="{00000000-0005-0000-0000-00008BBF0000}"/>
    <cellStyle name="Normal 2 5 3 4 3 4" xfId="20767" xr:uid="{00000000-0005-0000-0000-00008CBF0000}"/>
    <cellStyle name="Normal 2 5 3 4 3 5" xfId="26243" xr:uid="{00000000-0005-0000-0000-00008DBF0000}"/>
    <cellStyle name="Normal 2 5 3 4 3 6" xfId="38039" xr:uid="{00000000-0005-0000-0000-00008EBF0000}"/>
    <cellStyle name="Normal 2 5 3 4 3 7" xfId="43516" xr:uid="{00000000-0005-0000-0000-00008FBF0000}"/>
    <cellStyle name="Normal 2 5 3 4 3 8" xfId="48993" xr:uid="{00000000-0005-0000-0000-000090BF0000}"/>
    <cellStyle name="Normal 2 5 3 4 3 9" xfId="54511" xr:uid="{00000000-0005-0000-0000-000091BF0000}"/>
    <cellStyle name="Normal 2 5 3 4 4" xfId="7161" xr:uid="{00000000-0005-0000-0000-000092BF0000}"/>
    <cellStyle name="Normal 2 5 3 4 5" xfId="12640" xr:uid="{00000000-0005-0000-0000-000093BF0000}"/>
    <cellStyle name="Normal 2 5 3 4 6" xfId="18116" xr:uid="{00000000-0005-0000-0000-000094BF0000}"/>
    <cellStyle name="Normal 2 5 3 4 7" xfId="23592" xr:uid="{00000000-0005-0000-0000-000095BF0000}"/>
    <cellStyle name="Normal 2 5 3 4 8" xfId="35387" xr:uid="{00000000-0005-0000-0000-000096BF0000}"/>
    <cellStyle name="Normal 2 5 3 4 9" xfId="40864" xr:uid="{00000000-0005-0000-0000-000097BF0000}"/>
    <cellStyle name="Normal 2 5 3 5" xfId="974" xr:uid="{00000000-0005-0000-0000-000098BF0000}"/>
    <cellStyle name="Normal 2 5 3 5 10" xfId="46342" xr:uid="{00000000-0005-0000-0000-000099BF0000}"/>
    <cellStyle name="Normal 2 5 3 5 11" xfId="51821" xr:uid="{00000000-0005-0000-0000-00009ABF0000}"/>
    <cellStyle name="Normal 2 5 3 5 2" xfId="2735" xr:uid="{00000000-0005-0000-0000-00009BBF0000}"/>
    <cellStyle name="Normal 2 5 3 5 2 2" xfId="8215" xr:uid="{00000000-0005-0000-0000-00009CBF0000}"/>
    <cellStyle name="Normal 2 5 3 5 2 3" xfId="13691" xr:uid="{00000000-0005-0000-0000-00009DBF0000}"/>
    <cellStyle name="Normal 2 5 3 5 2 4" xfId="19167" xr:uid="{00000000-0005-0000-0000-00009EBF0000}"/>
    <cellStyle name="Normal 2 5 3 5 2 5" xfId="24643" xr:uid="{00000000-0005-0000-0000-00009FBF0000}"/>
    <cellStyle name="Normal 2 5 3 5 2 6" xfId="36439" xr:uid="{00000000-0005-0000-0000-0000A0BF0000}"/>
    <cellStyle name="Normal 2 5 3 5 2 7" xfId="41916" xr:uid="{00000000-0005-0000-0000-0000A1BF0000}"/>
    <cellStyle name="Normal 2 5 3 5 2 8" xfId="47393" xr:uid="{00000000-0005-0000-0000-0000A2BF0000}"/>
    <cellStyle name="Normal 2 5 3 5 2 9" xfId="52911" xr:uid="{00000000-0005-0000-0000-0000A3BF0000}"/>
    <cellStyle name="Normal 2 5 3 5 3" xfId="4507" xr:uid="{00000000-0005-0000-0000-0000A4BF0000}"/>
    <cellStyle name="Normal 2 5 3 5 3 2" xfId="9987" xr:uid="{00000000-0005-0000-0000-0000A5BF0000}"/>
    <cellStyle name="Normal 2 5 3 5 3 3" xfId="15463" xr:uid="{00000000-0005-0000-0000-0000A6BF0000}"/>
    <cellStyle name="Normal 2 5 3 5 3 4" xfId="20939" xr:uid="{00000000-0005-0000-0000-0000A7BF0000}"/>
    <cellStyle name="Normal 2 5 3 5 3 5" xfId="26415" xr:uid="{00000000-0005-0000-0000-0000A8BF0000}"/>
    <cellStyle name="Normal 2 5 3 5 3 6" xfId="38211" xr:uid="{00000000-0005-0000-0000-0000A9BF0000}"/>
    <cellStyle name="Normal 2 5 3 5 3 7" xfId="43688" xr:uid="{00000000-0005-0000-0000-0000AABF0000}"/>
    <cellStyle name="Normal 2 5 3 5 3 8" xfId="49165" xr:uid="{00000000-0005-0000-0000-0000ABBF0000}"/>
    <cellStyle name="Normal 2 5 3 5 3 9" xfId="54683" xr:uid="{00000000-0005-0000-0000-0000ACBF0000}"/>
    <cellStyle name="Normal 2 5 3 5 4" xfId="7162" xr:uid="{00000000-0005-0000-0000-0000ADBF0000}"/>
    <cellStyle name="Normal 2 5 3 5 5" xfId="12641" xr:uid="{00000000-0005-0000-0000-0000AEBF0000}"/>
    <cellStyle name="Normal 2 5 3 5 6" xfId="18117" xr:uid="{00000000-0005-0000-0000-0000AFBF0000}"/>
    <cellStyle name="Normal 2 5 3 5 7" xfId="23593" xr:uid="{00000000-0005-0000-0000-0000B0BF0000}"/>
    <cellStyle name="Normal 2 5 3 5 8" xfId="35388" xr:uid="{00000000-0005-0000-0000-0000B1BF0000}"/>
    <cellStyle name="Normal 2 5 3 5 9" xfId="40865" xr:uid="{00000000-0005-0000-0000-0000B2BF0000}"/>
    <cellStyle name="Normal 2 5 3 6" xfId="1180" xr:uid="{00000000-0005-0000-0000-0000B3BF0000}"/>
    <cellStyle name="Normal 2 5 3 6 10" xfId="46343" xr:uid="{00000000-0005-0000-0000-0000B4BF0000}"/>
    <cellStyle name="Normal 2 5 3 6 11" xfId="51822" xr:uid="{00000000-0005-0000-0000-0000B5BF0000}"/>
    <cellStyle name="Normal 2 5 3 6 2" xfId="2941" xr:uid="{00000000-0005-0000-0000-0000B6BF0000}"/>
    <cellStyle name="Normal 2 5 3 6 2 2" xfId="8421" xr:uid="{00000000-0005-0000-0000-0000B7BF0000}"/>
    <cellStyle name="Normal 2 5 3 6 2 3" xfId="13897" xr:uid="{00000000-0005-0000-0000-0000B8BF0000}"/>
    <cellStyle name="Normal 2 5 3 6 2 4" xfId="19373" xr:uid="{00000000-0005-0000-0000-0000B9BF0000}"/>
    <cellStyle name="Normal 2 5 3 6 2 5" xfId="24849" xr:uid="{00000000-0005-0000-0000-0000BABF0000}"/>
    <cellStyle name="Normal 2 5 3 6 2 6" xfId="36645" xr:uid="{00000000-0005-0000-0000-0000BBBF0000}"/>
    <cellStyle name="Normal 2 5 3 6 2 7" xfId="42122" xr:uid="{00000000-0005-0000-0000-0000BCBF0000}"/>
    <cellStyle name="Normal 2 5 3 6 2 8" xfId="47599" xr:uid="{00000000-0005-0000-0000-0000BDBF0000}"/>
    <cellStyle name="Normal 2 5 3 6 2 9" xfId="53117" xr:uid="{00000000-0005-0000-0000-0000BEBF0000}"/>
    <cellStyle name="Normal 2 5 3 6 3" xfId="4713" xr:uid="{00000000-0005-0000-0000-0000BFBF0000}"/>
    <cellStyle name="Normal 2 5 3 6 3 2" xfId="10193" xr:uid="{00000000-0005-0000-0000-0000C0BF0000}"/>
    <cellStyle name="Normal 2 5 3 6 3 3" xfId="15669" xr:uid="{00000000-0005-0000-0000-0000C1BF0000}"/>
    <cellStyle name="Normal 2 5 3 6 3 4" xfId="21145" xr:uid="{00000000-0005-0000-0000-0000C2BF0000}"/>
    <cellStyle name="Normal 2 5 3 6 3 5" xfId="26621" xr:uid="{00000000-0005-0000-0000-0000C3BF0000}"/>
    <cellStyle name="Normal 2 5 3 6 3 6" xfId="38417" xr:uid="{00000000-0005-0000-0000-0000C4BF0000}"/>
    <cellStyle name="Normal 2 5 3 6 3 7" xfId="43894" xr:uid="{00000000-0005-0000-0000-0000C5BF0000}"/>
    <cellStyle name="Normal 2 5 3 6 3 8" xfId="49371" xr:uid="{00000000-0005-0000-0000-0000C6BF0000}"/>
    <cellStyle name="Normal 2 5 3 6 3 9" xfId="54889" xr:uid="{00000000-0005-0000-0000-0000C7BF0000}"/>
    <cellStyle name="Normal 2 5 3 6 4" xfId="7163" xr:uid="{00000000-0005-0000-0000-0000C8BF0000}"/>
    <cellStyle name="Normal 2 5 3 6 5" xfId="12642" xr:uid="{00000000-0005-0000-0000-0000C9BF0000}"/>
    <cellStyle name="Normal 2 5 3 6 6" xfId="18118" xr:uid="{00000000-0005-0000-0000-0000CABF0000}"/>
    <cellStyle name="Normal 2 5 3 6 7" xfId="23594" xr:uid="{00000000-0005-0000-0000-0000CBBF0000}"/>
    <cellStyle name="Normal 2 5 3 6 8" xfId="35389" xr:uid="{00000000-0005-0000-0000-0000CCBF0000}"/>
    <cellStyle name="Normal 2 5 3 6 9" xfId="40866" xr:uid="{00000000-0005-0000-0000-0000CDBF0000}"/>
    <cellStyle name="Normal 2 5 3 7" xfId="1352" xr:uid="{00000000-0005-0000-0000-0000CEBF0000}"/>
    <cellStyle name="Normal 2 5 3 7 10" xfId="46344" xr:uid="{00000000-0005-0000-0000-0000CFBF0000}"/>
    <cellStyle name="Normal 2 5 3 7 11" xfId="51823" xr:uid="{00000000-0005-0000-0000-0000D0BF0000}"/>
    <cellStyle name="Normal 2 5 3 7 2" xfId="3113" xr:uid="{00000000-0005-0000-0000-0000D1BF0000}"/>
    <cellStyle name="Normal 2 5 3 7 2 2" xfId="8593" xr:uid="{00000000-0005-0000-0000-0000D2BF0000}"/>
    <cellStyle name="Normal 2 5 3 7 2 3" xfId="14069" xr:uid="{00000000-0005-0000-0000-0000D3BF0000}"/>
    <cellStyle name="Normal 2 5 3 7 2 4" xfId="19545" xr:uid="{00000000-0005-0000-0000-0000D4BF0000}"/>
    <cellStyle name="Normal 2 5 3 7 2 5" xfId="25021" xr:uid="{00000000-0005-0000-0000-0000D5BF0000}"/>
    <cellStyle name="Normal 2 5 3 7 2 6" xfId="36817" xr:uid="{00000000-0005-0000-0000-0000D6BF0000}"/>
    <cellStyle name="Normal 2 5 3 7 2 7" xfId="42294" xr:uid="{00000000-0005-0000-0000-0000D7BF0000}"/>
    <cellStyle name="Normal 2 5 3 7 2 8" xfId="47771" xr:uid="{00000000-0005-0000-0000-0000D8BF0000}"/>
    <cellStyle name="Normal 2 5 3 7 2 9" xfId="53289" xr:uid="{00000000-0005-0000-0000-0000D9BF0000}"/>
    <cellStyle name="Normal 2 5 3 7 3" xfId="4885" xr:uid="{00000000-0005-0000-0000-0000DABF0000}"/>
    <cellStyle name="Normal 2 5 3 7 3 2" xfId="10365" xr:uid="{00000000-0005-0000-0000-0000DBBF0000}"/>
    <cellStyle name="Normal 2 5 3 7 3 3" xfId="15841" xr:uid="{00000000-0005-0000-0000-0000DCBF0000}"/>
    <cellStyle name="Normal 2 5 3 7 3 4" xfId="21317" xr:uid="{00000000-0005-0000-0000-0000DDBF0000}"/>
    <cellStyle name="Normal 2 5 3 7 3 5" xfId="26793" xr:uid="{00000000-0005-0000-0000-0000DEBF0000}"/>
    <cellStyle name="Normal 2 5 3 7 3 6" xfId="38589" xr:uid="{00000000-0005-0000-0000-0000DFBF0000}"/>
    <cellStyle name="Normal 2 5 3 7 3 7" xfId="44066" xr:uid="{00000000-0005-0000-0000-0000E0BF0000}"/>
    <cellStyle name="Normal 2 5 3 7 3 8" xfId="49543" xr:uid="{00000000-0005-0000-0000-0000E1BF0000}"/>
    <cellStyle name="Normal 2 5 3 7 3 9" xfId="55061" xr:uid="{00000000-0005-0000-0000-0000E2BF0000}"/>
    <cellStyle name="Normal 2 5 3 7 4" xfId="7164" xr:uid="{00000000-0005-0000-0000-0000E3BF0000}"/>
    <cellStyle name="Normal 2 5 3 7 5" xfId="12643" xr:uid="{00000000-0005-0000-0000-0000E4BF0000}"/>
    <cellStyle name="Normal 2 5 3 7 6" xfId="18119" xr:uid="{00000000-0005-0000-0000-0000E5BF0000}"/>
    <cellStyle name="Normal 2 5 3 7 7" xfId="23595" xr:uid="{00000000-0005-0000-0000-0000E6BF0000}"/>
    <cellStyle name="Normal 2 5 3 7 8" xfId="35390" xr:uid="{00000000-0005-0000-0000-0000E7BF0000}"/>
    <cellStyle name="Normal 2 5 3 7 9" xfId="40867" xr:uid="{00000000-0005-0000-0000-0000E8BF0000}"/>
    <cellStyle name="Normal 2 5 3 8" xfId="1524" xr:uid="{00000000-0005-0000-0000-0000E9BF0000}"/>
    <cellStyle name="Normal 2 5 3 8 10" xfId="46345" xr:uid="{00000000-0005-0000-0000-0000EABF0000}"/>
    <cellStyle name="Normal 2 5 3 8 11" xfId="51824" xr:uid="{00000000-0005-0000-0000-0000EBBF0000}"/>
    <cellStyle name="Normal 2 5 3 8 2" xfId="3285" xr:uid="{00000000-0005-0000-0000-0000ECBF0000}"/>
    <cellStyle name="Normal 2 5 3 8 2 2" xfId="8765" xr:uid="{00000000-0005-0000-0000-0000EDBF0000}"/>
    <cellStyle name="Normal 2 5 3 8 2 3" xfId="14241" xr:uid="{00000000-0005-0000-0000-0000EEBF0000}"/>
    <cellStyle name="Normal 2 5 3 8 2 4" xfId="19717" xr:uid="{00000000-0005-0000-0000-0000EFBF0000}"/>
    <cellStyle name="Normal 2 5 3 8 2 5" xfId="25193" xr:uid="{00000000-0005-0000-0000-0000F0BF0000}"/>
    <cellStyle name="Normal 2 5 3 8 2 6" xfId="36989" xr:uid="{00000000-0005-0000-0000-0000F1BF0000}"/>
    <cellStyle name="Normal 2 5 3 8 2 7" xfId="42466" xr:uid="{00000000-0005-0000-0000-0000F2BF0000}"/>
    <cellStyle name="Normal 2 5 3 8 2 8" xfId="47943" xr:uid="{00000000-0005-0000-0000-0000F3BF0000}"/>
    <cellStyle name="Normal 2 5 3 8 2 9" xfId="53461" xr:uid="{00000000-0005-0000-0000-0000F4BF0000}"/>
    <cellStyle name="Normal 2 5 3 8 3" xfId="5057" xr:uid="{00000000-0005-0000-0000-0000F5BF0000}"/>
    <cellStyle name="Normal 2 5 3 8 3 2" xfId="10537" xr:uid="{00000000-0005-0000-0000-0000F6BF0000}"/>
    <cellStyle name="Normal 2 5 3 8 3 3" xfId="16013" xr:uid="{00000000-0005-0000-0000-0000F7BF0000}"/>
    <cellStyle name="Normal 2 5 3 8 3 4" xfId="21489" xr:uid="{00000000-0005-0000-0000-0000F8BF0000}"/>
    <cellStyle name="Normal 2 5 3 8 3 5" xfId="26965" xr:uid="{00000000-0005-0000-0000-0000F9BF0000}"/>
    <cellStyle name="Normal 2 5 3 8 3 6" xfId="38761" xr:uid="{00000000-0005-0000-0000-0000FABF0000}"/>
    <cellStyle name="Normal 2 5 3 8 3 7" xfId="44238" xr:uid="{00000000-0005-0000-0000-0000FBBF0000}"/>
    <cellStyle name="Normal 2 5 3 8 3 8" xfId="49715" xr:uid="{00000000-0005-0000-0000-0000FCBF0000}"/>
    <cellStyle name="Normal 2 5 3 8 3 9" xfId="55233" xr:uid="{00000000-0005-0000-0000-0000FDBF0000}"/>
    <cellStyle name="Normal 2 5 3 8 4" xfId="7165" xr:uid="{00000000-0005-0000-0000-0000FEBF0000}"/>
    <cellStyle name="Normal 2 5 3 8 5" xfId="12644" xr:uid="{00000000-0005-0000-0000-0000FFBF0000}"/>
    <cellStyle name="Normal 2 5 3 8 6" xfId="18120" xr:uid="{00000000-0005-0000-0000-000000C00000}"/>
    <cellStyle name="Normal 2 5 3 8 7" xfId="23596" xr:uid="{00000000-0005-0000-0000-000001C00000}"/>
    <cellStyle name="Normal 2 5 3 8 8" xfId="35391" xr:uid="{00000000-0005-0000-0000-000002C00000}"/>
    <cellStyle name="Normal 2 5 3 8 9" xfId="40868" xr:uid="{00000000-0005-0000-0000-000003C00000}"/>
    <cellStyle name="Normal 2 5 3 9" xfId="1696" xr:uid="{00000000-0005-0000-0000-000004C00000}"/>
    <cellStyle name="Normal 2 5 3 9 10" xfId="46346" xr:uid="{00000000-0005-0000-0000-000005C00000}"/>
    <cellStyle name="Normal 2 5 3 9 11" xfId="51825" xr:uid="{00000000-0005-0000-0000-000006C00000}"/>
    <cellStyle name="Normal 2 5 3 9 2" xfId="3457" xr:uid="{00000000-0005-0000-0000-000007C00000}"/>
    <cellStyle name="Normal 2 5 3 9 2 2" xfId="8937" xr:uid="{00000000-0005-0000-0000-000008C00000}"/>
    <cellStyle name="Normal 2 5 3 9 2 3" xfId="14413" xr:uid="{00000000-0005-0000-0000-000009C00000}"/>
    <cellStyle name="Normal 2 5 3 9 2 4" xfId="19889" xr:uid="{00000000-0005-0000-0000-00000AC00000}"/>
    <cellStyle name="Normal 2 5 3 9 2 5" xfId="25365" xr:uid="{00000000-0005-0000-0000-00000BC00000}"/>
    <cellStyle name="Normal 2 5 3 9 2 6" xfId="37161" xr:uid="{00000000-0005-0000-0000-00000CC00000}"/>
    <cellStyle name="Normal 2 5 3 9 2 7" xfId="42638" xr:uid="{00000000-0005-0000-0000-00000DC00000}"/>
    <cellStyle name="Normal 2 5 3 9 2 8" xfId="48115" xr:uid="{00000000-0005-0000-0000-00000EC00000}"/>
    <cellStyle name="Normal 2 5 3 9 2 9" xfId="53633" xr:uid="{00000000-0005-0000-0000-00000FC00000}"/>
    <cellStyle name="Normal 2 5 3 9 3" xfId="5229" xr:uid="{00000000-0005-0000-0000-000010C00000}"/>
    <cellStyle name="Normal 2 5 3 9 3 2" xfId="10709" xr:uid="{00000000-0005-0000-0000-000011C00000}"/>
    <cellStyle name="Normal 2 5 3 9 3 3" xfId="16185" xr:uid="{00000000-0005-0000-0000-000012C00000}"/>
    <cellStyle name="Normal 2 5 3 9 3 4" xfId="21661" xr:uid="{00000000-0005-0000-0000-000013C00000}"/>
    <cellStyle name="Normal 2 5 3 9 3 5" xfId="27137" xr:uid="{00000000-0005-0000-0000-000014C00000}"/>
    <cellStyle name="Normal 2 5 3 9 3 6" xfId="38933" xr:uid="{00000000-0005-0000-0000-000015C00000}"/>
    <cellStyle name="Normal 2 5 3 9 3 7" xfId="44410" xr:uid="{00000000-0005-0000-0000-000016C00000}"/>
    <cellStyle name="Normal 2 5 3 9 3 8" xfId="49887" xr:uid="{00000000-0005-0000-0000-000017C00000}"/>
    <cellStyle name="Normal 2 5 3 9 3 9" xfId="55405" xr:uid="{00000000-0005-0000-0000-000018C00000}"/>
    <cellStyle name="Normal 2 5 3 9 4" xfId="7166" xr:uid="{00000000-0005-0000-0000-000019C00000}"/>
    <cellStyle name="Normal 2 5 3 9 5" xfId="12645" xr:uid="{00000000-0005-0000-0000-00001AC00000}"/>
    <cellStyle name="Normal 2 5 3 9 6" xfId="18121" xr:uid="{00000000-0005-0000-0000-00001BC00000}"/>
    <cellStyle name="Normal 2 5 3 9 7" xfId="23597" xr:uid="{00000000-0005-0000-0000-00001CC00000}"/>
    <cellStyle name="Normal 2 5 3 9 8" xfId="35392" xr:uid="{00000000-0005-0000-0000-00001DC00000}"/>
    <cellStyle name="Normal 2 5 3 9 9" xfId="40869" xr:uid="{00000000-0005-0000-0000-00001EC00000}"/>
    <cellStyle name="Normal 2 5 4" xfId="33054" xr:uid="{00000000-0005-0000-0000-00001FC00000}"/>
    <cellStyle name="Normal 2 5 5" xfId="52074" xr:uid="{00000000-0005-0000-0000-000020C00000}"/>
    <cellStyle name="Normal 2 6" xfId="275" xr:uid="{00000000-0005-0000-0000-000021C00000}"/>
    <cellStyle name="Normal 2 6 2" xfId="33059" xr:uid="{00000000-0005-0000-0000-000022C00000}"/>
    <cellStyle name="Normal 2 6 2 2" xfId="33060" xr:uid="{00000000-0005-0000-0000-000023C00000}"/>
    <cellStyle name="Normal 2 6 3" xfId="33061" xr:uid="{00000000-0005-0000-0000-000024C00000}"/>
    <cellStyle name="Normal 2 6 4" xfId="33058" xr:uid="{00000000-0005-0000-0000-000025C00000}"/>
    <cellStyle name="Normal 2 7" xfId="182" xr:uid="{00000000-0005-0000-0000-000026C00000}"/>
    <cellStyle name="Normal 2 7 2" xfId="33063" xr:uid="{00000000-0005-0000-0000-000027C00000}"/>
    <cellStyle name="Normal 2 7 2 2" xfId="33064" xr:uid="{00000000-0005-0000-0000-000028C00000}"/>
    <cellStyle name="Normal 2 7 3" xfId="33065" xr:uid="{00000000-0005-0000-0000-000029C00000}"/>
    <cellStyle name="Normal 2 7 4" xfId="33062" xr:uid="{00000000-0005-0000-0000-00002AC00000}"/>
    <cellStyle name="Normal 2 8" xfId="7156" xr:uid="{00000000-0005-0000-0000-00002BC00000}"/>
    <cellStyle name="Normal 2 8 2" xfId="33067" xr:uid="{00000000-0005-0000-0000-00002CC00000}"/>
    <cellStyle name="Normal 2 8 2 2" xfId="33068" xr:uid="{00000000-0005-0000-0000-00002DC00000}"/>
    <cellStyle name="Normal 2 8 3" xfId="33069" xr:uid="{00000000-0005-0000-0000-00002EC00000}"/>
    <cellStyle name="Normal 2 8 4" xfId="33066" xr:uid="{00000000-0005-0000-0000-00002FC00000}"/>
    <cellStyle name="Normal 2 8 5" xfId="52083" xr:uid="{00000000-0005-0000-0000-000030C00000}"/>
    <cellStyle name="Normal 2 9" xfId="33070" xr:uid="{00000000-0005-0000-0000-000031C00000}"/>
    <cellStyle name="Normal 2 9 2" xfId="33071" xr:uid="{00000000-0005-0000-0000-000032C00000}"/>
    <cellStyle name="Normal 2 9 2 2" xfId="33072" xr:uid="{00000000-0005-0000-0000-000033C00000}"/>
    <cellStyle name="Normal 2 9 3" xfId="33073" xr:uid="{00000000-0005-0000-0000-000034C00000}"/>
    <cellStyle name="Normal 20" xfId="7374" xr:uid="{00000000-0005-0000-0000-000035C00000}"/>
    <cellStyle name="Normal 20 10" xfId="33074" xr:uid="{00000000-0005-0000-0000-000036C00000}"/>
    <cellStyle name="Normal 20 2" xfId="33075" xr:uid="{00000000-0005-0000-0000-000037C00000}"/>
    <cellStyle name="Normal 20 2 2" xfId="33076" xr:uid="{00000000-0005-0000-0000-000038C00000}"/>
    <cellStyle name="Normal 20 2 2 2" xfId="33077" xr:uid="{00000000-0005-0000-0000-000039C00000}"/>
    <cellStyle name="Normal 20 2 2 2 2" xfId="33078" xr:uid="{00000000-0005-0000-0000-00003AC00000}"/>
    <cellStyle name="Normal 20 2 2 2 2 2" xfId="33079" xr:uid="{00000000-0005-0000-0000-00003BC00000}"/>
    <cellStyle name="Normal 20 2 2 2 3" xfId="33080" xr:uid="{00000000-0005-0000-0000-00003CC00000}"/>
    <cellStyle name="Normal 20 2 2 3" xfId="33081" xr:uid="{00000000-0005-0000-0000-00003DC00000}"/>
    <cellStyle name="Normal 20 2 2 3 2" xfId="33082" xr:uid="{00000000-0005-0000-0000-00003EC00000}"/>
    <cellStyle name="Normal 20 2 2 3 2 2" xfId="33083" xr:uid="{00000000-0005-0000-0000-00003FC00000}"/>
    <cellStyle name="Normal 20 2 2 3 3" xfId="33084" xr:uid="{00000000-0005-0000-0000-000040C00000}"/>
    <cellStyle name="Normal 20 2 2 4" xfId="33085" xr:uid="{00000000-0005-0000-0000-000041C00000}"/>
    <cellStyle name="Normal 20 2 2 4 2" xfId="33086" xr:uid="{00000000-0005-0000-0000-000042C00000}"/>
    <cellStyle name="Normal 20 2 2 5" xfId="33087" xr:uid="{00000000-0005-0000-0000-000043C00000}"/>
    <cellStyle name="Normal 20 2 3" xfId="33088" xr:uid="{00000000-0005-0000-0000-000044C00000}"/>
    <cellStyle name="Normal 20 2 3 2" xfId="33089" xr:uid="{00000000-0005-0000-0000-000045C00000}"/>
    <cellStyle name="Normal 20 2 3 2 2" xfId="33090" xr:uid="{00000000-0005-0000-0000-000046C00000}"/>
    <cellStyle name="Normal 20 2 3 2 2 2" xfId="33091" xr:uid="{00000000-0005-0000-0000-000047C00000}"/>
    <cellStyle name="Normal 20 2 3 2 3" xfId="33092" xr:uid="{00000000-0005-0000-0000-000048C00000}"/>
    <cellStyle name="Normal 20 2 3 3" xfId="33093" xr:uid="{00000000-0005-0000-0000-000049C00000}"/>
    <cellStyle name="Normal 20 2 3 3 2" xfId="33094" xr:uid="{00000000-0005-0000-0000-00004AC00000}"/>
    <cellStyle name="Normal 20 2 3 3 2 2" xfId="33095" xr:uid="{00000000-0005-0000-0000-00004BC00000}"/>
    <cellStyle name="Normal 20 2 3 3 3" xfId="33096" xr:uid="{00000000-0005-0000-0000-00004CC00000}"/>
    <cellStyle name="Normal 20 2 3 4" xfId="33097" xr:uid="{00000000-0005-0000-0000-00004DC00000}"/>
    <cellStyle name="Normal 20 2 3 4 2" xfId="33098" xr:uid="{00000000-0005-0000-0000-00004EC00000}"/>
    <cellStyle name="Normal 20 2 3 5" xfId="33099" xr:uid="{00000000-0005-0000-0000-00004FC00000}"/>
    <cellStyle name="Normal 20 2 4" xfId="33100" xr:uid="{00000000-0005-0000-0000-000050C00000}"/>
    <cellStyle name="Normal 20 2 4 2" xfId="33101" xr:uid="{00000000-0005-0000-0000-000051C00000}"/>
    <cellStyle name="Normal 20 2 4 2 2" xfId="33102" xr:uid="{00000000-0005-0000-0000-000052C00000}"/>
    <cellStyle name="Normal 20 2 4 2 2 2" xfId="33103" xr:uid="{00000000-0005-0000-0000-000053C00000}"/>
    <cellStyle name="Normal 20 2 4 2 3" xfId="33104" xr:uid="{00000000-0005-0000-0000-000054C00000}"/>
    <cellStyle name="Normal 20 2 4 3" xfId="33105" xr:uid="{00000000-0005-0000-0000-000055C00000}"/>
    <cellStyle name="Normal 20 2 4 3 2" xfId="33106" xr:uid="{00000000-0005-0000-0000-000056C00000}"/>
    <cellStyle name="Normal 20 2 4 3 2 2" xfId="33107" xr:uid="{00000000-0005-0000-0000-000057C00000}"/>
    <cellStyle name="Normal 20 2 4 3 3" xfId="33108" xr:uid="{00000000-0005-0000-0000-000058C00000}"/>
    <cellStyle name="Normal 20 2 4 4" xfId="33109" xr:uid="{00000000-0005-0000-0000-000059C00000}"/>
    <cellStyle name="Normal 20 2 4 4 2" xfId="33110" xr:uid="{00000000-0005-0000-0000-00005AC00000}"/>
    <cellStyle name="Normal 20 2 4 5" xfId="33111" xr:uid="{00000000-0005-0000-0000-00005BC00000}"/>
    <cellStyle name="Normal 20 2 5" xfId="33112" xr:uid="{00000000-0005-0000-0000-00005CC00000}"/>
    <cellStyle name="Normal 20 2 5 2" xfId="33113" xr:uid="{00000000-0005-0000-0000-00005DC00000}"/>
    <cellStyle name="Normal 20 2 5 2 2" xfId="33114" xr:uid="{00000000-0005-0000-0000-00005EC00000}"/>
    <cellStyle name="Normal 20 2 5 2 2 2" xfId="33115" xr:uid="{00000000-0005-0000-0000-00005FC00000}"/>
    <cellStyle name="Normal 20 2 5 2 3" xfId="33116" xr:uid="{00000000-0005-0000-0000-000060C00000}"/>
    <cellStyle name="Normal 20 2 5 3" xfId="33117" xr:uid="{00000000-0005-0000-0000-000061C00000}"/>
    <cellStyle name="Normal 20 2 5 3 2" xfId="33118" xr:uid="{00000000-0005-0000-0000-000062C00000}"/>
    <cellStyle name="Normal 20 2 5 4" xfId="33119" xr:uid="{00000000-0005-0000-0000-000063C00000}"/>
    <cellStyle name="Normal 20 2 6" xfId="33120" xr:uid="{00000000-0005-0000-0000-000064C00000}"/>
    <cellStyle name="Normal 20 2 6 2" xfId="33121" xr:uid="{00000000-0005-0000-0000-000065C00000}"/>
    <cellStyle name="Normal 20 2 6 2 2" xfId="33122" xr:uid="{00000000-0005-0000-0000-000066C00000}"/>
    <cellStyle name="Normal 20 2 6 3" xfId="33123" xr:uid="{00000000-0005-0000-0000-000067C00000}"/>
    <cellStyle name="Normal 20 2 7" xfId="33124" xr:uid="{00000000-0005-0000-0000-000068C00000}"/>
    <cellStyle name="Normal 20 2 7 2" xfId="33125" xr:uid="{00000000-0005-0000-0000-000069C00000}"/>
    <cellStyle name="Normal 20 2 8" xfId="33126" xr:uid="{00000000-0005-0000-0000-00006AC00000}"/>
    <cellStyle name="Normal 20 3" xfId="33127" xr:uid="{00000000-0005-0000-0000-00006BC00000}"/>
    <cellStyle name="Normal 20 3 2" xfId="33128" xr:uid="{00000000-0005-0000-0000-00006CC00000}"/>
    <cellStyle name="Normal 20 3 2 2" xfId="33129" xr:uid="{00000000-0005-0000-0000-00006DC00000}"/>
    <cellStyle name="Normal 20 3 2 2 2" xfId="33130" xr:uid="{00000000-0005-0000-0000-00006EC00000}"/>
    <cellStyle name="Normal 20 3 2 3" xfId="33131" xr:uid="{00000000-0005-0000-0000-00006FC00000}"/>
    <cellStyle name="Normal 20 3 3" xfId="33132" xr:uid="{00000000-0005-0000-0000-000070C00000}"/>
    <cellStyle name="Normal 20 3 3 2" xfId="33133" xr:uid="{00000000-0005-0000-0000-000071C00000}"/>
    <cellStyle name="Normal 20 3 3 2 2" xfId="33134" xr:uid="{00000000-0005-0000-0000-000072C00000}"/>
    <cellStyle name="Normal 20 3 3 3" xfId="33135" xr:uid="{00000000-0005-0000-0000-000073C00000}"/>
    <cellStyle name="Normal 20 3 4" xfId="33136" xr:uid="{00000000-0005-0000-0000-000074C00000}"/>
    <cellStyle name="Normal 20 3 4 2" xfId="33137" xr:uid="{00000000-0005-0000-0000-000075C00000}"/>
    <cellStyle name="Normal 20 3 4 2 2" xfId="33138" xr:uid="{00000000-0005-0000-0000-000076C00000}"/>
    <cellStyle name="Normal 20 3 4 3" xfId="33139" xr:uid="{00000000-0005-0000-0000-000077C00000}"/>
    <cellStyle name="Normal 20 3 5" xfId="33140" xr:uid="{00000000-0005-0000-0000-000078C00000}"/>
    <cellStyle name="Normal 20 3 5 2" xfId="33141" xr:uid="{00000000-0005-0000-0000-000079C00000}"/>
    <cellStyle name="Normal 20 3 6" xfId="33142" xr:uid="{00000000-0005-0000-0000-00007AC00000}"/>
    <cellStyle name="Normal 20 4" xfId="33143" xr:uid="{00000000-0005-0000-0000-00007BC00000}"/>
    <cellStyle name="Normal 20 4 2" xfId="33144" xr:uid="{00000000-0005-0000-0000-00007CC00000}"/>
    <cellStyle name="Normal 20 4 2 2" xfId="33145" xr:uid="{00000000-0005-0000-0000-00007DC00000}"/>
    <cellStyle name="Normal 20 4 2 2 2" xfId="33146" xr:uid="{00000000-0005-0000-0000-00007EC00000}"/>
    <cellStyle name="Normal 20 4 2 3" xfId="33147" xr:uid="{00000000-0005-0000-0000-00007FC00000}"/>
    <cellStyle name="Normal 20 4 3" xfId="33148" xr:uid="{00000000-0005-0000-0000-000080C00000}"/>
    <cellStyle name="Normal 20 4 3 2" xfId="33149" xr:uid="{00000000-0005-0000-0000-000081C00000}"/>
    <cellStyle name="Normal 20 4 3 2 2" xfId="33150" xr:uid="{00000000-0005-0000-0000-000082C00000}"/>
    <cellStyle name="Normal 20 4 3 3" xfId="33151" xr:uid="{00000000-0005-0000-0000-000083C00000}"/>
    <cellStyle name="Normal 20 4 4" xfId="33152" xr:uid="{00000000-0005-0000-0000-000084C00000}"/>
    <cellStyle name="Normal 20 4 4 2" xfId="33153" xr:uid="{00000000-0005-0000-0000-000085C00000}"/>
    <cellStyle name="Normal 20 4 5" xfId="33154" xr:uid="{00000000-0005-0000-0000-000086C00000}"/>
    <cellStyle name="Normal 20 5" xfId="33155" xr:uid="{00000000-0005-0000-0000-000087C00000}"/>
    <cellStyle name="Normal 20 5 2" xfId="33156" xr:uid="{00000000-0005-0000-0000-000088C00000}"/>
    <cellStyle name="Normal 20 5 2 2" xfId="33157" xr:uid="{00000000-0005-0000-0000-000089C00000}"/>
    <cellStyle name="Normal 20 5 2 2 2" xfId="33158" xr:uid="{00000000-0005-0000-0000-00008AC00000}"/>
    <cellStyle name="Normal 20 5 2 3" xfId="33159" xr:uid="{00000000-0005-0000-0000-00008BC00000}"/>
    <cellStyle name="Normal 20 5 3" xfId="33160" xr:uid="{00000000-0005-0000-0000-00008CC00000}"/>
    <cellStyle name="Normal 20 5 3 2" xfId="33161" xr:uid="{00000000-0005-0000-0000-00008DC00000}"/>
    <cellStyle name="Normal 20 5 3 2 2" xfId="33162" xr:uid="{00000000-0005-0000-0000-00008EC00000}"/>
    <cellStyle name="Normal 20 5 3 3" xfId="33163" xr:uid="{00000000-0005-0000-0000-00008FC00000}"/>
    <cellStyle name="Normal 20 5 4" xfId="33164" xr:uid="{00000000-0005-0000-0000-000090C00000}"/>
    <cellStyle name="Normal 20 5 4 2" xfId="33165" xr:uid="{00000000-0005-0000-0000-000091C00000}"/>
    <cellStyle name="Normal 20 5 5" xfId="33166" xr:uid="{00000000-0005-0000-0000-000092C00000}"/>
    <cellStyle name="Normal 20 6" xfId="33167" xr:uid="{00000000-0005-0000-0000-000093C00000}"/>
    <cellStyle name="Normal 20 6 2" xfId="33168" xr:uid="{00000000-0005-0000-0000-000094C00000}"/>
    <cellStyle name="Normal 20 6 2 2" xfId="33169" xr:uid="{00000000-0005-0000-0000-000095C00000}"/>
    <cellStyle name="Normal 20 6 2 2 2" xfId="33170" xr:uid="{00000000-0005-0000-0000-000096C00000}"/>
    <cellStyle name="Normal 20 6 2 3" xfId="33171" xr:uid="{00000000-0005-0000-0000-000097C00000}"/>
    <cellStyle name="Normal 20 6 3" xfId="33172" xr:uid="{00000000-0005-0000-0000-000098C00000}"/>
    <cellStyle name="Normal 20 6 3 2" xfId="33173" xr:uid="{00000000-0005-0000-0000-000099C00000}"/>
    <cellStyle name="Normal 20 6 4" xfId="33174" xr:uid="{00000000-0005-0000-0000-00009AC00000}"/>
    <cellStyle name="Normal 20 7" xfId="33175" xr:uid="{00000000-0005-0000-0000-00009BC00000}"/>
    <cellStyle name="Normal 20 7 2" xfId="33176" xr:uid="{00000000-0005-0000-0000-00009CC00000}"/>
    <cellStyle name="Normal 20 7 2 2" xfId="33177" xr:uid="{00000000-0005-0000-0000-00009DC00000}"/>
    <cellStyle name="Normal 20 7 3" xfId="33178" xr:uid="{00000000-0005-0000-0000-00009EC00000}"/>
    <cellStyle name="Normal 20 8" xfId="33179" xr:uid="{00000000-0005-0000-0000-00009FC00000}"/>
    <cellStyle name="Normal 20 8 2" xfId="33180" xr:uid="{00000000-0005-0000-0000-0000A0C00000}"/>
    <cellStyle name="Normal 20 9" xfId="33181" xr:uid="{00000000-0005-0000-0000-0000A1C00000}"/>
    <cellStyle name="Normal 21" xfId="7387" xr:uid="{00000000-0005-0000-0000-0000A2C00000}"/>
    <cellStyle name="Normal 21 2" xfId="33183" xr:uid="{00000000-0005-0000-0000-0000A3C00000}"/>
    <cellStyle name="Normal 21 2 2" xfId="33184" xr:uid="{00000000-0005-0000-0000-0000A4C00000}"/>
    <cellStyle name="Normal 21 2 2 2" xfId="33185" xr:uid="{00000000-0005-0000-0000-0000A5C00000}"/>
    <cellStyle name="Normal 21 2 2 2 2" xfId="33186" xr:uid="{00000000-0005-0000-0000-0000A6C00000}"/>
    <cellStyle name="Normal 21 2 2 3" xfId="33187" xr:uid="{00000000-0005-0000-0000-0000A7C00000}"/>
    <cellStyle name="Normal 21 2 3" xfId="33188" xr:uid="{00000000-0005-0000-0000-0000A8C00000}"/>
    <cellStyle name="Normal 21 2 3 2" xfId="33189" xr:uid="{00000000-0005-0000-0000-0000A9C00000}"/>
    <cellStyle name="Normal 21 2 3 2 2" xfId="33190" xr:uid="{00000000-0005-0000-0000-0000AAC00000}"/>
    <cellStyle name="Normal 21 2 3 3" xfId="33191" xr:uid="{00000000-0005-0000-0000-0000ABC00000}"/>
    <cellStyle name="Normal 21 2 4" xfId="33192" xr:uid="{00000000-0005-0000-0000-0000ACC00000}"/>
    <cellStyle name="Normal 21 2 4 2" xfId="33193" xr:uid="{00000000-0005-0000-0000-0000ADC00000}"/>
    <cellStyle name="Normal 21 2 5" xfId="33194" xr:uid="{00000000-0005-0000-0000-0000AEC00000}"/>
    <cellStyle name="Normal 21 3" xfId="33195" xr:uid="{00000000-0005-0000-0000-0000AFC00000}"/>
    <cellStyle name="Normal 21 3 2" xfId="33196" xr:uid="{00000000-0005-0000-0000-0000B0C00000}"/>
    <cellStyle name="Normal 21 3 2 2" xfId="33197" xr:uid="{00000000-0005-0000-0000-0000B1C00000}"/>
    <cellStyle name="Normal 21 3 2 2 2" xfId="33198" xr:uid="{00000000-0005-0000-0000-0000B2C00000}"/>
    <cellStyle name="Normal 21 3 2 3" xfId="33199" xr:uid="{00000000-0005-0000-0000-0000B3C00000}"/>
    <cellStyle name="Normal 21 3 3" xfId="33200" xr:uid="{00000000-0005-0000-0000-0000B4C00000}"/>
    <cellStyle name="Normal 21 3 3 2" xfId="33201" xr:uid="{00000000-0005-0000-0000-0000B5C00000}"/>
    <cellStyle name="Normal 21 3 3 2 2" xfId="33202" xr:uid="{00000000-0005-0000-0000-0000B6C00000}"/>
    <cellStyle name="Normal 21 3 3 3" xfId="33203" xr:uid="{00000000-0005-0000-0000-0000B7C00000}"/>
    <cellStyle name="Normal 21 3 4" xfId="33204" xr:uid="{00000000-0005-0000-0000-0000B8C00000}"/>
    <cellStyle name="Normal 21 3 4 2" xfId="33205" xr:uid="{00000000-0005-0000-0000-0000B9C00000}"/>
    <cellStyle name="Normal 21 3 5" xfId="33206" xr:uid="{00000000-0005-0000-0000-0000BAC00000}"/>
    <cellStyle name="Normal 21 4" xfId="33207" xr:uid="{00000000-0005-0000-0000-0000BBC00000}"/>
    <cellStyle name="Normal 21 4 2" xfId="33208" xr:uid="{00000000-0005-0000-0000-0000BCC00000}"/>
    <cellStyle name="Normal 21 4 2 2" xfId="33209" xr:uid="{00000000-0005-0000-0000-0000BDC00000}"/>
    <cellStyle name="Normal 21 4 2 2 2" xfId="33210" xr:uid="{00000000-0005-0000-0000-0000BEC00000}"/>
    <cellStyle name="Normal 21 4 2 3" xfId="33211" xr:uid="{00000000-0005-0000-0000-0000BFC00000}"/>
    <cellStyle name="Normal 21 4 3" xfId="33212" xr:uid="{00000000-0005-0000-0000-0000C0C00000}"/>
    <cellStyle name="Normal 21 4 3 2" xfId="33213" xr:uid="{00000000-0005-0000-0000-0000C1C00000}"/>
    <cellStyle name="Normal 21 4 3 2 2" xfId="33214" xr:uid="{00000000-0005-0000-0000-0000C2C00000}"/>
    <cellStyle name="Normal 21 4 3 3" xfId="33215" xr:uid="{00000000-0005-0000-0000-0000C3C00000}"/>
    <cellStyle name="Normal 21 4 4" xfId="33216" xr:uid="{00000000-0005-0000-0000-0000C4C00000}"/>
    <cellStyle name="Normal 21 4 4 2" xfId="33217" xr:uid="{00000000-0005-0000-0000-0000C5C00000}"/>
    <cellStyle name="Normal 21 4 5" xfId="33218" xr:uid="{00000000-0005-0000-0000-0000C6C00000}"/>
    <cellStyle name="Normal 21 5" xfId="33219" xr:uid="{00000000-0005-0000-0000-0000C7C00000}"/>
    <cellStyle name="Normal 21 5 2" xfId="33220" xr:uid="{00000000-0005-0000-0000-0000C8C00000}"/>
    <cellStyle name="Normal 21 5 2 2" xfId="33221" xr:uid="{00000000-0005-0000-0000-0000C9C00000}"/>
    <cellStyle name="Normal 21 5 2 2 2" xfId="33222" xr:uid="{00000000-0005-0000-0000-0000CAC00000}"/>
    <cellStyle name="Normal 21 5 2 3" xfId="33223" xr:uid="{00000000-0005-0000-0000-0000CBC00000}"/>
    <cellStyle name="Normal 21 5 3" xfId="33224" xr:uid="{00000000-0005-0000-0000-0000CCC00000}"/>
    <cellStyle name="Normal 21 5 3 2" xfId="33225" xr:uid="{00000000-0005-0000-0000-0000CDC00000}"/>
    <cellStyle name="Normal 21 5 4" xfId="33226" xr:uid="{00000000-0005-0000-0000-0000CEC00000}"/>
    <cellStyle name="Normal 21 6" xfId="33227" xr:uid="{00000000-0005-0000-0000-0000CFC00000}"/>
    <cellStyle name="Normal 21 6 2" xfId="33228" xr:uid="{00000000-0005-0000-0000-0000D0C00000}"/>
    <cellStyle name="Normal 21 6 2 2" xfId="33229" xr:uid="{00000000-0005-0000-0000-0000D1C00000}"/>
    <cellStyle name="Normal 21 6 3" xfId="33230" xr:uid="{00000000-0005-0000-0000-0000D2C00000}"/>
    <cellStyle name="Normal 21 7" xfId="33231" xr:uid="{00000000-0005-0000-0000-0000D3C00000}"/>
    <cellStyle name="Normal 21 7 2" xfId="33232" xr:uid="{00000000-0005-0000-0000-0000D4C00000}"/>
    <cellStyle name="Normal 21 8" xfId="33233" xr:uid="{00000000-0005-0000-0000-0000D5C00000}"/>
    <cellStyle name="Normal 21 9" xfId="33182" xr:uid="{00000000-0005-0000-0000-0000D6C00000}"/>
    <cellStyle name="Normal 22" xfId="5611" xr:uid="{00000000-0005-0000-0000-0000D7C00000}"/>
    <cellStyle name="Normal 22 2" xfId="33235" xr:uid="{00000000-0005-0000-0000-0000D8C00000}"/>
    <cellStyle name="Normal 22 2 2" xfId="33236" xr:uid="{00000000-0005-0000-0000-0000D9C00000}"/>
    <cellStyle name="Normal 22 2 2 2" xfId="33237" xr:uid="{00000000-0005-0000-0000-0000DAC00000}"/>
    <cellStyle name="Normal 22 2 2 2 2" xfId="33238" xr:uid="{00000000-0005-0000-0000-0000DBC00000}"/>
    <cellStyle name="Normal 22 2 2 3" xfId="33239" xr:uid="{00000000-0005-0000-0000-0000DCC00000}"/>
    <cellStyle name="Normal 22 2 3" xfId="33240" xr:uid="{00000000-0005-0000-0000-0000DDC00000}"/>
    <cellStyle name="Normal 22 2 3 2" xfId="33241" xr:uid="{00000000-0005-0000-0000-0000DEC00000}"/>
    <cellStyle name="Normal 22 2 4" xfId="33242" xr:uid="{00000000-0005-0000-0000-0000DFC00000}"/>
    <cellStyle name="Normal 22 3" xfId="33243" xr:uid="{00000000-0005-0000-0000-0000E0C00000}"/>
    <cellStyle name="Normal 22 3 2" xfId="33244" xr:uid="{00000000-0005-0000-0000-0000E1C00000}"/>
    <cellStyle name="Normal 22 3 2 2" xfId="33245" xr:uid="{00000000-0005-0000-0000-0000E2C00000}"/>
    <cellStyle name="Normal 22 3 2 2 2" xfId="33246" xr:uid="{00000000-0005-0000-0000-0000E3C00000}"/>
    <cellStyle name="Normal 22 3 2 3" xfId="33247" xr:uid="{00000000-0005-0000-0000-0000E4C00000}"/>
    <cellStyle name="Normal 22 3 3" xfId="33248" xr:uid="{00000000-0005-0000-0000-0000E5C00000}"/>
    <cellStyle name="Normal 22 3 3 2" xfId="33249" xr:uid="{00000000-0005-0000-0000-0000E6C00000}"/>
    <cellStyle name="Normal 22 3 4" xfId="33250" xr:uid="{00000000-0005-0000-0000-0000E7C00000}"/>
    <cellStyle name="Normal 22 4" xfId="33251" xr:uid="{00000000-0005-0000-0000-0000E8C00000}"/>
    <cellStyle name="Normal 22 4 2" xfId="33252" xr:uid="{00000000-0005-0000-0000-0000E9C00000}"/>
    <cellStyle name="Normal 22 4 2 2" xfId="33253" xr:uid="{00000000-0005-0000-0000-0000EAC00000}"/>
    <cellStyle name="Normal 22 4 3" xfId="33254" xr:uid="{00000000-0005-0000-0000-0000EBC00000}"/>
    <cellStyle name="Normal 22 5" xfId="33255" xr:uid="{00000000-0005-0000-0000-0000ECC00000}"/>
    <cellStyle name="Normal 22 5 2" xfId="33256" xr:uid="{00000000-0005-0000-0000-0000EDC00000}"/>
    <cellStyle name="Normal 22 6" xfId="33257" xr:uid="{00000000-0005-0000-0000-0000EEC00000}"/>
    <cellStyle name="Normal 22 7" xfId="33234" xr:uid="{00000000-0005-0000-0000-0000EFC00000}"/>
    <cellStyle name="Normal 22 8" xfId="55787" xr:uid="{00000000-0005-0000-0000-0000F0C00000}"/>
    <cellStyle name="Normal 23" xfId="11091" xr:uid="{00000000-0005-0000-0000-0000F1C00000}"/>
    <cellStyle name="Normal 23 2" xfId="33259" xr:uid="{00000000-0005-0000-0000-0000F2C00000}"/>
    <cellStyle name="Normal 23 2 2" xfId="33260" xr:uid="{00000000-0005-0000-0000-0000F3C00000}"/>
    <cellStyle name="Normal 23 3" xfId="33261" xr:uid="{00000000-0005-0000-0000-0000F4C00000}"/>
    <cellStyle name="Normal 23 4" xfId="33258" xr:uid="{00000000-0005-0000-0000-0000F5C00000}"/>
    <cellStyle name="Normal 24" xfId="16567" xr:uid="{00000000-0005-0000-0000-0000F6C00000}"/>
    <cellStyle name="Normal 24 2" xfId="33262" xr:uid="{00000000-0005-0000-0000-0000F7C00000}"/>
    <cellStyle name="Normal 25" xfId="22043" xr:uid="{00000000-0005-0000-0000-0000F8C00000}"/>
    <cellStyle name="Normal 25 2" xfId="33264" xr:uid="{00000000-0005-0000-0000-0000F9C00000}"/>
    <cellStyle name="Normal 25 3" xfId="33263" xr:uid="{00000000-0005-0000-0000-0000FAC00000}"/>
    <cellStyle name="Normal 26" xfId="27519" xr:uid="{00000000-0005-0000-0000-0000FBC00000}"/>
    <cellStyle name="Normal 26 2" xfId="33266" xr:uid="{00000000-0005-0000-0000-0000FCC00000}"/>
    <cellStyle name="Normal 26 3" xfId="33265" xr:uid="{00000000-0005-0000-0000-0000FDC00000}"/>
    <cellStyle name="Normal 27" xfId="33838" xr:uid="{00000000-0005-0000-0000-0000FEC00000}"/>
    <cellStyle name="Normal 28" xfId="39315" xr:uid="{00000000-0005-0000-0000-0000FFC00000}"/>
    <cellStyle name="Normal 29" xfId="44792" xr:uid="{00000000-0005-0000-0000-000000C10000}"/>
    <cellStyle name="Normal 3" xfId="4" xr:uid="{00000000-0005-0000-0000-000001C10000}"/>
    <cellStyle name="Normal 3 2" xfId="21" xr:uid="{00000000-0005-0000-0000-000002C10000}"/>
    <cellStyle name="Normal 3 2 2" xfId="22" xr:uid="{00000000-0005-0000-0000-000003C10000}"/>
    <cellStyle name="Normal 3 2 3" xfId="23" xr:uid="{00000000-0005-0000-0000-000004C10000}"/>
    <cellStyle name="Normal 3 2 3 2" xfId="33267" xr:uid="{00000000-0005-0000-0000-000005C10000}"/>
    <cellStyle name="Normal 3 2 4" xfId="33268" xr:uid="{00000000-0005-0000-0000-000006C10000}"/>
    <cellStyle name="Normal 3 2 5" xfId="33269" xr:uid="{00000000-0005-0000-0000-000007C10000}"/>
    <cellStyle name="Normal 3 2 6" xfId="33270" xr:uid="{00000000-0005-0000-0000-000008C10000}"/>
    <cellStyle name="Normal 3 2 7" xfId="33271" xr:uid="{00000000-0005-0000-0000-000009C10000}"/>
    <cellStyle name="Normal 3 2 8" xfId="33272" xr:uid="{00000000-0005-0000-0000-00000AC10000}"/>
    <cellStyle name="Normal 3 3" xfId="24" xr:uid="{00000000-0005-0000-0000-00000BC10000}"/>
    <cellStyle name="Normal 3 3 2" xfId="33273" xr:uid="{00000000-0005-0000-0000-00000CC10000}"/>
    <cellStyle name="Normal 3 3 3" xfId="52076" xr:uid="{00000000-0005-0000-0000-00000DC10000}"/>
    <cellStyle name="Normal 3 4" xfId="25" xr:uid="{00000000-0005-0000-0000-00000EC10000}"/>
    <cellStyle name="Normal 3 5" xfId="26" xr:uid="{00000000-0005-0000-0000-00000FC10000}"/>
    <cellStyle name="Normal 3 5 2" xfId="33274" xr:uid="{00000000-0005-0000-0000-000010C10000}"/>
    <cellStyle name="Normal 3 5 3" xfId="52077" xr:uid="{00000000-0005-0000-0000-000011C10000}"/>
    <cellStyle name="Normal 3 6" xfId="27" xr:uid="{00000000-0005-0000-0000-000012C10000}"/>
    <cellStyle name="Normal 3 6 2" xfId="33275" xr:uid="{00000000-0005-0000-0000-000013C10000}"/>
    <cellStyle name="Normal 3 7" xfId="33276" xr:uid="{00000000-0005-0000-0000-000014C10000}"/>
    <cellStyle name="Normal 3 8" xfId="33277" xr:uid="{00000000-0005-0000-0000-000015C10000}"/>
    <cellStyle name="Normal 3 9" xfId="33278" xr:uid="{00000000-0005-0000-0000-000016C10000}"/>
    <cellStyle name="Normal 30" xfId="50269" xr:uid="{00000000-0005-0000-0000-000017C10000}"/>
    <cellStyle name="Normal 4" xfId="3" xr:uid="{00000000-0005-0000-0000-000018C10000}"/>
    <cellStyle name="Normal 4 2" xfId="28" xr:uid="{00000000-0005-0000-0000-000019C10000}"/>
    <cellStyle name="Normal 4 2 2" xfId="27537" xr:uid="{00000000-0005-0000-0000-00001AC10000}"/>
    <cellStyle name="Normal 4 3" xfId="29" xr:uid="{00000000-0005-0000-0000-00001BC10000}"/>
    <cellStyle name="Normal 4 4" xfId="33279" xr:uid="{00000000-0005-0000-0000-00001CC10000}"/>
    <cellStyle name="Normal 4 5" xfId="33280" xr:uid="{00000000-0005-0000-0000-00001DC10000}"/>
    <cellStyle name="Normal 4 6" xfId="33281" xr:uid="{00000000-0005-0000-0000-00001EC10000}"/>
    <cellStyle name="Normal 4 7" xfId="33282" xr:uid="{00000000-0005-0000-0000-00001FC10000}"/>
    <cellStyle name="Normal 4 8" xfId="33283" xr:uid="{00000000-0005-0000-0000-000020C10000}"/>
    <cellStyle name="Normal 4 9" xfId="27536" xr:uid="{00000000-0005-0000-0000-000021C10000}"/>
    <cellStyle name="Normal 5" xfId="6" xr:uid="{00000000-0005-0000-0000-000022C10000}"/>
    <cellStyle name="Normal 5 10" xfId="27538" xr:uid="{00000000-0005-0000-0000-000023C10000}"/>
    <cellStyle name="Normal 5 2" xfId="31" xr:uid="{00000000-0005-0000-0000-000024C10000}"/>
    <cellStyle name="Normal 5 2 2" xfId="33284" xr:uid="{00000000-0005-0000-0000-000025C10000}"/>
    <cellStyle name="Normal 5 2 2 2" xfId="33285" xr:uid="{00000000-0005-0000-0000-000026C10000}"/>
    <cellStyle name="Normal 5 2 3" xfId="33286" xr:uid="{00000000-0005-0000-0000-000027C10000}"/>
    <cellStyle name="Normal 5 2 4" xfId="27539" xr:uid="{00000000-0005-0000-0000-000028C10000}"/>
    <cellStyle name="Normal 5 3" xfId="30" xr:uid="{00000000-0005-0000-0000-000029C10000}"/>
    <cellStyle name="Normal 5 3 2" xfId="33288" xr:uid="{00000000-0005-0000-0000-00002AC10000}"/>
    <cellStyle name="Normal 5 3 2 2" xfId="33289" xr:uid="{00000000-0005-0000-0000-00002BC10000}"/>
    <cellStyle name="Normal 5 3 3" xfId="33290" xr:uid="{00000000-0005-0000-0000-00002CC10000}"/>
    <cellStyle name="Normal 5 3 4" xfId="33287" xr:uid="{00000000-0005-0000-0000-00002DC10000}"/>
    <cellStyle name="Normal 5 4" xfId="33291" xr:uid="{00000000-0005-0000-0000-00002EC10000}"/>
    <cellStyle name="Normal 5 4 2" xfId="33292" xr:uid="{00000000-0005-0000-0000-00002FC10000}"/>
    <cellStyle name="Normal 5 4 2 2" xfId="33293" xr:uid="{00000000-0005-0000-0000-000030C10000}"/>
    <cellStyle name="Normal 5 4 3" xfId="33294" xr:uid="{00000000-0005-0000-0000-000031C10000}"/>
    <cellStyle name="Normal 5 5" xfId="33295" xr:uid="{00000000-0005-0000-0000-000032C10000}"/>
    <cellStyle name="Normal 5 5 2" xfId="33296" xr:uid="{00000000-0005-0000-0000-000033C10000}"/>
    <cellStyle name="Normal 5 5 2 2" xfId="33297" xr:uid="{00000000-0005-0000-0000-000034C10000}"/>
    <cellStyle name="Normal 5 5 3" xfId="33298" xr:uid="{00000000-0005-0000-0000-000035C10000}"/>
    <cellStyle name="Normal 5 6" xfId="33299" xr:uid="{00000000-0005-0000-0000-000036C10000}"/>
    <cellStyle name="Normal 5 6 2" xfId="33300" xr:uid="{00000000-0005-0000-0000-000037C10000}"/>
    <cellStyle name="Normal 5 6 2 2" xfId="33301" xr:uid="{00000000-0005-0000-0000-000038C10000}"/>
    <cellStyle name="Normal 5 6 3" xfId="33302" xr:uid="{00000000-0005-0000-0000-000039C10000}"/>
    <cellStyle name="Normal 5 7" xfId="33303" xr:uid="{00000000-0005-0000-0000-00003AC10000}"/>
    <cellStyle name="Normal 5 7 2" xfId="33304" xr:uid="{00000000-0005-0000-0000-00003BC10000}"/>
    <cellStyle name="Normal 5 7 2 2" xfId="33305" xr:uid="{00000000-0005-0000-0000-00003CC10000}"/>
    <cellStyle name="Normal 5 7 3" xfId="33306" xr:uid="{00000000-0005-0000-0000-00003DC10000}"/>
    <cellStyle name="Normal 5 8" xfId="33307" xr:uid="{00000000-0005-0000-0000-00003EC10000}"/>
    <cellStyle name="Normal 5 8 2" xfId="33308" xr:uid="{00000000-0005-0000-0000-00003FC10000}"/>
    <cellStyle name="Normal 5 9" xfId="33309" xr:uid="{00000000-0005-0000-0000-000040C10000}"/>
    <cellStyle name="Normal 6" xfId="32" xr:uid="{00000000-0005-0000-0000-000041C10000}"/>
    <cellStyle name="Normal 6 2" xfId="27541" xr:uid="{00000000-0005-0000-0000-000042C10000}"/>
    <cellStyle name="Normal 6 3" xfId="27540" xr:uid="{00000000-0005-0000-0000-000043C10000}"/>
    <cellStyle name="Normal 7" xfId="33" xr:uid="{00000000-0005-0000-0000-000044C10000}"/>
    <cellStyle name="Normal 7 2" xfId="37" xr:uid="{00000000-0005-0000-0000-000045C10000}"/>
    <cellStyle name="Normal 7 2 2" xfId="27543" xr:uid="{00000000-0005-0000-0000-000046C10000}"/>
    <cellStyle name="Normal 7 3" xfId="27542" xr:uid="{00000000-0005-0000-0000-000047C10000}"/>
    <cellStyle name="Normal 8" xfId="7" xr:uid="{00000000-0005-0000-0000-000048C10000}"/>
    <cellStyle name="Normal 8 2" xfId="123" xr:uid="{00000000-0005-0000-0000-000049C10000}"/>
    <cellStyle name="Normal 8 2 2" xfId="33311" xr:uid="{00000000-0005-0000-0000-00004AC10000}"/>
    <cellStyle name="Normal 8 2 2 2" xfId="33312" xr:uid="{00000000-0005-0000-0000-00004BC10000}"/>
    <cellStyle name="Normal 8 2 3" xfId="33313" xr:uid="{00000000-0005-0000-0000-00004CC10000}"/>
    <cellStyle name="Normal 8 2 4" xfId="33310" xr:uid="{00000000-0005-0000-0000-00004DC10000}"/>
    <cellStyle name="Normal 8 3" xfId="33314" xr:uid="{00000000-0005-0000-0000-00004EC10000}"/>
    <cellStyle name="Normal 8 3 2" xfId="33315" xr:uid="{00000000-0005-0000-0000-00004FC10000}"/>
    <cellStyle name="Normal 8 3 2 2" xfId="33316" xr:uid="{00000000-0005-0000-0000-000050C10000}"/>
    <cellStyle name="Normal 8 3 3" xfId="33317" xr:uid="{00000000-0005-0000-0000-000051C10000}"/>
    <cellStyle name="Normal 8 4" xfId="33318" xr:uid="{00000000-0005-0000-0000-000052C10000}"/>
    <cellStyle name="Normal 8 4 2" xfId="33319" xr:uid="{00000000-0005-0000-0000-000053C10000}"/>
    <cellStyle name="Normal 8 4 2 2" xfId="33320" xr:uid="{00000000-0005-0000-0000-000054C10000}"/>
    <cellStyle name="Normal 8 4 3" xfId="33321" xr:uid="{00000000-0005-0000-0000-000055C10000}"/>
    <cellStyle name="Normal 8 5" xfId="33322" xr:uid="{00000000-0005-0000-0000-000056C10000}"/>
    <cellStyle name="Normal 8 5 2" xfId="33323" xr:uid="{00000000-0005-0000-0000-000057C10000}"/>
    <cellStyle name="Normal 8 5 2 2" xfId="33324" xr:uid="{00000000-0005-0000-0000-000058C10000}"/>
    <cellStyle name="Normal 8 5 3" xfId="33325" xr:uid="{00000000-0005-0000-0000-000059C10000}"/>
    <cellStyle name="Normal 8 6" xfId="33326" xr:uid="{00000000-0005-0000-0000-00005AC10000}"/>
    <cellStyle name="Normal 8 6 2" xfId="33327" xr:uid="{00000000-0005-0000-0000-00005BC10000}"/>
    <cellStyle name="Normal 8 6 2 2" xfId="33328" xr:uid="{00000000-0005-0000-0000-00005CC10000}"/>
    <cellStyle name="Normal 8 6 3" xfId="33329" xr:uid="{00000000-0005-0000-0000-00005DC10000}"/>
    <cellStyle name="Normal 8 7" xfId="33330" xr:uid="{00000000-0005-0000-0000-00005EC10000}"/>
    <cellStyle name="Normal 8 7 2" xfId="33331" xr:uid="{00000000-0005-0000-0000-00005FC10000}"/>
    <cellStyle name="Normal 8 7 2 2" xfId="33332" xr:uid="{00000000-0005-0000-0000-000060C10000}"/>
    <cellStyle name="Normal 8 7 3" xfId="33333" xr:uid="{00000000-0005-0000-0000-000061C10000}"/>
    <cellStyle name="Normal 8 8" xfId="33334" xr:uid="{00000000-0005-0000-0000-000062C10000}"/>
    <cellStyle name="Normal 8 8 2" xfId="33335" xr:uid="{00000000-0005-0000-0000-000063C10000}"/>
    <cellStyle name="Normal 8 9" xfId="33336" xr:uid="{00000000-0005-0000-0000-000064C10000}"/>
    <cellStyle name="Normal 9" xfId="38" xr:uid="{00000000-0005-0000-0000-000065C10000}"/>
    <cellStyle name="Normal 9 10" xfId="975" xr:uid="{00000000-0005-0000-0000-000066C10000}"/>
    <cellStyle name="Normal 9 10 10" xfId="46348" xr:uid="{00000000-0005-0000-0000-000067C10000}"/>
    <cellStyle name="Normal 9 10 11" xfId="51827" xr:uid="{00000000-0005-0000-0000-000068C10000}"/>
    <cellStyle name="Normal 9 10 2" xfId="2736" xr:uid="{00000000-0005-0000-0000-000069C10000}"/>
    <cellStyle name="Normal 9 10 2 2" xfId="8216" xr:uid="{00000000-0005-0000-0000-00006AC10000}"/>
    <cellStyle name="Normal 9 10 2 3" xfId="13692" xr:uid="{00000000-0005-0000-0000-00006BC10000}"/>
    <cellStyle name="Normal 9 10 2 4" xfId="19168" xr:uid="{00000000-0005-0000-0000-00006CC10000}"/>
    <cellStyle name="Normal 9 10 2 5" xfId="24644" xr:uid="{00000000-0005-0000-0000-00006DC10000}"/>
    <cellStyle name="Normal 9 10 2 6" xfId="36440" xr:uid="{00000000-0005-0000-0000-00006EC10000}"/>
    <cellStyle name="Normal 9 10 2 7" xfId="41917" xr:uid="{00000000-0005-0000-0000-00006FC10000}"/>
    <cellStyle name="Normal 9 10 2 8" xfId="47394" xr:uid="{00000000-0005-0000-0000-000070C10000}"/>
    <cellStyle name="Normal 9 10 2 9" xfId="52912" xr:uid="{00000000-0005-0000-0000-000071C10000}"/>
    <cellStyle name="Normal 9 10 3" xfId="4508" xr:uid="{00000000-0005-0000-0000-000072C10000}"/>
    <cellStyle name="Normal 9 10 3 2" xfId="9988" xr:uid="{00000000-0005-0000-0000-000073C10000}"/>
    <cellStyle name="Normal 9 10 3 3" xfId="15464" xr:uid="{00000000-0005-0000-0000-000074C10000}"/>
    <cellStyle name="Normal 9 10 3 4" xfId="20940" xr:uid="{00000000-0005-0000-0000-000075C10000}"/>
    <cellStyle name="Normal 9 10 3 5" xfId="26416" xr:uid="{00000000-0005-0000-0000-000076C10000}"/>
    <cellStyle name="Normal 9 10 3 6" xfId="38212" xr:uid="{00000000-0005-0000-0000-000077C10000}"/>
    <cellStyle name="Normal 9 10 3 7" xfId="43689" xr:uid="{00000000-0005-0000-0000-000078C10000}"/>
    <cellStyle name="Normal 9 10 3 8" xfId="49166" xr:uid="{00000000-0005-0000-0000-000079C10000}"/>
    <cellStyle name="Normal 9 10 3 9" xfId="54684" xr:uid="{00000000-0005-0000-0000-00007AC10000}"/>
    <cellStyle name="Normal 9 10 4" xfId="7168" xr:uid="{00000000-0005-0000-0000-00007BC10000}"/>
    <cellStyle name="Normal 9 10 5" xfId="12647" xr:uid="{00000000-0005-0000-0000-00007CC10000}"/>
    <cellStyle name="Normal 9 10 6" xfId="18123" xr:uid="{00000000-0005-0000-0000-00007DC10000}"/>
    <cellStyle name="Normal 9 10 7" xfId="23599" xr:uid="{00000000-0005-0000-0000-00007EC10000}"/>
    <cellStyle name="Normal 9 10 8" xfId="35394" xr:uid="{00000000-0005-0000-0000-00007FC10000}"/>
    <cellStyle name="Normal 9 10 9" xfId="40871" xr:uid="{00000000-0005-0000-0000-000080C10000}"/>
    <cellStyle name="Normal 9 11" xfId="1010" xr:uid="{00000000-0005-0000-0000-000081C10000}"/>
    <cellStyle name="Normal 9 11 10" xfId="46349" xr:uid="{00000000-0005-0000-0000-000082C10000}"/>
    <cellStyle name="Normal 9 11 11" xfId="51828" xr:uid="{00000000-0005-0000-0000-000083C10000}"/>
    <cellStyle name="Normal 9 11 2" xfId="2771" xr:uid="{00000000-0005-0000-0000-000084C10000}"/>
    <cellStyle name="Normal 9 11 2 2" xfId="8251" xr:uid="{00000000-0005-0000-0000-000085C10000}"/>
    <cellStyle name="Normal 9 11 2 3" xfId="13727" xr:uid="{00000000-0005-0000-0000-000086C10000}"/>
    <cellStyle name="Normal 9 11 2 4" xfId="19203" xr:uid="{00000000-0005-0000-0000-000087C10000}"/>
    <cellStyle name="Normal 9 11 2 5" xfId="24679" xr:uid="{00000000-0005-0000-0000-000088C10000}"/>
    <cellStyle name="Normal 9 11 2 6" xfId="36475" xr:uid="{00000000-0005-0000-0000-000089C10000}"/>
    <cellStyle name="Normal 9 11 2 7" xfId="41952" xr:uid="{00000000-0005-0000-0000-00008AC10000}"/>
    <cellStyle name="Normal 9 11 2 8" xfId="47429" xr:uid="{00000000-0005-0000-0000-00008BC10000}"/>
    <cellStyle name="Normal 9 11 2 9" xfId="52947" xr:uid="{00000000-0005-0000-0000-00008CC10000}"/>
    <cellStyle name="Normal 9 11 3" xfId="4543" xr:uid="{00000000-0005-0000-0000-00008DC10000}"/>
    <cellStyle name="Normal 9 11 3 2" xfId="10023" xr:uid="{00000000-0005-0000-0000-00008EC10000}"/>
    <cellStyle name="Normal 9 11 3 3" xfId="15499" xr:uid="{00000000-0005-0000-0000-00008FC10000}"/>
    <cellStyle name="Normal 9 11 3 4" xfId="20975" xr:uid="{00000000-0005-0000-0000-000090C10000}"/>
    <cellStyle name="Normal 9 11 3 5" xfId="26451" xr:uid="{00000000-0005-0000-0000-000091C10000}"/>
    <cellStyle name="Normal 9 11 3 6" xfId="38247" xr:uid="{00000000-0005-0000-0000-000092C10000}"/>
    <cellStyle name="Normal 9 11 3 7" xfId="43724" xr:uid="{00000000-0005-0000-0000-000093C10000}"/>
    <cellStyle name="Normal 9 11 3 8" xfId="49201" xr:uid="{00000000-0005-0000-0000-000094C10000}"/>
    <cellStyle name="Normal 9 11 3 9" xfId="54719" xr:uid="{00000000-0005-0000-0000-000095C10000}"/>
    <cellStyle name="Normal 9 11 4" xfId="7169" xr:uid="{00000000-0005-0000-0000-000096C10000}"/>
    <cellStyle name="Normal 9 11 5" xfId="12648" xr:uid="{00000000-0005-0000-0000-000097C10000}"/>
    <cellStyle name="Normal 9 11 6" xfId="18124" xr:uid="{00000000-0005-0000-0000-000098C10000}"/>
    <cellStyle name="Normal 9 11 7" xfId="23600" xr:uid="{00000000-0005-0000-0000-000099C10000}"/>
    <cellStyle name="Normal 9 11 8" xfId="35395" xr:uid="{00000000-0005-0000-0000-00009AC10000}"/>
    <cellStyle name="Normal 9 11 9" xfId="40872" xr:uid="{00000000-0005-0000-0000-00009BC10000}"/>
    <cellStyle name="Normal 9 12" xfId="1027" xr:uid="{00000000-0005-0000-0000-00009CC10000}"/>
    <cellStyle name="Normal 9 12 10" xfId="46350" xr:uid="{00000000-0005-0000-0000-00009DC10000}"/>
    <cellStyle name="Normal 9 12 11" xfId="51829" xr:uid="{00000000-0005-0000-0000-00009EC10000}"/>
    <cellStyle name="Normal 9 12 2" xfId="2788" xr:uid="{00000000-0005-0000-0000-00009FC10000}"/>
    <cellStyle name="Normal 9 12 2 2" xfId="8268" xr:uid="{00000000-0005-0000-0000-0000A0C10000}"/>
    <cellStyle name="Normal 9 12 2 3" xfId="13744" xr:uid="{00000000-0005-0000-0000-0000A1C10000}"/>
    <cellStyle name="Normal 9 12 2 4" xfId="19220" xr:uid="{00000000-0005-0000-0000-0000A2C10000}"/>
    <cellStyle name="Normal 9 12 2 5" xfId="24696" xr:uid="{00000000-0005-0000-0000-0000A3C10000}"/>
    <cellStyle name="Normal 9 12 2 6" xfId="36492" xr:uid="{00000000-0005-0000-0000-0000A4C10000}"/>
    <cellStyle name="Normal 9 12 2 7" xfId="41969" xr:uid="{00000000-0005-0000-0000-0000A5C10000}"/>
    <cellStyle name="Normal 9 12 2 8" xfId="47446" xr:uid="{00000000-0005-0000-0000-0000A6C10000}"/>
    <cellStyle name="Normal 9 12 2 9" xfId="52964" xr:uid="{00000000-0005-0000-0000-0000A7C10000}"/>
    <cellStyle name="Normal 9 12 3" xfId="4560" xr:uid="{00000000-0005-0000-0000-0000A8C10000}"/>
    <cellStyle name="Normal 9 12 3 2" xfId="10040" xr:uid="{00000000-0005-0000-0000-0000A9C10000}"/>
    <cellStyle name="Normal 9 12 3 3" xfId="15516" xr:uid="{00000000-0005-0000-0000-0000AAC10000}"/>
    <cellStyle name="Normal 9 12 3 4" xfId="20992" xr:uid="{00000000-0005-0000-0000-0000ABC10000}"/>
    <cellStyle name="Normal 9 12 3 5" xfId="26468" xr:uid="{00000000-0005-0000-0000-0000ACC10000}"/>
    <cellStyle name="Normal 9 12 3 6" xfId="38264" xr:uid="{00000000-0005-0000-0000-0000ADC10000}"/>
    <cellStyle name="Normal 9 12 3 7" xfId="43741" xr:uid="{00000000-0005-0000-0000-0000AEC10000}"/>
    <cellStyle name="Normal 9 12 3 8" xfId="49218" xr:uid="{00000000-0005-0000-0000-0000AFC10000}"/>
    <cellStyle name="Normal 9 12 3 9" xfId="54736" xr:uid="{00000000-0005-0000-0000-0000B0C10000}"/>
    <cellStyle name="Normal 9 12 4" xfId="7170" xr:uid="{00000000-0005-0000-0000-0000B1C10000}"/>
    <cellStyle name="Normal 9 12 5" xfId="12649" xr:uid="{00000000-0005-0000-0000-0000B2C10000}"/>
    <cellStyle name="Normal 9 12 6" xfId="18125" xr:uid="{00000000-0005-0000-0000-0000B3C10000}"/>
    <cellStyle name="Normal 9 12 7" xfId="23601" xr:uid="{00000000-0005-0000-0000-0000B4C10000}"/>
    <cellStyle name="Normal 9 12 8" xfId="35396" xr:uid="{00000000-0005-0000-0000-0000B5C10000}"/>
    <cellStyle name="Normal 9 12 9" xfId="40873" xr:uid="{00000000-0005-0000-0000-0000B6C10000}"/>
    <cellStyle name="Normal 9 13" xfId="1181" xr:uid="{00000000-0005-0000-0000-0000B7C10000}"/>
    <cellStyle name="Normal 9 13 10" xfId="46351" xr:uid="{00000000-0005-0000-0000-0000B8C10000}"/>
    <cellStyle name="Normal 9 13 11" xfId="51830" xr:uid="{00000000-0005-0000-0000-0000B9C10000}"/>
    <cellStyle name="Normal 9 13 2" xfId="2942" xr:uid="{00000000-0005-0000-0000-0000BAC10000}"/>
    <cellStyle name="Normal 9 13 2 2" xfId="8422" xr:uid="{00000000-0005-0000-0000-0000BBC10000}"/>
    <cellStyle name="Normal 9 13 2 3" xfId="13898" xr:uid="{00000000-0005-0000-0000-0000BCC10000}"/>
    <cellStyle name="Normal 9 13 2 4" xfId="19374" xr:uid="{00000000-0005-0000-0000-0000BDC10000}"/>
    <cellStyle name="Normal 9 13 2 5" xfId="24850" xr:uid="{00000000-0005-0000-0000-0000BEC10000}"/>
    <cellStyle name="Normal 9 13 2 6" xfId="36646" xr:uid="{00000000-0005-0000-0000-0000BFC10000}"/>
    <cellStyle name="Normal 9 13 2 7" xfId="42123" xr:uid="{00000000-0005-0000-0000-0000C0C10000}"/>
    <cellStyle name="Normal 9 13 2 8" xfId="47600" xr:uid="{00000000-0005-0000-0000-0000C1C10000}"/>
    <cellStyle name="Normal 9 13 2 9" xfId="53118" xr:uid="{00000000-0005-0000-0000-0000C2C10000}"/>
    <cellStyle name="Normal 9 13 3" xfId="4714" xr:uid="{00000000-0005-0000-0000-0000C3C10000}"/>
    <cellStyle name="Normal 9 13 3 2" xfId="10194" xr:uid="{00000000-0005-0000-0000-0000C4C10000}"/>
    <cellStyle name="Normal 9 13 3 3" xfId="15670" xr:uid="{00000000-0005-0000-0000-0000C5C10000}"/>
    <cellStyle name="Normal 9 13 3 4" xfId="21146" xr:uid="{00000000-0005-0000-0000-0000C6C10000}"/>
    <cellStyle name="Normal 9 13 3 5" xfId="26622" xr:uid="{00000000-0005-0000-0000-0000C7C10000}"/>
    <cellStyle name="Normal 9 13 3 6" xfId="38418" xr:uid="{00000000-0005-0000-0000-0000C8C10000}"/>
    <cellStyle name="Normal 9 13 3 7" xfId="43895" xr:uid="{00000000-0005-0000-0000-0000C9C10000}"/>
    <cellStyle name="Normal 9 13 3 8" xfId="49372" xr:uid="{00000000-0005-0000-0000-0000CAC10000}"/>
    <cellStyle name="Normal 9 13 3 9" xfId="54890" xr:uid="{00000000-0005-0000-0000-0000CBC10000}"/>
    <cellStyle name="Normal 9 13 4" xfId="7171" xr:uid="{00000000-0005-0000-0000-0000CCC10000}"/>
    <cellStyle name="Normal 9 13 5" xfId="12650" xr:uid="{00000000-0005-0000-0000-0000CDC10000}"/>
    <cellStyle name="Normal 9 13 6" xfId="18126" xr:uid="{00000000-0005-0000-0000-0000CEC10000}"/>
    <cellStyle name="Normal 9 13 7" xfId="23602" xr:uid="{00000000-0005-0000-0000-0000CFC10000}"/>
    <cellStyle name="Normal 9 13 8" xfId="35397" xr:uid="{00000000-0005-0000-0000-0000D0C10000}"/>
    <cellStyle name="Normal 9 13 9" xfId="40874" xr:uid="{00000000-0005-0000-0000-0000D1C10000}"/>
    <cellStyle name="Normal 9 14" xfId="1353" xr:uid="{00000000-0005-0000-0000-0000D2C10000}"/>
    <cellStyle name="Normal 9 14 10" xfId="46352" xr:uid="{00000000-0005-0000-0000-0000D3C10000}"/>
    <cellStyle name="Normal 9 14 11" xfId="51831" xr:uid="{00000000-0005-0000-0000-0000D4C10000}"/>
    <cellStyle name="Normal 9 14 2" xfId="3114" xr:uid="{00000000-0005-0000-0000-0000D5C10000}"/>
    <cellStyle name="Normal 9 14 2 2" xfId="8594" xr:uid="{00000000-0005-0000-0000-0000D6C10000}"/>
    <cellStyle name="Normal 9 14 2 3" xfId="14070" xr:uid="{00000000-0005-0000-0000-0000D7C10000}"/>
    <cellStyle name="Normal 9 14 2 4" xfId="19546" xr:uid="{00000000-0005-0000-0000-0000D8C10000}"/>
    <cellStyle name="Normal 9 14 2 5" xfId="25022" xr:uid="{00000000-0005-0000-0000-0000D9C10000}"/>
    <cellStyle name="Normal 9 14 2 6" xfId="36818" xr:uid="{00000000-0005-0000-0000-0000DAC10000}"/>
    <cellStyle name="Normal 9 14 2 7" xfId="42295" xr:uid="{00000000-0005-0000-0000-0000DBC10000}"/>
    <cellStyle name="Normal 9 14 2 8" xfId="47772" xr:uid="{00000000-0005-0000-0000-0000DCC10000}"/>
    <cellStyle name="Normal 9 14 2 9" xfId="53290" xr:uid="{00000000-0005-0000-0000-0000DDC10000}"/>
    <cellStyle name="Normal 9 14 3" xfId="4886" xr:uid="{00000000-0005-0000-0000-0000DEC10000}"/>
    <cellStyle name="Normal 9 14 3 2" xfId="10366" xr:uid="{00000000-0005-0000-0000-0000DFC10000}"/>
    <cellStyle name="Normal 9 14 3 3" xfId="15842" xr:uid="{00000000-0005-0000-0000-0000E0C10000}"/>
    <cellStyle name="Normal 9 14 3 4" xfId="21318" xr:uid="{00000000-0005-0000-0000-0000E1C10000}"/>
    <cellStyle name="Normal 9 14 3 5" xfId="26794" xr:uid="{00000000-0005-0000-0000-0000E2C10000}"/>
    <cellStyle name="Normal 9 14 3 6" xfId="38590" xr:uid="{00000000-0005-0000-0000-0000E3C10000}"/>
    <cellStyle name="Normal 9 14 3 7" xfId="44067" xr:uid="{00000000-0005-0000-0000-0000E4C10000}"/>
    <cellStyle name="Normal 9 14 3 8" xfId="49544" xr:uid="{00000000-0005-0000-0000-0000E5C10000}"/>
    <cellStyle name="Normal 9 14 3 9" xfId="55062" xr:uid="{00000000-0005-0000-0000-0000E6C10000}"/>
    <cellStyle name="Normal 9 14 4" xfId="7172" xr:uid="{00000000-0005-0000-0000-0000E7C10000}"/>
    <cellStyle name="Normal 9 14 5" xfId="12651" xr:uid="{00000000-0005-0000-0000-0000E8C10000}"/>
    <cellStyle name="Normal 9 14 6" xfId="18127" xr:uid="{00000000-0005-0000-0000-0000E9C10000}"/>
    <cellStyle name="Normal 9 14 7" xfId="23603" xr:uid="{00000000-0005-0000-0000-0000EAC10000}"/>
    <cellStyle name="Normal 9 14 8" xfId="35398" xr:uid="{00000000-0005-0000-0000-0000EBC10000}"/>
    <cellStyle name="Normal 9 14 9" xfId="40875" xr:uid="{00000000-0005-0000-0000-0000ECC10000}"/>
    <cellStyle name="Normal 9 15" xfId="1525" xr:uid="{00000000-0005-0000-0000-0000EDC10000}"/>
    <cellStyle name="Normal 9 15 10" xfId="46353" xr:uid="{00000000-0005-0000-0000-0000EEC10000}"/>
    <cellStyle name="Normal 9 15 11" xfId="51832" xr:uid="{00000000-0005-0000-0000-0000EFC10000}"/>
    <cellStyle name="Normal 9 15 2" xfId="3286" xr:uid="{00000000-0005-0000-0000-0000F0C10000}"/>
    <cellStyle name="Normal 9 15 2 2" xfId="8766" xr:uid="{00000000-0005-0000-0000-0000F1C10000}"/>
    <cellStyle name="Normal 9 15 2 3" xfId="14242" xr:uid="{00000000-0005-0000-0000-0000F2C10000}"/>
    <cellStyle name="Normal 9 15 2 4" xfId="19718" xr:uid="{00000000-0005-0000-0000-0000F3C10000}"/>
    <cellStyle name="Normal 9 15 2 5" xfId="25194" xr:uid="{00000000-0005-0000-0000-0000F4C10000}"/>
    <cellStyle name="Normal 9 15 2 6" xfId="36990" xr:uid="{00000000-0005-0000-0000-0000F5C10000}"/>
    <cellStyle name="Normal 9 15 2 7" xfId="42467" xr:uid="{00000000-0005-0000-0000-0000F6C10000}"/>
    <cellStyle name="Normal 9 15 2 8" xfId="47944" xr:uid="{00000000-0005-0000-0000-0000F7C10000}"/>
    <cellStyle name="Normal 9 15 2 9" xfId="53462" xr:uid="{00000000-0005-0000-0000-0000F8C10000}"/>
    <cellStyle name="Normal 9 15 3" xfId="5058" xr:uid="{00000000-0005-0000-0000-0000F9C10000}"/>
    <cellStyle name="Normal 9 15 3 2" xfId="10538" xr:uid="{00000000-0005-0000-0000-0000FAC10000}"/>
    <cellStyle name="Normal 9 15 3 3" xfId="16014" xr:uid="{00000000-0005-0000-0000-0000FBC10000}"/>
    <cellStyle name="Normal 9 15 3 4" xfId="21490" xr:uid="{00000000-0005-0000-0000-0000FCC10000}"/>
    <cellStyle name="Normal 9 15 3 5" xfId="26966" xr:uid="{00000000-0005-0000-0000-0000FDC10000}"/>
    <cellStyle name="Normal 9 15 3 6" xfId="38762" xr:uid="{00000000-0005-0000-0000-0000FEC10000}"/>
    <cellStyle name="Normal 9 15 3 7" xfId="44239" xr:uid="{00000000-0005-0000-0000-0000FFC10000}"/>
    <cellStyle name="Normal 9 15 3 8" xfId="49716" xr:uid="{00000000-0005-0000-0000-000000C20000}"/>
    <cellStyle name="Normal 9 15 3 9" xfId="55234" xr:uid="{00000000-0005-0000-0000-000001C20000}"/>
    <cellStyle name="Normal 9 15 4" xfId="7173" xr:uid="{00000000-0005-0000-0000-000002C20000}"/>
    <cellStyle name="Normal 9 15 5" xfId="12652" xr:uid="{00000000-0005-0000-0000-000003C20000}"/>
    <cellStyle name="Normal 9 15 6" xfId="18128" xr:uid="{00000000-0005-0000-0000-000004C20000}"/>
    <cellStyle name="Normal 9 15 7" xfId="23604" xr:uid="{00000000-0005-0000-0000-000005C20000}"/>
    <cellStyle name="Normal 9 15 8" xfId="35399" xr:uid="{00000000-0005-0000-0000-000006C20000}"/>
    <cellStyle name="Normal 9 15 9" xfId="40876" xr:uid="{00000000-0005-0000-0000-000007C20000}"/>
    <cellStyle name="Normal 9 16" xfId="1697" xr:uid="{00000000-0005-0000-0000-000008C20000}"/>
    <cellStyle name="Normal 9 16 10" xfId="46354" xr:uid="{00000000-0005-0000-0000-000009C20000}"/>
    <cellStyle name="Normal 9 16 11" xfId="51833" xr:uid="{00000000-0005-0000-0000-00000AC20000}"/>
    <cellStyle name="Normal 9 16 2" xfId="3458" xr:uid="{00000000-0005-0000-0000-00000BC20000}"/>
    <cellStyle name="Normal 9 16 2 2" xfId="8938" xr:uid="{00000000-0005-0000-0000-00000CC20000}"/>
    <cellStyle name="Normal 9 16 2 3" xfId="14414" xr:uid="{00000000-0005-0000-0000-00000DC20000}"/>
    <cellStyle name="Normal 9 16 2 4" xfId="19890" xr:uid="{00000000-0005-0000-0000-00000EC20000}"/>
    <cellStyle name="Normal 9 16 2 5" xfId="25366" xr:uid="{00000000-0005-0000-0000-00000FC20000}"/>
    <cellStyle name="Normal 9 16 2 6" xfId="37162" xr:uid="{00000000-0005-0000-0000-000010C20000}"/>
    <cellStyle name="Normal 9 16 2 7" xfId="42639" xr:uid="{00000000-0005-0000-0000-000011C20000}"/>
    <cellStyle name="Normal 9 16 2 8" xfId="48116" xr:uid="{00000000-0005-0000-0000-000012C20000}"/>
    <cellStyle name="Normal 9 16 2 9" xfId="53634" xr:uid="{00000000-0005-0000-0000-000013C20000}"/>
    <cellStyle name="Normal 9 16 3" xfId="5230" xr:uid="{00000000-0005-0000-0000-000014C20000}"/>
    <cellStyle name="Normal 9 16 3 2" xfId="10710" xr:uid="{00000000-0005-0000-0000-000015C20000}"/>
    <cellStyle name="Normal 9 16 3 3" xfId="16186" xr:uid="{00000000-0005-0000-0000-000016C20000}"/>
    <cellStyle name="Normal 9 16 3 4" xfId="21662" xr:uid="{00000000-0005-0000-0000-000017C20000}"/>
    <cellStyle name="Normal 9 16 3 5" xfId="27138" xr:uid="{00000000-0005-0000-0000-000018C20000}"/>
    <cellStyle name="Normal 9 16 3 6" xfId="38934" xr:uid="{00000000-0005-0000-0000-000019C20000}"/>
    <cellStyle name="Normal 9 16 3 7" xfId="44411" xr:uid="{00000000-0005-0000-0000-00001AC20000}"/>
    <cellStyle name="Normal 9 16 3 8" xfId="49888" xr:uid="{00000000-0005-0000-0000-00001BC20000}"/>
    <cellStyle name="Normal 9 16 3 9" xfId="55406" xr:uid="{00000000-0005-0000-0000-00001CC20000}"/>
    <cellStyle name="Normal 9 16 4" xfId="7174" xr:uid="{00000000-0005-0000-0000-00001DC20000}"/>
    <cellStyle name="Normal 9 16 5" xfId="12653" xr:uid="{00000000-0005-0000-0000-00001EC20000}"/>
    <cellStyle name="Normal 9 16 6" xfId="18129" xr:uid="{00000000-0005-0000-0000-00001FC20000}"/>
    <cellStyle name="Normal 9 16 7" xfId="23605" xr:uid="{00000000-0005-0000-0000-000020C20000}"/>
    <cellStyle name="Normal 9 16 8" xfId="35400" xr:uid="{00000000-0005-0000-0000-000021C20000}"/>
    <cellStyle name="Normal 9 16 9" xfId="40877" xr:uid="{00000000-0005-0000-0000-000022C20000}"/>
    <cellStyle name="Normal 9 17" xfId="1732" xr:uid="{00000000-0005-0000-0000-000023C20000}"/>
    <cellStyle name="Normal 9 17 10" xfId="46355" xr:uid="{00000000-0005-0000-0000-000024C20000}"/>
    <cellStyle name="Normal 9 17 11" xfId="51834" xr:uid="{00000000-0005-0000-0000-000025C20000}"/>
    <cellStyle name="Normal 9 17 2" xfId="3493" xr:uid="{00000000-0005-0000-0000-000026C20000}"/>
    <cellStyle name="Normal 9 17 2 2" xfId="8973" xr:uid="{00000000-0005-0000-0000-000027C20000}"/>
    <cellStyle name="Normal 9 17 2 3" xfId="14449" xr:uid="{00000000-0005-0000-0000-000028C20000}"/>
    <cellStyle name="Normal 9 17 2 4" xfId="19925" xr:uid="{00000000-0005-0000-0000-000029C20000}"/>
    <cellStyle name="Normal 9 17 2 5" xfId="25401" xr:uid="{00000000-0005-0000-0000-00002AC20000}"/>
    <cellStyle name="Normal 9 17 2 6" xfId="37197" xr:uid="{00000000-0005-0000-0000-00002BC20000}"/>
    <cellStyle name="Normal 9 17 2 7" xfId="42674" xr:uid="{00000000-0005-0000-0000-00002CC20000}"/>
    <cellStyle name="Normal 9 17 2 8" xfId="48151" xr:uid="{00000000-0005-0000-0000-00002DC20000}"/>
    <cellStyle name="Normal 9 17 2 9" xfId="53669" xr:uid="{00000000-0005-0000-0000-00002EC20000}"/>
    <cellStyle name="Normal 9 17 3" xfId="5265" xr:uid="{00000000-0005-0000-0000-00002FC20000}"/>
    <cellStyle name="Normal 9 17 3 2" xfId="10745" xr:uid="{00000000-0005-0000-0000-000030C20000}"/>
    <cellStyle name="Normal 9 17 3 3" xfId="16221" xr:uid="{00000000-0005-0000-0000-000031C20000}"/>
    <cellStyle name="Normal 9 17 3 4" xfId="21697" xr:uid="{00000000-0005-0000-0000-000032C20000}"/>
    <cellStyle name="Normal 9 17 3 5" xfId="27173" xr:uid="{00000000-0005-0000-0000-000033C20000}"/>
    <cellStyle name="Normal 9 17 3 6" xfId="38969" xr:uid="{00000000-0005-0000-0000-000034C20000}"/>
    <cellStyle name="Normal 9 17 3 7" xfId="44446" xr:uid="{00000000-0005-0000-0000-000035C20000}"/>
    <cellStyle name="Normal 9 17 3 8" xfId="49923" xr:uid="{00000000-0005-0000-0000-000036C20000}"/>
    <cellStyle name="Normal 9 17 3 9" xfId="55441" xr:uid="{00000000-0005-0000-0000-000037C20000}"/>
    <cellStyle name="Normal 9 17 4" xfId="7175" xr:uid="{00000000-0005-0000-0000-000038C20000}"/>
    <cellStyle name="Normal 9 17 5" xfId="12654" xr:uid="{00000000-0005-0000-0000-000039C20000}"/>
    <cellStyle name="Normal 9 17 6" xfId="18130" xr:uid="{00000000-0005-0000-0000-00003AC20000}"/>
    <cellStyle name="Normal 9 17 7" xfId="23606" xr:uid="{00000000-0005-0000-0000-00003BC20000}"/>
    <cellStyle name="Normal 9 17 8" xfId="35401" xr:uid="{00000000-0005-0000-0000-00003CC20000}"/>
    <cellStyle name="Normal 9 17 9" xfId="40878" xr:uid="{00000000-0005-0000-0000-00003DC20000}"/>
    <cellStyle name="Normal 9 18" xfId="1802" xr:uid="{00000000-0005-0000-0000-00003EC20000}"/>
    <cellStyle name="Normal 9 18 10" xfId="46356" xr:uid="{00000000-0005-0000-0000-00003FC20000}"/>
    <cellStyle name="Normal 9 18 11" xfId="51835" xr:uid="{00000000-0005-0000-0000-000040C20000}"/>
    <cellStyle name="Normal 9 18 2" xfId="3563" xr:uid="{00000000-0005-0000-0000-000041C20000}"/>
    <cellStyle name="Normal 9 18 2 2" xfId="9043" xr:uid="{00000000-0005-0000-0000-000042C20000}"/>
    <cellStyle name="Normal 9 18 2 3" xfId="14519" xr:uid="{00000000-0005-0000-0000-000043C20000}"/>
    <cellStyle name="Normal 9 18 2 4" xfId="19995" xr:uid="{00000000-0005-0000-0000-000044C20000}"/>
    <cellStyle name="Normal 9 18 2 5" xfId="25471" xr:uid="{00000000-0005-0000-0000-000045C20000}"/>
    <cellStyle name="Normal 9 18 2 6" xfId="37267" xr:uid="{00000000-0005-0000-0000-000046C20000}"/>
    <cellStyle name="Normal 9 18 2 7" xfId="42744" xr:uid="{00000000-0005-0000-0000-000047C20000}"/>
    <cellStyle name="Normal 9 18 2 8" xfId="48221" xr:uid="{00000000-0005-0000-0000-000048C20000}"/>
    <cellStyle name="Normal 9 18 2 9" xfId="53739" xr:uid="{00000000-0005-0000-0000-000049C20000}"/>
    <cellStyle name="Normal 9 18 3" xfId="5335" xr:uid="{00000000-0005-0000-0000-00004AC20000}"/>
    <cellStyle name="Normal 9 18 3 2" xfId="10815" xr:uid="{00000000-0005-0000-0000-00004BC20000}"/>
    <cellStyle name="Normal 9 18 3 3" xfId="16291" xr:uid="{00000000-0005-0000-0000-00004CC20000}"/>
    <cellStyle name="Normal 9 18 3 4" xfId="21767" xr:uid="{00000000-0005-0000-0000-00004DC20000}"/>
    <cellStyle name="Normal 9 18 3 5" xfId="27243" xr:uid="{00000000-0005-0000-0000-00004EC20000}"/>
    <cellStyle name="Normal 9 18 3 6" xfId="39039" xr:uid="{00000000-0005-0000-0000-00004FC20000}"/>
    <cellStyle name="Normal 9 18 3 7" xfId="44516" xr:uid="{00000000-0005-0000-0000-000050C20000}"/>
    <cellStyle name="Normal 9 18 3 8" xfId="49993" xr:uid="{00000000-0005-0000-0000-000051C20000}"/>
    <cellStyle name="Normal 9 18 3 9" xfId="55511" xr:uid="{00000000-0005-0000-0000-000052C20000}"/>
    <cellStyle name="Normal 9 18 4" xfId="7176" xr:uid="{00000000-0005-0000-0000-000053C20000}"/>
    <cellStyle name="Normal 9 18 5" xfId="12655" xr:uid="{00000000-0005-0000-0000-000054C20000}"/>
    <cellStyle name="Normal 9 18 6" xfId="18131" xr:uid="{00000000-0005-0000-0000-000055C20000}"/>
    <cellStyle name="Normal 9 18 7" xfId="23607" xr:uid="{00000000-0005-0000-0000-000056C20000}"/>
    <cellStyle name="Normal 9 18 8" xfId="35402" xr:uid="{00000000-0005-0000-0000-000057C20000}"/>
    <cellStyle name="Normal 9 18 9" xfId="40879" xr:uid="{00000000-0005-0000-0000-000058C20000}"/>
    <cellStyle name="Normal 9 19" xfId="2059" xr:uid="{00000000-0005-0000-0000-000059C20000}"/>
    <cellStyle name="Normal 9 19 10" xfId="52236" xr:uid="{00000000-0005-0000-0000-00005AC20000}"/>
    <cellStyle name="Normal 9 19 2" xfId="5591" xr:uid="{00000000-0005-0000-0000-00005BC20000}"/>
    <cellStyle name="Normal 9 19 2 2" xfId="11071" xr:uid="{00000000-0005-0000-0000-00005CC20000}"/>
    <cellStyle name="Normal 9 19 2 3" xfId="16547" xr:uid="{00000000-0005-0000-0000-00005DC20000}"/>
    <cellStyle name="Normal 9 19 2 4" xfId="22023" xr:uid="{00000000-0005-0000-0000-00005EC20000}"/>
    <cellStyle name="Normal 9 19 2 5" xfId="27499" xr:uid="{00000000-0005-0000-0000-00005FC20000}"/>
    <cellStyle name="Normal 9 19 2 6" xfId="39295" xr:uid="{00000000-0005-0000-0000-000060C20000}"/>
    <cellStyle name="Normal 9 19 2 7" xfId="44772" xr:uid="{00000000-0005-0000-0000-000061C20000}"/>
    <cellStyle name="Normal 9 19 2 8" xfId="50249" xr:uid="{00000000-0005-0000-0000-000062C20000}"/>
    <cellStyle name="Normal 9 19 2 9" xfId="55767" xr:uid="{00000000-0005-0000-0000-000063C20000}"/>
    <cellStyle name="Normal 9 19 3" xfId="7540" xr:uid="{00000000-0005-0000-0000-000064C20000}"/>
    <cellStyle name="Normal 9 19 4" xfId="13016" xr:uid="{00000000-0005-0000-0000-000065C20000}"/>
    <cellStyle name="Normal 9 19 5" xfId="18492" xr:uid="{00000000-0005-0000-0000-000066C20000}"/>
    <cellStyle name="Normal 9 19 6" xfId="23968" xr:uid="{00000000-0005-0000-0000-000067C20000}"/>
    <cellStyle name="Normal 9 19 7" xfId="35764" xr:uid="{00000000-0005-0000-0000-000068C20000}"/>
    <cellStyle name="Normal 9 19 8" xfId="41241" xr:uid="{00000000-0005-0000-0000-000069C20000}"/>
    <cellStyle name="Normal 9 19 9" xfId="46718" xr:uid="{00000000-0005-0000-0000-00006AC20000}"/>
    <cellStyle name="Normal 9 2" xfId="124" xr:uid="{00000000-0005-0000-0000-00006BC20000}"/>
    <cellStyle name="Normal 9 2 10" xfId="1698" xr:uid="{00000000-0005-0000-0000-00006CC20000}"/>
    <cellStyle name="Normal 9 2 10 10" xfId="46358" xr:uid="{00000000-0005-0000-0000-00006DC20000}"/>
    <cellStyle name="Normal 9 2 10 11" xfId="51837" xr:uid="{00000000-0005-0000-0000-00006EC20000}"/>
    <cellStyle name="Normal 9 2 10 2" xfId="3459" xr:uid="{00000000-0005-0000-0000-00006FC20000}"/>
    <cellStyle name="Normal 9 2 10 2 2" xfId="8939" xr:uid="{00000000-0005-0000-0000-000070C20000}"/>
    <cellStyle name="Normal 9 2 10 2 3" xfId="14415" xr:uid="{00000000-0005-0000-0000-000071C20000}"/>
    <cellStyle name="Normal 9 2 10 2 4" xfId="19891" xr:uid="{00000000-0005-0000-0000-000072C20000}"/>
    <cellStyle name="Normal 9 2 10 2 5" xfId="25367" xr:uid="{00000000-0005-0000-0000-000073C20000}"/>
    <cellStyle name="Normal 9 2 10 2 6" xfId="37163" xr:uid="{00000000-0005-0000-0000-000074C20000}"/>
    <cellStyle name="Normal 9 2 10 2 7" xfId="42640" xr:uid="{00000000-0005-0000-0000-000075C20000}"/>
    <cellStyle name="Normal 9 2 10 2 8" xfId="48117" xr:uid="{00000000-0005-0000-0000-000076C20000}"/>
    <cellStyle name="Normal 9 2 10 2 9" xfId="53635" xr:uid="{00000000-0005-0000-0000-000077C20000}"/>
    <cellStyle name="Normal 9 2 10 3" xfId="5231" xr:uid="{00000000-0005-0000-0000-000078C20000}"/>
    <cellStyle name="Normal 9 2 10 3 2" xfId="10711" xr:uid="{00000000-0005-0000-0000-000079C20000}"/>
    <cellStyle name="Normal 9 2 10 3 3" xfId="16187" xr:uid="{00000000-0005-0000-0000-00007AC20000}"/>
    <cellStyle name="Normal 9 2 10 3 4" xfId="21663" xr:uid="{00000000-0005-0000-0000-00007BC20000}"/>
    <cellStyle name="Normal 9 2 10 3 5" xfId="27139" xr:uid="{00000000-0005-0000-0000-00007CC20000}"/>
    <cellStyle name="Normal 9 2 10 3 6" xfId="38935" xr:uid="{00000000-0005-0000-0000-00007DC20000}"/>
    <cellStyle name="Normal 9 2 10 3 7" xfId="44412" xr:uid="{00000000-0005-0000-0000-00007EC20000}"/>
    <cellStyle name="Normal 9 2 10 3 8" xfId="49889" xr:uid="{00000000-0005-0000-0000-00007FC20000}"/>
    <cellStyle name="Normal 9 2 10 3 9" xfId="55407" xr:uid="{00000000-0005-0000-0000-000080C20000}"/>
    <cellStyle name="Normal 9 2 10 4" xfId="7178" xr:uid="{00000000-0005-0000-0000-000081C20000}"/>
    <cellStyle name="Normal 9 2 10 5" xfId="12657" xr:uid="{00000000-0005-0000-0000-000082C20000}"/>
    <cellStyle name="Normal 9 2 10 6" xfId="18133" xr:uid="{00000000-0005-0000-0000-000083C20000}"/>
    <cellStyle name="Normal 9 2 10 7" xfId="23609" xr:uid="{00000000-0005-0000-0000-000084C20000}"/>
    <cellStyle name="Normal 9 2 10 8" xfId="35404" xr:uid="{00000000-0005-0000-0000-000085C20000}"/>
    <cellStyle name="Normal 9 2 10 9" xfId="40881" xr:uid="{00000000-0005-0000-0000-000086C20000}"/>
    <cellStyle name="Normal 9 2 11" xfId="1888" xr:uid="{00000000-0005-0000-0000-000087C20000}"/>
    <cellStyle name="Normal 9 2 11 10" xfId="46359" xr:uid="{00000000-0005-0000-0000-000088C20000}"/>
    <cellStyle name="Normal 9 2 11 11" xfId="51838" xr:uid="{00000000-0005-0000-0000-000089C20000}"/>
    <cellStyle name="Normal 9 2 11 2" xfId="3649" xr:uid="{00000000-0005-0000-0000-00008AC20000}"/>
    <cellStyle name="Normal 9 2 11 2 2" xfId="9129" xr:uid="{00000000-0005-0000-0000-00008BC20000}"/>
    <cellStyle name="Normal 9 2 11 2 3" xfId="14605" xr:uid="{00000000-0005-0000-0000-00008CC20000}"/>
    <cellStyle name="Normal 9 2 11 2 4" xfId="20081" xr:uid="{00000000-0005-0000-0000-00008DC20000}"/>
    <cellStyle name="Normal 9 2 11 2 5" xfId="25557" xr:uid="{00000000-0005-0000-0000-00008EC20000}"/>
    <cellStyle name="Normal 9 2 11 2 6" xfId="37353" xr:uid="{00000000-0005-0000-0000-00008FC20000}"/>
    <cellStyle name="Normal 9 2 11 2 7" xfId="42830" xr:uid="{00000000-0005-0000-0000-000090C20000}"/>
    <cellStyle name="Normal 9 2 11 2 8" xfId="48307" xr:uid="{00000000-0005-0000-0000-000091C20000}"/>
    <cellStyle name="Normal 9 2 11 2 9" xfId="53825" xr:uid="{00000000-0005-0000-0000-000092C20000}"/>
    <cellStyle name="Normal 9 2 11 3" xfId="5421" xr:uid="{00000000-0005-0000-0000-000093C20000}"/>
    <cellStyle name="Normal 9 2 11 3 2" xfId="10901" xr:uid="{00000000-0005-0000-0000-000094C20000}"/>
    <cellStyle name="Normal 9 2 11 3 3" xfId="16377" xr:uid="{00000000-0005-0000-0000-000095C20000}"/>
    <cellStyle name="Normal 9 2 11 3 4" xfId="21853" xr:uid="{00000000-0005-0000-0000-000096C20000}"/>
    <cellStyle name="Normal 9 2 11 3 5" xfId="27329" xr:uid="{00000000-0005-0000-0000-000097C20000}"/>
    <cellStyle name="Normal 9 2 11 3 6" xfId="39125" xr:uid="{00000000-0005-0000-0000-000098C20000}"/>
    <cellStyle name="Normal 9 2 11 3 7" xfId="44602" xr:uid="{00000000-0005-0000-0000-000099C20000}"/>
    <cellStyle name="Normal 9 2 11 3 8" xfId="50079" xr:uid="{00000000-0005-0000-0000-00009AC20000}"/>
    <cellStyle name="Normal 9 2 11 3 9" xfId="55597" xr:uid="{00000000-0005-0000-0000-00009BC20000}"/>
    <cellStyle name="Normal 9 2 11 4" xfId="7179" xr:uid="{00000000-0005-0000-0000-00009CC20000}"/>
    <cellStyle name="Normal 9 2 11 5" xfId="12658" xr:uid="{00000000-0005-0000-0000-00009DC20000}"/>
    <cellStyle name="Normal 9 2 11 6" xfId="18134" xr:uid="{00000000-0005-0000-0000-00009EC20000}"/>
    <cellStyle name="Normal 9 2 11 7" xfId="23610" xr:uid="{00000000-0005-0000-0000-00009FC20000}"/>
    <cellStyle name="Normal 9 2 11 8" xfId="35405" xr:uid="{00000000-0005-0000-0000-0000A0C20000}"/>
    <cellStyle name="Normal 9 2 11 9" xfId="40882" xr:uid="{00000000-0005-0000-0000-0000A1C20000}"/>
    <cellStyle name="Normal 9 2 12" xfId="2060" xr:uid="{00000000-0005-0000-0000-0000A2C20000}"/>
    <cellStyle name="Normal 9 2 12 10" xfId="52237" xr:uid="{00000000-0005-0000-0000-0000A3C20000}"/>
    <cellStyle name="Normal 9 2 12 2" xfId="5592" xr:uid="{00000000-0005-0000-0000-0000A4C20000}"/>
    <cellStyle name="Normal 9 2 12 2 2" xfId="11072" xr:uid="{00000000-0005-0000-0000-0000A5C20000}"/>
    <cellStyle name="Normal 9 2 12 2 3" xfId="16548" xr:uid="{00000000-0005-0000-0000-0000A6C20000}"/>
    <cellStyle name="Normal 9 2 12 2 4" xfId="22024" xr:uid="{00000000-0005-0000-0000-0000A7C20000}"/>
    <cellStyle name="Normal 9 2 12 2 5" xfId="27500" xr:uid="{00000000-0005-0000-0000-0000A8C20000}"/>
    <cellStyle name="Normal 9 2 12 2 6" xfId="39296" xr:uid="{00000000-0005-0000-0000-0000A9C20000}"/>
    <cellStyle name="Normal 9 2 12 2 7" xfId="44773" xr:uid="{00000000-0005-0000-0000-0000AAC20000}"/>
    <cellStyle name="Normal 9 2 12 2 8" xfId="50250" xr:uid="{00000000-0005-0000-0000-0000ABC20000}"/>
    <cellStyle name="Normal 9 2 12 2 9" xfId="55768" xr:uid="{00000000-0005-0000-0000-0000ACC20000}"/>
    <cellStyle name="Normal 9 2 12 3" xfId="7541" xr:uid="{00000000-0005-0000-0000-0000ADC20000}"/>
    <cellStyle name="Normal 9 2 12 4" xfId="13017" xr:uid="{00000000-0005-0000-0000-0000AEC20000}"/>
    <cellStyle name="Normal 9 2 12 5" xfId="18493" xr:uid="{00000000-0005-0000-0000-0000AFC20000}"/>
    <cellStyle name="Normal 9 2 12 6" xfId="23969" xr:uid="{00000000-0005-0000-0000-0000B0C20000}"/>
    <cellStyle name="Normal 9 2 12 7" xfId="35765" xr:uid="{00000000-0005-0000-0000-0000B1C20000}"/>
    <cellStyle name="Normal 9 2 12 8" xfId="41242" xr:uid="{00000000-0005-0000-0000-0000B2C20000}"/>
    <cellStyle name="Normal 9 2 12 9" xfId="46719" xr:uid="{00000000-0005-0000-0000-0000B3C20000}"/>
    <cellStyle name="Normal 9 2 13" xfId="3700" xr:uid="{00000000-0005-0000-0000-0000B4C20000}"/>
    <cellStyle name="Normal 9 2 13 2" xfId="9180" xr:uid="{00000000-0005-0000-0000-0000B5C20000}"/>
    <cellStyle name="Normal 9 2 13 3" xfId="14656" xr:uid="{00000000-0005-0000-0000-0000B6C20000}"/>
    <cellStyle name="Normal 9 2 13 4" xfId="20132" xr:uid="{00000000-0005-0000-0000-0000B7C20000}"/>
    <cellStyle name="Normal 9 2 13 5" xfId="25608" xr:uid="{00000000-0005-0000-0000-0000B8C20000}"/>
    <cellStyle name="Normal 9 2 13 6" xfId="37404" xr:uid="{00000000-0005-0000-0000-0000B9C20000}"/>
    <cellStyle name="Normal 9 2 13 7" xfId="42881" xr:uid="{00000000-0005-0000-0000-0000BAC20000}"/>
    <cellStyle name="Normal 9 2 13 8" xfId="48358" xr:uid="{00000000-0005-0000-0000-0000BBC20000}"/>
    <cellStyle name="Normal 9 2 13 9" xfId="53876" xr:uid="{00000000-0005-0000-0000-0000BCC20000}"/>
    <cellStyle name="Normal 9 2 14" xfId="7177" xr:uid="{00000000-0005-0000-0000-0000BDC20000}"/>
    <cellStyle name="Normal 9 2 15" xfId="12656" xr:uid="{00000000-0005-0000-0000-0000BEC20000}"/>
    <cellStyle name="Normal 9 2 16" xfId="18132" xr:uid="{00000000-0005-0000-0000-0000BFC20000}"/>
    <cellStyle name="Normal 9 2 17" xfId="23608" xr:uid="{00000000-0005-0000-0000-0000C0C20000}"/>
    <cellStyle name="Normal 9 2 18" xfId="33338" xr:uid="{00000000-0005-0000-0000-0000C1C20000}"/>
    <cellStyle name="Normal 9 2 19" xfId="35403" xr:uid="{00000000-0005-0000-0000-0000C2C20000}"/>
    <cellStyle name="Normal 9 2 2" xfId="220" xr:uid="{00000000-0005-0000-0000-0000C3C20000}"/>
    <cellStyle name="Normal 9 2 2 10" xfId="1889" xr:uid="{00000000-0005-0000-0000-0000C4C20000}"/>
    <cellStyle name="Normal 9 2 2 10 10" xfId="46361" xr:uid="{00000000-0005-0000-0000-0000C5C20000}"/>
    <cellStyle name="Normal 9 2 2 10 11" xfId="51840" xr:uid="{00000000-0005-0000-0000-0000C6C20000}"/>
    <cellStyle name="Normal 9 2 2 10 2" xfId="3650" xr:uid="{00000000-0005-0000-0000-0000C7C20000}"/>
    <cellStyle name="Normal 9 2 2 10 2 2" xfId="9130" xr:uid="{00000000-0005-0000-0000-0000C8C20000}"/>
    <cellStyle name="Normal 9 2 2 10 2 3" xfId="14606" xr:uid="{00000000-0005-0000-0000-0000C9C20000}"/>
    <cellStyle name="Normal 9 2 2 10 2 4" xfId="20082" xr:uid="{00000000-0005-0000-0000-0000CAC20000}"/>
    <cellStyle name="Normal 9 2 2 10 2 5" xfId="25558" xr:uid="{00000000-0005-0000-0000-0000CBC20000}"/>
    <cellStyle name="Normal 9 2 2 10 2 6" xfId="37354" xr:uid="{00000000-0005-0000-0000-0000CCC20000}"/>
    <cellStyle name="Normal 9 2 2 10 2 7" xfId="42831" xr:uid="{00000000-0005-0000-0000-0000CDC20000}"/>
    <cellStyle name="Normal 9 2 2 10 2 8" xfId="48308" xr:uid="{00000000-0005-0000-0000-0000CEC20000}"/>
    <cellStyle name="Normal 9 2 2 10 2 9" xfId="53826" xr:uid="{00000000-0005-0000-0000-0000CFC20000}"/>
    <cellStyle name="Normal 9 2 2 10 3" xfId="5422" xr:uid="{00000000-0005-0000-0000-0000D0C20000}"/>
    <cellStyle name="Normal 9 2 2 10 3 2" xfId="10902" xr:uid="{00000000-0005-0000-0000-0000D1C20000}"/>
    <cellStyle name="Normal 9 2 2 10 3 3" xfId="16378" xr:uid="{00000000-0005-0000-0000-0000D2C20000}"/>
    <cellStyle name="Normal 9 2 2 10 3 4" xfId="21854" xr:uid="{00000000-0005-0000-0000-0000D3C20000}"/>
    <cellStyle name="Normal 9 2 2 10 3 5" xfId="27330" xr:uid="{00000000-0005-0000-0000-0000D4C20000}"/>
    <cellStyle name="Normal 9 2 2 10 3 6" xfId="39126" xr:uid="{00000000-0005-0000-0000-0000D5C20000}"/>
    <cellStyle name="Normal 9 2 2 10 3 7" xfId="44603" xr:uid="{00000000-0005-0000-0000-0000D6C20000}"/>
    <cellStyle name="Normal 9 2 2 10 3 8" xfId="50080" xr:uid="{00000000-0005-0000-0000-0000D7C20000}"/>
    <cellStyle name="Normal 9 2 2 10 3 9" xfId="55598" xr:uid="{00000000-0005-0000-0000-0000D8C20000}"/>
    <cellStyle name="Normal 9 2 2 10 4" xfId="7181" xr:uid="{00000000-0005-0000-0000-0000D9C20000}"/>
    <cellStyle name="Normal 9 2 2 10 5" xfId="12660" xr:uid="{00000000-0005-0000-0000-0000DAC20000}"/>
    <cellStyle name="Normal 9 2 2 10 6" xfId="18136" xr:uid="{00000000-0005-0000-0000-0000DBC20000}"/>
    <cellStyle name="Normal 9 2 2 10 7" xfId="23612" xr:uid="{00000000-0005-0000-0000-0000DCC20000}"/>
    <cellStyle name="Normal 9 2 2 10 8" xfId="35407" xr:uid="{00000000-0005-0000-0000-0000DDC20000}"/>
    <cellStyle name="Normal 9 2 2 10 9" xfId="40884" xr:uid="{00000000-0005-0000-0000-0000DEC20000}"/>
    <cellStyle name="Normal 9 2 2 11" xfId="2061" xr:uid="{00000000-0005-0000-0000-0000DFC20000}"/>
    <cellStyle name="Normal 9 2 2 11 10" xfId="52238" xr:uid="{00000000-0005-0000-0000-0000E0C20000}"/>
    <cellStyle name="Normal 9 2 2 11 2" xfId="5593" xr:uid="{00000000-0005-0000-0000-0000E1C20000}"/>
    <cellStyle name="Normal 9 2 2 11 2 2" xfId="11073" xr:uid="{00000000-0005-0000-0000-0000E2C20000}"/>
    <cellStyle name="Normal 9 2 2 11 2 3" xfId="16549" xr:uid="{00000000-0005-0000-0000-0000E3C20000}"/>
    <cellStyle name="Normal 9 2 2 11 2 4" xfId="22025" xr:uid="{00000000-0005-0000-0000-0000E4C20000}"/>
    <cellStyle name="Normal 9 2 2 11 2 5" xfId="27501" xr:uid="{00000000-0005-0000-0000-0000E5C20000}"/>
    <cellStyle name="Normal 9 2 2 11 2 6" xfId="39297" xr:uid="{00000000-0005-0000-0000-0000E6C20000}"/>
    <cellStyle name="Normal 9 2 2 11 2 7" xfId="44774" xr:uid="{00000000-0005-0000-0000-0000E7C20000}"/>
    <cellStyle name="Normal 9 2 2 11 2 8" xfId="50251" xr:uid="{00000000-0005-0000-0000-0000E8C20000}"/>
    <cellStyle name="Normal 9 2 2 11 2 9" xfId="55769" xr:uid="{00000000-0005-0000-0000-0000E9C20000}"/>
    <cellStyle name="Normal 9 2 2 11 3" xfId="7542" xr:uid="{00000000-0005-0000-0000-0000EAC20000}"/>
    <cellStyle name="Normal 9 2 2 11 4" xfId="13018" xr:uid="{00000000-0005-0000-0000-0000EBC20000}"/>
    <cellStyle name="Normal 9 2 2 11 5" xfId="18494" xr:uid="{00000000-0005-0000-0000-0000ECC20000}"/>
    <cellStyle name="Normal 9 2 2 11 6" xfId="23970" xr:uid="{00000000-0005-0000-0000-0000EDC20000}"/>
    <cellStyle name="Normal 9 2 2 11 7" xfId="35766" xr:uid="{00000000-0005-0000-0000-0000EEC20000}"/>
    <cellStyle name="Normal 9 2 2 11 8" xfId="41243" xr:uid="{00000000-0005-0000-0000-0000EFC20000}"/>
    <cellStyle name="Normal 9 2 2 11 9" xfId="46720" xr:uid="{00000000-0005-0000-0000-0000F0C20000}"/>
    <cellStyle name="Normal 9 2 2 12" xfId="3786" xr:uid="{00000000-0005-0000-0000-0000F1C20000}"/>
    <cellStyle name="Normal 9 2 2 12 2" xfId="9266" xr:uid="{00000000-0005-0000-0000-0000F2C20000}"/>
    <cellStyle name="Normal 9 2 2 12 3" xfId="14742" xr:uid="{00000000-0005-0000-0000-0000F3C20000}"/>
    <cellStyle name="Normal 9 2 2 12 4" xfId="20218" xr:uid="{00000000-0005-0000-0000-0000F4C20000}"/>
    <cellStyle name="Normal 9 2 2 12 5" xfId="25694" xr:uid="{00000000-0005-0000-0000-0000F5C20000}"/>
    <cellStyle name="Normal 9 2 2 12 6" xfId="37490" xr:uid="{00000000-0005-0000-0000-0000F6C20000}"/>
    <cellStyle name="Normal 9 2 2 12 7" xfId="42967" xr:uid="{00000000-0005-0000-0000-0000F7C20000}"/>
    <cellStyle name="Normal 9 2 2 12 8" xfId="48444" xr:uid="{00000000-0005-0000-0000-0000F8C20000}"/>
    <cellStyle name="Normal 9 2 2 12 9" xfId="53962" xr:uid="{00000000-0005-0000-0000-0000F9C20000}"/>
    <cellStyle name="Normal 9 2 2 13" xfId="7180" xr:uid="{00000000-0005-0000-0000-0000FAC20000}"/>
    <cellStyle name="Normal 9 2 2 14" xfId="12659" xr:uid="{00000000-0005-0000-0000-0000FBC20000}"/>
    <cellStyle name="Normal 9 2 2 15" xfId="18135" xr:uid="{00000000-0005-0000-0000-0000FCC20000}"/>
    <cellStyle name="Normal 9 2 2 16" xfId="23611" xr:uid="{00000000-0005-0000-0000-0000FDC20000}"/>
    <cellStyle name="Normal 9 2 2 17" xfId="33339" xr:uid="{00000000-0005-0000-0000-0000FEC20000}"/>
    <cellStyle name="Normal 9 2 2 18" xfId="35406" xr:uid="{00000000-0005-0000-0000-0000FFC20000}"/>
    <cellStyle name="Normal 9 2 2 19" xfId="40883" xr:uid="{00000000-0005-0000-0000-000000C30000}"/>
    <cellStyle name="Normal 9 2 2 2" xfId="457" xr:uid="{00000000-0005-0000-0000-000001C30000}"/>
    <cellStyle name="Normal 9 2 2 2 10" xfId="40885" xr:uid="{00000000-0005-0000-0000-000002C30000}"/>
    <cellStyle name="Normal 9 2 2 2 11" xfId="46362" xr:uid="{00000000-0005-0000-0000-000003C30000}"/>
    <cellStyle name="Normal 9 2 2 2 12" xfId="51841" xr:uid="{00000000-0005-0000-0000-000004C30000}"/>
    <cellStyle name="Normal 9 2 2 2 2" xfId="2222" xr:uid="{00000000-0005-0000-0000-000005C30000}"/>
    <cellStyle name="Normal 9 2 2 2 2 2" xfId="7702" xr:uid="{00000000-0005-0000-0000-000006C30000}"/>
    <cellStyle name="Normal 9 2 2 2 2 3" xfId="13178" xr:uid="{00000000-0005-0000-0000-000007C30000}"/>
    <cellStyle name="Normal 9 2 2 2 2 4" xfId="18654" xr:uid="{00000000-0005-0000-0000-000008C30000}"/>
    <cellStyle name="Normal 9 2 2 2 2 5" xfId="24130" xr:uid="{00000000-0005-0000-0000-000009C30000}"/>
    <cellStyle name="Normal 9 2 2 2 2 6" xfId="35926" xr:uid="{00000000-0005-0000-0000-00000AC30000}"/>
    <cellStyle name="Normal 9 2 2 2 2 7" xfId="41403" xr:uid="{00000000-0005-0000-0000-00000BC30000}"/>
    <cellStyle name="Normal 9 2 2 2 2 8" xfId="46880" xr:uid="{00000000-0005-0000-0000-00000CC30000}"/>
    <cellStyle name="Normal 9 2 2 2 2 9" xfId="52398" xr:uid="{00000000-0005-0000-0000-00000DC30000}"/>
    <cellStyle name="Normal 9 2 2 2 3" xfId="3994" xr:uid="{00000000-0005-0000-0000-00000EC30000}"/>
    <cellStyle name="Normal 9 2 2 2 3 2" xfId="9474" xr:uid="{00000000-0005-0000-0000-00000FC30000}"/>
    <cellStyle name="Normal 9 2 2 2 3 3" xfId="14950" xr:uid="{00000000-0005-0000-0000-000010C30000}"/>
    <cellStyle name="Normal 9 2 2 2 3 4" xfId="20426" xr:uid="{00000000-0005-0000-0000-000011C30000}"/>
    <cellStyle name="Normal 9 2 2 2 3 5" xfId="25902" xr:uid="{00000000-0005-0000-0000-000012C30000}"/>
    <cellStyle name="Normal 9 2 2 2 3 6" xfId="37698" xr:uid="{00000000-0005-0000-0000-000013C30000}"/>
    <cellStyle name="Normal 9 2 2 2 3 7" xfId="43175" xr:uid="{00000000-0005-0000-0000-000014C30000}"/>
    <cellStyle name="Normal 9 2 2 2 3 8" xfId="48652" xr:uid="{00000000-0005-0000-0000-000015C30000}"/>
    <cellStyle name="Normal 9 2 2 2 3 9" xfId="54170" xr:uid="{00000000-0005-0000-0000-000016C30000}"/>
    <cellStyle name="Normal 9 2 2 2 4" xfId="7182" xr:uid="{00000000-0005-0000-0000-000017C30000}"/>
    <cellStyle name="Normal 9 2 2 2 5" xfId="12661" xr:uid="{00000000-0005-0000-0000-000018C30000}"/>
    <cellStyle name="Normal 9 2 2 2 6" xfId="18137" xr:uid="{00000000-0005-0000-0000-000019C30000}"/>
    <cellStyle name="Normal 9 2 2 2 7" xfId="23613" xr:uid="{00000000-0005-0000-0000-00001AC30000}"/>
    <cellStyle name="Normal 9 2 2 2 8" xfId="33340" xr:uid="{00000000-0005-0000-0000-00001BC30000}"/>
    <cellStyle name="Normal 9 2 2 2 9" xfId="35408" xr:uid="{00000000-0005-0000-0000-00001CC30000}"/>
    <cellStyle name="Normal 9 2 2 20" xfId="46360" xr:uid="{00000000-0005-0000-0000-00001DC30000}"/>
    <cellStyle name="Normal 9 2 2 21" xfId="51839" xr:uid="{00000000-0005-0000-0000-00001EC30000}"/>
    <cellStyle name="Normal 9 2 2 3" xfId="633" xr:uid="{00000000-0005-0000-0000-00001FC30000}"/>
    <cellStyle name="Normal 9 2 2 3 10" xfId="46363" xr:uid="{00000000-0005-0000-0000-000020C30000}"/>
    <cellStyle name="Normal 9 2 2 3 11" xfId="51842" xr:uid="{00000000-0005-0000-0000-000021C30000}"/>
    <cellStyle name="Normal 9 2 2 3 2" xfId="2394" xr:uid="{00000000-0005-0000-0000-000022C30000}"/>
    <cellStyle name="Normal 9 2 2 3 2 2" xfId="7874" xr:uid="{00000000-0005-0000-0000-000023C30000}"/>
    <cellStyle name="Normal 9 2 2 3 2 3" xfId="13350" xr:uid="{00000000-0005-0000-0000-000024C30000}"/>
    <cellStyle name="Normal 9 2 2 3 2 4" xfId="18826" xr:uid="{00000000-0005-0000-0000-000025C30000}"/>
    <cellStyle name="Normal 9 2 2 3 2 5" xfId="24302" xr:uid="{00000000-0005-0000-0000-000026C30000}"/>
    <cellStyle name="Normal 9 2 2 3 2 6" xfId="36098" xr:uid="{00000000-0005-0000-0000-000027C30000}"/>
    <cellStyle name="Normal 9 2 2 3 2 7" xfId="41575" xr:uid="{00000000-0005-0000-0000-000028C30000}"/>
    <cellStyle name="Normal 9 2 2 3 2 8" xfId="47052" xr:uid="{00000000-0005-0000-0000-000029C30000}"/>
    <cellStyle name="Normal 9 2 2 3 2 9" xfId="52570" xr:uid="{00000000-0005-0000-0000-00002AC30000}"/>
    <cellStyle name="Normal 9 2 2 3 3" xfId="4166" xr:uid="{00000000-0005-0000-0000-00002BC30000}"/>
    <cellStyle name="Normal 9 2 2 3 3 2" xfId="9646" xr:uid="{00000000-0005-0000-0000-00002CC30000}"/>
    <cellStyle name="Normal 9 2 2 3 3 3" xfId="15122" xr:uid="{00000000-0005-0000-0000-00002DC30000}"/>
    <cellStyle name="Normal 9 2 2 3 3 4" xfId="20598" xr:uid="{00000000-0005-0000-0000-00002EC30000}"/>
    <cellStyle name="Normal 9 2 2 3 3 5" xfId="26074" xr:uid="{00000000-0005-0000-0000-00002FC30000}"/>
    <cellStyle name="Normal 9 2 2 3 3 6" xfId="37870" xr:uid="{00000000-0005-0000-0000-000030C30000}"/>
    <cellStyle name="Normal 9 2 2 3 3 7" xfId="43347" xr:uid="{00000000-0005-0000-0000-000031C30000}"/>
    <cellStyle name="Normal 9 2 2 3 3 8" xfId="48824" xr:uid="{00000000-0005-0000-0000-000032C30000}"/>
    <cellStyle name="Normal 9 2 2 3 3 9" xfId="54342" xr:uid="{00000000-0005-0000-0000-000033C30000}"/>
    <cellStyle name="Normal 9 2 2 3 4" xfId="7183" xr:uid="{00000000-0005-0000-0000-000034C30000}"/>
    <cellStyle name="Normal 9 2 2 3 5" xfId="12662" xr:uid="{00000000-0005-0000-0000-000035C30000}"/>
    <cellStyle name="Normal 9 2 2 3 6" xfId="18138" xr:uid="{00000000-0005-0000-0000-000036C30000}"/>
    <cellStyle name="Normal 9 2 2 3 7" xfId="23614" xr:uid="{00000000-0005-0000-0000-000037C30000}"/>
    <cellStyle name="Normal 9 2 2 3 8" xfId="35409" xr:uid="{00000000-0005-0000-0000-000038C30000}"/>
    <cellStyle name="Normal 9 2 2 3 9" xfId="40886" xr:uid="{00000000-0005-0000-0000-000039C30000}"/>
    <cellStyle name="Normal 9 2 2 4" xfId="805" xr:uid="{00000000-0005-0000-0000-00003AC30000}"/>
    <cellStyle name="Normal 9 2 2 4 10" xfId="46364" xr:uid="{00000000-0005-0000-0000-00003BC30000}"/>
    <cellStyle name="Normal 9 2 2 4 11" xfId="51843" xr:uid="{00000000-0005-0000-0000-00003CC30000}"/>
    <cellStyle name="Normal 9 2 2 4 2" xfId="2566" xr:uid="{00000000-0005-0000-0000-00003DC30000}"/>
    <cellStyle name="Normal 9 2 2 4 2 2" xfId="8046" xr:uid="{00000000-0005-0000-0000-00003EC30000}"/>
    <cellStyle name="Normal 9 2 2 4 2 3" xfId="13522" xr:uid="{00000000-0005-0000-0000-00003FC30000}"/>
    <cellStyle name="Normal 9 2 2 4 2 4" xfId="18998" xr:uid="{00000000-0005-0000-0000-000040C30000}"/>
    <cellStyle name="Normal 9 2 2 4 2 5" xfId="24474" xr:uid="{00000000-0005-0000-0000-000041C30000}"/>
    <cellStyle name="Normal 9 2 2 4 2 6" xfId="36270" xr:uid="{00000000-0005-0000-0000-000042C30000}"/>
    <cellStyle name="Normal 9 2 2 4 2 7" xfId="41747" xr:uid="{00000000-0005-0000-0000-000043C30000}"/>
    <cellStyle name="Normal 9 2 2 4 2 8" xfId="47224" xr:uid="{00000000-0005-0000-0000-000044C30000}"/>
    <cellStyle name="Normal 9 2 2 4 2 9" xfId="52742" xr:uid="{00000000-0005-0000-0000-000045C30000}"/>
    <cellStyle name="Normal 9 2 2 4 3" xfId="4338" xr:uid="{00000000-0005-0000-0000-000046C30000}"/>
    <cellStyle name="Normal 9 2 2 4 3 2" xfId="9818" xr:uid="{00000000-0005-0000-0000-000047C30000}"/>
    <cellStyle name="Normal 9 2 2 4 3 3" xfId="15294" xr:uid="{00000000-0005-0000-0000-000048C30000}"/>
    <cellStyle name="Normal 9 2 2 4 3 4" xfId="20770" xr:uid="{00000000-0005-0000-0000-000049C30000}"/>
    <cellStyle name="Normal 9 2 2 4 3 5" xfId="26246" xr:uid="{00000000-0005-0000-0000-00004AC30000}"/>
    <cellStyle name="Normal 9 2 2 4 3 6" xfId="38042" xr:uid="{00000000-0005-0000-0000-00004BC30000}"/>
    <cellStyle name="Normal 9 2 2 4 3 7" xfId="43519" xr:uid="{00000000-0005-0000-0000-00004CC30000}"/>
    <cellStyle name="Normal 9 2 2 4 3 8" xfId="48996" xr:uid="{00000000-0005-0000-0000-00004DC30000}"/>
    <cellStyle name="Normal 9 2 2 4 3 9" xfId="54514" xr:uid="{00000000-0005-0000-0000-00004EC30000}"/>
    <cellStyle name="Normal 9 2 2 4 4" xfId="7184" xr:uid="{00000000-0005-0000-0000-00004FC30000}"/>
    <cellStyle name="Normal 9 2 2 4 5" xfId="12663" xr:uid="{00000000-0005-0000-0000-000050C30000}"/>
    <cellStyle name="Normal 9 2 2 4 6" xfId="18139" xr:uid="{00000000-0005-0000-0000-000051C30000}"/>
    <cellStyle name="Normal 9 2 2 4 7" xfId="23615" xr:uid="{00000000-0005-0000-0000-000052C30000}"/>
    <cellStyle name="Normal 9 2 2 4 8" xfId="35410" xr:uid="{00000000-0005-0000-0000-000053C30000}"/>
    <cellStyle name="Normal 9 2 2 4 9" xfId="40887" xr:uid="{00000000-0005-0000-0000-000054C30000}"/>
    <cellStyle name="Normal 9 2 2 5" xfId="977" xr:uid="{00000000-0005-0000-0000-000055C30000}"/>
    <cellStyle name="Normal 9 2 2 5 10" xfId="46365" xr:uid="{00000000-0005-0000-0000-000056C30000}"/>
    <cellStyle name="Normal 9 2 2 5 11" xfId="51844" xr:uid="{00000000-0005-0000-0000-000057C30000}"/>
    <cellStyle name="Normal 9 2 2 5 2" xfId="2738" xr:uid="{00000000-0005-0000-0000-000058C30000}"/>
    <cellStyle name="Normal 9 2 2 5 2 2" xfId="8218" xr:uid="{00000000-0005-0000-0000-000059C30000}"/>
    <cellStyle name="Normal 9 2 2 5 2 3" xfId="13694" xr:uid="{00000000-0005-0000-0000-00005AC30000}"/>
    <cellStyle name="Normal 9 2 2 5 2 4" xfId="19170" xr:uid="{00000000-0005-0000-0000-00005BC30000}"/>
    <cellStyle name="Normal 9 2 2 5 2 5" xfId="24646" xr:uid="{00000000-0005-0000-0000-00005CC30000}"/>
    <cellStyle name="Normal 9 2 2 5 2 6" xfId="36442" xr:uid="{00000000-0005-0000-0000-00005DC30000}"/>
    <cellStyle name="Normal 9 2 2 5 2 7" xfId="41919" xr:uid="{00000000-0005-0000-0000-00005EC30000}"/>
    <cellStyle name="Normal 9 2 2 5 2 8" xfId="47396" xr:uid="{00000000-0005-0000-0000-00005FC30000}"/>
    <cellStyle name="Normal 9 2 2 5 2 9" xfId="52914" xr:uid="{00000000-0005-0000-0000-000060C30000}"/>
    <cellStyle name="Normal 9 2 2 5 3" xfId="4510" xr:uid="{00000000-0005-0000-0000-000061C30000}"/>
    <cellStyle name="Normal 9 2 2 5 3 2" xfId="9990" xr:uid="{00000000-0005-0000-0000-000062C30000}"/>
    <cellStyle name="Normal 9 2 2 5 3 3" xfId="15466" xr:uid="{00000000-0005-0000-0000-000063C30000}"/>
    <cellStyle name="Normal 9 2 2 5 3 4" xfId="20942" xr:uid="{00000000-0005-0000-0000-000064C30000}"/>
    <cellStyle name="Normal 9 2 2 5 3 5" xfId="26418" xr:uid="{00000000-0005-0000-0000-000065C30000}"/>
    <cellStyle name="Normal 9 2 2 5 3 6" xfId="38214" xr:uid="{00000000-0005-0000-0000-000066C30000}"/>
    <cellStyle name="Normal 9 2 2 5 3 7" xfId="43691" xr:uid="{00000000-0005-0000-0000-000067C30000}"/>
    <cellStyle name="Normal 9 2 2 5 3 8" xfId="49168" xr:uid="{00000000-0005-0000-0000-000068C30000}"/>
    <cellStyle name="Normal 9 2 2 5 3 9" xfId="54686" xr:uid="{00000000-0005-0000-0000-000069C30000}"/>
    <cellStyle name="Normal 9 2 2 5 4" xfId="7185" xr:uid="{00000000-0005-0000-0000-00006AC30000}"/>
    <cellStyle name="Normal 9 2 2 5 5" xfId="12664" xr:uid="{00000000-0005-0000-0000-00006BC30000}"/>
    <cellStyle name="Normal 9 2 2 5 6" xfId="18140" xr:uid="{00000000-0005-0000-0000-00006CC30000}"/>
    <cellStyle name="Normal 9 2 2 5 7" xfId="23616" xr:uid="{00000000-0005-0000-0000-00006DC30000}"/>
    <cellStyle name="Normal 9 2 2 5 8" xfId="35411" xr:uid="{00000000-0005-0000-0000-00006EC30000}"/>
    <cellStyle name="Normal 9 2 2 5 9" xfId="40888" xr:uid="{00000000-0005-0000-0000-00006FC30000}"/>
    <cellStyle name="Normal 9 2 2 6" xfId="1183" xr:uid="{00000000-0005-0000-0000-000070C30000}"/>
    <cellStyle name="Normal 9 2 2 6 10" xfId="46366" xr:uid="{00000000-0005-0000-0000-000071C30000}"/>
    <cellStyle name="Normal 9 2 2 6 11" xfId="51845" xr:uid="{00000000-0005-0000-0000-000072C30000}"/>
    <cellStyle name="Normal 9 2 2 6 2" xfId="2944" xr:uid="{00000000-0005-0000-0000-000073C30000}"/>
    <cellStyle name="Normal 9 2 2 6 2 2" xfId="8424" xr:uid="{00000000-0005-0000-0000-000074C30000}"/>
    <cellStyle name="Normal 9 2 2 6 2 3" xfId="13900" xr:uid="{00000000-0005-0000-0000-000075C30000}"/>
    <cellStyle name="Normal 9 2 2 6 2 4" xfId="19376" xr:uid="{00000000-0005-0000-0000-000076C30000}"/>
    <cellStyle name="Normal 9 2 2 6 2 5" xfId="24852" xr:uid="{00000000-0005-0000-0000-000077C30000}"/>
    <cellStyle name="Normal 9 2 2 6 2 6" xfId="36648" xr:uid="{00000000-0005-0000-0000-000078C30000}"/>
    <cellStyle name="Normal 9 2 2 6 2 7" xfId="42125" xr:uid="{00000000-0005-0000-0000-000079C30000}"/>
    <cellStyle name="Normal 9 2 2 6 2 8" xfId="47602" xr:uid="{00000000-0005-0000-0000-00007AC30000}"/>
    <cellStyle name="Normal 9 2 2 6 2 9" xfId="53120" xr:uid="{00000000-0005-0000-0000-00007BC30000}"/>
    <cellStyle name="Normal 9 2 2 6 3" xfId="4716" xr:uid="{00000000-0005-0000-0000-00007CC30000}"/>
    <cellStyle name="Normal 9 2 2 6 3 2" xfId="10196" xr:uid="{00000000-0005-0000-0000-00007DC30000}"/>
    <cellStyle name="Normal 9 2 2 6 3 3" xfId="15672" xr:uid="{00000000-0005-0000-0000-00007EC30000}"/>
    <cellStyle name="Normal 9 2 2 6 3 4" xfId="21148" xr:uid="{00000000-0005-0000-0000-00007FC30000}"/>
    <cellStyle name="Normal 9 2 2 6 3 5" xfId="26624" xr:uid="{00000000-0005-0000-0000-000080C30000}"/>
    <cellStyle name="Normal 9 2 2 6 3 6" xfId="38420" xr:uid="{00000000-0005-0000-0000-000081C30000}"/>
    <cellStyle name="Normal 9 2 2 6 3 7" xfId="43897" xr:uid="{00000000-0005-0000-0000-000082C30000}"/>
    <cellStyle name="Normal 9 2 2 6 3 8" xfId="49374" xr:uid="{00000000-0005-0000-0000-000083C30000}"/>
    <cellStyle name="Normal 9 2 2 6 3 9" xfId="54892" xr:uid="{00000000-0005-0000-0000-000084C30000}"/>
    <cellStyle name="Normal 9 2 2 6 4" xfId="7186" xr:uid="{00000000-0005-0000-0000-000085C30000}"/>
    <cellStyle name="Normal 9 2 2 6 5" xfId="12665" xr:uid="{00000000-0005-0000-0000-000086C30000}"/>
    <cellStyle name="Normal 9 2 2 6 6" xfId="18141" xr:uid="{00000000-0005-0000-0000-000087C30000}"/>
    <cellStyle name="Normal 9 2 2 6 7" xfId="23617" xr:uid="{00000000-0005-0000-0000-000088C30000}"/>
    <cellStyle name="Normal 9 2 2 6 8" xfId="35412" xr:uid="{00000000-0005-0000-0000-000089C30000}"/>
    <cellStyle name="Normal 9 2 2 6 9" xfId="40889" xr:uid="{00000000-0005-0000-0000-00008AC30000}"/>
    <cellStyle name="Normal 9 2 2 7" xfId="1355" xr:uid="{00000000-0005-0000-0000-00008BC30000}"/>
    <cellStyle name="Normal 9 2 2 7 10" xfId="46367" xr:uid="{00000000-0005-0000-0000-00008CC30000}"/>
    <cellStyle name="Normal 9 2 2 7 11" xfId="51846" xr:uid="{00000000-0005-0000-0000-00008DC30000}"/>
    <cellStyle name="Normal 9 2 2 7 2" xfId="3116" xr:uid="{00000000-0005-0000-0000-00008EC30000}"/>
    <cellStyle name="Normal 9 2 2 7 2 2" xfId="8596" xr:uid="{00000000-0005-0000-0000-00008FC30000}"/>
    <cellStyle name="Normal 9 2 2 7 2 3" xfId="14072" xr:uid="{00000000-0005-0000-0000-000090C30000}"/>
    <cellStyle name="Normal 9 2 2 7 2 4" xfId="19548" xr:uid="{00000000-0005-0000-0000-000091C30000}"/>
    <cellStyle name="Normal 9 2 2 7 2 5" xfId="25024" xr:uid="{00000000-0005-0000-0000-000092C30000}"/>
    <cellStyle name="Normal 9 2 2 7 2 6" xfId="36820" xr:uid="{00000000-0005-0000-0000-000093C30000}"/>
    <cellStyle name="Normal 9 2 2 7 2 7" xfId="42297" xr:uid="{00000000-0005-0000-0000-000094C30000}"/>
    <cellStyle name="Normal 9 2 2 7 2 8" xfId="47774" xr:uid="{00000000-0005-0000-0000-000095C30000}"/>
    <cellStyle name="Normal 9 2 2 7 2 9" xfId="53292" xr:uid="{00000000-0005-0000-0000-000096C30000}"/>
    <cellStyle name="Normal 9 2 2 7 3" xfId="4888" xr:uid="{00000000-0005-0000-0000-000097C30000}"/>
    <cellStyle name="Normal 9 2 2 7 3 2" xfId="10368" xr:uid="{00000000-0005-0000-0000-000098C30000}"/>
    <cellStyle name="Normal 9 2 2 7 3 3" xfId="15844" xr:uid="{00000000-0005-0000-0000-000099C30000}"/>
    <cellStyle name="Normal 9 2 2 7 3 4" xfId="21320" xr:uid="{00000000-0005-0000-0000-00009AC30000}"/>
    <cellStyle name="Normal 9 2 2 7 3 5" xfId="26796" xr:uid="{00000000-0005-0000-0000-00009BC30000}"/>
    <cellStyle name="Normal 9 2 2 7 3 6" xfId="38592" xr:uid="{00000000-0005-0000-0000-00009CC30000}"/>
    <cellStyle name="Normal 9 2 2 7 3 7" xfId="44069" xr:uid="{00000000-0005-0000-0000-00009DC30000}"/>
    <cellStyle name="Normal 9 2 2 7 3 8" xfId="49546" xr:uid="{00000000-0005-0000-0000-00009EC30000}"/>
    <cellStyle name="Normal 9 2 2 7 3 9" xfId="55064" xr:uid="{00000000-0005-0000-0000-00009FC30000}"/>
    <cellStyle name="Normal 9 2 2 7 4" xfId="7187" xr:uid="{00000000-0005-0000-0000-0000A0C30000}"/>
    <cellStyle name="Normal 9 2 2 7 5" xfId="12666" xr:uid="{00000000-0005-0000-0000-0000A1C30000}"/>
    <cellStyle name="Normal 9 2 2 7 6" xfId="18142" xr:uid="{00000000-0005-0000-0000-0000A2C30000}"/>
    <cellStyle name="Normal 9 2 2 7 7" xfId="23618" xr:uid="{00000000-0005-0000-0000-0000A3C30000}"/>
    <cellStyle name="Normal 9 2 2 7 8" xfId="35413" xr:uid="{00000000-0005-0000-0000-0000A4C30000}"/>
    <cellStyle name="Normal 9 2 2 7 9" xfId="40890" xr:uid="{00000000-0005-0000-0000-0000A5C30000}"/>
    <cellStyle name="Normal 9 2 2 8" xfId="1527" xr:uid="{00000000-0005-0000-0000-0000A6C30000}"/>
    <cellStyle name="Normal 9 2 2 8 10" xfId="46368" xr:uid="{00000000-0005-0000-0000-0000A7C30000}"/>
    <cellStyle name="Normal 9 2 2 8 11" xfId="51847" xr:uid="{00000000-0005-0000-0000-0000A8C30000}"/>
    <cellStyle name="Normal 9 2 2 8 2" xfId="3288" xr:uid="{00000000-0005-0000-0000-0000A9C30000}"/>
    <cellStyle name="Normal 9 2 2 8 2 2" xfId="8768" xr:uid="{00000000-0005-0000-0000-0000AAC30000}"/>
    <cellStyle name="Normal 9 2 2 8 2 3" xfId="14244" xr:uid="{00000000-0005-0000-0000-0000ABC30000}"/>
    <cellStyle name="Normal 9 2 2 8 2 4" xfId="19720" xr:uid="{00000000-0005-0000-0000-0000ACC30000}"/>
    <cellStyle name="Normal 9 2 2 8 2 5" xfId="25196" xr:uid="{00000000-0005-0000-0000-0000ADC30000}"/>
    <cellStyle name="Normal 9 2 2 8 2 6" xfId="36992" xr:uid="{00000000-0005-0000-0000-0000AEC30000}"/>
    <cellStyle name="Normal 9 2 2 8 2 7" xfId="42469" xr:uid="{00000000-0005-0000-0000-0000AFC30000}"/>
    <cellStyle name="Normal 9 2 2 8 2 8" xfId="47946" xr:uid="{00000000-0005-0000-0000-0000B0C30000}"/>
    <cellStyle name="Normal 9 2 2 8 2 9" xfId="53464" xr:uid="{00000000-0005-0000-0000-0000B1C30000}"/>
    <cellStyle name="Normal 9 2 2 8 3" xfId="5060" xr:uid="{00000000-0005-0000-0000-0000B2C30000}"/>
    <cellStyle name="Normal 9 2 2 8 3 2" xfId="10540" xr:uid="{00000000-0005-0000-0000-0000B3C30000}"/>
    <cellStyle name="Normal 9 2 2 8 3 3" xfId="16016" xr:uid="{00000000-0005-0000-0000-0000B4C30000}"/>
    <cellStyle name="Normal 9 2 2 8 3 4" xfId="21492" xr:uid="{00000000-0005-0000-0000-0000B5C30000}"/>
    <cellStyle name="Normal 9 2 2 8 3 5" xfId="26968" xr:uid="{00000000-0005-0000-0000-0000B6C30000}"/>
    <cellStyle name="Normal 9 2 2 8 3 6" xfId="38764" xr:uid="{00000000-0005-0000-0000-0000B7C30000}"/>
    <cellStyle name="Normal 9 2 2 8 3 7" xfId="44241" xr:uid="{00000000-0005-0000-0000-0000B8C30000}"/>
    <cellStyle name="Normal 9 2 2 8 3 8" xfId="49718" xr:uid="{00000000-0005-0000-0000-0000B9C30000}"/>
    <cellStyle name="Normal 9 2 2 8 3 9" xfId="55236" xr:uid="{00000000-0005-0000-0000-0000BAC30000}"/>
    <cellStyle name="Normal 9 2 2 8 4" xfId="7188" xr:uid="{00000000-0005-0000-0000-0000BBC30000}"/>
    <cellStyle name="Normal 9 2 2 8 5" xfId="12667" xr:uid="{00000000-0005-0000-0000-0000BCC30000}"/>
    <cellStyle name="Normal 9 2 2 8 6" xfId="18143" xr:uid="{00000000-0005-0000-0000-0000BDC30000}"/>
    <cellStyle name="Normal 9 2 2 8 7" xfId="23619" xr:uid="{00000000-0005-0000-0000-0000BEC30000}"/>
    <cellStyle name="Normal 9 2 2 8 8" xfId="35414" xr:uid="{00000000-0005-0000-0000-0000BFC30000}"/>
    <cellStyle name="Normal 9 2 2 8 9" xfId="40891" xr:uid="{00000000-0005-0000-0000-0000C0C30000}"/>
    <cellStyle name="Normal 9 2 2 9" xfId="1699" xr:uid="{00000000-0005-0000-0000-0000C1C30000}"/>
    <cellStyle name="Normal 9 2 2 9 10" xfId="46369" xr:uid="{00000000-0005-0000-0000-0000C2C30000}"/>
    <cellStyle name="Normal 9 2 2 9 11" xfId="51848" xr:uid="{00000000-0005-0000-0000-0000C3C30000}"/>
    <cellStyle name="Normal 9 2 2 9 2" xfId="3460" xr:uid="{00000000-0005-0000-0000-0000C4C30000}"/>
    <cellStyle name="Normal 9 2 2 9 2 2" xfId="8940" xr:uid="{00000000-0005-0000-0000-0000C5C30000}"/>
    <cellStyle name="Normal 9 2 2 9 2 3" xfId="14416" xr:uid="{00000000-0005-0000-0000-0000C6C30000}"/>
    <cellStyle name="Normal 9 2 2 9 2 4" xfId="19892" xr:uid="{00000000-0005-0000-0000-0000C7C30000}"/>
    <cellStyle name="Normal 9 2 2 9 2 5" xfId="25368" xr:uid="{00000000-0005-0000-0000-0000C8C30000}"/>
    <cellStyle name="Normal 9 2 2 9 2 6" xfId="37164" xr:uid="{00000000-0005-0000-0000-0000C9C30000}"/>
    <cellStyle name="Normal 9 2 2 9 2 7" xfId="42641" xr:uid="{00000000-0005-0000-0000-0000CAC30000}"/>
    <cellStyle name="Normal 9 2 2 9 2 8" xfId="48118" xr:uid="{00000000-0005-0000-0000-0000CBC30000}"/>
    <cellStyle name="Normal 9 2 2 9 2 9" xfId="53636" xr:uid="{00000000-0005-0000-0000-0000CCC30000}"/>
    <cellStyle name="Normal 9 2 2 9 3" xfId="5232" xr:uid="{00000000-0005-0000-0000-0000CDC30000}"/>
    <cellStyle name="Normal 9 2 2 9 3 2" xfId="10712" xr:uid="{00000000-0005-0000-0000-0000CEC30000}"/>
    <cellStyle name="Normal 9 2 2 9 3 3" xfId="16188" xr:uid="{00000000-0005-0000-0000-0000CFC30000}"/>
    <cellStyle name="Normal 9 2 2 9 3 4" xfId="21664" xr:uid="{00000000-0005-0000-0000-0000D0C30000}"/>
    <cellStyle name="Normal 9 2 2 9 3 5" xfId="27140" xr:uid="{00000000-0005-0000-0000-0000D1C30000}"/>
    <cellStyle name="Normal 9 2 2 9 3 6" xfId="38936" xr:uid="{00000000-0005-0000-0000-0000D2C30000}"/>
    <cellStyle name="Normal 9 2 2 9 3 7" xfId="44413" xr:uid="{00000000-0005-0000-0000-0000D3C30000}"/>
    <cellStyle name="Normal 9 2 2 9 3 8" xfId="49890" xr:uid="{00000000-0005-0000-0000-0000D4C30000}"/>
    <cellStyle name="Normal 9 2 2 9 3 9" xfId="55408" xr:uid="{00000000-0005-0000-0000-0000D5C30000}"/>
    <cellStyle name="Normal 9 2 2 9 4" xfId="7189" xr:uid="{00000000-0005-0000-0000-0000D6C30000}"/>
    <cellStyle name="Normal 9 2 2 9 5" xfId="12668" xr:uid="{00000000-0005-0000-0000-0000D7C30000}"/>
    <cellStyle name="Normal 9 2 2 9 6" xfId="18144" xr:uid="{00000000-0005-0000-0000-0000D8C30000}"/>
    <cellStyle name="Normal 9 2 2 9 7" xfId="23620" xr:uid="{00000000-0005-0000-0000-0000D9C30000}"/>
    <cellStyle name="Normal 9 2 2 9 8" xfId="35415" xr:uid="{00000000-0005-0000-0000-0000DAC30000}"/>
    <cellStyle name="Normal 9 2 2 9 9" xfId="40892" xr:uid="{00000000-0005-0000-0000-0000DBC30000}"/>
    <cellStyle name="Normal 9 2 20" xfId="40880" xr:uid="{00000000-0005-0000-0000-0000DCC30000}"/>
    <cellStyle name="Normal 9 2 21" xfId="46357" xr:uid="{00000000-0005-0000-0000-0000DDC30000}"/>
    <cellStyle name="Normal 9 2 22" xfId="51836" xr:uid="{00000000-0005-0000-0000-0000DEC30000}"/>
    <cellStyle name="Normal 9 2 3" xfId="456" xr:uid="{00000000-0005-0000-0000-0000DFC30000}"/>
    <cellStyle name="Normal 9 2 3 10" xfId="40893" xr:uid="{00000000-0005-0000-0000-0000E0C30000}"/>
    <cellStyle name="Normal 9 2 3 11" xfId="46370" xr:uid="{00000000-0005-0000-0000-0000E1C30000}"/>
    <cellStyle name="Normal 9 2 3 12" xfId="51849" xr:uid="{00000000-0005-0000-0000-0000E2C30000}"/>
    <cellStyle name="Normal 9 2 3 2" xfId="2221" xr:uid="{00000000-0005-0000-0000-0000E3C30000}"/>
    <cellStyle name="Normal 9 2 3 2 2" xfId="7701" xr:uid="{00000000-0005-0000-0000-0000E4C30000}"/>
    <cellStyle name="Normal 9 2 3 2 3" xfId="13177" xr:uid="{00000000-0005-0000-0000-0000E5C30000}"/>
    <cellStyle name="Normal 9 2 3 2 4" xfId="18653" xr:uid="{00000000-0005-0000-0000-0000E6C30000}"/>
    <cellStyle name="Normal 9 2 3 2 5" xfId="24129" xr:uid="{00000000-0005-0000-0000-0000E7C30000}"/>
    <cellStyle name="Normal 9 2 3 2 6" xfId="35925" xr:uid="{00000000-0005-0000-0000-0000E8C30000}"/>
    <cellStyle name="Normal 9 2 3 2 7" xfId="41402" xr:uid="{00000000-0005-0000-0000-0000E9C30000}"/>
    <cellStyle name="Normal 9 2 3 2 8" xfId="46879" xr:uid="{00000000-0005-0000-0000-0000EAC30000}"/>
    <cellStyle name="Normal 9 2 3 2 9" xfId="52397" xr:uid="{00000000-0005-0000-0000-0000EBC30000}"/>
    <cellStyle name="Normal 9 2 3 3" xfId="3993" xr:uid="{00000000-0005-0000-0000-0000ECC30000}"/>
    <cellStyle name="Normal 9 2 3 3 2" xfId="9473" xr:uid="{00000000-0005-0000-0000-0000EDC30000}"/>
    <cellStyle name="Normal 9 2 3 3 3" xfId="14949" xr:uid="{00000000-0005-0000-0000-0000EEC30000}"/>
    <cellStyle name="Normal 9 2 3 3 4" xfId="20425" xr:uid="{00000000-0005-0000-0000-0000EFC30000}"/>
    <cellStyle name="Normal 9 2 3 3 5" xfId="25901" xr:uid="{00000000-0005-0000-0000-0000F0C30000}"/>
    <cellStyle name="Normal 9 2 3 3 6" xfId="37697" xr:uid="{00000000-0005-0000-0000-0000F1C30000}"/>
    <cellStyle name="Normal 9 2 3 3 7" xfId="43174" xr:uid="{00000000-0005-0000-0000-0000F2C30000}"/>
    <cellStyle name="Normal 9 2 3 3 8" xfId="48651" xr:uid="{00000000-0005-0000-0000-0000F3C30000}"/>
    <cellStyle name="Normal 9 2 3 3 9" xfId="54169" xr:uid="{00000000-0005-0000-0000-0000F4C30000}"/>
    <cellStyle name="Normal 9 2 3 4" xfId="7190" xr:uid="{00000000-0005-0000-0000-0000F5C30000}"/>
    <cellStyle name="Normal 9 2 3 5" xfId="12669" xr:uid="{00000000-0005-0000-0000-0000F6C30000}"/>
    <cellStyle name="Normal 9 2 3 6" xfId="18145" xr:uid="{00000000-0005-0000-0000-0000F7C30000}"/>
    <cellStyle name="Normal 9 2 3 7" xfId="23621" xr:uid="{00000000-0005-0000-0000-0000F8C30000}"/>
    <cellStyle name="Normal 9 2 3 8" xfId="33341" xr:uid="{00000000-0005-0000-0000-0000F9C30000}"/>
    <cellStyle name="Normal 9 2 3 9" xfId="35416" xr:uid="{00000000-0005-0000-0000-0000FAC30000}"/>
    <cellStyle name="Normal 9 2 4" xfId="632" xr:uid="{00000000-0005-0000-0000-0000FBC30000}"/>
    <cellStyle name="Normal 9 2 4 10" xfId="46371" xr:uid="{00000000-0005-0000-0000-0000FCC30000}"/>
    <cellStyle name="Normal 9 2 4 11" xfId="51850" xr:uid="{00000000-0005-0000-0000-0000FDC30000}"/>
    <cellStyle name="Normal 9 2 4 2" xfId="2393" xr:uid="{00000000-0005-0000-0000-0000FEC30000}"/>
    <cellStyle name="Normal 9 2 4 2 2" xfId="7873" xr:uid="{00000000-0005-0000-0000-0000FFC30000}"/>
    <cellStyle name="Normal 9 2 4 2 3" xfId="13349" xr:uid="{00000000-0005-0000-0000-000000C40000}"/>
    <cellStyle name="Normal 9 2 4 2 4" xfId="18825" xr:uid="{00000000-0005-0000-0000-000001C40000}"/>
    <cellStyle name="Normal 9 2 4 2 5" xfId="24301" xr:uid="{00000000-0005-0000-0000-000002C40000}"/>
    <cellStyle name="Normal 9 2 4 2 6" xfId="36097" xr:uid="{00000000-0005-0000-0000-000003C40000}"/>
    <cellStyle name="Normal 9 2 4 2 7" xfId="41574" xr:uid="{00000000-0005-0000-0000-000004C40000}"/>
    <cellStyle name="Normal 9 2 4 2 8" xfId="47051" xr:uid="{00000000-0005-0000-0000-000005C40000}"/>
    <cellStyle name="Normal 9 2 4 2 9" xfId="52569" xr:uid="{00000000-0005-0000-0000-000006C40000}"/>
    <cellStyle name="Normal 9 2 4 3" xfId="4165" xr:uid="{00000000-0005-0000-0000-000007C40000}"/>
    <cellStyle name="Normal 9 2 4 3 2" xfId="9645" xr:uid="{00000000-0005-0000-0000-000008C40000}"/>
    <cellStyle name="Normal 9 2 4 3 3" xfId="15121" xr:uid="{00000000-0005-0000-0000-000009C40000}"/>
    <cellStyle name="Normal 9 2 4 3 4" xfId="20597" xr:uid="{00000000-0005-0000-0000-00000AC40000}"/>
    <cellStyle name="Normal 9 2 4 3 5" xfId="26073" xr:uid="{00000000-0005-0000-0000-00000BC40000}"/>
    <cellStyle name="Normal 9 2 4 3 6" xfId="37869" xr:uid="{00000000-0005-0000-0000-00000CC40000}"/>
    <cellStyle name="Normal 9 2 4 3 7" xfId="43346" xr:uid="{00000000-0005-0000-0000-00000DC40000}"/>
    <cellStyle name="Normal 9 2 4 3 8" xfId="48823" xr:uid="{00000000-0005-0000-0000-00000EC40000}"/>
    <cellStyle name="Normal 9 2 4 3 9" xfId="54341" xr:uid="{00000000-0005-0000-0000-00000FC40000}"/>
    <cellStyle name="Normal 9 2 4 4" xfId="7191" xr:uid="{00000000-0005-0000-0000-000010C40000}"/>
    <cellStyle name="Normal 9 2 4 5" xfId="12670" xr:uid="{00000000-0005-0000-0000-000011C40000}"/>
    <cellStyle name="Normal 9 2 4 6" xfId="18146" xr:uid="{00000000-0005-0000-0000-000012C40000}"/>
    <cellStyle name="Normal 9 2 4 7" xfId="23622" xr:uid="{00000000-0005-0000-0000-000013C40000}"/>
    <cellStyle name="Normal 9 2 4 8" xfId="35417" xr:uid="{00000000-0005-0000-0000-000014C40000}"/>
    <cellStyle name="Normal 9 2 4 9" xfId="40894" xr:uid="{00000000-0005-0000-0000-000015C40000}"/>
    <cellStyle name="Normal 9 2 5" xfId="804" xr:uid="{00000000-0005-0000-0000-000016C40000}"/>
    <cellStyle name="Normal 9 2 5 10" xfId="46372" xr:uid="{00000000-0005-0000-0000-000017C40000}"/>
    <cellStyle name="Normal 9 2 5 11" xfId="51851" xr:uid="{00000000-0005-0000-0000-000018C40000}"/>
    <cellStyle name="Normal 9 2 5 2" xfId="2565" xr:uid="{00000000-0005-0000-0000-000019C40000}"/>
    <cellStyle name="Normal 9 2 5 2 2" xfId="8045" xr:uid="{00000000-0005-0000-0000-00001AC40000}"/>
    <cellStyle name="Normal 9 2 5 2 3" xfId="13521" xr:uid="{00000000-0005-0000-0000-00001BC40000}"/>
    <cellStyle name="Normal 9 2 5 2 4" xfId="18997" xr:uid="{00000000-0005-0000-0000-00001CC40000}"/>
    <cellStyle name="Normal 9 2 5 2 5" xfId="24473" xr:uid="{00000000-0005-0000-0000-00001DC40000}"/>
    <cellStyle name="Normal 9 2 5 2 6" xfId="36269" xr:uid="{00000000-0005-0000-0000-00001EC40000}"/>
    <cellStyle name="Normal 9 2 5 2 7" xfId="41746" xr:uid="{00000000-0005-0000-0000-00001FC40000}"/>
    <cellStyle name="Normal 9 2 5 2 8" xfId="47223" xr:uid="{00000000-0005-0000-0000-000020C40000}"/>
    <cellStyle name="Normal 9 2 5 2 9" xfId="52741" xr:uid="{00000000-0005-0000-0000-000021C40000}"/>
    <cellStyle name="Normal 9 2 5 3" xfId="4337" xr:uid="{00000000-0005-0000-0000-000022C40000}"/>
    <cellStyle name="Normal 9 2 5 3 2" xfId="9817" xr:uid="{00000000-0005-0000-0000-000023C40000}"/>
    <cellStyle name="Normal 9 2 5 3 3" xfId="15293" xr:uid="{00000000-0005-0000-0000-000024C40000}"/>
    <cellStyle name="Normal 9 2 5 3 4" xfId="20769" xr:uid="{00000000-0005-0000-0000-000025C40000}"/>
    <cellStyle name="Normal 9 2 5 3 5" xfId="26245" xr:uid="{00000000-0005-0000-0000-000026C40000}"/>
    <cellStyle name="Normal 9 2 5 3 6" xfId="38041" xr:uid="{00000000-0005-0000-0000-000027C40000}"/>
    <cellStyle name="Normal 9 2 5 3 7" xfId="43518" xr:uid="{00000000-0005-0000-0000-000028C40000}"/>
    <cellStyle name="Normal 9 2 5 3 8" xfId="48995" xr:uid="{00000000-0005-0000-0000-000029C40000}"/>
    <cellStyle name="Normal 9 2 5 3 9" xfId="54513" xr:uid="{00000000-0005-0000-0000-00002AC40000}"/>
    <cellStyle name="Normal 9 2 5 4" xfId="7192" xr:uid="{00000000-0005-0000-0000-00002BC40000}"/>
    <cellStyle name="Normal 9 2 5 5" xfId="12671" xr:uid="{00000000-0005-0000-0000-00002CC40000}"/>
    <cellStyle name="Normal 9 2 5 6" xfId="18147" xr:uid="{00000000-0005-0000-0000-00002DC40000}"/>
    <cellStyle name="Normal 9 2 5 7" xfId="23623" xr:uid="{00000000-0005-0000-0000-00002EC40000}"/>
    <cellStyle name="Normal 9 2 5 8" xfId="35418" xr:uid="{00000000-0005-0000-0000-00002FC40000}"/>
    <cellStyle name="Normal 9 2 5 9" xfId="40895" xr:uid="{00000000-0005-0000-0000-000030C40000}"/>
    <cellStyle name="Normal 9 2 6" xfId="976" xr:uid="{00000000-0005-0000-0000-000031C40000}"/>
    <cellStyle name="Normal 9 2 6 10" xfId="46373" xr:uid="{00000000-0005-0000-0000-000032C40000}"/>
    <cellStyle name="Normal 9 2 6 11" xfId="51852" xr:uid="{00000000-0005-0000-0000-000033C40000}"/>
    <cellStyle name="Normal 9 2 6 2" xfId="2737" xr:uid="{00000000-0005-0000-0000-000034C40000}"/>
    <cellStyle name="Normal 9 2 6 2 2" xfId="8217" xr:uid="{00000000-0005-0000-0000-000035C40000}"/>
    <cellStyle name="Normal 9 2 6 2 3" xfId="13693" xr:uid="{00000000-0005-0000-0000-000036C40000}"/>
    <cellStyle name="Normal 9 2 6 2 4" xfId="19169" xr:uid="{00000000-0005-0000-0000-000037C40000}"/>
    <cellStyle name="Normal 9 2 6 2 5" xfId="24645" xr:uid="{00000000-0005-0000-0000-000038C40000}"/>
    <cellStyle name="Normal 9 2 6 2 6" xfId="36441" xr:uid="{00000000-0005-0000-0000-000039C40000}"/>
    <cellStyle name="Normal 9 2 6 2 7" xfId="41918" xr:uid="{00000000-0005-0000-0000-00003AC40000}"/>
    <cellStyle name="Normal 9 2 6 2 8" xfId="47395" xr:uid="{00000000-0005-0000-0000-00003BC40000}"/>
    <cellStyle name="Normal 9 2 6 2 9" xfId="52913" xr:uid="{00000000-0005-0000-0000-00003CC40000}"/>
    <cellStyle name="Normal 9 2 6 3" xfId="4509" xr:uid="{00000000-0005-0000-0000-00003DC40000}"/>
    <cellStyle name="Normal 9 2 6 3 2" xfId="9989" xr:uid="{00000000-0005-0000-0000-00003EC40000}"/>
    <cellStyle name="Normal 9 2 6 3 3" xfId="15465" xr:uid="{00000000-0005-0000-0000-00003FC40000}"/>
    <cellStyle name="Normal 9 2 6 3 4" xfId="20941" xr:uid="{00000000-0005-0000-0000-000040C40000}"/>
    <cellStyle name="Normal 9 2 6 3 5" xfId="26417" xr:uid="{00000000-0005-0000-0000-000041C40000}"/>
    <cellStyle name="Normal 9 2 6 3 6" xfId="38213" xr:uid="{00000000-0005-0000-0000-000042C40000}"/>
    <cellStyle name="Normal 9 2 6 3 7" xfId="43690" xr:uid="{00000000-0005-0000-0000-000043C40000}"/>
    <cellStyle name="Normal 9 2 6 3 8" xfId="49167" xr:uid="{00000000-0005-0000-0000-000044C40000}"/>
    <cellStyle name="Normal 9 2 6 3 9" xfId="54685" xr:uid="{00000000-0005-0000-0000-000045C40000}"/>
    <cellStyle name="Normal 9 2 6 4" xfId="7193" xr:uid="{00000000-0005-0000-0000-000046C40000}"/>
    <cellStyle name="Normal 9 2 6 5" xfId="12672" xr:uid="{00000000-0005-0000-0000-000047C40000}"/>
    <cellStyle name="Normal 9 2 6 6" xfId="18148" xr:uid="{00000000-0005-0000-0000-000048C40000}"/>
    <cellStyle name="Normal 9 2 6 7" xfId="23624" xr:uid="{00000000-0005-0000-0000-000049C40000}"/>
    <cellStyle name="Normal 9 2 6 8" xfId="35419" xr:uid="{00000000-0005-0000-0000-00004AC40000}"/>
    <cellStyle name="Normal 9 2 6 9" xfId="40896" xr:uid="{00000000-0005-0000-0000-00004BC40000}"/>
    <cellStyle name="Normal 9 2 7" xfId="1182" xr:uid="{00000000-0005-0000-0000-00004CC40000}"/>
    <cellStyle name="Normal 9 2 7 10" xfId="46374" xr:uid="{00000000-0005-0000-0000-00004DC40000}"/>
    <cellStyle name="Normal 9 2 7 11" xfId="51853" xr:uid="{00000000-0005-0000-0000-00004EC40000}"/>
    <cellStyle name="Normal 9 2 7 2" xfId="2943" xr:uid="{00000000-0005-0000-0000-00004FC40000}"/>
    <cellStyle name="Normal 9 2 7 2 2" xfId="8423" xr:uid="{00000000-0005-0000-0000-000050C40000}"/>
    <cellStyle name="Normal 9 2 7 2 3" xfId="13899" xr:uid="{00000000-0005-0000-0000-000051C40000}"/>
    <cellStyle name="Normal 9 2 7 2 4" xfId="19375" xr:uid="{00000000-0005-0000-0000-000052C40000}"/>
    <cellStyle name="Normal 9 2 7 2 5" xfId="24851" xr:uid="{00000000-0005-0000-0000-000053C40000}"/>
    <cellStyle name="Normal 9 2 7 2 6" xfId="36647" xr:uid="{00000000-0005-0000-0000-000054C40000}"/>
    <cellStyle name="Normal 9 2 7 2 7" xfId="42124" xr:uid="{00000000-0005-0000-0000-000055C40000}"/>
    <cellStyle name="Normal 9 2 7 2 8" xfId="47601" xr:uid="{00000000-0005-0000-0000-000056C40000}"/>
    <cellStyle name="Normal 9 2 7 2 9" xfId="53119" xr:uid="{00000000-0005-0000-0000-000057C40000}"/>
    <cellStyle name="Normal 9 2 7 3" xfId="4715" xr:uid="{00000000-0005-0000-0000-000058C40000}"/>
    <cellStyle name="Normal 9 2 7 3 2" xfId="10195" xr:uid="{00000000-0005-0000-0000-000059C40000}"/>
    <cellStyle name="Normal 9 2 7 3 3" xfId="15671" xr:uid="{00000000-0005-0000-0000-00005AC40000}"/>
    <cellStyle name="Normal 9 2 7 3 4" xfId="21147" xr:uid="{00000000-0005-0000-0000-00005BC40000}"/>
    <cellStyle name="Normal 9 2 7 3 5" xfId="26623" xr:uid="{00000000-0005-0000-0000-00005CC40000}"/>
    <cellStyle name="Normal 9 2 7 3 6" xfId="38419" xr:uid="{00000000-0005-0000-0000-00005DC40000}"/>
    <cellStyle name="Normal 9 2 7 3 7" xfId="43896" xr:uid="{00000000-0005-0000-0000-00005EC40000}"/>
    <cellStyle name="Normal 9 2 7 3 8" xfId="49373" xr:uid="{00000000-0005-0000-0000-00005FC40000}"/>
    <cellStyle name="Normal 9 2 7 3 9" xfId="54891" xr:uid="{00000000-0005-0000-0000-000060C40000}"/>
    <cellStyle name="Normal 9 2 7 4" xfId="7194" xr:uid="{00000000-0005-0000-0000-000061C40000}"/>
    <cellStyle name="Normal 9 2 7 5" xfId="12673" xr:uid="{00000000-0005-0000-0000-000062C40000}"/>
    <cellStyle name="Normal 9 2 7 6" xfId="18149" xr:uid="{00000000-0005-0000-0000-000063C40000}"/>
    <cellStyle name="Normal 9 2 7 7" xfId="23625" xr:uid="{00000000-0005-0000-0000-000064C40000}"/>
    <cellStyle name="Normal 9 2 7 8" xfId="35420" xr:uid="{00000000-0005-0000-0000-000065C40000}"/>
    <cellStyle name="Normal 9 2 7 9" xfId="40897" xr:uid="{00000000-0005-0000-0000-000066C40000}"/>
    <cellStyle name="Normal 9 2 8" xfId="1354" xr:uid="{00000000-0005-0000-0000-000067C40000}"/>
    <cellStyle name="Normal 9 2 8 10" xfId="46375" xr:uid="{00000000-0005-0000-0000-000068C40000}"/>
    <cellStyle name="Normal 9 2 8 11" xfId="51854" xr:uid="{00000000-0005-0000-0000-000069C40000}"/>
    <cellStyle name="Normal 9 2 8 2" xfId="3115" xr:uid="{00000000-0005-0000-0000-00006AC40000}"/>
    <cellStyle name="Normal 9 2 8 2 2" xfId="8595" xr:uid="{00000000-0005-0000-0000-00006BC40000}"/>
    <cellStyle name="Normal 9 2 8 2 3" xfId="14071" xr:uid="{00000000-0005-0000-0000-00006CC40000}"/>
    <cellStyle name="Normal 9 2 8 2 4" xfId="19547" xr:uid="{00000000-0005-0000-0000-00006DC40000}"/>
    <cellStyle name="Normal 9 2 8 2 5" xfId="25023" xr:uid="{00000000-0005-0000-0000-00006EC40000}"/>
    <cellStyle name="Normal 9 2 8 2 6" xfId="36819" xr:uid="{00000000-0005-0000-0000-00006FC40000}"/>
    <cellStyle name="Normal 9 2 8 2 7" xfId="42296" xr:uid="{00000000-0005-0000-0000-000070C40000}"/>
    <cellStyle name="Normal 9 2 8 2 8" xfId="47773" xr:uid="{00000000-0005-0000-0000-000071C40000}"/>
    <cellStyle name="Normal 9 2 8 2 9" xfId="53291" xr:uid="{00000000-0005-0000-0000-000072C40000}"/>
    <cellStyle name="Normal 9 2 8 3" xfId="4887" xr:uid="{00000000-0005-0000-0000-000073C40000}"/>
    <cellStyle name="Normal 9 2 8 3 2" xfId="10367" xr:uid="{00000000-0005-0000-0000-000074C40000}"/>
    <cellStyle name="Normal 9 2 8 3 3" xfId="15843" xr:uid="{00000000-0005-0000-0000-000075C40000}"/>
    <cellStyle name="Normal 9 2 8 3 4" xfId="21319" xr:uid="{00000000-0005-0000-0000-000076C40000}"/>
    <cellStyle name="Normal 9 2 8 3 5" xfId="26795" xr:uid="{00000000-0005-0000-0000-000077C40000}"/>
    <cellStyle name="Normal 9 2 8 3 6" xfId="38591" xr:uid="{00000000-0005-0000-0000-000078C40000}"/>
    <cellStyle name="Normal 9 2 8 3 7" xfId="44068" xr:uid="{00000000-0005-0000-0000-000079C40000}"/>
    <cellStyle name="Normal 9 2 8 3 8" xfId="49545" xr:uid="{00000000-0005-0000-0000-00007AC40000}"/>
    <cellStyle name="Normal 9 2 8 3 9" xfId="55063" xr:uid="{00000000-0005-0000-0000-00007BC40000}"/>
    <cellStyle name="Normal 9 2 8 4" xfId="7195" xr:uid="{00000000-0005-0000-0000-00007CC40000}"/>
    <cellStyle name="Normal 9 2 8 5" xfId="12674" xr:uid="{00000000-0005-0000-0000-00007DC40000}"/>
    <cellStyle name="Normal 9 2 8 6" xfId="18150" xr:uid="{00000000-0005-0000-0000-00007EC40000}"/>
    <cellStyle name="Normal 9 2 8 7" xfId="23626" xr:uid="{00000000-0005-0000-0000-00007FC40000}"/>
    <cellStyle name="Normal 9 2 8 8" xfId="35421" xr:uid="{00000000-0005-0000-0000-000080C40000}"/>
    <cellStyle name="Normal 9 2 8 9" xfId="40898" xr:uid="{00000000-0005-0000-0000-000081C40000}"/>
    <cellStyle name="Normal 9 2 9" xfId="1526" xr:uid="{00000000-0005-0000-0000-000082C40000}"/>
    <cellStyle name="Normal 9 2 9 10" xfId="46376" xr:uid="{00000000-0005-0000-0000-000083C40000}"/>
    <cellStyle name="Normal 9 2 9 11" xfId="51855" xr:uid="{00000000-0005-0000-0000-000084C40000}"/>
    <cellStyle name="Normal 9 2 9 2" xfId="3287" xr:uid="{00000000-0005-0000-0000-000085C40000}"/>
    <cellStyle name="Normal 9 2 9 2 2" xfId="8767" xr:uid="{00000000-0005-0000-0000-000086C40000}"/>
    <cellStyle name="Normal 9 2 9 2 3" xfId="14243" xr:uid="{00000000-0005-0000-0000-000087C40000}"/>
    <cellStyle name="Normal 9 2 9 2 4" xfId="19719" xr:uid="{00000000-0005-0000-0000-000088C40000}"/>
    <cellStyle name="Normal 9 2 9 2 5" xfId="25195" xr:uid="{00000000-0005-0000-0000-000089C40000}"/>
    <cellStyle name="Normal 9 2 9 2 6" xfId="36991" xr:uid="{00000000-0005-0000-0000-00008AC40000}"/>
    <cellStyle name="Normal 9 2 9 2 7" xfId="42468" xr:uid="{00000000-0005-0000-0000-00008BC40000}"/>
    <cellStyle name="Normal 9 2 9 2 8" xfId="47945" xr:uid="{00000000-0005-0000-0000-00008CC40000}"/>
    <cellStyle name="Normal 9 2 9 2 9" xfId="53463" xr:uid="{00000000-0005-0000-0000-00008DC40000}"/>
    <cellStyle name="Normal 9 2 9 3" xfId="5059" xr:uid="{00000000-0005-0000-0000-00008EC40000}"/>
    <cellStyle name="Normal 9 2 9 3 2" xfId="10539" xr:uid="{00000000-0005-0000-0000-00008FC40000}"/>
    <cellStyle name="Normal 9 2 9 3 3" xfId="16015" xr:uid="{00000000-0005-0000-0000-000090C40000}"/>
    <cellStyle name="Normal 9 2 9 3 4" xfId="21491" xr:uid="{00000000-0005-0000-0000-000091C40000}"/>
    <cellStyle name="Normal 9 2 9 3 5" xfId="26967" xr:uid="{00000000-0005-0000-0000-000092C40000}"/>
    <cellStyle name="Normal 9 2 9 3 6" xfId="38763" xr:uid="{00000000-0005-0000-0000-000093C40000}"/>
    <cellStyle name="Normal 9 2 9 3 7" xfId="44240" xr:uid="{00000000-0005-0000-0000-000094C40000}"/>
    <cellStyle name="Normal 9 2 9 3 8" xfId="49717" xr:uid="{00000000-0005-0000-0000-000095C40000}"/>
    <cellStyle name="Normal 9 2 9 3 9" xfId="55235" xr:uid="{00000000-0005-0000-0000-000096C40000}"/>
    <cellStyle name="Normal 9 2 9 4" xfId="7196" xr:uid="{00000000-0005-0000-0000-000097C40000}"/>
    <cellStyle name="Normal 9 2 9 5" xfId="12675" xr:uid="{00000000-0005-0000-0000-000098C40000}"/>
    <cellStyle name="Normal 9 2 9 6" xfId="18151" xr:uid="{00000000-0005-0000-0000-000099C40000}"/>
    <cellStyle name="Normal 9 2 9 7" xfId="23627" xr:uid="{00000000-0005-0000-0000-00009AC40000}"/>
    <cellStyle name="Normal 9 2 9 8" xfId="35422" xr:uid="{00000000-0005-0000-0000-00009BC40000}"/>
    <cellStyle name="Normal 9 2 9 9" xfId="40899" xr:uid="{00000000-0005-0000-0000-00009CC40000}"/>
    <cellStyle name="Normal 9 20" xfId="3668" xr:uid="{00000000-0005-0000-0000-00009DC40000}"/>
    <cellStyle name="Normal 9 20 2" xfId="9148" xr:uid="{00000000-0005-0000-0000-00009EC40000}"/>
    <cellStyle name="Normal 9 20 3" xfId="14624" xr:uid="{00000000-0005-0000-0000-00009FC40000}"/>
    <cellStyle name="Normal 9 20 4" xfId="20100" xr:uid="{00000000-0005-0000-0000-0000A0C40000}"/>
    <cellStyle name="Normal 9 20 5" xfId="25576" xr:uid="{00000000-0005-0000-0000-0000A1C40000}"/>
    <cellStyle name="Normal 9 20 6" xfId="37372" xr:uid="{00000000-0005-0000-0000-0000A2C40000}"/>
    <cellStyle name="Normal 9 20 7" xfId="42849" xr:uid="{00000000-0005-0000-0000-0000A3C40000}"/>
    <cellStyle name="Normal 9 20 8" xfId="48326" xr:uid="{00000000-0005-0000-0000-0000A4C40000}"/>
    <cellStyle name="Normal 9 20 9" xfId="53844" xr:uid="{00000000-0005-0000-0000-0000A5C40000}"/>
    <cellStyle name="Normal 9 21" xfId="7167" xr:uid="{00000000-0005-0000-0000-0000A6C40000}"/>
    <cellStyle name="Normal 9 22" xfId="12646" xr:uid="{00000000-0005-0000-0000-0000A7C40000}"/>
    <cellStyle name="Normal 9 23" xfId="18122" xr:uid="{00000000-0005-0000-0000-0000A8C40000}"/>
    <cellStyle name="Normal 9 24" xfId="23598" xr:uid="{00000000-0005-0000-0000-0000A9C40000}"/>
    <cellStyle name="Normal 9 25" xfId="33337" xr:uid="{00000000-0005-0000-0000-0000AAC40000}"/>
    <cellStyle name="Normal 9 26" xfId="35393" xr:uid="{00000000-0005-0000-0000-0000ABC40000}"/>
    <cellStyle name="Normal 9 27" xfId="40870" xr:uid="{00000000-0005-0000-0000-0000ACC40000}"/>
    <cellStyle name="Normal 9 28" xfId="46347" xr:uid="{00000000-0005-0000-0000-0000ADC40000}"/>
    <cellStyle name="Normal 9 29" xfId="51826" xr:uid="{00000000-0005-0000-0000-0000AEC40000}"/>
    <cellStyle name="Normal 9 3" xfId="145" xr:uid="{00000000-0005-0000-0000-0000AFC40000}"/>
    <cellStyle name="Normal 9 3 10" xfId="1700" xr:uid="{00000000-0005-0000-0000-0000B0C40000}"/>
    <cellStyle name="Normal 9 3 10 10" xfId="46378" xr:uid="{00000000-0005-0000-0000-0000B1C40000}"/>
    <cellStyle name="Normal 9 3 10 11" xfId="51857" xr:uid="{00000000-0005-0000-0000-0000B2C40000}"/>
    <cellStyle name="Normal 9 3 10 2" xfId="3461" xr:uid="{00000000-0005-0000-0000-0000B3C40000}"/>
    <cellStyle name="Normal 9 3 10 2 2" xfId="8941" xr:uid="{00000000-0005-0000-0000-0000B4C40000}"/>
    <cellStyle name="Normal 9 3 10 2 3" xfId="14417" xr:uid="{00000000-0005-0000-0000-0000B5C40000}"/>
    <cellStyle name="Normal 9 3 10 2 4" xfId="19893" xr:uid="{00000000-0005-0000-0000-0000B6C40000}"/>
    <cellStyle name="Normal 9 3 10 2 5" xfId="25369" xr:uid="{00000000-0005-0000-0000-0000B7C40000}"/>
    <cellStyle name="Normal 9 3 10 2 6" xfId="37165" xr:uid="{00000000-0005-0000-0000-0000B8C40000}"/>
    <cellStyle name="Normal 9 3 10 2 7" xfId="42642" xr:uid="{00000000-0005-0000-0000-0000B9C40000}"/>
    <cellStyle name="Normal 9 3 10 2 8" xfId="48119" xr:uid="{00000000-0005-0000-0000-0000BAC40000}"/>
    <cellStyle name="Normal 9 3 10 2 9" xfId="53637" xr:uid="{00000000-0005-0000-0000-0000BBC40000}"/>
    <cellStyle name="Normal 9 3 10 3" xfId="5233" xr:uid="{00000000-0005-0000-0000-0000BCC40000}"/>
    <cellStyle name="Normal 9 3 10 3 2" xfId="10713" xr:uid="{00000000-0005-0000-0000-0000BDC40000}"/>
    <cellStyle name="Normal 9 3 10 3 3" xfId="16189" xr:uid="{00000000-0005-0000-0000-0000BEC40000}"/>
    <cellStyle name="Normal 9 3 10 3 4" xfId="21665" xr:uid="{00000000-0005-0000-0000-0000BFC40000}"/>
    <cellStyle name="Normal 9 3 10 3 5" xfId="27141" xr:uid="{00000000-0005-0000-0000-0000C0C40000}"/>
    <cellStyle name="Normal 9 3 10 3 6" xfId="38937" xr:uid="{00000000-0005-0000-0000-0000C1C40000}"/>
    <cellStyle name="Normal 9 3 10 3 7" xfId="44414" xr:uid="{00000000-0005-0000-0000-0000C2C40000}"/>
    <cellStyle name="Normal 9 3 10 3 8" xfId="49891" xr:uid="{00000000-0005-0000-0000-0000C3C40000}"/>
    <cellStyle name="Normal 9 3 10 3 9" xfId="55409" xr:uid="{00000000-0005-0000-0000-0000C4C40000}"/>
    <cellStyle name="Normal 9 3 10 4" xfId="7198" xr:uid="{00000000-0005-0000-0000-0000C5C40000}"/>
    <cellStyle name="Normal 9 3 10 5" xfId="12677" xr:uid="{00000000-0005-0000-0000-0000C6C40000}"/>
    <cellStyle name="Normal 9 3 10 6" xfId="18153" xr:uid="{00000000-0005-0000-0000-0000C7C40000}"/>
    <cellStyle name="Normal 9 3 10 7" xfId="23629" xr:uid="{00000000-0005-0000-0000-0000C8C40000}"/>
    <cellStyle name="Normal 9 3 10 8" xfId="35424" xr:uid="{00000000-0005-0000-0000-0000C9C40000}"/>
    <cellStyle name="Normal 9 3 10 9" xfId="40901" xr:uid="{00000000-0005-0000-0000-0000CAC40000}"/>
    <cellStyle name="Normal 9 3 11" xfId="1890" xr:uid="{00000000-0005-0000-0000-0000CBC40000}"/>
    <cellStyle name="Normal 9 3 11 10" xfId="46379" xr:uid="{00000000-0005-0000-0000-0000CCC40000}"/>
    <cellStyle name="Normal 9 3 11 11" xfId="51858" xr:uid="{00000000-0005-0000-0000-0000CDC40000}"/>
    <cellStyle name="Normal 9 3 11 2" xfId="3651" xr:uid="{00000000-0005-0000-0000-0000CEC40000}"/>
    <cellStyle name="Normal 9 3 11 2 2" xfId="9131" xr:uid="{00000000-0005-0000-0000-0000CFC40000}"/>
    <cellStyle name="Normal 9 3 11 2 3" xfId="14607" xr:uid="{00000000-0005-0000-0000-0000D0C40000}"/>
    <cellStyle name="Normal 9 3 11 2 4" xfId="20083" xr:uid="{00000000-0005-0000-0000-0000D1C40000}"/>
    <cellStyle name="Normal 9 3 11 2 5" xfId="25559" xr:uid="{00000000-0005-0000-0000-0000D2C40000}"/>
    <cellStyle name="Normal 9 3 11 2 6" xfId="37355" xr:uid="{00000000-0005-0000-0000-0000D3C40000}"/>
    <cellStyle name="Normal 9 3 11 2 7" xfId="42832" xr:uid="{00000000-0005-0000-0000-0000D4C40000}"/>
    <cellStyle name="Normal 9 3 11 2 8" xfId="48309" xr:uid="{00000000-0005-0000-0000-0000D5C40000}"/>
    <cellStyle name="Normal 9 3 11 2 9" xfId="53827" xr:uid="{00000000-0005-0000-0000-0000D6C40000}"/>
    <cellStyle name="Normal 9 3 11 3" xfId="5423" xr:uid="{00000000-0005-0000-0000-0000D7C40000}"/>
    <cellStyle name="Normal 9 3 11 3 2" xfId="10903" xr:uid="{00000000-0005-0000-0000-0000D8C40000}"/>
    <cellStyle name="Normal 9 3 11 3 3" xfId="16379" xr:uid="{00000000-0005-0000-0000-0000D9C40000}"/>
    <cellStyle name="Normal 9 3 11 3 4" xfId="21855" xr:uid="{00000000-0005-0000-0000-0000DAC40000}"/>
    <cellStyle name="Normal 9 3 11 3 5" xfId="27331" xr:uid="{00000000-0005-0000-0000-0000DBC40000}"/>
    <cellStyle name="Normal 9 3 11 3 6" xfId="39127" xr:uid="{00000000-0005-0000-0000-0000DCC40000}"/>
    <cellStyle name="Normal 9 3 11 3 7" xfId="44604" xr:uid="{00000000-0005-0000-0000-0000DDC40000}"/>
    <cellStyle name="Normal 9 3 11 3 8" xfId="50081" xr:uid="{00000000-0005-0000-0000-0000DEC40000}"/>
    <cellStyle name="Normal 9 3 11 3 9" xfId="55599" xr:uid="{00000000-0005-0000-0000-0000DFC40000}"/>
    <cellStyle name="Normal 9 3 11 4" xfId="7199" xr:uid="{00000000-0005-0000-0000-0000E0C40000}"/>
    <cellStyle name="Normal 9 3 11 5" xfId="12678" xr:uid="{00000000-0005-0000-0000-0000E1C40000}"/>
    <cellStyle name="Normal 9 3 11 6" xfId="18154" xr:uid="{00000000-0005-0000-0000-0000E2C40000}"/>
    <cellStyle name="Normal 9 3 11 7" xfId="23630" xr:uid="{00000000-0005-0000-0000-0000E3C40000}"/>
    <cellStyle name="Normal 9 3 11 8" xfId="35425" xr:uid="{00000000-0005-0000-0000-0000E4C40000}"/>
    <cellStyle name="Normal 9 3 11 9" xfId="40902" xr:uid="{00000000-0005-0000-0000-0000E5C40000}"/>
    <cellStyle name="Normal 9 3 12" xfId="2062" xr:uid="{00000000-0005-0000-0000-0000E6C40000}"/>
    <cellStyle name="Normal 9 3 12 10" xfId="52239" xr:uid="{00000000-0005-0000-0000-0000E7C40000}"/>
    <cellStyle name="Normal 9 3 12 2" xfId="5594" xr:uid="{00000000-0005-0000-0000-0000E8C40000}"/>
    <cellStyle name="Normal 9 3 12 2 2" xfId="11074" xr:uid="{00000000-0005-0000-0000-0000E9C40000}"/>
    <cellStyle name="Normal 9 3 12 2 3" xfId="16550" xr:uid="{00000000-0005-0000-0000-0000EAC40000}"/>
    <cellStyle name="Normal 9 3 12 2 4" xfId="22026" xr:uid="{00000000-0005-0000-0000-0000EBC40000}"/>
    <cellStyle name="Normal 9 3 12 2 5" xfId="27502" xr:uid="{00000000-0005-0000-0000-0000ECC40000}"/>
    <cellStyle name="Normal 9 3 12 2 6" xfId="39298" xr:uid="{00000000-0005-0000-0000-0000EDC40000}"/>
    <cellStyle name="Normal 9 3 12 2 7" xfId="44775" xr:uid="{00000000-0005-0000-0000-0000EEC40000}"/>
    <cellStyle name="Normal 9 3 12 2 8" xfId="50252" xr:uid="{00000000-0005-0000-0000-0000EFC40000}"/>
    <cellStyle name="Normal 9 3 12 2 9" xfId="55770" xr:uid="{00000000-0005-0000-0000-0000F0C40000}"/>
    <cellStyle name="Normal 9 3 12 3" xfId="7543" xr:uid="{00000000-0005-0000-0000-0000F1C40000}"/>
    <cellStyle name="Normal 9 3 12 4" xfId="13019" xr:uid="{00000000-0005-0000-0000-0000F2C40000}"/>
    <cellStyle name="Normal 9 3 12 5" xfId="18495" xr:uid="{00000000-0005-0000-0000-0000F3C40000}"/>
    <cellStyle name="Normal 9 3 12 6" xfId="23971" xr:uid="{00000000-0005-0000-0000-0000F4C40000}"/>
    <cellStyle name="Normal 9 3 12 7" xfId="35767" xr:uid="{00000000-0005-0000-0000-0000F5C40000}"/>
    <cellStyle name="Normal 9 3 12 8" xfId="41244" xr:uid="{00000000-0005-0000-0000-0000F6C40000}"/>
    <cellStyle name="Normal 9 3 12 9" xfId="46721" xr:uid="{00000000-0005-0000-0000-0000F7C40000}"/>
    <cellStyle name="Normal 9 3 13" xfId="3717" xr:uid="{00000000-0005-0000-0000-0000F8C40000}"/>
    <cellStyle name="Normal 9 3 13 2" xfId="9197" xr:uid="{00000000-0005-0000-0000-0000F9C40000}"/>
    <cellStyle name="Normal 9 3 13 3" xfId="14673" xr:uid="{00000000-0005-0000-0000-0000FAC40000}"/>
    <cellStyle name="Normal 9 3 13 4" xfId="20149" xr:uid="{00000000-0005-0000-0000-0000FBC40000}"/>
    <cellStyle name="Normal 9 3 13 5" xfId="25625" xr:uid="{00000000-0005-0000-0000-0000FCC40000}"/>
    <cellStyle name="Normal 9 3 13 6" xfId="37421" xr:uid="{00000000-0005-0000-0000-0000FDC40000}"/>
    <cellStyle name="Normal 9 3 13 7" xfId="42898" xr:uid="{00000000-0005-0000-0000-0000FEC40000}"/>
    <cellStyle name="Normal 9 3 13 8" xfId="48375" xr:uid="{00000000-0005-0000-0000-0000FFC40000}"/>
    <cellStyle name="Normal 9 3 13 9" xfId="53893" xr:uid="{00000000-0005-0000-0000-000000C50000}"/>
    <cellStyle name="Normal 9 3 14" xfId="7197" xr:uid="{00000000-0005-0000-0000-000001C50000}"/>
    <cellStyle name="Normal 9 3 15" xfId="12676" xr:uid="{00000000-0005-0000-0000-000002C50000}"/>
    <cellStyle name="Normal 9 3 16" xfId="18152" xr:uid="{00000000-0005-0000-0000-000003C50000}"/>
    <cellStyle name="Normal 9 3 17" xfId="23628" xr:uid="{00000000-0005-0000-0000-000004C50000}"/>
    <cellStyle name="Normal 9 3 18" xfId="33342" xr:uid="{00000000-0005-0000-0000-000005C50000}"/>
    <cellStyle name="Normal 9 3 19" xfId="35423" xr:uid="{00000000-0005-0000-0000-000006C50000}"/>
    <cellStyle name="Normal 9 3 2" xfId="237" xr:uid="{00000000-0005-0000-0000-000007C50000}"/>
    <cellStyle name="Normal 9 3 2 10" xfId="1891" xr:uid="{00000000-0005-0000-0000-000008C50000}"/>
    <cellStyle name="Normal 9 3 2 10 10" xfId="46381" xr:uid="{00000000-0005-0000-0000-000009C50000}"/>
    <cellStyle name="Normal 9 3 2 10 11" xfId="51860" xr:uid="{00000000-0005-0000-0000-00000AC50000}"/>
    <cellStyle name="Normal 9 3 2 10 2" xfId="3652" xr:uid="{00000000-0005-0000-0000-00000BC50000}"/>
    <cellStyle name="Normal 9 3 2 10 2 2" xfId="9132" xr:uid="{00000000-0005-0000-0000-00000CC50000}"/>
    <cellStyle name="Normal 9 3 2 10 2 3" xfId="14608" xr:uid="{00000000-0005-0000-0000-00000DC50000}"/>
    <cellStyle name="Normal 9 3 2 10 2 4" xfId="20084" xr:uid="{00000000-0005-0000-0000-00000EC50000}"/>
    <cellStyle name="Normal 9 3 2 10 2 5" xfId="25560" xr:uid="{00000000-0005-0000-0000-00000FC50000}"/>
    <cellStyle name="Normal 9 3 2 10 2 6" xfId="37356" xr:uid="{00000000-0005-0000-0000-000010C50000}"/>
    <cellStyle name="Normal 9 3 2 10 2 7" xfId="42833" xr:uid="{00000000-0005-0000-0000-000011C50000}"/>
    <cellStyle name="Normal 9 3 2 10 2 8" xfId="48310" xr:uid="{00000000-0005-0000-0000-000012C50000}"/>
    <cellStyle name="Normal 9 3 2 10 2 9" xfId="53828" xr:uid="{00000000-0005-0000-0000-000013C50000}"/>
    <cellStyle name="Normal 9 3 2 10 3" xfId="5424" xr:uid="{00000000-0005-0000-0000-000014C50000}"/>
    <cellStyle name="Normal 9 3 2 10 3 2" xfId="10904" xr:uid="{00000000-0005-0000-0000-000015C50000}"/>
    <cellStyle name="Normal 9 3 2 10 3 3" xfId="16380" xr:uid="{00000000-0005-0000-0000-000016C50000}"/>
    <cellStyle name="Normal 9 3 2 10 3 4" xfId="21856" xr:uid="{00000000-0005-0000-0000-000017C50000}"/>
    <cellStyle name="Normal 9 3 2 10 3 5" xfId="27332" xr:uid="{00000000-0005-0000-0000-000018C50000}"/>
    <cellStyle name="Normal 9 3 2 10 3 6" xfId="39128" xr:uid="{00000000-0005-0000-0000-000019C50000}"/>
    <cellStyle name="Normal 9 3 2 10 3 7" xfId="44605" xr:uid="{00000000-0005-0000-0000-00001AC50000}"/>
    <cellStyle name="Normal 9 3 2 10 3 8" xfId="50082" xr:uid="{00000000-0005-0000-0000-00001BC50000}"/>
    <cellStyle name="Normal 9 3 2 10 3 9" xfId="55600" xr:uid="{00000000-0005-0000-0000-00001CC50000}"/>
    <cellStyle name="Normal 9 3 2 10 4" xfId="7201" xr:uid="{00000000-0005-0000-0000-00001DC50000}"/>
    <cellStyle name="Normal 9 3 2 10 5" xfId="12680" xr:uid="{00000000-0005-0000-0000-00001EC50000}"/>
    <cellStyle name="Normal 9 3 2 10 6" xfId="18156" xr:uid="{00000000-0005-0000-0000-00001FC50000}"/>
    <cellStyle name="Normal 9 3 2 10 7" xfId="23632" xr:uid="{00000000-0005-0000-0000-000020C50000}"/>
    <cellStyle name="Normal 9 3 2 10 8" xfId="35427" xr:uid="{00000000-0005-0000-0000-000021C50000}"/>
    <cellStyle name="Normal 9 3 2 10 9" xfId="40904" xr:uid="{00000000-0005-0000-0000-000022C50000}"/>
    <cellStyle name="Normal 9 3 2 11" xfId="2063" xr:uid="{00000000-0005-0000-0000-000023C50000}"/>
    <cellStyle name="Normal 9 3 2 11 10" xfId="52240" xr:uid="{00000000-0005-0000-0000-000024C50000}"/>
    <cellStyle name="Normal 9 3 2 11 2" xfId="5595" xr:uid="{00000000-0005-0000-0000-000025C50000}"/>
    <cellStyle name="Normal 9 3 2 11 2 2" xfId="11075" xr:uid="{00000000-0005-0000-0000-000026C50000}"/>
    <cellStyle name="Normal 9 3 2 11 2 3" xfId="16551" xr:uid="{00000000-0005-0000-0000-000027C50000}"/>
    <cellStyle name="Normal 9 3 2 11 2 4" xfId="22027" xr:uid="{00000000-0005-0000-0000-000028C50000}"/>
    <cellStyle name="Normal 9 3 2 11 2 5" xfId="27503" xr:uid="{00000000-0005-0000-0000-000029C50000}"/>
    <cellStyle name="Normal 9 3 2 11 2 6" xfId="39299" xr:uid="{00000000-0005-0000-0000-00002AC50000}"/>
    <cellStyle name="Normal 9 3 2 11 2 7" xfId="44776" xr:uid="{00000000-0005-0000-0000-00002BC50000}"/>
    <cellStyle name="Normal 9 3 2 11 2 8" xfId="50253" xr:uid="{00000000-0005-0000-0000-00002CC50000}"/>
    <cellStyle name="Normal 9 3 2 11 2 9" xfId="55771" xr:uid="{00000000-0005-0000-0000-00002DC50000}"/>
    <cellStyle name="Normal 9 3 2 11 3" xfId="7544" xr:uid="{00000000-0005-0000-0000-00002EC50000}"/>
    <cellStyle name="Normal 9 3 2 11 4" xfId="13020" xr:uid="{00000000-0005-0000-0000-00002FC50000}"/>
    <cellStyle name="Normal 9 3 2 11 5" xfId="18496" xr:uid="{00000000-0005-0000-0000-000030C50000}"/>
    <cellStyle name="Normal 9 3 2 11 6" xfId="23972" xr:uid="{00000000-0005-0000-0000-000031C50000}"/>
    <cellStyle name="Normal 9 3 2 11 7" xfId="35768" xr:uid="{00000000-0005-0000-0000-000032C50000}"/>
    <cellStyle name="Normal 9 3 2 11 8" xfId="41245" xr:uid="{00000000-0005-0000-0000-000033C50000}"/>
    <cellStyle name="Normal 9 3 2 11 9" xfId="46722" xr:uid="{00000000-0005-0000-0000-000034C50000}"/>
    <cellStyle name="Normal 9 3 2 12" xfId="3803" xr:uid="{00000000-0005-0000-0000-000035C50000}"/>
    <cellStyle name="Normal 9 3 2 12 2" xfId="9283" xr:uid="{00000000-0005-0000-0000-000036C50000}"/>
    <cellStyle name="Normal 9 3 2 12 3" xfId="14759" xr:uid="{00000000-0005-0000-0000-000037C50000}"/>
    <cellStyle name="Normal 9 3 2 12 4" xfId="20235" xr:uid="{00000000-0005-0000-0000-000038C50000}"/>
    <cellStyle name="Normal 9 3 2 12 5" xfId="25711" xr:uid="{00000000-0005-0000-0000-000039C50000}"/>
    <cellStyle name="Normal 9 3 2 12 6" xfId="37507" xr:uid="{00000000-0005-0000-0000-00003AC50000}"/>
    <cellStyle name="Normal 9 3 2 12 7" xfId="42984" xr:uid="{00000000-0005-0000-0000-00003BC50000}"/>
    <cellStyle name="Normal 9 3 2 12 8" xfId="48461" xr:uid="{00000000-0005-0000-0000-00003CC50000}"/>
    <cellStyle name="Normal 9 3 2 12 9" xfId="53979" xr:uid="{00000000-0005-0000-0000-00003DC50000}"/>
    <cellStyle name="Normal 9 3 2 13" xfId="7200" xr:uid="{00000000-0005-0000-0000-00003EC50000}"/>
    <cellStyle name="Normal 9 3 2 14" xfId="12679" xr:uid="{00000000-0005-0000-0000-00003FC50000}"/>
    <cellStyle name="Normal 9 3 2 15" xfId="18155" xr:uid="{00000000-0005-0000-0000-000040C50000}"/>
    <cellStyle name="Normal 9 3 2 16" xfId="23631" xr:uid="{00000000-0005-0000-0000-000041C50000}"/>
    <cellStyle name="Normal 9 3 2 17" xfId="33343" xr:uid="{00000000-0005-0000-0000-000042C50000}"/>
    <cellStyle name="Normal 9 3 2 18" xfId="35426" xr:uid="{00000000-0005-0000-0000-000043C50000}"/>
    <cellStyle name="Normal 9 3 2 19" xfId="40903" xr:uid="{00000000-0005-0000-0000-000044C50000}"/>
    <cellStyle name="Normal 9 3 2 2" xfId="459" xr:uid="{00000000-0005-0000-0000-000045C50000}"/>
    <cellStyle name="Normal 9 3 2 2 10" xfId="40905" xr:uid="{00000000-0005-0000-0000-000046C50000}"/>
    <cellStyle name="Normal 9 3 2 2 11" xfId="46382" xr:uid="{00000000-0005-0000-0000-000047C50000}"/>
    <cellStyle name="Normal 9 3 2 2 12" xfId="51861" xr:uid="{00000000-0005-0000-0000-000048C50000}"/>
    <cellStyle name="Normal 9 3 2 2 2" xfId="2224" xr:uid="{00000000-0005-0000-0000-000049C50000}"/>
    <cellStyle name="Normal 9 3 2 2 2 2" xfId="7704" xr:uid="{00000000-0005-0000-0000-00004AC50000}"/>
    <cellStyle name="Normal 9 3 2 2 2 3" xfId="13180" xr:uid="{00000000-0005-0000-0000-00004BC50000}"/>
    <cellStyle name="Normal 9 3 2 2 2 4" xfId="18656" xr:uid="{00000000-0005-0000-0000-00004CC50000}"/>
    <cellStyle name="Normal 9 3 2 2 2 5" xfId="24132" xr:uid="{00000000-0005-0000-0000-00004DC50000}"/>
    <cellStyle name="Normal 9 3 2 2 2 6" xfId="35928" xr:uid="{00000000-0005-0000-0000-00004EC50000}"/>
    <cellStyle name="Normal 9 3 2 2 2 7" xfId="41405" xr:uid="{00000000-0005-0000-0000-00004FC50000}"/>
    <cellStyle name="Normal 9 3 2 2 2 8" xfId="46882" xr:uid="{00000000-0005-0000-0000-000050C50000}"/>
    <cellStyle name="Normal 9 3 2 2 2 9" xfId="52400" xr:uid="{00000000-0005-0000-0000-000051C50000}"/>
    <cellStyle name="Normal 9 3 2 2 3" xfId="3996" xr:uid="{00000000-0005-0000-0000-000052C50000}"/>
    <cellStyle name="Normal 9 3 2 2 3 2" xfId="9476" xr:uid="{00000000-0005-0000-0000-000053C50000}"/>
    <cellStyle name="Normal 9 3 2 2 3 3" xfId="14952" xr:uid="{00000000-0005-0000-0000-000054C50000}"/>
    <cellStyle name="Normal 9 3 2 2 3 4" xfId="20428" xr:uid="{00000000-0005-0000-0000-000055C50000}"/>
    <cellStyle name="Normal 9 3 2 2 3 5" xfId="25904" xr:uid="{00000000-0005-0000-0000-000056C50000}"/>
    <cellStyle name="Normal 9 3 2 2 3 6" xfId="37700" xr:uid="{00000000-0005-0000-0000-000057C50000}"/>
    <cellStyle name="Normal 9 3 2 2 3 7" xfId="43177" xr:uid="{00000000-0005-0000-0000-000058C50000}"/>
    <cellStyle name="Normal 9 3 2 2 3 8" xfId="48654" xr:uid="{00000000-0005-0000-0000-000059C50000}"/>
    <cellStyle name="Normal 9 3 2 2 3 9" xfId="54172" xr:uid="{00000000-0005-0000-0000-00005AC50000}"/>
    <cellStyle name="Normal 9 3 2 2 4" xfId="7202" xr:uid="{00000000-0005-0000-0000-00005BC50000}"/>
    <cellStyle name="Normal 9 3 2 2 5" xfId="12681" xr:uid="{00000000-0005-0000-0000-00005CC50000}"/>
    <cellStyle name="Normal 9 3 2 2 6" xfId="18157" xr:uid="{00000000-0005-0000-0000-00005DC50000}"/>
    <cellStyle name="Normal 9 3 2 2 7" xfId="23633" xr:uid="{00000000-0005-0000-0000-00005EC50000}"/>
    <cellStyle name="Normal 9 3 2 2 8" xfId="33344" xr:uid="{00000000-0005-0000-0000-00005FC50000}"/>
    <cellStyle name="Normal 9 3 2 2 9" xfId="35428" xr:uid="{00000000-0005-0000-0000-000060C50000}"/>
    <cellStyle name="Normal 9 3 2 20" xfId="46380" xr:uid="{00000000-0005-0000-0000-000061C50000}"/>
    <cellStyle name="Normal 9 3 2 21" xfId="51859" xr:uid="{00000000-0005-0000-0000-000062C50000}"/>
    <cellStyle name="Normal 9 3 2 3" xfId="635" xr:uid="{00000000-0005-0000-0000-000063C50000}"/>
    <cellStyle name="Normal 9 3 2 3 10" xfId="46383" xr:uid="{00000000-0005-0000-0000-000064C50000}"/>
    <cellStyle name="Normal 9 3 2 3 11" xfId="51862" xr:uid="{00000000-0005-0000-0000-000065C50000}"/>
    <cellStyle name="Normal 9 3 2 3 2" xfId="2396" xr:uid="{00000000-0005-0000-0000-000066C50000}"/>
    <cellStyle name="Normal 9 3 2 3 2 2" xfId="7876" xr:uid="{00000000-0005-0000-0000-000067C50000}"/>
    <cellStyle name="Normal 9 3 2 3 2 3" xfId="13352" xr:uid="{00000000-0005-0000-0000-000068C50000}"/>
    <cellStyle name="Normal 9 3 2 3 2 4" xfId="18828" xr:uid="{00000000-0005-0000-0000-000069C50000}"/>
    <cellStyle name="Normal 9 3 2 3 2 5" xfId="24304" xr:uid="{00000000-0005-0000-0000-00006AC50000}"/>
    <cellStyle name="Normal 9 3 2 3 2 6" xfId="36100" xr:uid="{00000000-0005-0000-0000-00006BC50000}"/>
    <cellStyle name="Normal 9 3 2 3 2 7" xfId="41577" xr:uid="{00000000-0005-0000-0000-00006CC50000}"/>
    <cellStyle name="Normal 9 3 2 3 2 8" xfId="47054" xr:uid="{00000000-0005-0000-0000-00006DC50000}"/>
    <cellStyle name="Normal 9 3 2 3 2 9" xfId="52572" xr:uid="{00000000-0005-0000-0000-00006EC50000}"/>
    <cellStyle name="Normal 9 3 2 3 3" xfId="4168" xr:uid="{00000000-0005-0000-0000-00006FC50000}"/>
    <cellStyle name="Normal 9 3 2 3 3 2" xfId="9648" xr:uid="{00000000-0005-0000-0000-000070C50000}"/>
    <cellStyle name="Normal 9 3 2 3 3 3" xfId="15124" xr:uid="{00000000-0005-0000-0000-000071C50000}"/>
    <cellStyle name="Normal 9 3 2 3 3 4" xfId="20600" xr:uid="{00000000-0005-0000-0000-000072C50000}"/>
    <cellStyle name="Normal 9 3 2 3 3 5" xfId="26076" xr:uid="{00000000-0005-0000-0000-000073C50000}"/>
    <cellStyle name="Normal 9 3 2 3 3 6" xfId="37872" xr:uid="{00000000-0005-0000-0000-000074C50000}"/>
    <cellStyle name="Normal 9 3 2 3 3 7" xfId="43349" xr:uid="{00000000-0005-0000-0000-000075C50000}"/>
    <cellStyle name="Normal 9 3 2 3 3 8" xfId="48826" xr:uid="{00000000-0005-0000-0000-000076C50000}"/>
    <cellStyle name="Normal 9 3 2 3 3 9" xfId="54344" xr:uid="{00000000-0005-0000-0000-000077C50000}"/>
    <cellStyle name="Normal 9 3 2 3 4" xfId="7203" xr:uid="{00000000-0005-0000-0000-000078C50000}"/>
    <cellStyle name="Normal 9 3 2 3 5" xfId="12682" xr:uid="{00000000-0005-0000-0000-000079C50000}"/>
    <cellStyle name="Normal 9 3 2 3 6" xfId="18158" xr:uid="{00000000-0005-0000-0000-00007AC50000}"/>
    <cellStyle name="Normal 9 3 2 3 7" xfId="23634" xr:uid="{00000000-0005-0000-0000-00007BC50000}"/>
    <cellStyle name="Normal 9 3 2 3 8" xfId="35429" xr:uid="{00000000-0005-0000-0000-00007CC50000}"/>
    <cellStyle name="Normal 9 3 2 3 9" xfId="40906" xr:uid="{00000000-0005-0000-0000-00007DC50000}"/>
    <cellStyle name="Normal 9 3 2 4" xfId="807" xr:uid="{00000000-0005-0000-0000-00007EC50000}"/>
    <cellStyle name="Normal 9 3 2 4 10" xfId="46384" xr:uid="{00000000-0005-0000-0000-00007FC50000}"/>
    <cellStyle name="Normal 9 3 2 4 11" xfId="51863" xr:uid="{00000000-0005-0000-0000-000080C50000}"/>
    <cellStyle name="Normal 9 3 2 4 2" xfId="2568" xr:uid="{00000000-0005-0000-0000-000081C50000}"/>
    <cellStyle name="Normal 9 3 2 4 2 2" xfId="8048" xr:uid="{00000000-0005-0000-0000-000082C50000}"/>
    <cellStyle name="Normal 9 3 2 4 2 3" xfId="13524" xr:uid="{00000000-0005-0000-0000-000083C50000}"/>
    <cellStyle name="Normal 9 3 2 4 2 4" xfId="19000" xr:uid="{00000000-0005-0000-0000-000084C50000}"/>
    <cellStyle name="Normal 9 3 2 4 2 5" xfId="24476" xr:uid="{00000000-0005-0000-0000-000085C50000}"/>
    <cellStyle name="Normal 9 3 2 4 2 6" xfId="36272" xr:uid="{00000000-0005-0000-0000-000086C50000}"/>
    <cellStyle name="Normal 9 3 2 4 2 7" xfId="41749" xr:uid="{00000000-0005-0000-0000-000087C50000}"/>
    <cellStyle name="Normal 9 3 2 4 2 8" xfId="47226" xr:uid="{00000000-0005-0000-0000-000088C50000}"/>
    <cellStyle name="Normal 9 3 2 4 2 9" xfId="52744" xr:uid="{00000000-0005-0000-0000-000089C50000}"/>
    <cellStyle name="Normal 9 3 2 4 3" xfId="4340" xr:uid="{00000000-0005-0000-0000-00008AC50000}"/>
    <cellStyle name="Normal 9 3 2 4 3 2" xfId="9820" xr:uid="{00000000-0005-0000-0000-00008BC50000}"/>
    <cellStyle name="Normal 9 3 2 4 3 3" xfId="15296" xr:uid="{00000000-0005-0000-0000-00008CC50000}"/>
    <cellStyle name="Normal 9 3 2 4 3 4" xfId="20772" xr:uid="{00000000-0005-0000-0000-00008DC50000}"/>
    <cellStyle name="Normal 9 3 2 4 3 5" xfId="26248" xr:uid="{00000000-0005-0000-0000-00008EC50000}"/>
    <cellStyle name="Normal 9 3 2 4 3 6" xfId="38044" xr:uid="{00000000-0005-0000-0000-00008FC50000}"/>
    <cellStyle name="Normal 9 3 2 4 3 7" xfId="43521" xr:uid="{00000000-0005-0000-0000-000090C50000}"/>
    <cellStyle name="Normal 9 3 2 4 3 8" xfId="48998" xr:uid="{00000000-0005-0000-0000-000091C50000}"/>
    <cellStyle name="Normal 9 3 2 4 3 9" xfId="54516" xr:uid="{00000000-0005-0000-0000-000092C50000}"/>
    <cellStyle name="Normal 9 3 2 4 4" xfId="7204" xr:uid="{00000000-0005-0000-0000-000093C50000}"/>
    <cellStyle name="Normal 9 3 2 4 5" xfId="12683" xr:uid="{00000000-0005-0000-0000-000094C50000}"/>
    <cellStyle name="Normal 9 3 2 4 6" xfId="18159" xr:uid="{00000000-0005-0000-0000-000095C50000}"/>
    <cellStyle name="Normal 9 3 2 4 7" xfId="23635" xr:uid="{00000000-0005-0000-0000-000096C50000}"/>
    <cellStyle name="Normal 9 3 2 4 8" xfId="35430" xr:uid="{00000000-0005-0000-0000-000097C50000}"/>
    <cellStyle name="Normal 9 3 2 4 9" xfId="40907" xr:uid="{00000000-0005-0000-0000-000098C50000}"/>
    <cellStyle name="Normal 9 3 2 5" xfId="979" xr:uid="{00000000-0005-0000-0000-000099C50000}"/>
    <cellStyle name="Normal 9 3 2 5 10" xfId="46385" xr:uid="{00000000-0005-0000-0000-00009AC50000}"/>
    <cellStyle name="Normal 9 3 2 5 11" xfId="51864" xr:uid="{00000000-0005-0000-0000-00009BC50000}"/>
    <cellStyle name="Normal 9 3 2 5 2" xfId="2740" xr:uid="{00000000-0005-0000-0000-00009CC50000}"/>
    <cellStyle name="Normal 9 3 2 5 2 2" xfId="8220" xr:uid="{00000000-0005-0000-0000-00009DC50000}"/>
    <cellStyle name="Normal 9 3 2 5 2 3" xfId="13696" xr:uid="{00000000-0005-0000-0000-00009EC50000}"/>
    <cellStyle name="Normal 9 3 2 5 2 4" xfId="19172" xr:uid="{00000000-0005-0000-0000-00009FC50000}"/>
    <cellStyle name="Normal 9 3 2 5 2 5" xfId="24648" xr:uid="{00000000-0005-0000-0000-0000A0C50000}"/>
    <cellStyle name="Normal 9 3 2 5 2 6" xfId="36444" xr:uid="{00000000-0005-0000-0000-0000A1C50000}"/>
    <cellStyle name="Normal 9 3 2 5 2 7" xfId="41921" xr:uid="{00000000-0005-0000-0000-0000A2C50000}"/>
    <cellStyle name="Normal 9 3 2 5 2 8" xfId="47398" xr:uid="{00000000-0005-0000-0000-0000A3C50000}"/>
    <cellStyle name="Normal 9 3 2 5 2 9" xfId="52916" xr:uid="{00000000-0005-0000-0000-0000A4C50000}"/>
    <cellStyle name="Normal 9 3 2 5 3" xfId="4512" xr:uid="{00000000-0005-0000-0000-0000A5C50000}"/>
    <cellStyle name="Normal 9 3 2 5 3 2" xfId="9992" xr:uid="{00000000-0005-0000-0000-0000A6C50000}"/>
    <cellStyle name="Normal 9 3 2 5 3 3" xfId="15468" xr:uid="{00000000-0005-0000-0000-0000A7C50000}"/>
    <cellStyle name="Normal 9 3 2 5 3 4" xfId="20944" xr:uid="{00000000-0005-0000-0000-0000A8C50000}"/>
    <cellStyle name="Normal 9 3 2 5 3 5" xfId="26420" xr:uid="{00000000-0005-0000-0000-0000A9C50000}"/>
    <cellStyle name="Normal 9 3 2 5 3 6" xfId="38216" xr:uid="{00000000-0005-0000-0000-0000AAC50000}"/>
    <cellStyle name="Normal 9 3 2 5 3 7" xfId="43693" xr:uid="{00000000-0005-0000-0000-0000ABC50000}"/>
    <cellStyle name="Normal 9 3 2 5 3 8" xfId="49170" xr:uid="{00000000-0005-0000-0000-0000ACC50000}"/>
    <cellStyle name="Normal 9 3 2 5 3 9" xfId="54688" xr:uid="{00000000-0005-0000-0000-0000ADC50000}"/>
    <cellStyle name="Normal 9 3 2 5 4" xfId="7205" xr:uid="{00000000-0005-0000-0000-0000AEC50000}"/>
    <cellStyle name="Normal 9 3 2 5 5" xfId="12684" xr:uid="{00000000-0005-0000-0000-0000AFC50000}"/>
    <cellStyle name="Normal 9 3 2 5 6" xfId="18160" xr:uid="{00000000-0005-0000-0000-0000B0C50000}"/>
    <cellStyle name="Normal 9 3 2 5 7" xfId="23636" xr:uid="{00000000-0005-0000-0000-0000B1C50000}"/>
    <cellStyle name="Normal 9 3 2 5 8" xfId="35431" xr:uid="{00000000-0005-0000-0000-0000B2C50000}"/>
    <cellStyle name="Normal 9 3 2 5 9" xfId="40908" xr:uid="{00000000-0005-0000-0000-0000B3C50000}"/>
    <cellStyle name="Normal 9 3 2 6" xfId="1185" xr:uid="{00000000-0005-0000-0000-0000B4C50000}"/>
    <cellStyle name="Normal 9 3 2 6 10" xfId="46386" xr:uid="{00000000-0005-0000-0000-0000B5C50000}"/>
    <cellStyle name="Normal 9 3 2 6 11" xfId="51865" xr:uid="{00000000-0005-0000-0000-0000B6C50000}"/>
    <cellStyle name="Normal 9 3 2 6 2" xfId="2946" xr:uid="{00000000-0005-0000-0000-0000B7C50000}"/>
    <cellStyle name="Normal 9 3 2 6 2 2" xfId="8426" xr:uid="{00000000-0005-0000-0000-0000B8C50000}"/>
    <cellStyle name="Normal 9 3 2 6 2 3" xfId="13902" xr:uid="{00000000-0005-0000-0000-0000B9C50000}"/>
    <cellStyle name="Normal 9 3 2 6 2 4" xfId="19378" xr:uid="{00000000-0005-0000-0000-0000BAC50000}"/>
    <cellStyle name="Normal 9 3 2 6 2 5" xfId="24854" xr:uid="{00000000-0005-0000-0000-0000BBC50000}"/>
    <cellStyle name="Normal 9 3 2 6 2 6" xfId="36650" xr:uid="{00000000-0005-0000-0000-0000BCC50000}"/>
    <cellStyle name="Normal 9 3 2 6 2 7" xfId="42127" xr:uid="{00000000-0005-0000-0000-0000BDC50000}"/>
    <cellStyle name="Normal 9 3 2 6 2 8" xfId="47604" xr:uid="{00000000-0005-0000-0000-0000BEC50000}"/>
    <cellStyle name="Normal 9 3 2 6 2 9" xfId="53122" xr:uid="{00000000-0005-0000-0000-0000BFC50000}"/>
    <cellStyle name="Normal 9 3 2 6 3" xfId="4718" xr:uid="{00000000-0005-0000-0000-0000C0C50000}"/>
    <cellStyle name="Normal 9 3 2 6 3 2" xfId="10198" xr:uid="{00000000-0005-0000-0000-0000C1C50000}"/>
    <cellStyle name="Normal 9 3 2 6 3 3" xfId="15674" xr:uid="{00000000-0005-0000-0000-0000C2C50000}"/>
    <cellStyle name="Normal 9 3 2 6 3 4" xfId="21150" xr:uid="{00000000-0005-0000-0000-0000C3C50000}"/>
    <cellStyle name="Normal 9 3 2 6 3 5" xfId="26626" xr:uid="{00000000-0005-0000-0000-0000C4C50000}"/>
    <cellStyle name="Normal 9 3 2 6 3 6" xfId="38422" xr:uid="{00000000-0005-0000-0000-0000C5C50000}"/>
    <cellStyle name="Normal 9 3 2 6 3 7" xfId="43899" xr:uid="{00000000-0005-0000-0000-0000C6C50000}"/>
    <cellStyle name="Normal 9 3 2 6 3 8" xfId="49376" xr:uid="{00000000-0005-0000-0000-0000C7C50000}"/>
    <cellStyle name="Normal 9 3 2 6 3 9" xfId="54894" xr:uid="{00000000-0005-0000-0000-0000C8C50000}"/>
    <cellStyle name="Normal 9 3 2 6 4" xfId="7206" xr:uid="{00000000-0005-0000-0000-0000C9C50000}"/>
    <cellStyle name="Normal 9 3 2 6 5" xfId="12685" xr:uid="{00000000-0005-0000-0000-0000CAC50000}"/>
    <cellStyle name="Normal 9 3 2 6 6" xfId="18161" xr:uid="{00000000-0005-0000-0000-0000CBC50000}"/>
    <cellStyle name="Normal 9 3 2 6 7" xfId="23637" xr:uid="{00000000-0005-0000-0000-0000CCC50000}"/>
    <cellStyle name="Normal 9 3 2 6 8" xfId="35432" xr:uid="{00000000-0005-0000-0000-0000CDC50000}"/>
    <cellStyle name="Normal 9 3 2 6 9" xfId="40909" xr:uid="{00000000-0005-0000-0000-0000CEC50000}"/>
    <cellStyle name="Normal 9 3 2 7" xfId="1357" xr:uid="{00000000-0005-0000-0000-0000CFC50000}"/>
    <cellStyle name="Normal 9 3 2 7 10" xfId="46387" xr:uid="{00000000-0005-0000-0000-0000D0C50000}"/>
    <cellStyle name="Normal 9 3 2 7 11" xfId="51866" xr:uid="{00000000-0005-0000-0000-0000D1C50000}"/>
    <cellStyle name="Normal 9 3 2 7 2" xfId="3118" xr:uid="{00000000-0005-0000-0000-0000D2C50000}"/>
    <cellStyle name="Normal 9 3 2 7 2 2" xfId="8598" xr:uid="{00000000-0005-0000-0000-0000D3C50000}"/>
    <cellStyle name="Normal 9 3 2 7 2 3" xfId="14074" xr:uid="{00000000-0005-0000-0000-0000D4C50000}"/>
    <cellStyle name="Normal 9 3 2 7 2 4" xfId="19550" xr:uid="{00000000-0005-0000-0000-0000D5C50000}"/>
    <cellStyle name="Normal 9 3 2 7 2 5" xfId="25026" xr:uid="{00000000-0005-0000-0000-0000D6C50000}"/>
    <cellStyle name="Normal 9 3 2 7 2 6" xfId="36822" xr:uid="{00000000-0005-0000-0000-0000D7C50000}"/>
    <cellStyle name="Normal 9 3 2 7 2 7" xfId="42299" xr:uid="{00000000-0005-0000-0000-0000D8C50000}"/>
    <cellStyle name="Normal 9 3 2 7 2 8" xfId="47776" xr:uid="{00000000-0005-0000-0000-0000D9C50000}"/>
    <cellStyle name="Normal 9 3 2 7 2 9" xfId="53294" xr:uid="{00000000-0005-0000-0000-0000DAC50000}"/>
    <cellStyle name="Normal 9 3 2 7 3" xfId="4890" xr:uid="{00000000-0005-0000-0000-0000DBC50000}"/>
    <cellStyle name="Normal 9 3 2 7 3 2" xfId="10370" xr:uid="{00000000-0005-0000-0000-0000DCC50000}"/>
    <cellStyle name="Normal 9 3 2 7 3 3" xfId="15846" xr:uid="{00000000-0005-0000-0000-0000DDC50000}"/>
    <cellStyle name="Normal 9 3 2 7 3 4" xfId="21322" xr:uid="{00000000-0005-0000-0000-0000DEC50000}"/>
    <cellStyle name="Normal 9 3 2 7 3 5" xfId="26798" xr:uid="{00000000-0005-0000-0000-0000DFC50000}"/>
    <cellStyle name="Normal 9 3 2 7 3 6" xfId="38594" xr:uid="{00000000-0005-0000-0000-0000E0C50000}"/>
    <cellStyle name="Normal 9 3 2 7 3 7" xfId="44071" xr:uid="{00000000-0005-0000-0000-0000E1C50000}"/>
    <cellStyle name="Normal 9 3 2 7 3 8" xfId="49548" xr:uid="{00000000-0005-0000-0000-0000E2C50000}"/>
    <cellStyle name="Normal 9 3 2 7 3 9" xfId="55066" xr:uid="{00000000-0005-0000-0000-0000E3C50000}"/>
    <cellStyle name="Normal 9 3 2 7 4" xfId="7207" xr:uid="{00000000-0005-0000-0000-0000E4C50000}"/>
    <cellStyle name="Normal 9 3 2 7 5" xfId="12686" xr:uid="{00000000-0005-0000-0000-0000E5C50000}"/>
    <cellStyle name="Normal 9 3 2 7 6" xfId="18162" xr:uid="{00000000-0005-0000-0000-0000E6C50000}"/>
    <cellStyle name="Normal 9 3 2 7 7" xfId="23638" xr:uid="{00000000-0005-0000-0000-0000E7C50000}"/>
    <cellStyle name="Normal 9 3 2 7 8" xfId="35433" xr:uid="{00000000-0005-0000-0000-0000E8C50000}"/>
    <cellStyle name="Normal 9 3 2 7 9" xfId="40910" xr:uid="{00000000-0005-0000-0000-0000E9C50000}"/>
    <cellStyle name="Normal 9 3 2 8" xfId="1529" xr:uid="{00000000-0005-0000-0000-0000EAC50000}"/>
    <cellStyle name="Normal 9 3 2 8 10" xfId="46388" xr:uid="{00000000-0005-0000-0000-0000EBC50000}"/>
    <cellStyle name="Normal 9 3 2 8 11" xfId="51867" xr:uid="{00000000-0005-0000-0000-0000ECC50000}"/>
    <cellStyle name="Normal 9 3 2 8 2" xfId="3290" xr:uid="{00000000-0005-0000-0000-0000EDC50000}"/>
    <cellStyle name="Normal 9 3 2 8 2 2" xfId="8770" xr:uid="{00000000-0005-0000-0000-0000EEC50000}"/>
    <cellStyle name="Normal 9 3 2 8 2 3" xfId="14246" xr:uid="{00000000-0005-0000-0000-0000EFC50000}"/>
    <cellStyle name="Normal 9 3 2 8 2 4" xfId="19722" xr:uid="{00000000-0005-0000-0000-0000F0C50000}"/>
    <cellStyle name="Normal 9 3 2 8 2 5" xfId="25198" xr:uid="{00000000-0005-0000-0000-0000F1C50000}"/>
    <cellStyle name="Normal 9 3 2 8 2 6" xfId="36994" xr:uid="{00000000-0005-0000-0000-0000F2C50000}"/>
    <cellStyle name="Normal 9 3 2 8 2 7" xfId="42471" xr:uid="{00000000-0005-0000-0000-0000F3C50000}"/>
    <cellStyle name="Normal 9 3 2 8 2 8" xfId="47948" xr:uid="{00000000-0005-0000-0000-0000F4C50000}"/>
    <cellStyle name="Normal 9 3 2 8 2 9" xfId="53466" xr:uid="{00000000-0005-0000-0000-0000F5C50000}"/>
    <cellStyle name="Normal 9 3 2 8 3" xfId="5062" xr:uid="{00000000-0005-0000-0000-0000F6C50000}"/>
    <cellStyle name="Normal 9 3 2 8 3 2" xfId="10542" xr:uid="{00000000-0005-0000-0000-0000F7C50000}"/>
    <cellStyle name="Normal 9 3 2 8 3 3" xfId="16018" xr:uid="{00000000-0005-0000-0000-0000F8C50000}"/>
    <cellStyle name="Normal 9 3 2 8 3 4" xfId="21494" xr:uid="{00000000-0005-0000-0000-0000F9C50000}"/>
    <cellStyle name="Normal 9 3 2 8 3 5" xfId="26970" xr:uid="{00000000-0005-0000-0000-0000FAC50000}"/>
    <cellStyle name="Normal 9 3 2 8 3 6" xfId="38766" xr:uid="{00000000-0005-0000-0000-0000FBC50000}"/>
    <cellStyle name="Normal 9 3 2 8 3 7" xfId="44243" xr:uid="{00000000-0005-0000-0000-0000FCC50000}"/>
    <cellStyle name="Normal 9 3 2 8 3 8" xfId="49720" xr:uid="{00000000-0005-0000-0000-0000FDC50000}"/>
    <cellStyle name="Normal 9 3 2 8 3 9" xfId="55238" xr:uid="{00000000-0005-0000-0000-0000FEC50000}"/>
    <cellStyle name="Normal 9 3 2 8 4" xfId="7208" xr:uid="{00000000-0005-0000-0000-0000FFC50000}"/>
    <cellStyle name="Normal 9 3 2 8 5" xfId="12687" xr:uid="{00000000-0005-0000-0000-000000C60000}"/>
    <cellStyle name="Normal 9 3 2 8 6" xfId="18163" xr:uid="{00000000-0005-0000-0000-000001C60000}"/>
    <cellStyle name="Normal 9 3 2 8 7" xfId="23639" xr:uid="{00000000-0005-0000-0000-000002C60000}"/>
    <cellStyle name="Normal 9 3 2 8 8" xfId="35434" xr:uid="{00000000-0005-0000-0000-000003C60000}"/>
    <cellStyle name="Normal 9 3 2 8 9" xfId="40911" xr:uid="{00000000-0005-0000-0000-000004C60000}"/>
    <cellStyle name="Normal 9 3 2 9" xfId="1701" xr:uid="{00000000-0005-0000-0000-000005C60000}"/>
    <cellStyle name="Normal 9 3 2 9 10" xfId="46389" xr:uid="{00000000-0005-0000-0000-000006C60000}"/>
    <cellStyle name="Normal 9 3 2 9 11" xfId="51868" xr:uid="{00000000-0005-0000-0000-000007C60000}"/>
    <cellStyle name="Normal 9 3 2 9 2" xfId="3462" xr:uid="{00000000-0005-0000-0000-000008C60000}"/>
    <cellStyle name="Normal 9 3 2 9 2 2" xfId="8942" xr:uid="{00000000-0005-0000-0000-000009C60000}"/>
    <cellStyle name="Normal 9 3 2 9 2 3" xfId="14418" xr:uid="{00000000-0005-0000-0000-00000AC60000}"/>
    <cellStyle name="Normal 9 3 2 9 2 4" xfId="19894" xr:uid="{00000000-0005-0000-0000-00000BC60000}"/>
    <cellStyle name="Normal 9 3 2 9 2 5" xfId="25370" xr:uid="{00000000-0005-0000-0000-00000CC60000}"/>
    <cellStyle name="Normal 9 3 2 9 2 6" xfId="37166" xr:uid="{00000000-0005-0000-0000-00000DC60000}"/>
    <cellStyle name="Normal 9 3 2 9 2 7" xfId="42643" xr:uid="{00000000-0005-0000-0000-00000EC60000}"/>
    <cellStyle name="Normal 9 3 2 9 2 8" xfId="48120" xr:uid="{00000000-0005-0000-0000-00000FC60000}"/>
    <cellStyle name="Normal 9 3 2 9 2 9" xfId="53638" xr:uid="{00000000-0005-0000-0000-000010C60000}"/>
    <cellStyle name="Normal 9 3 2 9 3" xfId="5234" xr:uid="{00000000-0005-0000-0000-000011C60000}"/>
    <cellStyle name="Normal 9 3 2 9 3 2" xfId="10714" xr:uid="{00000000-0005-0000-0000-000012C60000}"/>
    <cellStyle name="Normal 9 3 2 9 3 3" xfId="16190" xr:uid="{00000000-0005-0000-0000-000013C60000}"/>
    <cellStyle name="Normal 9 3 2 9 3 4" xfId="21666" xr:uid="{00000000-0005-0000-0000-000014C60000}"/>
    <cellStyle name="Normal 9 3 2 9 3 5" xfId="27142" xr:uid="{00000000-0005-0000-0000-000015C60000}"/>
    <cellStyle name="Normal 9 3 2 9 3 6" xfId="38938" xr:uid="{00000000-0005-0000-0000-000016C60000}"/>
    <cellStyle name="Normal 9 3 2 9 3 7" xfId="44415" xr:uid="{00000000-0005-0000-0000-000017C60000}"/>
    <cellStyle name="Normal 9 3 2 9 3 8" xfId="49892" xr:uid="{00000000-0005-0000-0000-000018C60000}"/>
    <cellStyle name="Normal 9 3 2 9 3 9" xfId="55410" xr:uid="{00000000-0005-0000-0000-000019C60000}"/>
    <cellStyle name="Normal 9 3 2 9 4" xfId="7209" xr:uid="{00000000-0005-0000-0000-00001AC60000}"/>
    <cellStyle name="Normal 9 3 2 9 5" xfId="12688" xr:uid="{00000000-0005-0000-0000-00001BC60000}"/>
    <cellStyle name="Normal 9 3 2 9 6" xfId="18164" xr:uid="{00000000-0005-0000-0000-00001CC60000}"/>
    <cellStyle name="Normal 9 3 2 9 7" xfId="23640" xr:uid="{00000000-0005-0000-0000-00001DC60000}"/>
    <cellStyle name="Normal 9 3 2 9 8" xfId="35435" xr:uid="{00000000-0005-0000-0000-00001EC60000}"/>
    <cellStyle name="Normal 9 3 2 9 9" xfId="40912" xr:uid="{00000000-0005-0000-0000-00001FC60000}"/>
    <cellStyle name="Normal 9 3 20" xfId="40900" xr:uid="{00000000-0005-0000-0000-000020C60000}"/>
    <cellStyle name="Normal 9 3 21" xfId="46377" xr:uid="{00000000-0005-0000-0000-000021C60000}"/>
    <cellStyle name="Normal 9 3 22" xfId="51856" xr:uid="{00000000-0005-0000-0000-000022C60000}"/>
    <cellStyle name="Normal 9 3 3" xfId="458" xr:uid="{00000000-0005-0000-0000-000023C60000}"/>
    <cellStyle name="Normal 9 3 3 10" xfId="40913" xr:uid="{00000000-0005-0000-0000-000024C60000}"/>
    <cellStyle name="Normal 9 3 3 11" xfId="46390" xr:uid="{00000000-0005-0000-0000-000025C60000}"/>
    <cellStyle name="Normal 9 3 3 12" xfId="51869" xr:uid="{00000000-0005-0000-0000-000026C60000}"/>
    <cellStyle name="Normal 9 3 3 2" xfId="2223" xr:uid="{00000000-0005-0000-0000-000027C60000}"/>
    <cellStyle name="Normal 9 3 3 2 2" xfId="7703" xr:uid="{00000000-0005-0000-0000-000028C60000}"/>
    <cellStyle name="Normal 9 3 3 2 3" xfId="13179" xr:uid="{00000000-0005-0000-0000-000029C60000}"/>
    <cellStyle name="Normal 9 3 3 2 4" xfId="18655" xr:uid="{00000000-0005-0000-0000-00002AC60000}"/>
    <cellStyle name="Normal 9 3 3 2 5" xfId="24131" xr:uid="{00000000-0005-0000-0000-00002BC60000}"/>
    <cellStyle name="Normal 9 3 3 2 6" xfId="35927" xr:uid="{00000000-0005-0000-0000-00002CC60000}"/>
    <cellStyle name="Normal 9 3 3 2 7" xfId="41404" xr:uid="{00000000-0005-0000-0000-00002DC60000}"/>
    <cellStyle name="Normal 9 3 3 2 8" xfId="46881" xr:uid="{00000000-0005-0000-0000-00002EC60000}"/>
    <cellStyle name="Normal 9 3 3 2 9" xfId="52399" xr:uid="{00000000-0005-0000-0000-00002FC60000}"/>
    <cellStyle name="Normal 9 3 3 3" xfId="3995" xr:uid="{00000000-0005-0000-0000-000030C60000}"/>
    <cellStyle name="Normal 9 3 3 3 2" xfId="9475" xr:uid="{00000000-0005-0000-0000-000031C60000}"/>
    <cellStyle name="Normal 9 3 3 3 3" xfId="14951" xr:uid="{00000000-0005-0000-0000-000032C60000}"/>
    <cellStyle name="Normal 9 3 3 3 4" xfId="20427" xr:uid="{00000000-0005-0000-0000-000033C60000}"/>
    <cellStyle name="Normal 9 3 3 3 5" xfId="25903" xr:uid="{00000000-0005-0000-0000-000034C60000}"/>
    <cellStyle name="Normal 9 3 3 3 6" xfId="37699" xr:uid="{00000000-0005-0000-0000-000035C60000}"/>
    <cellStyle name="Normal 9 3 3 3 7" xfId="43176" xr:uid="{00000000-0005-0000-0000-000036C60000}"/>
    <cellStyle name="Normal 9 3 3 3 8" xfId="48653" xr:uid="{00000000-0005-0000-0000-000037C60000}"/>
    <cellStyle name="Normal 9 3 3 3 9" xfId="54171" xr:uid="{00000000-0005-0000-0000-000038C60000}"/>
    <cellStyle name="Normal 9 3 3 4" xfId="7210" xr:uid="{00000000-0005-0000-0000-000039C60000}"/>
    <cellStyle name="Normal 9 3 3 5" xfId="12689" xr:uid="{00000000-0005-0000-0000-00003AC60000}"/>
    <cellStyle name="Normal 9 3 3 6" xfId="18165" xr:uid="{00000000-0005-0000-0000-00003BC60000}"/>
    <cellStyle name="Normal 9 3 3 7" xfId="23641" xr:uid="{00000000-0005-0000-0000-00003CC60000}"/>
    <cellStyle name="Normal 9 3 3 8" xfId="33345" xr:uid="{00000000-0005-0000-0000-00003DC60000}"/>
    <cellStyle name="Normal 9 3 3 9" xfId="35436" xr:uid="{00000000-0005-0000-0000-00003EC60000}"/>
    <cellStyle name="Normal 9 3 4" xfId="634" xr:uid="{00000000-0005-0000-0000-00003FC60000}"/>
    <cellStyle name="Normal 9 3 4 10" xfId="46391" xr:uid="{00000000-0005-0000-0000-000040C60000}"/>
    <cellStyle name="Normal 9 3 4 11" xfId="51870" xr:uid="{00000000-0005-0000-0000-000041C60000}"/>
    <cellStyle name="Normal 9 3 4 2" xfId="2395" xr:uid="{00000000-0005-0000-0000-000042C60000}"/>
    <cellStyle name="Normal 9 3 4 2 2" xfId="7875" xr:uid="{00000000-0005-0000-0000-000043C60000}"/>
    <cellStyle name="Normal 9 3 4 2 3" xfId="13351" xr:uid="{00000000-0005-0000-0000-000044C60000}"/>
    <cellStyle name="Normal 9 3 4 2 4" xfId="18827" xr:uid="{00000000-0005-0000-0000-000045C60000}"/>
    <cellStyle name="Normal 9 3 4 2 5" xfId="24303" xr:uid="{00000000-0005-0000-0000-000046C60000}"/>
    <cellStyle name="Normal 9 3 4 2 6" xfId="36099" xr:uid="{00000000-0005-0000-0000-000047C60000}"/>
    <cellStyle name="Normal 9 3 4 2 7" xfId="41576" xr:uid="{00000000-0005-0000-0000-000048C60000}"/>
    <cellStyle name="Normal 9 3 4 2 8" xfId="47053" xr:uid="{00000000-0005-0000-0000-000049C60000}"/>
    <cellStyle name="Normal 9 3 4 2 9" xfId="52571" xr:uid="{00000000-0005-0000-0000-00004AC60000}"/>
    <cellStyle name="Normal 9 3 4 3" xfId="4167" xr:uid="{00000000-0005-0000-0000-00004BC60000}"/>
    <cellStyle name="Normal 9 3 4 3 2" xfId="9647" xr:uid="{00000000-0005-0000-0000-00004CC60000}"/>
    <cellStyle name="Normal 9 3 4 3 3" xfId="15123" xr:uid="{00000000-0005-0000-0000-00004DC60000}"/>
    <cellStyle name="Normal 9 3 4 3 4" xfId="20599" xr:uid="{00000000-0005-0000-0000-00004EC60000}"/>
    <cellStyle name="Normal 9 3 4 3 5" xfId="26075" xr:uid="{00000000-0005-0000-0000-00004FC60000}"/>
    <cellStyle name="Normal 9 3 4 3 6" xfId="37871" xr:uid="{00000000-0005-0000-0000-000050C60000}"/>
    <cellStyle name="Normal 9 3 4 3 7" xfId="43348" xr:uid="{00000000-0005-0000-0000-000051C60000}"/>
    <cellStyle name="Normal 9 3 4 3 8" xfId="48825" xr:uid="{00000000-0005-0000-0000-000052C60000}"/>
    <cellStyle name="Normal 9 3 4 3 9" xfId="54343" xr:uid="{00000000-0005-0000-0000-000053C60000}"/>
    <cellStyle name="Normal 9 3 4 4" xfId="7211" xr:uid="{00000000-0005-0000-0000-000054C60000}"/>
    <cellStyle name="Normal 9 3 4 5" xfId="12690" xr:uid="{00000000-0005-0000-0000-000055C60000}"/>
    <cellStyle name="Normal 9 3 4 6" xfId="18166" xr:uid="{00000000-0005-0000-0000-000056C60000}"/>
    <cellStyle name="Normal 9 3 4 7" xfId="23642" xr:uid="{00000000-0005-0000-0000-000057C60000}"/>
    <cellStyle name="Normal 9 3 4 8" xfId="35437" xr:uid="{00000000-0005-0000-0000-000058C60000}"/>
    <cellStyle name="Normal 9 3 4 9" xfId="40914" xr:uid="{00000000-0005-0000-0000-000059C60000}"/>
    <cellStyle name="Normal 9 3 5" xfId="806" xr:uid="{00000000-0005-0000-0000-00005AC60000}"/>
    <cellStyle name="Normal 9 3 5 10" xfId="46392" xr:uid="{00000000-0005-0000-0000-00005BC60000}"/>
    <cellStyle name="Normal 9 3 5 11" xfId="51871" xr:uid="{00000000-0005-0000-0000-00005CC60000}"/>
    <cellStyle name="Normal 9 3 5 2" xfId="2567" xr:uid="{00000000-0005-0000-0000-00005DC60000}"/>
    <cellStyle name="Normal 9 3 5 2 2" xfId="8047" xr:uid="{00000000-0005-0000-0000-00005EC60000}"/>
    <cellStyle name="Normal 9 3 5 2 3" xfId="13523" xr:uid="{00000000-0005-0000-0000-00005FC60000}"/>
    <cellStyle name="Normal 9 3 5 2 4" xfId="18999" xr:uid="{00000000-0005-0000-0000-000060C60000}"/>
    <cellStyle name="Normal 9 3 5 2 5" xfId="24475" xr:uid="{00000000-0005-0000-0000-000061C60000}"/>
    <cellStyle name="Normal 9 3 5 2 6" xfId="36271" xr:uid="{00000000-0005-0000-0000-000062C60000}"/>
    <cellStyle name="Normal 9 3 5 2 7" xfId="41748" xr:uid="{00000000-0005-0000-0000-000063C60000}"/>
    <cellStyle name="Normal 9 3 5 2 8" xfId="47225" xr:uid="{00000000-0005-0000-0000-000064C60000}"/>
    <cellStyle name="Normal 9 3 5 2 9" xfId="52743" xr:uid="{00000000-0005-0000-0000-000065C60000}"/>
    <cellStyle name="Normal 9 3 5 3" xfId="4339" xr:uid="{00000000-0005-0000-0000-000066C60000}"/>
    <cellStyle name="Normal 9 3 5 3 2" xfId="9819" xr:uid="{00000000-0005-0000-0000-000067C60000}"/>
    <cellStyle name="Normal 9 3 5 3 3" xfId="15295" xr:uid="{00000000-0005-0000-0000-000068C60000}"/>
    <cellStyle name="Normal 9 3 5 3 4" xfId="20771" xr:uid="{00000000-0005-0000-0000-000069C60000}"/>
    <cellStyle name="Normal 9 3 5 3 5" xfId="26247" xr:uid="{00000000-0005-0000-0000-00006AC60000}"/>
    <cellStyle name="Normal 9 3 5 3 6" xfId="38043" xr:uid="{00000000-0005-0000-0000-00006BC60000}"/>
    <cellStyle name="Normal 9 3 5 3 7" xfId="43520" xr:uid="{00000000-0005-0000-0000-00006CC60000}"/>
    <cellStyle name="Normal 9 3 5 3 8" xfId="48997" xr:uid="{00000000-0005-0000-0000-00006DC60000}"/>
    <cellStyle name="Normal 9 3 5 3 9" xfId="54515" xr:uid="{00000000-0005-0000-0000-00006EC60000}"/>
    <cellStyle name="Normal 9 3 5 4" xfId="7212" xr:uid="{00000000-0005-0000-0000-00006FC60000}"/>
    <cellStyle name="Normal 9 3 5 5" xfId="12691" xr:uid="{00000000-0005-0000-0000-000070C60000}"/>
    <cellStyle name="Normal 9 3 5 6" xfId="18167" xr:uid="{00000000-0005-0000-0000-000071C60000}"/>
    <cellStyle name="Normal 9 3 5 7" xfId="23643" xr:uid="{00000000-0005-0000-0000-000072C60000}"/>
    <cellStyle name="Normal 9 3 5 8" xfId="35438" xr:uid="{00000000-0005-0000-0000-000073C60000}"/>
    <cellStyle name="Normal 9 3 5 9" xfId="40915" xr:uid="{00000000-0005-0000-0000-000074C60000}"/>
    <cellStyle name="Normal 9 3 6" xfId="978" xr:uid="{00000000-0005-0000-0000-000075C60000}"/>
    <cellStyle name="Normal 9 3 6 10" xfId="46393" xr:uid="{00000000-0005-0000-0000-000076C60000}"/>
    <cellStyle name="Normal 9 3 6 11" xfId="51872" xr:uid="{00000000-0005-0000-0000-000077C60000}"/>
    <cellStyle name="Normal 9 3 6 2" xfId="2739" xr:uid="{00000000-0005-0000-0000-000078C60000}"/>
    <cellStyle name="Normal 9 3 6 2 2" xfId="8219" xr:uid="{00000000-0005-0000-0000-000079C60000}"/>
    <cellStyle name="Normal 9 3 6 2 3" xfId="13695" xr:uid="{00000000-0005-0000-0000-00007AC60000}"/>
    <cellStyle name="Normal 9 3 6 2 4" xfId="19171" xr:uid="{00000000-0005-0000-0000-00007BC60000}"/>
    <cellStyle name="Normal 9 3 6 2 5" xfId="24647" xr:uid="{00000000-0005-0000-0000-00007CC60000}"/>
    <cellStyle name="Normal 9 3 6 2 6" xfId="36443" xr:uid="{00000000-0005-0000-0000-00007DC60000}"/>
    <cellStyle name="Normal 9 3 6 2 7" xfId="41920" xr:uid="{00000000-0005-0000-0000-00007EC60000}"/>
    <cellStyle name="Normal 9 3 6 2 8" xfId="47397" xr:uid="{00000000-0005-0000-0000-00007FC60000}"/>
    <cellStyle name="Normal 9 3 6 2 9" xfId="52915" xr:uid="{00000000-0005-0000-0000-000080C60000}"/>
    <cellStyle name="Normal 9 3 6 3" xfId="4511" xr:uid="{00000000-0005-0000-0000-000081C60000}"/>
    <cellStyle name="Normal 9 3 6 3 2" xfId="9991" xr:uid="{00000000-0005-0000-0000-000082C60000}"/>
    <cellStyle name="Normal 9 3 6 3 3" xfId="15467" xr:uid="{00000000-0005-0000-0000-000083C60000}"/>
    <cellStyle name="Normal 9 3 6 3 4" xfId="20943" xr:uid="{00000000-0005-0000-0000-000084C60000}"/>
    <cellStyle name="Normal 9 3 6 3 5" xfId="26419" xr:uid="{00000000-0005-0000-0000-000085C60000}"/>
    <cellStyle name="Normal 9 3 6 3 6" xfId="38215" xr:uid="{00000000-0005-0000-0000-000086C60000}"/>
    <cellStyle name="Normal 9 3 6 3 7" xfId="43692" xr:uid="{00000000-0005-0000-0000-000087C60000}"/>
    <cellStyle name="Normal 9 3 6 3 8" xfId="49169" xr:uid="{00000000-0005-0000-0000-000088C60000}"/>
    <cellStyle name="Normal 9 3 6 3 9" xfId="54687" xr:uid="{00000000-0005-0000-0000-000089C60000}"/>
    <cellStyle name="Normal 9 3 6 4" xfId="7213" xr:uid="{00000000-0005-0000-0000-00008AC60000}"/>
    <cellStyle name="Normal 9 3 6 5" xfId="12692" xr:uid="{00000000-0005-0000-0000-00008BC60000}"/>
    <cellStyle name="Normal 9 3 6 6" xfId="18168" xr:uid="{00000000-0005-0000-0000-00008CC60000}"/>
    <cellStyle name="Normal 9 3 6 7" xfId="23644" xr:uid="{00000000-0005-0000-0000-00008DC60000}"/>
    <cellStyle name="Normal 9 3 6 8" xfId="35439" xr:uid="{00000000-0005-0000-0000-00008EC60000}"/>
    <cellStyle name="Normal 9 3 6 9" xfId="40916" xr:uid="{00000000-0005-0000-0000-00008FC60000}"/>
    <cellStyle name="Normal 9 3 7" xfId="1184" xr:uid="{00000000-0005-0000-0000-000090C60000}"/>
    <cellStyle name="Normal 9 3 7 10" xfId="46394" xr:uid="{00000000-0005-0000-0000-000091C60000}"/>
    <cellStyle name="Normal 9 3 7 11" xfId="51873" xr:uid="{00000000-0005-0000-0000-000092C60000}"/>
    <cellStyle name="Normal 9 3 7 2" xfId="2945" xr:uid="{00000000-0005-0000-0000-000093C60000}"/>
    <cellStyle name="Normal 9 3 7 2 2" xfId="8425" xr:uid="{00000000-0005-0000-0000-000094C60000}"/>
    <cellStyle name="Normal 9 3 7 2 3" xfId="13901" xr:uid="{00000000-0005-0000-0000-000095C60000}"/>
    <cellStyle name="Normal 9 3 7 2 4" xfId="19377" xr:uid="{00000000-0005-0000-0000-000096C60000}"/>
    <cellStyle name="Normal 9 3 7 2 5" xfId="24853" xr:uid="{00000000-0005-0000-0000-000097C60000}"/>
    <cellStyle name="Normal 9 3 7 2 6" xfId="36649" xr:uid="{00000000-0005-0000-0000-000098C60000}"/>
    <cellStyle name="Normal 9 3 7 2 7" xfId="42126" xr:uid="{00000000-0005-0000-0000-000099C60000}"/>
    <cellStyle name="Normal 9 3 7 2 8" xfId="47603" xr:uid="{00000000-0005-0000-0000-00009AC60000}"/>
    <cellStyle name="Normal 9 3 7 2 9" xfId="53121" xr:uid="{00000000-0005-0000-0000-00009BC60000}"/>
    <cellStyle name="Normal 9 3 7 3" xfId="4717" xr:uid="{00000000-0005-0000-0000-00009CC60000}"/>
    <cellStyle name="Normal 9 3 7 3 2" xfId="10197" xr:uid="{00000000-0005-0000-0000-00009DC60000}"/>
    <cellStyle name="Normal 9 3 7 3 3" xfId="15673" xr:uid="{00000000-0005-0000-0000-00009EC60000}"/>
    <cellStyle name="Normal 9 3 7 3 4" xfId="21149" xr:uid="{00000000-0005-0000-0000-00009FC60000}"/>
    <cellStyle name="Normal 9 3 7 3 5" xfId="26625" xr:uid="{00000000-0005-0000-0000-0000A0C60000}"/>
    <cellStyle name="Normal 9 3 7 3 6" xfId="38421" xr:uid="{00000000-0005-0000-0000-0000A1C60000}"/>
    <cellStyle name="Normal 9 3 7 3 7" xfId="43898" xr:uid="{00000000-0005-0000-0000-0000A2C60000}"/>
    <cellStyle name="Normal 9 3 7 3 8" xfId="49375" xr:uid="{00000000-0005-0000-0000-0000A3C60000}"/>
    <cellStyle name="Normal 9 3 7 3 9" xfId="54893" xr:uid="{00000000-0005-0000-0000-0000A4C60000}"/>
    <cellStyle name="Normal 9 3 7 4" xfId="7214" xr:uid="{00000000-0005-0000-0000-0000A5C60000}"/>
    <cellStyle name="Normal 9 3 7 5" xfId="12693" xr:uid="{00000000-0005-0000-0000-0000A6C60000}"/>
    <cellStyle name="Normal 9 3 7 6" xfId="18169" xr:uid="{00000000-0005-0000-0000-0000A7C60000}"/>
    <cellStyle name="Normal 9 3 7 7" xfId="23645" xr:uid="{00000000-0005-0000-0000-0000A8C60000}"/>
    <cellStyle name="Normal 9 3 7 8" xfId="35440" xr:uid="{00000000-0005-0000-0000-0000A9C60000}"/>
    <cellStyle name="Normal 9 3 7 9" xfId="40917" xr:uid="{00000000-0005-0000-0000-0000AAC60000}"/>
    <cellStyle name="Normal 9 3 8" xfId="1356" xr:uid="{00000000-0005-0000-0000-0000ABC60000}"/>
    <cellStyle name="Normal 9 3 8 10" xfId="46395" xr:uid="{00000000-0005-0000-0000-0000ACC60000}"/>
    <cellStyle name="Normal 9 3 8 11" xfId="51874" xr:uid="{00000000-0005-0000-0000-0000ADC60000}"/>
    <cellStyle name="Normal 9 3 8 2" xfId="3117" xr:uid="{00000000-0005-0000-0000-0000AEC60000}"/>
    <cellStyle name="Normal 9 3 8 2 2" xfId="8597" xr:uid="{00000000-0005-0000-0000-0000AFC60000}"/>
    <cellStyle name="Normal 9 3 8 2 3" xfId="14073" xr:uid="{00000000-0005-0000-0000-0000B0C60000}"/>
    <cellStyle name="Normal 9 3 8 2 4" xfId="19549" xr:uid="{00000000-0005-0000-0000-0000B1C60000}"/>
    <cellStyle name="Normal 9 3 8 2 5" xfId="25025" xr:uid="{00000000-0005-0000-0000-0000B2C60000}"/>
    <cellStyle name="Normal 9 3 8 2 6" xfId="36821" xr:uid="{00000000-0005-0000-0000-0000B3C60000}"/>
    <cellStyle name="Normal 9 3 8 2 7" xfId="42298" xr:uid="{00000000-0005-0000-0000-0000B4C60000}"/>
    <cellStyle name="Normal 9 3 8 2 8" xfId="47775" xr:uid="{00000000-0005-0000-0000-0000B5C60000}"/>
    <cellStyle name="Normal 9 3 8 2 9" xfId="53293" xr:uid="{00000000-0005-0000-0000-0000B6C60000}"/>
    <cellStyle name="Normal 9 3 8 3" xfId="4889" xr:uid="{00000000-0005-0000-0000-0000B7C60000}"/>
    <cellStyle name="Normal 9 3 8 3 2" xfId="10369" xr:uid="{00000000-0005-0000-0000-0000B8C60000}"/>
    <cellStyle name="Normal 9 3 8 3 3" xfId="15845" xr:uid="{00000000-0005-0000-0000-0000B9C60000}"/>
    <cellStyle name="Normal 9 3 8 3 4" xfId="21321" xr:uid="{00000000-0005-0000-0000-0000BAC60000}"/>
    <cellStyle name="Normal 9 3 8 3 5" xfId="26797" xr:uid="{00000000-0005-0000-0000-0000BBC60000}"/>
    <cellStyle name="Normal 9 3 8 3 6" xfId="38593" xr:uid="{00000000-0005-0000-0000-0000BCC60000}"/>
    <cellStyle name="Normal 9 3 8 3 7" xfId="44070" xr:uid="{00000000-0005-0000-0000-0000BDC60000}"/>
    <cellStyle name="Normal 9 3 8 3 8" xfId="49547" xr:uid="{00000000-0005-0000-0000-0000BEC60000}"/>
    <cellStyle name="Normal 9 3 8 3 9" xfId="55065" xr:uid="{00000000-0005-0000-0000-0000BFC60000}"/>
    <cellStyle name="Normal 9 3 8 4" xfId="7215" xr:uid="{00000000-0005-0000-0000-0000C0C60000}"/>
    <cellStyle name="Normal 9 3 8 5" xfId="12694" xr:uid="{00000000-0005-0000-0000-0000C1C60000}"/>
    <cellStyle name="Normal 9 3 8 6" xfId="18170" xr:uid="{00000000-0005-0000-0000-0000C2C60000}"/>
    <cellStyle name="Normal 9 3 8 7" xfId="23646" xr:uid="{00000000-0005-0000-0000-0000C3C60000}"/>
    <cellStyle name="Normal 9 3 8 8" xfId="35441" xr:uid="{00000000-0005-0000-0000-0000C4C60000}"/>
    <cellStyle name="Normal 9 3 8 9" xfId="40918" xr:uid="{00000000-0005-0000-0000-0000C5C60000}"/>
    <cellStyle name="Normal 9 3 9" xfId="1528" xr:uid="{00000000-0005-0000-0000-0000C6C60000}"/>
    <cellStyle name="Normal 9 3 9 10" xfId="46396" xr:uid="{00000000-0005-0000-0000-0000C7C60000}"/>
    <cellStyle name="Normal 9 3 9 11" xfId="51875" xr:uid="{00000000-0005-0000-0000-0000C8C60000}"/>
    <cellStyle name="Normal 9 3 9 2" xfId="3289" xr:uid="{00000000-0005-0000-0000-0000C9C60000}"/>
    <cellStyle name="Normal 9 3 9 2 2" xfId="8769" xr:uid="{00000000-0005-0000-0000-0000CAC60000}"/>
    <cellStyle name="Normal 9 3 9 2 3" xfId="14245" xr:uid="{00000000-0005-0000-0000-0000CBC60000}"/>
    <cellStyle name="Normal 9 3 9 2 4" xfId="19721" xr:uid="{00000000-0005-0000-0000-0000CCC60000}"/>
    <cellStyle name="Normal 9 3 9 2 5" xfId="25197" xr:uid="{00000000-0005-0000-0000-0000CDC60000}"/>
    <cellStyle name="Normal 9 3 9 2 6" xfId="36993" xr:uid="{00000000-0005-0000-0000-0000CEC60000}"/>
    <cellStyle name="Normal 9 3 9 2 7" xfId="42470" xr:uid="{00000000-0005-0000-0000-0000CFC60000}"/>
    <cellStyle name="Normal 9 3 9 2 8" xfId="47947" xr:uid="{00000000-0005-0000-0000-0000D0C60000}"/>
    <cellStyle name="Normal 9 3 9 2 9" xfId="53465" xr:uid="{00000000-0005-0000-0000-0000D1C60000}"/>
    <cellStyle name="Normal 9 3 9 3" xfId="5061" xr:uid="{00000000-0005-0000-0000-0000D2C60000}"/>
    <cellStyle name="Normal 9 3 9 3 2" xfId="10541" xr:uid="{00000000-0005-0000-0000-0000D3C60000}"/>
    <cellStyle name="Normal 9 3 9 3 3" xfId="16017" xr:uid="{00000000-0005-0000-0000-0000D4C60000}"/>
    <cellStyle name="Normal 9 3 9 3 4" xfId="21493" xr:uid="{00000000-0005-0000-0000-0000D5C60000}"/>
    <cellStyle name="Normal 9 3 9 3 5" xfId="26969" xr:uid="{00000000-0005-0000-0000-0000D6C60000}"/>
    <cellStyle name="Normal 9 3 9 3 6" xfId="38765" xr:uid="{00000000-0005-0000-0000-0000D7C60000}"/>
    <cellStyle name="Normal 9 3 9 3 7" xfId="44242" xr:uid="{00000000-0005-0000-0000-0000D8C60000}"/>
    <cellStyle name="Normal 9 3 9 3 8" xfId="49719" xr:uid="{00000000-0005-0000-0000-0000D9C60000}"/>
    <cellStyle name="Normal 9 3 9 3 9" xfId="55237" xr:uid="{00000000-0005-0000-0000-0000DAC60000}"/>
    <cellStyle name="Normal 9 3 9 4" xfId="7216" xr:uid="{00000000-0005-0000-0000-0000DBC60000}"/>
    <cellStyle name="Normal 9 3 9 5" xfId="12695" xr:uid="{00000000-0005-0000-0000-0000DCC60000}"/>
    <cellStyle name="Normal 9 3 9 6" xfId="18171" xr:uid="{00000000-0005-0000-0000-0000DDC60000}"/>
    <cellStyle name="Normal 9 3 9 7" xfId="23647" xr:uid="{00000000-0005-0000-0000-0000DEC60000}"/>
    <cellStyle name="Normal 9 3 9 8" xfId="35442" xr:uid="{00000000-0005-0000-0000-0000DFC60000}"/>
    <cellStyle name="Normal 9 3 9 9" xfId="40919" xr:uid="{00000000-0005-0000-0000-0000E0C60000}"/>
    <cellStyle name="Normal 9 4" xfId="162" xr:uid="{00000000-0005-0000-0000-0000E1C60000}"/>
    <cellStyle name="Normal 9 4 10" xfId="1702" xr:uid="{00000000-0005-0000-0000-0000E2C60000}"/>
    <cellStyle name="Normal 9 4 10 10" xfId="46398" xr:uid="{00000000-0005-0000-0000-0000E3C60000}"/>
    <cellStyle name="Normal 9 4 10 11" xfId="51877" xr:uid="{00000000-0005-0000-0000-0000E4C60000}"/>
    <cellStyle name="Normal 9 4 10 2" xfId="3463" xr:uid="{00000000-0005-0000-0000-0000E5C60000}"/>
    <cellStyle name="Normal 9 4 10 2 2" xfId="8943" xr:uid="{00000000-0005-0000-0000-0000E6C60000}"/>
    <cellStyle name="Normal 9 4 10 2 3" xfId="14419" xr:uid="{00000000-0005-0000-0000-0000E7C60000}"/>
    <cellStyle name="Normal 9 4 10 2 4" xfId="19895" xr:uid="{00000000-0005-0000-0000-0000E8C60000}"/>
    <cellStyle name="Normal 9 4 10 2 5" xfId="25371" xr:uid="{00000000-0005-0000-0000-0000E9C60000}"/>
    <cellStyle name="Normal 9 4 10 2 6" xfId="37167" xr:uid="{00000000-0005-0000-0000-0000EAC60000}"/>
    <cellStyle name="Normal 9 4 10 2 7" xfId="42644" xr:uid="{00000000-0005-0000-0000-0000EBC60000}"/>
    <cellStyle name="Normal 9 4 10 2 8" xfId="48121" xr:uid="{00000000-0005-0000-0000-0000ECC60000}"/>
    <cellStyle name="Normal 9 4 10 2 9" xfId="53639" xr:uid="{00000000-0005-0000-0000-0000EDC60000}"/>
    <cellStyle name="Normal 9 4 10 3" xfId="5235" xr:uid="{00000000-0005-0000-0000-0000EEC60000}"/>
    <cellStyle name="Normal 9 4 10 3 2" xfId="10715" xr:uid="{00000000-0005-0000-0000-0000EFC60000}"/>
    <cellStyle name="Normal 9 4 10 3 3" xfId="16191" xr:uid="{00000000-0005-0000-0000-0000F0C60000}"/>
    <cellStyle name="Normal 9 4 10 3 4" xfId="21667" xr:uid="{00000000-0005-0000-0000-0000F1C60000}"/>
    <cellStyle name="Normal 9 4 10 3 5" xfId="27143" xr:uid="{00000000-0005-0000-0000-0000F2C60000}"/>
    <cellStyle name="Normal 9 4 10 3 6" xfId="38939" xr:uid="{00000000-0005-0000-0000-0000F3C60000}"/>
    <cellStyle name="Normal 9 4 10 3 7" xfId="44416" xr:uid="{00000000-0005-0000-0000-0000F4C60000}"/>
    <cellStyle name="Normal 9 4 10 3 8" xfId="49893" xr:uid="{00000000-0005-0000-0000-0000F5C60000}"/>
    <cellStyle name="Normal 9 4 10 3 9" xfId="55411" xr:uid="{00000000-0005-0000-0000-0000F6C60000}"/>
    <cellStyle name="Normal 9 4 10 4" xfId="7218" xr:uid="{00000000-0005-0000-0000-0000F7C60000}"/>
    <cellStyle name="Normal 9 4 10 5" xfId="12697" xr:uid="{00000000-0005-0000-0000-0000F8C60000}"/>
    <cellStyle name="Normal 9 4 10 6" xfId="18173" xr:uid="{00000000-0005-0000-0000-0000F9C60000}"/>
    <cellStyle name="Normal 9 4 10 7" xfId="23649" xr:uid="{00000000-0005-0000-0000-0000FAC60000}"/>
    <cellStyle name="Normal 9 4 10 8" xfId="35444" xr:uid="{00000000-0005-0000-0000-0000FBC60000}"/>
    <cellStyle name="Normal 9 4 10 9" xfId="40921" xr:uid="{00000000-0005-0000-0000-0000FCC60000}"/>
    <cellStyle name="Normal 9 4 11" xfId="1892" xr:uid="{00000000-0005-0000-0000-0000FDC60000}"/>
    <cellStyle name="Normal 9 4 11 10" xfId="46399" xr:uid="{00000000-0005-0000-0000-0000FEC60000}"/>
    <cellStyle name="Normal 9 4 11 11" xfId="51878" xr:uid="{00000000-0005-0000-0000-0000FFC60000}"/>
    <cellStyle name="Normal 9 4 11 2" xfId="3653" xr:uid="{00000000-0005-0000-0000-000000C70000}"/>
    <cellStyle name="Normal 9 4 11 2 2" xfId="9133" xr:uid="{00000000-0005-0000-0000-000001C70000}"/>
    <cellStyle name="Normal 9 4 11 2 3" xfId="14609" xr:uid="{00000000-0005-0000-0000-000002C70000}"/>
    <cellStyle name="Normal 9 4 11 2 4" xfId="20085" xr:uid="{00000000-0005-0000-0000-000003C70000}"/>
    <cellStyle name="Normal 9 4 11 2 5" xfId="25561" xr:uid="{00000000-0005-0000-0000-000004C70000}"/>
    <cellStyle name="Normal 9 4 11 2 6" xfId="37357" xr:uid="{00000000-0005-0000-0000-000005C70000}"/>
    <cellStyle name="Normal 9 4 11 2 7" xfId="42834" xr:uid="{00000000-0005-0000-0000-000006C70000}"/>
    <cellStyle name="Normal 9 4 11 2 8" xfId="48311" xr:uid="{00000000-0005-0000-0000-000007C70000}"/>
    <cellStyle name="Normal 9 4 11 2 9" xfId="53829" xr:uid="{00000000-0005-0000-0000-000008C70000}"/>
    <cellStyle name="Normal 9 4 11 3" xfId="5425" xr:uid="{00000000-0005-0000-0000-000009C70000}"/>
    <cellStyle name="Normal 9 4 11 3 2" xfId="10905" xr:uid="{00000000-0005-0000-0000-00000AC70000}"/>
    <cellStyle name="Normal 9 4 11 3 3" xfId="16381" xr:uid="{00000000-0005-0000-0000-00000BC70000}"/>
    <cellStyle name="Normal 9 4 11 3 4" xfId="21857" xr:uid="{00000000-0005-0000-0000-00000CC70000}"/>
    <cellStyle name="Normal 9 4 11 3 5" xfId="27333" xr:uid="{00000000-0005-0000-0000-00000DC70000}"/>
    <cellStyle name="Normal 9 4 11 3 6" xfId="39129" xr:uid="{00000000-0005-0000-0000-00000EC70000}"/>
    <cellStyle name="Normal 9 4 11 3 7" xfId="44606" xr:uid="{00000000-0005-0000-0000-00000FC70000}"/>
    <cellStyle name="Normal 9 4 11 3 8" xfId="50083" xr:uid="{00000000-0005-0000-0000-000010C70000}"/>
    <cellStyle name="Normal 9 4 11 3 9" xfId="55601" xr:uid="{00000000-0005-0000-0000-000011C70000}"/>
    <cellStyle name="Normal 9 4 11 4" xfId="7219" xr:uid="{00000000-0005-0000-0000-000012C70000}"/>
    <cellStyle name="Normal 9 4 11 5" xfId="12698" xr:uid="{00000000-0005-0000-0000-000013C70000}"/>
    <cellStyle name="Normal 9 4 11 6" xfId="18174" xr:uid="{00000000-0005-0000-0000-000014C70000}"/>
    <cellStyle name="Normal 9 4 11 7" xfId="23650" xr:uid="{00000000-0005-0000-0000-000015C70000}"/>
    <cellStyle name="Normal 9 4 11 8" xfId="35445" xr:uid="{00000000-0005-0000-0000-000016C70000}"/>
    <cellStyle name="Normal 9 4 11 9" xfId="40922" xr:uid="{00000000-0005-0000-0000-000017C70000}"/>
    <cellStyle name="Normal 9 4 12" xfId="2064" xr:uid="{00000000-0005-0000-0000-000018C70000}"/>
    <cellStyle name="Normal 9 4 12 10" xfId="52241" xr:uid="{00000000-0005-0000-0000-000019C70000}"/>
    <cellStyle name="Normal 9 4 12 2" xfId="5596" xr:uid="{00000000-0005-0000-0000-00001AC70000}"/>
    <cellStyle name="Normal 9 4 12 2 2" xfId="11076" xr:uid="{00000000-0005-0000-0000-00001BC70000}"/>
    <cellStyle name="Normal 9 4 12 2 3" xfId="16552" xr:uid="{00000000-0005-0000-0000-00001CC70000}"/>
    <cellStyle name="Normal 9 4 12 2 4" xfId="22028" xr:uid="{00000000-0005-0000-0000-00001DC70000}"/>
    <cellStyle name="Normal 9 4 12 2 5" xfId="27504" xr:uid="{00000000-0005-0000-0000-00001EC70000}"/>
    <cellStyle name="Normal 9 4 12 2 6" xfId="39300" xr:uid="{00000000-0005-0000-0000-00001FC70000}"/>
    <cellStyle name="Normal 9 4 12 2 7" xfId="44777" xr:uid="{00000000-0005-0000-0000-000020C70000}"/>
    <cellStyle name="Normal 9 4 12 2 8" xfId="50254" xr:uid="{00000000-0005-0000-0000-000021C70000}"/>
    <cellStyle name="Normal 9 4 12 2 9" xfId="55772" xr:uid="{00000000-0005-0000-0000-000022C70000}"/>
    <cellStyle name="Normal 9 4 12 3" xfId="7545" xr:uid="{00000000-0005-0000-0000-000023C70000}"/>
    <cellStyle name="Normal 9 4 12 4" xfId="13021" xr:uid="{00000000-0005-0000-0000-000024C70000}"/>
    <cellStyle name="Normal 9 4 12 5" xfId="18497" xr:uid="{00000000-0005-0000-0000-000025C70000}"/>
    <cellStyle name="Normal 9 4 12 6" xfId="23973" xr:uid="{00000000-0005-0000-0000-000026C70000}"/>
    <cellStyle name="Normal 9 4 12 7" xfId="35769" xr:uid="{00000000-0005-0000-0000-000027C70000}"/>
    <cellStyle name="Normal 9 4 12 8" xfId="41246" xr:uid="{00000000-0005-0000-0000-000028C70000}"/>
    <cellStyle name="Normal 9 4 12 9" xfId="46723" xr:uid="{00000000-0005-0000-0000-000029C70000}"/>
    <cellStyle name="Normal 9 4 13" xfId="3734" xr:uid="{00000000-0005-0000-0000-00002AC70000}"/>
    <cellStyle name="Normal 9 4 13 2" xfId="9214" xr:uid="{00000000-0005-0000-0000-00002BC70000}"/>
    <cellStyle name="Normal 9 4 13 3" xfId="14690" xr:uid="{00000000-0005-0000-0000-00002CC70000}"/>
    <cellStyle name="Normal 9 4 13 4" xfId="20166" xr:uid="{00000000-0005-0000-0000-00002DC70000}"/>
    <cellStyle name="Normal 9 4 13 5" xfId="25642" xr:uid="{00000000-0005-0000-0000-00002EC70000}"/>
    <cellStyle name="Normal 9 4 13 6" xfId="37438" xr:uid="{00000000-0005-0000-0000-00002FC70000}"/>
    <cellStyle name="Normal 9 4 13 7" xfId="42915" xr:uid="{00000000-0005-0000-0000-000030C70000}"/>
    <cellStyle name="Normal 9 4 13 8" xfId="48392" xr:uid="{00000000-0005-0000-0000-000031C70000}"/>
    <cellStyle name="Normal 9 4 13 9" xfId="53910" xr:uid="{00000000-0005-0000-0000-000032C70000}"/>
    <cellStyle name="Normal 9 4 14" xfId="7217" xr:uid="{00000000-0005-0000-0000-000033C70000}"/>
    <cellStyle name="Normal 9 4 15" xfId="12696" xr:uid="{00000000-0005-0000-0000-000034C70000}"/>
    <cellStyle name="Normal 9 4 16" xfId="18172" xr:uid="{00000000-0005-0000-0000-000035C70000}"/>
    <cellStyle name="Normal 9 4 17" xfId="23648" xr:uid="{00000000-0005-0000-0000-000036C70000}"/>
    <cellStyle name="Normal 9 4 18" xfId="33346" xr:uid="{00000000-0005-0000-0000-000037C70000}"/>
    <cellStyle name="Normal 9 4 19" xfId="35443" xr:uid="{00000000-0005-0000-0000-000038C70000}"/>
    <cellStyle name="Normal 9 4 2" xfId="254" xr:uid="{00000000-0005-0000-0000-000039C70000}"/>
    <cellStyle name="Normal 9 4 2 10" xfId="1893" xr:uid="{00000000-0005-0000-0000-00003AC70000}"/>
    <cellStyle name="Normal 9 4 2 10 10" xfId="46401" xr:uid="{00000000-0005-0000-0000-00003BC70000}"/>
    <cellStyle name="Normal 9 4 2 10 11" xfId="51880" xr:uid="{00000000-0005-0000-0000-00003CC70000}"/>
    <cellStyle name="Normal 9 4 2 10 2" xfId="3654" xr:uid="{00000000-0005-0000-0000-00003DC70000}"/>
    <cellStyle name="Normal 9 4 2 10 2 2" xfId="9134" xr:uid="{00000000-0005-0000-0000-00003EC70000}"/>
    <cellStyle name="Normal 9 4 2 10 2 3" xfId="14610" xr:uid="{00000000-0005-0000-0000-00003FC70000}"/>
    <cellStyle name="Normal 9 4 2 10 2 4" xfId="20086" xr:uid="{00000000-0005-0000-0000-000040C70000}"/>
    <cellStyle name="Normal 9 4 2 10 2 5" xfId="25562" xr:uid="{00000000-0005-0000-0000-000041C70000}"/>
    <cellStyle name="Normal 9 4 2 10 2 6" xfId="37358" xr:uid="{00000000-0005-0000-0000-000042C70000}"/>
    <cellStyle name="Normal 9 4 2 10 2 7" xfId="42835" xr:uid="{00000000-0005-0000-0000-000043C70000}"/>
    <cellStyle name="Normal 9 4 2 10 2 8" xfId="48312" xr:uid="{00000000-0005-0000-0000-000044C70000}"/>
    <cellStyle name="Normal 9 4 2 10 2 9" xfId="53830" xr:uid="{00000000-0005-0000-0000-000045C70000}"/>
    <cellStyle name="Normal 9 4 2 10 3" xfId="5426" xr:uid="{00000000-0005-0000-0000-000046C70000}"/>
    <cellStyle name="Normal 9 4 2 10 3 2" xfId="10906" xr:uid="{00000000-0005-0000-0000-000047C70000}"/>
    <cellStyle name="Normal 9 4 2 10 3 3" xfId="16382" xr:uid="{00000000-0005-0000-0000-000048C70000}"/>
    <cellStyle name="Normal 9 4 2 10 3 4" xfId="21858" xr:uid="{00000000-0005-0000-0000-000049C70000}"/>
    <cellStyle name="Normal 9 4 2 10 3 5" xfId="27334" xr:uid="{00000000-0005-0000-0000-00004AC70000}"/>
    <cellStyle name="Normal 9 4 2 10 3 6" xfId="39130" xr:uid="{00000000-0005-0000-0000-00004BC70000}"/>
    <cellStyle name="Normal 9 4 2 10 3 7" xfId="44607" xr:uid="{00000000-0005-0000-0000-00004CC70000}"/>
    <cellStyle name="Normal 9 4 2 10 3 8" xfId="50084" xr:uid="{00000000-0005-0000-0000-00004DC70000}"/>
    <cellStyle name="Normal 9 4 2 10 3 9" xfId="55602" xr:uid="{00000000-0005-0000-0000-00004EC70000}"/>
    <cellStyle name="Normal 9 4 2 10 4" xfId="7221" xr:uid="{00000000-0005-0000-0000-00004FC70000}"/>
    <cellStyle name="Normal 9 4 2 10 5" xfId="12700" xr:uid="{00000000-0005-0000-0000-000050C70000}"/>
    <cellStyle name="Normal 9 4 2 10 6" xfId="18176" xr:uid="{00000000-0005-0000-0000-000051C70000}"/>
    <cellStyle name="Normal 9 4 2 10 7" xfId="23652" xr:uid="{00000000-0005-0000-0000-000052C70000}"/>
    <cellStyle name="Normal 9 4 2 10 8" xfId="35447" xr:uid="{00000000-0005-0000-0000-000053C70000}"/>
    <cellStyle name="Normal 9 4 2 10 9" xfId="40924" xr:uid="{00000000-0005-0000-0000-000054C70000}"/>
    <cellStyle name="Normal 9 4 2 11" xfId="2065" xr:uid="{00000000-0005-0000-0000-000055C70000}"/>
    <cellStyle name="Normal 9 4 2 11 10" xfId="52242" xr:uid="{00000000-0005-0000-0000-000056C70000}"/>
    <cellStyle name="Normal 9 4 2 11 2" xfId="5597" xr:uid="{00000000-0005-0000-0000-000057C70000}"/>
    <cellStyle name="Normal 9 4 2 11 2 2" xfId="11077" xr:uid="{00000000-0005-0000-0000-000058C70000}"/>
    <cellStyle name="Normal 9 4 2 11 2 3" xfId="16553" xr:uid="{00000000-0005-0000-0000-000059C70000}"/>
    <cellStyle name="Normal 9 4 2 11 2 4" xfId="22029" xr:uid="{00000000-0005-0000-0000-00005AC70000}"/>
    <cellStyle name="Normal 9 4 2 11 2 5" xfId="27505" xr:uid="{00000000-0005-0000-0000-00005BC70000}"/>
    <cellStyle name="Normal 9 4 2 11 2 6" xfId="39301" xr:uid="{00000000-0005-0000-0000-00005CC70000}"/>
    <cellStyle name="Normal 9 4 2 11 2 7" xfId="44778" xr:uid="{00000000-0005-0000-0000-00005DC70000}"/>
    <cellStyle name="Normal 9 4 2 11 2 8" xfId="50255" xr:uid="{00000000-0005-0000-0000-00005EC70000}"/>
    <cellStyle name="Normal 9 4 2 11 2 9" xfId="55773" xr:uid="{00000000-0005-0000-0000-00005FC70000}"/>
    <cellStyle name="Normal 9 4 2 11 3" xfId="7546" xr:uid="{00000000-0005-0000-0000-000060C70000}"/>
    <cellStyle name="Normal 9 4 2 11 4" xfId="13022" xr:uid="{00000000-0005-0000-0000-000061C70000}"/>
    <cellStyle name="Normal 9 4 2 11 5" xfId="18498" xr:uid="{00000000-0005-0000-0000-000062C70000}"/>
    <cellStyle name="Normal 9 4 2 11 6" xfId="23974" xr:uid="{00000000-0005-0000-0000-000063C70000}"/>
    <cellStyle name="Normal 9 4 2 11 7" xfId="35770" xr:uid="{00000000-0005-0000-0000-000064C70000}"/>
    <cellStyle name="Normal 9 4 2 11 8" xfId="41247" xr:uid="{00000000-0005-0000-0000-000065C70000}"/>
    <cellStyle name="Normal 9 4 2 11 9" xfId="46724" xr:uid="{00000000-0005-0000-0000-000066C70000}"/>
    <cellStyle name="Normal 9 4 2 12" xfId="3820" xr:uid="{00000000-0005-0000-0000-000067C70000}"/>
    <cellStyle name="Normal 9 4 2 12 2" xfId="9300" xr:uid="{00000000-0005-0000-0000-000068C70000}"/>
    <cellStyle name="Normal 9 4 2 12 3" xfId="14776" xr:uid="{00000000-0005-0000-0000-000069C70000}"/>
    <cellStyle name="Normal 9 4 2 12 4" xfId="20252" xr:uid="{00000000-0005-0000-0000-00006AC70000}"/>
    <cellStyle name="Normal 9 4 2 12 5" xfId="25728" xr:uid="{00000000-0005-0000-0000-00006BC70000}"/>
    <cellStyle name="Normal 9 4 2 12 6" xfId="37524" xr:uid="{00000000-0005-0000-0000-00006CC70000}"/>
    <cellStyle name="Normal 9 4 2 12 7" xfId="43001" xr:uid="{00000000-0005-0000-0000-00006DC70000}"/>
    <cellStyle name="Normal 9 4 2 12 8" xfId="48478" xr:uid="{00000000-0005-0000-0000-00006EC70000}"/>
    <cellStyle name="Normal 9 4 2 12 9" xfId="53996" xr:uid="{00000000-0005-0000-0000-00006FC70000}"/>
    <cellStyle name="Normal 9 4 2 13" xfId="7220" xr:uid="{00000000-0005-0000-0000-000070C70000}"/>
    <cellStyle name="Normal 9 4 2 14" xfId="12699" xr:uid="{00000000-0005-0000-0000-000071C70000}"/>
    <cellStyle name="Normal 9 4 2 15" xfId="18175" xr:uid="{00000000-0005-0000-0000-000072C70000}"/>
    <cellStyle name="Normal 9 4 2 16" xfId="23651" xr:uid="{00000000-0005-0000-0000-000073C70000}"/>
    <cellStyle name="Normal 9 4 2 17" xfId="33347" xr:uid="{00000000-0005-0000-0000-000074C70000}"/>
    <cellStyle name="Normal 9 4 2 18" xfId="35446" xr:uid="{00000000-0005-0000-0000-000075C70000}"/>
    <cellStyle name="Normal 9 4 2 19" xfId="40923" xr:uid="{00000000-0005-0000-0000-000076C70000}"/>
    <cellStyle name="Normal 9 4 2 2" xfId="461" xr:uid="{00000000-0005-0000-0000-000077C70000}"/>
    <cellStyle name="Normal 9 4 2 2 10" xfId="40925" xr:uid="{00000000-0005-0000-0000-000078C70000}"/>
    <cellStyle name="Normal 9 4 2 2 11" xfId="46402" xr:uid="{00000000-0005-0000-0000-000079C70000}"/>
    <cellStyle name="Normal 9 4 2 2 12" xfId="51881" xr:uid="{00000000-0005-0000-0000-00007AC70000}"/>
    <cellStyle name="Normal 9 4 2 2 2" xfId="2226" xr:uid="{00000000-0005-0000-0000-00007BC70000}"/>
    <cellStyle name="Normal 9 4 2 2 2 2" xfId="7706" xr:uid="{00000000-0005-0000-0000-00007CC70000}"/>
    <cellStyle name="Normal 9 4 2 2 2 3" xfId="13182" xr:uid="{00000000-0005-0000-0000-00007DC70000}"/>
    <cellStyle name="Normal 9 4 2 2 2 4" xfId="18658" xr:uid="{00000000-0005-0000-0000-00007EC70000}"/>
    <cellStyle name="Normal 9 4 2 2 2 5" xfId="24134" xr:uid="{00000000-0005-0000-0000-00007FC70000}"/>
    <cellStyle name="Normal 9 4 2 2 2 6" xfId="35930" xr:uid="{00000000-0005-0000-0000-000080C70000}"/>
    <cellStyle name="Normal 9 4 2 2 2 7" xfId="41407" xr:uid="{00000000-0005-0000-0000-000081C70000}"/>
    <cellStyle name="Normal 9 4 2 2 2 8" xfId="46884" xr:uid="{00000000-0005-0000-0000-000082C70000}"/>
    <cellStyle name="Normal 9 4 2 2 2 9" xfId="52402" xr:uid="{00000000-0005-0000-0000-000083C70000}"/>
    <cellStyle name="Normal 9 4 2 2 3" xfId="3998" xr:uid="{00000000-0005-0000-0000-000084C70000}"/>
    <cellStyle name="Normal 9 4 2 2 3 2" xfId="9478" xr:uid="{00000000-0005-0000-0000-000085C70000}"/>
    <cellStyle name="Normal 9 4 2 2 3 3" xfId="14954" xr:uid="{00000000-0005-0000-0000-000086C70000}"/>
    <cellStyle name="Normal 9 4 2 2 3 4" xfId="20430" xr:uid="{00000000-0005-0000-0000-000087C70000}"/>
    <cellStyle name="Normal 9 4 2 2 3 5" xfId="25906" xr:uid="{00000000-0005-0000-0000-000088C70000}"/>
    <cellStyle name="Normal 9 4 2 2 3 6" xfId="37702" xr:uid="{00000000-0005-0000-0000-000089C70000}"/>
    <cellStyle name="Normal 9 4 2 2 3 7" xfId="43179" xr:uid="{00000000-0005-0000-0000-00008AC70000}"/>
    <cellStyle name="Normal 9 4 2 2 3 8" xfId="48656" xr:uid="{00000000-0005-0000-0000-00008BC70000}"/>
    <cellStyle name="Normal 9 4 2 2 3 9" xfId="54174" xr:uid="{00000000-0005-0000-0000-00008CC70000}"/>
    <cellStyle name="Normal 9 4 2 2 4" xfId="7222" xr:uid="{00000000-0005-0000-0000-00008DC70000}"/>
    <cellStyle name="Normal 9 4 2 2 5" xfId="12701" xr:uid="{00000000-0005-0000-0000-00008EC70000}"/>
    <cellStyle name="Normal 9 4 2 2 6" xfId="18177" xr:uid="{00000000-0005-0000-0000-00008FC70000}"/>
    <cellStyle name="Normal 9 4 2 2 7" xfId="23653" xr:uid="{00000000-0005-0000-0000-000090C70000}"/>
    <cellStyle name="Normal 9 4 2 2 8" xfId="33348" xr:uid="{00000000-0005-0000-0000-000091C70000}"/>
    <cellStyle name="Normal 9 4 2 2 9" xfId="35448" xr:uid="{00000000-0005-0000-0000-000092C70000}"/>
    <cellStyle name="Normal 9 4 2 20" xfId="46400" xr:uid="{00000000-0005-0000-0000-000093C70000}"/>
    <cellStyle name="Normal 9 4 2 21" xfId="51879" xr:uid="{00000000-0005-0000-0000-000094C70000}"/>
    <cellStyle name="Normal 9 4 2 3" xfId="637" xr:uid="{00000000-0005-0000-0000-000095C70000}"/>
    <cellStyle name="Normal 9 4 2 3 10" xfId="46403" xr:uid="{00000000-0005-0000-0000-000096C70000}"/>
    <cellStyle name="Normal 9 4 2 3 11" xfId="51882" xr:uid="{00000000-0005-0000-0000-000097C70000}"/>
    <cellStyle name="Normal 9 4 2 3 2" xfId="2398" xr:uid="{00000000-0005-0000-0000-000098C70000}"/>
    <cellStyle name="Normal 9 4 2 3 2 2" xfId="7878" xr:uid="{00000000-0005-0000-0000-000099C70000}"/>
    <cellStyle name="Normal 9 4 2 3 2 3" xfId="13354" xr:uid="{00000000-0005-0000-0000-00009AC70000}"/>
    <cellStyle name="Normal 9 4 2 3 2 4" xfId="18830" xr:uid="{00000000-0005-0000-0000-00009BC70000}"/>
    <cellStyle name="Normal 9 4 2 3 2 5" xfId="24306" xr:uid="{00000000-0005-0000-0000-00009CC70000}"/>
    <cellStyle name="Normal 9 4 2 3 2 6" xfId="36102" xr:uid="{00000000-0005-0000-0000-00009DC70000}"/>
    <cellStyle name="Normal 9 4 2 3 2 7" xfId="41579" xr:uid="{00000000-0005-0000-0000-00009EC70000}"/>
    <cellStyle name="Normal 9 4 2 3 2 8" xfId="47056" xr:uid="{00000000-0005-0000-0000-00009FC70000}"/>
    <cellStyle name="Normal 9 4 2 3 2 9" xfId="52574" xr:uid="{00000000-0005-0000-0000-0000A0C70000}"/>
    <cellStyle name="Normal 9 4 2 3 3" xfId="4170" xr:uid="{00000000-0005-0000-0000-0000A1C70000}"/>
    <cellStyle name="Normal 9 4 2 3 3 2" xfId="9650" xr:uid="{00000000-0005-0000-0000-0000A2C70000}"/>
    <cellStyle name="Normal 9 4 2 3 3 3" xfId="15126" xr:uid="{00000000-0005-0000-0000-0000A3C70000}"/>
    <cellStyle name="Normal 9 4 2 3 3 4" xfId="20602" xr:uid="{00000000-0005-0000-0000-0000A4C70000}"/>
    <cellStyle name="Normal 9 4 2 3 3 5" xfId="26078" xr:uid="{00000000-0005-0000-0000-0000A5C70000}"/>
    <cellStyle name="Normal 9 4 2 3 3 6" xfId="37874" xr:uid="{00000000-0005-0000-0000-0000A6C70000}"/>
    <cellStyle name="Normal 9 4 2 3 3 7" xfId="43351" xr:uid="{00000000-0005-0000-0000-0000A7C70000}"/>
    <cellStyle name="Normal 9 4 2 3 3 8" xfId="48828" xr:uid="{00000000-0005-0000-0000-0000A8C70000}"/>
    <cellStyle name="Normal 9 4 2 3 3 9" xfId="54346" xr:uid="{00000000-0005-0000-0000-0000A9C70000}"/>
    <cellStyle name="Normal 9 4 2 3 4" xfId="7223" xr:uid="{00000000-0005-0000-0000-0000AAC70000}"/>
    <cellStyle name="Normal 9 4 2 3 5" xfId="12702" xr:uid="{00000000-0005-0000-0000-0000ABC70000}"/>
    <cellStyle name="Normal 9 4 2 3 6" xfId="18178" xr:uid="{00000000-0005-0000-0000-0000ACC70000}"/>
    <cellStyle name="Normal 9 4 2 3 7" xfId="23654" xr:uid="{00000000-0005-0000-0000-0000ADC70000}"/>
    <cellStyle name="Normal 9 4 2 3 8" xfId="35449" xr:uid="{00000000-0005-0000-0000-0000AEC70000}"/>
    <cellStyle name="Normal 9 4 2 3 9" xfId="40926" xr:uid="{00000000-0005-0000-0000-0000AFC70000}"/>
    <cellStyle name="Normal 9 4 2 4" xfId="809" xr:uid="{00000000-0005-0000-0000-0000B0C70000}"/>
    <cellStyle name="Normal 9 4 2 4 10" xfId="46404" xr:uid="{00000000-0005-0000-0000-0000B1C70000}"/>
    <cellStyle name="Normal 9 4 2 4 11" xfId="51883" xr:uid="{00000000-0005-0000-0000-0000B2C70000}"/>
    <cellStyle name="Normal 9 4 2 4 2" xfId="2570" xr:uid="{00000000-0005-0000-0000-0000B3C70000}"/>
    <cellStyle name="Normal 9 4 2 4 2 2" xfId="8050" xr:uid="{00000000-0005-0000-0000-0000B4C70000}"/>
    <cellStyle name="Normal 9 4 2 4 2 3" xfId="13526" xr:uid="{00000000-0005-0000-0000-0000B5C70000}"/>
    <cellStyle name="Normal 9 4 2 4 2 4" xfId="19002" xr:uid="{00000000-0005-0000-0000-0000B6C70000}"/>
    <cellStyle name="Normal 9 4 2 4 2 5" xfId="24478" xr:uid="{00000000-0005-0000-0000-0000B7C70000}"/>
    <cellStyle name="Normal 9 4 2 4 2 6" xfId="36274" xr:uid="{00000000-0005-0000-0000-0000B8C70000}"/>
    <cellStyle name="Normal 9 4 2 4 2 7" xfId="41751" xr:uid="{00000000-0005-0000-0000-0000B9C70000}"/>
    <cellStyle name="Normal 9 4 2 4 2 8" xfId="47228" xr:uid="{00000000-0005-0000-0000-0000BAC70000}"/>
    <cellStyle name="Normal 9 4 2 4 2 9" xfId="52746" xr:uid="{00000000-0005-0000-0000-0000BBC70000}"/>
    <cellStyle name="Normal 9 4 2 4 3" xfId="4342" xr:uid="{00000000-0005-0000-0000-0000BCC70000}"/>
    <cellStyle name="Normal 9 4 2 4 3 2" xfId="9822" xr:uid="{00000000-0005-0000-0000-0000BDC70000}"/>
    <cellStyle name="Normal 9 4 2 4 3 3" xfId="15298" xr:uid="{00000000-0005-0000-0000-0000BEC70000}"/>
    <cellStyle name="Normal 9 4 2 4 3 4" xfId="20774" xr:uid="{00000000-0005-0000-0000-0000BFC70000}"/>
    <cellStyle name="Normal 9 4 2 4 3 5" xfId="26250" xr:uid="{00000000-0005-0000-0000-0000C0C70000}"/>
    <cellStyle name="Normal 9 4 2 4 3 6" xfId="38046" xr:uid="{00000000-0005-0000-0000-0000C1C70000}"/>
    <cellStyle name="Normal 9 4 2 4 3 7" xfId="43523" xr:uid="{00000000-0005-0000-0000-0000C2C70000}"/>
    <cellStyle name="Normal 9 4 2 4 3 8" xfId="49000" xr:uid="{00000000-0005-0000-0000-0000C3C70000}"/>
    <cellStyle name="Normal 9 4 2 4 3 9" xfId="54518" xr:uid="{00000000-0005-0000-0000-0000C4C70000}"/>
    <cellStyle name="Normal 9 4 2 4 4" xfId="7224" xr:uid="{00000000-0005-0000-0000-0000C5C70000}"/>
    <cellStyle name="Normal 9 4 2 4 5" xfId="12703" xr:uid="{00000000-0005-0000-0000-0000C6C70000}"/>
    <cellStyle name="Normal 9 4 2 4 6" xfId="18179" xr:uid="{00000000-0005-0000-0000-0000C7C70000}"/>
    <cellStyle name="Normal 9 4 2 4 7" xfId="23655" xr:uid="{00000000-0005-0000-0000-0000C8C70000}"/>
    <cellStyle name="Normal 9 4 2 4 8" xfId="35450" xr:uid="{00000000-0005-0000-0000-0000C9C70000}"/>
    <cellStyle name="Normal 9 4 2 4 9" xfId="40927" xr:uid="{00000000-0005-0000-0000-0000CAC70000}"/>
    <cellStyle name="Normal 9 4 2 5" xfId="981" xr:uid="{00000000-0005-0000-0000-0000CBC70000}"/>
    <cellStyle name="Normal 9 4 2 5 10" xfId="46405" xr:uid="{00000000-0005-0000-0000-0000CCC70000}"/>
    <cellStyle name="Normal 9 4 2 5 11" xfId="51884" xr:uid="{00000000-0005-0000-0000-0000CDC70000}"/>
    <cellStyle name="Normal 9 4 2 5 2" xfId="2742" xr:uid="{00000000-0005-0000-0000-0000CEC70000}"/>
    <cellStyle name="Normal 9 4 2 5 2 2" xfId="8222" xr:uid="{00000000-0005-0000-0000-0000CFC70000}"/>
    <cellStyle name="Normal 9 4 2 5 2 3" xfId="13698" xr:uid="{00000000-0005-0000-0000-0000D0C70000}"/>
    <cellStyle name="Normal 9 4 2 5 2 4" xfId="19174" xr:uid="{00000000-0005-0000-0000-0000D1C70000}"/>
    <cellStyle name="Normal 9 4 2 5 2 5" xfId="24650" xr:uid="{00000000-0005-0000-0000-0000D2C70000}"/>
    <cellStyle name="Normal 9 4 2 5 2 6" xfId="36446" xr:uid="{00000000-0005-0000-0000-0000D3C70000}"/>
    <cellStyle name="Normal 9 4 2 5 2 7" xfId="41923" xr:uid="{00000000-0005-0000-0000-0000D4C70000}"/>
    <cellStyle name="Normal 9 4 2 5 2 8" xfId="47400" xr:uid="{00000000-0005-0000-0000-0000D5C70000}"/>
    <cellStyle name="Normal 9 4 2 5 2 9" xfId="52918" xr:uid="{00000000-0005-0000-0000-0000D6C70000}"/>
    <cellStyle name="Normal 9 4 2 5 3" xfId="4514" xr:uid="{00000000-0005-0000-0000-0000D7C70000}"/>
    <cellStyle name="Normal 9 4 2 5 3 2" xfId="9994" xr:uid="{00000000-0005-0000-0000-0000D8C70000}"/>
    <cellStyle name="Normal 9 4 2 5 3 3" xfId="15470" xr:uid="{00000000-0005-0000-0000-0000D9C70000}"/>
    <cellStyle name="Normal 9 4 2 5 3 4" xfId="20946" xr:uid="{00000000-0005-0000-0000-0000DAC70000}"/>
    <cellStyle name="Normal 9 4 2 5 3 5" xfId="26422" xr:uid="{00000000-0005-0000-0000-0000DBC70000}"/>
    <cellStyle name="Normal 9 4 2 5 3 6" xfId="38218" xr:uid="{00000000-0005-0000-0000-0000DCC70000}"/>
    <cellStyle name="Normal 9 4 2 5 3 7" xfId="43695" xr:uid="{00000000-0005-0000-0000-0000DDC70000}"/>
    <cellStyle name="Normal 9 4 2 5 3 8" xfId="49172" xr:uid="{00000000-0005-0000-0000-0000DEC70000}"/>
    <cellStyle name="Normal 9 4 2 5 3 9" xfId="54690" xr:uid="{00000000-0005-0000-0000-0000DFC70000}"/>
    <cellStyle name="Normal 9 4 2 5 4" xfId="7225" xr:uid="{00000000-0005-0000-0000-0000E0C70000}"/>
    <cellStyle name="Normal 9 4 2 5 5" xfId="12704" xr:uid="{00000000-0005-0000-0000-0000E1C70000}"/>
    <cellStyle name="Normal 9 4 2 5 6" xfId="18180" xr:uid="{00000000-0005-0000-0000-0000E2C70000}"/>
    <cellStyle name="Normal 9 4 2 5 7" xfId="23656" xr:uid="{00000000-0005-0000-0000-0000E3C70000}"/>
    <cellStyle name="Normal 9 4 2 5 8" xfId="35451" xr:uid="{00000000-0005-0000-0000-0000E4C70000}"/>
    <cellStyle name="Normal 9 4 2 5 9" xfId="40928" xr:uid="{00000000-0005-0000-0000-0000E5C70000}"/>
    <cellStyle name="Normal 9 4 2 6" xfId="1187" xr:uid="{00000000-0005-0000-0000-0000E6C70000}"/>
    <cellStyle name="Normal 9 4 2 6 10" xfId="46406" xr:uid="{00000000-0005-0000-0000-0000E7C70000}"/>
    <cellStyle name="Normal 9 4 2 6 11" xfId="51885" xr:uid="{00000000-0005-0000-0000-0000E8C70000}"/>
    <cellStyle name="Normal 9 4 2 6 2" xfId="2948" xr:uid="{00000000-0005-0000-0000-0000E9C70000}"/>
    <cellStyle name="Normal 9 4 2 6 2 2" xfId="8428" xr:uid="{00000000-0005-0000-0000-0000EAC70000}"/>
    <cellStyle name="Normal 9 4 2 6 2 3" xfId="13904" xr:uid="{00000000-0005-0000-0000-0000EBC70000}"/>
    <cellStyle name="Normal 9 4 2 6 2 4" xfId="19380" xr:uid="{00000000-0005-0000-0000-0000ECC70000}"/>
    <cellStyle name="Normal 9 4 2 6 2 5" xfId="24856" xr:uid="{00000000-0005-0000-0000-0000EDC70000}"/>
    <cellStyle name="Normal 9 4 2 6 2 6" xfId="36652" xr:uid="{00000000-0005-0000-0000-0000EEC70000}"/>
    <cellStyle name="Normal 9 4 2 6 2 7" xfId="42129" xr:uid="{00000000-0005-0000-0000-0000EFC70000}"/>
    <cellStyle name="Normal 9 4 2 6 2 8" xfId="47606" xr:uid="{00000000-0005-0000-0000-0000F0C70000}"/>
    <cellStyle name="Normal 9 4 2 6 2 9" xfId="53124" xr:uid="{00000000-0005-0000-0000-0000F1C70000}"/>
    <cellStyle name="Normal 9 4 2 6 3" xfId="4720" xr:uid="{00000000-0005-0000-0000-0000F2C70000}"/>
    <cellStyle name="Normal 9 4 2 6 3 2" xfId="10200" xr:uid="{00000000-0005-0000-0000-0000F3C70000}"/>
    <cellStyle name="Normal 9 4 2 6 3 3" xfId="15676" xr:uid="{00000000-0005-0000-0000-0000F4C70000}"/>
    <cellStyle name="Normal 9 4 2 6 3 4" xfId="21152" xr:uid="{00000000-0005-0000-0000-0000F5C70000}"/>
    <cellStyle name="Normal 9 4 2 6 3 5" xfId="26628" xr:uid="{00000000-0005-0000-0000-0000F6C70000}"/>
    <cellStyle name="Normal 9 4 2 6 3 6" xfId="38424" xr:uid="{00000000-0005-0000-0000-0000F7C70000}"/>
    <cellStyle name="Normal 9 4 2 6 3 7" xfId="43901" xr:uid="{00000000-0005-0000-0000-0000F8C70000}"/>
    <cellStyle name="Normal 9 4 2 6 3 8" xfId="49378" xr:uid="{00000000-0005-0000-0000-0000F9C70000}"/>
    <cellStyle name="Normal 9 4 2 6 3 9" xfId="54896" xr:uid="{00000000-0005-0000-0000-0000FAC70000}"/>
    <cellStyle name="Normal 9 4 2 6 4" xfId="7226" xr:uid="{00000000-0005-0000-0000-0000FBC70000}"/>
    <cellStyle name="Normal 9 4 2 6 5" xfId="12705" xr:uid="{00000000-0005-0000-0000-0000FCC70000}"/>
    <cellStyle name="Normal 9 4 2 6 6" xfId="18181" xr:uid="{00000000-0005-0000-0000-0000FDC70000}"/>
    <cellStyle name="Normal 9 4 2 6 7" xfId="23657" xr:uid="{00000000-0005-0000-0000-0000FEC70000}"/>
    <cellStyle name="Normal 9 4 2 6 8" xfId="35452" xr:uid="{00000000-0005-0000-0000-0000FFC70000}"/>
    <cellStyle name="Normal 9 4 2 6 9" xfId="40929" xr:uid="{00000000-0005-0000-0000-000000C80000}"/>
    <cellStyle name="Normal 9 4 2 7" xfId="1359" xr:uid="{00000000-0005-0000-0000-000001C80000}"/>
    <cellStyle name="Normal 9 4 2 7 10" xfId="46407" xr:uid="{00000000-0005-0000-0000-000002C80000}"/>
    <cellStyle name="Normal 9 4 2 7 11" xfId="51886" xr:uid="{00000000-0005-0000-0000-000003C80000}"/>
    <cellStyle name="Normal 9 4 2 7 2" xfId="3120" xr:uid="{00000000-0005-0000-0000-000004C80000}"/>
    <cellStyle name="Normal 9 4 2 7 2 2" xfId="8600" xr:uid="{00000000-0005-0000-0000-000005C80000}"/>
    <cellStyle name="Normal 9 4 2 7 2 3" xfId="14076" xr:uid="{00000000-0005-0000-0000-000006C80000}"/>
    <cellStyle name="Normal 9 4 2 7 2 4" xfId="19552" xr:uid="{00000000-0005-0000-0000-000007C80000}"/>
    <cellStyle name="Normal 9 4 2 7 2 5" xfId="25028" xr:uid="{00000000-0005-0000-0000-000008C80000}"/>
    <cellStyle name="Normal 9 4 2 7 2 6" xfId="36824" xr:uid="{00000000-0005-0000-0000-000009C80000}"/>
    <cellStyle name="Normal 9 4 2 7 2 7" xfId="42301" xr:uid="{00000000-0005-0000-0000-00000AC80000}"/>
    <cellStyle name="Normal 9 4 2 7 2 8" xfId="47778" xr:uid="{00000000-0005-0000-0000-00000BC80000}"/>
    <cellStyle name="Normal 9 4 2 7 2 9" xfId="53296" xr:uid="{00000000-0005-0000-0000-00000CC80000}"/>
    <cellStyle name="Normal 9 4 2 7 3" xfId="4892" xr:uid="{00000000-0005-0000-0000-00000DC80000}"/>
    <cellStyle name="Normal 9 4 2 7 3 2" xfId="10372" xr:uid="{00000000-0005-0000-0000-00000EC80000}"/>
    <cellStyle name="Normal 9 4 2 7 3 3" xfId="15848" xr:uid="{00000000-0005-0000-0000-00000FC80000}"/>
    <cellStyle name="Normal 9 4 2 7 3 4" xfId="21324" xr:uid="{00000000-0005-0000-0000-000010C80000}"/>
    <cellStyle name="Normal 9 4 2 7 3 5" xfId="26800" xr:uid="{00000000-0005-0000-0000-000011C80000}"/>
    <cellStyle name="Normal 9 4 2 7 3 6" xfId="38596" xr:uid="{00000000-0005-0000-0000-000012C80000}"/>
    <cellStyle name="Normal 9 4 2 7 3 7" xfId="44073" xr:uid="{00000000-0005-0000-0000-000013C80000}"/>
    <cellStyle name="Normal 9 4 2 7 3 8" xfId="49550" xr:uid="{00000000-0005-0000-0000-000014C80000}"/>
    <cellStyle name="Normal 9 4 2 7 3 9" xfId="55068" xr:uid="{00000000-0005-0000-0000-000015C80000}"/>
    <cellStyle name="Normal 9 4 2 7 4" xfId="7227" xr:uid="{00000000-0005-0000-0000-000016C80000}"/>
    <cellStyle name="Normal 9 4 2 7 5" xfId="12706" xr:uid="{00000000-0005-0000-0000-000017C80000}"/>
    <cellStyle name="Normal 9 4 2 7 6" xfId="18182" xr:uid="{00000000-0005-0000-0000-000018C80000}"/>
    <cellStyle name="Normal 9 4 2 7 7" xfId="23658" xr:uid="{00000000-0005-0000-0000-000019C80000}"/>
    <cellStyle name="Normal 9 4 2 7 8" xfId="35453" xr:uid="{00000000-0005-0000-0000-00001AC80000}"/>
    <cellStyle name="Normal 9 4 2 7 9" xfId="40930" xr:uid="{00000000-0005-0000-0000-00001BC80000}"/>
    <cellStyle name="Normal 9 4 2 8" xfId="1531" xr:uid="{00000000-0005-0000-0000-00001CC80000}"/>
    <cellStyle name="Normal 9 4 2 8 10" xfId="46408" xr:uid="{00000000-0005-0000-0000-00001DC80000}"/>
    <cellStyle name="Normal 9 4 2 8 11" xfId="51887" xr:uid="{00000000-0005-0000-0000-00001EC80000}"/>
    <cellStyle name="Normal 9 4 2 8 2" xfId="3292" xr:uid="{00000000-0005-0000-0000-00001FC80000}"/>
    <cellStyle name="Normal 9 4 2 8 2 2" xfId="8772" xr:uid="{00000000-0005-0000-0000-000020C80000}"/>
    <cellStyle name="Normal 9 4 2 8 2 3" xfId="14248" xr:uid="{00000000-0005-0000-0000-000021C80000}"/>
    <cellStyle name="Normal 9 4 2 8 2 4" xfId="19724" xr:uid="{00000000-0005-0000-0000-000022C80000}"/>
    <cellStyle name="Normal 9 4 2 8 2 5" xfId="25200" xr:uid="{00000000-0005-0000-0000-000023C80000}"/>
    <cellStyle name="Normal 9 4 2 8 2 6" xfId="36996" xr:uid="{00000000-0005-0000-0000-000024C80000}"/>
    <cellStyle name="Normal 9 4 2 8 2 7" xfId="42473" xr:uid="{00000000-0005-0000-0000-000025C80000}"/>
    <cellStyle name="Normal 9 4 2 8 2 8" xfId="47950" xr:uid="{00000000-0005-0000-0000-000026C80000}"/>
    <cellStyle name="Normal 9 4 2 8 2 9" xfId="53468" xr:uid="{00000000-0005-0000-0000-000027C80000}"/>
    <cellStyle name="Normal 9 4 2 8 3" xfId="5064" xr:uid="{00000000-0005-0000-0000-000028C80000}"/>
    <cellStyle name="Normal 9 4 2 8 3 2" xfId="10544" xr:uid="{00000000-0005-0000-0000-000029C80000}"/>
    <cellStyle name="Normal 9 4 2 8 3 3" xfId="16020" xr:uid="{00000000-0005-0000-0000-00002AC80000}"/>
    <cellStyle name="Normal 9 4 2 8 3 4" xfId="21496" xr:uid="{00000000-0005-0000-0000-00002BC80000}"/>
    <cellStyle name="Normal 9 4 2 8 3 5" xfId="26972" xr:uid="{00000000-0005-0000-0000-00002CC80000}"/>
    <cellStyle name="Normal 9 4 2 8 3 6" xfId="38768" xr:uid="{00000000-0005-0000-0000-00002DC80000}"/>
    <cellStyle name="Normal 9 4 2 8 3 7" xfId="44245" xr:uid="{00000000-0005-0000-0000-00002EC80000}"/>
    <cellStyle name="Normal 9 4 2 8 3 8" xfId="49722" xr:uid="{00000000-0005-0000-0000-00002FC80000}"/>
    <cellStyle name="Normal 9 4 2 8 3 9" xfId="55240" xr:uid="{00000000-0005-0000-0000-000030C80000}"/>
    <cellStyle name="Normal 9 4 2 8 4" xfId="7228" xr:uid="{00000000-0005-0000-0000-000031C80000}"/>
    <cellStyle name="Normal 9 4 2 8 5" xfId="12707" xr:uid="{00000000-0005-0000-0000-000032C80000}"/>
    <cellStyle name="Normal 9 4 2 8 6" xfId="18183" xr:uid="{00000000-0005-0000-0000-000033C80000}"/>
    <cellStyle name="Normal 9 4 2 8 7" xfId="23659" xr:uid="{00000000-0005-0000-0000-000034C80000}"/>
    <cellStyle name="Normal 9 4 2 8 8" xfId="35454" xr:uid="{00000000-0005-0000-0000-000035C80000}"/>
    <cellStyle name="Normal 9 4 2 8 9" xfId="40931" xr:uid="{00000000-0005-0000-0000-000036C80000}"/>
    <cellStyle name="Normal 9 4 2 9" xfId="1703" xr:uid="{00000000-0005-0000-0000-000037C80000}"/>
    <cellStyle name="Normal 9 4 2 9 10" xfId="46409" xr:uid="{00000000-0005-0000-0000-000038C80000}"/>
    <cellStyle name="Normal 9 4 2 9 11" xfId="51888" xr:uid="{00000000-0005-0000-0000-000039C80000}"/>
    <cellStyle name="Normal 9 4 2 9 2" xfId="3464" xr:uid="{00000000-0005-0000-0000-00003AC80000}"/>
    <cellStyle name="Normal 9 4 2 9 2 2" xfId="8944" xr:uid="{00000000-0005-0000-0000-00003BC80000}"/>
    <cellStyle name="Normal 9 4 2 9 2 3" xfId="14420" xr:uid="{00000000-0005-0000-0000-00003CC80000}"/>
    <cellStyle name="Normal 9 4 2 9 2 4" xfId="19896" xr:uid="{00000000-0005-0000-0000-00003DC80000}"/>
    <cellStyle name="Normal 9 4 2 9 2 5" xfId="25372" xr:uid="{00000000-0005-0000-0000-00003EC80000}"/>
    <cellStyle name="Normal 9 4 2 9 2 6" xfId="37168" xr:uid="{00000000-0005-0000-0000-00003FC80000}"/>
    <cellStyle name="Normal 9 4 2 9 2 7" xfId="42645" xr:uid="{00000000-0005-0000-0000-000040C80000}"/>
    <cellStyle name="Normal 9 4 2 9 2 8" xfId="48122" xr:uid="{00000000-0005-0000-0000-000041C80000}"/>
    <cellStyle name="Normal 9 4 2 9 2 9" xfId="53640" xr:uid="{00000000-0005-0000-0000-000042C80000}"/>
    <cellStyle name="Normal 9 4 2 9 3" xfId="5236" xr:uid="{00000000-0005-0000-0000-000043C80000}"/>
    <cellStyle name="Normal 9 4 2 9 3 2" xfId="10716" xr:uid="{00000000-0005-0000-0000-000044C80000}"/>
    <cellStyle name="Normal 9 4 2 9 3 3" xfId="16192" xr:uid="{00000000-0005-0000-0000-000045C80000}"/>
    <cellStyle name="Normal 9 4 2 9 3 4" xfId="21668" xr:uid="{00000000-0005-0000-0000-000046C80000}"/>
    <cellStyle name="Normal 9 4 2 9 3 5" xfId="27144" xr:uid="{00000000-0005-0000-0000-000047C80000}"/>
    <cellStyle name="Normal 9 4 2 9 3 6" xfId="38940" xr:uid="{00000000-0005-0000-0000-000048C80000}"/>
    <cellStyle name="Normal 9 4 2 9 3 7" xfId="44417" xr:uid="{00000000-0005-0000-0000-000049C80000}"/>
    <cellStyle name="Normal 9 4 2 9 3 8" xfId="49894" xr:uid="{00000000-0005-0000-0000-00004AC80000}"/>
    <cellStyle name="Normal 9 4 2 9 3 9" xfId="55412" xr:uid="{00000000-0005-0000-0000-00004BC80000}"/>
    <cellStyle name="Normal 9 4 2 9 4" xfId="7229" xr:uid="{00000000-0005-0000-0000-00004CC80000}"/>
    <cellStyle name="Normal 9 4 2 9 5" xfId="12708" xr:uid="{00000000-0005-0000-0000-00004DC80000}"/>
    <cellStyle name="Normal 9 4 2 9 6" xfId="18184" xr:uid="{00000000-0005-0000-0000-00004EC80000}"/>
    <cellStyle name="Normal 9 4 2 9 7" xfId="23660" xr:uid="{00000000-0005-0000-0000-00004FC80000}"/>
    <cellStyle name="Normal 9 4 2 9 8" xfId="35455" xr:uid="{00000000-0005-0000-0000-000050C80000}"/>
    <cellStyle name="Normal 9 4 2 9 9" xfId="40932" xr:uid="{00000000-0005-0000-0000-000051C80000}"/>
    <cellStyle name="Normal 9 4 20" xfId="40920" xr:uid="{00000000-0005-0000-0000-000052C80000}"/>
    <cellStyle name="Normal 9 4 21" xfId="46397" xr:uid="{00000000-0005-0000-0000-000053C80000}"/>
    <cellStyle name="Normal 9 4 22" xfId="51876" xr:uid="{00000000-0005-0000-0000-000054C80000}"/>
    <cellStyle name="Normal 9 4 3" xfId="460" xr:uid="{00000000-0005-0000-0000-000055C80000}"/>
    <cellStyle name="Normal 9 4 3 10" xfId="40933" xr:uid="{00000000-0005-0000-0000-000056C80000}"/>
    <cellStyle name="Normal 9 4 3 11" xfId="46410" xr:uid="{00000000-0005-0000-0000-000057C80000}"/>
    <cellStyle name="Normal 9 4 3 12" xfId="51889" xr:uid="{00000000-0005-0000-0000-000058C80000}"/>
    <cellStyle name="Normal 9 4 3 2" xfId="2225" xr:uid="{00000000-0005-0000-0000-000059C80000}"/>
    <cellStyle name="Normal 9 4 3 2 2" xfId="7705" xr:uid="{00000000-0005-0000-0000-00005AC80000}"/>
    <cellStyle name="Normal 9 4 3 2 3" xfId="13181" xr:uid="{00000000-0005-0000-0000-00005BC80000}"/>
    <cellStyle name="Normal 9 4 3 2 4" xfId="18657" xr:uid="{00000000-0005-0000-0000-00005CC80000}"/>
    <cellStyle name="Normal 9 4 3 2 5" xfId="24133" xr:uid="{00000000-0005-0000-0000-00005DC80000}"/>
    <cellStyle name="Normal 9 4 3 2 6" xfId="35929" xr:uid="{00000000-0005-0000-0000-00005EC80000}"/>
    <cellStyle name="Normal 9 4 3 2 7" xfId="41406" xr:uid="{00000000-0005-0000-0000-00005FC80000}"/>
    <cellStyle name="Normal 9 4 3 2 8" xfId="46883" xr:uid="{00000000-0005-0000-0000-000060C80000}"/>
    <cellStyle name="Normal 9 4 3 2 9" xfId="52401" xr:uid="{00000000-0005-0000-0000-000061C80000}"/>
    <cellStyle name="Normal 9 4 3 3" xfId="3997" xr:uid="{00000000-0005-0000-0000-000062C80000}"/>
    <cellStyle name="Normal 9 4 3 3 2" xfId="9477" xr:uid="{00000000-0005-0000-0000-000063C80000}"/>
    <cellStyle name="Normal 9 4 3 3 3" xfId="14953" xr:uid="{00000000-0005-0000-0000-000064C80000}"/>
    <cellStyle name="Normal 9 4 3 3 4" xfId="20429" xr:uid="{00000000-0005-0000-0000-000065C80000}"/>
    <cellStyle name="Normal 9 4 3 3 5" xfId="25905" xr:uid="{00000000-0005-0000-0000-000066C80000}"/>
    <cellStyle name="Normal 9 4 3 3 6" xfId="37701" xr:uid="{00000000-0005-0000-0000-000067C80000}"/>
    <cellStyle name="Normal 9 4 3 3 7" xfId="43178" xr:uid="{00000000-0005-0000-0000-000068C80000}"/>
    <cellStyle name="Normal 9 4 3 3 8" xfId="48655" xr:uid="{00000000-0005-0000-0000-000069C80000}"/>
    <cellStyle name="Normal 9 4 3 3 9" xfId="54173" xr:uid="{00000000-0005-0000-0000-00006AC80000}"/>
    <cellStyle name="Normal 9 4 3 4" xfId="7230" xr:uid="{00000000-0005-0000-0000-00006BC80000}"/>
    <cellStyle name="Normal 9 4 3 5" xfId="12709" xr:uid="{00000000-0005-0000-0000-00006CC80000}"/>
    <cellStyle name="Normal 9 4 3 6" xfId="18185" xr:uid="{00000000-0005-0000-0000-00006DC80000}"/>
    <cellStyle name="Normal 9 4 3 7" xfId="23661" xr:uid="{00000000-0005-0000-0000-00006EC80000}"/>
    <cellStyle name="Normal 9 4 3 8" xfId="33349" xr:uid="{00000000-0005-0000-0000-00006FC80000}"/>
    <cellStyle name="Normal 9 4 3 9" xfId="35456" xr:uid="{00000000-0005-0000-0000-000070C80000}"/>
    <cellStyle name="Normal 9 4 4" xfId="636" xr:uid="{00000000-0005-0000-0000-000071C80000}"/>
    <cellStyle name="Normal 9 4 4 10" xfId="46411" xr:uid="{00000000-0005-0000-0000-000072C80000}"/>
    <cellStyle name="Normal 9 4 4 11" xfId="51890" xr:uid="{00000000-0005-0000-0000-000073C80000}"/>
    <cellStyle name="Normal 9 4 4 2" xfId="2397" xr:uid="{00000000-0005-0000-0000-000074C80000}"/>
    <cellStyle name="Normal 9 4 4 2 2" xfId="7877" xr:uid="{00000000-0005-0000-0000-000075C80000}"/>
    <cellStyle name="Normal 9 4 4 2 3" xfId="13353" xr:uid="{00000000-0005-0000-0000-000076C80000}"/>
    <cellStyle name="Normal 9 4 4 2 4" xfId="18829" xr:uid="{00000000-0005-0000-0000-000077C80000}"/>
    <cellStyle name="Normal 9 4 4 2 5" xfId="24305" xr:uid="{00000000-0005-0000-0000-000078C80000}"/>
    <cellStyle name="Normal 9 4 4 2 6" xfId="36101" xr:uid="{00000000-0005-0000-0000-000079C80000}"/>
    <cellStyle name="Normal 9 4 4 2 7" xfId="41578" xr:uid="{00000000-0005-0000-0000-00007AC80000}"/>
    <cellStyle name="Normal 9 4 4 2 8" xfId="47055" xr:uid="{00000000-0005-0000-0000-00007BC80000}"/>
    <cellStyle name="Normal 9 4 4 2 9" xfId="52573" xr:uid="{00000000-0005-0000-0000-00007CC80000}"/>
    <cellStyle name="Normal 9 4 4 3" xfId="4169" xr:uid="{00000000-0005-0000-0000-00007DC80000}"/>
    <cellStyle name="Normal 9 4 4 3 2" xfId="9649" xr:uid="{00000000-0005-0000-0000-00007EC80000}"/>
    <cellStyle name="Normal 9 4 4 3 3" xfId="15125" xr:uid="{00000000-0005-0000-0000-00007FC80000}"/>
    <cellStyle name="Normal 9 4 4 3 4" xfId="20601" xr:uid="{00000000-0005-0000-0000-000080C80000}"/>
    <cellStyle name="Normal 9 4 4 3 5" xfId="26077" xr:uid="{00000000-0005-0000-0000-000081C80000}"/>
    <cellStyle name="Normal 9 4 4 3 6" xfId="37873" xr:uid="{00000000-0005-0000-0000-000082C80000}"/>
    <cellStyle name="Normal 9 4 4 3 7" xfId="43350" xr:uid="{00000000-0005-0000-0000-000083C80000}"/>
    <cellStyle name="Normal 9 4 4 3 8" xfId="48827" xr:uid="{00000000-0005-0000-0000-000084C80000}"/>
    <cellStyle name="Normal 9 4 4 3 9" xfId="54345" xr:uid="{00000000-0005-0000-0000-000085C80000}"/>
    <cellStyle name="Normal 9 4 4 4" xfId="7231" xr:uid="{00000000-0005-0000-0000-000086C80000}"/>
    <cellStyle name="Normal 9 4 4 5" xfId="12710" xr:uid="{00000000-0005-0000-0000-000087C80000}"/>
    <cellStyle name="Normal 9 4 4 6" xfId="18186" xr:uid="{00000000-0005-0000-0000-000088C80000}"/>
    <cellStyle name="Normal 9 4 4 7" xfId="23662" xr:uid="{00000000-0005-0000-0000-000089C80000}"/>
    <cellStyle name="Normal 9 4 4 8" xfId="35457" xr:uid="{00000000-0005-0000-0000-00008AC80000}"/>
    <cellStyle name="Normal 9 4 4 9" xfId="40934" xr:uid="{00000000-0005-0000-0000-00008BC80000}"/>
    <cellStyle name="Normal 9 4 5" xfId="808" xr:uid="{00000000-0005-0000-0000-00008CC80000}"/>
    <cellStyle name="Normal 9 4 5 10" xfId="46412" xr:uid="{00000000-0005-0000-0000-00008DC80000}"/>
    <cellStyle name="Normal 9 4 5 11" xfId="51891" xr:uid="{00000000-0005-0000-0000-00008EC80000}"/>
    <cellStyle name="Normal 9 4 5 2" xfId="2569" xr:uid="{00000000-0005-0000-0000-00008FC80000}"/>
    <cellStyle name="Normal 9 4 5 2 2" xfId="8049" xr:uid="{00000000-0005-0000-0000-000090C80000}"/>
    <cellStyle name="Normal 9 4 5 2 3" xfId="13525" xr:uid="{00000000-0005-0000-0000-000091C80000}"/>
    <cellStyle name="Normal 9 4 5 2 4" xfId="19001" xr:uid="{00000000-0005-0000-0000-000092C80000}"/>
    <cellStyle name="Normal 9 4 5 2 5" xfId="24477" xr:uid="{00000000-0005-0000-0000-000093C80000}"/>
    <cellStyle name="Normal 9 4 5 2 6" xfId="36273" xr:uid="{00000000-0005-0000-0000-000094C80000}"/>
    <cellStyle name="Normal 9 4 5 2 7" xfId="41750" xr:uid="{00000000-0005-0000-0000-000095C80000}"/>
    <cellStyle name="Normal 9 4 5 2 8" xfId="47227" xr:uid="{00000000-0005-0000-0000-000096C80000}"/>
    <cellStyle name="Normal 9 4 5 2 9" xfId="52745" xr:uid="{00000000-0005-0000-0000-000097C80000}"/>
    <cellStyle name="Normal 9 4 5 3" xfId="4341" xr:uid="{00000000-0005-0000-0000-000098C80000}"/>
    <cellStyle name="Normal 9 4 5 3 2" xfId="9821" xr:uid="{00000000-0005-0000-0000-000099C80000}"/>
    <cellStyle name="Normal 9 4 5 3 3" xfId="15297" xr:uid="{00000000-0005-0000-0000-00009AC80000}"/>
    <cellStyle name="Normal 9 4 5 3 4" xfId="20773" xr:uid="{00000000-0005-0000-0000-00009BC80000}"/>
    <cellStyle name="Normal 9 4 5 3 5" xfId="26249" xr:uid="{00000000-0005-0000-0000-00009CC80000}"/>
    <cellStyle name="Normal 9 4 5 3 6" xfId="38045" xr:uid="{00000000-0005-0000-0000-00009DC80000}"/>
    <cellStyle name="Normal 9 4 5 3 7" xfId="43522" xr:uid="{00000000-0005-0000-0000-00009EC80000}"/>
    <cellStyle name="Normal 9 4 5 3 8" xfId="48999" xr:uid="{00000000-0005-0000-0000-00009FC80000}"/>
    <cellStyle name="Normal 9 4 5 3 9" xfId="54517" xr:uid="{00000000-0005-0000-0000-0000A0C80000}"/>
    <cellStyle name="Normal 9 4 5 4" xfId="7232" xr:uid="{00000000-0005-0000-0000-0000A1C80000}"/>
    <cellStyle name="Normal 9 4 5 5" xfId="12711" xr:uid="{00000000-0005-0000-0000-0000A2C80000}"/>
    <cellStyle name="Normal 9 4 5 6" xfId="18187" xr:uid="{00000000-0005-0000-0000-0000A3C80000}"/>
    <cellStyle name="Normal 9 4 5 7" xfId="23663" xr:uid="{00000000-0005-0000-0000-0000A4C80000}"/>
    <cellStyle name="Normal 9 4 5 8" xfId="35458" xr:uid="{00000000-0005-0000-0000-0000A5C80000}"/>
    <cellStyle name="Normal 9 4 5 9" xfId="40935" xr:uid="{00000000-0005-0000-0000-0000A6C80000}"/>
    <cellStyle name="Normal 9 4 6" xfId="980" xr:uid="{00000000-0005-0000-0000-0000A7C80000}"/>
    <cellStyle name="Normal 9 4 6 10" xfId="46413" xr:uid="{00000000-0005-0000-0000-0000A8C80000}"/>
    <cellStyle name="Normal 9 4 6 11" xfId="51892" xr:uid="{00000000-0005-0000-0000-0000A9C80000}"/>
    <cellStyle name="Normal 9 4 6 2" xfId="2741" xr:uid="{00000000-0005-0000-0000-0000AAC80000}"/>
    <cellStyle name="Normal 9 4 6 2 2" xfId="8221" xr:uid="{00000000-0005-0000-0000-0000ABC80000}"/>
    <cellStyle name="Normal 9 4 6 2 3" xfId="13697" xr:uid="{00000000-0005-0000-0000-0000ACC80000}"/>
    <cellStyle name="Normal 9 4 6 2 4" xfId="19173" xr:uid="{00000000-0005-0000-0000-0000ADC80000}"/>
    <cellStyle name="Normal 9 4 6 2 5" xfId="24649" xr:uid="{00000000-0005-0000-0000-0000AEC80000}"/>
    <cellStyle name="Normal 9 4 6 2 6" xfId="36445" xr:uid="{00000000-0005-0000-0000-0000AFC80000}"/>
    <cellStyle name="Normal 9 4 6 2 7" xfId="41922" xr:uid="{00000000-0005-0000-0000-0000B0C80000}"/>
    <cellStyle name="Normal 9 4 6 2 8" xfId="47399" xr:uid="{00000000-0005-0000-0000-0000B1C80000}"/>
    <cellStyle name="Normal 9 4 6 2 9" xfId="52917" xr:uid="{00000000-0005-0000-0000-0000B2C80000}"/>
    <cellStyle name="Normal 9 4 6 3" xfId="4513" xr:uid="{00000000-0005-0000-0000-0000B3C80000}"/>
    <cellStyle name="Normal 9 4 6 3 2" xfId="9993" xr:uid="{00000000-0005-0000-0000-0000B4C80000}"/>
    <cellStyle name="Normal 9 4 6 3 3" xfId="15469" xr:uid="{00000000-0005-0000-0000-0000B5C80000}"/>
    <cellStyle name="Normal 9 4 6 3 4" xfId="20945" xr:uid="{00000000-0005-0000-0000-0000B6C80000}"/>
    <cellStyle name="Normal 9 4 6 3 5" xfId="26421" xr:uid="{00000000-0005-0000-0000-0000B7C80000}"/>
    <cellStyle name="Normal 9 4 6 3 6" xfId="38217" xr:uid="{00000000-0005-0000-0000-0000B8C80000}"/>
    <cellStyle name="Normal 9 4 6 3 7" xfId="43694" xr:uid="{00000000-0005-0000-0000-0000B9C80000}"/>
    <cellStyle name="Normal 9 4 6 3 8" xfId="49171" xr:uid="{00000000-0005-0000-0000-0000BAC80000}"/>
    <cellStyle name="Normal 9 4 6 3 9" xfId="54689" xr:uid="{00000000-0005-0000-0000-0000BBC80000}"/>
    <cellStyle name="Normal 9 4 6 4" xfId="7233" xr:uid="{00000000-0005-0000-0000-0000BCC80000}"/>
    <cellStyle name="Normal 9 4 6 5" xfId="12712" xr:uid="{00000000-0005-0000-0000-0000BDC80000}"/>
    <cellStyle name="Normal 9 4 6 6" xfId="18188" xr:uid="{00000000-0005-0000-0000-0000BEC80000}"/>
    <cellStyle name="Normal 9 4 6 7" xfId="23664" xr:uid="{00000000-0005-0000-0000-0000BFC80000}"/>
    <cellStyle name="Normal 9 4 6 8" xfId="35459" xr:uid="{00000000-0005-0000-0000-0000C0C80000}"/>
    <cellStyle name="Normal 9 4 6 9" xfId="40936" xr:uid="{00000000-0005-0000-0000-0000C1C80000}"/>
    <cellStyle name="Normal 9 4 7" xfId="1186" xr:uid="{00000000-0005-0000-0000-0000C2C80000}"/>
    <cellStyle name="Normal 9 4 7 10" xfId="46414" xr:uid="{00000000-0005-0000-0000-0000C3C80000}"/>
    <cellStyle name="Normal 9 4 7 11" xfId="51893" xr:uid="{00000000-0005-0000-0000-0000C4C80000}"/>
    <cellStyle name="Normal 9 4 7 2" xfId="2947" xr:uid="{00000000-0005-0000-0000-0000C5C80000}"/>
    <cellStyle name="Normal 9 4 7 2 2" xfId="8427" xr:uid="{00000000-0005-0000-0000-0000C6C80000}"/>
    <cellStyle name="Normal 9 4 7 2 3" xfId="13903" xr:uid="{00000000-0005-0000-0000-0000C7C80000}"/>
    <cellStyle name="Normal 9 4 7 2 4" xfId="19379" xr:uid="{00000000-0005-0000-0000-0000C8C80000}"/>
    <cellStyle name="Normal 9 4 7 2 5" xfId="24855" xr:uid="{00000000-0005-0000-0000-0000C9C80000}"/>
    <cellStyle name="Normal 9 4 7 2 6" xfId="36651" xr:uid="{00000000-0005-0000-0000-0000CAC80000}"/>
    <cellStyle name="Normal 9 4 7 2 7" xfId="42128" xr:uid="{00000000-0005-0000-0000-0000CBC80000}"/>
    <cellStyle name="Normal 9 4 7 2 8" xfId="47605" xr:uid="{00000000-0005-0000-0000-0000CCC80000}"/>
    <cellStyle name="Normal 9 4 7 2 9" xfId="53123" xr:uid="{00000000-0005-0000-0000-0000CDC80000}"/>
    <cellStyle name="Normal 9 4 7 3" xfId="4719" xr:uid="{00000000-0005-0000-0000-0000CEC80000}"/>
    <cellStyle name="Normal 9 4 7 3 2" xfId="10199" xr:uid="{00000000-0005-0000-0000-0000CFC80000}"/>
    <cellStyle name="Normal 9 4 7 3 3" xfId="15675" xr:uid="{00000000-0005-0000-0000-0000D0C80000}"/>
    <cellStyle name="Normal 9 4 7 3 4" xfId="21151" xr:uid="{00000000-0005-0000-0000-0000D1C80000}"/>
    <cellStyle name="Normal 9 4 7 3 5" xfId="26627" xr:uid="{00000000-0005-0000-0000-0000D2C80000}"/>
    <cellStyle name="Normal 9 4 7 3 6" xfId="38423" xr:uid="{00000000-0005-0000-0000-0000D3C80000}"/>
    <cellStyle name="Normal 9 4 7 3 7" xfId="43900" xr:uid="{00000000-0005-0000-0000-0000D4C80000}"/>
    <cellStyle name="Normal 9 4 7 3 8" xfId="49377" xr:uid="{00000000-0005-0000-0000-0000D5C80000}"/>
    <cellStyle name="Normal 9 4 7 3 9" xfId="54895" xr:uid="{00000000-0005-0000-0000-0000D6C80000}"/>
    <cellStyle name="Normal 9 4 7 4" xfId="7234" xr:uid="{00000000-0005-0000-0000-0000D7C80000}"/>
    <cellStyle name="Normal 9 4 7 5" xfId="12713" xr:uid="{00000000-0005-0000-0000-0000D8C80000}"/>
    <cellStyle name="Normal 9 4 7 6" xfId="18189" xr:uid="{00000000-0005-0000-0000-0000D9C80000}"/>
    <cellStyle name="Normal 9 4 7 7" xfId="23665" xr:uid="{00000000-0005-0000-0000-0000DAC80000}"/>
    <cellStyle name="Normal 9 4 7 8" xfId="35460" xr:uid="{00000000-0005-0000-0000-0000DBC80000}"/>
    <cellStyle name="Normal 9 4 7 9" xfId="40937" xr:uid="{00000000-0005-0000-0000-0000DCC80000}"/>
    <cellStyle name="Normal 9 4 8" xfId="1358" xr:uid="{00000000-0005-0000-0000-0000DDC80000}"/>
    <cellStyle name="Normal 9 4 8 10" xfId="46415" xr:uid="{00000000-0005-0000-0000-0000DEC80000}"/>
    <cellStyle name="Normal 9 4 8 11" xfId="51894" xr:uid="{00000000-0005-0000-0000-0000DFC80000}"/>
    <cellStyle name="Normal 9 4 8 2" xfId="3119" xr:uid="{00000000-0005-0000-0000-0000E0C80000}"/>
    <cellStyle name="Normal 9 4 8 2 2" xfId="8599" xr:uid="{00000000-0005-0000-0000-0000E1C80000}"/>
    <cellStyle name="Normal 9 4 8 2 3" xfId="14075" xr:uid="{00000000-0005-0000-0000-0000E2C80000}"/>
    <cellStyle name="Normal 9 4 8 2 4" xfId="19551" xr:uid="{00000000-0005-0000-0000-0000E3C80000}"/>
    <cellStyle name="Normal 9 4 8 2 5" xfId="25027" xr:uid="{00000000-0005-0000-0000-0000E4C80000}"/>
    <cellStyle name="Normal 9 4 8 2 6" xfId="36823" xr:uid="{00000000-0005-0000-0000-0000E5C80000}"/>
    <cellStyle name="Normal 9 4 8 2 7" xfId="42300" xr:uid="{00000000-0005-0000-0000-0000E6C80000}"/>
    <cellStyle name="Normal 9 4 8 2 8" xfId="47777" xr:uid="{00000000-0005-0000-0000-0000E7C80000}"/>
    <cellStyle name="Normal 9 4 8 2 9" xfId="53295" xr:uid="{00000000-0005-0000-0000-0000E8C80000}"/>
    <cellStyle name="Normal 9 4 8 3" xfId="4891" xr:uid="{00000000-0005-0000-0000-0000E9C80000}"/>
    <cellStyle name="Normal 9 4 8 3 2" xfId="10371" xr:uid="{00000000-0005-0000-0000-0000EAC80000}"/>
    <cellStyle name="Normal 9 4 8 3 3" xfId="15847" xr:uid="{00000000-0005-0000-0000-0000EBC80000}"/>
    <cellStyle name="Normal 9 4 8 3 4" xfId="21323" xr:uid="{00000000-0005-0000-0000-0000ECC80000}"/>
    <cellStyle name="Normal 9 4 8 3 5" xfId="26799" xr:uid="{00000000-0005-0000-0000-0000EDC80000}"/>
    <cellStyle name="Normal 9 4 8 3 6" xfId="38595" xr:uid="{00000000-0005-0000-0000-0000EEC80000}"/>
    <cellStyle name="Normal 9 4 8 3 7" xfId="44072" xr:uid="{00000000-0005-0000-0000-0000EFC80000}"/>
    <cellStyle name="Normal 9 4 8 3 8" xfId="49549" xr:uid="{00000000-0005-0000-0000-0000F0C80000}"/>
    <cellStyle name="Normal 9 4 8 3 9" xfId="55067" xr:uid="{00000000-0005-0000-0000-0000F1C80000}"/>
    <cellStyle name="Normal 9 4 8 4" xfId="7235" xr:uid="{00000000-0005-0000-0000-0000F2C80000}"/>
    <cellStyle name="Normal 9 4 8 5" xfId="12714" xr:uid="{00000000-0005-0000-0000-0000F3C80000}"/>
    <cellStyle name="Normal 9 4 8 6" xfId="18190" xr:uid="{00000000-0005-0000-0000-0000F4C80000}"/>
    <cellStyle name="Normal 9 4 8 7" xfId="23666" xr:uid="{00000000-0005-0000-0000-0000F5C80000}"/>
    <cellStyle name="Normal 9 4 8 8" xfId="35461" xr:uid="{00000000-0005-0000-0000-0000F6C80000}"/>
    <cellStyle name="Normal 9 4 8 9" xfId="40938" xr:uid="{00000000-0005-0000-0000-0000F7C80000}"/>
    <cellStyle name="Normal 9 4 9" xfId="1530" xr:uid="{00000000-0005-0000-0000-0000F8C80000}"/>
    <cellStyle name="Normal 9 4 9 10" xfId="46416" xr:uid="{00000000-0005-0000-0000-0000F9C80000}"/>
    <cellStyle name="Normal 9 4 9 11" xfId="51895" xr:uid="{00000000-0005-0000-0000-0000FAC80000}"/>
    <cellStyle name="Normal 9 4 9 2" xfId="3291" xr:uid="{00000000-0005-0000-0000-0000FBC80000}"/>
    <cellStyle name="Normal 9 4 9 2 2" xfId="8771" xr:uid="{00000000-0005-0000-0000-0000FCC80000}"/>
    <cellStyle name="Normal 9 4 9 2 3" xfId="14247" xr:uid="{00000000-0005-0000-0000-0000FDC80000}"/>
    <cellStyle name="Normal 9 4 9 2 4" xfId="19723" xr:uid="{00000000-0005-0000-0000-0000FEC80000}"/>
    <cellStyle name="Normal 9 4 9 2 5" xfId="25199" xr:uid="{00000000-0005-0000-0000-0000FFC80000}"/>
    <cellStyle name="Normal 9 4 9 2 6" xfId="36995" xr:uid="{00000000-0005-0000-0000-000000C90000}"/>
    <cellStyle name="Normal 9 4 9 2 7" xfId="42472" xr:uid="{00000000-0005-0000-0000-000001C90000}"/>
    <cellStyle name="Normal 9 4 9 2 8" xfId="47949" xr:uid="{00000000-0005-0000-0000-000002C90000}"/>
    <cellStyle name="Normal 9 4 9 2 9" xfId="53467" xr:uid="{00000000-0005-0000-0000-000003C90000}"/>
    <cellStyle name="Normal 9 4 9 3" xfId="5063" xr:uid="{00000000-0005-0000-0000-000004C90000}"/>
    <cellStyle name="Normal 9 4 9 3 2" xfId="10543" xr:uid="{00000000-0005-0000-0000-000005C90000}"/>
    <cellStyle name="Normal 9 4 9 3 3" xfId="16019" xr:uid="{00000000-0005-0000-0000-000006C90000}"/>
    <cellStyle name="Normal 9 4 9 3 4" xfId="21495" xr:uid="{00000000-0005-0000-0000-000007C90000}"/>
    <cellStyle name="Normal 9 4 9 3 5" xfId="26971" xr:uid="{00000000-0005-0000-0000-000008C90000}"/>
    <cellStyle name="Normal 9 4 9 3 6" xfId="38767" xr:uid="{00000000-0005-0000-0000-000009C90000}"/>
    <cellStyle name="Normal 9 4 9 3 7" xfId="44244" xr:uid="{00000000-0005-0000-0000-00000AC90000}"/>
    <cellStyle name="Normal 9 4 9 3 8" xfId="49721" xr:uid="{00000000-0005-0000-0000-00000BC90000}"/>
    <cellStyle name="Normal 9 4 9 3 9" xfId="55239" xr:uid="{00000000-0005-0000-0000-00000CC90000}"/>
    <cellStyle name="Normal 9 4 9 4" xfId="7236" xr:uid="{00000000-0005-0000-0000-00000DC90000}"/>
    <cellStyle name="Normal 9 4 9 5" xfId="12715" xr:uid="{00000000-0005-0000-0000-00000EC90000}"/>
    <cellStyle name="Normal 9 4 9 6" xfId="18191" xr:uid="{00000000-0005-0000-0000-00000FC90000}"/>
    <cellStyle name="Normal 9 4 9 7" xfId="23667" xr:uid="{00000000-0005-0000-0000-000010C90000}"/>
    <cellStyle name="Normal 9 4 9 8" xfId="35462" xr:uid="{00000000-0005-0000-0000-000011C90000}"/>
    <cellStyle name="Normal 9 4 9 9" xfId="40939" xr:uid="{00000000-0005-0000-0000-000012C90000}"/>
    <cellStyle name="Normal 9 5" xfId="179" xr:uid="{00000000-0005-0000-0000-000013C90000}"/>
    <cellStyle name="Normal 9 5 10" xfId="1704" xr:uid="{00000000-0005-0000-0000-000014C90000}"/>
    <cellStyle name="Normal 9 5 10 10" xfId="46418" xr:uid="{00000000-0005-0000-0000-000015C90000}"/>
    <cellStyle name="Normal 9 5 10 11" xfId="51897" xr:uid="{00000000-0005-0000-0000-000016C90000}"/>
    <cellStyle name="Normal 9 5 10 2" xfId="3465" xr:uid="{00000000-0005-0000-0000-000017C90000}"/>
    <cellStyle name="Normal 9 5 10 2 2" xfId="8945" xr:uid="{00000000-0005-0000-0000-000018C90000}"/>
    <cellStyle name="Normal 9 5 10 2 3" xfId="14421" xr:uid="{00000000-0005-0000-0000-000019C90000}"/>
    <cellStyle name="Normal 9 5 10 2 4" xfId="19897" xr:uid="{00000000-0005-0000-0000-00001AC90000}"/>
    <cellStyle name="Normal 9 5 10 2 5" xfId="25373" xr:uid="{00000000-0005-0000-0000-00001BC90000}"/>
    <cellStyle name="Normal 9 5 10 2 6" xfId="37169" xr:uid="{00000000-0005-0000-0000-00001CC90000}"/>
    <cellStyle name="Normal 9 5 10 2 7" xfId="42646" xr:uid="{00000000-0005-0000-0000-00001DC90000}"/>
    <cellStyle name="Normal 9 5 10 2 8" xfId="48123" xr:uid="{00000000-0005-0000-0000-00001EC90000}"/>
    <cellStyle name="Normal 9 5 10 2 9" xfId="53641" xr:uid="{00000000-0005-0000-0000-00001FC90000}"/>
    <cellStyle name="Normal 9 5 10 3" xfId="5237" xr:uid="{00000000-0005-0000-0000-000020C90000}"/>
    <cellStyle name="Normal 9 5 10 3 2" xfId="10717" xr:uid="{00000000-0005-0000-0000-000021C90000}"/>
    <cellStyle name="Normal 9 5 10 3 3" xfId="16193" xr:uid="{00000000-0005-0000-0000-000022C90000}"/>
    <cellStyle name="Normal 9 5 10 3 4" xfId="21669" xr:uid="{00000000-0005-0000-0000-000023C90000}"/>
    <cellStyle name="Normal 9 5 10 3 5" xfId="27145" xr:uid="{00000000-0005-0000-0000-000024C90000}"/>
    <cellStyle name="Normal 9 5 10 3 6" xfId="38941" xr:uid="{00000000-0005-0000-0000-000025C90000}"/>
    <cellStyle name="Normal 9 5 10 3 7" xfId="44418" xr:uid="{00000000-0005-0000-0000-000026C90000}"/>
    <cellStyle name="Normal 9 5 10 3 8" xfId="49895" xr:uid="{00000000-0005-0000-0000-000027C90000}"/>
    <cellStyle name="Normal 9 5 10 3 9" xfId="55413" xr:uid="{00000000-0005-0000-0000-000028C90000}"/>
    <cellStyle name="Normal 9 5 10 4" xfId="7238" xr:uid="{00000000-0005-0000-0000-000029C90000}"/>
    <cellStyle name="Normal 9 5 10 5" xfId="12717" xr:uid="{00000000-0005-0000-0000-00002AC90000}"/>
    <cellStyle name="Normal 9 5 10 6" xfId="18193" xr:uid="{00000000-0005-0000-0000-00002BC90000}"/>
    <cellStyle name="Normal 9 5 10 7" xfId="23669" xr:uid="{00000000-0005-0000-0000-00002CC90000}"/>
    <cellStyle name="Normal 9 5 10 8" xfId="35464" xr:uid="{00000000-0005-0000-0000-00002DC90000}"/>
    <cellStyle name="Normal 9 5 10 9" xfId="40941" xr:uid="{00000000-0005-0000-0000-00002EC90000}"/>
    <cellStyle name="Normal 9 5 11" xfId="1894" xr:uid="{00000000-0005-0000-0000-00002FC90000}"/>
    <cellStyle name="Normal 9 5 11 10" xfId="46419" xr:uid="{00000000-0005-0000-0000-000030C90000}"/>
    <cellStyle name="Normal 9 5 11 11" xfId="51898" xr:uid="{00000000-0005-0000-0000-000031C90000}"/>
    <cellStyle name="Normal 9 5 11 2" xfId="3655" xr:uid="{00000000-0005-0000-0000-000032C90000}"/>
    <cellStyle name="Normal 9 5 11 2 2" xfId="9135" xr:uid="{00000000-0005-0000-0000-000033C90000}"/>
    <cellStyle name="Normal 9 5 11 2 3" xfId="14611" xr:uid="{00000000-0005-0000-0000-000034C90000}"/>
    <cellStyle name="Normal 9 5 11 2 4" xfId="20087" xr:uid="{00000000-0005-0000-0000-000035C90000}"/>
    <cellStyle name="Normal 9 5 11 2 5" xfId="25563" xr:uid="{00000000-0005-0000-0000-000036C90000}"/>
    <cellStyle name="Normal 9 5 11 2 6" xfId="37359" xr:uid="{00000000-0005-0000-0000-000037C90000}"/>
    <cellStyle name="Normal 9 5 11 2 7" xfId="42836" xr:uid="{00000000-0005-0000-0000-000038C90000}"/>
    <cellStyle name="Normal 9 5 11 2 8" xfId="48313" xr:uid="{00000000-0005-0000-0000-000039C90000}"/>
    <cellStyle name="Normal 9 5 11 2 9" xfId="53831" xr:uid="{00000000-0005-0000-0000-00003AC90000}"/>
    <cellStyle name="Normal 9 5 11 3" xfId="5427" xr:uid="{00000000-0005-0000-0000-00003BC90000}"/>
    <cellStyle name="Normal 9 5 11 3 2" xfId="10907" xr:uid="{00000000-0005-0000-0000-00003CC90000}"/>
    <cellStyle name="Normal 9 5 11 3 3" xfId="16383" xr:uid="{00000000-0005-0000-0000-00003DC90000}"/>
    <cellStyle name="Normal 9 5 11 3 4" xfId="21859" xr:uid="{00000000-0005-0000-0000-00003EC90000}"/>
    <cellStyle name="Normal 9 5 11 3 5" xfId="27335" xr:uid="{00000000-0005-0000-0000-00003FC90000}"/>
    <cellStyle name="Normal 9 5 11 3 6" xfId="39131" xr:uid="{00000000-0005-0000-0000-000040C90000}"/>
    <cellStyle name="Normal 9 5 11 3 7" xfId="44608" xr:uid="{00000000-0005-0000-0000-000041C90000}"/>
    <cellStyle name="Normal 9 5 11 3 8" xfId="50085" xr:uid="{00000000-0005-0000-0000-000042C90000}"/>
    <cellStyle name="Normal 9 5 11 3 9" xfId="55603" xr:uid="{00000000-0005-0000-0000-000043C90000}"/>
    <cellStyle name="Normal 9 5 11 4" xfId="7239" xr:uid="{00000000-0005-0000-0000-000044C90000}"/>
    <cellStyle name="Normal 9 5 11 5" xfId="12718" xr:uid="{00000000-0005-0000-0000-000045C90000}"/>
    <cellStyle name="Normal 9 5 11 6" xfId="18194" xr:uid="{00000000-0005-0000-0000-000046C90000}"/>
    <cellStyle name="Normal 9 5 11 7" xfId="23670" xr:uid="{00000000-0005-0000-0000-000047C90000}"/>
    <cellStyle name="Normal 9 5 11 8" xfId="35465" xr:uid="{00000000-0005-0000-0000-000048C90000}"/>
    <cellStyle name="Normal 9 5 11 9" xfId="40942" xr:uid="{00000000-0005-0000-0000-000049C90000}"/>
    <cellStyle name="Normal 9 5 12" xfId="2066" xr:uid="{00000000-0005-0000-0000-00004AC90000}"/>
    <cellStyle name="Normal 9 5 12 10" xfId="52243" xr:uid="{00000000-0005-0000-0000-00004BC90000}"/>
    <cellStyle name="Normal 9 5 12 2" xfId="5598" xr:uid="{00000000-0005-0000-0000-00004CC90000}"/>
    <cellStyle name="Normal 9 5 12 2 2" xfId="11078" xr:uid="{00000000-0005-0000-0000-00004DC90000}"/>
    <cellStyle name="Normal 9 5 12 2 3" xfId="16554" xr:uid="{00000000-0005-0000-0000-00004EC90000}"/>
    <cellStyle name="Normal 9 5 12 2 4" xfId="22030" xr:uid="{00000000-0005-0000-0000-00004FC90000}"/>
    <cellStyle name="Normal 9 5 12 2 5" xfId="27506" xr:uid="{00000000-0005-0000-0000-000050C90000}"/>
    <cellStyle name="Normal 9 5 12 2 6" xfId="39302" xr:uid="{00000000-0005-0000-0000-000051C90000}"/>
    <cellStyle name="Normal 9 5 12 2 7" xfId="44779" xr:uid="{00000000-0005-0000-0000-000052C90000}"/>
    <cellStyle name="Normal 9 5 12 2 8" xfId="50256" xr:uid="{00000000-0005-0000-0000-000053C90000}"/>
    <cellStyle name="Normal 9 5 12 2 9" xfId="55774" xr:uid="{00000000-0005-0000-0000-000054C90000}"/>
    <cellStyle name="Normal 9 5 12 3" xfId="7547" xr:uid="{00000000-0005-0000-0000-000055C90000}"/>
    <cellStyle name="Normal 9 5 12 4" xfId="13023" xr:uid="{00000000-0005-0000-0000-000056C90000}"/>
    <cellStyle name="Normal 9 5 12 5" xfId="18499" xr:uid="{00000000-0005-0000-0000-000057C90000}"/>
    <cellStyle name="Normal 9 5 12 6" xfId="23975" xr:uid="{00000000-0005-0000-0000-000058C90000}"/>
    <cellStyle name="Normal 9 5 12 7" xfId="35771" xr:uid="{00000000-0005-0000-0000-000059C90000}"/>
    <cellStyle name="Normal 9 5 12 8" xfId="41248" xr:uid="{00000000-0005-0000-0000-00005AC90000}"/>
    <cellStyle name="Normal 9 5 12 9" xfId="46725" xr:uid="{00000000-0005-0000-0000-00005BC90000}"/>
    <cellStyle name="Normal 9 5 13" xfId="3751" xr:uid="{00000000-0005-0000-0000-00005CC90000}"/>
    <cellStyle name="Normal 9 5 13 2" xfId="9231" xr:uid="{00000000-0005-0000-0000-00005DC90000}"/>
    <cellStyle name="Normal 9 5 13 3" xfId="14707" xr:uid="{00000000-0005-0000-0000-00005EC90000}"/>
    <cellStyle name="Normal 9 5 13 4" xfId="20183" xr:uid="{00000000-0005-0000-0000-00005FC90000}"/>
    <cellStyle name="Normal 9 5 13 5" xfId="25659" xr:uid="{00000000-0005-0000-0000-000060C90000}"/>
    <cellStyle name="Normal 9 5 13 6" xfId="37455" xr:uid="{00000000-0005-0000-0000-000061C90000}"/>
    <cellStyle name="Normal 9 5 13 7" xfId="42932" xr:uid="{00000000-0005-0000-0000-000062C90000}"/>
    <cellStyle name="Normal 9 5 13 8" xfId="48409" xr:uid="{00000000-0005-0000-0000-000063C90000}"/>
    <cellStyle name="Normal 9 5 13 9" xfId="53927" xr:uid="{00000000-0005-0000-0000-000064C90000}"/>
    <cellStyle name="Normal 9 5 14" xfId="7237" xr:uid="{00000000-0005-0000-0000-000065C90000}"/>
    <cellStyle name="Normal 9 5 15" xfId="12716" xr:uid="{00000000-0005-0000-0000-000066C90000}"/>
    <cellStyle name="Normal 9 5 16" xfId="18192" xr:uid="{00000000-0005-0000-0000-000067C90000}"/>
    <cellStyle name="Normal 9 5 17" xfId="23668" xr:uid="{00000000-0005-0000-0000-000068C90000}"/>
    <cellStyle name="Normal 9 5 18" xfId="33350" xr:uid="{00000000-0005-0000-0000-000069C90000}"/>
    <cellStyle name="Normal 9 5 19" xfId="35463" xr:uid="{00000000-0005-0000-0000-00006AC90000}"/>
    <cellStyle name="Normal 9 5 2" xfId="271" xr:uid="{00000000-0005-0000-0000-00006BC90000}"/>
    <cellStyle name="Normal 9 5 2 10" xfId="1895" xr:uid="{00000000-0005-0000-0000-00006CC90000}"/>
    <cellStyle name="Normal 9 5 2 10 10" xfId="46421" xr:uid="{00000000-0005-0000-0000-00006DC90000}"/>
    <cellStyle name="Normal 9 5 2 10 11" xfId="51900" xr:uid="{00000000-0005-0000-0000-00006EC90000}"/>
    <cellStyle name="Normal 9 5 2 10 2" xfId="3656" xr:uid="{00000000-0005-0000-0000-00006FC90000}"/>
    <cellStyle name="Normal 9 5 2 10 2 2" xfId="9136" xr:uid="{00000000-0005-0000-0000-000070C90000}"/>
    <cellStyle name="Normal 9 5 2 10 2 3" xfId="14612" xr:uid="{00000000-0005-0000-0000-000071C90000}"/>
    <cellStyle name="Normal 9 5 2 10 2 4" xfId="20088" xr:uid="{00000000-0005-0000-0000-000072C90000}"/>
    <cellStyle name="Normal 9 5 2 10 2 5" xfId="25564" xr:uid="{00000000-0005-0000-0000-000073C90000}"/>
    <cellStyle name="Normal 9 5 2 10 2 6" xfId="37360" xr:uid="{00000000-0005-0000-0000-000074C90000}"/>
    <cellStyle name="Normal 9 5 2 10 2 7" xfId="42837" xr:uid="{00000000-0005-0000-0000-000075C90000}"/>
    <cellStyle name="Normal 9 5 2 10 2 8" xfId="48314" xr:uid="{00000000-0005-0000-0000-000076C90000}"/>
    <cellStyle name="Normal 9 5 2 10 2 9" xfId="53832" xr:uid="{00000000-0005-0000-0000-000077C90000}"/>
    <cellStyle name="Normal 9 5 2 10 3" xfId="5428" xr:uid="{00000000-0005-0000-0000-000078C90000}"/>
    <cellStyle name="Normal 9 5 2 10 3 2" xfId="10908" xr:uid="{00000000-0005-0000-0000-000079C90000}"/>
    <cellStyle name="Normal 9 5 2 10 3 3" xfId="16384" xr:uid="{00000000-0005-0000-0000-00007AC90000}"/>
    <cellStyle name="Normal 9 5 2 10 3 4" xfId="21860" xr:uid="{00000000-0005-0000-0000-00007BC90000}"/>
    <cellStyle name="Normal 9 5 2 10 3 5" xfId="27336" xr:uid="{00000000-0005-0000-0000-00007CC90000}"/>
    <cellStyle name="Normal 9 5 2 10 3 6" xfId="39132" xr:uid="{00000000-0005-0000-0000-00007DC90000}"/>
    <cellStyle name="Normal 9 5 2 10 3 7" xfId="44609" xr:uid="{00000000-0005-0000-0000-00007EC90000}"/>
    <cellStyle name="Normal 9 5 2 10 3 8" xfId="50086" xr:uid="{00000000-0005-0000-0000-00007FC90000}"/>
    <cellStyle name="Normal 9 5 2 10 3 9" xfId="55604" xr:uid="{00000000-0005-0000-0000-000080C90000}"/>
    <cellStyle name="Normal 9 5 2 10 4" xfId="7241" xr:uid="{00000000-0005-0000-0000-000081C90000}"/>
    <cellStyle name="Normal 9 5 2 10 5" xfId="12720" xr:uid="{00000000-0005-0000-0000-000082C90000}"/>
    <cellStyle name="Normal 9 5 2 10 6" xfId="18196" xr:uid="{00000000-0005-0000-0000-000083C90000}"/>
    <cellStyle name="Normal 9 5 2 10 7" xfId="23672" xr:uid="{00000000-0005-0000-0000-000084C90000}"/>
    <cellStyle name="Normal 9 5 2 10 8" xfId="35467" xr:uid="{00000000-0005-0000-0000-000085C90000}"/>
    <cellStyle name="Normal 9 5 2 10 9" xfId="40944" xr:uid="{00000000-0005-0000-0000-000086C90000}"/>
    <cellStyle name="Normal 9 5 2 11" xfId="2067" xr:uid="{00000000-0005-0000-0000-000087C90000}"/>
    <cellStyle name="Normal 9 5 2 11 10" xfId="52244" xr:uid="{00000000-0005-0000-0000-000088C90000}"/>
    <cellStyle name="Normal 9 5 2 11 2" xfId="5599" xr:uid="{00000000-0005-0000-0000-000089C90000}"/>
    <cellStyle name="Normal 9 5 2 11 2 2" xfId="11079" xr:uid="{00000000-0005-0000-0000-00008AC90000}"/>
    <cellStyle name="Normal 9 5 2 11 2 3" xfId="16555" xr:uid="{00000000-0005-0000-0000-00008BC90000}"/>
    <cellStyle name="Normal 9 5 2 11 2 4" xfId="22031" xr:uid="{00000000-0005-0000-0000-00008CC90000}"/>
    <cellStyle name="Normal 9 5 2 11 2 5" xfId="27507" xr:uid="{00000000-0005-0000-0000-00008DC90000}"/>
    <cellStyle name="Normal 9 5 2 11 2 6" xfId="39303" xr:uid="{00000000-0005-0000-0000-00008EC90000}"/>
    <cellStyle name="Normal 9 5 2 11 2 7" xfId="44780" xr:uid="{00000000-0005-0000-0000-00008FC90000}"/>
    <cellStyle name="Normal 9 5 2 11 2 8" xfId="50257" xr:uid="{00000000-0005-0000-0000-000090C90000}"/>
    <cellStyle name="Normal 9 5 2 11 2 9" xfId="55775" xr:uid="{00000000-0005-0000-0000-000091C90000}"/>
    <cellStyle name="Normal 9 5 2 11 3" xfId="7548" xr:uid="{00000000-0005-0000-0000-000092C90000}"/>
    <cellStyle name="Normal 9 5 2 11 4" xfId="13024" xr:uid="{00000000-0005-0000-0000-000093C90000}"/>
    <cellStyle name="Normal 9 5 2 11 5" xfId="18500" xr:uid="{00000000-0005-0000-0000-000094C90000}"/>
    <cellStyle name="Normal 9 5 2 11 6" xfId="23976" xr:uid="{00000000-0005-0000-0000-000095C90000}"/>
    <cellStyle name="Normal 9 5 2 11 7" xfId="35772" xr:uid="{00000000-0005-0000-0000-000096C90000}"/>
    <cellStyle name="Normal 9 5 2 11 8" xfId="41249" xr:uid="{00000000-0005-0000-0000-000097C90000}"/>
    <cellStyle name="Normal 9 5 2 11 9" xfId="46726" xr:uid="{00000000-0005-0000-0000-000098C90000}"/>
    <cellStyle name="Normal 9 5 2 12" xfId="3837" xr:uid="{00000000-0005-0000-0000-000099C90000}"/>
    <cellStyle name="Normal 9 5 2 12 2" xfId="9317" xr:uid="{00000000-0005-0000-0000-00009AC90000}"/>
    <cellStyle name="Normal 9 5 2 12 3" xfId="14793" xr:uid="{00000000-0005-0000-0000-00009BC90000}"/>
    <cellStyle name="Normal 9 5 2 12 4" xfId="20269" xr:uid="{00000000-0005-0000-0000-00009CC90000}"/>
    <cellStyle name="Normal 9 5 2 12 5" xfId="25745" xr:uid="{00000000-0005-0000-0000-00009DC90000}"/>
    <cellStyle name="Normal 9 5 2 12 6" xfId="37541" xr:uid="{00000000-0005-0000-0000-00009EC90000}"/>
    <cellStyle name="Normal 9 5 2 12 7" xfId="43018" xr:uid="{00000000-0005-0000-0000-00009FC90000}"/>
    <cellStyle name="Normal 9 5 2 12 8" xfId="48495" xr:uid="{00000000-0005-0000-0000-0000A0C90000}"/>
    <cellStyle name="Normal 9 5 2 12 9" xfId="54013" xr:uid="{00000000-0005-0000-0000-0000A1C90000}"/>
    <cellStyle name="Normal 9 5 2 13" xfId="7240" xr:uid="{00000000-0005-0000-0000-0000A2C90000}"/>
    <cellStyle name="Normal 9 5 2 14" xfId="12719" xr:uid="{00000000-0005-0000-0000-0000A3C90000}"/>
    <cellStyle name="Normal 9 5 2 15" xfId="18195" xr:uid="{00000000-0005-0000-0000-0000A4C90000}"/>
    <cellStyle name="Normal 9 5 2 16" xfId="23671" xr:uid="{00000000-0005-0000-0000-0000A5C90000}"/>
    <cellStyle name="Normal 9 5 2 17" xfId="33351" xr:uid="{00000000-0005-0000-0000-0000A6C90000}"/>
    <cellStyle name="Normal 9 5 2 18" xfId="35466" xr:uid="{00000000-0005-0000-0000-0000A7C90000}"/>
    <cellStyle name="Normal 9 5 2 19" xfId="40943" xr:uid="{00000000-0005-0000-0000-0000A8C90000}"/>
    <cellStyle name="Normal 9 5 2 2" xfId="463" xr:uid="{00000000-0005-0000-0000-0000A9C90000}"/>
    <cellStyle name="Normal 9 5 2 2 10" xfId="40945" xr:uid="{00000000-0005-0000-0000-0000AAC90000}"/>
    <cellStyle name="Normal 9 5 2 2 11" xfId="46422" xr:uid="{00000000-0005-0000-0000-0000ABC90000}"/>
    <cellStyle name="Normal 9 5 2 2 12" xfId="51901" xr:uid="{00000000-0005-0000-0000-0000ACC90000}"/>
    <cellStyle name="Normal 9 5 2 2 2" xfId="2228" xr:uid="{00000000-0005-0000-0000-0000ADC90000}"/>
    <cellStyle name="Normal 9 5 2 2 2 2" xfId="7708" xr:uid="{00000000-0005-0000-0000-0000AEC90000}"/>
    <cellStyle name="Normal 9 5 2 2 2 3" xfId="13184" xr:uid="{00000000-0005-0000-0000-0000AFC90000}"/>
    <cellStyle name="Normal 9 5 2 2 2 4" xfId="18660" xr:uid="{00000000-0005-0000-0000-0000B0C90000}"/>
    <cellStyle name="Normal 9 5 2 2 2 5" xfId="24136" xr:uid="{00000000-0005-0000-0000-0000B1C90000}"/>
    <cellStyle name="Normal 9 5 2 2 2 6" xfId="35932" xr:uid="{00000000-0005-0000-0000-0000B2C90000}"/>
    <cellStyle name="Normal 9 5 2 2 2 7" xfId="41409" xr:uid="{00000000-0005-0000-0000-0000B3C90000}"/>
    <cellStyle name="Normal 9 5 2 2 2 8" xfId="46886" xr:uid="{00000000-0005-0000-0000-0000B4C90000}"/>
    <cellStyle name="Normal 9 5 2 2 2 9" xfId="52404" xr:uid="{00000000-0005-0000-0000-0000B5C90000}"/>
    <cellStyle name="Normal 9 5 2 2 3" xfId="4000" xr:uid="{00000000-0005-0000-0000-0000B6C90000}"/>
    <cellStyle name="Normal 9 5 2 2 3 2" xfId="9480" xr:uid="{00000000-0005-0000-0000-0000B7C90000}"/>
    <cellStyle name="Normal 9 5 2 2 3 3" xfId="14956" xr:uid="{00000000-0005-0000-0000-0000B8C90000}"/>
    <cellStyle name="Normal 9 5 2 2 3 4" xfId="20432" xr:uid="{00000000-0005-0000-0000-0000B9C90000}"/>
    <cellStyle name="Normal 9 5 2 2 3 5" xfId="25908" xr:uid="{00000000-0005-0000-0000-0000BAC90000}"/>
    <cellStyle name="Normal 9 5 2 2 3 6" xfId="37704" xr:uid="{00000000-0005-0000-0000-0000BBC90000}"/>
    <cellStyle name="Normal 9 5 2 2 3 7" xfId="43181" xr:uid="{00000000-0005-0000-0000-0000BCC90000}"/>
    <cellStyle name="Normal 9 5 2 2 3 8" xfId="48658" xr:uid="{00000000-0005-0000-0000-0000BDC90000}"/>
    <cellStyle name="Normal 9 5 2 2 3 9" xfId="54176" xr:uid="{00000000-0005-0000-0000-0000BEC90000}"/>
    <cellStyle name="Normal 9 5 2 2 4" xfId="7242" xr:uid="{00000000-0005-0000-0000-0000BFC90000}"/>
    <cellStyle name="Normal 9 5 2 2 5" xfId="12721" xr:uid="{00000000-0005-0000-0000-0000C0C90000}"/>
    <cellStyle name="Normal 9 5 2 2 6" xfId="18197" xr:uid="{00000000-0005-0000-0000-0000C1C90000}"/>
    <cellStyle name="Normal 9 5 2 2 7" xfId="23673" xr:uid="{00000000-0005-0000-0000-0000C2C90000}"/>
    <cellStyle name="Normal 9 5 2 2 8" xfId="33352" xr:uid="{00000000-0005-0000-0000-0000C3C90000}"/>
    <cellStyle name="Normal 9 5 2 2 9" xfId="35468" xr:uid="{00000000-0005-0000-0000-0000C4C90000}"/>
    <cellStyle name="Normal 9 5 2 20" xfId="46420" xr:uid="{00000000-0005-0000-0000-0000C5C90000}"/>
    <cellStyle name="Normal 9 5 2 21" xfId="51899" xr:uid="{00000000-0005-0000-0000-0000C6C90000}"/>
    <cellStyle name="Normal 9 5 2 3" xfId="639" xr:uid="{00000000-0005-0000-0000-0000C7C90000}"/>
    <cellStyle name="Normal 9 5 2 3 10" xfId="46423" xr:uid="{00000000-0005-0000-0000-0000C8C90000}"/>
    <cellStyle name="Normal 9 5 2 3 11" xfId="51902" xr:uid="{00000000-0005-0000-0000-0000C9C90000}"/>
    <cellStyle name="Normal 9 5 2 3 2" xfId="2400" xr:uid="{00000000-0005-0000-0000-0000CAC90000}"/>
    <cellStyle name="Normal 9 5 2 3 2 2" xfId="7880" xr:uid="{00000000-0005-0000-0000-0000CBC90000}"/>
    <cellStyle name="Normal 9 5 2 3 2 3" xfId="13356" xr:uid="{00000000-0005-0000-0000-0000CCC90000}"/>
    <cellStyle name="Normal 9 5 2 3 2 4" xfId="18832" xr:uid="{00000000-0005-0000-0000-0000CDC90000}"/>
    <cellStyle name="Normal 9 5 2 3 2 5" xfId="24308" xr:uid="{00000000-0005-0000-0000-0000CEC90000}"/>
    <cellStyle name="Normal 9 5 2 3 2 6" xfId="36104" xr:uid="{00000000-0005-0000-0000-0000CFC90000}"/>
    <cellStyle name="Normal 9 5 2 3 2 7" xfId="41581" xr:uid="{00000000-0005-0000-0000-0000D0C90000}"/>
    <cellStyle name="Normal 9 5 2 3 2 8" xfId="47058" xr:uid="{00000000-0005-0000-0000-0000D1C90000}"/>
    <cellStyle name="Normal 9 5 2 3 2 9" xfId="52576" xr:uid="{00000000-0005-0000-0000-0000D2C90000}"/>
    <cellStyle name="Normal 9 5 2 3 3" xfId="4172" xr:uid="{00000000-0005-0000-0000-0000D3C90000}"/>
    <cellStyle name="Normal 9 5 2 3 3 2" xfId="9652" xr:uid="{00000000-0005-0000-0000-0000D4C90000}"/>
    <cellStyle name="Normal 9 5 2 3 3 3" xfId="15128" xr:uid="{00000000-0005-0000-0000-0000D5C90000}"/>
    <cellStyle name="Normal 9 5 2 3 3 4" xfId="20604" xr:uid="{00000000-0005-0000-0000-0000D6C90000}"/>
    <cellStyle name="Normal 9 5 2 3 3 5" xfId="26080" xr:uid="{00000000-0005-0000-0000-0000D7C90000}"/>
    <cellStyle name="Normal 9 5 2 3 3 6" xfId="37876" xr:uid="{00000000-0005-0000-0000-0000D8C90000}"/>
    <cellStyle name="Normal 9 5 2 3 3 7" xfId="43353" xr:uid="{00000000-0005-0000-0000-0000D9C90000}"/>
    <cellStyle name="Normal 9 5 2 3 3 8" xfId="48830" xr:uid="{00000000-0005-0000-0000-0000DAC90000}"/>
    <cellStyle name="Normal 9 5 2 3 3 9" xfId="54348" xr:uid="{00000000-0005-0000-0000-0000DBC90000}"/>
    <cellStyle name="Normal 9 5 2 3 4" xfId="7243" xr:uid="{00000000-0005-0000-0000-0000DCC90000}"/>
    <cellStyle name="Normal 9 5 2 3 5" xfId="12722" xr:uid="{00000000-0005-0000-0000-0000DDC90000}"/>
    <cellStyle name="Normal 9 5 2 3 6" xfId="18198" xr:uid="{00000000-0005-0000-0000-0000DEC90000}"/>
    <cellStyle name="Normal 9 5 2 3 7" xfId="23674" xr:uid="{00000000-0005-0000-0000-0000DFC90000}"/>
    <cellStyle name="Normal 9 5 2 3 8" xfId="35469" xr:uid="{00000000-0005-0000-0000-0000E0C90000}"/>
    <cellStyle name="Normal 9 5 2 3 9" xfId="40946" xr:uid="{00000000-0005-0000-0000-0000E1C90000}"/>
    <cellStyle name="Normal 9 5 2 4" xfId="811" xr:uid="{00000000-0005-0000-0000-0000E2C90000}"/>
    <cellStyle name="Normal 9 5 2 4 10" xfId="46424" xr:uid="{00000000-0005-0000-0000-0000E3C90000}"/>
    <cellStyle name="Normal 9 5 2 4 11" xfId="51903" xr:uid="{00000000-0005-0000-0000-0000E4C90000}"/>
    <cellStyle name="Normal 9 5 2 4 2" xfId="2572" xr:uid="{00000000-0005-0000-0000-0000E5C90000}"/>
    <cellStyle name="Normal 9 5 2 4 2 2" xfId="8052" xr:uid="{00000000-0005-0000-0000-0000E6C90000}"/>
    <cellStyle name="Normal 9 5 2 4 2 3" xfId="13528" xr:uid="{00000000-0005-0000-0000-0000E7C90000}"/>
    <cellStyle name="Normal 9 5 2 4 2 4" xfId="19004" xr:uid="{00000000-0005-0000-0000-0000E8C90000}"/>
    <cellStyle name="Normal 9 5 2 4 2 5" xfId="24480" xr:uid="{00000000-0005-0000-0000-0000E9C90000}"/>
    <cellStyle name="Normal 9 5 2 4 2 6" xfId="36276" xr:uid="{00000000-0005-0000-0000-0000EAC90000}"/>
    <cellStyle name="Normal 9 5 2 4 2 7" xfId="41753" xr:uid="{00000000-0005-0000-0000-0000EBC90000}"/>
    <cellStyle name="Normal 9 5 2 4 2 8" xfId="47230" xr:uid="{00000000-0005-0000-0000-0000ECC90000}"/>
    <cellStyle name="Normal 9 5 2 4 2 9" xfId="52748" xr:uid="{00000000-0005-0000-0000-0000EDC90000}"/>
    <cellStyle name="Normal 9 5 2 4 3" xfId="4344" xr:uid="{00000000-0005-0000-0000-0000EEC90000}"/>
    <cellStyle name="Normal 9 5 2 4 3 2" xfId="9824" xr:uid="{00000000-0005-0000-0000-0000EFC90000}"/>
    <cellStyle name="Normal 9 5 2 4 3 3" xfId="15300" xr:uid="{00000000-0005-0000-0000-0000F0C90000}"/>
    <cellStyle name="Normal 9 5 2 4 3 4" xfId="20776" xr:uid="{00000000-0005-0000-0000-0000F1C90000}"/>
    <cellStyle name="Normal 9 5 2 4 3 5" xfId="26252" xr:uid="{00000000-0005-0000-0000-0000F2C90000}"/>
    <cellStyle name="Normal 9 5 2 4 3 6" xfId="38048" xr:uid="{00000000-0005-0000-0000-0000F3C90000}"/>
    <cellStyle name="Normal 9 5 2 4 3 7" xfId="43525" xr:uid="{00000000-0005-0000-0000-0000F4C90000}"/>
    <cellStyle name="Normal 9 5 2 4 3 8" xfId="49002" xr:uid="{00000000-0005-0000-0000-0000F5C90000}"/>
    <cellStyle name="Normal 9 5 2 4 3 9" xfId="54520" xr:uid="{00000000-0005-0000-0000-0000F6C90000}"/>
    <cellStyle name="Normal 9 5 2 4 4" xfId="7244" xr:uid="{00000000-0005-0000-0000-0000F7C90000}"/>
    <cellStyle name="Normal 9 5 2 4 5" xfId="12723" xr:uid="{00000000-0005-0000-0000-0000F8C90000}"/>
    <cellStyle name="Normal 9 5 2 4 6" xfId="18199" xr:uid="{00000000-0005-0000-0000-0000F9C90000}"/>
    <cellStyle name="Normal 9 5 2 4 7" xfId="23675" xr:uid="{00000000-0005-0000-0000-0000FAC90000}"/>
    <cellStyle name="Normal 9 5 2 4 8" xfId="35470" xr:uid="{00000000-0005-0000-0000-0000FBC90000}"/>
    <cellStyle name="Normal 9 5 2 4 9" xfId="40947" xr:uid="{00000000-0005-0000-0000-0000FCC90000}"/>
    <cellStyle name="Normal 9 5 2 5" xfId="983" xr:uid="{00000000-0005-0000-0000-0000FDC90000}"/>
    <cellStyle name="Normal 9 5 2 5 10" xfId="46425" xr:uid="{00000000-0005-0000-0000-0000FEC90000}"/>
    <cellStyle name="Normal 9 5 2 5 11" xfId="51904" xr:uid="{00000000-0005-0000-0000-0000FFC90000}"/>
    <cellStyle name="Normal 9 5 2 5 2" xfId="2744" xr:uid="{00000000-0005-0000-0000-000000CA0000}"/>
    <cellStyle name="Normal 9 5 2 5 2 2" xfId="8224" xr:uid="{00000000-0005-0000-0000-000001CA0000}"/>
    <cellStyle name="Normal 9 5 2 5 2 3" xfId="13700" xr:uid="{00000000-0005-0000-0000-000002CA0000}"/>
    <cellStyle name="Normal 9 5 2 5 2 4" xfId="19176" xr:uid="{00000000-0005-0000-0000-000003CA0000}"/>
    <cellStyle name="Normal 9 5 2 5 2 5" xfId="24652" xr:uid="{00000000-0005-0000-0000-000004CA0000}"/>
    <cellStyle name="Normal 9 5 2 5 2 6" xfId="36448" xr:uid="{00000000-0005-0000-0000-000005CA0000}"/>
    <cellStyle name="Normal 9 5 2 5 2 7" xfId="41925" xr:uid="{00000000-0005-0000-0000-000006CA0000}"/>
    <cellStyle name="Normal 9 5 2 5 2 8" xfId="47402" xr:uid="{00000000-0005-0000-0000-000007CA0000}"/>
    <cellStyle name="Normal 9 5 2 5 2 9" xfId="52920" xr:uid="{00000000-0005-0000-0000-000008CA0000}"/>
    <cellStyle name="Normal 9 5 2 5 3" xfId="4516" xr:uid="{00000000-0005-0000-0000-000009CA0000}"/>
    <cellStyle name="Normal 9 5 2 5 3 2" xfId="9996" xr:uid="{00000000-0005-0000-0000-00000ACA0000}"/>
    <cellStyle name="Normal 9 5 2 5 3 3" xfId="15472" xr:uid="{00000000-0005-0000-0000-00000BCA0000}"/>
    <cellStyle name="Normal 9 5 2 5 3 4" xfId="20948" xr:uid="{00000000-0005-0000-0000-00000CCA0000}"/>
    <cellStyle name="Normal 9 5 2 5 3 5" xfId="26424" xr:uid="{00000000-0005-0000-0000-00000DCA0000}"/>
    <cellStyle name="Normal 9 5 2 5 3 6" xfId="38220" xr:uid="{00000000-0005-0000-0000-00000ECA0000}"/>
    <cellStyle name="Normal 9 5 2 5 3 7" xfId="43697" xr:uid="{00000000-0005-0000-0000-00000FCA0000}"/>
    <cellStyle name="Normal 9 5 2 5 3 8" xfId="49174" xr:uid="{00000000-0005-0000-0000-000010CA0000}"/>
    <cellStyle name="Normal 9 5 2 5 3 9" xfId="54692" xr:uid="{00000000-0005-0000-0000-000011CA0000}"/>
    <cellStyle name="Normal 9 5 2 5 4" xfId="7245" xr:uid="{00000000-0005-0000-0000-000012CA0000}"/>
    <cellStyle name="Normal 9 5 2 5 5" xfId="12724" xr:uid="{00000000-0005-0000-0000-000013CA0000}"/>
    <cellStyle name="Normal 9 5 2 5 6" xfId="18200" xr:uid="{00000000-0005-0000-0000-000014CA0000}"/>
    <cellStyle name="Normal 9 5 2 5 7" xfId="23676" xr:uid="{00000000-0005-0000-0000-000015CA0000}"/>
    <cellStyle name="Normal 9 5 2 5 8" xfId="35471" xr:uid="{00000000-0005-0000-0000-000016CA0000}"/>
    <cellStyle name="Normal 9 5 2 5 9" xfId="40948" xr:uid="{00000000-0005-0000-0000-000017CA0000}"/>
    <cellStyle name="Normal 9 5 2 6" xfId="1189" xr:uid="{00000000-0005-0000-0000-000018CA0000}"/>
    <cellStyle name="Normal 9 5 2 6 10" xfId="46426" xr:uid="{00000000-0005-0000-0000-000019CA0000}"/>
    <cellStyle name="Normal 9 5 2 6 11" xfId="51905" xr:uid="{00000000-0005-0000-0000-00001ACA0000}"/>
    <cellStyle name="Normal 9 5 2 6 2" xfId="2950" xr:uid="{00000000-0005-0000-0000-00001BCA0000}"/>
    <cellStyle name="Normal 9 5 2 6 2 2" xfId="8430" xr:uid="{00000000-0005-0000-0000-00001CCA0000}"/>
    <cellStyle name="Normal 9 5 2 6 2 3" xfId="13906" xr:uid="{00000000-0005-0000-0000-00001DCA0000}"/>
    <cellStyle name="Normal 9 5 2 6 2 4" xfId="19382" xr:uid="{00000000-0005-0000-0000-00001ECA0000}"/>
    <cellStyle name="Normal 9 5 2 6 2 5" xfId="24858" xr:uid="{00000000-0005-0000-0000-00001FCA0000}"/>
    <cellStyle name="Normal 9 5 2 6 2 6" xfId="36654" xr:uid="{00000000-0005-0000-0000-000020CA0000}"/>
    <cellStyle name="Normal 9 5 2 6 2 7" xfId="42131" xr:uid="{00000000-0005-0000-0000-000021CA0000}"/>
    <cellStyle name="Normal 9 5 2 6 2 8" xfId="47608" xr:uid="{00000000-0005-0000-0000-000022CA0000}"/>
    <cellStyle name="Normal 9 5 2 6 2 9" xfId="53126" xr:uid="{00000000-0005-0000-0000-000023CA0000}"/>
    <cellStyle name="Normal 9 5 2 6 3" xfId="4722" xr:uid="{00000000-0005-0000-0000-000024CA0000}"/>
    <cellStyle name="Normal 9 5 2 6 3 2" xfId="10202" xr:uid="{00000000-0005-0000-0000-000025CA0000}"/>
    <cellStyle name="Normal 9 5 2 6 3 3" xfId="15678" xr:uid="{00000000-0005-0000-0000-000026CA0000}"/>
    <cellStyle name="Normal 9 5 2 6 3 4" xfId="21154" xr:uid="{00000000-0005-0000-0000-000027CA0000}"/>
    <cellStyle name="Normal 9 5 2 6 3 5" xfId="26630" xr:uid="{00000000-0005-0000-0000-000028CA0000}"/>
    <cellStyle name="Normal 9 5 2 6 3 6" xfId="38426" xr:uid="{00000000-0005-0000-0000-000029CA0000}"/>
    <cellStyle name="Normal 9 5 2 6 3 7" xfId="43903" xr:uid="{00000000-0005-0000-0000-00002ACA0000}"/>
    <cellStyle name="Normal 9 5 2 6 3 8" xfId="49380" xr:uid="{00000000-0005-0000-0000-00002BCA0000}"/>
    <cellStyle name="Normal 9 5 2 6 3 9" xfId="54898" xr:uid="{00000000-0005-0000-0000-00002CCA0000}"/>
    <cellStyle name="Normal 9 5 2 6 4" xfId="7246" xr:uid="{00000000-0005-0000-0000-00002DCA0000}"/>
    <cellStyle name="Normal 9 5 2 6 5" xfId="12725" xr:uid="{00000000-0005-0000-0000-00002ECA0000}"/>
    <cellStyle name="Normal 9 5 2 6 6" xfId="18201" xr:uid="{00000000-0005-0000-0000-00002FCA0000}"/>
    <cellStyle name="Normal 9 5 2 6 7" xfId="23677" xr:uid="{00000000-0005-0000-0000-000030CA0000}"/>
    <cellStyle name="Normal 9 5 2 6 8" xfId="35472" xr:uid="{00000000-0005-0000-0000-000031CA0000}"/>
    <cellStyle name="Normal 9 5 2 6 9" xfId="40949" xr:uid="{00000000-0005-0000-0000-000032CA0000}"/>
    <cellStyle name="Normal 9 5 2 7" xfId="1361" xr:uid="{00000000-0005-0000-0000-000033CA0000}"/>
    <cellStyle name="Normal 9 5 2 7 10" xfId="46427" xr:uid="{00000000-0005-0000-0000-000034CA0000}"/>
    <cellStyle name="Normal 9 5 2 7 11" xfId="51906" xr:uid="{00000000-0005-0000-0000-000035CA0000}"/>
    <cellStyle name="Normal 9 5 2 7 2" xfId="3122" xr:uid="{00000000-0005-0000-0000-000036CA0000}"/>
    <cellStyle name="Normal 9 5 2 7 2 2" xfId="8602" xr:uid="{00000000-0005-0000-0000-000037CA0000}"/>
    <cellStyle name="Normal 9 5 2 7 2 3" xfId="14078" xr:uid="{00000000-0005-0000-0000-000038CA0000}"/>
    <cellStyle name="Normal 9 5 2 7 2 4" xfId="19554" xr:uid="{00000000-0005-0000-0000-000039CA0000}"/>
    <cellStyle name="Normal 9 5 2 7 2 5" xfId="25030" xr:uid="{00000000-0005-0000-0000-00003ACA0000}"/>
    <cellStyle name="Normal 9 5 2 7 2 6" xfId="36826" xr:uid="{00000000-0005-0000-0000-00003BCA0000}"/>
    <cellStyle name="Normal 9 5 2 7 2 7" xfId="42303" xr:uid="{00000000-0005-0000-0000-00003CCA0000}"/>
    <cellStyle name="Normal 9 5 2 7 2 8" xfId="47780" xr:uid="{00000000-0005-0000-0000-00003DCA0000}"/>
    <cellStyle name="Normal 9 5 2 7 2 9" xfId="53298" xr:uid="{00000000-0005-0000-0000-00003ECA0000}"/>
    <cellStyle name="Normal 9 5 2 7 3" xfId="4894" xr:uid="{00000000-0005-0000-0000-00003FCA0000}"/>
    <cellStyle name="Normal 9 5 2 7 3 2" xfId="10374" xr:uid="{00000000-0005-0000-0000-000040CA0000}"/>
    <cellStyle name="Normal 9 5 2 7 3 3" xfId="15850" xr:uid="{00000000-0005-0000-0000-000041CA0000}"/>
    <cellStyle name="Normal 9 5 2 7 3 4" xfId="21326" xr:uid="{00000000-0005-0000-0000-000042CA0000}"/>
    <cellStyle name="Normal 9 5 2 7 3 5" xfId="26802" xr:uid="{00000000-0005-0000-0000-000043CA0000}"/>
    <cellStyle name="Normal 9 5 2 7 3 6" xfId="38598" xr:uid="{00000000-0005-0000-0000-000044CA0000}"/>
    <cellStyle name="Normal 9 5 2 7 3 7" xfId="44075" xr:uid="{00000000-0005-0000-0000-000045CA0000}"/>
    <cellStyle name="Normal 9 5 2 7 3 8" xfId="49552" xr:uid="{00000000-0005-0000-0000-000046CA0000}"/>
    <cellStyle name="Normal 9 5 2 7 3 9" xfId="55070" xr:uid="{00000000-0005-0000-0000-000047CA0000}"/>
    <cellStyle name="Normal 9 5 2 7 4" xfId="7247" xr:uid="{00000000-0005-0000-0000-000048CA0000}"/>
    <cellStyle name="Normal 9 5 2 7 5" xfId="12726" xr:uid="{00000000-0005-0000-0000-000049CA0000}"/>
    <cellStyle name="Normal 9 5 2 7 6" xfId="18202" xr:uid="{00000000-0005-0000-0000-00004ACA0000}"/>
    <cellStyle name="Normal 9 5 2 7 7" xfId="23678" xr:uid="{00000000-0005-0000-0000-00004BCA0000}"/>
    <cellStyle name="Normal 9 5 2 7 8" xfId="35473" xr:uid="{00000000-0005-0000-0000-00004CCA0000}"/>
    <cellStyle name="Normal 9 5 2 7 9" xfId="40950" xr:uid="{00000000-0005-0000-0000-00004DCA0000}"/>
    <cellStyle name="Normal 9 5 2 8" xfId="1533" xr:uid="{00000000-0005-0000-0000-00004ECA0000}"/>
    <cellStyle name="Normal 9 5 2 8 10" xfId="46428" xr:uid="{00000000-0005-0000-0000-00004FCA0000}"/>
    <cellStyle name="Normal 9 5 2 8 11" xfId="51907" xr:uid="{00000000-0005-0000-0000-000050CA0000}"/>
    <cellStyle name="Normal 9 5 2 8 2" xfId="3294" xr:uid="{00000000-0005-0000-0000-000051CA0000}"/>
    <cellStyle name="Normal 9 5 2 8 2 2" xfId="8774" xr:uid="{00000000-0005-0000-0000-000052CA0000}"/>
    <cellStyle name="Normal 9 5 2 8 2 3" xfId="14250" xr:uid="{00000000-0005-0000-0000-000053CA0000}"/>
    <cellStyle name="Normal 9 5 2 8 2 4" xfId="19726" xr:uid="{00000000-0005-0000-0000-000054CA0000}"/>
    <cellStyle name="Normal 9 5 2 8 2 5" xfId="25202" xr:uid="{00000000-0005-0000-0000-000055CA0000}"/>
    <cellStyle name="Normal 9 5 2 8 2 6" xfId="36998" xr:uid="{00000000-0005-0000-0000-000056CA0000}"/>
    <cellStyle name="Normal 9 5 2 8 2 7" xfId="42475" xr:uid="{00000000-0005-0000-0000-000057CA0000}"/>
    <cellStyle name="Normal 9 5 2 8 2 8" xfId="47952" xr:uid="{00000000-0005-0000-0000-000058CA0000}"/>
    <cellStyle name="Normal 9 5 2 8 2 9" xfId="53470" xr:uid="{00000000-0005-0000-0000-000059CA0000}"/>
    <cellStyle name="Normal 9 5 2 8 3" xfId="5066" xr:uid="{00000000-0005-0000-0000-00005ACA0000}"/>
    <cellStyle name="Normal 9 5 2 8 3 2" xfId="10546" xr:uid="{00000000-0005-0000-0000-00005BCA0000}"/>
    <cellStyle name="Normal 9 5 2 8 3 3" xfId="16022" xr:uid="{00000000-0005-0000-0000-00005CCA0000}"/>
    <cellStyle name="Normal 9 5 2 8 3 4" xfId="21498" xr:uid="{00000000-0005-0000-0000-00005DCA0000}"/>
    <cellStyle name="Normal 9 5 2 8 3 5" xfId="26974" xr:uid="{00000000-0005-0000-0000-00005ECA0000}"/>
    <cellStyle name="Normal 9 5 2 8 3 6" xfId="38770" xr:uid="{00000000-0005-0000-0000-00005FCA0000}"/>
    <cellStyle name="Normal 9 5 2 8 3 7" xfId="44247" xr:uid="{00000000-0005-0000-0000-000060CA0000}"/>
    <cellStyle name="Normal 9 5 2 8 3 8" xfId="49724" xr:uid="{00000000-0005-0000-0000-000061CA0000}"/>
    <cellStyle name="Normal 9 5 2 8 3 9" xfId="55242" xr:uid="{00000000-0005-0000-0000-000062CA0000}"/>
    <cellStyle name="Normal 9 5 2 8 4" xfId="7248" xr:uid="{00000000-0005-0000-0000-000063CA0000}"/>
    <cellStyle name="Normal 9 5 2 8 5" xfId="12727" xr:uid="{00000000-0005-0000-0000-000064CA0000}"/>
    <cellStyle name="Normal 9 5 2 8 6" xfId="18203" xr:uid="{00000000-0005-0000-0000-000065CA0000}"/>
    <cellStyle name="Normal 9 5 2 8 7" xfId="23679" xr:uid="{00000000-0005-0000-0000-000066CA0000}"/>
    <cellStyle name="Normal 9 5 2 8 8" xfId="35474" xr:uid="{00000000-0005-0000-0000-000067CA0000}"/>
    <cellStyle name="Normal 9 5 2 8 9" xfId="40951" xr:uid="{00000000-0005-0000-0000-000068CA0000}"/>
    <cellStyle name="Normal 9 5 2 9" xfId="1705" xr:uid="{00000000-0005-0000-0000-000069CA0000}"/>
    <cellStyle name="Normal 9 5 2 9 10" xfId="46429" xr:uid="{00000000-0005-0000-0000-00006ACA0000}"/>
    <cellStyle name="Normal 9 5 2 9 11" xfId="51908" xr:uid="{00000000-0005-0000-0000-00006BCA0000}"/>
    <cellStyle name="Normal 9 5 2 9 2" xfId="3466" xr:uid="{00000000-0005-0000-0000-00006CCA0000}"/>
    <cellStyle name="Normal 9 5 2 9 2 2" xfId="8946" xr:uid="{00000000-0005-0000-0000-00006DCA0000}"/>
    <cellStyle name="Normal 9 5 2 9 2 3" xfId="14422" xr:uid="{00000000-0005-0000-0000-00006ECA0000}"/>
    <cellStyle name="Normal 9 5 2 9 2 4" xfId="19898" xr:uid="{00000000-0005-0000-0000-00006FCA0000}"/>
    <cellStyle name="Normal 9 5 2 9 2 5" xfId="25374" xr:uid="{00000000-0005-0000-0000-000070CA0000}"/>
    <cellStyle name="Normal 9 5 2 9 2 6" xfId="37170" xr:uid="{00000000-0005-0000-0000-000071CA0000}"/>
    <cellStyle name="Normal 9 5 2 9 2 7" xfId="42647" xr:uid="{00000000-0005-0000-0000-000072CA0000}"/>
    <cellStyle name="Normal 9 5 2 9 2 8" xfId="48124" xr:uid="{00000000-0005-0000-0000-000073CA0000}"/>
    <cellStyle name="Normal 9 5 2 9 2 9" xfId="53642" xr:uid="{00000000-0005-0000-0000-000074CA0000}"/>
    <cellStyle name="Normal 9 5 2 9 3" xfId="5238" xr:uid="{00000000-0005-0000-0000-000075CA0000}"/>
    <cellStyle name="Normal 9 5 2 9 3 2" xfId="10718" xr:uid="{00000000-0005-0000-0000-000076CA0000}"/>
    <cellStyle name="Normal 9 5 2 9 3 3" xfId="16194" xr:uid="{00000000-0005-0000-0000-000077CA0000}"/>
    <cellStyle name="Normal 9 5 2 9 3 4" xfId="21670" xr:uid="{00000000-0005-0000-0000-000078CA0000}"/>
    <cellStyle name="Normal 9 5 2 9 3 5" xfId="27146" xr:uid="{00000000-0005-0000-0000-000079CA0000}"/>
    <cellStyle name="Normal 9 5 2 9 3 6" xfId="38942" xr:uid="{00000000-0005-0000-0000-00007ACA0000}"/>
    <cellStyle name="Normal 9 5 2 9 3 7" xfId="44419" xr:uid="{00000000-0005-0000-0000-00007BCA0000}"/>
    <cellStyle name="Normal 9 5 2 9 3 8" xfId="49896" xr:uid="{00000000-0005-0000-0000-00007CCA0000}"/>
    <cellStyle name="Normal 9 5 2 9 3 9" xfId="55414" xr:uid="{00000000-0005-0000-0000-00007DCA0000}"/>
    <cellStyle name="Normal 9 5 2 9 4" xfId="7249" xr:uid="{00000000-0005-0000-0000-00007ECA0000}"/>
    <cellStyle name="Normal 9 5 2 9 5" xfId="12728" xr:uid="{00000000-0005-0000-0000-00007FCA0000}"/>
    <cellStyle name="Normal 9 5 2 9 6" xfId="18204" xr:uid="{00000000-0005-0000-0000-000080CA0000}"/>
    <cellStyle name="Normal 9 5 2 9 7" xfId="23680" xr:uid="{00000000-0005-0000-0000-000081CA0000}"/>
    <cellStyle name="Normal 9 5 2 9 8" xfId="35475" xr:uid="{00000000-0005-0000-0000-000082CA0000}"/>
    <cellStyle name="Normal 9 5 2 9 9" xfId="40952" xr:uid="{00000000-0005-0000-0000-000083CA0000}"/>
    <cellStyle name="Normal 9 5 20" xfId="40940" xr:uid="{00000000-0005-0000-0000-000084CA0000}"/>
    <cellStyle name="Normal 9 5 21" xfId="46417" xr:uid="{00000000-0005-0000-0000-000085CA0000}"/>
    <cellStyle name="Normal 9 5 22" xfId="51896" xr:uid="{00000000-0005-0000-0000-000086CA0000}"/>
    <cellStyle name="Normal 9 5 3" xfId="462" xr:uid="{00000000-0005-0000-0000-000087CA0000}"/>
    <cellStyle name="Normal 9 5 3 10" xfId="40953" xr:uid="{00000000-0005-0000-0000-000088CA0000}"/>
    <cellStyle name="Normal 9 5 3 11" xfId="46430" xr:uid="{00000000-0005-0000-0000-000089CA0000}"/>
    <cellStyle name="Normal 9 5 3 12" xfId="51909" xr:uid="{00000000-0005-0000-0000-00008ACA0000}"/>
    <cellStyle name="Normal 9 5 3 2" xfId="2227" xr:uid="{00000000-0005-0000-0000-00008BCA0000}"/>
    <cellStyle name="Normal 9 5 3 2 2" xfId="7707" xr:uid="{00000000-0005-0000-0000-00008CCA0000}"/>
    <cellStyle name="Normal 9 5 3 2 3" xfId="13183" xr:uid="{00000000-0005-0000-0000-00008DCA0000}"/>
    <cellStyle name="Normal 9 5 3 2 4" xfId="18659" xr:uid="{00000000-0005-0000-0000-00008ECA0000}"/>
    <cellStyle name="Normal 9 5 3 2 5" xfId="24135" xr:uid="{00000000-0005-0000-0000-00008FCA0000}"/>
    <cellStyle name="Normal 9 5 3 2 6" xfId="35931" xr:uid="{00000000-0005-0000-0000-000090CA0000}"/>
    <cellStyle name="Normal 9 5 3 2 7" xfId="41408" xr:uid="{00000000-0005-0000-0000-000091CA0000}"/>
    <cellStyle name="Normal 9 5 3 2 8" xfId="46885" xr:uid="{00000000-0005-0000-0000-000092CA0000}"/>
    <cellStyle name="Normal 9 5 3 2 9" xfId="52403" xr:uid="{00000000-0005-0000-0000-000093CA0000}"/>
    <cellStyle name="Normal 9 5 3 3" xfId="3999" xr:uid="{00000000-0005-0000-0000-000094CA0000}"/>
    <cellStyle name="Normal 9 5 3 3 2" xfId="9479" xr:uid="{00000000-0005-0000-0000-000095CA0000}"/>
    <cellStyle name="Normal 9 5 3 3 3" xfId="14955" xr:uid="{00000000-0005-0000-0000-000096CA0000}"/>
    <cellStyle name="Normal 9 5 3 3 4" xfId="20431" xr:uid="{00000000-0005-0000-0000-000097CA0000}"/>
    <cellStyle name="Normal 9 5 3 3 5" xfId="25907" xr:uid="{00000000-0005-0000-0000-000098CA0000}"/>
    <cellStyle name="Normal 9 5 3 3 6" xfId="37703" xr:uid="{00000000-0005-0000-0000-000099CA0000}"/>
    <cellStyle name="Normal 9 5 3 3 7" xfId="43180" xr:uid="{00000000-0005-0000-0000-00009ACA0000}"/>
    <cellStyle name="Normal 9 5 3 3 8" xfId="48657" xr:uid="{00000000-0005-0000-0000-00009BCA0000}"/>
    <cellStyle name="Normal 9 5 3 3 9" xfId="54175" xr:uid="{00000000-0005-0000-0000-00009CCA0000}"/>
    <cellStyle name="Normal 9 5 3 4" xfId="7250" xr:uid="{00000000-0005-0000-0000-00009DCA0000}"/>
    <cellStyle name="Normal 9 5 3 5" xfId="12729" xr:uid="{00000000-0005-0000-0000-00009ECA0000}"/>
    <cellStyle name="Normal 9 5 3 6" xfId="18205" xr:uid="{00000000-0005-0000-0000-00009FCA0000}"/>
    <cellStyle name="Normal 9 5 3 7" xfId="23681" xr:uid="{00000000-0005-0000-0000-0000A0CA0000}"/>
    <cellStyle name="Normal 9 5 3 8" xfId="33353" xr:uid="{00000000-0005-0000-0000-0000A1CA0000}"/>
    <cellStyle name="Normal 9 5 3 9" xfId="35476" xr:uid="{00000000-0005-0000-0000-0000A2CA0000}"/>
    <cellStyle name="Normal 9 5 4" xfId="638" xr:uid="{00000000-0005-0000-0000-0000A3CA0000}"/>
    <cellStyle name="Normal 9 5 4 10" xfId="46431" xr:uid="{00000000-0005-0000-0000-0000A4CA0000}"/>
    <cellStyle name="Normal 9 5 4 11" xfId="51910" xr:uid="{00000000-0005-0000-0000-0000A5CA0000}"/>
    <cellStyle name="Normal 9 5 4 2" xfId="2399" xr:uid="{00000000-0005-0000-0000-0000A6CA0000}"/>
    <cellStyle name="Normal 9 5 4 2 2" xfId="7879" xr:uid="{00000000-0005-0000-0000-0000A7CA0000}"/>
    <cellStyle name="Normal 9 5 4 2 3" xfId="13355" xr:uid="{00000000-0005-0000-0000-0000A8CA0000}"/>
    <cellStyle name="Normal 9 5 4 2 4" xfId="18831" xr:uid="{00000000-0005-0000-0000-0000A9CA0000}"/>
    <cellStyle name="Normal 9 5 4 2 5" xfId="24307" xr:uid="{00000000-0005-0000-0000-0000AACA0000}"/>
    <cellStyle name="Normal 9 5 4 2 6" xfId="36103" xr:uid="{00000000-0005-0000-0000-0000ABCA0000}"/>
    <cellStyle name="Normal 9 5 4 2 7" xfId="41580" xr:uid="{00000000-0005-0000-0000-0000ACCA0000}"/>
    <cellStyle name="Normal 9 5 4 2 8" xfId="47057" xr:uid="{00000000-0005-0000-0000-0000ADCA0000}"/>
    <cellStyle name="Normal 9 5 4 2 9" xfId="52575" xr:uid="{00000000-0005-0000-0000-0000AECA0000}"/>
    <cellStyle name="Normal 9 5 4 3" xfId="4171" xr:uid="{00000000-0005-0000-0000-0000AFCA0000}"/>
    <cellStyle name="Normal 9 5 4 3 2" xfId="9651" xr:uid="{00000000-0005-0000-0000-0000B0CA0000}"/>
    <cellStyle name="Normal 9 5 4 3 3" xfId="15127" xr:uid="{00000000-0005-0000-0000-0000B1CA0000}"/>
    <cellStyle name="Normal 9 5 4 3 4" xfId="20603" xr:uid="{00000000-0005-0000-0000-0000B2CA0000}"/>
    <cellStyle name="Normal 9 5 4 3 5" xfId="26079" xr:uid="{00000000-0005-0000-0000-0000B3CA0000}"/>
    <cellStyle name="Normal 9 5 4 3 6" xfId="37875" xr:uid="{00000000-0005-0000-0000-0000B4CA0000}"/>
    <cellStyle name="Normal 9 5 4 3 7" xfId="43352" xr:uid="{00000000-0005-0000-0000-0000B5CA0000}"/>
    <cellStyle name="Normal 9 5 4 3 8" xfId="48829" xr:uid="{00000000-0005-0000-0000-0000B6CA0000}"/>
    <cellStyle name="Normal 9 5 4 3 9" xfId="54347" xr:uid="{00000000-0005-0000-0000-0000B7CA0000}"/>
    <cellStyle name="Normal 9 5 4 4" xfId="7251" xr:uid="{00000000-0005-0000-0000-0000B8CA0000}"/>
    <cellStyle name="Normal 9 5 4 5" xfId="12730" xr:uid="{00000000-0005-0000-0000-0000B9CA0000}"/>
    <cellStyle name="Normal 9 5 4 6" xfId="18206" xr:uid="{00000000-0005-0000-0000-0000BACA0000}"/>
    <cellStyle name="Normal 9 5 4 7" xfId="23682" xr:uid="{00000000-0005-0000-0000-0000BBCA0000}"/>
    <cellStyle name="Normal 9 5 4 8" xfId="35477" xr:uid="{00000000-0005-0000-0000-0000BCCA0000}"/>
    <cellStyle name="Normal 9 5 4 9" xfId="40954" xr:uid="{00000000-0005-0000-0000-0000BDCA0000}"/>
    <cellStyle name="Normal 9 5 5" xfId="810" xr:uid="{00000000-0005-0000-0000-0000BECA0000}"/>
    <cellStyle name="Normal 9 5 5 10" xfId="46432" xr:uid="{00000000-0005-0000-0000-0000BFCA0000}"/>
    <cellStyle name="Normal 9 5 5 11" xfId="51911" xr:uid="{00000000-0005-0000-0000-0000C0CA0000}"/>
    <cellStyle name="Normal 9 5 5 2" xfId="2571" xr:uid="{00000000-0005-0000-0000-0000C1CA0000}"/>
    <cellStyle name="Normal 9 5 5 2 2" xfId="8051" xr:uid="{00000000-0005-0000-0000-0000C2CA0000}"/>
    <cellStyle name="Normal 9 5 5 2 3" xfId="13527" xr:uid="{00000000-0005-0000-0000-0000C3CA0000}"/>
    <cellStyle name="Normal 9 5 5 2 4" xfId="19003" xr:uid="{00000000-0005-0000-0000-0000C4CA0000}"/>
    <cellStyle name="Normal 9 5 5 2 5" xfId="24479" xr:uid="{00000000-0005-0000-0000-0000C5CA0000}"/>
    <cellStyle name="Normal 9 5 5 2 6" xfId="36275" xr:uid="{00000000-0005-0000-0000-0000C6CA0000}"/>
    <cellStyle name="Normal 9 5 5 2 7" xfId="41752" xr:uid="{00000000-0005-0000-0000-0000C7CA0000}"/>
    <cellStyle name="Normal 9 5 5 2 8" xfId="47229" xr:uid="{00000000-0005-0000-0000-0000C8CA0000}"/>
    <cellStyle name="Normal 9 5 5 2 9" xfId="52747" xr:uid="{00000000-0005-0000-0000-0000C9CA0000}"/>
    <cellStyle name="Normal 9 5 5 3" xfId="4343" xr:uid="{00000000-0005-0000-0000-0000CACA0000}"/>
    <cellStyle name="Normal 9 5 5 3 2" xfId="9823" xr:uid="{00000000-0005-0000-0000-0000CBCA0000}"/>
    <cellStyle name="Normal 9 5 5 3 3" xfId="15299" xr:uid="{00000000-0005-0000-0000-0000CCCA0000}"/>
    <cellStyle name="Normal 9 5 5 3 4" xfId="20775" xr:uid="{00000000-0005-0000-0000-0000CDCA0000}"/>
    <cellStyle name="Normal 9 5 5 3 5" xfId="26251" xr:uid="{00000000-0005-0000-0000-0000CECA0000}"/>
    <cellStyle name="Normal 9 5 5 3 6" xfId="38047" xr:uid="{00000000-0005-0000-0000-0000CFCA0000}"/>
    <cellStyle name="Normal 9 5 5 3 7" xfId="43524" xr:uid="{00000000-0005-0000-0000-0000D0CA0000}"/>
    <cellStyle name="Normal 9 5 5 3 8" xfId="49001" xr:uid="{00000000-0005-0000-0000-0000D1CA0000}"/>
    <cellStyle name="Normal 9 5 5 3 9" xfId="54519" xr:uid="{00000000-0005-0000-0000-0000D2CA0000}"/>
    <cellStyle name="Normal 9 5 5 4" xfId="7252" xr:uid="{00000000-0005-0000-0000-0000D3CA0000}"/>
    <cellStyle name="Normal 9 5 5 5" xfId="12731" xr:uid="{00000000-0005-0000-0000-0000D4CA0000}"/>
    <cellStyle name="Normal 9 5 5 6" xfId="18207" xr:uid="{00000000-0005-0000-0000-0000D5CA0000}"/>
    <cellStyle name="Normal 9 5 5 7" xfId="23683" xr:uid="{00000000-0005-0000-0000-0000D6CA0000}"/>
    <cellStyle name="Normal 9 5 5 8" xfId="35478" xr:uid="{00000000-0005-0000-0000-0000D7CA0000}"/>
    <cellStyle name="Normal 9 5 5 9" xfId="40955" xr:uid="{00000000-0005-0000-0000-0000D8CA0000}"/>
    <cellStyle name="Normal 9 5 6" xfId="982" xr:uid="{00000000-0005-0000-0000-0000D9CA0000}"/>
    <cellStyle name="Normal 9 5 6 10" xfId="46433" xr:uid="{00000000-0005-0000-0000-0000DACA0000}"/>
    <cellStyle name="Normal 9 5 6 11" xfId="51912" xr:uid="{00000000-0005-0000-0000-0000DBCA0000}"/>
    <cellStyle name="Normal 9 5 6 2" xfId="2743" xr:uid="{00000000-0005-0000-0000-0000DCCA0000}"/>
    <cellStyle name="Normal 9 5 6 2 2" xfId="8223" xr:uid="{00000000-0005-0000-0000-0000DDCA0000}"/>
    <cellStyle name="Normal 9 5 6 2 3" xfId="13699" xr:uid="{00000000-0005-0000-0000-0000DECA0000}"/>
    <cellStyle name="Normal 9 5 6 2 4" xfId="19175" xr:uid="{00000000-0005-0000-0000-0000DFCA0000}"/>
    <cellStyle name="Normal 9 5 6 2 5" xfId="24651" xr:uid="{00000000-0005-0000-0000-0000E0CA0000}"/>
    <cellStyle name="Normal 9 5 6 2 6" xfId="36447" xr:uid="{00000000-0005-0000-0000-0000E1CA0000}"/>
    <cellStyle name="Normal 9 5 6 2 7" xfId="41924" xr:uid="{00000000-0005-0000-0000-0000E2CA0000}"/>
    <cellStyle name="Normal 9 5 6 2 8" xfId="47401" xr:uid="{00000000-0005-0000-0000-0000E3CA0000}"/>
    <cellStyle name="Normal 9 5 6 2 9" xfId="52919" xr:uid="{00000000-0005-0000-0000-0000E4CA0000}"/>
    <cellStyle name="Normal 9 5 6 3" xfId="4515" xr:uid="{00000000-0005-0000-0000-0000E5CA0000}"/>
    <cellStyle name="Normal 9 5 6 3 2" xfId="9995" xr:uid="{00000000-0005-0000-0000-0000E6CA0000}"/>
    <cellStyle name="Normal 9 5 6 3 3" xfId="15471" xr:uid="{00000000-0005-0000-0000-0000E7CA0000}"/>
    <cellStyle name="Normal 9 5 6 3 4" xfId="20947" xr:uid="{00000000-0005-0000-0000-0000E8CA0000}"/>
    <cellStyle name="Normal 9 5 6 3 5" xfId="26423" xr:uid="{00000000-0005-0000-0000-0000E9CA0000}"/>
    <cellStyle name="Normal 9 5 6 3 6" xfId="38219" xr:uid="{00000000-0005-0000-0000-0000EACA0000}"/>
    <cellStyle name="Normal 9 5 6 3 7" xfId="43696" xr:uid="{00000000-0005-0000-0000-0000EBCA0000}"/>
    <cellStyle name="Normal 9 5 6 3 8" xfId="49173" xr:uid="{00000000-0005-0000-0000-0000ECCA0000}"/>
    <cellStyle name="Normal 9 5 6 3 9" xfId="54691" xr:uid="{00000000-0005-0000-0000-0000EDCA0000}"/>
    <cellStyle name="Normal 9 5 6 4" xfId="7253" xr:uid="{00000000-0005-0000-0000-0000EECA0000}"/>
    <cellStyle name="Normal 9 5 6 5" xfId="12732" xr:uid="{00000000-0005-0000-0000-0000EFCA0000}"/>
    <cellStyle name="Normal 9 5 6 6" xfId="18208" xr:uid="{00000000-0005-0000-0000-0000F0CA0000}"/>
    <cellStyle name="Normal 9 5 6 7" xfId="23684" xr:uid="{00000000-0005-0000-0000-0000F1CA0000}"/>
    <cellStyle name="Normal 9 5 6 8" xfId="35479" xr:uid="{00000000-0005-0000-0000-0000F2CA0000}"/>
    <cellStyle name="Normal 9 5 6 9" xfId="40956" xr:uid="{00000000-0005-0000-0000-0000F3CA0000}"/>
    <cellStyle name="Normal 9 5 7" xfId="1188" xr:uid="{00000000-0005-0000-0000-0000F4CA0000}"/>
    <cellStyle name="Normal 9 5 7 10" xfId="46434" xr:uid="{00000000-0005-0000-0000-0000F5CA0000}"/>
    <cellStyle name="Normal 9 5 7 11" xfId="51913" xr:uid="{00000000-0005-0000-0000-0000F6CA0000}"/>
    <cellStyle name="Normal 9 5 7 2" xfId="2949" xr:uid="{00000000-0005-0000-0000-0000F7CA0000}"/>
    <cellStyle name="Normal 9 5 7 2 2" xfId="8429" xr:uid="{00000000-0005-0000-0000-0000F8CA0000}"/>
    <cellStyle name="Normal 9 5 7 2 3" xfId="13905" xr:uid="{00000000-0005-0000-0000-0000F9CA0000}"/>
    <cellStyle name="Normal 9 5 7 2 4" xfId="19381" xr:uid="{00000000-0005-0000-0000-0000FACA0000}"/>
    <cellStyle name="Normal 9 5 7 2 5" xfId="24857" xr:uid="{00000000-0005-0000-0000-0000FBCA0000}"/>
    <cellStyle name="Normal 9 5 7 2 6" xfId="36653" xr:uid="{00000000-0005-0000-0000-0000FCCA0000}"/>
    <cellStyle name="Normal 9 5 7 2 7" xfId="42130" xr:uid="{00000000-0005-0000-0000-0000FDCA0000}"/>
    <cellStyle name="Normal 9 5 7 2 8" xfId="47607" xr:uid="{00000000-0005-0000-0000-0000FECA0000}"/>
    <cellStyle name="Normal 9 5 7 2 9" xfId="53125" xr:uid="{00000000-0005-0000-0000-0000FFCA0000}"/>
    <cellStyle name="Normal 9 5 7 3" xfId="4721" xr:uid="{00000000-0005-0000-0000-000000CB0000}"/>
    <cellStyle name="Normal 9 5 7 3 2" xfId="10201" xr:uid="{00000000-0005-0000-0000-000001CB0000}"/>
    <cellStyle name="Normal 9 5 7 3 3" xfId="15677" xr:uid="{00000000-0005-0000-0000-000002CB0000}"/>
    <cellStyle name="Normal 9 5 7 3 4" xfId="21153" xr:uid="{00000000-0005-0000-0000-000003CB0000}"/>
    <cellStyle name="Normal 9 5 7 3 5" xfId="26629" xr:uid="{00000000-0005-0000-0000-000004CB0000}"/>
    <cellStyle name="Normal 9 5 7 3 6" xfId="38425" xr:uid="{00000000-0005-0000-0000-000005CB0000}"/>
    <cellStyle name="Normal 9 5 7 3 7" xfId="43902" xr:uid="{00000000-0005-0000-0000-000006CB0000}"/>
    <cellStyle name="Normal 9 5 7 3 8" xfId="49379" xr:uid="{00000000-0005-0000-0000-000007CB0000}"/>
    <cellStyle name="Normal 9 5 7 3 9" xfId="54897" xr:uid="{00000000-0005-0000-0000-000008CB0000}"/>
    <cellStyle name="Normal 9 5 7 4" xfId="7254" xr:uid="{00000000-0005-0000-0000-000009CB0000}"/>
    <cellStyle name="Normal 9 5 7 5" xfId="12733" xr:uid="{00000000-0005-0000-0000-00000ACB0000}"/>
    <cellStyle name="Normal 9 5 7 6" xfId="18209" xr:uid="{00000000-0005-0000-0000-00000BCB0000}"/>
    <cellStyle name="Normal 9 5 7 7" xfId="23685" xr:uid="{00000000-0005-0000-0000-00000CCB0000}"/>
    <cellStyle name="Normal 9 5 7 8" xfId="35480" xr:uid="{00000000-0005-0000-0000-00000DCB0000}"/>
    <cellStyle name="Normal 9 5 7 9" xfId="40957" xr:uid="{00000000-0005-0000-0000-00000ECB0000}"/>
    <cellStyle name="Normal 9 5 8" xfId="1360" xr:uid="{00000000-0005-0000-0000-00000FCB0000}"/>
    <cellStyle name="Normal 9 5 8 10" xfId="46435" xr:uid="{00000000-0005-0000-0000-000010CB0000}"/>
    <cellStyle name="Normal 9 5 8 11" xfId="51914" xr:uid="{00000000-0005-0000-0000-000011CB0000}"/>
    <cellStyle name="Normal 9 5 8 2" xfId="3121" xr:uid="{00000000-0005-0000-0000-000012CB0000}"/>
    <cellStyle name="Normal 9 5 8 2 2" xfId="8601" xr:uid="{00000000-0005-0000-0000-000013CB0000}"/>
    <cellStyle name="Normal 9 5 8 2 3" xfId="14077" xr:uid="{00000000-0005-0000-0000-000014CB0000}"/>
    <cellStyle name="Normal 9 5 8 2 4" xfId="19553" xr:uid="{00000000-0005-0000-0000-000015CB0000}"/>
    <cellStyle name="Normal 9 5 8 2 5" xfId="25029" xr:uid="{00000000-0005-0000-0000-000016CB0000}"/>
    <cellStyle name="Normal 9 5 8 2 6" xfId="36825" xr:uid="{00000000-0005-0000-0000-000017CB0000}"/>
    <cellStyle name="Normal 9 5 8 2 7" xfId="42302" xr:uid="{00000000-0005-0000-0000-000018CB0000}"/>
    <cellStyle name="Normal 9 5 8 2 8" xfId="47779" xr:uid="{00000000-0005-0000-0000-000019CB0000}"/>
    <cellStyle name="Normal 9 5 8 2 9" xfId="53297" xr:uid="{00000000-0005-0000-0000-00001ACB0000}"/>
    <cellStyle name="Normal 9 5 8 3" xfId="4893" xr:uid="{00000000-0005-0000-0000-00001BCB0000}"/>
    <cellStyle name="Normal 9 5 8 3 2" xfId="10373" xr:uid="{00000000-0005-0000-0000-00001CCB0000}"/>
    <cellStyle name="Normal 9 5 8 3 3" xfId="15849" xr:uid="{00000000-0005-0000-0000-00001DCB0000}"/>
    <cellStyle name="Normal 9 5 8 3 4" xfId="21325" xr:uid="{00000000-0005-0000-0000-00001ECB0000}"/>
    <cellStyle name="Normal 9 5 8 3 5" xfId="26801" xr:uid="{00000000-0005-0000-0000-00001FCB0000}"/>
    <cellStyle name="Normal 9 5 8 3 6" xfId="38597" xr:uid="{00000000-0005-0000-0000-000020CB0000}"/>
    <cellStyle name="Normal 9 5 8 3 7" xfId="44074" xr:uid="{00000000-0005-0000-0000-000021CB0000}"/>
    <cellStyle name="Normal 9 5 8 3 8" xfId="49551" xr:uid="{00000000-0005-0000-0000-000022CB0000}"/>
    <cellStyle name="Normal 9 5 8 3 9" xfId="55069" xr:uid="{00000000-0005-0000-0000-000023CB0000}"/>
    <cellStyle name="Normal 9 5 8 4" xfId="7255" xr:uid="{00000000-0005-0000-0000-000024CB0000}"/>
    <cellStyle name="Normal 9 5 8 5" xfId="12734" xr:uid="{00000000-0005-0000-0000-000025CB0000}"/>
    <cellStyle name="Normal 9 5 8 6" xfId="18210" xr:uid="{00000000-0005-0000-0000-000026CB0000}"/>
    <cellStyle name="Normal 9 5 8 7" xfId="23686" xr:uid="{00000000-0005-0000-0000-000027CB0000}"/>
    <cellStyle name="Normal 9 5 8 8" xfId="35481" xr:uid="{00000000-0005-0000-0000-000028CB0000}"/>
    <cellStyle name="Normal 9 5 8 9" xfId="40958" xr:uid="{00000000-0005-0000-0000-000029CB0000}"/>
    <cellStyle name="Normal 9 5 9" xfId="1532" xr:uid="{00000000-0005-0000-0000-00002ACB0000}"/>
    <cellStyle name="Normal 9 5 9 10" xfId="46436" xr:uid="{00000000-0005-0000-0000-00002BCB0000}"/>
    <cellStyle name="Normal 9 5 9 11" xfId="51915" xr:uid="{00000000-0005-0000-0000-00002CCB0000}"/>
    <cellStyle name="Normal 9 5 9 2" xfId="3293" xr:uid="{00000000-0005-0000-0000-00002DCB0000}"/>
    <cellStyle name="Normal 9 5 9 2 2" xfId="8773" xr:uid="{00000000-0005-0000-0000-00002ECB0000}"/>
    <cellStyle name="Normal 9 5 9 2 3" xfId="14249" xr:uid="{00000000-0005-0000-0000-00002FCB0000}"/>
    <cellStyle name="Normal 9 5 9 2 4" xfId="19725" xr:uid="{00000000-0005-0000-0000-000030CB0000}"/>
    <cellStyle name="Normal 9 5 9 2 5" xfId="25201" xr:uid="{00000000-0005-0000-0000-000031CB0000}"/>
    <cellStyle name="Normal 9 5 9 2 6" xfId="36997" xr:uid="{00000000-0005-0000-0000-000032CB0000}"/>
    <cellStyle name="Normal 9 5 9 2 7" xfId="42474" xr:uid="{00000000-0005-0000-0000-000033CB0000}"/>
    <cellStyle name="Normal 9 5 9 2 8" xfId="47951" xr:uid="{00000000-0005-0000-0000-000034CB0000}"/>
    <cellStyle name="Normal 9 5 9 2 9" xfId="53469" xr:uid="{00000000-0005-0000-0000-000035CB0000}"/>
    <cellStyle name="Normal 9 5 9 3" xfId="5065" xr:uid="{00000000-0005-0000-0000-000036CB0000}"/>
    <cellStyle name="Normal 9 5 9 3 2" xfId="10545" xr:uid="{00000000-0005-0000-0000-000037CB0000}"/>
    <cellStyle name="Normal 9 5 9 3 3" xfId="16021" xr:uid="{00000000-0005-0000-0000-000038CB0000}"/>
    <cellStyle name="Normal 9 5 9 3 4" xfId="21497" xr:uid="{00000000-0005-0000-0000-000039CB0000}"/>
    <cellStyle name="Normal 9 5 9 3 5" xfId="26973" xr:uid="{00000000-0005-0000-0000-00003ACB0000}"/>
    <cellStyle name="Normal 9 5 9 3 6" xfId="38769" xr:uid="{00000000-0005-0000-0000-00003BCB0000}"/>
    <cellStyle name="Normal 9 5 9 3 7" xfId="44246" xr:uid="{00000000-0005-0000-0000-00003CCB0000}"/>
    <cellStyle name="Normal 9 5 9 3 8" xfId="49723" xr:uid="{00000000-0005-0000-0000-00003DCB0000}"/>
    <cellStyle name="Normal 9 5 9 3 9" xfId="55241" xr:uid="{00000000-0005-0000-0000-00003ECB0000}"/>
    <cellStyle name="Normal 9 5 9 4" xfId="7256" xr:uid="{00000000-0005-0000-0000-00003FCB0000}"/>
    <cellStyle name="Normal 9 5 9 5" xfId="12735" xr:uid="{00000000-0005-0000-0000-000040CB0000}"/>
    <cellStyle name="Normal 9 5 9 6" xfId="18211" xr:uid="{00000000-0005-0000-0000-000041CB0000}"/>
    <cellStyle name="Normal 9 5 9 7" xfId="23687" xr:uid="{00000000-0005-0000-0000-000042CB0000}"/>
    <cellStyle name="Normal 9 5 9 8" xfId="35482" xr:uid="{00000000-0005-0000-0000-000043CB0000}"/>
    <cellStyle name="Normal 9 5 9 9" xfId="40959" xr:uid="{00000000-0005-0000-0000-000044CB0000}"/>
    <cellStyle name="Normal 9 6" xfId="200" xr:uid="{00000000-0005-0000-0000-000045CB0000}"/>
    <cellStyle name="Normal 9 6 10" xfId="1896" xr:uid="{00000000-0005-0000-0000-000046CB0000}"/>
    <cellStyle name="Normal 9 6 10 10" xfId="46438" xr:uid="{00000000-0005-0000-0000-000047CB0000}"/>
    <cellStyle name="Normal 9 6 10 11" xfId="51917" xr:uid="{00000000-0005-0000-0000-000048CB0000}"/>
    <cellStyle name="Normal 9 6 10 2" xfId="3657" xr:uid="{00000000-0005-0000-0000-000049CB0000}"/>
    <cellStyle name="Normal 9 6 10 2 2" xfId="9137" xr:uid="{00000000-0005-0000-0000-00004ACB0000}"/>
    <cellStyle name="Normal 9 6 10 2 3" xfId="14613" xr:uid="{00000000-0005-0000-0000-00004BCB0000}"/>
    <cellStyle name="Normal 9 6 10 2 4" xfId="20089" xr:uid="{00000000-0005-0000-0000-00004CCB0000}"/>
    <cellStyle name="Normal 9 6 10 2 5" xfId="25565" xr:uid="{00000000-0005-0000-0000-00004DCB0000}"/>
    <cellStyle name="Normal 9 6 10 2 6" xfId="37361" xr:uid="{00000000-0005-0000-0000-00004ECB0000}"/>
    <cellStyle name="Normal 9 6 10 2 7" xfId="42838" xr:uid="{00000000-0005-0000-0000-00004FCB0000}"/>
    <cellStyle name="Normal 9 6 10 2 8" xfId="48315" xr:uid="{00000000-0005-0000-0000-000050CB0000}"/>
    <cellStyle name="Normal 9 6 10 2 9" xfId="53833" xr:uid="{00000000-0005-0000-0000-000051CB0000}"/>
    <cellStyle name="Normal 9 6 10 3" xfId="5429" xr:uid="{00000000-0005-0000-0000-000052CB0000}"/>
    <cellStyle name="Normal 9 6 10 3 2" xfId="10909" xr:uid="{00000000-0005-0000-0000-000053CB0000}"/>
    <cellStyle name="Normal 9 6 10 3 3" xfId="16385" xr:uid="{00000000-0005-0000-0000-000054CB0000}"/>
    <cellStyle name="Normal 9 6 10 3 4" xfId="21861" xr:uid="{00000000-0005-0000-0000-000055CB0000}"/>
    <cellStyle name="Normal 9 6 10 3 5" xfId="27337" xr:uid="{00000000-0005-0000-0000-000056CB0000}"/>
    <cellStyle name="Normal 9 6 10 3 6" xfId="39133" xr:uid="{00000000-0005-0000-0000-000057CB0000}"/>
    <cellStyle name="Normal 9 6 10 3 7" xfId="44610" xr:uid="{00000000-0005-0000-0000-000058CB0000}"/>
    <cellStyle name="Normal 9 6 10 3 8" xfId="50087" xr:uid="{00000000-0005-0000-0000-000059CB0000}"/>
    <cellStyle name="Normal 9 6 10 3 9" xfId="55605" xr:uid="{00000000-0005-0000-0000-00005ACB0000}"/>
    <cellStyle name="Normal 9 6 10 4" xfId="7258" xr:uid="{00000000-0005-0000-0000-00005BCB0000}"/>
    <cellStyle name="Normal 9 6 10 5" xfId="12737" xr:uid="{00000000-0005-0000-0000-00005CCB0000}"/>
    <cellStyle name="Normal 9 6 10 6" xfId="18213" xr:uid="{00000000-0005-0000-0000-00005DCB0000}"/>
    <cellStyle name="Normal 9 6 10 7" xfId="23689" xr:uid="{00000000-0005-0000-0000-00005ECB0000}"/>
    <cellStyle name="Normal 9 6 10 8" xfId="35484" xr:uid="{00000000-0005-0000-0000-00005FCB0000}"/>
    <cellStyle name="Normal 9 6 10 9" xfId="40961" xr:uid="{00000000-0005-0000-0000-000060CB0000}"/>
    <cellStyle name="Normal 9 6 11" xfId="2068" xr:uid="{00000000-0005-0000-0000-000061CB0000}"/>
    <cellStyle name="Normal 9 6 11 10" xfId="52245" xr:uid="{00000000-0005-0000-0000-000062CB0000}"/>
    <cellStyle name="Normal 9 6 11 2" xfId="5600" xr:uid="{00000000-0005-0000-0000-000063CB0000}"/>
    <cellStyle name="Normal 9 6 11 2 2" xfId="11080" xr:uid="{00000000-0005-0000-0000-000064CB0000}"/>
    <cellStyle name="Normal 9 6 11 2 3" xfId="16556" xr:uid="{00000000-0005-0000-0000-000065CB0000}"/>
    <cellStyle name="Normal 9 6 11 2 4" xfId="22032" xr:uid="{00000000-0005-0000-0000-000066CB0000}"/>
    <cellStyle name="Normal 9 6 11 2 5" xfId="27508" xr:uid="{00000000-0005-0000-0000-000067CB0000}"/>
    <cellStyle name="Normal 9 6 11 2 6" xfId="39304" xr:uid="{00000000-0005-0000-0000-000068CB0000}"/>
    <cellStyle name="Normal 9 6 11 2 7" xfId="44781" xr:uid="{00000000-0005-0000-0000-000069CB0000}"/>
    <cellStyle name="Normal 9 6 11 2 8" xfId="50258" xr:uid="{00000000-0005-0000-0000-00006ACB0000}"/>
    <cellStyle name="Normal 9 6 11 2 9" xfId="55776" xr:uid="{00000000-0005-0000-0000-00006BCB0000}"/>
    <cellStyle name="Normal 9 6 11 3" xfId="7549" xr:uid="{00000000-0005-0000-0000-00006CCB0000}"/>
    <cellStyle name="Normal 9 6 11 4" xfId="13025" xr:uid="{00000000-0005-0000-0000-00006DCB0000}"/>
    <cellStyle name="Normal 9 6 11 5" xfId="18501" xr:uid="{00000000-0005-0000-0000-00006ECB0000}"/>
    <cellStyle name="Normal 9 6 11 6" xfId="23977" xr:uid="{00000000-0005-0000-0000-00006FCB0000}"/>
    <cellStyle name="Normal 9 6 11 7" xfId="35773" xr:uid="{00000000-0005-0000-0000-000070CB0000}"/>
    <cellStyle name="Normal 9 6 11 8" xfId="41250" xr:uid="{00000000-0005-0000-0000-000071CB0000}"/>
    <cellStyle name="Normal 9 6 11 9" xfId="46727" xr:uid="{00000000-0005-0000-0000-000072CB0000}"/>
    <cellStyle name="Normal 9 6 12" xfId="3766" xr:uid="{00000000-0005-0000-0000-000073CB0000}"/>
    <cellStyle name="Normal 9 6 12 2" xfId="9246" xr:uid="{00000000-0005-0000-0000-000074CB0000}"/>
    <cellStyle name="Normal 9 6 12 3" xfId="14722" xr:uid="{00000000-0005-0000-0000-000075CB0000}"/>
    <cellStyle name="Normal 9 6 12 4" xfId="20198" xr:uid="{00000000-0005-0000-0000-000076CB0000}"/>
    <cellStyle name="Normal 9 6 12 5" xfId="25674" xr:uid="{00000000-0005-0000-0000-000077CB0000}"/>
    <cellStyle name="Normal 9 6 12 6" xfId="37470" xr:uid="{00000000-0005-0000-0000-000078CB0000}"/>
    <cellStyle name="Normal 9 6 12 7" xfId="42947" xr:uid="{00000000-0005-0000-0000-000079CB0000}"/>
    <cellStyle name="Normal 9 6 12 8" xfId="48424" xr:uid="{00000000-0005-0000-0000-00007ACB0000}"/>
    <cellStyle name="Normal 9 6 12 9" xfId="53942" xr:uid="{00000000-0005-0000-0000-00007BCB0000}"/>
    <cellStyle name="Normal 9 6 13" xfId="7257" xr:uid="{00000000-0005-0000-0000-00007CCB0000}"/>
    <cellStyle name="Normal 9 6 14" xfId="12736" xr:uid="{00000000-0005-0000-0000-00007DCB0000}"/>
    <cellStyle name="Normal 9 6 15" xfId="18212" xr:uid="{00000000-0005-0000-0000-00007ECB0000}"/>
    <cellStyle name="Normal 9 6 16" xfId="23688" xr:uid="{00000000-0005-0000-0000-00007FCB0000}"/>
    <cellStyle name="Normal 9 6 17" xfId="33354" xr:uid="{00000000-0005-0000-0000-000080CB0000}"/>
    <cellStyle name="Normal 9 6 18" xfId="35483" xr:uid="{00000000-0005-0000-0000-000081CB0000}"/>
    <cellStyle name="Normal 9 6 19" xfId="40960" xr:uid="{00000000-0005-0000-0000-000082CB0000}"/>
    <cellStyle name="Normal 9 6 2" xfId="464" xr:uid="{00000000-0005-0000-0000-000083CB0000}"/>
    <cellStyle name="Normal 9 6 2 10" xfId="40962" xr:uid="{00000000-0005-0000-0000-000084CB0000}"/>
    <cellStyle name="Normal 9 6 2 11" xfId="46439" xr:uid="{00000000-0005-0000-0000-000085CB0000}"/>
    <cellStyle name="Normal 9 6 2 12" xfId="51918" xr:uid="{00000000-0005-0000-0000-000086CB0000}"/>
    <cellStyle name="Normal 9 6 2 2" xfId="2229" xr:uid="{00000000-0005-0000-0000-000087CB0000}"/>
    <cellStyle name="Normal 9 6 2 2 10" xfId="52405" xr:uid="{00000000-0005-0000-0000-000088CB0000}"/>
    <cellStyle name="Normal 9 6 2 2 2" xfId="7709" xr:uid="{00000000-0005-0000-0000-000089CB0000}"/>
    <cellStyle name="Normal 9 6 2 2 3" xfId="13185" xr:uid="{00000000-0005-0000-0000-00008ACB0000}"/>
    <cellStyle name="Normal 9 6 2 2 4" xfId="18661" xr:uid="{00000000-0005-0000-0000-00008BCB0000}"/>
    <cellStyle name="Normal 9 6 2 2 5" xfId="24137" xr:uid="{00000000-0005-0000-0000-00008CCB0000}"/>
    <cellStyle name="Normal 9 6 2 2 6" xfId="33356" xr:uid="{00000000-0005-0000-0000-00008DCB0000}"/>
    <cellStyle name="Normal 9 6 2 2 7" xfId="35933" xr:uid="{00000000-0005-0000-0000-00008ECB0000}"/>
    <cellStyle name="Normal 9 6 2 2 8" xfId="41410" xr:uid="{00000000-0005-0000-0000-00008FCB0000}"/>
    <cellStyle name="Normal 9 6 2 2 9" xfId="46887" xr:uid="{00000000-0005-0000-0000-000090CB0000}"/>
    <cellStyle name="Normal 9 6 2 3" xfId="4001" xr:uid="{00000000-0005-0000-0000-000091CB0000}"/>
    <cellStyle name="Normal 9 6 2 3 2" xfId="9481" xr:uid="{00000000-0005-0000-0000-000092CB0000}"/>
    <cellStyle name="Normal 9 6 2 3 3" xfId="14957" xr:uid="{00000000-0005-0000-0000-000093CB0000}"/>
    <cellStyle name="Normal 9 6 2 3 4" xfId="20433" xr:uid="{00000000-0005-0000-0000-000094CB0000}"/>
    <cellStyle name="Normal 9 6 2 3 5" xfId="25909" xr:uid="{00000000-0005-0000-0000-000095CB0000}"/>
    <cellStyle name="Normal 9 6 2 3 6" xfId="37705" xr:uid="{00000000-0005-0000-0000-000096CB0000}"/>
    <cellStyle name="Normal 9 6 2 3 7" xfId="43182" xr:uid="{00000000-0005-0000-0000-000097CB0000}"/>
    <cellStyle name="Normal 9 6 2 3 8" xfId="48659" xr:uid="{00000000-0005-0000-0000-000098CB0000}"/>
    <cellStyle name="Normal 9 6 2 3 9" xfId="54177" xr:uid="{00000000-0005-0000-0000-000099CB0000}"/>
    <cellStyle name="Normal 9 6 2 4" xfId="7259" xr:uid="{00000000-0005-0000-0000-00009ACB0000}"/>
    <cellStyle name="Normal 9 6 2 5" xfId="12738" xr:uid="{00000000-0005-0000-0000-00009BCB0000}"/>
    <cellStyle name="Normal 9 6 2 6" xfId="18214" xr:uid="{00000000-0005-0000-0000-00009CCB0000}"/>
    <cellStyle name="Normal 9 6 2 7" xfId="23690" xr:uid="{00000000-0005-0000-0000-00009DCB0000}"/>
    <cellStyle name="Normal 9 6 2 8" xfId="33355" xr:uid="{00000000-0005-0000-0000-00009ECB0000}"/>
    <cellStyle name="Normal 9 6 2 9" xfId="35485" xr:uid="{00000000-0005-0000-0000-00009FCB0000}"/>
    <cellStyle name="Normal 9 6 20" xfId="46437" xr:uid="{00000000-0005-0000-0000-0000A0CB0000}"/>
    <cellStyle name="Normal 9 6 21" xfId="51916" xr:uid="{00000000-0005-0000-0000-0000A1CB0000}"/>
    <cellStyle name="Normal 9 6 3" xfId="640" xr:uid="{00000000-0005-0000-0000-0000A2CB0000}"/>
    <cellStyle name="Normal 9 6 3 10" xfId="40963" xr:uid="{00000000-0005-0000-0000-0000A3CB0000}"/>
    <cellStyle name="Normal 9 6 3 11" xfId="46440" xr:uid="{00000000-0005-0000-0000-0000A4CB0000}"/>
    <cellStyle name="Normal 9 6 3 12" xfId="51919" xr:uid="{00000000-0005-0000-0000-0000A5CB0000}"/>
    <cellStyle name="Normal 9 6 3 2" xfId="2401" xr:uid="{00000000-0005-0000-0000-0000A6CB0000}"/>
    <cellStyle name="Normal 9 6 3 2 2" xfId="7881" xr:uid="{00000000-0005-0000-0000-0000A7CB0000}"/>
    <cellStyle name="Normal 9 6 3 2 3" xfId="13357" xr:uid="{00000000-0005-0000-0000-0000A8CB0000}"/>
    <cellStyle name="Normal 9 6 3 2 4" xfId="18833" xr:uid="{00000000-0005-0000-0000-0000A9CB0000}"/>
    <cellStyle name="Normal 9 6 3 2 5" xfId="24309" xr:uid="{00000000-0005-0000-0000-0000AACB0000}"/>
    <cellStyle name="Normal 9 6 3 2 6" xfId="36105" xr:uid="{00000000-0005-0000-0000-0000ABCB0000}"/>
    <cellStyle name="Normal 9 6 3 2 7" xfId="41582" xr:uid="{00000000-0005-0000-0000-0000ACCB0000}"/>
    <cellStyle name="Normal 9 6 3 2 8" xfId="47059" xr:uid="{00000000-0005-0000-0000-0000ADCB0000}"/>
    <cellStyle name="Normal 9 6 3 2 9" xfId="52577" xr:uid="{00000000-0005-0000-0000-0000AECB0000}"/>
    <cellStyle name="Normal 9 6 3 3" xfId="4173" xr:uid="{00000000-0005-0000-0000-0000AFCB0000}"/>
    <cellStyle name="Normal 9 6 3 3 2" xfId="9653" xr:uid="{00000000-0005-0000-0000-0000B0CB0000}"/>
    <cellStyle name="Normal 9 6 3 3 3" xfId="15129" xr:uid="{00000000-0005-0000-0000-0000B1CB0000}"/>
    <cellStyle name="Normal 9 6 3 3 4" xfId="20605" xr:uid="{00000000-0005-0000-0000-0000B2CB0000}"/>
    <cellStyle name="Normal 9 6 3 3 5" xfId="26081" xr:uid="{00000000-0005-0000-0000-0000B3CB0000}"/>
    <cellStyle name="Normal 9 6 3 3 6" xfId="37877" xr:uid="{00000000-0005-0000-0000-0000B4CB0000}"/>
    <cellStyle name="Normal 9 6 3 3 7" xfId="43354" xr:uid="{00000000-0005-0000-0000-0000B5CB0000}"/>
    <cellStyle name="Normal 9 6 3 3 8" xfId="48831" xr:uid="{00000000-0005-0000-0000-0000B6CB0000}"/>
    <cellStyle name="Normal 9 6 3 3 9" xfId="54349" xr:uid="{00000000-0005-0000-0000-0000B7CB0000}"/>
    <cellStyle name="Normal 9 6 3 4" xfId="7260" xr:uid="{00000000-0005-0000-0000-0000B8CB0000}"/>
    <cellStyle name="Normal 9 6 3 5" xfId="12739" xr:uid="{00000000-0005-0000-0000-0000B9CB0000}"/>
    <cellStyle name="Normal 9 6 3 6" xfId="18215" xr:uid="{00000000-0005-0000-0000-0000BACB0000}"/>
    <cellStyle name="Normal 9 6 3 7" xfId="23691" xr:uid="{00000000-0005-0000-0000-0000BBCB0000}"/>
    <cellStyle name="Normal 9 6 3 8" xfId="33357" xr:uid="{00000000-0005-0000-0000-0000BCCB0000}"/>
    <cellStyle name="Normal 9 6 3 9" xfId="35486" xr:uid="{00000000-0005-0000-0000-0000BDCB0000}"/>
    <cellStyle name="Normal 9 6 4" xfId="812" xr:uid="{00000000-0005-0000-0000-0000BECB0000}"/>
    <cellStyle name="Normal 9 6 4 10" xfId="46441" xr:uid="{00000000-0005-0000-0000-0000BFCB0000}"/>
    <cellStyle name="Normal 9 6 4 11" xfId="51920" xr:uid="{00000000-0005-0000-0000-0000C0CB0000}"/>
    <cellStyle name="Normal 9 6 4 2" xfId="2573" xr:uid="{00000000-0005-0000-0000-0000C1CB0000}"/>
    <cellStyle name="Normal 9 6 4 2 2" xfId="8053" xr:uid="{00000000-0005-0000-0000-0000C2CB0000}"/>
    <cellStyle name="Normal 9 6 4 2 3" xfId="13529" xr:uid="{00000000-0005-0000-0000-0000C3CB0000}"/>
    <cellStyle name="Normal 9 6 4 2 4" xfId="19005" xr:uid="{00000000-0005-0000-0000-0000C4CB0000}"/>
    <cellStyle name="Normal 9 6 4 2 5" xfId="24481" xr:uid="{00000000-0005-0000-0000-0000C5CB0000}"/>
    <cellStyle name="Normal 9 6 4 2 6" xfId="36277" xr:uid="{00000000-0005-0000-0000-0000C6CB0000}"/>
    <cellStyle name="Normal 9 6 4 2 7" xfId="41754" xr:uid="{00000000-0005-0000-0000-0000C7CB0000}"/>
    <cellStyle name="Normal 9 6 4 2 8" xfId="47231" xr:uid="{00000000-0005-0000-0000-0000C8CB0000}"/>
    <cellStyle name="Normal 9 6 4 2 9" xfId="52749" xr:uid="{00000000-0005-0000-0000-0000C9CB0000}"/>
    <cellStyle name="Normal 9 6 4 3" xfId="4345" xr:uid="{00000000-0005-0000-0000-0000CACB0000}"/>
    <cellStyle name="Normal 9 6 4 3 2" xfId="9825" xr:uid="{00000000-0005-0000-0000-0000CBCB0000}"/>
    <cellStyle name="Normal 9 6 4 3 3" xfId="15301" xr:uid="{00000000-0005-0000-0000-0000CCCB0000}"/>
    <cellStyle name="Normal 9 6 4 3 4" xfId="20777" xr:uid="{00000000-0005-0000-0000-0000CDCB0000}"/>
    <cellStyle name="Normal 9 6 4 3 5" xfId="26253" xr:uid="{00000000-0005-0000-0000-0000CECB0000}"/>
    <cellStyle name="Normal 9 6 4 3 6" xfId="38049" xr:uid="{00000000-0005-0000-0000-0000CFCB0000}"/>
    <cellStyle name="Normal 9 6 4 3 7" xfId="43526" xr:uid="{00000000-0005-0000-0000-0000D0CB0000}"/>
    <cellStyle name="Normal 9 6 4 3 8" xfId="49003" xr:uid="{00000000-0005-0000-0000-0000D1CB0000}"/>
    <cellStyle name="Normal 9 6 4 3 9" xfId="54521" xr:uid="{00000000-0005-0000-0000-0000D2CB0000}"/>
    <cellStyle name="Normal 9 6 4 4" xfId="7261" xr:uid="{00000000-0005-0000-0000-0000D3CB0000}"/>
    <cellStyle name="Normal 9 6 4 5" xfId="12740" xr:uid="{00000000-0005-0000-0000-0000D4CB0000}"/>
    <cellStyle name="Normal 9 6 4 6" xfId="18216" xr:uid="{00000000-0005-0000-0000-0000D5CB0000}"/>
    <cellStyle name="Normal 9 6 4 7" xfId="23692" xr:uid="{00000000-0005-0000-0000-0000D6CB0000}"/>
    <cellStyle name="Normal 9 6 4 8" xfId="35487" xr:uid="{00000000-0005-0000-0000-0000D7CB0000}"/>
    <cellStyle name="Normal 9 6 4 9" xfId="40964" xr:uid="{00000000-0005-0000-0000-0000D8CB0000}"/>
    <cellStyle name="Normal 9 6 5" xfId="984" xr:uid="{00000000-0005-0000-0000-0000D9CB0000}"/>
    <cellStyle name="Normal 9 6 5 10" xfId="46442" xr:uid="{00000000-0005-0000-0000-0000DACB0000}"/>
    <cellStyle name="Normal 9 6 5 11" xfId="51921" xr:uid="{00000000-0005-0000-0000-0000DBCB0000}"/>
    <cellStyle name="Normal 9 6 5 2" xfId="2745" xr:uid="{00000000-0005-0000-0000-0000DCCB0000}"/>
    <cellStyle name="Normal 9 6 5 2 2" xfId="8225" xr:uid="{00000000-0005-0000-0000-0000DDCB0000}"/>
    <cellStyle name="Normal 9 6 5 2 3" xfId="13701" xr:uid="{00000000-0005-0000-0000-0000DECB0000}"/>
    <cellStyle name="Normal 9 6 5 2 4" xfId="19177" xr:uid="{00000000-0005-0000-0000-0000DFCB0000}"/>
    <cellStyle name="Normal 9 6 5 2 5" xfId="24653" xr:uid="{00000000-0005-0000-0000-0000E0CB0000}"/>
    <cellStyle name="Normal 9 6 5 2 6" xfId="36449" xr:uid="{00000000-0005-0000-0000-0000E1CB0000}"/>
    <cellStyle name="Normal 9 6 5 2 7" xfId="41926" xr:uid="{00000000-0005-0000-0000-0000E2CB0000}"/>
    <cellStyle name="Normal 9 6 5 2 8" xfId="47403" xr:uid="{00000000-0005-0000-0000-0000E3CB0000}"/>
    <cellStyle name="Normal 9 6 5 2 9" xfId="52921" xr:uid="{00000000-0005-0000-0000-0000E4CB0000}"/>
    <cellStyle name="Normal 9 6 5 3" xfId="4517" xr:uid="{00000000-0005-0000-0000-0000E5CB0000}"/>
    <cellStyle name="Normal 9 6 5 3 2" xfId="9997" xr:uid="{00000000-0005-0000-0000-0000E6CB0000}"/>
    <cellStyle name="Normal 9 6 5 3 3" xfId="15473" xr:uid="{00000000-0005-0000-0000-0000E7CB0000}"/>
    <cellStyle name="Normal 9 6 5 3 4" xfId="20949" xr:uid="{00000000-0005-0000-0000-0000E8CB0000}"/>
    <cellStyle name="Normal 9 6 5 3 5" xfId="26425" xr:uid="{00000000-0005-0000-0000-0000E9CB0000}"/>
    <cellStyle name="Normal 9 6 5 3 6" xfId="38221" xr:uid="{00000000-0005-0000-0000-0000EACB0000}"/>
    <cellStyle name="Normal 9 6 5 3 7" xfId="43698" xr:uid="{00000000-0005-0000-0000-0000EBCB0000}"/>
    <cellStyle name="Normal 9 6 5 3 8" xfId="49175" xr:uid="{00000000-0005-0000-0000-0000ECCB0000}"/>
    <cellStyle name="Normal 9 6 5 3 9" xfId="54693" xr:uid="{00000000-0005-0000-0000-0000EDCB0000}"/>
    <cellStyle name="Normal 9 6 5 4" xfId="7262" xr:uid="{00000000-0005-0000-0000-0000EECB0000}"/>
    <cellStyle name="Normal 9 6 5 5" xfId="12741" xr:uid="{00000000-0005-0000-0000-0000EFCB0000}"/>
    <cellStyle name="Normal 9 6 5 6" xfId="18217" xr:uid="{00000000-0005-0000-0000-0000F0CB0000}"/>
    <cellStyle name="Normal 9 6 5 7" xfId="23693" xr:uid="{00000000-0005-0000-0000-0000F1CB0000}"/>
    <cellStyle name="Normal 9 6 5 8" xfId="35488" xr:uid="{00000000-0005-0000-0000-0000F2CB0000}"/>
    <cellStyle name="Normal 9 6 5 9" xfId="40965" xr:uid="{00000000-0005-0000-0000-0000F3CB0000}"/>
    <cellStyle name="Normal 9 6 6" xfId="1190" xr:uid="{00000000-0005-0000-0000-0000F4CB0000}"/>
    <cellStyle name="Normal 9 6 6 10" xfId="46443" xr:uid="{00000000-0005-0000-0000-0000F5CB0000}"/>
    <cellStyle name="Normal 9 6 6 11" xfId="51922" xr:uid="{00000000-0005-0000-0000-0000F6CB0000}"/>
    <cellStyle name="Normal 9 6 6 2" xfId="2951" xr:uid="{00000000-0005-0000-0000-0000F7CB0000}"/>
    <cellStyle name="Normal 9 6 6 2 2" xfId="8431" xr:uid="{00000000-0005-0000-0000-0000F8CB0000}"/>
    <cellStyle name="Normal 9 6 6 2 3" xfId="13907" xr:uid="{00000000-0005-0000-0000-0000F9CB0000}"/>
    <cellStyle name="Normal 9 6 6 2 4" xfId="19383" xr:uid="{00000000-0005-0000-0000-0000FACB0000}"/>
    <cellStyle name="Normal 9 6 6 2 5" xfId="24859" xr:uid="{00000000-0005-0000-0000-0000FBCB0000}"/>
    <cellStyle name="Normal 9 6 6 2 6" xfId="36655" xr:uid="{00000000-0005-0000-0000-0000FCCB0000}"/>
    <cellStyle name="Normal 9 6 6 2 7" xfId="42132" xr:uid="{00000000-0005-0000-0000-0000FDCB0000}"/>
    <cellStyle name="Normal 9 6 6 2 8" xfId="47609" xr:uid="{00000000-0005-0000-0000-0000FECB0000}"/>
    <cellStyle name="Normal 9 6 6 2 9" xfId="53127" xr:uid="{00000000-0005-0000-0000-0000FFCB0000}"/>
    <cellStyle name="Normal 9 6 6 3" xfId="4723" xr:uid="{00000000-0005-0000-0000-000000CC0000}"/>
    <cellStyle name="Normal 9 6 6 3 2" xfId="10203" xr:uid="{00000000-0005-0000-0000-000001CC0000}"/>
    <cellStyle name="Normal 9 6 6 3 3" xfId="15679" xr:uid="{00000000-0005-0000-0000-000002CC0000}"/>
    <cellStyle name="Normal 9 6 6 3 4" xfId="21155" xr:uid="{00000000-0005-0000-0000-000003CC0000}"/>
    <cellStyle name="Normal 9 6 6 3 5" xfId="26631" xr:uid="{00000000-0005-0000-0000-000004CC0000}"/>
    <cellStyle name="Normal 9 6 6 3 6" xfId="38427" xr:uid="{00000000-0005-0000-0000-000005CC0000}"/>
    <cellStyle name="Normal 9 6 6 3 7" xfId="43904" xr:uid="{00000000-0005-0000-0000-000006CC0000}"/>
    <cellStyle name="Normal 9 6 6 3 8" xfId="49381" xr:uid="{00000000-0005-0000-0000-000007CC0000}"/>
    <cellStyle name="Normal 9 6 6 3 9" xfId="54899" xr:uid="{00000000-0005-0000-0000-000008CC0000}"/>
    <cellStyle name="Normal 9 6 6 4" xfId="7263" xr:uid="{00000000-0005-0000-0000-000009CC0000}"/>
    <cellStyle name="Normal 9 6 6 5" xfId="12742" xr:uid="{00000000-0005-0000-0000-00000ACC0000}"/>
    <cellStyle name="Normal 9 6 6 6" xfId="18218" xr:uid="{00000000-0005-0000-0000-00000BCC0000}"/>
    <cellStyle name="Normal 9 6 6 7" xfId="23694" xr:uid="{00000000-0005-0000-0000-00000CCC0000}"/>
    <cellStyle name="Normal 9 6 6 8" xfId="35489" xr:uid="{00000000-0005-0000-0000-00000DCC0000}"/>
    <cellStyle name="Normal 9 6 6 9" xfId="40966" xr:uid="{00000000-0005-0000-0000-00000ECC0000}"/>
    <cellStyle name="Normal 9 6 7" xfId="1362" xr:uid="{00000000-0005-0000-0000-00000FCC0000}"/>
    <cellStyle name="Normal 9 6 7 10" xfId="46444" xr:uid="{00000000-0005-0000-0000-000010CC0000}"/>
    <cellStyle name="Normal 9 6 7 11" xfId="51923" xr:uid="{00000000-0005-0000-0000-000011CC0000}"/>
    <cellStyle name="Normal 9 6 7 2" xfId="3123" xr:uid="{00000000-0005-0000-0000-000012CC0000}"/>
    <cellStyle name="Normal 9 6 7 2 2" xfId="8603" xr:uid="{00000000-0005-0000-0000-000013CC0000}"/>
    <cellStyle name="Normal 9 6 7 2 3" xfId="14079" xr:uid="{00000000-0005-0000-0000-000014CC0000}"/>
    <cellStyle name="Normal 9 6 7 2 4" xfId="19555" xr:uid="{00000000-0005-0000-0000-000015CC0000}"/>
    <cellStyle name="Normal 9 6 7 2 5" xfId="25031" xr:uid="{00000000-0005-0000-0000-000016CC0000}"/>
    <cellStyle name="Normal 9 6 7 2 6" xfId="36827" xr:uid="{00000000-0005-0000-0000-000017CC0000}"/>
    <cellStyle name="Normal 9 6 7 2 7" xfId="42304" xr:uid="{00000000-0005-0000-0000-000018CC0000}"/>
    <cellStyle name="Normal 9 6 7 2 8" xfId="47781" xr:uid="{00000000-0005-0000-0000-000019CC0000}"/>
    <cellStyle name="Normal 9 6 7 2 9" xfId="53299" xr:uid="{00000000-0005-0000-0000-00001ACC0000}"/>
    <cellStyle name="Normal 9 6 7 3" xfId="4895" xr:uid="{00000000-0005-0000-0000-00001BCC0000}"/>
    <cellStyle name="Normal 9 6 7 3 2" xfId="10375" xr:uid="{00000000-0005-0000-0000-00001CCC0000}"/>
    <cellStyle name="Normal 9 6 7 3 3" xfId="15851" xr:uid="{00000000-0005-0000-0000-00001DCC0000}"/>
    <cellStyle name="Normal 9 6 7 3 4" xfId="21327" xr:uid="{00000000-0005-0000-0000-00001ECC0000}"/>
    <cellStyle name="Normal 9 6 7 3 5" xfId="26803" xr:uid="{00000000-0005-0000-0000-00001FCC0000}"/>
    <cellStyle name="Normal 9 6 7 3 6" xfId="38599" xr:uid="{00000000-0005-0000-0000-000020CC0000}"/>
    <cellStyle name="Normal 9 6 7 3 7" xfId="44076" xr:uid="{00000000-0005-0000-0000-000021CC0000}"/>
    <cellStyle name="Normal 9 6 7 3 8" xfId="49553" xr:uid="{00000000-0005-0000-0000-000022CC0000}"/>
    <cellStyle name="Normal 9 6 7 3 9" xfId="55071" xr:uid="{00000000-0005-0000-0000-000023CC0000}"/>
    <cellStyle name="Normal 9 6 7 4" xfId="7264" xr:uid="{00000000-0005-0000-0000-000024CC0000}"/>
    <cellStyle name="Normal 9 6 7 5" xfId="12743" xr:uid="{00000000-0005-0000-0000-000025CC0000}"/>
    <cellStyle name="Normal 9 6 7 6" xfId="18219" xr:uid="{00000000-0005-0000-0000-000026CC0000}"/>
    <cellStyle name="Normal 9 6 7 7" xfId="23695" xr:uid="{00000000-0005-0000-0000-000027CC0000}"/>
    <cellStyle name="Normal 9 6 7 8" xfId="35490" xr:uid="{00000000-0005-0000-0000-000028CC0000}"/>
    <cellStyle name="Normal 9 6 7 9" xfId="40967" xr:uid="{00000000-0005-0000-0000-000029CC0000}"/>
    <cellStyle name="Normal 9 6 8" xfId="1534" xr:uid="{00000000-0005-0000-0000-00002ACC0000}"/>
    <cellStyle name="Normal 9 6 8 10" xfId="46445" xr:uid="{00000000-0005-0000-0000-00002BCC0000}"/>
    <cellStyle name="Normal 9 6 8 11" xfId="51924" xr:uid="{00000000-0005-0000-0000-00002CCC0000}"/>
    <cellStyle name="Normal 9 6 8 2" xfId="3295" xr:uid="{00000000-0005-0000-0000-00002DCC0000}"/>
    <cellStyle name="Normal 9 6 8 2 2" xfId="8775" xr:uid="{00000000-0005-0000-0000-00002ECC0000}"/>
    <cellStyle name="Normal 9 6 8 2 3" xfId="14251" xr:uid="{00000000-0005-0000-0000-00002FCC0000}"/>
    <cellStyle name="Normal 9 6 8 2 4" xfId="19727" xr:uid="{00000000-0005-0000-0000-000030CC0000}"/>
    <cellStyle name="Normal 9 6 8 2 5" xfId="25203" xr:uid="{00000000-0005-0000-0000-000031CC0000}"/>
    <cellStyle name="Normal 9 6 8 2 6" xfId="36999" xr:uid="{00000000-0005-0000-0000-000032CC0000}"/>
    <cellStyle name="Normal 9 6 8 2 7" xfId="42476" xr:uid="{00000000-0005-0000-0000-000033CC0000}"/>
    <cellStyle name="Normal 9 6 8 2 8" xfId="47953" xr:uid="{00000000-0005-0000-0000-000034CC0000}"/>
    <cellStyle name="Normal 9 6 8 2 9" xfId="53471" xr:uid="{00000000-0005-0000-0000-000035CC0000}"/>
    <cellStyle name="Normal 9 6 8 3" xfId="5067" xr:uid="{00000000-0005-0000-0000-000036CC0000}"/>
    <cellStyle name="Normal 9 6 8 3 2" xfId="10547" xr:uid="{00000000-0005-0000-0000-000037CC0000}"/>
    <cellStyle name="Normal 9 6 8 3 3" xfId="16023" xr:uid="{00000000-0005-0000-0000-000038CC0000}"/>
    <cellStyle name="Normal 9 6 8 3 4" xfId="21499" xr:uid="{00000000-0005-0000-0000-000039CC0000}"/>
    <cellStyle name="Normal 9 6 8 3 5" xfId="26975" xr:uid="{00000000-0005-0000-0000-00003ACC0000}"/>
    <cellStyle name="Normal 9 6 8 3 6" xfId="38771" xr:uid="{00000000-0005-0000-0000-00003BCC0000}"/>
    <cellStyle name="Normal 9 6 8 3 7" xfId="44248" xr:uid="{00000000-0005-0000-0000-00003CCC0000}"/>
    <cellStyle name="Normal 9 6 8 3 8" xfId="49725" xr:uid="{00000000-0005-0000-0000-00003DCC0000}"/>
    <cellStyle name="Normal 9 6 8 3 9" xfId="55243" xr:uid="{00000000-0005-0000-0000-00003ECC0000}"/>
    <cellStyle name="Normal 9 6 8 4" xfId="7265" xr:uid="{00000000-0005-0000-0000-00003FCC0000}"/>
    <cellStyle name="Normal 9 6 8 5" xfId="12744" xr:uid="{00000000-0005-0000-0000-000040CC0000}"/>
    <cellStyle name="Normal 9 6 8 6" xfId="18220" xr:uid="{00000000-0005-0000-0000-000041CC0000}"/>
    <cellStyle name="Normal 9 6 8 7" xfId="23696" xr:uid="{00000000-0005-0000-0000-000042CC0000}"/>
    <cellStyle name="Normal 9 6 8 8" xfId="35491" xr:uid="{00000000-0005-0000-0000-000043CC0000}"/>
    <cellStyle name="Normal 9 6 8 9" xfId="40968" xr:uid="{00000000-0005-0000-0000-000044CC0000}"/>
    <cellStyle name="Normal 9 6 9" xfId="1706" xr:uid="{00000000-0005-0000-0000-000045CC0000}"/>
    <cellStyle name="Normal 9 6 9 10" xfId="46446" xr:uid="{00000000-0005-0000-0000-000046CC0000}"/>
    <cellStyle name="Normal 9 6 9 11" xfId="51925" xr:uid="{00000000-0005-0000-0000-000047CC0000}"/>
    <cellStyle name="Normal 9 6 9 2" xfId="3467" xr:uid="{00000000-0005-0000-0000-000048CC0000}"/>
    <cellStyle name="Normal 9 6 9 2 2" xfId="8947" xr:uid="{00000000-0005-0000-0000-000049CC0000}"/>
    <cellStyle name="Normal 9 6 9 2 3" xfId="14423" xr:uid="{00000000-0005-0000-0000-00004ACC0000}"/>
    <cellStyle name="Normal 9 6 9 2 4" xfId="19899" xr:uid="{00000000-0005-0000-0000-00004BCC0000}"/>
    <cellStyle name="Normal 9 6 9 2 5" xfId="25375" xr:uid="{00000000-0005-0000-0000-00004CCC0000}"/>
    <cellStyle name="Normal 9 6 9 2 6" xfId="37171" xr:uid="{00000000-0005-0000-0000-00004DCC0000}"/>
    <cellStyle name="Normal 9 6 9 2 7" xfId="42648" xr:uid="{00000000-0005-0000-0000-00004ECC0000}"/>
    <cellStyle name="Normal 9 6 9 2 8" xfId="48125" xr:uid="{00000000-0005-0000-0000-00004FCC0000}"/>
    <cellStyle name="Normal 9 6 9 2 9" xfId="53643" xr:uid="{00000000-0005-0000-0000-000050CC0000}"/>
    <cellStyle name="Normal 9 6 9 3" xfId="5239" xr:uid="{00000000-0005-0000-0000-000051CC0000}"/>
    <cellStyle name="Normal 9 6 9 3 2" xfId="10719" xr:uid="{00000000-0005-0000-0000-000052CC0000}"/>
    <cellStyle name="Normal 9 6 9 3 3" xfId="16195" xr:uid="{00000000-0005-0000-0000-000053CC0000}"/>
    <cellStyle name="Normal 9 6 9 3 4" xfId="21671" xr:uid="{00000000-0005-0000-0000-000054CC0000}"/>
    <cellStyle name="Normal 9 6 9 3 5" xfId="27147" xr:uid="{00000000-0005-0000-0000-000055CC0000}"/>
    <cellStyle name="Normal 9 6 9 3 6" xfId="38943" xr:uid="{00000000-0005-0000-0000-000056CC0000}"/>
    <cellStyle name="Normal 9 6 9 3 7" xfId="44420" xr:uid="{00000000-0005-0000-0000-000057CC0000}"/>
    <cellStyle name="Normal 9 6 9 3 8" xfId="49897" xr:uid="{00000000-0005-0000-0000-000058CC0000}"/>
    <cellStyle name="Normal 9 6 9 3 9" xfId="55415" xr:uid="{00000000-0005-0000-0000-000059CC0000}"/>
    <cellStyle name="Normal 9 6 9 4" xfId="7266" xr:uid="{00000000-0005-0000-0000-00005ACC0000}"/>
    <cellStyle name="Normal 9 6 9 5" xfId="12745" xr:uid="{00000000-0005-0000-0000-00005BCC0000}"/>
    <cellStyle name="Normal 9 6 9 6" xfId="18221" xr:uid="{00000000-0005-0000-0000-00005CCC0000}"/>
    <cellStyle name="Normal 9 6 9 7" xfId="23697" xr:uid="{00000000-0005-0000-0000-00005DCC0000}"/>
    <cellStyle name="Normal 9 6 9 8" xfId="35492" xr:uid="{00000000-0005-0000-0000-00005ECC0000}"/>
    <cellStyle name="Normal 9 6 9 9" xfId="40969" xr:uid="{00000000-0005-0000-0000-00005FCC0000}"/>
    <cellStyle name="Normal 9 7" xfId="455" xr:uid="{00000000-0005-0000-0000-000060CC0000}"/>
    <cellStyle name="Normal 9 7 10" xfId="40970" xr:uid="{00000000-0005-0000-0000-000061CC0000}"/>
    <cellStyle name="Normal 9 7 11" xfId="46447" xr:uid="{00000000-0005-0000-0000-000062CC0000}"/>
    <cellStyle name="Normal 9 7 12" xfId="51926" xr:uid="{00000000-0005-0000-0000-000063CC0000}"/>
    <cellStyle name="Normal 9 7 2" xfId="2220" xr:uid="{00000000-0005-0000-0000-000064CC0000}"/>
    <cellStyle name="Normal 9 7 2 10" xfId="52396" xr:uid="{00000000-0005-0000-0000-000065CC0000}"/>
    <cellStyle name="Normal 9 7 2 2" xfId="7700" xr:uid="{00000000-0005-0000-0000-000066CC0000}"/>
    <cellStyle name="Normal 9 7 2 2 2" xfId="33360" xr:uid="{00000000-0005-0000-0000-000067CC0000}"/>
    <cellStyle name="Normal 9 7 2 3" xfId="13176" xr:uid="{00000000-0005-0000-0000-000068CC0000}"/>
    <cellStyle name="Normal 9 7 2 4" xfId="18652" xr:uid="{00000000-0005-0000-0000-000069CC0000}"/>
    <cellStyle name="Normal 9 7 2 5" xfId="24128" xr:uid="{00000000-0005-0000-0000-00006ACC0000}"/>
    <cellStyle name="Normal 9 7 2 6" xfId="33359" xr:uid="{00000000-0005-0000-0000-00006BCC0000}"/>
    <cellStyle name="Normal 9 7 2 7" xfId="35924" xr:uid="{00000000-0005-0000-0000-00006CCC0000}"/>
    <cellStyle name="Normal 9 7 2 8" xfId="41401" xr:uid="{00000000-0005-0000-0000-00006DCC0000}"/>
    <cellStyle name="Normal 9 7 2 9" xfId="46878" xr:uid="{00000000-0005-0000-0000-00006ECC0000}"/>
    <cellStyle name="Normal 9 7 3" xfId="3992" xr:uid="{00000000-0005-0000-0000-00006FCC0000}"/>
    <cellStyle name="Normal 9 7 3 10" xfId="54168" xr:uid="{00000000-0005-0000-0000-000070CC0000}"/>
    <cellStyle name="Normal 9 7 3 2" xfId="9472" xr:uid="{00000000-0005-0000-0000-000071CC0000}"/>
    <cellStyle name="Normal 9 7 3 3" xfId="14948" xr:uid="{00000000-0005-0000-0000-000072CC0000}"/>
    <cellStyle name="Normal 9 7 3 4" xfId="20424" xr:uid="{00000000-0005-0000-0000-000073CC0000}"/>
    <cellStyle name="Normal 9 7 3 5" xfId="25900" xr:uid="{00000000-0005-0000-0000-000074CC0000}"/>
    <cellStyle name="Normal 9 7 3 6" xfId="33361" xr:uid="{00000000-0005-0000-0000-000075CC0000}"/>
    <cellStyle name="Normal 9 7 3 7" xfId="37696" xr:uid="{00000000-0005-0000-0000-000076CC0000}"/>
    <cellStyle name="Normal 9 7 3 8" xfId="43173" xr:uid="{00000000-0005-0000-0000-000077CC0000}"/>
    <cellStyle name="Normal 9 7 3 9" xfId="48650" xr:uid="{00000000-0005-0000-0000-000078CC0000}"/>
    <cellStyle name="Normal 9 7 4" xfId="7267" xr:uid="{00000000-0005-0000-0000-000079CC0000}"/>
    <cellStyle name="Normal 9 7 5" xfId="12746" xr:uid="{00000000-0005-0000-0000-00007ACC0000}"/>
    <cellStyle name="Normal 9 7 6" xfId="18222" xr:uid="{00000000-0005-0000-0000-00007BCC0000}"/>
    <cellStyle name="Normal 9 7 7" xfId="23698" xr:uid="{00000000-0005-0000-0000-00007CCC0000}"/>
    <cellStyle name="Normal 9 7 8" xfId="33358" xr:uid="{00000000-0005-0000-0000-00007DCC0000}"/>
    <cellStyle name="Normal 9 7 9" xfId="35493" xr:uid="{00000000-0005-0000-0000-00007ECC0000}"/>
    <cellStyle name="Normal 9 8" xfId="631" xr:uid="{00000000-0005-0000-0000-00007FCC0000}"/>
    <cellStyle name="Normal 9 8 10" xfId="40971" xr:uid="{00000000-0005-0000-0000-000080CC0000}"/>
    <cellStyle name="Normal 9 8 11" xfId="46448" xr:uid="{00000000-0005-0000-0000-000081CC0000}"/>
    <cellStyle name="Normal 9 8 12" xfId="51927" xr:uid="{00000000-0005-0000-0000-000082CC0000}"/>
    <cellStyle name="Normal 9 8 2" xfId="2392" xr:uid="{00000000-0005-0000-0000-000083CC0000}"/>
    <cellStyle name="Normal 9 8 2 10" xfId="52568" xr:uid="{00000000-0005-0000-0000-000084CC0000}"/>
    <cellStyle name="Normal 9 8 2 2" xfId="7872" xr:uid="{00000000-0005-0000-0000-000085CC0000}"/>
    <cellStyle name="Normal 9 8 2 3" xfId="13348" xr:uid="{00000000-0005-0000-0000-000086CC0000}"/>
    <cellStyle name="Normal 9 8 2 4" xfId="18824" xr:uid="{00000000-0005-0000-0000-000087CC0000}"/>
    <cellStyle name="Normal 9 8 2 5" xfId="24300" xr:uid="{00000000-0005-0000-0000-000088CC0000}"/>
    <cellStyle name="Normal 9 8 2 6" xfId="33363" xr:uid="{00000000-0005-0000-0000-000089CC0000}"/>
    <cellStyle name="Normal 9 8 2 7" xfId="36096" xr:uid="{00000000-0005-0000-0000-00008ACC0000}"/>
    <cellStyle name="Normal 9 8 2 8" xfId="41573" xr:uid="{00000000-0005-0000-0000-00008BCC0000}"/>
    <cellStyle name="Normal 9 8 2 9" xfId="47050" xr:uid="{00000000-0005-0000-0000-00008CCC0000}"/>
    <cellStyle name="Normal 9 8 3" xfId="4164" xr:uid="{00000000-0005-0000-0000-00008DCC0000}"/>
    <cellStyle name="Normal 9 8 3 2" xfId="9644" xr:uid="{00000000-0005-0000-0000-00008ECC0000}"/>
    <cellStyle name="Normal 9 8 3 3" xfId="15120" xr:uid="{00000000-0005-0000-0000-00008FCC0000}"/>
    <cellStyle name="Normal 9 8 3 4" xfId="20596" xr:uid="{00000000-0005-0000-0000-000090CC0000}"/>
    <cellStyle name="Normal 9 8 3 5" xfId="26072" xr:uid="{00000000-0005-0000-0000-000091CC0000}"/>
    <cellStyle name="Normal 9 8 3 6" xfId="37868" xr:uid="{00000000-0005-0000-0000-000092CC0000}"/>
    <cellStyle name="Normal 9 8 3 7" xfId="43345" xr:uid="{00000000-0005-0000-0000-000093CC0000}"/>
    <cellStyle name="Normal 9 8 3 8" xfId="48822" xr:uid="{00000000-0005-0000-0000-000094CC0000}"/>
    <cellStyle name="Normal 9 8 3 9" xfId="54340" xr:uid="{00000000-0005-0000-0000-000095CC0000}"/>
    <cellStyle name="Normal 9 8 4" xfId="7268" xr:uid="{00000000-0005-0000-0000-000096CC0000}"/>
    <cellStyle name="Normal 9 8 5" xfId="12747" xr:uid="{00000000-0005-0000-0000-000097CC0000}"/>
    <cellStyle name="Normal 9 8 6" xfId="18223" xr:uid="{00000000-0005-0000-0000-000098CC0000}"/>
    <cellStyle name="Normal 9 8 7" xfId="23699" xr:uid="{00000000-0005-0000-0000-000099CC0000}"/>
    <cellStyle name="Normal 9 8 8" xfId="33362" xr:uid="{00000000-0005-0000-0000-00009ACC0000}"/>
    <cellStyle name="Normal 9 8 9" xfId="35494" xr:uid="{00000000-0005-0000-0000-00009BCC0000}"/>
    <cellStyle name="Normal 9 9" xfId="803" xr:uid="{00000000-0005-0000-0000-00009CCC0000}"/>
    <cellStyle name="Normal 9 9 10" xfId="40972" xr:uid="{00000000-0005-0000-0000-00009DCC0000}"/>
    <cellStyle name="Normal 9 9 11" xfId="46449" xr:uid="{00000000-0005-0000-0000-00009ECC0000}"/>
    <cellStyle name="Normal 9 9 12" xfId="51928" xr:uid="{00000000-0005-0000-0000-00009FCC0000}"/>
    <cellStyle name="Normal 9 9 2" xfId="2564" xr:uid="{00000000-0005-0000-0000-0000A0CC0000}"/>
    <cellStyle name="Normal 9 9 2 2" xfId="8044" xr:uid="{00000000-0005-0000-0000-0000A1CC0000}"/>
    <cellStyle name="Normal 9 9 2 3" xfId="13520" xr:uid="{00000000-0005-0000-0000-0000A2CC0000}"/>
    <cellStyle name="Normal 9 9 2 4" xfId="18996" xr:uid="{00000000-0005-0000-0000-0000A3CC0000}"/>
    <cellStyle name="Normal 9 9 2 5" xfId="24472" xr:uid="{00000000-0005-0000-0000-0000A4CC0000}"/>
    <cellStyle name="Normal 9 9 2 6" xfId="36268" xr:uid="{00000000-0005-0000-0000-0000A5CC0000}"/>
    <cellStyle name="Normal 9 9 2 7" xfId="41745" xr:uid="{00000000-0005-0000-0000-0000A6CC0000}"/>
    <cellStyle name="Normal 9 9 2 8" xfId="47222" xr:uid="{00000000-0005-0000-0000-0000A7CC0000}"/>
    <cellStyle name="Normal 9 9 2 9" xfId="52740" xr:uid="{00000000-0005-0000-0000-0000A8CC0000}"/>
    <cellStyle name="Normal 9 9 3" xfId="4336" xr:uid="{00000000-0005-0000-0000-0000A9CC0000}"/>
    <cellStyle name="Normal 9 9 3 2" xfId="9816" xr:uid="{00000000-0005-0000-0000-0000AACC0000}"/>
    <cellStyle name="Normal 9 9 3 3" xfId="15292" xr:uid="{00000000-0005-0000-0000-0000ABCC0000}"/>
    <cellStyle name="Normal 9 9 3 4" xfId="20768" xr:uid="{00000000-0005-0000-0000-0000ACCC0000}"/>
    <cellStyle name="Normal 9 9 3 5" xfId="26244" xr:uid="{00000000-0005-0000-0000-0000ADCC0000}"/>
    <cellStyle name="Normal 9 9 3 6" xfId="38040" xr:uid="{00000000-0005-0000-0000-0000AECC0000}"/>
    <cellStyle name="Normal 9 9 3 7" xfId="43517" xr:uid="{00000000-0005-0000-0000-0000AFCC0000}"/>
    <cellStyle name="Normal 9 9 3 8" xfId="48994" xr:uid="{00000000-0005-0000-0000-0000B0CC0000}"/>
    <cellStyle name="Normal 9 9 3 9" xfId="54512" xr:uid="{00000000-0005-0000-0000-0000B1CC0000}"/>
    <cellStyle name="Normal 9 9 4" xfId="7269" xr:uid="{00000000-0005-0000-0000-0000B2CC0000}"/>
    <cellStyle name="Normal 9 9 5" xfId="12748" xr:uid="{00000000-0005-0000-0000-0000B3CC0000}"/>
    <cellStyle name="Normal 9 9 6" xfId="18224" xr:uid="{00000000-0005-0000-0000-0000B4CC0000}"/>
    <cellStyle name="Normal 9 9 7" xfId="23700" xr:uid="{00000000-0005-0000-0000-0000B5CC0000}"/>
    <cellStyle name="Normal 9 9 8" xfId="33364" xr:uid="{00000000-0005-0000-0000-0000B6CC0000}"/>
    <cellStyle name="Normal 9 9 9" xfId="35495" xr:uid="{00000000-0005-0000-0000-0000B7CC0000}"/>
    <cellStyle name="Note 10" xfId="33365" xr:uid="{00000000-0005-0000-0000-0000B8CC0000}"/>
    <cellStyle name="Note 10 2" xfId="33366" xr:uid="{00000000-0005-0000-0000-0000B9CC0000}"/>
    <cellStyle name="Note 10 2 2" xfId="33367" xr:uid="{00000000-0005-0000-0000-0000BACC0000}"/>
    <cellStyle name="Note 10 2 2 2" xfId="33368" xr:uid="{00000000-0005-0000-0000-0000BBCC0000}"/>
    <cellStyle name="Note 10 2 2 2 2" xfId="33369" xr:uid="{00000000-0005-0000-0000-0000BCCC0000}"/>
    <cellStyle name="Note 10 2 2 2 2 2" xfId="33370" xr:uid="{00000000-0005-0000-0000-0000BDCC0000}"/>
    <cellStyle name="Note 10 2 2 2 3" xfId="33371" xr:uid="{00000000-0005-0000-0000-0000BECC0000}"/>
    <cellStyle name="Note 10 2 2 3" xfId="33372" xr:uid="{00000000-0005-0000-0000-0000BFCC0000}"/>
    <cellStyle name="Note 10 2 2 3 2" xfId="33373" xr:uid="{00000000-0005-0000-0000-0000C0CC0000}"/>
    <cellStyle name="Note 10 2 2 3 2 2" xfId="33374" xr:uid="{00000000-0005-0000-0000-0000C1CC0000}"/>
    <cellStyle name="Note 10 2 2 3 3" xfId="33375" xr:uid="{00000000-0005-0000-0000-0000C2CC0000}"/>
    <cellStyle name="Note 10 2 2 4" xfId="33376" xr:uid="{00000000-0005-0000-0000-0000C3CC0000}"/>
    <cellStyle name="Note 10 2 2 4 2" xfId="33377" xr:uid="{00000000-0005-0000-0000-0000C4CC0000}"/>
    <cellStyle name="Note 10 2 2 5" xfId="33378" xr:uid="{00000000-0005-0000-0000-0000C5CC0000}"/>
    <cellStyle name="Note 10 2 3" xfId="33379" xr:uid="{00000000-0005-0000-0000-0000C6CC0000}"/>
    <cellStyle name="Note 10 2 3 2" xfId="33380" xr:uid="{00000000-0005-0000-0000-0000C7CC0000}"/>
    <cellStyle name="Note 10 2 3 2 2" xfId="33381" xr:uid="{00000000-0005-0000-0000-0000C8CC0000}"/>
    <cellStyle name="Note 10 2 3 2 2 2" xfId="33382" xr:uid="{00000000-0005-0000-0000-0000C9CC0000}"/>
    <cellStyle name="Note 10 2 3 2 3" xfId="33383" xr:uid="{00000000-0005-0000-0000-0000CACC0000}"/>
    <cellStyle name="Note 10 2 3 3" xfId="33384" xr:uid="{00000000-0005-0000-0000-0000CBCC0000}"/>
    <cellStyle name="Note 10 2 3 3 2" xfId="33385" xr:uid="{00000000-0005-0000-0000-0000CCCC0000}"/>
    <cellStyle name="Note 10 2 3 3 2 2" xfId="33386" xr:uid="{00000000-0005-0000-0000-0000CDCC0000}"/>
    <cellStyle name="Note 10 2 3 3 3" xfId="33387" xr:uid="{00000000-0005-0000-0000-0000CECC0000}"/>
    <cellStyle name="Note 10 2 3 4" xfId="33388" xr:uid="{00000000-0005-0000-0000-0000CFCC0000}"/>
    <cellStyle name="Note 10 2 3 4 2" xfId="33389" xr:uid="{00000000-0005-0000-0000-0000D0CC0000}"/>
    <cellStyle name="Note 10 2 3 5" xfId="33390" xr:uid="{00000000-0005-0000-0000-0000D1CC0000}"/>
    <cellStyle name="Note 10 2 4" xfId="33391" xr:uid="{00000000-0005-0000-0000-0000D2CC0000}"/>
    <cellStyle name="Note 10 2 4 2" xfId="33392" xr:uid="{00000000-0005-0000-0000-0000D3CC0000}"/>
    <cellStyle name="Note 10 2 4 2 2" xfId="33393" xr:uid="{00000000-0005-0000-0000-0000D4CC0000}"/>
    <cellStyle name="Note 10 2 4 2 2 2" xfId="33394" xr:uid="{00000000-0005-0000-0000-0000D5CC0000}"/>
    <cellStyle name="Note 10 2 4 2 3" xfId="33395" xr:uid="{00000000-0005-0000-0000-0000D6CC0000}"/>
    <cellStyle name="Note 10 2 4 3" xfId="33396" xr:uid="{00000000-0005-0000-0000-0000D7CC0000}"/>
    <cellStyle name="Note 10 2 4 3 2" xfId="33397" xr:uid="{00000000-0005-0000-0000-0000D8CC0000}"/>
    <cellStyle name="Note 10 2 4 3 2 2" xfId="33398" xr:uid="{00000000-0005-0000-0000-0000D9CC0000}"/>
    <cellStyle name="Note 10 2 4 3 3" xfId="33399" xr:uid="{00000000-0005-0000-0000-0000DACC0000}"/>
    <cellStyle name="Note 10 2 4 4" xfId="33400" xr:uid="{00000000-0005-0000-0000-0000DBCC0000}"/>
    <cellStyle name="Note 10 2 4 4 2" xfId="33401" xr:uid="{00000000-0005-0000-0000-0000DCCC0000}"/>
    <cellStyle name="Note 10 2 4 5" xfId="33402" xr:uid="{00000000-0005-0000-0000-0000DDCC0000}"/>
    <cellStyle name="Note 10 2 5" xfId="33403" xr:uid="{00000000-0005-0000-0000-0000DECC0000}"/>
    <cellStyle name="Note 10 2 5 2" xfId="33404" xr:uid="{00000000-0005-0000-0000-0000DFCC0000}"/>
    <cellStyle name="Note 10 2 5 2 2" xfId="33405" xr:uid="{00000000-0005-0000-0000-0000E0CC0000}"/>
    <cellStyle name="Note 10 2 5 2 2 2" xfId="33406" xr:uid="{00000000-0005-0000-0000-0000E1CC0000}"/>
    <cellStyle name="Note 10 2 5 2 3" xfId="33407" xr:uid="{00000000-0005-0000-0000-0000E2CC0000}"/>
    <cellStyle name="Note 10 2 5 3" xfId="33408" xr:uid="{00000000-0005-0000-0000-0000E3CC0000}"/>
    <cellStyle name="Note 10 2 5 3 2" xfId="33409" xr:uid="{00000000-0005-0000-0000-0000E4CC0000}"/>
    <cellStyle name="Note 10 2 5 4" xfId="33410" xr:uid="{00000000-0005-0000-0000-0000E5CC0000}"/>
    <cellStyle name="Note 10 2 6" xfId="33411" xr:uid="{00000000-0005-0000-0000-0000E6CC0000}"/>
    <cellStyle name="Note 10 2 6 2" xfId="33412" xr:uid="{00000000-0005-0000-0000-0000E7CC0000}"/>
    <cellStyle name="Note 10 2 6 2 2" xfId="33413" xr:uid="{00000000-0005-0000-0000-0000E8CC0000}"/>
    <cellStyle name="Note 10 2 6 3" xfId="33414" xr:uid="{00000000-0005-0000-0000-0000E9CC0000}"/>
    <cellStyle name="Note 10 2 7" xfId="33415" xr:uid="{00000000-0005-0000-0000-0000EACC0000}"/>
    <cellStyle name="Note 10 2 7 2" xfId="33416" xr:uid="{00000000-0005-0000-0000-0000EBCC0000}"/>
    <cellStyle name="Note 10 2 8" xfId="33417" xr:uid="{00000000-0005-0000-0000-0000ECCC0000}"/>
    <cellStyle name="Note 10 3" xfId="33418" xr:uid="{00000000-0005-0000-0000-0000EDCC0000}"/>
    <cellStyle name="Note 10 3 2" xfId="33419" xr:uid="{00000000-0005-0000-0000-0000EECC0000}"/>
    <cellStyle name="Note 10 3 2 2" xfId="33420" xr:uid="{00000000-0005-0000-0000-0000EFCC0000}"/>
    <cellStyle name="Note 10 3 2 2 2" xfId="33421" xr:uid="{00000000-0005-0000-0000-0000F0CC0000}"/>
    <cellStyle name="Note 10 3 2 3" xfId="33422" xr:uid="{00000000-0005-0000-0000-0000F1CC0000}"/>
    <cellStyle name="Note 10 3 3" xfId="33423" xr:uid="{00000000-0005-0000-0000-0000F2CC0000}"/>
    <cellStyle name="Note 10 3 3 2" xfId="33424" xr:uid="{00000000-0005-0000-0000-0000F3CC0000}"/>
    <cellStyle name="Note 10 3 3 2 2" xfId="33425" xr:uid="{00000000-0005-0000-0000-0000F4CC0000}"/>
    <cellStyle name="Note 10 3 3 3" xfId="33426" xr:uid="{00000000-0005-0000-0000-0000F5CC0000}"/>
    <cellStyle name="Note 10 3 4" xfId="33427" xr:uid="{00000000-0005-0000-0000-0000F6CC0000}"/>
    <cellStyle name="Note 10 3 4 2" xfId="33428" xr:uid="{00000000-0005-0000-0000-0000F7CC0000}"/>
    <cellStyle name="Note 10 3 4 2 2" xfId="33429" xr:uid="{00000000-0005-0000-0000-0000F8CC0000}"/>
    <cellStyle name="Note 10 3 4 3" xfId="33430" xr:uid="{00000000-0005-0000-0000-0000F9CC0000}"/>
    <cellStyle name="Note 10 3 5" xfId="33431" xr:uid="{00000000-0005-0000-0000-0000FACC0000}"/>
    <cellStyle name="Note 10 3 5 2" xfId="33432" xr:uid="{00000000-0005-0000-0000-0000FBCC0000}"/>
    <cellStyle name="Note 10 3 6" xfId="33433" xr:uid="{00000000-0005-0000-0000-0000FCCC0000}"/>
    <cellStyle name="Note 10 4" xfId="33434" xr:uid="{00000000-0005-0000-0000-0000FDCC0000}"/>
    <cellStyle name="Note 10 4 2" xfId="33435" xr:uid="{00000000-0005-0000-0000-0000FECC0000}"/>
    <cellStyle name="Note 10 4 2 2" xfId="33436" xr:uid="{00000000-0005-0000-0000-0000FFCC0000}"/>
    <cellStyle name="Note 10 4 2 2 2" xfId="33437" xr:uid="{00000000-0005-0000-0000-000000CD0000}"/>
    <cellStyle name="Note 10 4 2 3" xfId="33438" xr:uid="{00000000-0005-0000-0000-000001CD0000}"/>
    <cellStyle name="Note 10 4 3" xfId="33439" xr:uid="{00000000-0005-0000-0000-000002CD0000}"/>
    <cellStyle name="Note 10 4 3 2" xfId="33440" xr:uid="{00000000-0005-0000-0000-000003CD0000}"/>
    <cellStyle name="Note 10 4 3 2 2" xfId="33441" xr:uid="{00000000-0005-0000-0000-000004CD0000}"/>
    <cellStyle name="Note 10 4 3 3" xfId="33442" xr:uid="{00000000-0005-0000-0000-000005CD0000}"/>
    <cellStyle name="Note 10 4 4" xfId="33443" xr:uid="{00000000-0005-0000-0000-000006CD0000}"/>
    <cellStyle name="Note 10 4 4 2" xfId="33444" xr:uid="{00000000-0005-0000-0000-000007CD0000}"/>
    <cellStyle name="Note 10 4 5" xfId="33445" xr:uid="{00000000-0005-0000-0000-000008CD0000}"/>
    <cellStyle name="Note 10 5" xfId="33446" xr:uid="{00000000-0005-0000-0000-000009CD0000}"/>
    <cellStyle name="Note 10 5 2" xfId="33447" xr:uid="{00000000-0005-0000-0000-00000ACD0000}"/>
    <cellStyle name="Note 10 5 2 2" xfId="33448" xr:uid="{00000000-0005-0000-0000-00000BCD0000}"/>
    <cellStyle name="Note 10 5 2 2 2" xfId="33449" xr:uid="{00000000-0005-0000-0000-00000CCD0000}"/>
    <cellStyle name="Note 10 5 2 3" xfId="33450" xr:uid="{00000000-0005-0000-0000-00000DCD0000}"/>
    <cellStyle name="Note 10 5 3" xfId="33451" xr:uid="{00000000-0005-0000-0000-00000ECD0000}"/>
    <cellStyle name="Note 10 5 3 2" xfId="33452" xr:uid="{00000000-0005-0000-0000-00000FCD0000}"/>
    <cellStyle name="Note 10 5 3 2 2" xfId="33453" xr:uid="{00000000-0005-0000-0000-000010CD0000}"/>
    <cellStyle name="Note 10 5 3 3" xfId="33454" xr:uid="{00000000-0005-0000-0000-000011CD0000}"/>
    <cellStyle name="Note 10 5 4" xfId="33455" xr:uid="{00000000-0005-0000-0000-000012CD0000}"/>
    <cellStyle name="Note 10 5 4 2" xfId="33456" xr:uid="{00000000-0005-0000-0000-000013CD0000}"/>
    <cellStyle name="Note 10 5 5" xfId="33457" xr:uid="{00000000-0005-0000-0000-000014CD0000}"/>
    <cellStyle name="Note 10 6" xfId="33458" xr:uid="{00000000-0005-0000-0000-000015CD0000}"/>
    <cellStyle name="Note 10 6 2" xfId="33459" xr:uid="{00000000-0005-0000-0000-000016CD0000}"/>
    <cellStyle name="Note 10 6 2 2" xfId="33460" xr:uid="{00000000-0005-0000-0000-000017CD0000}"/>
    <cellStyle name="Note 10 6 2 2 2" xfId="33461" xr:uid="{00000000-0005-0000-0000-000018CD0000}"/>
    <cellStyle name="Note 10 6 2 3" xfId="33462" xr:uid="{00000000-0005-0000-0000-000019CD0000}"/>
    <cellStyle name="Note 10 6 3" xfId="33463" xr:uid="{00000000-0005-0000-0000-00001ACD0000}"/>
    <cellStyle name="Note 10 6 3 2" xfId="33464" xr:uid="{00000000-0005-0000-0000-00001BCD0000}"/>
    <cellStyle name="Note 10 6 4" xfId="33465" xr:uid="{00000000-0005-0000-0000-00001CCD0000}"/>
    <cellStyle name="Note 10 7" xfId="33466" xr:uid="{00000000-0005-0000-0000-00001DCD0000}"/>
    <cellStyle name="Note 10 7 2" xfId="33467" xr:uid="{00000000-0005-0000-0000-00001ECD0000}"/>
    <cellStyle name="Note 10 7 2 2" xfId="33468" xr:uid="{00000000-0005-0000-0000-00001FCD0000}"/>
    <cellStyle name="Note 10 7 3" xfId="33469" xr:uid="{00000000-0005-0000-0000-000020CD0000}"/>
    <cellStyle name="Note 10 8" xfId="33470" xr:uid="{00000000-0005-0000-0000-000021CD0000}"/>
    <cellStyle name="Note 10 8 2" xfId="33471" xr:uid="{00000000-0005-0000-0000-000022CD0000}"/>
    <cellStyle name="Note 10 9" xfId="33472" xr:uid="{00000000-0005-0000-0000-000023CD0000}"/>
    <cellStyle name="Note 11" xfId="33473" xr:uid="{00000000-0005-0000-0000-000024CD0000}"/>
    <cellStyle name="Note 11 2" xfId="33474" xr:uid="{00000000-0005-0000-0000-000025CD0000}"/>
    <cellStyle name="Note 11 2 2" xfId="33475" xr:uid="{00000000-0005-0000-0000-000026CD0000}"/>
    <cellStyle name="Note 11 2 2 2" xfId="33476" xr:uid="{00000000-0005-0000-0000-000027CD0000}"/>
    <cellStyle name="Note 11 2 2 2 2" xfId="33477" xr:uid="{00000000-0005-0000-0000-000028CD0000}"/>
    <cellStyle name="Note 11 2 2 3" xfId="33478" xr:uid="{00000000-0005-0000-0000-000029CD0000}"/>
    <cellStyle name="Note 11 2 3" xfId="33479" xr:uid="{00000000-0005-0000-0000-00002ACD0000}"/>
    <cellStyle name="Note 11 2 3 2" xfId="33480" xr:uid="{00000000-0005-0000-0000-00002BCD0000}"/>
    <cellStyle name="Note 11 2 3 2 2" xfId="33481" xr:uid="{00000000-0005-0000-0000-00002CCD0000}"/>
    <cellStyle name="Note 11 2 3 3" xfId="33482" xr:uid="{00000000-0005-0000-0000-00002DCD0000}"/>
    <cellStyle name="Note 11 2 4" xfId="33483" xr:uid="{00000000-0005-0000-0000-00002ECD0000}"/>
    <cellStyle name="Note 11 2 4 2" xfId="33484" xr:uid="{00000000-0005-0000-0000-00002FCD0000}"/>
    <cellStyle name="Note 11 2 5" xfId="33485" xr:uid="{00000000-0005-0000-0000-000030CD0000}"/>
    <cellStyle name="Note 11 3" xfId="33486" xr:uid="{00000000-0005-0000-0000-000031CD0000}"/>
    <cellStyle name="Note 11 3 2" xfId="33487" xr:uid="{00000000-0005-0000-0000-000032CD0000}"/>
    <cellStyle name="Note 11 3 2 2" xfId="33488" xr:uid="{00000000-0005-0000-0000-000033CD0000}"/>
    <cellStyle name="Note 11 3 2 2 2" xfId="33489" xr:uid="{00000000-0005-0000-0000-000034CD0000}"/>
    <cellStyle name="Note 11 3 2 3" xfId="33490" xr:uid="{00000000-0005-0000-0000-000035CD0000}"/>
    <cellStyle name="Note 11 3 3" xfId="33491" xr:uid="{00000000-0005-0000-0000-000036CD0000}"/>
    <cellStyle name="Note 11 3 3 2" xfId="33492" xr:uid="{00000000-0005-0000-0000-000037CD0000}"/>
    <cellStyle name="Note 11 3 3 2 2" xfId="33493" xr:uid="{00000000-0005-0000-0000-000038CD0000}"/>
    <cellStyle name="Note 11 3 3 3" xfId="33494" xr:uid="{00000000-0005-0000-0000-000039CD0000}"/>
    <cellStyle name="Note 11 3 4" xfId="33495" xr:uid="{00000000-0005-0000-0000-00003ACD0000}"/>
    <cellStyle name="Note 11 3 4 2" xfId="33496" xr:uid="{00000000-0005-0000-0000-00003BCD0000}"/>
    <cellStyle name="Note 11 3 5" xfId="33497" xr:uid="{00000000-0005-0000-0000-00003CCD0000}"/>
    <cellStyle name="Note 11 4" xfId="33498" xr:uid="{00000000-0005-0000-0000-00003DCD0000}"/>
    <cellStyle name="Note 11 4 2" xfId="33499" xr:uid="{00000000-0005-0000-0000-00003ECD0000}"/>
    <cellStyle name="Note 11 4 2 2" xfId="33500" xr:uid="{00000000-0005-0000-0000-00003FCD0000}"/>
    <cellStyle name="Note 11 4 2 2 2" xfId="33501" xr:uid="{00000000-0005-0000-0000-000040CD0000}"/>
    <cellStyle name="Note 11 4 2 3" xfId="33502" xr:uid="{00000000-0005-0000-0000-000041CD0000}"/>
    <cellStyle name="Note 11 4 3" xfId="33503" xr:uid="{00000000-0005-0000-0000-000042CD0000}"/>
    <cellStyle name="Note 11 4 3 2" xfId="33504" xr:uid="{00000000-0005-0000-0000-000043CD0000}"/>
    <cellStyle name="Note 11 4 3 2 2" xfId="33505" xr:uid="{00000000-0005-0000-0000-000044CD0000}"/>
    <cellStyle name="Note 11 4 3 3" xfId="33506" xr:uid="{00000000-0005-0000-0000-000045CD0000}"/>
    <cellStyle name="Note 11 4 4" xfId="33507" xr:uid="{00000000-0005-0000-0000-000046CD0000}"/>
    <cellStyle name="Note 11 4 4 2" xfId="33508" xr:uid="{00000000-0005-0000-0000-000047CD0000}"/>
    <cellStyle name="Note 11 4 5" xfId="33509" xr:uid="{00000000-0005-0000-0000-000048CD0000}"/>
    <cellStyle name="Note 11 5" xfId="33510" xr:uid="{00000000-0005-0000-0000-000049CD0000}"/>
    <cellStyle name="Note 11 5 2" xfId="33511" xr:uid="{00000000-0005-0000-0000-00004ACD0000}"/>
    <cellStyle name="Note 11 5 2 2" xfId="33512" xr:uid="{00000000-0005-0000-0000-00004BCD0000}"/>
    <cellStyle name="Note 11 5 2 2 2" xfId="33513" xr:uid="{00000000-0005-0000-0000-00004CCD0000}"/>
    <cellStyle name="Note 11 5 2 3" xfId="33514" xr:uid="{00000000-0005-0000-0000-00004DCD0000}"/>
    <cellStyle name="Note 11 5 3" xfId="33515" xr:uid="{00000000-0005-0000-0000-00004ECD0000}"/>
    <cellStyle name="Note 11 5 3 2" xfId="33516" xr:uid="{00000000-0005-0000-0000-00004FCD0000}"/>
    <cellStyle name="Note 11 5 4" xfId="33517" xr:uid="{00000000-0005-0000-0000-000050CD0000}"/>
    <cellStyle name="Note 11 6" xfId="33518" xr:uid="{00000000-0005-0000-0000-000051CD0000}"/>
    <cellStyle name="Note 11 6 2" xfId="33519" xr:uid="{00000000-0005-0000-0000-000052CD0000}"/>
    <cellStyle name="Note 11 6 2 2" xfId="33520" xr:uid="{00000000-0005-0000-0000-000053CD0000}"/>
    <cellStyle name="Note 11 6 3" xfId="33521" xr:uid="{00000000-0005-0000-0000-000054CD0000}"/>
    <cellStyle name="Note 11 7" xfId="33522" xr:uid="{00000000-0005-0000-0000-000055CD0000}"/>
    <cellStyle name="Note 11 7 2" xfId="33523" xr:uid="{00000000-0005-0000-0000-000056CD0000}"/>
    <cellStyle name="Note 11 8" xfId="33524" xr:uid="{00000000-0005-0000-0000-000057CD0000}"/>
    <cellStyle name="Note 12" xfId="33525" xr:uid="{00000000-0005-0000-0000-000058CD0000}"/>
    <cellStyle name="Note 12 2" xfId="33526" xr:uid="{00000000-0005-0000-0000-000059CD0000}"/>
    <cellStyle name="Note 12 2 2" xfId="33527" xr:uid="{00000000-0005-0000-0000-00005ACD0000}"/>
    <cellStyle name="Note 12 2 2 2" xfId="33528" xr:uid="{00000000-0005-0000-0000-00005BCD0000}"/>
    <cellStyle name="Note 12 2 2 2 2" xfId="33529" xr:uid="{00000000-0005-0000-0000-00005CCD0000}"/>
    <cellStyle name="Note 12 2 2 3" xfId="33530" xr:uid="{00000000-0005-0000-0000-00005DCD0000}"/>
    <cellStyle name="Note 12 2 3" xfId="33531" xr:uid="{00000000-0005-0000-0000-00005ECD0000}"/>
    <cellStyle name="Note 12 2 3 2" xfId="33532" xr:uid="{00000000-0005-0000-0000-00005FCD0000}"/>
    <cellStyle name="Note 12 2 4" xfId="33533" xr:uid="{00000000-0005-0000-0000-000060CD0000}"/>
    <cellStyle name="Note 12 3" xfId="33534" xr:uid="{00000000-0005-0000-0000-000061CD0000}"/>
    <cellStyle name="Note 12 3 2" xfId="33535" xr:uid="{00000000-0005-0000-0000-000062CD0000}"/>
    <cellStyle name="Note 12 3 2 2" xfId="33536" xr:uid="{00000000-0005-0000-0000-000063CD0000}"/>
    <cellStyle name="Note 12 3 2 2 2" xfId="33537" xr:uid="{00000000-0005-0000-0000-000064CD0000}"/>
    <cellStyle name="Note 12 3 2 3" xfId="33538" xr:uid="{00000000-0005-0000-0000-000065CD0000}"/>
    <cellStyle name="Note 12 3 3" xfId="33539" xr:uid="{00000000-0005-0000-0000-000066CD0000}"/>
    <cellStyle name="Note 12 3 3 2" xfId="33540" xr:uid="{00000000-0005-0000-0000-000067CD0000}"/>
    <cellStyle name="Note 12 3 4" xfId="33541" xr:uid="{00000000-0005-0000-0000-000068CD0000}"/>
    <cellStyle name="Note 12 4" xfId="33542" xr:uid="{00000000-0005-0000-0000-000069CD0000}"/>
    <cellStyle name="Note 12 4 2" xfId="33543" xr:uid="{00000000-0005-0000-0000-00006ACD0000}"/>
    <cellStyle name="Note 12 4 2 2" xfId="33544" xr:uid="{00000000-0005-0000-0000-00006BCD0000}"/>
    <cellStyle name="Note 12 4 3" xfId="33545" xr:uid="{00000000-0005-0000-0000-00006CCD0000}"/>
    <cellStyle name="Note 12 5" xfId="33546" xr:uid="{00000000-0005-0000-0000-00006DCD0000}"/>
    <cellStyle name="Note 12 5 2" xfId="33547" xr:uid="{00000000-0005-0000-0000-00006ECD0000}"/>
    <cellStyle name="Note 12 6" xfId="33548" xr:uid="{00000000-0005-0000-0000-00006FCD0000}"/>
    <cellStyle name="Note 13" xfId="33549" xr:uid="{00000000-0005-0000-0000-000070CD0000}"/>
    <cellStyle name="Note 13 2" xfId="33550" xr:uid="{00000000-0005-0000-0000-000071CD0000}"/>
    <cellStyle name="Note 13 2 2" xfId="33551" xr:uid="{00000000-0005-0000-0000-000072CD0000}"/>
    <cellStyle name="Note 13 3" xfId="33552" xr:uid="{00000000-0005-0000-0000-000073CD0000}"/>
    <cellStyle name="Note 14" xfId="33553" xr:uid="{00000000-0005-0000-0000-000074CD0000}"/>
    <cellStyle name="Note 14 2" xfId="33554" xr:uid="{00000000-0005-0000-0000-000075CD0000}"/>
    <cellStyle name="Note 15" xfId="33555" xr:uid="{00000000-0005-0000-0000-000076CD0000}"/>
    <cellStyle name="Note 15 2" xfId="33556" xr:uid="{00000000-0005-0000-0000-000077CD0000}"/>
    <cellStyle name="Note 16" xfId="35599" xr:uid="{00000000-0005-0000-0000-000078CD0000}"/>
    <cellStyle name="Note 17" xfId="41076" xr:uid="{00000000-0005-0000-0000-000079CD0000}"/>
    <cellStyle name="Note 18" xfId="46553" xr:uid="{00000000-0005-0000-0000-00007ACD0000}"/>
    <cellStyle name="Note 2" xfId="34" xr:uid="{00000000-0005-0000-0000-00007BCD0000}"/>
    <cellStyle name="Note 2 10" xfId="33558" xr:uid="{00000000-0005-0000-0000-00007CCD0000}"/>
    <cellStyle name="Note 2 10 2" xfId="33559" xr:uid="{00000000-0005-0000-0000-00007DCD0000}"/>
    <cellStyle name="Note 2 11" xfId="33560" xr:uid="{00000000-0005-0000-0000-00007ECD0000}"/>
    <cellStyle name="Note 2 12" xfId="33561" xr:uid="{00000000-0005-0000-0000-00007FCD0000}"/>
    <cellStyle name="Note 2 12 2" xfId="33562" xr:uid="{00000000-0005-0000-0000-000080CD0000}"/>
    <cellStyle name="Note 2 13" xfId="33563" xr:uid="{00000000-0005-0000-0000-000081CD0000}"/>
    <cellStyle name="Note 2 14" xfId="33557" xr:uid="{00000000-0005-0000-0000-000082CD0000}"/>
    <cellStyle name="Note 2 15" xfId="52078" xr:uid="{00000000-0005-0000-0000-000083CD0000}"/>
    <cellStyle name="Note 2 2" xfId="33564" xr:uid="{00000000-0005-0000-0000-000084CD0000}"/>
    <cellStyle name="Note 2 2 2" xfId="33565" xr:uid="{00000000-0005-0000-0000-000085CD0000}"/>
    <cellStyle name="Note 2 2 2 2" xfId="33566" xr:uid="{00000000-0005-0000-0000-000086CD0000}"/>
    <cellStyle name="Note 2 2 2 2 2" xfId="33567" xr:uid="{00000000-0005-0000-0000-000087CD0000}"/>
    <cellStyle name="Note 2 2 2 3" xfId="33568" xr:uid="{00000000-0005-0000-0000-000088CD0000}"/>
    <cellStyle name="Note 2 2 3" xfId="33569" xr:uid="{00000000-0005-0000-0000-000089CD0000}"/>
    <cellStyle name="Note 2 2 3 2" xfId="33570" xr:uid="{00000000-0005-0000-0000-00008ACD0000}"/>
    <cellStyle name="Note 2 2 3 2 2" xfId="33571" xr:uid="{00000000-0005-0000-0000-00008BCD0000}"/>
    <cellStyle name="Note 2 2 3 3" xfId="33572" xr:uid="{00000000-0005-0000-0000-00008CCD0000}"/>
    <cellStyle name="Note 2 2 4" xfId="33573" xr:uid="{00000000-0005-0000-0000-00008DCD0000}"/>
    <cellStyle name="Note 2 2 4 2" xfId="33574" xr:uid="{00000000-0005-0000-0000-00008ECD0000}"/>
    <cellStyle name="Note 2 2 4 2 2" xfId="33575" xr:uid="{00000000-0005-0000-0000-00008FCD0000}"/>
    <cellStyle name="Note 2 2 4 3" xfId="33576" xr:uid="{00000000-0005-0000-0000-000090CD0000}"/>
    <cellStyle name="Note 2 2 5" xfId="33577" xr:uid="{00000000-0005-0000-0000-000091CD0000}"/>
    <cellStyle name="Note 2 2 5 2" xfId="33578" xr:uid="{00000000-0005-0000-0000-000092CD0000}"/>
    <cellStyle name="Note 2 2 5 2 2" xfId="33579" xr:uid="{00000000-0005-0000-0000-000093CD0000}"/>
    <cellStyle name="Note 2 2 5 3" xfId="33580" xr:uid="{00000000-0005-0000-0000-000094CD0000}"/>
    <cellStyle name="Note 2 2 6" xfId="33581" xr:uid="{00000000-0005-0000-0000-000095CD0000}"/>
    <cellStyle name="Note 2 2 6 2" xfId="33582" xr:uid="{00000000-0005-0000-0000-000096CD0000}"/>
    <cellStyle name="Note 2 2 6 2 2" xfId="33583" xr:uid="{00000000-0005-0000-0000-000097CD0000}"/>
    <cellStyle name="Note 2 2 6 3" xfId="33584" xr:uid="{00000000-0005-0000-0000-000098CD0000}"/>
    <cellStyle name="Note 2 2 7" xfId="33585" xr:uid="{00000000-0005-0000-0000-000099CD0000}"/>
    <cellStyle name="Note 2 2 7 2" xfId="33586" xr:uid="{00000000-0005-0000-0000-00009ACD0000}"/>
    <cellStyle name="Note 2 2 7 2 2" xfId="33587" xr:uid="{00000000-0005-0000-0000-00009BCD0000}"/>
    <cellStyle name="Note 2 2 7 3" xfId="33588" xr:uid="{00000000-0005-0000-0000-00009CCD0000}"/>
    <cellStyle name="Note 2 2 8" xfId="33589" xr:uid="{00000000-0005-0000-0000-00009DCD0000}"/>
    <cellStyle name="Note 2 2 8 2" xfId="33590" xr:uid="{00000000-0005-0000-0000-00009ECD0000}"/>
    <cellStyle name="Note 2 2 9" xfId="33591" xr:uid="{00000000-0005-0000-0000-00009FCD0000}"/>
    <cellStyle name="Note 2 3" xfId="33592" xr:uid="{00000000-0005-0000-0000-0000A0CD0000}"/>
    <cellStyle name="Note 2 3 2" xfId="33593" xr:uid="{00000000-0005-0000-0000-0000A1CD0000}"/>
    <cellStyle name="Note 2 3 2 2" xfId="33594" xr:uid="{00000000-0005-0000-0000-0000A2CD0000}"/>
    <cellStyle name="Note 2 3 2 2 2" xfId="33595" xr:uid="{00000000-0005-0000-0000-0000A3CD0000}"/>
    <cellStyle name="Note 2 3 2 3" xfId="33596" xr:uid="{00000000-0005-0000-0000-0000A4CD0000}"/>
    <cellStyle name="Note 2 3 3" xfId="33597" xr:uid="{00000000-0005-0000-0000-0000A5CD0000}"/>
    <cellStyle name="Note 2 3 3 2" xfId="33598" xr:uid="{00000000-0005-0000-0000-0000A6CD0000}"/>
    <cellStyle name="Note 2 3 3 2 2" xfId="33599" xr:uid="{00000000-0005-0000-0000-0000A7CD0000}"/>
    <cellStyle name="Note 2 3 3 3" xfId="33600" xr:uid="{00000000-0005-0000-0000-0000A8CD0000}"/>
    <cellStyle name="Note 2 3 4" xfId="33601" xr:uid="{00000000-0005-0000-0000-0000A9CD0000}"/>
    <cellStyle name="Note 2 3 4 2" xfId="33602" xr:uid="{00000000-0005-0000-0000-0000AACD0000}"/>
    <cellStyle name="Note 2 3 4 2 2" xfId="33603" xr:uid="{00000000-0005-0000-0000-0000ABCD0000}"/>
    <cellStyle name="Note 2 3 4 3" xfId="33604" xr:uid="{00000000-0005-0000-0000-0000ACCD0000}"/>
    <cellStyle name="Note 2 3 5" xfId="33605" xr:uid="{00000000-0005-0000-0000-0000ADCD0000}"/>
    <cellStyle name="Note 2 3 5 2" xfId="33606" xr:uid="{00000000-0005-0000-0000-0000AECD0000}"/>
    <cellStyle name="Note 2 3 5 2 2" xfId="33607" xr:uid="{00000000-0005-0000-0000-0000AFCD0000}"/>
    <cellStyle name="Note 2 3 5 3" xfId="33608" xr:uid="{00000000-0005-0000-0000-0000B0CD0000}"/>
    <cellStyle name="Note 2 3 6" xfId="33609" xr:uid="{00000000-0005-0000-0000-0000B1CD0000}"/>
    <cellStyle name="Note 2 3 6 2" xfId="33610" xr:uid="{00000000-0005-0000-0000-0000B2CD0000}"/>
    <cellStyle name="Note 2 3 6 2 2" xfId="33611" xr:uid="{00000000-0005-0000-0000-0000B3CD0000}"/>
    <cellStyle name="Note 2 3 6 3" xfId="33612" xr:uid="{00000000-0005-0000-0000-0000B4CD0000}"/>
    <cellStyle name="Note 2 3 7" xfId="33613" xr:uid="{00000000-0005-0000-0000-0000B5CD0000}"/>
    <cellStyle name="Note 2 3 7 2" xfId="33614" xr:uid="{00000000-0005-0000-0000-0000B6CD0000}"/>
    <cellStyle name="Note 2 3 7 2 2" xfId="33615" xr:uid="{00000000-0005-0000-0000-0000B7CD0000}"/>
    <cellStyle name="Note 2 3 7 3" xfId="33616" xr:uid="{00000000-0005-0000-0000-0000B8CD0000}"/>
    <cellStyle name="Note 2 3 8" xfId="33617" xr:uid="{00000000-0005-0000-0000-0000B9CD0000}"/>
    <cellStyle name="Note 2 3 8 2" xfId="33618" xr:uid="{00000000-0005-0000-0000-0000BACD0000}"/>
    <cellStyle name="Note 2 3 9" xfId="33619" xr:uid="{00000000-0005-0000-0000-0000BBCD0000}"/>
    <cellStyle name="Note 2 4" xfId="33620" xr:uid="{00000000-0005-0000-0000-0000BCCD0000}"/>
    <cellStyle name="Note 2 4 2" xfId="33621" xr:uid="{00000000-0005-0000-0000-0000BDCD0000}"/>
    <cellStyle name="Note 2 4 2 2" xfId="33622" xr:uid="{00000000-0005-0000-0000-0000BECD0000}"/>
    <cellStyle name="Note 2 4 3" xfId="33623" xr:uid="{00000000-0005-0000-0000-0000BFCD0000}"/>
    <cellStyle name="Note 2 5" xfId="33624" xr:uid="{00000000-0005-0000-0000-0000C0CD0000}"/>
    <cellStyle name="Note 2 5 2" xfId="33625" xr:uid="{00000000-0005-0000-0000-0000C1CD0000}"/>
    <cellStyle name="Note 2 5 2 2" xfId="33626" xr:uid="{00000000-0005-0000-0000-0000C2CD0000}"/>
    <cellStyle name="Note 2 5 3" xfId="33627" xr:uid="{00000000-0005-0000-0000-0000C3CD0000}"/>
    <cellStyle name="Note 2 6" xfId="33628" xr:uid="{00000000-0005-0000-0000-0000C4CD0000}"/>
    <cellStyle name="Note 2 6 2" xfId="33629" xr:uid="{00000000-0005-0000-0000-0000C5CD0000}"/>
    <cellStyle name="Note 2 6 2 2" xfId="33630" xr:uid="{00000000-0005-0000-0000-0000C6CD0000}"/>
    <cellStyle name="Note 2 6 3" xfId="33631" xr:uid="{00000000-0005-0000-0000-0000C7CD0000}"/>
    <cellStyle name="Note 2 7" xfId="33632" xr:uid="{00000000-0005-0000-0000-0000C8CD0000}"/>
    <cellStyle name="Note 2 7 2" xfId="33633" xr:uid="{00000000-0005-0000-0000-0000C9CD0000}"/>
    <cellStyle name="Note 2 7 2 2" xfId="33634" xr:uid="{00000000-0005-0000-0000-0000CACD0000}"/>
    <cellStyle name="Note 2 7 3" xfId="33635" xr:uid="{00000000-0005-0000-0000-0000CBCD0000}"/>
    <cellStyle name="Note 2 8" xfId="33636" xr:uid="{00000000-0005-0000-0000-0000CCCD0000}"/>
    <cellStyle name="Note 2 8 2" xfId="33637" xr:uid="{00000000-0005-0000-0000-0000CDCD0000}"/>
    <cellStyle name="Note 2 8 2 2" xfId="33638" xr:uid="{00000000-0005-0000-0000-0000CECD0000}"/>
    <cellStyle name="Note 2 8 3" xfId="33639" xr:uid="{00000000-0005-0000-0000-0000CFCD0000}"/>
    <cellStyle name="Note 2 9" xfId="33640" xr:uid="{00000000-0005-0000-0000-0000D0CD0000}"/>
    <cellStyle name="Note 2 9 2" xfId="33641" xr:uid="{00000000-0005-0000-0000-0000D1CD0000}"/>
    <cellStyle name="Note 2 9 2 2" xfId="33642" xr:uid="{00000000-0005-0000-0000-0000D2CD0000}"/>
    <cellStyle name="Note 2 9 3" xfId="33643" xr:uid="{00000000-0005-0000-0000-0000D3CD0000}"/>
    <cellStyle name="Note 3" xfId="81" xr:uid="{00000000-0005-0000-0000-0000D4CD0000}"/>
    <cellStyle name="Note 3 10" xfId="985" xr:uid="{00000000-0005-0000-0000-0000D5CD0000}"/>
    <cellStyle name="Note 3 10 10" xfId="46451" xr:uid="{00000000-0005-0000-0000-0000D6CD0000}"/>
    <cellStyle name="Note 3 10 11" xfId="51930" xr:uid="{00000000-0005-0000-0000-0000D7CD0000}"/>
    <cellStyle name="Note 3 10 2" xfId="2746" xr:uid="{00000000-0005-0000-0000-0000D8CD0000}"/>
    <cellStyle name="Note 3 10 2 2" xfId="8226" xr:uid="{00000000-0005-0000-0000-0000D9CD0000}"/>
    <cellStyle name="Note 3 10 2 3" xfId="13702" xr:uid="{00000000-0005-0000-0000-0000DACD0000}"/>
    <cellStyle name="Note 3 10 2 4" xfId="19178" xr:uid="{00000000-0005-0000-0000-0000DBCD0000}"/>
    <cellStyle name="Note 3 10 2 5" xfId="24654" xr:uid="{00000000-0005-0000-0000-0000DCCD0000}"/>
    <cellStyle name="Note 3 10 2 6" xfId="36450" xr:uid="{00000000-0005-0000-0000-0000DDCD0000}"/>
    <cellStyle name="Note 3 10 2 7" xfId="41927" xr:uid="{00000000-0005-0000-0000-0000DECD0000}"/>
    <cellStyle name="Note 3 10 2 8" xfId="47404" xr:uid="{00000000-0005-0000-0000-0000DFCD0000}"/>
    <cellStyle name="Note 3 10 2 9" xfId="52922" xr:uid="{00000000-0005-0000-0000-0000E0CD0000}"/>
    <cellStyle name="Note 3 10 3" xfId="4518" xr:uid="{00000000-0005-0000-0000-0000E1CD0000}"/>
    <cellStyle name="Note 3 10 3 2" xfId="9998" xr:uid="{00000000-0005-0000-0000-0000E2CD0000}"/>
    <cellStyle name="Note 3 10 3 3" xfId="15474" xr:uid="{00000000-0005-0000-0000-0000E3CD0000}"/>
    <cellStyle name="Note 3 10 3 4" xfId="20950" xr:uid="{00000000-0005-0000-0000-0000E4CD0000}"/>
    <cellStyle name="Note 3 10 3 5" xfId="26426" xr:uid="{00000000-0005-0000-0000-0000E5CD0000}"/>
    <cellStyle name="Note 3 10 3 6" xfId="38222" xr:uid="{00000000-0005-0000-0000-0000E6CD0000}"/>
    <cellStyle name="Note 3 10 3 7" xfId="43699" xr:uid="{00000000-0005-0000-0000-0000E7CD0000}"/>
    <cellStyle name="Note 3 10 3 8" xfId="49176" xr:uid="{00000000-0005-0000-0000-0000E8CD0000}"/>
    <cellStyle name="Note 3 10 3 9" xfId="54694" xr:uid="{00000000-0005-0000-0000-0000E9CD0000}"/>
    <cellStyle name="Note 3 10 4" xfId="7271" xr:uid="{00000000-0005-0000-0000-0000EACD0000}"/>
    <cellStyle name="Note 3 10 5" xfId="12750" xr:uid="{00000000-0005-0000-0000-0000EBCD0000}"/>
    <cellStyle name="Note 3 10 6" xfId="18226" xr:uid="{00000000-0005-0000-0000-0000ECCD0000}"/>
    <cellStyle name="Note 3 10 7" xfId="23702" xr:uid="{00000000-0005-0000-0000-0000EDCD0000}"/>
    <cellStyle name="Note 3 10 8" xfId="35497" xr:uid="{00000000-0005-0000-0000-0000EECD0000}"/>
    <cellStyle name="Note 3 10 9" xfId="40974" xr:uid="{00000000-0005-0000-0000-0000EFCD0000}"/>
    <cellStyle name="Note 3 11" xfId="1011" xr:uid="{00000000-0005-0000-0000-0000F0CD0000}"/>
    <cellStyle name="Note 3 11 10" xfId="46452" xr:uid="{00000000-0005-0000-0000-0000F1CD0000}"/>
    <cellStyle name="Note 3 11 11" xfId="51931" xr:uid="{00000000-0005-0000-0000-0000F2CD0000}"/>
    <cellStyle name="Note 3 11 2" xfId="2772" xr:uid="{00000000-0005-0000-0000-0000F3CD0000}"/>
    <cellStyle name="Note 3 11 2 2" xfId="8252" xr:uid="{00000000-0005-0000-0000-0000F4CD0000}"/>
    <cellStyle name="Note 3 11 2 3" xfId="13728" xr:uid="{00000000-0005-0000-0000-0000F5CD0000}"/>
    <cellStyle name="Note 3 11 2 4" xfId="19204" xr:uid="{00000000-0005-0000-0000-0000F6CD0000}"/>
    <cellStyle name="Note 3 11 2 5" xfId="24680" xr:uid="{00000000-0005-0000-0000-0000F7CD0000}"/>
    <cellStyle name="Note 3 11 2 6" xfId="36476" xr:uid="{00000000-0005-0000-0000-0000F8CD0000}"/>
    <cellStyle name="Note 3 11 2 7" xfId="41953" xr:uid="{00000000-0005-0000-0000-0000F9CD0000}"/>
    <cellStyle name="Note 3 11 2 8" xfId="47430" xr:uid="{00000000-0005-0000-0000-0000FACD0000}"/>
    <cellStyle name="Note 3 11 2 9" xfId="52948" xr:uid="{00000000-0005-0000-0000-0000FBCD0000}"/>
    <cellStyle name="Note 3 11 3" xfId="4544" xr:uid="{00000000-0005-0000-0000-0000FCCD0000}"/>
    <cellStyle name="Note 3 11 3 2" xfId="10024" xr:uid="{00000000-0005-0000-0000-0000FDCD0000}"/>
    <cellStyle name="Note 3 11 3 3" xfId="15500" xr:uid="{00000000-0005-0000-0000-0000FECD0000}"/>
    <cellStyle name="Note 3 11 3 4" xfId="20976" xr:uid="{00000000-0005-0000-0000-0000FFCD0000}"/>
    <cellStyle name="Note 3 11 3 5" xfId="26452" xr:uid="{00000000-0005-0000-0000-000000CE0000}"/>
    <cellStyle name="Note 3 11 3 6" xfId="38248" xr:uid="{00000000-0005-0000-0000-000001CE0000}"/>
    <cellStyle name="Note 3 11 3 7" xfId="43725" xr:uid="{00000000-0005-0000-0000-000002CE0000}"/>
    <cellStyle name="Note 3 11 3 8" xfId="49202" xr:uid="{00000000-0005-0000-0000-000003CE0000}"/>
    <cellStyle name="Note 3 11 3 9" xfId="54720" xr:uid="{00000000-0005-0000-0000-000004CE0000}"/>
    <cellStyle name="Note 3 11 4" xfId="7272" xr:uid="{00000000-0005-0000-0000-000005CE0000}"/>
    <cellStyle name="Note 3 11 5" xfId="12751" xr:uid="{00000000-0005-0000-0000-000006CE0000}"/>
    <cellStyle name="Note 3 11 6" xfId="18227" xr:uid="{00000000-0005-0000-0000-000007CE0000}"/>
    <cellStyle name="Note 3 11 7" xfId="23703" xr:uid="{00000000-0005-0000-0000-000008CE0000}"/>
    <cellStyle name="Note 3 11 8" xfId="35498" xr:uid="{00000000-0005-0000-0000-000009CE0000}"/>
    <cellStyle name="Note 3 11 9" xfId="40975" xr:uid="{00000000-0005-0000-0000-00000ACE0000}"/>
    <cellStyle name="Note 3 12" xfId="1028" xr:uid="{00000000-0005-0000-0000-00000BCE0000}"/>
    <cellStyle name="Note 3 12 10" xfId="46453" xr:uid="{00000000-0005-0000-0000-00000CCE0000}"/>
    <cellStyle name="Note 3 12 11" xfId="51932" xr:uid="{00000000-0005-0000-0000-00000DCE0000}"/>
    <cellStyle name="Note 3 12 2" xfId="2789" xr:uid="{00000000-0005-0000-0000-00000ECE0000}"/>
    <cellStyle name="Note 3 12 2 2" xfId="8269" xr:uid="{00000000-0005-0000-0000-00000FCE0000}"/>
    <cellStyle name="Note 3 12 2 3" xfId="13745" xr:uid="{00000000-0005-0000-0000-000010CE0000}"/>
    <cellStyle name="Note 3 12 2 4" xfId="19221" xr:uid="{00000000-0005-0000-0000-000011CE0000}"/>
    <cellStyle name="Note 3 12 2 5" xfId="24697" xr:uid="{00000000-0005-0000-0000-000012CE0000}"/>
    <cellStyle name="Note 3 12 2 6" xfId="36493" xr:uid="{00000000-0005-0000-0000-000013CE0000}"/>
    <cellStyle name="Note 3 12 2 7" xfId="41970" xr:uid="{00000000-0005-0000-0000-000014CE0000}"/>
    <cellStyle name="Note 3 12 2 8" xfId="47447" xr:uid="{00000000-0005-0000-0000-000015CE0000}"/>
    <cellStyle name="Note 3 12 2 9" xfId="52965" xr:uid="{00000000-0005-0000-0000-000016CE0000}"/>
    <cellStyle name="Note 3 12 3" xfId="4561" xr:uid="{00000000-0005-0000-0000-000017CE0000}"/>
    <cellStyle name="Note 3 12 3 2" xfId="10041" xr:uid="{00000000-0005-0000-0000-000018CE0000}"/>
    <cellStyle name="Note 3 12 3 3" xfId="15517" xr:uid="{00000000-0005-0000-0000-000019CE0000}"/>
    <cellStyle name="Note 3 12 3 4" xfId="20993" xr:uid="{00000000-0005-0000-0000-00001ACE0000}"/>
    <cellStyle name="Note 3 12 3 5" xfId="26469" xr:uid="{00000000-0005-0000-0000-00001BCE0000}"/>
    <cellStyle name="Note 3 12 3 6" xfId="38265" xr:uid="{00000000-0005-0000-0000-00001CCE0000}"/>
    <cellStyle name="Note 3 12 3 7" xfId="43742" xr:uid="{00000000-0005-0000-0000-00001DCE0000}"/>
    <cellStyle name="Note 3 12 3 8" xfId="49219" xr:uid="{00000000-0005-0000-0000-00001ECE0000}"/>
    <cellStyle name="Note 3 12 3 9" xfId="54737" xr:uid="{00000000-0005-0000-0000-00001FCE0000}"/>
    <cellStyle name="Note 3 12 4" xfId="7273" xr:uid="{00000000-0005-0000-0000-000020CE0000}"/>
    <cellStyle name="Note 3 12 5" xfId="12752" xr:uid="{00000000-0005-0000-0000-000021CE0000}"/>
    <cellStyle name="Note 3 12 6" xfId="18228" xr:uid="{00000000-0005-0000-0000-000022CE0000}"/>
    <cellStyle name="Note 3 12 7" xfId="23704" xr:uid="{00000000-0005-0000-0000-000023CE0000}"/>
    <cellStyle name="Note 3 12 8" xfId="35499" xr:uid="{00000000-0005-0000-0000-000024CE0000}"/>
    <cellStyle name="Note 3 12 9" xfId="40976" xr:uid="{00000000-0005-0000-0000-000025CE0000}"/>
    <cellStyle name="Note 3 13" xfId="1191" xr:uid="{00000000-0005-0000-0000-000026CE0000}"/>
    <cellStyle name="Note 3 13 10" xfId="46454" xr:uid="{00000000-0005-0000-0000-000027CE0000}"/>
    <cellStyle name="Note 3 13 11" xfId="51933" xr:uid="{00000000-0005-0000-0000-000028CE0000}"/>
    <cellStyle name="Note 3 13 2" xfId="2952" xr:uid="{00000000-0005-0000-0000-000029CE0000}"/>
    <cellStyle name="Note 3 13 2 2" xfId="8432" xr:uid="{00000000-0005-0000-0000-00002ACE0000}"/>
    <cellStyle name="Note 3 13 2 3" xfId="13908" xr:uid="{00000000-0005-0000-0000-00002BCE0000}"/>
    <cellStyle name="Note 3 13 2 4" xfId="19384" xr:uid="{00000000-0005-0000-0000-00002CCE0000}"/>
    <cellStyle name="Note 3 13 2 5" xfId="24860" xr:uid="{00000000-0005-0000-0000-00002DCE0000}"/>
    <cellStyle name="Note 3 13 2 6" xfId="36656" xr:uid="{00000000-0005-0000-0000-00002ECE0000}"/>
    <cellStyle name="Note 3 13 2 7" xfId="42133" xr:uid="{00000000-0005-0000-0000-00002FCE0000}"/>
    <cellStyle name="Note 3 13 2 8" xfId="47610" xr:uid="{00000000-0005-0000-0000-000030CE0000}"/>
    <cellStyle name="Note 3 13 2 9" xfId="53128" xr:uid="{00000000-0005-0000-0000-000031CE0000}"/>
    <cellStyle name="Note 3 13 3" xfId="4724" xr:uid="{00000000-0005-0000-0000-000032CE0000}"/>
    <cellStyle name="Note 3 13 3 2" xfId="10204" xr:uid="{00000000-0005-0000-0000-000033CE0000}"/>
    <cellStyle name="Note 3 13 3 3" xfId="15680" xr:uid="{00000000-0005-0000-0000-000034CE0000}"/>
    <cellStyle name="Note 3 13 3 4" xfId="21156" xr:uid="{00000000-0005-0000-0000-000035CE0000}"/>
    <cellStyle name="Note 3 13 3 5" xfId="26632" xr:uid="{00000000-0005-0000-0000-000036CE0000}"/>
    <cellStyle name="Note 3 13 3 6" xfId="38428" xr:uid="{00000000-0005-0000-0000-000037CE0000}"/>
    <cellStyle name="Note 3 13 3 7" xfId="43905" xr:uid="{00000000-0005-0000-0000-000038CE0000}"/>
    <cellStyle name="Note 3 13 3 8" xfId="49382" xr:uid="{00000000-0005-0000-0000-000039CE0000}"/>
    <cellStyle name="Note 3 13 3 9" xfId="54900" xr:uid="{00000000-0005-0000-0000-00003ACE0000}"/>
    <cellStyle name="Note 3 13 4" xfId="7274" xr:uid="{00000000-0005-0000-0000-00003BCE0000}"/>
    <cellStyle name="Note 3 13 5" xfId="12753" xr:uid="{00000000-0005-0000-0000-00003CCE0000}"/>
    <cellStyle name="Note 3 13 6" xfId="18229" xr:uid="{00000000-0005-0000-0000-00003DCE0000}"/>
    <cellStyle name="Note 3 13 7" xfId="23705" xr:uid="{00000000-0005-0000-0000-00003ECE0000}"/>
    <cellStyle name="Note 3 13 8" xfId="35500" xr:uid="{00000000-0005-0000-0000-00003FCE0000}"/>
    <cellStyle name="Note 3 13 9" xfId="40977" xr:uid="{00000000-0005-0000-0000-000040CE0000}"/>
    <cellStyle name="Note 3 14" xfId="1363" xr:uid="{00000000-0005-0000-0000-000041CE0000}"/>
    <cellStyle name="Note 3 14 10" xfId="46455" xr:uid="{00000000-0005-0000-0000-000042CE0000}"/>
    <cellStyle name="Note 3 14 11" xfId="51934" xr:uid="{00000000-0005-0000-0000-000043CE0000}"/>
    <cellStyle name="Note 3 14 2" xfId="3124" xr:uid="{00000000-0005-0000-0000-000044CE0000}"/>
    <cellStyle name="Note 3 14 2 2" xfId="8604" xr:uid="{00000000-0005-0000-0000-000045CE0000}"/>
    <cellStyle name="Note 3 14 2 3" xfId="14080" xr:uid="{00000000-0005-0000-0000-000046CE0000}"/>
    <cellStyle name="Note 3 14 2 4" xfId="19556" xr:uid="{00000000-0005-0000-0000-000047CE0000}"/>
    <cellStyle name="Note 3 14 2 5" xfId="25032" xr:uid="{00000000-0005-0000-0000-000048CE0000}"/>
    <cellStyle name="Note 3 14 2 6" xfId="36828" xr:uid="{00000000-0005-0000-0000-000049CE0000}"/>
    <cellStyle name="Note 3 14 2 7" xfId="42305" xr:uid="{00000000-0005-0000-0000-00004ACE0000}"/>
    <cellStyle name="Note 3 14 2 8" xfId="47782" xr:uid="{00000000-0005-0000-0000-00004BCE0000}"/>
    <cellStyle name="Note 3 14 2 9" xfId="53300" xr:uid="{00000000-0005-0000-0000-00004CCE0000}"/>
    <cellStyle name="Note 3 14 3" xfId="4896" xr:uid="{00000000-0005-0000-0000-00004DCE0000}"/>
    <cellStyle name="Note 3 14 3 2" xfId="10376" xr:uid="{00000000-0005-0000-0000-00004ECE0000}"/>
    <cellStyle name="Note 3 14 3 3" xfId="15852" xr:uid="{00000000-0005-0000-0000-00004FCE0000}"/>
    <cellStyle name="Note 3 14 3 4" xfId="21328" xr:uid="{00000000-0005-0000-0000-000050CE0000}"/>
    <cellStyle name="Note 3 14 3 5" xfId="26804" xr:uid="{00000000-0005-0000-0000-000051CE0000}"/>
    <cellStyle name="Note 3 14 3 6" xfId="38600" xr:uid="{00000000-0005-0000-0000-000052CE0000}"/>
    <cellStyle name="Note 3 14 3 7" xfId="44077" xr:uid="{00000000-0005-0000-0000-000053CE0000}"/>
    <cellStyle name="Note 3 14 3 8" xfId="49554" xr:uid="{00000000-0005-0000-0000-000054CE0000}"/>
    <cellStyle name="Note 3 14 3 9" xfId="55072" xr:uid="{00000000-0005-0000-0000-000055CE0000}"/>
    <cellStyle name="Note 3 14 4" xfId="7275" xr:uid="{00000000-0005-0000-0000-000056CE0000}"/>
    <cellStyle name="Note 3 14 5" xfId="12754" xr:uid="{00000000-0005-0000-0000-000057CE0000}"/>
    <cellStyle name="Note 3 14 6" xfId="18230" xr:uid="{00000000-0005-0000-0000-000058CE0000}"/>
    <cellStyle name="Note 3 14 7" xfId="23706" xr:uid="{00000000-0005-0000-0000-000059CE0000}"/>
    <cellStyle name="Note 3 14 8" xfId="35501" xr:uid="{00000000-0005-0000-0000-00005ACE0000}"/>
    <cellStyle name="Note 3 14 9" xfId="40978" xr:uid="{00000000-0005-0000-0000-00005BCE0000}"/>
    <cellStyle name="Note 3 15" xfId="1535" xr:uid="{00000000-0005-0000-0000-00005CCE0000}"/>
    <cellStyle name="Note 3 15 10" xfId="46456" xr:uid="{00000000-0005-0000-0000-00005DCE0000}"/>
    <cellStyle name="Note 3 15 11" xfId="51935" xr:uid="{00000000-0005-0000-0000-00005ECE0000}"/>
    <cellStyle name="Note 3 15 2" xfId="3296" xr:uid="{00000000-0005-0000-0000-00005FCE0000}"/>
    <cellStyle name="Note 3 15 2 2" xfId="8776" xr:uid="{00000000-0005-0000-0000-000060CE0000}"/>
    <cellStyle name="Note 3 15 2 3" xfId="14252" xr:uid="{00000000-0005-0000-0000-000061CE0000}"/>
    <cellStyle name="Note 3 15 2 4" xfId="19728" xr:uid="{00000000-0005-0000-0000-000062CE0000}"/>
    <cellStyle name="Note 3 15 2 5" xfId="25204" xr:uid="{00000000-0005-0000-0000-000063CE0000}"/>
    <cellStyle name="Note 3 15 2 6" xfId="37000" xr:uid="{00000000-0005-0000-0000-000064CE0000}"/>
    <cellStyle name="Note 3 15 2 7" xfId="42477" xr:uid="{00000000-0005-0000-0000-000065CE0000}"/>
    <cellStyle name="Note 3 15 2 8" xfId="47954" xr:uid="{00000000-0005-0000-0000-000066CE0000}"/>
    <cellStyle name="Note 3 15 2 9" xfId="53472" xr:uid="{00000000-0005-0000-0000-000067CE0000}"/>
    <cellStyle name="Note 3 15 3" xfId="5068" xr:uid="{00000000-0005-0000-0000-000068CE0000}"/>
    <cellStyle name="Note 3 15 3 2" xfId="10548" xr:uid="{00000000-0005-0000-0000-000069CE0000}"/>
    <cellStyle name="Note 3 15 3 3" xfId="16024" xr:uid="{00000000-0005-0000-0000-00006ACE0000}"/>
    <cellStyle name="Note 3 15 3 4" xfId="21500" xr:uid="{00000000-0005-0000-0000-00006BCE0000}"/>
    <cellStyle name="Note 3 15 3 5" xfId="26976" xr:uid="{00000000-0005-0000-0000-00006CCE0000}"/>
    <cellStyle name="Note 3 15 3 6" xfId="38772" xr:uid="{00000000-0005-0000-0000-00006DCE0000}"/>
    <cellStyle name="Note 3 15 3 7" xfId="44249" xr:uid="{00000000-0005-0000-0000-00006ECE0000}"/>
    <cellStyle name="Note 3 15 3 8" xfId="49726" xr:uid="{00000000-0005-0000-0000-00006FCE0000}"/>
    <cellStyle name="Note 3 15 3 9" xfId="55244" xr:uid="{00000000-0005-0000-0000-000070CE0000}"/>
    <cellStyle name="Note 3 15 4" xfId="7276" xr:uid="{00000000-0005-0000-0000-000071CE0000}"/>
    <cellStyle name="Note 3 15 5" xfId="12755" xr:uid="{00000000-0005-0000-0000-000072CE0000}"/>
    <cellStyle name="Note 3 15 6" xfId="18231" xr:uid="{00000000-0005-0000-0000-000073CE0000}"/>
    <cellStyle name="Note 3 15 7" xfId="23707" xr:uid="{00000000-0005-0000-0000-000074CE0000}"/>
    <cellStyle name="Note 3 15 8" xfId="35502" xr:uid="{00000000-0005-0000-0000-000075CE0000}"/>
    <cellStyle name="Note 3 15 9" xfId="40979" xr:uid="{00000000-0005-0000-0000-000076CE0000}"/>
    <cellStyle name="Note 3 16" xfId="1707" xr:uid="{00000000-0005-0000-0000-000077CE0000}"/>
    <cellStyle name="Note 3 16 10" xfId="46457" xr:uid="{00000000-0005-0000-0000-000078CE0000}"/>
    <cellStyle name="Note 3 16 11" xfId="51936" xr:uid="{00000000-0005-0000-0000-000079CE0000}"/>
    <cellStyle name="Note 3 16 2" xfId="3468" xr:uid="{00000000-0005-0000-0000-00007ACE0000}"/>
    <cellStyle name="Note 3 16 2 2" xfId="8948" xr:uid="{00000000-0005-0000-0000-00007BCE0000}"/>
    <cellStyle name="Note 3 16 2 3" xfId="14424" xr:uid="{00000000-0005-0000-0000-00007CCE0000}"/>
    <cellStyle name="Note 3 16 2 4" xfId="19900" xr:uid="{00000000-0005-0000-0000-00007DCE0000}"/>
    <cellStyle name="Note 3 16 2 5" xfId="25376" xr:uid="{00000000-0005-0000-0000-00007ECE0000}"/>
    <cellStyle name="Note 3 16 2 6" xfId="37172" xr:uid="{00000000-0005-0000-0000-00007FCE0000}"/>
    <cellStyle name="Note 3 16 2 7" xfId="42649" xr:uid="{00000000-0005-0000-0000-000080CE0000}"/>
    <cellStyle name="Note 3 16 2 8" xfId="48126" xr:uid="{00000000-0005-0000-0000-000081CE0000}"/>
    <cellStyle name="Note 3 16 2 9" xfId="53644" xr:uid="{00000000-0005-0000-0000-000082CE0000}"/>
    <cellStyle name="Note 3 16 3" xfId="5240" xr:uid="{00000000-0005-0000-0000-000083CE0000}"/>
    <cellStyle name="Note 3 16 3 2" xfId="10720" xr:uid="{00000000-0005-0000-0000-000084CE0000}"/>
    <cellStyle name="Note 3 16 3 3" xfId="16196" xr:uid="{00000000-0005-0000-0000-000085CE0000}"/>
    <cellStyle name="Note 3 16 3 4" xfId="21672" xr:uid="{00000000-0005-0000-0000-000086CE0000}"/>
    <cellStyle name="Note 3 16 3 5" xfId="27148" xr:uid="{00000000-0005-0000-0000-000087CE0000}"/>
    <cellStyle name="Note 3 16 3 6" xfId="38944" xr:uid="{00000000-0005-0000-0000-000088CE0000}"/>
    <cellStyle name="Note 3 16 3 7" xfId="44421" xr:uid="{00000000-0005-0000-0000-000089CE0000}"/>
    <cellStyle name="Note 3 16 3 8" xfId="49898" xr:uid="{00000000-0005-0000-0000-00008ACE0000}"/>
    <cellStyle name="Note 3 16 3 9" xfId="55416" xr:uid="{00000000-0005-0000-0000-00008BCE0000}"/>
    <cellStyle name="Note 3 16 4" xfId="7277" xr:uid="{00000000-0005-0000-0000-00008CCE0000}"/>
    <cellStyle name="Note 3 16 5" xfId="12756" xr:uid="{00000000-0005-0000-0000-00008DCE0000}"/>
    <cellStyle name="Note 3 16 6" xfId="18232" xr:uid="{00000000-0005-0000-0000-00008ECE0000}"/>
    <cellStyle name="Note 3 16 7" xfId="23708" xr:uid="{00000000-0005-0000-0000-00008FCE0000}"/>
    <cellStyle name="Note 3 16 8" xfId="35503" xr:uid="{00000000-0005-0000-0000-000090CE0000}"/>
    <cellStyle name="Note 3 16 9" xfId="40980" xr:uid="{00000000-0005-0000-0000-000091CE0000}"/>
    <cellStyle name="Note 3 17" xfId="1733" xr:uid="{00000000-0005-0000-0000-000092CE0000}"/>
    <cellStyle name="Note 3 17 10" xfId="46458" xr:uid="{00000000-0005-0000-0000-000093CE0000}"/>
    <cellStyle name="Note 3 17 11" xfId="51937" xr:uid="{00000000-0005-0000-0000-000094CE0000}"/>
    <cellStyle name="Note 3 17 2" xfId="3494" xr:uid="{00000000-0005-0000-0000-000095CE0000}"/>
    <cellStyle name="Note 3 17 2 2" xfId="8974" xr:uid="{00000000-0005-0000-0000-000096CE0000}"/>
    <cellStyle name="Note 3 17 2 3" xfId="14450" xr:uid="{00000000-0005-0000-0000-000097CE0000}"/>
    <cellStyle name="Note 3 17 2 4" xfId="19926" xr:uid="{00000000-0005-0000-0000-000098CE0000}"/>
    <cellStyle name="Note 3 17 2 5" xfId="25402" xr:uid="{00000000-0005-0000-0000-000099CE0000}"/>
    <cellStyle name="Note 3 17 2 6" xfId="37198" xr:uid="{00000000-0005-0000-0000-00009ACE0000}"/>
    <cellStyle name="Note 3 17 2 7" xfId="42675" xr:uid="{00000000-0005-0000-0000-00009BCE0000}"/>
    <cellStyle name="Note 3 17 2 8" xfId="48152" xr:uid="{00000000-0005-0000-0000-00009CCE0000}"/>
    <cellStyle name="Note 3 17 2 9" xfId="53670" xr:uid="{00000000-0005-0000-0000-00009DCE0000}"/>
    <cellStyle name="Note 3 17 3" xfId="5266" xr:uid="{00000000-0005-0000-0000-00009ECE0000}"/>
    <cellStyle name="Note 3 17 3 2" xfId="10746" xr:uid="{00000000-0005-0000-0000-00009FCE0000}"/>
    <cellStyle name="Note 3 17 3 3" xfId="16222" xr:uid="{00000000-0005-0000-0000-0000A0CE0000}"/>
    <cellStyle name="Note 3 17 3 4" xfId="21698" xr:uid="{00000000-0005-0000-0000-0000A1CE0000}"/>
    <cellStyle name="Note 3 17 3 5" xfId="27174" xr:uid="{00000000-0005-0000-0000-0000A2CE0000}"/>
    <cellStyle name="Note 3 17 3 6" xfId="38970" xr:uid="{00000000-0005-0000-0000-0000A3CE0000}"/>
    <cellStyle name="Note 3 17 3 7" xfId="44447" xr:uid="{00000000-0005-0000-0000-0000A4CE0000}"/>
    <cellStyle name="Note 3 17 3 8" xfId="49924" xr:uid="{00000000-0005-0000-0000-0000A5CE0000}"/>
    <cellStyle name="Note 3 17 3 9" xfId="55442" xr:uid="{00000000-0005-0000-0000-0000A6CE0000}"/>
    <cellStyle name="Note 3 17 4" xfId="7278" xr:uid="{00000000-0005-0000-0000-0000A7CE0000}"/>
    <cellStyle name="Note 3 17 5" xfId="12757" xr:uid="{00000000-0005-0000-0000-0000A8CE0000}"/>
    <cellStyle name="Note 3 17 6" xfId="18233" xr:uid="{00000000-0005-0000-0000-0000A9CE0000}"/>
    <cellStyle name="Note 3 17 7" xfId="23709" xr:uid="{00000000-0005-0000-0000-0000AACE0000}"/>
    <cellStyle name="Note 3 17 8" xfId="35504" xr:uid="{00000000-0005-0000-0000-0000ABCE0000}"/>
    <cellStyle name="Note 3 17 9" xfId="40981" xr:uid="{00000000-0005-0000-0000-0000ACCE0000}"/>
    <cellStyle name="Note 3 18" xfId="1804" xr:uid="{00000000-0005-0000-0000-0000ADCE0000}"/>
    <cellStyle name="Note 3 18 10" xfId="46459" xr:uid="{00000000-0005-0000-0000-0000AECE0000}"/>
    <cellStyle name="Note 3 18 11" xfId="51938" xr:uid="{00000000-0005-0000-0000-0000AFCE0000}"/>
    <cellStyle name="Note 3 18 2" xfId="3565" xr:uid="{00000000-0005-0000-0000-0000B0CE0000}"/>
    <cellStyle name="Note 3 18 2 2" xfId="9045" xr:uid="{00000000-0005-0000-0000-0000B1CE0000}"/>
    <cellStyle name="Note 3 18 2 3" xfId="14521" xr:uid="{00000000-0005-0000-0000-0000B2CE0000}"/>
    <cellStyle name="Note 3 18 2 4" xfId="19997" xr:uid="{00000000-0005-0000-0000-0000B3CE0000}"/>
    <cellStyle name="Note 3 18 2 5" xfId="25473" xr:uid="{00000000-0005-0000-0000-0000B4CE0000}"/>
    <cellStyle name="Note 3 18 2 6" xfId="37269" xr:uid="{00000000-0005-0000-0000-0000B5CE0000}"/>
    <cellStyle name="Note 3 18 2 7" xfId="42746" xr:uid="{00000000-0005-0000-0000-0000B6CE0000}"/>
    <cellStyle name="Note 3 18 2 8" xfId="48223" xr:uid="{00000000-0005-0000-0000-0000B7CE0000}"/>
    <cellStyle name="Note 3 18 2 9" xfId="53741" xr:uid="{00000000-0005-0000-0000-0000B8CE0000}"/>
    <cellStyle name="Note 3 18 3" xfId="5337" xr:uid="{00000000-0005-0000-0000-0000B9CE0000}"/>
    <cellStyle name="Note 3 18 3 2" xfId="10817" xr:uid="{00000000-0005-0000-0000-0000BACE0000}"/>
    <cellStyle name="Note 3 18 3 3" xfId="16293" xr:uid="{00000000-0005-0000-0000-0000BBCE0000}"/>
    <cellStyle name="Note 3 18 3 4" xfId="21769" xr:uid="{00000000-0005-0000-0000-0000BCCE0000}"/>
    <cellStyle name="Note 3 18 3 5" xfId="27245" xr:uid="{00000000-0005-0000-0000-0000BDCE0000}"/>
    <cellStyle name="Note 3 18 3 6" xfId="39041" xr:uid="{00000000-0005-0000-0000-0000BECE0000}"/>
    <cellStyle name="Note 3 18 3 7" xfId="44518" xr:uid="{00000000-0005-0000-0000-0000BFCE0000}"/>
    <cellStyle name="Note 3 18 3 8" xfId="49995" xr:uid="{00000000-0005-0000-0000-0000C0CE0000}"/>
    <cellStyle name="Note 3 18 3 9" xfId="55513" xr:uid="{00000000-0005-0000-0000-0000C1CE0000}"/>
    <cellStyle name="Note 3 18 4" xfId="7279" xr:uid="{00000000-0005-0000-0000-0000C2CE0000}"/>
    <cellStyle name="Note 3 18 5" xfId="12758" xr:uid="{00000000-0005-0000-0000-0000C3CE0000}"/>
    <cellStyle name="Note 3 18 6" xfId="18234" xr:uid="{00000000-0005-0000-0000-0000C4CE0000}"/>
    <cellStyle name="Note 3 18 7" xfId="23710" xr:uid="{00000000-0005-0000-0000-0000C5CE0000}"/>
    <cellStyle name="Note 3 18 8" xfId="35505" xr:uid="{00000000-0005-0000-0000-0000C6CE0000}"/>
    <cellStyle name="Note 3 18 9" xfId="40982" xr:uid="{00000000-0005-0000-0000-0000C7CE0000}"/>
    <cellStyle name="Note 3 19" xfId="2069" xr:uid="{00000000-0005-0000-0000-0000C8CE0000}"/>
    <cellStyle name="Note 3 19 10" xfId="52246" xr:uid="{00000000-0005-0000-0000-0000C9CE0000}"/>
    <cellStyle name="Note 3 19 2" xfId="5601" xr:uid="{00000000-0005-0000-0000-0000CACE0000}"/>
    <cellStyle name="Note 3 19 2 2" xfId="11081" xr:uid="{00000000-0005-0000-0000-0000CBCE0000}"/>
    <cellStyle name="Note 3 19 2 3" xfId="16557" xr:uid="{00000000-0005-0000-0000-0000CCCE0000}"/>
    <cellStyle name="Note 3 19 2 4" xfId="22033" xr:uid="{00000000-0005-0000-0000-0000CDCE0000}"/>
    <cellStyle name="Note 3 19 2 5" xfId="27509" xr:uid="{00000000-0005-0000-0000-0000CECE0000}"/>
    <cellStyle name="Note 3 19 2 6" xfId="39305" xr:uid="{00000000-0005-0000-0000-0000CFCE0000}"/>
    <cellStyle name="Note 3 19 2 7" xfId="44782" xr:uid="{00000000-0005-0000-0000-0000D0CE0000}"/>
    <cellStyle name="Note 3 19 2 8" xfId="50259" xr:uid="{00000000-0005-0000-0000-0000D1CE0000}"/>
    <cellStyle name="Note 3 19 2 9" xfId="55777" xr:uid="{00000000-0005-0000-0000-0000D2CE0000}"/>
    <cellStyle name="Note 3 19 3" xfId="7550" xr:uid="{00000000-0005-0000-0000-0000D3CE0000}"/>
    <cellStyle name="Note 3 19 4" xfId="13026" xr:uid="{00000000-0005-0000-0000-0000D4CE0000}"/>
    <cellStyle name="Note 3 19 5" xfId="18502" xr:uid="{00000000-0005-0000-0000-0000D5CE0000}"/>
    <cellStyle name="Note 3 19 6" xfId="23978" xr:uid="{00000000-0005-0000-0000-0000D6CE0000}"/>
    <cellStyle name="Note 3 19 7" xfId="35774" xr:uid="{00000000-0005-0000-0000-0000D7CE0000}"/>
    <cellStyle name="Note 3 19 8" xfId="41251" xr:uid="{00000000-0005-0000-0000-0000D8CE0000}"/>
    <cellStyle name="Note 3 19 9" xfId="46728" xr:uid="{00000000-0005-0000-0000-0000D9CE0000}"/>
    <cellStyle name="Note 3 2" xfId="125" xr:uid="{00000000-0005-0000-0000-0000DACE0000}"/>
    <cellStyle name="Note 3 2 10" xfId="1708" xr:uid="{00000000-0005-0000-0000-0000DBCE0000}"/>
    <cellStyle name="Note 3 2 10 10" xfId="46461" xr:uid="{00000000-0005-0000-0000-0000DCCE0000}"/>
    <cellStyle name="Note 3 2 10 11" xfId="51940" xr:uid="{00000000-0005-0000-0000-0000DDCE0000}"/>
    <cellStyle name="Note 3 2 10 2" xfId="3469" xr:uid="{00000000-0005-0000-0000-0000DECE0000}"/>
    <cellStyle name="Note 3 2 10 2 2" xfId="8949" xr:uid="{00000000-0005-0000-0000-0000DFCE0000}"/>
    <cellStyle name="Note 3 2 10 2 3" xfId="14425" xr:uid="{00000000-0005-0000-0000-0000E0CE0000}"/>
    <cellStyle name="Note 3 2 10 2 4" xfId="19901" xr:uid="{00000000-0005-0000-0000-0000E1CE0000}"/>
    <cellStyle name="Note 3 2 10 2 5" xfId="25377" xr:uid="{00000000-0005-0000-0000-0000E2CE0000}"/>
    <cellStyle name="Note 3 2 10 2 6" xfId="37173" xr:uid="{00000000-0005-0000-0000-0000E3CE0000}"/>
    <cellStyle name="Note 3 2 10 2 7" xfId="42650" xr:uid="{00000000-0005-0000-0000-0000E4CE0000}"/>
    <cellStyle name="Note 3 2 10 2 8" xfId="48127" xr:uid="{00000000-0005-0000-0000-0000E5CE0000}"/>
    <cellStyle name="Note 3 2 10 2 9" xfId="53645" xr:uid="{00000000-0005-0000-0000-0000E6CE0000}"/>
    <cellStyle name="Note 3 2 10 3" xfId="5241" xr:uid="{00000000-0005-0000-0000-0000E7CE0000}"/>
    <cellStyle name="Note 3 2 10 3 2" xfId="10721" xr:uid="{00000000-0005-0000-0000-0000E8CE0000}"/>
    <cellStyle name="Note 3 2 10 3 3" xfId="16197" xr:uid="{00000000-0005-0000-0000-0000E9CE0000}"/>
    <cellStyle name="Note 3 2 10 3 4" xfId="21673" xr:uid="{00000000-0005-0000-0000-0000EACE0000}"/>
    <cellStyle name="Note 3 2 10 3 5" xfId="27149" xr:uid="{00000000-0005-0000-0000-0000EBCE0000}"/>
    <cellStyle name="Note 3 2 10 3 6" xfId="38945" xr:uid="{00000000-0005-0000-0000-0000ECCE0000}"/>
    <cellStyle name="Note 3 2 10 3 7" xfId="44422" xr:uid="{00000000-0005-0000-0000-0000EDCE0000}"/>
    <cellStyle name="Note 3 2 10 3 8" xfId="49899" xr:uid="{00000000-0005-0000-0000-0000EECE0000}"/>
    <cellStyle name="Note 3 2 10 3 9" xfId="55417" xr:uid="{00000000-0005-0000-0000-0000EFCE0000}"/>
    <cellStyle name="Note 3 2 10 4" xfId="7281" xr:uid="{00000000-0005-0000-0000-0000F0CE0000}"/>
    <cellStyle name="Note 3 2 10 5" xfId="12760" xr:uid="{00000000-0005-0000-0000-0000F1CE0000}"/>
    <cellStyle name="Note 3 2 10 6" xfId="18236" xr:uid="{00000000-0005-0000-0000-0000F2CE0000}"/>
    <cellStyle name="Note 3 2 10 7" xfId="23712" xr:uid="{00000000-0005-0000-0000-0000F3CE0000}"/>
    <cellStyle name="Note 3 2 10 8" xfId="35507" xr:uid="{00000000-0005-0000-0000-0000F4CE0000}"/>
    <cellStyle name="Note 3 2 10 9" xfId="40984" xr:uid="{00000000-0005-0000-0000-0000F5CE0000}"/>
    <cellStyle name="Note 3 2 11" xfId="1897" xr:uid="{00000000-0005-0000-0000-0000F6CE0000}"/>
    <cellStyle name="Note 3 2 11 10" xfId="46462" xr:uid="{00000000-0005-0000-0000-0000F7CE0000}"/>
    <cellStyle name="Note 3 2 11 11" xfId="51941" xr:uid="{00000000-0005-0000-0000-0000F8CE0000}"/>
    <cellStyle name="Note 3 2 11 2" xfId="3658" xr:uid="{00000000-0005-0000-0000-0000F9CE0000}"/>
    <cellStyle name="Note 3 2 11 2 2" xfId="9138" xr:uid="{00000000-0005-0000-0000-0000FACE0000}"/>
    <cellStyle name="Note 3 2 11 2 3" xfId="14614" xr:uid="{00000000-0005-0000-0000-0000FBCE0000}"/>
    <cellStyle name="Note 3 2 11 2 4" xfId="20090" xr:uid="{00000000-0005-0000-0000-0000FCCE0000}"/>
    <cellStyle name="Note 3 2 11 2 5" xfId="25566" xr:uid="{00000000-0005-0000-0000-0000FDCE0000}"/>
    <cellStyle name="Note 3 2 11 2 6" xfId="37362" xr:uid="{00000000-0005-0000-0000-0000FECE0000}"/>
    <cellStyle name="Note 3 2 11 2 7" xfId="42839" xr:uid="{00000000-0005-0000-0000-0000FFCE0000}"/>
    <cellStyle name="Note 3 2 11 2 8" xfId="48316" xr:uid="{00000000-0005-0000-0000-000000CF0000}"/>
    <cellStyle name="Note 3 2 11 2 9" xfId="53834" xr:uid="{00000000-0005-0000-0000-000001CF0000}"/>
    <cellStyle name="Note 3 2 11 3" xfId="5430" xr:uid="{00000000-0005-0000-0000-000002CF0000}"/>
    <cellStyle name="Note 3 2 11 3 2" xfId="10910" xr:uid="{00000000-0005-0000-0000-000003CF0000}"/>
    <cellStyle name="Note 3 2 11 3 3" xfId="16386" xr:uid="{00000000-0005-0000-0000-000004CF0000}"/>
    <cellStyle name="Note 3 2 11 3 4" xfId="21862" xr:uid="{00000000-0005-0000-0000-000005CF0000}"/>
    <cellStyle name="Note 3 2 11 3 5" xfId="27338" xr:uid="{00000000-0005-0000-0000-000006CF0000}"/>
    <cellStyle name="Note 3 2 11 3 6" xfId="39134" xr:uid="{00000000-0005-0000-0000-000007CF0000}"/>
    <cellStyle name="Note 3 2 11 3 7" xfId="44611" xr:uid="{00000000-0005-0000-0000-000008CF0000}"/>
    <cellStyle name="Note 3 2 11 3 8" xfId="50088" xr:uid="{00000000-0005-0000-0000-000009CF0000}"/>
    <cellStyle name="Note 3 2 11 3 9" xfId="55606" xr:uid="{00000000-0005-0000-0000-00000ACF0000}"/>
    <cellStyle name="Note 3 2 11 4" xfId="7282" xr:uid="{00000000-0005-0000-0000-00000BCF0000}"/>
    <cellStyle name="Note 3 2 11 5" xfId="12761" xr:uid="{00000000-0005-0000-0000-00000CCF0000}"/>
    <cellStyle name="Note 3 2 11 6" xfId="18237" xr:uid="{00000000-0005-0000-0000-00000DCF0000}"/>
    <cellStyle name="Note 3 2 11 7" xfId="23713" xr:uid="{00000000-0005-0000-0000-00000ECF0000}"/>
    <cellStyle name="Note 3 2 11 8" xfId="35508" xr:uid="{00000000-0005-0000-0000-00000FCF0000}"/>
    <cellStyle name="Note 3 2 11 9" xfId="40985" xr:uid="{00000000-0005-0000-0000-000010CF0000}"/>
    <cellStyle name="Note 3 2 12" xfId="2070" xr:uid="{00000000-0005-0000-0000-000011CF0000}"/>
    <cellStyle name="Note 3 2 12 10" xfId="52247" xr:uid="{00000000-0005-0000-0000-000012CF0000}"/>
    <cellStyle name="Note 3 2 12 2" xfId="5602" xr:uid="{00000000-0005-0000-0000-000013CF0000}"/>
    <cellStyle name="Note 3 2 12 2 2" xfId="11082" xr:uid="{00000000-0005-0000-0000-000014CF0000}"/>
    <cellStyle name="Note 3 2 12 2 3" xfId="16558" xr:uid="{00000000-0005-0000-0000-000015CF0000}"/>
    <cellStyle name="Note 3 2 12 2 4" xfId="22034" xr:uid="{00000000-0005-0000-0000-000016CF0000}"/>
    <cellStyle name="Note 3 2 12 2 5" xfId="27510" xr:uid="{00000000-0005-0000-0000-000017CF0000}"/>
    <cellStyle name="Note 3 2 12 2 6" xfId="39306" xr:uid="{00000000-0005-0000-0000-000018CF0000}"/>
    <cellStyle name="Note 3 2 12 2 7" xfId="44783" xr:uid="{00000000-0005-0000-0000-000019CF0000}"/>
    <cellStyle name="Note 3 2 12 2 8" xfId="50260" xr:uid="{00000000-0005-0000-0000-00001ACF0000}"/>
    <cellStyle name="Note 3 2 12 2 9" xfId="55778" xr:uid="{00000000-0005-0000-0000-00001BCF0000}"/>
    <cellStyle name="Note 3 2 12 3" xfId="7551" xr:uid="{00000000-0005-0000-0000-00001CCF0000}"/>
    <cellStyle name="Note 3 2 12 4" xfId="13027" xr:uid="{00000000-0005-0000-0000-00001DCF0000}"/>
    <cellStyle name="Note 3 2 12 5" xfId="18503" xr:uid="{00000000-0005-0000-0000-00001ECF0000}"/>
    <cellStyle name="Note 3 2 12 6" xfId="23979" xr:uid="{00000000-0005-0000-0000-00001FCF0000}"/>
    <cellStyle name="Note 3 2 12 7" xfId="35775" xr:uid="{00000000-0005-0000-0000-000020CF0000}"/>
    <cellStyle name="Note 3 2 12 8" xfId="41252" xr:uid="{00000000-0005-0000-0000-000021CF0000}"/>
    <cellStyle name="Note 3 2 12 9" xfId="46729" xr:uid="{00000000-0005-0000-0000-000022CF0000}"/>
    <cellStyle name="Note 3 2 13" xfId="3701" xr:uid="{00000000-0005-0000-0000-000023CF0000}"/>
    <cellStyle name="Note 3 2 13 2" xfId="9181" xr:uid="{00000000-0005-0000-0000-000024CF0000}"/>
    <cellStyle name="Note 3 2 13 3" xfId="14657" xr:uid="{00000000-0005-0000-0000-000025CF0000}"/>
    <cellStyle name="Note 3 2 13 4" xfId="20133" xr:uid="{00000000-0005-0000-0000-000026CF0000}"/>
    <cellStyle name="Note 3 2 13 5" xfId="25609" xr:uid="{00000000-0005-0000-0000-000027CF0000}"/>
    <cellStyle name="Note 3 2 13 6" xfId="37405" xr:uid="{00000000-0005-0000-0000-000028CF0000}"/>
    <cellStyle name="Note 3 2 13 7" xfId="42882" xr:uid="{00000000-0005-0000-0000-000029CF0000}"/>
    <cellStyle name="Note 3 2 13 8" xfId="48359" xr:uid="{00000000-0005-0000-0000-00002ACF0000}"/>
    <cellStyle name="Note 3 2 13 9" xfId="53877" xr:uid="{00000000-0005-0000-0000-00002BCF0000}"/>
    <cellStyle name="Note 3 2 14" xfId="7280" xr:uid="{00000000-0005-0000-0000-00002CCF0000}"/>
    <cellStyle name="Note 3 2 15" xfId="12759" xr:uid="{00000000-0005-0000-0000-00002DCF0000}"/>
    <cellStyle name="Note 3 2 16" xfId="18235" xr:uid="{00000000-0005-0000-0000-00002ECF0000}"/>
    <cellStyle name="Note 3 2 17" xfId="23711" xr:uid="{00000000-0005-0000-0000-00002FCF0000}"/>
    <cellStyle name="Note 3 2 18" xfId="33645" xr:uid="{00000000-0005-0000-0000-000030CF0000}"/>
    <cellStyle name="Note 3 2 19" xfId="35506" xr:uid="{00000000-0005-0000-0000-000031CF0000}"/>
    <cellStyle name="Note 3 2 2" xfId="221" xr:uid="{00000000-0005-0000-0000-000032CF0000}"/>
    <cellStyle name="Note 3 2 2 10" xfId="1898" xr:uid="{00000000-0005-0000-0000-000033CF0000}"/>
    <cellStyle name="Note 3 2 2 10 10" xfId="46464" xr:uid="{00000000-0005-0000-0000-000034CF0000}"/>
    <cellStyle name="Note 3 2 2 10 11" xfId="51943" xr:uid="{00000000-0005-0000-0000-000035CF0000}"/>
    <cellStyle name="Note 3 2 2 10 2" xfId="3659" xr:uid="{00000000-0005-0000-0000-000036CF0000}"/>
    <cellStyle name="Note 3 2 2 10 2 2" xfId="9139" xr:uid="{00000000-0005-0000-0000-000037CF0000}"/>
    <cellStyle name="Note 3 2 2 10 2 3" xfId="14615" xr:uid="{00000000-0005-0000-0000-000038CF0000}"/>
    <cellStyle name="Note 3 2 2 10 2 4" xfId="20091" xr:uid="{00000000-0005-0000-0000-000039CF0000}"/>
    <cellStyle name="Note 3 2 2 10 2 5" xfId="25567" xr:uid="{00000000-0005-0000-0000-00003ACF0000}"/>
    <cellStyle name="Note 3 2 2 10 2 6" xfId="37363" xr:uid="{00000000-0005-0000-0000-00003BCF0000}"/>
    <cellStyle name="Note 3 2 2 10 2 7" xfId="42840" xr:uid="{00000000-0005-0000-0000-00003CCF0000}"/>
    <cellStyle name="Note 3 2 2 10 2 8" xfId="48317" xr:uid="{00000000-0005-0000-0000-00003DCF0000}"/>
    <cellStyle name="Note 3 2 2 10 2 9" xfId="53835" xr:uid="{00000000-0005-0000-0000-00003ECF0000}"/>
    <cellStyle name="Note 3 2 2 10 3" xfId="5431" xr:uid="{00000000-0005-0000-0000-00003FCF0000}"/>
    <cellStyle name="Note 3 2 2 10 3 2" xfId="10911" xr:uid="{00000000-0005-0000-0000-000040CF0000}"/>
    <cellStyle name="Note 3 2 2 10 3 3" xfId="16387" xr:uid="{00000000-0005-0000-0000-000041CF0000}"/>
    <cellStyle name="Note 3 2 2 10 3 4" xfId="21863" xr:uid="{00000000-0005-0000-0000-000042CF0000}"/>
    <cellStyle name="Note 3 2 2 10 3 5" xfId="27339" xr:uid="{00000000-0005-0000-0000-000043CF0000}"/>
    <cellStyle name="Note 3 2 2 10 3 6" xfId="39135" xr:uid="{00000000-0005-0000-0000-000044CF0000}"/>
    <cellStyle name="Note 3 2 2 10 3 7" xfId="44612" xr:uid="{00000000-0005-0000-0000-000045CF0000}"/>
    <cellStyle name="Note 3 2 2 10 3 8" xfId="50089" xr:uid="{00000000-0005-0000-0000-000046CF0000}"/>
    <cellStyle name="Note 3 2 2 10 3 9" xfId="55607" xr:uid="{00000000-0005-0000-0000-000047CF0000}"/>
    <cellStyle name="Note 3 2 2 10 4" xfId="7284" xr:uid="{00000000-0005-0000-0000-000048CF0000}"/>
    <cellStyle name="Note 3 2 2 10 5" xfId="12763" xr:uid="{00000000-0005-0000-0000-000049CF0000}"/>
    <cellStyle name="Note 3 2 2 10 6" xfId="18239" xr:uid="{00000000-0005-0000-0000-00004ACF0000}"/>
    <cellStyle name="Note 3 2 2 10 7" xfId="23715" xr:uid="{00000000-0005-0000-0000-00004BCF0000}"/>
    <cellStyle name="Note 3 2 2 10 8" xfId="35510" xr:uid="{00000000-0005-0000-0000-00004CCF0000}"/>
    <cellStyle name="Note 3 2 2 10 9" xfId="40987" xr:uid="{00000000-0005-0000-0000-00004DCF0000}"/>
    <cellStyle name="Note 3 2 2 11" xfId="2071" xr:uid="{00000000-0005-0000-0000-00004ECF0000}"/>
    <cellStyle name="Note 3 2 2 11 10" xfId="52248" xr:uid="{00000000-0005-0000-0000-00004FCF0000}"/>
    <cellStyle name="Note 3 2 2 11 2" xfId="5603" xr:uid="{00000000-0005-0000-0000-000050CF0000}"/>
    <cellStyle name="Note 3 2 2 11 2 2" xfId="11083" xr:uid="{00000000-0005-0000-0000-000051CF0000}"/>
    <cellStyle name="Note 3 2 2 11 2 3" xfId="16559" xr:uid="{00000000-0005-0000-0000-000052CF0000}"/>
    <cellStyle name="Note 3 2 2 11 2 4" xfId="22035" xr:uid="{00000000-0005-0000-0000-000053CF0000}"/>
    <cellStyle name="Note 3 2 2 11 2 5" xfId="27511" xr:uid="{00000000-0005-0000-0000-000054CF0000}"/>
    <cellStyle name="Note 3 2 2 11 2 6" xfId="39307" xr:uid="{00000000-0005-0000-0000-000055CF0000}"/>
    <cellStyle name="Note 3 2 2 11 2 7" xfId="44784" xr:uid="{00000000-0005-0000-0000-000056CF0000}"/>
    <cellStyle name="Note 3 2 2 11 2 8" xfId="50261" xr:uid="{00000000-0005-0000-0000-000057CF0000}"/>
    <cellStyle name="Note 3 2 2 11 2 9" xfId="55779" xr:uid="{00000000-0005-0000-0000-000058CF0000}"/>
    <cellStyle name="Note 3 2 2 11 3" xfId="7552" xr:uid="{00000000-0005-0000-0000-000059CF0000}"/>
    <cellStyle name="Note 3 2 2 11 4" xfId="13028" xr:uid="{00000000-0005-0000-0000-00005ACF0000}"/>
    <cellStyle name="Note 3 2 2 11 5" xfId="18504" xr:uid="{00000000-0005-0000-0000-00005BCF0000}"/>
    <cellStyle name="Note 3 2 2 11 6" xfId="23980" xr:uid="{00000000-0005-0000-0000-00005CCF0000}"/>
    <cellStyle name="Note 3 2 2 11 7" xfId="35776" xr:uid="{00000000-0005-0000-0000-00005DCF0000}"/>
    <cellStyle name="Note 3 2 2 11 8" xfId="41253" xr:uid="{00000000-0005-0000-0000-00005ECF0000}"/>
    <cellStyle name="Note 3 2 2 11 9" xfId="46730" xr:uid="{00000000-0005-0000-0000-00005FCF0000}"/>
    <cellStyle name="Note 3 2 2 12" xfId="3787" xr:uid="{00000000-0005-0000-0000-000060CF0000}"/>
    <cellStyle name="Note 3 2 2 12 2" xfId="9267" xr:uid="{00000000-0005-0000-0000-000061CF0000}"/>
    <cellStyle name="Note 3 2 2 12 3" xfId="14743" xr:uid="{00000000-0005-0000-0000-000062CF0000}"/>
    <cellStyle name="Note 3 2 2 12 4" xfId="20219" xr:uid="{00000000-0005-0000-0000-000063CF0000}"/>
    <cellStyle name="Note 3 2 2 12 5" xfId="25695" xr:uid="{00000000-0005-0000-0000-000064CF0000}"/>
    <cellStyle name="Note 3 2 2 12 6" xfId="37491" xr:uid="{00000000-0005-0000-0000-000065CF0000}"/>
    <cellStyle name="Note 3 2 2 12 7" xfId="42968" xr:uid="{00000000-0005-0000-0000-000066CF0000}"/>
    <cellStyle name="Note 3 2 2 12 8" xfId="48445" xr:uid="{00000000-0005-0000-0000-000067CF0000}"/>
    <cellStyle name="Note 3 2 2 12 9" xfId="53963" xr:uid="{00000000-0005-0000-0000-000068CF0000}"/>
    <cellStyle name="Note 3 2 2 13" xfId="7283" xr:uid="{00000000-0005-0000-0000-000069CF0000}"/>
    <cellStyle name="Note 3 2 2 14" xfId="12762" xr:uid="{00000000-0005-0000-0000-00006ACF0000}"/>
    <cellStyle name="Note 3 2 2 15" xfId="18238" xr:uid="{00000000-0005-0000-0000-00006BCF0000}"/>
    <cellStyle name="Note 3 2 2 16" xfId="23714" xr:uid="{00000000-0005-0000-0000-00006CCF0000}"/>
    <cellStyle name="Note 3 2 2 17" xfId="33646" xr:uid="{00000000-0005-0000-0000-00006DCF0000}"/>
    <cellStyle name="Note 3 2 2 18" xfId="35509" xr:uid="{00000000-0005-0000-0000-00006ECF0000}"/>
    <cellStyle name="Note 3 2 2 19" xfId="40986" xr:uid="{00000000-0005-0000-0000-00006FCF0000}"/>
    <cellStyle name="Note 3 2 2 2" xfId="467" xr:uid="{00000000-0005-0000-0000-000070CF0000}"/>
    <cellStyle name="Note 3 2 2 2 10" xfId="40988" xr:uid="{00000000-0005-0000-0000-000071CF0000}"/>
    <cellStyle name="Note 3 2 2 2 11" xfId="46465" xr:uid="{00000000-0005-0000-0000-000072CF0000}"/>
    <cellStyle name="Note 3 2 2 2 12" xfId="51944" xr:uid="{00000000-0005-0000-0000-000073CF0000}"/>
    <cellStyle name="Note 3 2 2 2 2" xfId="2232" xr:uid="{00000000-0005-0000-0000-000074CF0000}"/>
    <cellStyle name="Note 3 2 2 2 2 2" xfId="7712" xr:uid="{00000000-0005-0000-0000-000075CF0000}"/>
    <cellStyle name="Note 3 2 2 2 2 3" xfId="13188" xr:uid="{00000000-0005-0000-0000-000076CF0000}"/>
    <cellStyle name="Note 3 2 2 2 2 4" xfId="18664" xr:uid="{00000000-0005-0000-0000-000077CF0000}"/>
    <cellStyle name="Note 3 2 2 2 2 5" xfId="24140" xr:uid="{00000000-0005-0000-0000-000078CF0000}"/>
    <cellStyle name="Note 3 2 2 2 2 6" xfId="35936" xr:uid="{00000000-0005-0000-0000-000079CF0000}"/>
    <cellStyle name="Note 3 2 2 2 2 7" xfId="41413" xr:uid="{00000000-0005-0000-0000-00007ACF0000}"/>
    <cellStyle name="Note 3 2 2 2 2 8" xfId="46890" xr:uid="{00000000-0005-0000-0000-00007BCF0000}"/>
    <cellStyle name="Note 3 2 2 2 2 9" xfId="52408" xr:uid="{00000000-0005-0000-0000-00007CCF0000}"/>
    <cellStyle name="Note 3 2 2 2 3" xfId="4004" xr:uid="{00000000-0005-0000-0000-00007DCF0000}"/>
    <cellStyle name="Note 3 2 2 2 3 2" xfId="9484" xr:uid="{00000000-0005-0000-0000-00007ECF0000}"/>
    <cellStyle name="Note 3 2 2 2 3 3" xfId="14960" xr:uid="{00000000-0005-0000-0000-00007FCF0000}"/>
    <cellStyle name="Note 3 2 2 2 3 4" xfId="20436" xr:uid="{00000000-0005-0000-0000-000080CF0000}"/>
    <cellStyle name="Note 3 2 2 2 3 5" xfId="25912" xr:uid="{00000000-0005-0000-0000-000081CF0000}"/>
    <cellStyle name="Note 3 2 2 2 3 6" xfId="37708" xr:uid="{00000000-0005-0000-0000-000082CF0000}"/>
    <cellStyle name="Note 3 2 2 2 3 7" xfId="43185" xr:uid="{00000000-0005-0000-0000-000083CF0000}"/>
    <cellStyle name="Note 3 2 2 2 3 8" xfId="48662" xr:uid="{00000000-0005-0000-0000-000084CF0000}"/>
    <cellStyle name="Note 3 2 2 2 3 9" xfId="54180" xr:uid="{00000000-0005-0000-0000-000085CF0000}"/>
    <cellStyle name="Note 3 2 2 2 4" xfId="7285" xr:uid="{00000000-0005-0000-0000-000086CF0000}"/>
    <cellStyle name="Note 3 2 2 2 5" xfId="12764" xr:uid="{00000000-0005-0000-0000-000087CF0000}"/>
    <cellStyle name="Note 3 2 2 2 6" xfId="18240" xr:uid="{00000000-0005-0000-0000-000088CF0000}"/>
    <cellStyle name="Note 3 2 2 2 7" xfId="23716" xr:uid="{00000000-0005-0000-0000-000089CF0000}"/>
    <cellStyle name="Note 3 2 2 2 8" xfId="33647" xr:uid="{00000000-0005-0000-0000-00008ACF0000}"/>
    <cellStyle name="Note 3 2 2 2 9" xfId="35511" xr:uid="{00000000-0005-0000-0000-00008BCF0000}"/>
    <cellStyle name="Note 3 2 2 20" xfId="46463" xr:uid="{00000000-0005-0000-0000-00008CCF0000}"/>
    <cellStyle name="Note 3 2 2 21" xfId="51942" xr:uid="{00000000-0005-0000-0000-00008DCF0000}"/>
    <cellStyle name="Note 3 2 2 3" xfId="643" xr:uid="{00000000-0005-0000-0000-00008ECF0000}"/>
    <cellStyle name="Note 3 2 2 3 10" xfId="46466" xr:uid="{00000000-0005-0000-0000-00008FCF0000}"/>
    <cellStyle name="Note 3 2 2 3 11" xfId="51945" xr:uid="{00000000-0005-0000-0000-000090CF0000}"/>
    <cellStyle name="Note 3 2 2 3 2" xfId="2404" xr:uid="{00000000-0005-0000-0000-000091CF0000}"/>
    <cellStyle name="Note 3 2 2 3 2 2" xfId="7884" xr:uid="{00000000-0005-0000-0000-000092CF0000}"/>
    <cellStyle name="Note 3 2 2 3 2 3" xfId="13360" xr:uid="{00000000-0005-0000-0000-000093CF0000}"/>
    <cellStyle name="Note 3 2 2 3 2 4" xfId="18836" xr:uid="{00000000-0005-0000-0000-000094CF0000}"/>
    <cellStyle name="Note 3 2 2 3 2 5" xfId="24312" xr:uid="{00000000-0005-0000-0000-000095CF0000}"/>
    <cellStyle name="Note 3 2 2 3 2 6" xfId="36108" xr:uid="{00000000-0005-0000-0000-000096CF0000}"/>
    <cellStyle name="Note 3 2 2 3 2 7" xfId="41585" xr:uid="{00000000-0005-0000-0000-000097CF0000}"/>
    <cellStyle name="Note 3 2 2 3 2 8" xfId="47062" xr:uid="{00000000-0005-0000-0000-000098CF0000}"/>
    <cellStyle name="Note 3 2 2 3 2 9" xfId="52580" xr:uid="{00000000-0005-0000-0000-000099CF0000}"/>
    <cellStyle name="Note 3 2 2 3 3" xfId="4176" xr:uid="{00000000-0005-0000-0000-00009ACF0000}"/>
    <cellStyle name="Note 3 2 2 3 3 2" xfId="9656" xr:uid="{00000000-0005-0000-0000-00009BCF0000}"/>
    <cellStyle name="Note 3 2 2 3 3 3" xfId="15132" xr:uid="{00000000-0005-0000-0000-00009CCF0000}"/>
    <cellStyle name="Note 3 2 2 3 3 4" xfId="20608" xr:uid="{00000000-0005-0000-0000-00009DCF0000}"/>
    <cellStyle name="Note 3 2 2 3 3 5" xfId="26084" xr:uid="{00000000-0005-0000-0000-00009ECF0000}"/>
    <cellStyle name="Note 3 2 2 3 3 6" xfId="37880" xr:uid="{00000000-0005-0000-0000-00009FCF0000}"/>
    <cellStyle name="Note 3 2 2 3 3 7" xfId="43357" xr:uid="{00000000-0005-0000-0000-0000A0CF0000}"/>
    <cellStyle name="Note 3 2 2 3 3 8" xfId="48834" xr:uid="{00000000-0005-0000-0000-0000A1CF0000}"/>
    <cellStyle name="Note 3 2 2 3 3 9" xfId="54352" xr:uid="{00000000-0005-0000-0000-0000A2CF0000}"/>
    <cellStyle name="Note 3 2 2 3 4" xfId="7286" xr:uid="{00000000-0005-0000-0000-0000A3CF0000}"/>
    <cellStyle name="Note 3 2 2 3 5" xfId="12765" xr:uid="{00000000-0005-0000-0000-0000A4CF0000}"/>
    <cellStyle name="Note 3 2 2 3 6" xfId="18241" xr:uid="{00000000-0005-0000-0000-0000A5CF0000}"/>
    <cellStyle name="Note 3 2 2 3 7" xfId="23717" xr:uid="{00000000-0005-0000-0000-0000A6CF0000}"/>
    <cellStyle name="Note 3 2 2 3 8" xfId="35512" xr:uid="{00000000-0005-0000-0000-0000A7CF0000}"/>
    <cellStyle name="Note 3 2 2 3 9" xfId="40989" xr:uid="{00000000-0005-0000-0000-0000A8CF0000}"/>
    <cellStyle name="Note 3 2 2 4" xfId="815" xr:uid="{00000000-0005-0000-0000-0000A9CF0000}"/>
    <cellStyle name="Note 3 2 2 4 10" xfId="46467" xr:uid="{00000000-0005-0000-0000-0000AACF0000}"/>
    <cellStyle name="Note 3 2 2 4 11" xfId="51946" xr:uid="{00000000-0005-0000-0000-0000ABCF0000}"/>
    <cellStyle name="Note 3 2 2 4 2" xfId="2576" xr:uid="{00000000-0005-0000-0000-0000ACCF0000}"/>
    <cellStyle name="Note 3 2 2 4 2 2" xfId="8056" xr:uid="{00000000-0005-0000-0000-0000ADCF0000}"/>
    <cellStyle name="Note 3 2 2 4 2 3" xfId="13532" xr:uid="{00000000-0005-0000-0000-0000AECF0000}"/>
    <cellStyle name="Note 3 2 2 4 2 4" xfId="19008" xr:uid="{00000000-0005-0000-0000-0000AFCF0000}"/>
    <cellStyle name="Note 3 2 2 4 2 5" xfId="24484" xr:uid="{00000000-0005-0000-0000-0000B0CF0000}"/>
    <cellStyle name="Note 3 2 2 4 2 6" xfId="36280" xr:uid="{00000000-0005-0000-0000-0000B1CF0000}"/>
    <cellStyle name="Note 3 2 2 4 2 7" xfId="41757" xr:uid="{00000000-0005-0000-0000-0000B2CF0000}"/>
    <cellStyle name="Note 3 2 2 4 2 8" xfId="47234" xr:uid="{00000000-0005-0000-0000-0000B3CF0000}"/>
    <cellStyle name="Note 3 2 2 4 2 9" xfId="52752" xr:uid="{00000000-0005-0000-0000-0000B4CF0000}"/>
    <cellStyle name="Note 3 2 2 4 3" xfId="4348" xr:uid="{00000000-0005-0000-0000-0000B5CF0000}"/>
    <cellStyle name="Note 3 2 2 4 3 2" xfId="9828" xr:uid="{00000000-0005-0000-0000-0000B6CF0000}"/>
    <cellStyle name="Note 3 2 2 4 3 3" xfId="15304" xr:uid="{00000000-0005-0000-0000-0000B7CF0000}"/>
    <cellStyle name="Note 3 2 2 4 3 4" xfId="20780" xr:uid="{00000000-0005-0000-0000-0000B8CF0000}"/>
    <cellStyle name="Note 3 2 2 4 3 5" xfId="26256" xr:uid="{00000000-0005-0000-0000-0000B9CF0000}"/>
    <cellStyle name="Note 3 2 2 4 3 6" xfId="38052" xr:uid="{00000000-0005-0000-0000-0000BACF0000}"/>
    <cellStyle name="Note 3 2 2 4 3 7" xfId="43529" xr:uid="{00000000-0005-0000-0000-0000BBCF0000}"/>
    <cellStyle name="Note 3 2 2 4 3 8" xfId="49006" xr:uid="{00000000-0005-0000-0000-0000BCCF0000}"/>
    <cellStyle name="Note 3 2 2 4 3 9" xfId="54524" xr:uid="{00000000-0005-0000-0000-0000BDCF0000}"/>
    <cellStyle name="Note 3 2 2 4 4" xfId="7287" xr:uid="{00000000-0005-0000-0000-0000BECF0000}"/>
    <cellStyle name="Note 3 2 2 4 5" xfId="12766" xr:uid="{00000000-0005-0000-0000-0000BFCF0000}"/>
    <cellStyle name="Note 3 2 2 4 6" xfId="18242" xr:uid="{00000000-0005-0000-0000-0000C0CF0000}"/>
    <cellStyle name="Note 3 2 2 4 7" xfId="23718" xr:uid="{00000000-0005-0000-0000-0000C1CF0000}"/>
    <cellStyle name="Note 3 2 2 4 8" xfId="35513" xr:uid="{00000000-0005-0000-0000-0000C2CF0000}"/>
    <cellStyle name="Note 3 2 2 4 9" xfId="40990" xr:uid="{00000000-0005-0000-0000-0000C3CF0000}"/>
    <cellStyle name="Note 3 2 2 5" xfId="987" xr:uid="{00000000-0005-0000-0000-0000C4CF0000}"/>
    <cellStyle name="Note 3 2 2 5 10" xfId="46468" xr:uid="{00000000-0005-0000-0000-0000C5CF0000}"/>
    <cellStyle name="Note 3 2 2 5 11" xfId="51947" xr:uid="{00000000-0005-0000-0000-0000C6CF0000}"/>
    <cellStyle name="Note 3 2 2 5 2" xfId="2748" xr:uid="{00000000-0005-0000-0000-0000C7CF0000}"/>
    <cellStyle name="Note 3 2 2 5 2 2" xfId="8228" xr:uid="{00000000-0005-0000-0000-0000C8CF0000}"/>
    <cellStyle name="Note 3 2 2 5 2 3" xfId="13704" xr:uid="{00000000-0005-0000-0000-0000C9CF0000}"/>
    <cellStyle name="Note 3 2 2 5 2 4" xfId="19180" xr:uid="{00000000-0005-0000-0000-0000CACF0000}"/>
    <cellStyle name="Note 3 2 2 5 2 5" xfId="24656" xr:uid="{00000000-0005-0000-0000-0000CBCF0000}"/>
    <cellStyle name="Note 3 2 2 5 2 6" xfId="36452" xr:uid="{00000000-0005-0000-0000-0000CCCF0000}"/>
    <cellStyle name="Note 3 2 2 5 2 7" xfId="41929" xr:uid="{00000000-0005-0000-0000-0000CDCF0000}"/>
    <cellStyle name="Note 3 2 2 5 2 8" xfId="47406" xr:uid="{00000000-0005-0000-0000-0000CECF0000}"/>
    <cellStyle name="Note 3 2 2 5 2 9" xfId="52924" xr:uid="{00000000-0005-0000-0000-0000CFCF0000}"/>
    <cellStyle name="Note 3 2 2 5 3" xfId="4520" xr:uid="{00000000-0005-0000-0000-0000D0CF0000}"/>
    <cellStyle name="Note 3 2 2 5 3 2" xfId="10000" xr:uid="{00000000-0005-0000-0000-0000D1CF0000}"/>
    <cellStyle name="Note 3 2 2 5 3 3" xfId="15476" xr:uid="{00000000-0005-0000-0000-0000D2CF0000}"/>
    <cellStyle name="Note 3 2 2 5 3 4" xfId="20952" xr:uid="{00000000-0005-0000-0000-0000D3CF0000}"/>
    <cellStyle name="Note 3 2 2 5 3 5" xfId="26428" xr:uid="{00000000-0005-0000-0000-0000D4CF0000}"/>
    <cellStyle name="Note 3 2 2 5 3 6" xfId="38224" xr:uid="{00000000-0005-0000-0000-0000D5CF0000}"/>
    <cellStyle name="Note 3 2 2 5 3 7" xfId="43701" xr:uid="{00000000-0005-0000-0000-0000D6CF0000}"/>
    <cellStyle name="Note 3 2 2 5 3 8" xfId="49178" xr:uid="{00000000-0005-0000-0000-0000D7CF0000}"/>
    <cellStyle name="Note 3 2 2 5 3 9" xfId="54696" xr:uid="{00000000-0005-0000-0000-0000D8CF0000}"/>
    <cellStyle name="Note 3 2 2 5 4" xfId="7288" xr:uid="{00000000-0005-0000-0000-0000D9CF0000}"/>
    <cellStyle name="Note 3 2 2 5 5" xfId="12767" xr:uid="{00000000-0005-0000-0000-0000DACF0000}"/>
    <cellStyle name="Note 3 2 2 5 6" xfId="18243" xr:uid="{00000000-0005-0000-0000-0000DBCF0000}"/>
    <cellStyle name="Note 3 2 2 5 7" xfId="23719" xr:uid="{00000000-0005-0000-0000-0000DCCF0000}"/>
    <cellStyle name="Note 3 2 2 5 8" xfId="35514" xr:uid="{00000000-0005-0000-0000-0000DDCF0000}"/>
    <cellStyle name="Note 3 2 2 5 9" xfId="40991" xr:uid="{00000000-0005-0000-0000-0000DECF0000}"/>
    <cellStyle name="Note 3 2 2 6" xfId="1193" xr:uid="{00000000-0005-0000-0000-0000DFCF0000}"/>
    <cellStyle name="Note 3 2 2 6 10" xfId="46469" xr:uid="{00000000-0005-0000-0000-0000E0CF0000}"/>
    <cellStyle name="Note 3 2 2 6 11" xfId="51948" xr:uid="{00000000-0005-0000-0000-0000E1CF0000}"/>
    <cellStyle name="Note 3 2 2 6 2" xfId="2954" xr:uid="{00000000-0005-0000-0000-0000E2CF0000}"/>
    <cellStyle name="Note 3 2 2 6 2 2" xfId="8434" xr:uid="{00000000-0005-0000-0000-0000E3CF0000}"/>
    <cellStyle name="Note 3 2 2 6 2 3" xfId="13910" xr:uid="{00000000-0005-0000-0000-0000E4CF0000}"/>
    <cellStyle name="Note 3 2 2 6 2 4" xfId="19386" xr:uid="{00000000-0005-0000-0000-0000E5CF0000}"/>
    <cellStyle name="Note 3 2 2 6 2 5" xfId="24862" xr:uid="{00000000-0005-0000-0000-0000E6CF0000}"/>
    <cellStyle name="Note 3 2 2 6 2 6" xfId="36658" xr:uid="{00000000-0005-0000-0000-0000E7CF0000}"/>
    <cellStyle name="Note 3 2 2 6 2 7" xfId="42135" xr:uid="{00000000-0005-0000-0000-0000E8CF0000}"/>
    <cellStyle name="Note 3 2 2 6 2 8" xfId="47612" xr:uid="{00000000-0005-0000-0000-0000E9CF0000}"/>
    <cellStyle name="Note 3 2 2 6 2 9" xfId="53130" xr:uid="{00000000-0005-0000-0000-0000EACF0000}"/>
    <cellStyle name="Note 3 2 2 6 3" xfId="4726" xr:uid="{00000000-0005-0000-0000-0000EBCF0000}"/>
    <cellStyle name="Note 3 2 2 6 3 2" xfId="10206" xr:uid="{00000000-0005-0000-0000-0000ECCF0000}"/>
    <cellStyle name="Note 3 2 2 6 3 3" xfId="15682" xr:uid="{00000000-0005-0000-0000-0000EDCF0000}"/>
    <cellStyle name="Note 3 2 2 6 3 4" xfId="21158" xr:uid="{00000000-0005-0000-0000-0000EECF0000}"/>
    <cellStyle name="Note 3 2 2 6 3 5" xfId="26634" xr:uid="{00000000-0005-0000-0000-0000EFCF0000}"/>
    <cellStyle name="Note 3 2 2 6 3 6" xfId="38430" xr:uid="{00000000-0005-0000-0000-0000F0CF0000}"/>
    <cellStyle name="Note 3 2 2 6 3 7" xfId="43907" xr:uid="{00000000-0005-0000-0000-0000F1CF0000}"/>
    <cellStyle name="Note 3 2 2 6 3 8" xfId="49384" xr:uid="{00000000-0005-0000-0000-0000F2CF0000}"/>
    <cellStyle name="Note 3 2 2 6 3 9" xfId="54902" xr:uid="{00000000-0005-0000-0000-0000F3CF0000}"/>
    <cellStyle name="Note 3 2 2 6 4" xfId="7289" xr:uid="{00000000-0005-0000-0000-0000F4CF0000}"/>
    <cellStyle name="Note 3 2 2 6 5" xfId="12768" xr:uid="{00000000-0005-0000-0000-0000F5CF0000}"/>
    <cellStyle name="Note 3 2 2 6 6" xfId="18244" xr:uid="{00000000-0005-0000-0000-0000F6CF0000}"/>
    <cellStyle name="Note 3 2 2 6 7" xfId="23720" xr:uid="{00000000-0005-0000-0000-0000F7CF0000}"/>
    <cellStyle name="Note 3 2 2 6 8" xfId="35515" xr:uid="{00000000-0005-0000-0000-0000F8CF0000}"/>
    <cellStyle name="Note 3 2 2 6 9" xfId="40992" xr:uid="{00000000-0005-0000-0000-0000F9CF0000}"/>
    <cellStyle name="Note 3 2 2 7" xfId="1365" xr:uid="{00000000-0005-0000-0000-0000FACF0000}"/>
    <cellStyle name="Note 3 2 2 7 10" xfId="46470" xr:uid="{00000000-0005-0000-0000-0000FBCF0000}"/>
    <cellStyle name="Note 3 2 2 7 11" xfId="51949" xr:uid="{00000000-0005-0000-0000-0000FCCF0000}"/>
    <cellStyle name="Note 3 2 2 7 2" xfId="3126" xr:uid="{00000000-0005-0000-0000-0000FDCF0000}"/>
    <cellStyle name="Note 3 2 2 7 2 2" xfId="8606" xr:uid="{00000000-0005-0000-0000-0000FECF0000}"/>
    <cellStyle name="Note 3 2 2 7 2 3" xfId="14082" xr:uid="{00000000-0005-0000-0000-0000FFCF0000}"/>
    <cellStyle name="Note 3 2 2 7 2 4" xfId="19558" xr:uid="{00000000-0005-0000-0000-000000D00000}"/>
    <cellStyle name="Note 3 2 2 7 2 5" xfId="25034" xr:uid="{00000000-0005-0000-0000-000001D00000}"/>
    <cellStyle name="Note 3 2 2 7 2 6" xfId="36830" xr:uid="{00000000-0005-0000-0000-000002D00000}"/>
    <cellStyle name="Note 3 2 2 7 2 7" xfId="42307" xr:uid="{00000000-0005-0000-0000-000003D00000}"/>
    <cellStyle name="Note 3 2 2 7 2 8" xfId="47784" xr:uid="{00000000-0005-0000-0000-000004D00000}"/>
    <cellStyle name="Note 3 2 2 7 2 9" xfId="53302" xr:uid="{00000000-0005-0000-0000-000005D00000}"/>
    <cellStyle name="Note 3 2 2 7 3" xfId="4898" xr:uid="{00000000-0005-0000-0000-000006D00000}"/>
    <cellStyle name="Note 3 2 2 7 3 2" xfId="10378" xr:uid="{00000000-0005-0000-0000-000007D00000}"/>
    <cellStyle name="Note 3 2 2 7 3 3" xfId="15854" xr:uid="{00000000-0005-0000-0000-000008D00000}"/>
    <cellStyle name="Note 3 2 2 7 3 4" xfId="21330" xr:uid="{00000000-0005-0000-0000-000009D00000}"/>
    <cellStyle name="Note 3 2 2 7 3 5" xfId="26806" xr:uid="{00000000-0005-0000-0000-00000AD00000}"/>
    <cellStyle name="Note 3 2 2 7 3 6" xfId="38602" xr:uid="{00000000-0005-0000-0000-00000BD00000}"/>
    <cellStyle name="Note 3 2 2 7 3 7" xfId="44079" xr:uid="{00000000-0005-0000-0000-00000CD00000}"/>
    <cellStyle name="Note 3 2 2 7 3 8" xfId="49556" xr:uid="{00000000-0005-0000-0000-00000DD00000}"/>
    <cellStyle name="Note 3 2 2 7 3 9" xfId="55074" xr:uid="{00000000-0005-0000-0000-00000ED00000}"/>
    <cellStyle name="Note 3 2 2 7 4" xfId="7290" xr:uid="{00000000-0005-0000-0000-00000FD00000}"/>
    <cellStyle name="Note 3 2 2 7 5" xfId="12769" xr:uid="{00000000-0005-0000-0000-000010D00000}"/>
    <cellStyle name="Note 3 2 2 7 6" xfId="18245" xr:uid="{00000000-0005-0000-0000-000011D00000}"/>
    <cellStyle name="Note 3 2 2 7 7" xfId="23721" xr:uid="{00000000-0005-0000-0000-000012D00000}"/>
    <cellStyle name="Note 3 2 2 7 8" xfId="35516" xr:uid="{00000000-0005-0000-0000-000013D00000}"/>
    <cellStyle name="Note 3 2 2 7 9" xfId="40993" xr:uid="{00000000-0005-0000-0000-000014D00000}"/>
    <cellStyle name="Note 3 2 2 8" xfId="1537" xr:uid="{00000000-0005-0000-0000-000015D00000}"/>
    <cellStyle name="Note 3 2 2 8 10" xfId="46471" xr:uid="{00000000-0005-0000-0000-000016D00000}"/>
    <cellStyle name="Note 3 2 2 8 11" xfId="51950" xr:uid="{00000000-0005-0000-0000-000017D00000}"/>
    <cellStyle name="Note 3 2 2 8 2" xfId="3298" xr:uid="{00000000-0005-0000-0000-000018D00000}"/>
    <cellStyle name="Note 3 2 2 8 2 2" xfId="8778" xr:uid="{00000000-0005-0000-0000-000019D00000}"/>
    <cellStyle name="Note 3 2 2 8 2 3" xfId="14254" xr:uid="{00000000-0005-0000-0000-00001AD00000}"/>
    <cellStyle name="Note 3 2 2 8 2 4" xfId="19730" xr:uid="{00000000-0005-0000-0000-00001BD00000}"/>
    <cellStyle name="Note 3 2 2 8 2 5" xfId="25206" xr:uid="{00000000-0005-0000-0000-00001CD00000}"/>
    <cellStyle name="Note 3 2 2 8 2 6" xfId="37002" xr:uid="{00000000-0005-0000-0000-00001DD00000}"/>
    <cellStyle name="Note 3 2 2 8 2 7" xfId="42479" xr:uid="{00000000-0005-0000-0000-00001ED00000}"/>
    <cellStyle name="Note 3 2 2 8 2 8" xfId="47956" xr:uid="{00000000-0005-0000-0000-00001FD00000}"/>
    <cellStyle name="Note 3 2 2 8 2 9" xfId="53474" xr:uid="{00000000-0005-0000-0000-000020D00000}"/>
    <cellStyle name="Note 3 2 2 8 3" xfId="5070" xr:uid="{00000000-0005-0000-0000-000021D00000}"/>
    <cellStyle name="Note 3 2 2 8 3 2" xfId="10550" xr:uid="{00000000-0005-0000-0000-000022D00000}"/>
    <cellStyle name="Note 3 2 2 8 3 3" xfId="16026" xr:uid="{00000000-0005-0000-0000-000023D00000}"/>
    <cellStyle name="Note 3 2 2 8 3 4" xfId="21502" xr:uid="{00000000-0005-0000-0000-000024D00000}"/>
    <cellStyle name="Note 3 2 2 8 3 5" xfId="26978" xr:uid="{00000000-0005-0000-0000-000025D00000}"/>
    <cellStyle name="Note 3 2 2 8 3 6" xfId="38774" xr:uid="{00000000-0005-0000-0000-000026D00000}"/>
    <cellStyle name="Note 3 2 2 8 3 7" xfId="44251" xr:uid="{00000000-0005-0000-0000-000027D00000}"/>
    <cellStyle name="Note 3 2 2 8 3 8" xfId="49728" xr:uid="{00000000-0005-0000-0000-000028D00000}"/>
    <cellStyle name="Note 3 2 2 8 3 9" xfId="55246" xr:uid="{00000000-0005-0000-0000-000029D00000}"/>
    <cellStyle name="Note 3 2 2 8 4" xfId="7291" xr:uid="{00000000-0005-0000-0000-00002AD00000}"/>
    <cellStyle name="Note 3 2 2 8 5" xfId="12770" xr:uid="{00000000-0005-0000-0000-00002BD00000}"/>
    <cellStyle name="Note 3 2 2 8 6" xfId="18246" xr:uid="{00000000-0005-0000-0000-00002CD00000}"/>
    <cellStyle name="Note 3 2 2 8 7" xfId="23722" xr:uid="{00000000-0005-0000-0000-00002DD00000}"/>
    <cellStyle name="Note 3 2 2 8 8" xfId="35517" xr:uid="{00000000-0005-0000-0000-00002ED00000}"/>
    <cellStyle name="Note 3 2 2 8 9" xfId="40994" xr:uid="{00000000-0005-0000-0000-00002FD00000}"/>
    <cellStyle name="Note 3 2 2 9" xfId="1709" xr:uid="{00000000-0005-0000-0000-000030D00000}"/>
    <cellStyle name="Note 3 2 2 9 10" xfId="46472" xr:uid="{00000000-0005-0000-0000-000031D00000}"/>
    <cellStyle name="Note 3 2 2 9 11" xfId="51951" xr:uid="{00000000-0005-0000-0000-000032D00000}"/>
    <cellStyle name="Note 3 2 2 9 2" xfId="3470" xr:uid="{00000000-0005-0000-0000-000033D00000}"/>
    <cellStyle name="Note 3 2 2 9 2 2" xfId="8950" xr:uid="{00000000-0005-0000-0000-000034D00000}"/>
    <cellStyle name="Note 3 2 2 9 2 3" xfId="14426" xr:uid="{00000000-0005-0000-0000-000035D00000}"/>
    <cellStyle name="Note 3 2 2 9 2 4" xfId="19902" xr:uid="{00000000-0005-0000-0000-000036D00000}"/>
    <cellStyle name="Note 3 2 2 9 2 5" xfId="25378" xr:uid="{00000000-0005-0000-0000-000037D00000}"/>
    <cellStyle name="Note 3 2 2 9 2 6" xfId="37174" xr:uid="{00000000-0005-0000-0000-000038D00000}"/>
    <cellStyle name="Note 3 2 2 9 2 7" xfId="42651" xr:uid="{00000000-0005-0000-0000-000039D00000}"/>
    <cellStyle name="Note 3 2 2 9 2 8" xfId="48128" xr:uid="{00000000-0005-0000-0000-00003AD00000}"/>
    <cellStyle name="Note 3 2 2 9 2 9" xfId="53646" xr:uid="{00000000-0005-0000-0000-00003BD00000}"/>
    <cellStyle name="Note 3 2 2 9 3" xfId="5242" xr:uid="{00000000-0005-0000-0000-00003CD00000}"/>
    <cellStyle name="Note 3 2 2 9 3 2" xfId="10722" xr:uid="{00000000-0005-0000-0000-00003DD00000}"/>
    <cellStyle name="Note 3 2 2 9 3 3" xfId="16198" xr:uid="{00000000-0005-0000-0000-00003ED00000}"/>
    <cellStyle name="Note 3 2 2 9 3 4" xfId="21674" xr:uid="{00000000-0005-0000-0000-00003FD00000}"/>
    <cellStyle name="Note 3 2 2 9 3 5" xfId="27150" xr:uid="{00000000-0005-0000-0000-000040D00000}"/>
    <cellStyle name="Note 3 2 2 9 3 6" xfId="38946" xr:uid="{00000000-0005-0000-0000-000041D00000}"/>
    <cellStyle name="Note 3 2 2 9 3 7" xfId="44423" xr:uid="{00000000-0005-0000-0000-000042D00000}"/>
    <cellStyle name="Note 3 2 2 9 3 8" xfId="49900" xr:uid="{00000000-0005-0000-0000-000043D00000}"/>
    <cellStyle name="Note 3 2 2 9 3 9" xfId="55418" xr:uid="{00000000-0005-0000-0000-000044D00000}"/>
    <cellStyle name="Note 3 2 2 9 4" xfId="7292" xr:uid="{00000000-0005-0000-0000-000045D00000}"/>
    <cellStyle name="Note 3 2 2 9 5" xfId="12771" xr:uid="{00000000-0005-0000-0000-000046D00000}"/>
    <cellStyle name="Note 3 2 2 9 6" xfId="18247" xr:uid="{00000000-0005-0000-0000-000047D00000}"/>
    <cellStyle name="Note 3 2 2 9 7" xfId="23723" xr:uid="{00000000-0005-0000-0000-000048D00000}"/>
    <cellStyle name="Note 3 2 2 9 8" xfId="35518" xr:uid="{00000000-0005-0000-0000-000049D00000}"/>
    <cellStyle name="Note 3 2 2 9 9" xfId="40995" xr:uid="{00000000-0005-0000-0000-00004AD00000}"/>
    <cellStyle name="Note 3 2 20" xfId="40983" xr:uid="{00000000-0005-0000-0000-00004BD00000}"/>
    <cellStyle name="Note 3 2 21" xfId="46460" xr:uid="{00000000-0005-0000-0000-00004CD00000}"/>
    <cellStyle name="Note 3 2 22" xfId="51939" xr:uid="{00000000-0005-0000-0000-00004DD00000}"/>
    <cellStyle name="Note 3 2 3" xfId="466" xr:uid="{00000000-0005-0000-0000-00004ED00000}"/>
    <cellStyle name="Note 3 2 3 10" xfId="40996" xr:uid="{00000000-0005-0000-0000-00004FD00000}"/>
    <cellStyle name="Note 3 2 3 11" xfId="46473" xr:uid="{00000000-0005-0000-0000-000050D00000}"/>
    <cellStyle name="Note 3 2 3 12" xfId="51952" xr:uid="{00000000-0005-0000-0000-000051D00000}"/>
    <cellStyle name="Note 3 2 3 2" xfId="2231" xr:uid="{00000000-0005-0000-0000-000052D00000}"/>
    <cellStyle name="Note 3 2 3 2 2" xfId="7711" xr:uid="{00000000-0005-0000-0000-000053D00000}"/>
    <cellStyle name="Note 3 2 3 2 3" xfId="13187" xr:uid="{00000000-0005-0000-0000-000054D00000}"/>
    <cellStyle name="Note 3 2 3 2 4" xfId="18663" xr:uid="{00000000-0005-0000-0000-000055D00000}"/>
    <cellStyle name="Note 3 2 3 2 5" xfId="24139" xr:uid="{00000000-0005-0000-0000-000056D00000}"/>
    <cellStyle name="Note 3 2 3 2 6" xfId="35935" xr:uid="{00000000-0005-0000-0000-000057D00000}"/>
    <cellStyle name="Note 3 2 3 2 7" xfId="41412" xr:uid="{00000000-0005-0000-0000-000058D00000}"/>
    <cellStyle name="Note 3 2 3 2 8" xfId="46889" xr:uid="{00000000-0005-0000-0000-000059D00000}"/>
    <cellStyle name="Note 3 2 3 2 9" xfId="52407" xr:uid="{00000000-0005-0000-0000-00005AD00000}"/>
    <cellStyle name="Note 3 2 3 3" xfId="4003" xr:uid="{00000000-0005-0000-0000-00005BD00000}"/>
    <cellStyle name="Note 3 2 3 3 2" xfId="9483" xr:uid="{00000000-0005-0000-0000-00005CD00000}"/>
    <cellStyle name="Note 3 2 3 3 3" xfId="14959" xr:uid="{00000000-0005-0000-0000-00005DD00000}"/>
    <cellStyle name="Note 3 2 3 3 4" xfId="20435" xr:uid="{00000000-0005-0000-0000-00005ED00000}"/>
    <cellStyle name="Note 3 2 3 3 5" xfId="25911" xr:uid="{00000000-0005-0000-0000-00005FD00000}"/>
    <cellStyle name="Note 3 2 3 3 6" xfId="37707" xr:uid="{00000000-0005-0000-0000-000060D00000}"/>
    <cellStyle name="Note 3 2 3 3 7" xfId="43184" xr:uid="{00000000-0005-0000-0000-000061D00000}"/>
    <cellStyle name="Note 3 2 3 3 8" xfId="48661" xr:uid="{00000000-0005-0000-0000-000062D00000}"/>
    <cellStyle name="Note 3 2 3 3 9" xfId="54179" xr:uid="{00000000-0005-0000-0000-000063D00000}"/>
    <cellStyle name="Note 3 2 3 4" xfId="7293" xr:uid="{00000000-0005-0000-0000-000064D00000}"/>
    <cellStyle name="Note 3 2 3 5" xfId="12772" xr:uid="{00000000-0005-0000-0000-000065D00000}"/>
    <cellStyle name="Note 3 2 3 6" xfId="18248" xr:uid="{00000000-0005-0000-0000-000066D00000}"/>
    <cellStyle name="Note 3 2 3 7" xfId="23724" xr:uid="{00000000-0005-0000-0000-000067D00000}"/>
    <cellStyle name="Note 3 2 3 8" xfId="33648" xr:uid="{00000000-0005-0000-0000-000068D00000}"/>
    <cellStyle name="Note 3 2 3 9" xfId="35519" xr:uid="{00000000-0005-0000-0000-000069D00000}"/>
    <cellStyle name="Note 3 2 4" xfId="642" xr:uid="{00000000-0005-0000-0000-00006AD00000}"/>
    <cellStyle name="Note 3 2 4 10" xfId="46474" xr:uid="{00000000-0005-0000-0000-00006BD00000}"/>
    <cellStyle name="Note 3 2 4 11" xfId="51953" xr:uid="{00000000-0005-0000-0000-00006CD00000}"/>
    <cellStyle name="Note 3 2 4 2" xfId="2403" xr:uid="{00000000-0005-0000-0000-00006DD00000}"/>
    <cellStyle name="Note 3 2 4 2 2" xfId="7883" xr:uid="{00000000-0005-0000-0000-00006ED00000}"/>
    <cellStyle name="Note 3 2 4 2 3" xfId="13359" xr:uid="{00000000-0005-0000-0000-00006FD00000}"/>
    <cellStyle name="Note 3 2 4 2 4" xfId="18835" xr:uid="{00000000-0005-0000-0000-000070D00000}"/>
    <cellStyle name="Note 3 2 4 2 5" xfId="24311" xr:uid="{00000000-0005-0000-0000-000071D00000}"/>
    <cellStyle name="Note 3 2 4 2 6" xfId="36107" xr:uid="{00000000-0005-0000-0000-000072D00000}"/>
    <cellStyle name="Note 3 2 4 2 7" xfId="41584" xr:uid="{00000000-0005-0000-0000-000073D00000}"/>
    <cellStyle name="Note 3 2 4 2 8" xfId="47061" xr:uid="{00000000-0005-0000-0000-000074D00000}"/>
    <cellStyle name="Note 3 2 4 2 9" xfId="52579" xr:uid="{00000000-0005-0000-0000-000075D00000}"/>
    <cellStyle name="Note 3 2 4 3" xfId="4175" xr:uid="{00000000-0005-0000-0000-000076D00000}"/>
    <cellStyle name="Note 3 2 4 3 2" xfId="9655" xr:uid="{00000000-0005-0000-0000-000077D00000}"/>
    <cellStyle name="Note 3 2 4 3 3" xfId="15131" xr:uid="{00000000-0005-0000-0000-000078D00000}"/>
    <cellStyle name="Note 3 2 4 3 4" xfId="20607" xr:uid="{00000000-0005-0000-0000-000079D00000}"/>
    <cellStyle name="Note 3 2 4 3 5" xfId="26083" xr:uid="{00000000-0005-0000-0000-00007AD00000}"/>
    <cellStyle name="Note 3 2 4 3 6" xfId="37879" xr:uid="{00000000-0005-0000-0000-00007BD00000}"/>
    <cellStyle name="Note 3 2 4 3 7" xfId="43356" xr:uid="{00000000-0005-0000-0000-00007CD00000}"/>
    <cellStyle name="Note 3 2 4 3 8" xfId="48833" xr:uid="{00000000-0005-0000-0000-00007DD00000}"/>
    <cellStyle name="Note 3 2 4 3 9" xfId="54351" xr:uid="{00000000-0005-0000-0000-00007ED00000}"/>
    <cellStyle name="Note 3 2 4 4" xfId="7294" xr:uid="{00000000-0005-0000-0000-00007FD00000}"/>
    <cellStyle name="Note 3 2 4 5" xfId="12773" xr:uid="{00000000-0005-0000-0000-000080D00000}"/>
    <cellStyle name="Note 3 2 4 6" xfId="18249" xr:uid="{00000000-0005-0000-0000-000081D00000}"/>
    <cellStyle name="Note 3 2 4 7" xfId="23725" xr:uid="{00000000-0005-0000-0000-000082D00000}"/>
    <cellStyle name="Note 3 2 4 8" xfId="35520" xr:uid="{00000000-0005-0000-0000-000083D00000}"/>
    <cellStyle name="Note 3 2 4 9" xfId="40997" xr:uid="{00000000-0005-0000-0000-000084D00000}"/>
    <cellStyle name="Note 3 2 5" xfId="814" xr:uid="{00000000-0005-0000-0000-000085D00000}"/>
    <cellStyle name="Note 3 2 5 10" xfId="46475" xr:uid="{00000000-0005-0000-0000-000086D00000}"/>
    <cellStyle name="Note 3 2 5 11" xfId="51954" xr:uid="{00000000-0005-0000-0000-000087D00000}"/>
    <cellStyle name="Note 3 2 5 2" xfId="2575" xr:uid="{00000000-0005-0000-0000-000088D00000}"/>
    <cellStyle name="Note 3 2 5 2 2" xfId="8055" xr:uid="{00000000-0005-0000-0000-000089D00000}"/>
    <cellStyle name="Note 3 2 5 2 3" xfId="13531" xr:uid="{00000000-0005-0000-0000-00008AD00000}"/>
    <cellStyle name="Note 3 2 5 2 4" xfId="19007" xr:uid="{00000000-0005-0000-0000-00008BD00000}"/>
    <cellStyle name="Note 3 2 5 2 5" xfId="24483" xr:uid="{00000000-0005-0000-0000-00008CD00000}"/>
    <cellStyle name="Note 3 2 5 2 6" xfId="36279" xr:uid="{00000000-0005-0000-0000-00008DD00000}"/>
    <cellStyle name="Note 3 2 5 2 7" xfId="41756" xr:uid="{00000000-0005-0000-0000-00008ED00000}"/>
    <cellStyle name="Note 3 2 5 2 8" xfId="47233" xr:uid="{00000000-0005-0000-0000-00008FD00000}"/>
    <cellStyle name="Note 3 2 5 2 9" xfId="52751" xr:uid="{00000000-0005-0000-0000-000090D00000}"/>
    <cellStyle name="Note 3 2 5 3" xfId="4347" xr:uid="{00000000-0005-0000-0000-000091D00000}"/>
    <cellStyle name="Note 3 2 5 3 2" xfId="9827" xr:uid="{00000000-0005-0000-0000-000092D00000}"/>
    <cellStyle name="Note 3 2 5 3 3" xfId="15303" xr:uid="{00000000-0005-0000-0000-000093D00000}"/>
    <cellStyle name="Note 3 2 5 3 4" xfId="20779" xr:uid="{00000000-0005-0000-0000-000094D00000}"/>
    <cellStyle name="Note 3 2 5 3 5" xfId="26255" xr:uid="{00000000-0005-0000-0000-000095D00000}"/>
    <cellStyle name="Note 3 2 5 3 6" xfId="38051" xr:uid="{00000000-0005-0000-0000-000096D00000}"/>
    <cellStyle name="Note 3 2 5 3 7" xfId="43528" xr:uid="{00000000-0005-0000-0000-000097D00000}"/>
    <cellStyle name="Note 3 2 5 3 8" xfId="49005" xr:uid="{00000000-0005-0000-0000-000098D00000}"/>
    <cellStyle name="Note 3 2 5 3 9" xfId="54523" xr:uid="{00000000-0005-0000-0000-000099D00000}"/>
    <cellStyle name="Note 3 2 5 4" xfId="7295" xr:uid="{00000000-0005-0000-0000-00009AD00000}"/>
    <cellStyle name="Note 3 2 5 5" xfId="12774" xr:uid="{00000000-0005-0000-0000-00009BD00000}"/>
    <cellStyle name="Note 3 2 5 6" xfId="18250" xr:uid="{00000000-0005-0000-0000-00009CD00000}"/>
    <cellStyle name="Note 3 2 5 7" xfId="23726" xr:uid="{00000000-0005-0000-0000-00009DD00000}"/>
    <cellStyle name="Note 3 2 5 8" xfId="35521" xr:uid="{00000000-0005-0000-0000-00009ED00000}"/>
    <cellStyle name="Note 3 2 5 9" xfId="40998" xr:uid="{00000000-0005-0000-0000-00009FD00000}"/>
    <cellStyle name="Note 3 2 6" xfId="986" xr:uid="{00000000-0005-0000-0000-0000A0D00000}"/>
    <cellStyle name="Note 3 2 6 10" xfId="46476" xr:uid="{00000000-0005-0000-0000-0000A1D00000}"/>
    <cellStyle name="Note 3 2 6 11" xfId="51955" xr:uid="{00000000-0005-0000-0000-0000A2D00000}"/>
    <cellStyle name="Note 3 2 6 2" xfId="2747" xr:uid="{00000000-0005-0000-0000-0000A3D00000}"/>
    <cellStyle name="Note 3 2 6 2 2" xfId="8227" xr:uid="{00000000-0005-0000-0000-0000A4D00000}"/>
    <cellStyle name="Note 3 2 6 2 3" xfId="13703" xr:uid="{00000000-0005-0000-0000-0000A5D00000}"/>
    <cellStyle name="Note 3 2 6 2 4" xfId="19179" xr:uid="{00000000-0005-0000-0000-0000A6D00000}"/>
    <cellStyle name="Note 3 2 6 2 5" xfId="24655" xr:uid="{00000000-0005-0000-0000-0000A7D00000}"/>
    <cellStyle name="Note 3 2 6 2 6" xfId="36451" xr:uid="{00000000-0005-0000-0000-0000A8D00000}"/>
    <cellStyle name="Note 3 2 6 2 7" xfId="41928" xr:uid="{00000000-0005-0000-0000-0000A9D00000}"/>
    <cellStyle name="Note 3 2 6 2 8" xfId="47405" xr:uid="{00000000-0005-0000-0000-0000AAD00000}"/>
    <cellStyle name="Note 3 2 6 2 9" xfId="52923" xr:uid="{00000000-0005-0000-0000-0000ABD00000}"/>
    <cellStyle name="Note 3 2 6 3" xfId="4519" xr:uid="{00000000-0005-0000-0000-0000ACD00000}"/>
    <cellStyle name="Note 3 2 6 3 2" xfId="9999" xr:uid="{00000000-0005-0000-0000-0000ADD00000}"/>
    <cellStyle name="Note 3 2 6 3 3" xfId="15475" xr:uid="{00000000-0005-0000-0000-0000AED00000}"/>
    <cellStyle name="Note 3 2 6 3 4" xfId="20951" xr:uid="{00000000-0005-0000-0000-0000AFD00000}"/>
    <cellStyle name="Note 3 2 6 3 5" xfId="26427" xr:uid="{00000000-0005-0000-0000-0000B0D00000}"/>
    <cellStyle name="Note 3 2 6 3 6" xfId="38223" xr:uid="{00000000-0005-0000-0000-0000B1D00000}"/>
    <cellStyle name="Note 3 2 6 3 7" xfId="43700" xr:uid="{00000000-0005-0000-0000-0000B2D00000}"/>
    <cellStyle name="Note 3 2 6 3 8" xfId="49177" xr:uid="{00000000-0005-0000-0000-0000B3D00000}"/>
    <cellStyle name="Note 3 2 6 3 9" xfId="54695" xr:uid="{00000000-0005-0000-0000-0000B4D00000}"/>
    <cellStyle name="Note 3 2 6 4" xfId="7296" xr:uid="{00000000-0005-0000-0000-0000B5D00000}"/>
    <cellStyle name="Note 3 2 6 5" xfId="12775" xr:uid="{00000000-0005-0000-0000-0000B6D00000}"/>
    <cellStyle name="Note 3 2 6 6" xfId="18251" xr:uid="{00000000-0005-0000-0000-0000B7D00000}"/>
    <cellStyle name="Note 3 2 6 7" xfId="23727" xr:uid="{00000000-0005-0000-0000-0000B8D00000}"/>
    <cellStyle name="Note 3 2 6 8" xfId="35522" xr:uid="{00000000-0005-0000-0000-0000B9D00000}"/>
    <cellStyle name="Note 3 2 6 9" xfId="40999" xr:uid="{00000000-0005-0000-0000-0000BAD00000}"/>
    <cellStyle name="Note 3 2 7" xfId="1192" xr:uid="{00000000-0005-0000-0000-0000BBD00000}"/>
    <cellStyle name="Note 3 2 7 10" xfId="46477" xr:uid="{00000000-0005-0000-0000-0000BCD00000}"/>
    <cellStyle name="Note 3 2 7 11" xfId="51956" xr:uid="{00000000-0005-0000-0000-0000BDD00000}"/>
    <cellStyle name="Note 3 2 7 2" xfId="2953" xr:uid="{00000000-0005-0000-0000-0000BED00000}"/>
    <cellStyle name="Note 3 2 7 2 2" xfId="8433" xr:uid="{00000000-0005-0000-0000-0000BFD00000}"/>
    <cellStyle name="Note 3 2 7 2 3" xfId="13909" xr:uid="{00000000-0005-0000-0000-0000C0D00000}"/>
    <cellStyle name="Note 3 2 7 2 4" xfId="19385" xr:uid="{00000000-0005-0000-0000-0000C1D00000}"/>
    <cellStyle name="Note 3 2 7 2 5" xfId="24861" xr:uid="{00000000-0005-0000-0000-0000C2D00000}"/>
    <cellStyle name="Note 3 2 7 2 6" xfId="36657" xr:uid="{00000000-0005-0000-0000-0000C3D00000}"/>
    <cellStyle name="Note 3 2 7 2 7" xfId="42134" xr:uid="{00000000-0005-0000-0000-0000C4D00000}"/>
    <cellStyle name="Note 3 2 7 2 8" xfId="47611" xr:uid="{00000000-0005-0000-0000-0000C5D00000}"/>
    <cellStyle name="Note 3 2 7 2 9" xfId="53129" xr:uid="{00000000-0005-0000-0000-0000C6D00000}"/>
    <cellStyle name="Note 3 2 7 3" xfId="4725" xr:uid="{00000000-0005-0000-0000-0000C7D00000}"/>
    <cellStyle name="Note 3 2 7 3 2" xfId="10205" xr:uid="{00000000-0005-0000-0000-0000C8D00000}"/>
    <cellStyle name="Note 3 2 7 3 3" xfId="15681" xr:uid="{00000000-0005-0000-0000-0000C9D00000}"/>
    <cellStyle name="Note 3 2 7 3 4" xfId="21157" xr:uid="{00000000-0005-0000-0000-0000CAD00000}"/>
    <cellStyle name="Note 3 2 7 3 5" xfId="26633" xr:uid="{00000000-0005-0000-0000-0000CBD00000}"/>
    <cellStyle name="Note 3 2 7 3 6" xfId="38429" xr:uid="{00000000-0005-0000-0000-0000CCD00000}"/>
    <cellStyle name="Note 3 2 7 3 7" xfId="43906" xr:uid="{00000000-0005-0000-0000-0000CDD00000}"/>
    <cellStyle name="Note 3 2 7 3 8" xfId="49383" xr:uid="{00000000-0005-0000-0000-0000CED00000}"/>
    <cellStyle name="Note 3 2 7 3 9" xfId="54901" xr:uid="{00000000-0005-0000-0000-0000CFD00000}"/>
    <cellStyle name="Note 3 2 7 4" xfId="7297" xr:uid="{00000000-0005-0000-0000-0000D0D00000}"/>
    <cellStyle name="Note 3 2 7 5" xfId="12776" xr:uid="{00000000-0005-0000-0000-0000D1D00000}"/>
    <cellStyle name="Note 3 2 7 6" xfId="18252" xr:uid="{00000000-0005-0000-0000-0000D2D00000}"/>
    <cellStyle name="Note 3 2 7 7" xfId="23728" xr:uid="{00000000-0005-0000-0000-0000D3D00000}"/>
    <cellStyle name="Note 3 2 7 8" xfId="35523" xr:uid="{00000000-0005-0000-0000-0000D4D00000}"/>
    <cellStyle name="Note 3 2 7 9" xfId="41000" xr:uid="{00000000-0005-0000-0000-0000D5D00000}"/>
    <cellStyle name="Note 3 2 8" xfId="1364" xr:uid="{00000000-0005-0000-0000-0000D6D00000}"/>
    <cellStyle name="Note 3 2 8 10" xfId="46478" xr:uid="{00000000-0005-0000-0000-0000D7D00000}"/>
    <cellStyle name="Note 3 2 8 11" xfId="51957" xr:uid="{00000000-0005-0000-0000-0000D8D00000}"/>
    <cellStyle name="Note 3 2 8 2" xfId="3125" xr:uid="{00000000-0005-0000-0000-0000D9D00000}"/>
    <cellStyle name="Note 3 2 8 2 2" xfId="8605" xr:uid="{00000000-0005-0000-0000-0000DAD00000}"/>
    <cellStyle name="Note 3 2 8 2 3" xfId="14081" xr:uid="{00000000-0005-0000-0000-0000DBD00000}"/>
    <cellStyle name="Note 3 2 8 2 4" xfId="19557" xr:uid="{00000000-0005-0000-0000-0000DCD00000}"/>
    <cellStyle name="Note 3 2 8 2 5" xfId="25033" xr:uid="{00000000-0005-0000-0000-0000DDD00000}"/>
    <cellStyle name="Note 3 2 8 2 6" xfId="36829" xr:uid="{00000000-0005-0000-0000-0000DED00000}"/>
    <cellStyle name="Note 3 2 8 2 7" xfId="42306" xr:uid="{00000000-0005-0000-0000-0000DFD00000}"/>
    <cellStyle name="Note 3 2 8 2 8" xfId="47783" xr:uid="{00000000-0005-0000-0000-0000E0D00000}"/>
    <cellStyle name="Note 3 2 8 2 9" xfId="53301" xr:uid="{00000000-0005-0000-0000-0000E1D00000}"/>
    <cellStyle name="Note 3 2 8 3" xfId="4897" xr:uid="{00000000-0005-0000-0000-0000E2D00000}"/>
    <cellStyle name="Note 3 2 8 3 2" xfId="10377" xr:uid="{00000000-0005-0000-0000-0000E3D00000}"/>
    <cellStyle name="Note 3 2 8 3 3" xfId="15853" xr:uid="{00000000-0005-0000-0000-0000E4D00000}"/>
    <cellStyle name="Note 3 2 8 3 4" xfId="21329" xr:uid="{00000000-0005-0000-0000-0000E5D00000}"/>
    <cellStyle name="Note 3 2 8 3 5" xfId="26805" xr:uid="{00000000-0005-0000-0000-0000E6D00000}"/>
    <cellStyle name="Note 3 2 8 3 6" xfId="38601" xr:uid="{00000000-0005-0000-0000-0000E7D00000}"/>
    <cellStyle name="Note 3 2 8 3 7" xfId="44078" xr:uid="{00000000-0005-0000-0000-0000E8D00000}"/>
    <cellStyle name="Note 3 2 8 3 8" xfId="49555" xr:uid="{00000000-0005-0000-0000-0000E9D00000}"/>
    <cellStyle name="Note 3 2 8 3 9" xfId="55073" xr:uid="{00000000-0005-0000-0000-0000EAD00000}"/>
    <cellStyle name="Note 3 2 8 4" xfId="7298" xr:uid="{00000000-0005-0000-0000-0000EBD00000}"/>
    <cellStyle name="Note 3 2 8 5" xfId="12777" xr:uid="{00000000-0005-0000-0000-0000ECD00000}"/>
    <cellStyle name="Note 3 2 8 6" xfId="18253" xr:uid="{00000000-0005-0000-0000-0000EDD00000}"/>
    <cellStyle name="Note 3 2 8 7" xfId="23729" xr:uid="{00000000-0005-0000-0000-0000EED00000}"/>
    <cellStyle name="Note 3 2 8 8" xfId="35524" xr:uid="{00000000-0005-0000-0000-0000EFD00000}"/>
    <cellStyle name="Note 3 2 8 9" xfId="41001" xr:uid="{00000000-0005-0000-0000-0000F0D00000}"/>
    <cellStyle name="Note 3 2 9" xfId="1536" xr:uid="{00000000-0005-0000-0000-0000F1D00000}"/>
    <cellStyle name="Note 3 2 9 10" xfId="46479" xr:uid="{00000000-0005-0000-0000-0000F2D00000}"/>
    <cellStyle name="Note 3 2 9 11" xfId="51958" xr:uid="{00000000-0005-0000-0000-0000F3D00000}"/>
    <cellStyle name="Note 3 2 9 2" xfId="3297" xr:uid="{00000000-0005-0000-0000-0000F4D00000}"/>
    <cellStyle name="Note 3 2 9 2 2" xfId="8777" xr:uid="{00000000-0005-0000-0000-0000F5D00000}"/>
    <cellStyle name="Note 3 2 9 2 3" xfId="14253" xr:uid="{00000000-0005-0000-0000-0000F6D00000}"/>
    <cellStyle name="Note 3 2 9 2 4" xfId="19729" xr:uid="{00000000-0005-0000-0000-0000F7D00000}"/>
    <cellStyle name="Note 3 2 9 2 5" xfId="25205" xr:uid="{00000000-0005-0000-0000-0000F8D00000}"/>
    <cellStyle name="Note 3 2 9 2 6" xfId="37001" xr:uid="{00000000-0005-0000-0000-0000F9D00000}"/>
    <cellStyle name="Note 3 2 9 2 7" xfId="42478" xr:uid="{00000000-0005-0000-0000-0000FAD00000}"/>
    <cellStyle name="Note 3 2 9 2 8" xfId="47955" xr:uid="{00000000-0005-0000-0000-0000FBD00000}"/>
    <cellStyle name="Note 3 2 9 2 9" xfId="53473" xr:uid="{00000000-0005-0000-0000-0000FCD00000}"/>
    <cellStyle name="Note 3 2 9 3" xfId="5069" xr:uid="{00000000-0005-0000-0000-0000FDD00000}"/>
    <cellStyle name="Note 3 2 9 3 2" xfId="10549" xr:uid="{00000000-0005-0000-0000-0000FED00000}"/>
    <cellStyle name="Note 3 2 9 3 3" xfId="16025" xr:uid="{00000000-0005-0000-0000-0000FFD00000}"/>
    <cellStyle name="Note 3 2 9 3 4" xfId="21501" xr:uid="{00000000-0005-0000-0000-000000D10000}"/>
    <cellStyle name="Note 3 2 9 3 5" xfId="26977" xr:uid="{00000000-0005-0000-0000-000001D10000}"/>
    <cellStyle name="Note 3 2 9 3 6" xfId="38773" xr:uid="{00000000-0005-0000-0000-000002D10000}"/>
    <cellStyle name="Note 3 2 9 3 7" xfId="44250" xr:uid="{00000000-0005-0000-0000-000003D10000}"/>
    <cellStyle name="Note 3 2 9 3 8" xfId="49727" xr:uid="{00000000-0005-0000-0000-000004D10000}"/>
    <cellStyle name="Note 3 2 9 3 9" xfId="55245" xr:uid="{00000000-0005-0000-0000-000005D10000}"/>
    <cellStyle name="Note 3 2 9 4" xfId="7299" xr:uid="{00000000-0005-0000-0000-000006D10000}"/>
    <cellStyle name="Note 3 2 9 5" xfId="12778" xr:uid="{00000000-0005-0000-0000-000007D10000}"/>
    <cellStyle name="Note 3 2 9 6" xfId="18254" xr:uid="{00000000-0005-0000-0000-000008D10000}"/>
    <cellStyle name="Note 3 2 9 7" xfId="23730" xr:uid="{00000000-0005-0000-0000-000009D10000}"/>
    <cellStyle name="Note 3 2 9 8" xfId="35525" xr:uid="{00000000-0005-0000-0000-00000AD10000}"/>
    <cellStyle name="Note 3 2 9 9" xfId="41002" xr:uid="{00000000-0005-0000-0000-00000BD10000}"/>
    <cellStyle name="Note 3 20" xfId="3683" xr:uid="{00000000-0005-0000-0000-00000CD10000}"/>
    <cellStyle name="Note 3 20 2" xfId="9163" xr:uid="{00000000-0005-0000-0000-00000DD10000}"/>
    <cellStyle name="Note 3 20 3" xfId="14639" xr:uid="{00000000-0005-0000-0000-00000ED10000}"/>
    <cellStyle name="Note 3 20 4" xfId="20115" xr:uid="{00000000-0005-0000-0000-00000FD10000}"/>
    <cellStyle name="Note 3 20 5" xfId="25591" xr:uid="{00000000-0005-0000-0000-000010D10000}"/>
    <cellStyle name="Note 3 20 6" xfId="37387" xr:uid="{00000000-0005-0000-0000-000011D10000}"/>
    <cellStyle name="Note 3 20 7" xfId="42864" xr:uid="{00000000-0005-0000-0000-000012D10000}"/>
    <cellStyle name="Note 3 20 8" xfId="48341" xr:uid="{00000000-0005-0000-0000-000013D10000}"/>
    <cellStyle name="Note 3 20 9" xfId="53859" xr:uid="{00000000-0005-0000-0000-000014D10000}"/>
    <cellStyle name="Note 3 21" xfId="7270" xr:uid="{00000000-0005-0000-0000-000015D10000}"/>
    <cellStyle name="Note 3 22" xfId="12749" xr:uid="{00000000-0005-0000-0000-000016D10000}"/>
    <cellStyle name="Note 3 23" xfId="18225" xr:uid="{00000000-0005-0000-0000-000017D10000}"/>
    <cellStyle name="Note 3 24" xfId="23701" xr:uid="{00000000-0005-0000-0000-000018D10000}"/>
    <cellStyle name="Note 3 25" xfId="33644" xr:uid="{00000000-0005-0000-0000-000019D10000}"/>
    <cellStyle name="Note 3 26" xfId="35496" xr:uid="{00000000-0005-0000-0000-00001AD10000}"/>
    <cellStyle name="Note 3 27" xfId="40973" xr:uid="{00000000-0005-0000-0000-00001BD10000}"/>
    <cellStyle name="Note 3 28" xfId="46450" xr:uid="{00000000-0005-0000-0000-00001CD10000}"/>
    <cellStyle name="Note 3 29" xfId="51929" xr:uid="{00000000-0005-0000-0000-00001DD10000}"/>
    <cellStyle name="Note 3 3" xfId="146" xr:uid="{00000000-0005-0000-0000-00001ED10000}"/>
    <cellStyle name="Note 3 3 10" xfId="1710" xr:uid="{00000000-0005-0000-0000-00001FD10000}"/>
    <cellStyle name="Note 3 3 10 10" xfId="46481" xr:uid="{00000000-0005-0000-0000-000020D10000}"/>
    <cellStyle name="Note 3 3 10 11" xfId="51960" xr:uid="{00000000-0005-0000-0000-000021D10000}"/>
    <cellStyle name="Note 3 3 10 2" xfId="3471" xr:uid="{00000000-0005-0000-0000-000022D10000}"/>
    <cellStyle name="Note 3 3 10 2 2" xfId="8951" xr:uid="{00000000-0005-0000-0000-000023D10000}"/>
    <cellStyle name="Note 3 3 10 2 3" xfId="14427" xr:uid="{00000000-0005-0000-0000-000024D10000}"/>
    <cellStyle name="Note 3 3 10 2 4" xfId="19903" xr:uid="{00000000-0005-0000-0000-000025D10000}"/>
    <cellStyle name="Note 3 3 10 2 5" xfId="25379" xr:uid="{00000000-0005-0000-0000-000026D10000}"/>
    <cellStyle name="Note 3 3 10 2 6" xfId="37175" xr:uid="{00000000-0005-0000-0000-000027D10000}"/>
    <cellStyle name="Note 3 3 10 2 7" xfId="42652" xr:uid="{00000000-0005-0000-0000-000028D10000}"/>
    <cellStyle name="Note 3 3 10 2 8" xfId="48129" xr:uid="{00000000-0005-0000-0000-000029D10000}"/>
    <cellStyle name="Note 3 3 10 2 9" xfId="53647" xr:uid="{00000000-0005-0000-0000-00002AD10000}"/>
    <cellStyle name="Note 3 3 10 3" xfId="5243" xr:uid="{00000000-0005-0000-0000-00002BD10000}"/>
    <cellStyle name="Note 3 3 10 3 2" xfId="10723" xr:uid="{00000000-0005-0000-0000-00002CD10000}"/>
    <cellStyle name="Note 3 3 10 3 3" xfId="16199" xr:uid="{00000000-0005-0000-0000-00002DD10000}"/>
    <cellStyle name="Note 3 3 10 3 4" xfId="21675" xr:uid="{00000000-0005-0000-0000-00002ED10000}"/>
    <cellStyle name="Note 3 3 10 3 5" xfId="27151" xr:uid="{00000000-0005-0000-0000-00002FD10000}"/>
    <cellStyle name="Note 3 3 10 3 6" xfId="38947" xr:uid="{00000000-0005-0000-0000-000030D10000}"/>
    <cellStyle name="Note 3 3 10 3 7" xfId="44424" xr:uid="{00000000-0005-0000-0000-000031D10000}"/>
    <cellStyle name="Note 3 3 10 3 8" xfId="49901" xr:uid="{00000000-0005-0000-0000-000032D10000}"/>
    <cellStyle name="Note 3 3 10 3 9" xfId="55419" xr:uid="{00000000-0005-0000-0000-000033D10000}"/>
    <cellStyle name="Note 3 3 10 4" xfId="7301" xr:uid="{00000000-0005-0000-0000-000034D10000}"/>
    <cellStyle name="Note 3 3 10 5" xfId="12780" xr:uid="{00000000-0005-0000-0000-000035D10000}"/>
    <cellStyle name="Note 3 3 10 6" xfId="18256" xr:uid="{00000000-0005-0000-0000-000036D10000}"/>
    <cellStyle name="Note 3 3 10 7" xfId="23732" xr:uid="{00000000-0005-0000-0000-000037D10000}"/>
    <cellStyle name="Note 3 3 10 8" xfId="35527" xr:uid="{00000000-0005-0000-0000-000038D10000}"/>
    <cellStyle name="Note 3 3 10 9" xfId="41004" xr:uid="{00000000-0005-0000-0000-000039D10000}"/>
    <cellStyle name="Note 3 3 11" xfId="1899" xr:uid="{00000000-0005-0000-0000-00003AD10000}"/>
    <cellStyle name="Note 3 3 11 10" xfId="46482" xr:uid="{00000000-0005-0000-0000-00003BD10000}"/>
    <cellStyle name="Note 3 3 11 11" xfId="51961" xr:uid="{00000000-0005-0000-0000-00003CD10000}"/>
    <cellStyle name="Note 3 3 11 2" xfId="3660" xr:uid="{00000000-0005-0000-0000-00003DD10000}"/>
    <cellStyle name="Note 3 3 11 2 2" xfId="9140" xr:uid="{00000000-0005-0000-0000-00003ED10000}"/>
    <cellStyle name="Note 3 3 11 2 3" xfId="14616" xr:uid="{00000000-0005-0000-0000-00003FD10000}"/>
    <cellStyle name="Note 3 3 11 2 4" xfId="20092" xr:uid="{00000000-0005-0000-0000-000040D10000}"/>
    <cellStyle name="Note 3 3 11 2 5" xfId="25568" xr:uid="{00000000-0005-0000-0000-000041D10000}"/>
    <cellStyle name="Note 3 3 11 2 6" xfId="37364" xr:uid="{00000000-0005-0000-0000-000042D10000}"/>
    <cellStyle name="Note 3 3 11 2 7" xfId="42841" xr:uid="{00000000-0005-0000-0000-000043D10000}"/>
    <cellStyle name="Note 3 3 11 2 8" xfId="48318" xr:uid="{00000000-0005-0000-0000-000044D10000}"/>
    <cellStyle name="Note 3 3 11 2 9" xfId="53836" xr:uid="{00000000-0005-0000-0000-000045D10000}"/>
    <cellStyle name="Note 3 3 11 3" xfId="5432" xr:uid="{00000000-0005-0000-0000-000046D10000}"/>
    <cellStyle name="Note 3 3 11 3 2" xfId="10912" xr:uid="{00000000-0005-0000-0000-000047D10000}"/>
    <cellStyle name="Note 3 3 11 3 3" xfId="16388" xr:uid="{00000000-0005-0000-0000-000048D10000}"/>
    <cellStyle name="Note 3 3 11 3 4" xfId="21864" xr:uid="{00000000-0005-0000-0000-000049D10000}"/>
    <cellStyle name="Note 3 3 11 3 5" xfId="27340" xr:uid="{00000000-0005-0000-0000-00004AD10000}"/>
    <cellStyle name="Note 3 3 11 3 6" xfId="39136" xr:uid="{00000000-0005-0000-0000-00004BD10000}"/>
    <cellStyle name="Note 3 3 11 3 7" xfId="44613" xr:uid="{00000000-0005-0000-0000-00004CD10000}"/>
    <cellStyle name="Note 3 3 11 3 8" xfId="50090" xr:uid="{00000000-0005-0000-0000-00004DD10000}"/>
    <cellStyle name="Note 3 3 11 3 9" xfId="55608" xr:uid="{00000000-0005-0000-0000-00004ED10000}"/>
    <cellStyle name="Note 3 3 11 4" xfId="7302" xr:uid="{00000000-0005-0000-0000-00004FD10000}"/>
    <cellStyle name="Note 3 3 11 5" xfId="12781" xr:uid="{00000000-0005-0000-0000-000050D10000}"/>
    <cellStyle name="Note 3 3 11 6" xfId="18257" xr:uid="{00000000-0005-0000-0000-000051D10000}"/>
    <cellStyle name="Note 3 3 11 7" xfId="23733" xr:uid="{00000000-0005-0000-0000-000052D10000}"/>
    <cellStyle name="Note 3 3 11 8" xfId="35528" xr:uid="{00000000-0005-0000-0000-000053D10000}"/>
    <cellStyle name="Note 3 3 11 9" xfId="41005" xr:uid="{00000000-0005-0000-0000-000054D10000}"/>
    <cellStyle name="Note 3 3 12" xfId="2072" xr:uid="{00000000-0005-0000-0000-000055D10000}"/>
    <cellStyle name="Note 3 3 12 10" xfId="52249" xr:uid="{00000000-0005-0000-0000-000056D10000}"/>
    <cellStyle name="Note 3 3 12 2" xfId="5604" xr:uid="{00000000-0005-0000-0000-000057D10000}"/>
    <cellStyle name="Note 3 3 12 2 2" xfId="11084" xr:uid="{00000000-0005-0000-0000-000058D10000}"/>
    <cellStyle name="Note 3 3 12 2 3" xfId="16560" xr:uid="{00000000-0005-0000-0000-000059D10000}"/>
    <cellStyle name="Note 3 3 12 2 4" xfId="22036" xr:uid="{00000000-0005-0000-0000-00005AD10000}"/>
    <cellStyle name="Note 3 3 12 2 5" xfId="27512" xr:uid="{00000000-0005-0000-0000-00005BD10000}"/>
    <cellStyle name="Note 3 3 12 2 6" xfId="39308" xr:uid="{00000000-0005-0000-0000-00005CD10000}"/>
    <cellStyle name="Note 3 3 12 2 7" xfId="44785" xr:uid="{00000000-0005-0000-0000-00005DD10000}"/>
    <cellStyle name="Note 3 3 12 2 8" xfId="50262" xr:uid="{00000000-0005-0000-0000-00005ED10000}"/>
    <cellStyle name="Note 3 3 12 2 9" xfId="55780" xr:uid="{00000000-0005-0000-0000-00005FD10000}"/>
    <cellStyle name="Note 3 3 12 3" xfId="7553" xr:uid="{00000000-0005-0000-0000-000060D10000}"/>
    <cellStyle name="Note 3 3 12 4" xfId="13029" xr:uid="{00000000-0005-0000-0000-000061D10000}"/>
    <cellStyle name="Note 3 3 12 5" xfId="18505" xr:uid="{00000000-0005-0000-0000-000062D10000}"/>
    <cellStyle name="Note 3 3 12 6" xfId="23981" xr:uid="{00000000-0005-0000-0000-000063D10000}"/>
    <cellStyle name="Note 3 3 12 7" xfId="35777" xr:uid="{00000000-0005-0000-0000-000064D10000}"/>
    <cellStyle name="Note 3 3 12 8" xfId="41254" xr:uid="{00000000-0005-0000-0000-000065D10000}"/>
    <cellStyle name="Note 3 3 12 9" xfId="46731" xr:uid="{00000000-0005-0000-0000-000066D10000}"/>
    <cellStyle name="Note 3 3 13" xfId="3718" xr:uid="{00000000-0005-0000-0000-000067D10000}"/>
    <cellStyle name="Note 3 3 13 2" xfId="9198" xr:uid="{00000000-0005-0000-0000-000068D10000}"/>
    <cellStyle name="Note 3 3 13 3" xfId="14674" xr:uid="{00000000-0005-0000-0000-000069D10000}"/>
    <cellStyle name="Note 3 3 13 4" xfId="20150" xr:uid="{00000000-0005-0000-0000-00006AD10000}"/>
    <cellStyle name="Note 3 3 13 5" xfId="25626" xr:uid="{00000000-0005-0000-0000-00006BD10000}"/>
    <cellStyle name="Note 3 3 13 6" xfId="37422" xr:uid="{00000000-0005-0000-0000-00006CD10000}"/>
    <cellStyle name="Note 3 3 13 7" xfId="42899" xr:uid="{00000000-0005-0000-0000-00006DD10000}"/>
    <cellStyle name="Note 3 3 13 8" xfId="48376" xr:uid="{00000000-0005-0000-0000-00006ED10000}"/>
    <cellStyle name="Note 3 3 13 9" xfId="53894" xr:uid="{00000000-0005-0000-0000-00006FD10000}"/>
    <cellStyle name="Note 3 3 14" xfId="7300" xr:uid="{00000000-0005-0000-0000-000070D10000}"/>
    <cellStyle name="Note 3 3 15" xfId="12779" xr:uid="{00000000-0005-0000-0000-000071D10000}"/>
    <cellStyle name="Note 3 3 16" xfId="18255" xr:uid="{00000000-0005-0000-0000-000072D10000}"/>
    <cellStyle name="Note 3 3 17" xfId="23731" xr:uid="{00000000-0005-0000-0000-000073D10000}"/>
    <cellStyle name="Note 3 3 18" xfId="33649" xr:uid="{00000000-0005-0000-0000-000074D10000}"/>
    <cellStyle name="Note 3 3 19" xfId="35526" xr:uid="{00000000-0005-0000-0000-000075D10000}"/>
    <cellStyle name="Note 3 3 2" xfId="238" xr:uid="{00000000-0005-0000-0000-000076D10000}"/>
    <cellStyle name="Note 3 3 2 10" xfId="1900" xr:uid="{00000000-0005-0000-0000-000077D10000}"/>
    <cellStyle name="Note 3 3 2 10 10" xfId="46484" xr:uid="{00000000-0005-0000-0000-000078D10000}"/>
    <cellStyle name="Note 3 3 2 10 11" xfId="51963" xr:uid="{00000000-0005-0000-0000-000079D10000}"/>
    <cellStyle name="Note 3 3 2 10 2" xfId="3661" xr:uid="{00000000-0005-0000-0000-00007AD10000}"/>
    <cellStyle name="Note 3 3 2 10 2 2" xfId="9141" xr:uid="{00000000-0005-0000-0000-00007BD10000}"/>
    <cellStyle name="Note 3 3 2 10 2 3" xfId="14617" xr:uid="{00000000-0005-0000-0000-00007CD10000}"/>
    <cellStyle name="Note 3 3 2 10 2 4" xfId="20093" xr:uid="{00000000-0005-0000-0000-00007DD10000}"/>
    <cellStyle name="Note 3 3 2 10 2 5" xfId="25569" xr:uid="{00000000-0005-0000-0000-00007ED10000}"/>
    <cellStyle name="Note 3 3 2 10 2 6" xfId="37365" xr:uid="{00000000-0005-0000-0000-00007FD10000}"/>
    <cellStyle name="Note 3 3 2 10 2 7" xfId="42842" xr:uid="{00000000-0005-0000-0000-000080D10000}"/>
    <cellStyle name="Note 3 3 2 10 2 8" xfId="48319" xr:uid="{00000000-0005-0000-0000-000081D10000}"/>
    <cellStyle name="Note 3 3 2 10 2 9" xfId="53837" xr:uid="{00000000-0005-0000-0000-000082D10000}"/>
    <cellStyle name="Note 3 3 2 10 3" xfId="5433" xr:uid="{00000000-0005-0000-0000-000083D10000}"/>
    <cellStyle name="Note 3 3 2 10 3 2" xfId="10913" xr:uid="{00000000-0005-0000-0000-000084D10000}"/>
    <cellStyle name="Note 3 3 2 10 3 3" xfId="16389" xr:uid="{00000000-0005-0000-0000-000085D10000}"/>
    <cellStyle name="Note 3 3 2 10 3 4" xfId="21865" xr:uid="{00000000-0005-0000-0000-000086D10000}"/>
    <cellStyle name="Note 3 3 2 10 3 5" xfId="27341" xr:uid="{00000000-0005-0000-0000-000087D10000}"/>
    <cellStyle name="Note 3 3 2 10 3 6" xfId="39137" xr:uid="{00000000-0005-0000-0000-000088D10000}"/>
    <cellStyle name="Note 3 3 2 10 3 7" xfId="44614" xr:uid="{00000000-0005-0000-0000-000089D10000}"/>
    <cellStyle name="Note 3 3 2 10 3 8" xfId="50091" xr:uid="{00000000-0005-0000-0000-00008AD10000}"/>
    <cellStyle name="Note 3 3 2 10 3 9" xfId="55609" xr:uid="{00000000-0005-0000-0000-00008BD10000}"/>
    <cellStyle name="Note 3 3 2 10 4" xfId="7304" xr:uid="{00000000-0005-0000-0000-00008CD10000}"/>
    <cellStyle name="Note 3 3 2 10 5" xfId="12783" xr:uid="{00000000-0005-0000-0000-00008DD10000}"/>
    <cellStyle name="Note 3 3 2 10 6" xfId="18259" xr:uid="{00000000-0005-0000-0000-00008ED10000}"/>
    <cellStyle name="Note 3 3 2 10 7" xfId="23735" xr:uid="{00000000-0005-0000-0000-00008FD10000}"/>
    <cellStyle name="Note 3 3 2 10 8" xfId="35530" xr:uid="{00000000-0005-0000-0000-000090D10000}"/>
    <cellStyle name="Note 3 3 2 10 9" xfId="41007" xr:uid="{00000000-0005-0000-0000-000091D10000}"/>
    <cellStyle name="Note 3 3 2 11" xfId="2073" xr:uid="{00000000-0005-0000-0000-000092D10000}"/>
    <cellStyle name="Note 3 3 2 11 10" xfId="52250" xr:uid="{00000000-0005-0000-0000-000093D10000}"/>
    <cellStyle name="Note 3 3 2 11 2" xfId="5605" xr:uid="{00000000-0005-0000-0000-000094D10000}"/>
    <cellStyle name="Note 3 3 2 11 2 2" xfId="11085" xr:uid="{00000000-0005-0000-0000-000095D10000}"/>
    <cellStyle name="Note 3 3 2 11 2 3" xfId="16561" xr:uid="{00000000-0005-0000-0000-000096D10000}"/>
    <cellStyle name="Note 3 3 2 11 2 4" xfId="22037" xr:uid="{00000000-0005-0000-0000-000097D10000}"/>
    <cellStyle name="Note 3 3 2 11 2 5" xfId="27513" xr:uid="{00000000-0005-0000-0000-000098D10000}"/>
    <cellStyle name="Note 3 3 2 11 2 6" xfId="39309" xr:uid="{00000000-0005-0000-0000-000099D10000}"/>
    <cellStyle name="Note 3 3 2 11 2 7" xfId="44786" xr:uid="{00000000-0005-0000-0000-00009AD10000}"/>
    <cellStyle name="Note 3 3 2 11 2 8" xfId="50263" xr:uid="{00000000-0005-0000-0000-00009BD10000}"/>
    <cellStyle name="Note 3 3 2 11 2 9" xfId="55781" xr:uid="{00000000-0005-0000-0000-00009CD10000}"/>
    <cellStyle name="Note 3 3 2 11 3" xfId="7554" xr:uid="{00000000-0005-0000-0000-00009DD10000}"/>
    <cellStyle name="Note 3 3 2 11 4" xfId="13030" xr:uid="{00000000-0005-0000-0000-00009ED10000}"/>
    <cellStyle name="Note 3 3 2 11 5" xfId="18506" xr:uid="{00000000-0005-0000-0000-00009FD10000}"/>
    <cellStyle name="Note 3 3 2 11 6" xfId="23982" xr:uid="{00000000-0005-0000-0000-0000A0D10000}"/>
    <cellStyle name="Note 3 3 2 11 7" xfId="35778" xr:uid="{00000000-0005-0000-0000-0000A1D10000}"/>
    <cellStyle name="Note 3 3 2 11 8" xfId="41255" xr:uid="{00000000-0005-0000-0000-0000A2D10000}"/>
    <cellStyle name="Note 3 3 2 11 9" xfId="46732" xr:uid="{00000000-0005-0000-0000-0000A3D10000}"/>
    <cellStyle name="Note 3 3 2 12" xfId="3804" xr:uid="{00000000-0005-0000-0000-0000A4D10000}"/>
    <cellStyle name="Note 3 3 2 12 2" xfId="9284" xr:uid="{00000000-0005-0000-0000-0000A5D10000}"/>
    <cellStyle name="Note 3 3 2 12 3" xfId="14760" xr:uid="{00000000-0005-0000-0000-0000A6D10000}"/>
    <cellStyle name="Note 3 3 2 12 4" xfId="20236" xr:uid="{00000000-0005-0000-0000-0000A7D10000}"/>
    <cellStyle name="Note 3 3 2 12 5" xfId="25712" xr:uid="{00000000-0005-0000-0000-0000A8D10000}"/>
    <cellStyle name="Note 3 3 2 12 6" xfId="37508" xr:uid="{00000000-0005-0000-0000-0000A9D10000}"/>
    <cellStyle name="Note 3 3 2 12 7" xfId="42985" xr:uid="{00000000-0005-0000-0000-0000AAD10000}"/>
    <cellStyle name="Note 3 3 2 12 8" xfId="48462" xr:uid="{00000000-0005-0000-0000-0000ABD10000}"/>
    <cellStyle name="Note 3 3 2 12 9" xfId="53980" xr:uid="{00000000-0005-0000-0000-0000ACD10000}"/>
    <cellStyle name="Note 3 3 2 13" xfId="7303" xr:uid="{00000000-0005-0000-0000-0000ADD10000}"/>
    <cellStyle name="Note 3 3 2 14" xfId="12782" xr:uid="{00000000-0005-0000-0000-0000AED10000}"/>
    <cellStyle name="Note 3 3 2 15" xfId="18258" xr:uid="{00000000-0005-0000-0000-0000AFD10000}"/>
    <cellStyle name="Note 3 3 2 16" xfId="23734" xr:uid="{00000000-0005-0000-0000-0000B0D10000}"/>
    <cellStyle name="Note 3 3 2 17" xfId="33650" xr:uid="{00000000-0005-0000-0000-0000B1D10000}"/>
    <cellStyle name="Note 3 3 2 18" xfId="35529" xr:uid="{00000000-0005-0000-0000-0000B2D10000}"/>
    <cellStyle name="Note 3 3 2 19" xfId="41006" xr:uid="{00000000-0005-0000-0000-0000B3D10000}"/>
    <cellStyle name="Note 3 3 2 2" xfId="469" xr:uid="{00000000-0005-0000-0000-0000B4D10000}"/>
    <cellStyle name="Note 3 3 2 2 10" xfId="41008" xr:uid="{00000000-0005-0000-0000-0000B5D10000}"/>
    <cellStyle name="Note 3 3 2 2 11" xfId="46485" xr:uid="{00000000-0005-0000-0000-0000B6D10000}"/>
    <cellStyle name="Note 3 3 2 2 12" xfId="51964" xr:uid="{00000000-0005-0000-0000-0000B7D10000}"/>
    <cellStyle name="Note 3 3 2 2 2" xfId="2234" xr:uid="{00000000-0005-0000-0000-0000B8D10000}"/>
    <cellStyle name="Note 3 3 2 2 2 2" xfId="7714" xr:uid="{00000000-0005-0000-0000-0000B9D10000}"/>
    <cellStyle name="Note 3 3 2 2 2 3" xfId="13190" xr:uid="{00000000-0005-0000-0000-0000BAD10000}"/>
    <cellStyle name="Note 3 3 2 2 2 4" xfId="18666" xr:uid="{00000000-0005-0000-0000-0000BBD10000}"/>
    <cellStyle name="Note 3 3 2 2 2 5" xfId="24142" xr:uid="{00000000-0005-0000-0000-0000BCD10000}"/>
    <cellStyle name="Note 3 3 2 2 2 6" xfId="35938" xr:uid="{00000000-0005-0000-0000-0000BDD10000}"/>
    <cellStyle name="Note 3 3 2 2 2 7" xfId="41415" xr:uid="{00000000-0005-0000-0000-0000BED10000}"/>
    <cellStyle name="Note 3 3 2 2 2 8" xfId="46892" xr:uid="{00000000-0005-0000-0000-0000BFD10000}"/>
    <cellStyle name="Note 3 3 2 2 2 9" xfId="52410" xr:uid="{00000000-0005-0000-0000-0000C0D10000}"/>
    <cellStyle name="Note 3 3 2 2 3" xfId="4006" xr:uid="{00000000-0005-0000-0000-0000C1D10000}"/>
    <cellStyle name="Note 3 3 2 2 3 2" xfId="9486" xr:uid="{00000000-0005-0000-0000-0000C2D10000}"/>
    <cellStyle name="Note 3 3 2 2 3 3" xfId="14962" xr:uid="{00000000-0005-0000-0000-0000C3D10000}"/>
    <cellStyle name="Note 3 3 2 2 3 4" xfId="20438" xr:uid="{00000000-0005-0000-0000-0000C4D10000}"/>
    <cellStyle name="Note 3 3 2 2 3 5" xfId="25914" xr:uid="{00000000-0005-0000-0000-0000C5D10000}"/>
    <cellStyle name="Note 3 3 2 2 3 6" xfId="37710" xr:uid="{00000000-0005-0000-0000-0000C6D10000}"/>
    <cellStyle name="Note 3 3 2 2 3 7" xfId="43187" xr:uid="{00000000-0005-0000-0000-0000C7D10000}"/>
    <cellStyle name="Note 3 3 2 2 3 8" xfId="48664" xr:uid="{00000000-0005-0000-0000-0000C8D10000}"/>
    <cellStyle name="Note 3 3 2 2 3 9" xfId="54182" xr:uid="{00000000-0005-0000-0000-0000C9D10000}"/>
    <cellStyle name="Note 3 3 2 2 4" xfId="7305" xr:uid="{00000000-0005-0000-0000-0000CAD10000}"/>
    <cellStyle name="Note 3 3 2 2 5" xfId="12784" xr:uid="{00000000-0005-0000-0000-0000CBD10000}"/>
    <cellStyle name="Note 3 3 2 2 6" xfId="18260" xr:uid="{00000000-0005-0000-0000-0000CCD10000}"/>
    <cellStyle name="Note 3 3 2 2 7" xfId="23736" xr:uid="{00000000-0005-0000-0000-0000CDD10000}"/>
    <cellStyle name="Note 3 3 2 2 8" xfId="33651" xr:uid="{00000000-0005-0000-0000-0000CED10000}"/>
    <cellStyle name="Note 3 3 2 2 9" xfId="35531" xr:uid="{00000000-0005-0000-0000-0000CFD10000}"/>
    <cellStyle name="Note 3 3 2 20" xfId="46483" xr:uid="{00000000-0005-0000-0000-0000D0D10000}"/>
    <cellStyle name="Note 3 3 2 21" xfId="51962" xr:uid="{00000000-0005-0000-0000-0000D1D10000}"/>
    <cellStyle name="Note 3 3 2 3" xfId="645" xr:uid="{00000000-0005-0000-0000-0000D2D10000}"/>
    <cellStyle name="Note 3 3 2 3 10" xfId="46486" xr:uid="{00000000-0005-0000-0000-0000D3D10000}"/>
    <cellStyle name="Note 3 3 2 3 11" xfId="51965" xr:uid="{00000000-0005-0000-0000-0000D4D10000}"/>
    <cellStyle name="Note 3 3 2 3 2" xfId="2406" xr:uid="{00000000-0005-0000-0000-0000D5D10000}"/>
    <cellStyle name="Note 3 3 2 3 2 2" xfId="7886" xr:uid="{00000000-0005-0000-0000-0000D6D10000}"/>
    <cellStyle name="Note 3 3 2 3 2 3" xfId="13362" xr:uid="{00000000-0005-0000-0000-0000D7D10000}"/>
    <cellStyle name="Note 3 3 2 3 2 4" xfId="18838" xr:uid="{00000000-0005-0000-0000-0000D8D10000}"/>
    <cellStyle name="Note 3 3 2 3 2 5" xfId="24314" xr:uid="{00000000-0005-0000-0000-0000D9D10000}"/>
    <cellStyle name="Note 3 3 2 3 2 6" xfId="36110" xr:uid="{00000000-0005-0000-0000-0000DAD10000}"/>
    <cellStyle name="Note 3 3 2 3 2 7" xfId="41587" xr:uid="{00000000-0005-0000-0000-0000DBD10000}"/>
    <cellStyle name="Note 3 3 2 3 2 8" xfId="47064" xr:uid="{00000000-0005-0000-0000-0000DCD10000}"/>
    <cellStyle name="Note 3 3 2 3 2 9" xfId="52582" xr:uid="{00000000-0005-0000-0000-0000DDD10000}"/>
    <cellStyle name="Note 3 3 2 3 3" xfId="4178" xr:uid="{00000000-0005-0000-0000-0000DED10000}"/>
    <cellStyle name="Note 3 3 2 3 3 2" xfId="9658" xr:uid="{00000000-0005-0000-0000-0000DFD10000}"/>
    <cellStyle name="Note 3 3 2 3 3 3" xfId="15134" xr:uid="{00000000-0005-0000-0000-0000E0D10000}"/>
    <cellStyle name="Note 3 3 2 3 3 4" xfId="20610" xr:uid="{00000000-0005-0000-0000-0000E1D10000}"/>
    <cellStyle name="Note 3 3 2 3 3 5" xfId="26086" xr:uid="{00000000-0005-0000-0000-0000E2D10000}"/>
    <cellStyle name="Note 3 3 2 3 3 6" xfId="37882" xr:uid="{00000000-0005-0000-0000-0000E3D10000}"/>
    <cellStyle name="Note 3 3 2 3 3 7" xfId="43359" xr:uid="{00000000-0005-0000-0000-0000E4D10000}"/>
    <cellStyle name="Note 3 3 2 3 3 8" xfId="48836" xr:uid="{00000000-0005-0000-0000-0000E5D10000}"/>
    <cellStyle name="Note 3 3 2 3 3 9" xfId="54354" xr:uid="{00000000-0005-0000-0000-0000E6D10000}"/>
    <cellStyle name="Note 3 3 2 3 4" xfId="7306" xr:uid="{00000000-0005-0000-0000-0000E7D10000}"/>
    <cellStyle name="Note 3 3 2 3 5" xfId="12785" xr:uid="{00000000-0005-0000-0000-0000E8D10000}"/>
    <cellStyle name="Note 3 3 2 3 6" xfId="18261" xr:uid="{00000000-0005-0000-0000-0000E9D10000}"/>
    <cellStyle name="Note 3 3 2 3 7" xfId="23737" xr:uid="{00000000-0005-0000-0000-0000EAD10000}"/>
    <cellStyle name="Note 3 3 2 3 8" xfId="35532" xr:uid="{00000000-0005-0000-0000-0000EBD10000}"/>
    <cellStyle name="Note 3 3 2 3 9" xfId="41009" xr:uid="{00000000-0005-0000-0000-0000ECD10000}"/>
    <cellStyle name="Note 3 3 2 4" xfId="817" xr:uid="{00000000-0005-0000-0000-0000EDD10000}"/>
    <cellStyle name="Note 3 3 2 4 10" xfId="46487" xr:uid="{00000000-0005-0000-0000-0000EED10000}"/>
    <cellStyle name="Note 3 3 2 4 11" xfId="51966" xr:uid="{00000000-0005-0000-0000-0000EFD10000}"/>
    <cellStyle name="Note 3 3 2 4 2" xfId="2578" xr:uid="{00000000-0005-0000-0000-0000F0D10000}"/>
    <cellStyle name="Note 3 3 2 4 2 2" xfId="8058" xr:uid="{00000000-0005-0000-0000-0000F1D10000}"/>
    <cellStyle name="Note 3 3 2 4 2 3" xfId="13534" xr:uid="{00000000-0005-0000-0000-0000F2D10000}"/>
    <cellStyle name="Note 3 3 2 4 2 4" xfId="19010" xr:uid="{00000000-0005-0000-0000-0000F3D10000}"/>
    <cellStyle name="Note 3 3 2 4 2 5" xfId="24486" xr:uid="{00000000-0005-0000-0000-0000F4D10000}"/>
    <cellStyle name="Note 3 3 2 4 2 6" xfId="36282" xr:uid="{00000000-0005-0000-0000-0000F5D10000}"/>
    <cellStyle name="Note 3 3 2 4 2 7" xfId="41759" xr:uid="{00000000-0005-0000-0000-0000F6D10000}"/>
    <cellStyle name="Note 3 3 2 4 2 8" xfId="47236" xr:uid="{00000000-0005-0000-0000-0000F7D10000}"/>
    <cellStyle name="Note 3 3 2 4 2 9" xfId="52754" xr:uid="{00000000-0005-0000-0000-0000F8D10000}"/>
    <cellStyle name="Note 3 3 2 4 3" xfId="4350" xr:uid="{00000000-0005-0000-0000-0000F9D10000}"/>
    <cellStyle name="Note 3 3 2 4 3 2" xfId="9830" xr:uid="{00000000-0005-0000-0000-0000FAD10000}"/>
    <cellStyle name="Note 3 3 2 4 3 3" xfId="15306" xr:uid="{00000000-0005-0000-0000-0000FBD10000}"/>
    <cellStyle name="Note 3 3 2 4 3 4" xfId="20782" xr:uid="{00000000-0005-0000-0000-0000FCD10000}"/>
    <cellStyle name="Note 3 3 2 4 3 5" xfId="26258" xr:uid="{00000000-0005-0000-0000-0000FDD10000}"/>
    <cellStyle name="Note 3 3 2 4 3 6" xfId="38054" xr:uid="{00000000-0005-0000-0000-0000FED10000}"/>
    <cellStyle name="Note 3 3 2 4 3 7" xfId="43531" xr:uid="{00000000-0005-0000-0000-0000FFD10000}"/>
    <cellStyle name="Note 3 3 2 4 3 8" xfId="49008" xr:uid="{00000000-0005-0000-0000-000000D20000}"/>
    <cellStyle name="Note 3 3 2 4 3 9" xfId="54526" xr:uid="{00000000-0005-0000-0000-000001D20000}"/>
    <cellStyle name="Note 3 3 2 4 4" xfId="7307" xr:uid="{00000000-0005-0000-0000-000002D20000}"/>
    <cellStyle name="Note 3 3 2 4 5" xfId="12786" xr:uid="{00000000-0005-0000-0000-000003D20000}"/>
    <cellStyle name="Note 3 3 2 4 6" xfId="18262" xr:uid="{00000000-0005-0000-0000-000004D20000}"/>
    <cellStyle name="Note 3 3 2 4 7" xfId="23738" xr:uid="{00000000-0005-0000-0000-000005D20000}"/>
    <cellStyle name="Note 3 3 2 4 8" xfId="35533" xr:uid="{00000000-0005-0000-0000-000006D20000}"/>
    <cellStyle name="Note 3 3 2 4 9" xfId="41010" xr:uid="{00000000-0005-0000-0000-000007D20000}"/>
    <cellStyle name="Note 3 3 2 5" xfId="989" xr:uid="{00000000-0005-0000-0000-000008D20000}"/>
    <cellStyle name="Note 3 3 2 5 10" xfId="46488" xr:uid="{00000000-0005-0000-0000-000009D20000}"/>
    <cellStyle name="Note 3 3 2 5 11" xfId="51967" xr:uid="{00000000-0005-0000-0000-00000AD20000}"/>
    <cellStyle name="Note 3 3 2 5 2" xfId="2750" xr:uid="{00000000-0005-0000-0000-00000BD20000}"/>
    <cellStyle name="Note 3 3 2 5 2 2" xfId="8230" xr:uid="{00000000-0005-0000-0000-00000CD20000}"/>
    <cellStyle name="Note 3 3 2 5 2 3" xfId="13706" xr:uid="{00000000-0005-0000-0000-00000DD20000}"/>
    <cellStyle name="Note 3 3 2 5 2 4" xfId="19182" xr:uid="{00000000-0005-0000-0000-00000ED20000}"/>
    <cellStyle name="Note 3 3 2 5 2 5" xfId="24658" xr:uid="{00000000-0005-0000-0000-00000FD20000}"/>
    <cellStyle name="Note 3 3 2 5 2 6" xfId="36454" xr:uid="{00000000-0005-0000-0000-000010D20000}"/>
    <cellStyle name="Note 3 3 2 5 2 7" xfId="41931" xr:uid="{00000000-0005-0000-0000-000011D20000}"/>
    <cellStyle name="Note 3 3 2 5 2 8" xfId="47408" xr:uid="{00000000-0005-0000-0000-000012D20000}"/>
    <cellStyle name="Note 3 3 2 5 2 9" xfId="52926" xr:uid="{00000000-0005-0000-0000-000013D20000}"/>
    <cellStyle name="Note 3 3 2 5 3" xfId="4522" xr:uid="{00000000-0005-0000-0000-000014D20000}"/>
    <cellStyle name="Note 3 3 2 5 3 2" xfId="10002" xr:uid="{00000000-0005-0000-0000-000015D20000}"/>
    <cellStyle name="Note 3 3 2 5 3 3" xfId="15478" xr:uid="{00000000-0005-0000-0000-000016D20000}"/>
    <cellStyle name="Note 3 3 2 5 3 4" xfId="20954" xr:uid="{00000000-0005-0000-0000-000017D20000}"/>
    <cellStyle name="Note 3 3 2 5 3 5" xfId="26430" xr:uid="{00000000-0005-0000-0000-000018D20000}"/>
    <cellStyle name="Note 3 3 2 5 3 6" xfId="38226" xr:uid="{00000000-0005-0000-0000-000019D20000}"/>
    <cellStyle name="Note 3 3 2 5 3 7" xfId="43703" xr:uid="{00000000-0005-0000-0000-00001AD20000}"/>
    <cellStyle name="Note 3 3 2 5 3 8" xfId="49180" xr:uid="{00000000-0005-0000-0000-00001BD20000}"/>
    <cellStyle name="Note 3 3 2 5 3 9" xfId="54698" xr:uid="{00000000-0005-0000-0000-00001CD20000}"/>
    <cellStyle name="Note 3 3 2 5 4" xfId="7308" xr:uid="{00000000-0005-0000-0000-00001DD20000}"/>
    <cellStyle name="Note 3 3 2 5 5" xfId="12787" xr:uid="{00000000-0005-0000-0000-00001ED20000}"/>
    <cellStyle name="Note 3 3 2 5 6" xfId="18263" xr:uid="{00000000-0005-0000-0000-00001FD20000}"/>
    <cellStyle name="Note 3 3 2 5 7" xfId="23739" xr:uid="{00000000-0005-0000-0000-000020D20000}"/>
    <cellStyle name="Note 3 3 2 5 8" xfId="35534" xr:uid="{00000000-0005-0000-0000-000021D20000}"/>
    <cellStyle name="Note 3 3 2 5 9" xfId="41011" xr:uid="{00000000-0005-0000-0000-000022D20000}"/>
    <cellStyle name="Note 3 3 2 6" xfId="1195" xr:uid="{00000000-0005-0000-0000-000023D20000}"/>
    <cellStyle name="Note 3 3 2 6 10" xfId="46489" xr:uid="{00000000-0005-0000-0000-000024D20000}"/>
    <cellStyle name="Note 3 3 2 6 11" xfId="51968" xr:uid="{00000000-0005-0000-0000-000025D20000}"/>
    <cellStyle name="Note 3 3 2 6 2" xfId="2956" xr:uid="{00000000-0005-0000-0000-000026D20000}"/>
    <cellStyle name="Note 3 3 2 6 2 2" xfId="8436" xr:uid="{00000000-0005-0000-0000-000027D20000}"/>
    <cellStyle name="Note 3 3 2 6 2 3" xfId="13912" xr:uid="{00000000-0005-0000-0000-000028D20000}"/>
    <cellStyle name="Note 3 3 2 6 2 4" xfId="19388" xr:uid="{00000000-0005-0000-0000-000029D20000}"/>
    <cellStyle name="Note 3 3 2 6 2 5" xfId="24864" xr:uid="{00000000-0005-0000-0000-00002AD20000}"/>
    <cellStyle name="Note 3 3 2 6 2 6" xfId="36660" xr:uid="{00000000-0005-0000-0000-00002BD20000}"/>
    <cellStyle name="Note 3 3 2 6 2 7" xfId="42137" xr:uid="{00000000-0005-0000-0000-00002CD20000}"/>
    <cellStyle name="Note 3 3 2 6 2 8" xfId="47614" xr:uid="{00000000-0005-0000-0000-00002DD20000}"/>
    <cellStyle name="Note 3 3 2 6 2 9" xfId="53132" xr:uid="{00000000-0005-0000-0000-00002ED20000}"/>
    <cellStyle name="Note 3 3 2 6 3" xfId="4728" xr:uid="{00000000-0005-0000-0000-00002FD20000}"/>
    <cellStyle name="Note 3 3 2 6 3 2" xfId="10208" xr:uid="{00000000-0005-0000-0000-000030D20000}"/>
    <cellStyle name="Note 3 3 2 6 3 3" xfId="15684" xr:uid="{00000000-0005-0000-0000-000031D20000}"/>
    <cellStyle name="Note 3 3 2 6 3 4" xfId="21160" xr:uid="{00000000-0005-0000-0000-000032D20000}"/>
    <cellStyle name="Note 3 3 2 6 3 5" xfId="26636" xr:uid="{00000000-0005-0000-0000-000033D20000}"/>
    <cellStyle name="Note 3 3 2 6 3 6" xfId="38432" xr:uid="{00000000-0005-0000-0000-000034D20000}"/>
    <cellStyle name="Note 3 3 2 6 3 7" xfId="43909" xr:uid="{00000000-0005-0000-0000-000035D20000}"/>
    <cellStyle name="Note 3 3 2 6 3 8" xfId="49386" xr:uid="{00000000-0005-0000-0000-000036D20000}"/>
    <cellStyle name="Note 3 3 2 6 3 9" xfId="54904" xr:uid="{00000000-0005-0000-0000-000037D20000}"/>
    <cellStyle name="Note 3 3 2 6 4" xfId="7309" xr:uid="{00000000-0005-0000-0000-000038D20000}"/>
    <cellStyle name="Note 3 3 2 6 5" xfId="12788" xr:uid="{00000000-0005-0000-0000-000039D20000}"/>
    <cellStyle name="Note 3 3 2 6 6" xfId="18264" xr:uid="{00000000-0005-0000-0000-00003AD20000}"/>
    <cellStyle name="Note 3 3 2 6 7" xfId="23740" xr:uid="{00000000-0005-0000-0000-00003BD20000}"/>
    <cellStyle name="Note 3 3 2 6 8" xfId="35535" xr:uid="{00000000-0005-0000-0000-00003CD20000}"/>
    <cellStyle name="Note 3 3 2 6 9" xfId="41012" xr:uid="{00000000-0005-0000-0000-00003DD20000}"/>
    <cellStyle name="Note 3 3 2 7" xfId="1367" xr:uid="{00000000-0005-0000-0000-00003ED20000}"/>
    <cellStyle name="Note 3 3 2 7 10" xfId="46490" xr:uid="{00000000-0005-0000-0000-00003FD20000}"/>
    <cellStyle name="Note 3 3 2 7 11" xfId="51969" xr:uid="{00000000-0005-0000-0000-000040D20000}"/>
    <cellStyle name="Note 3 3 2 7 2" xfId="3128" xr:uid="{00000000-0005-0000-0000-000041D20000}"/>
    <cellStyle name="Note 3 3 2 7 2 2" xfId="8608" xr:uid="{00000000-0005-0000-0000-000042D20000}"/>
    <cellStyle name="Note 3 3 2 7 2 3" xfId="14084" xr:uid="{00000000-0005-0000-0000-000043D20000}"/>
    <cellStyle name="Note 3 3 2 7 2 4" xfId="19560" xr:uid="{00000000-0005-0000-0000-000044D20000}"/>
    <cellStyle name="Note 3 3 2 7 2 5" xfId="25036" xr:uid="{00000000-0005-0000-0000-000045D20000}"/>
    <cellStyle name="Note 3 3 2 7 2 6" xfId="36832" xr:uid="{00000000-0005-0000-0000-000046D20000}"/>
    <cellStyle name="Note 3 3 2 7 2 7" xfId="42309" xr:uid="{00000000-0005-0000-0000-000047D20000}"/>
    <cellStyle name="Note 3 3 2 7 2 8" xfId="47786" xr:uid="{00000000-0005-0000-0000-000048D20000}"/>
    <cellStyle name="Note 3 3 2 7 2 9" xfId="53304" xr:uid="{00000000-0005-0000-0000-000049D20000}"/>
    <cellStyle name="Note 3 3 2 7 3" xfId="4900" xr:uid="{00000000-0005-0000-0000-00004AD20000}"/>
    <cellStyle name="Note 3 3 2 7 3 2" xfId="10380" xr:uid="{00000000-0005-0000-0000-00004BD20000}"/>
    <cellStyle name="Note 3 3 2 7 3 3" xfId="15856" xr:uid="{00000000-0005-0000-0000-00004CD20000}"/>
    <cellStyle name="Note 3 3 2 7 3 4" xfId="21332" xr:uid="{00000000-0005-0000-0000-00004DD20000}"/>
    <cellStyle name="Note 3 3 2 7 3 5" xfId="26808" xr:uid="{00000000-0005-0000-0000-00004ED20000}"/>
    <cellStyle name="Note 3 3 2 7 3 6" xfId="38604" xr:uid="{00000000-0005-0000-0000-00004FD20000}"/>
    <cellStyle name="Note 3 3 2 7 3 7" xfId="44081" xr:uid="{00000000-0005-0000-0000-000050D20000}"/>
    <cellStyle name="Note 3 3 2 7 3 8" xfId="49558" xr:uid="{00000000-0005-0000-0000-000051D20000}"/>
    <cellStyle name="Note 3 3 2 7 3 9" xfId="55076" xr:uid="{00000000-0005-0000-0000-000052D20000}"/>
    <cellStyle name="Note 3 3 2 7 4" xfId="7310" xr:uid="{00000000-0005-0000-0000-000053D20000}"/>
    <cellStyle name="Note 3 3 2 7 5" xfId="12789" xr:uid="{00000000-0005-0000-0000-000054D20000}"/>
    <cellStyle name="Note 3 3 2 7 6" xfId="18265" xr:uid="{00000000-0005-0000-0000-000055D20000}"/>
    <cellStyle name="Note 3 3 2 7 7" xfId="23741" xr:uid="{00000000-0005-0000-0000-000056D20000}"/>
    <cellStyle name="Note 3 3 2 7 8" xfId="35536" xr:uid="{00000000-0005-0000-0000-000057D20000}"/>
    <cellStyle name="Note 3 3 2 7 9" xfId="41013" xr:uid="{00000000-0005-0000-0000-000058D20000}"/>
    <cellStyle name="Note 3 3 2 8" xfId="1539" xr:uid="{00000000-0005-0000-0000-000059D20000}"/>
    <cellStyle name="Note 3 3 2 8 10" xfId="46491" xr:uid="{00000000-0005-0000-0000-00005AD20000}"/>
    <cellStyle name="Note 3 3 2 8 11" xfId="51970" xr:uid="{00000000-0005-0000-0000-00005BD20000}"/>
    <cellStyle name="Note 3 3 2 8 2" xfId="3300" xr:uid="{00000000-0005-0000-0000-00005CD20000}"/>
    <cellStyle name="Note 3 3 2 8 2 2" xfId="8780" xr:uid="{00000000-0005-0000-0000-00005DD20000}"/>
    <cellStyle name="Note 3 3 2 8 2 3" xfId="14256" xr:uid="{00000000-0005-0000-0000-00005ED20000}"/>
    <cellStyle name="Note 3 3 2 8 2 4" xfId="19732" xr:uid="{00000000-0005-0000-0000-00005FD20000}"/>
    <cellStyle name="Note 3 3 2 8 2 5" xfId="25208" xr:uid="{00000000-0005-0000-0000-000060D20000}"/>
    <cellStyle name="Note 3 3 2 8 2 6" xfId="37004" xr:uid="{00000000-0005-0000-0000-000061D20000}"/>
    <cellStyle name="Note 3 3 2 8 2 7" xfId="42481" xr:uid="{00000000-0005-0000-0000-000062D20000}"/>
    <cellStyle name="Note 3 3 2 8 2 8" xfId="47958" xr:uid="{00000000-0005-0000-0000-000063D20000}"/>
    <cellStyle name="Note 3 3 2 8 2 9" xfId="53476" xr:uid="{00000000-0005-0000-0000-000064D20000}"/>
    <cellStyle name="Note 3 3 2 8 3" xfId="5072" xr:uid="{00000000-0005-0000-0000-000065D20000}"/>
    <cellStyle name="Note 3 3 2 8 3 2" xfId="10552" xr:uid="{00000000-0005-0000-0000-000066D20000}"/>
    <cellStyle name="Note 3 3 2 8 3 3" xfId="16028" xr:uid="{00000000-0005-0000-0000-000067D20000}"/>
    <cellStyle name="Note 3 3 2 8 3 4" xfId="21504" xr:uid="{00000000-0005-0000-0000-000068D20000}"/>
    <cellStyle name="Note 3 3 2 8 3 5" xfId="26980" xr:uid="{00000000-0005-0000-0000-000069D20000}"/>
    <cellStyle name="Note 3 3 2 8 3 6" xfId="38776" xr:uid="{00000000-0005-0000-0000-00006AD20000}"/>
    <cellStyle name="Note 3 3 2 8 3 7" xfId="44253" xr:uid="{00000000-0005-0000-0000-00006BD20000}"/>
    <cellStyle name="Note 3 3 2 8 3 8" xfId="49730" xr:uid="{00000000-0005-0000-0000-00006CD20000}"/>
    <cellStyle name="Note 3 3 2 8 3 9" xfId="55248" xr:uid="{00000000-0005-0000-0000-00006DD20000}"/>
    <cellStyle name="Note 3 3 2 8 4" xfId="7311" xr:uid="{00000000-0005-0000-0000-00006ED20000}"/>
    <cellStyle name="Note 3 3 2 8 5" xfId="12790" xr:uid="{00000000-0005-0000-0000-00006FD20000}"/>
    <cellStyle name="Note 3 3 2 8 6" xfId="18266" xr:uid="{00000000-0005-0000-0000-000070D20000}"/>
    <cellStyle name="Note 3 3 2 8 7" xfId="23742" xr:uid="{00000000-0005-0000-0000-000071D20000}"/>
    <cellStyle name="Note 3 3 2 8 8" xfId="35537" xr:uid="{00000000-0005-0000-0000-000072D20000}"/>
    <cellStyle name="Note 3 3 2 8 9" xfId="41014" xr:uid="{00000000-0005-0000-0000-000073D20000}"/>
    <cellStyle name="Note 3 3 2 9" xfId="1711" xr:uid="{00000000-0005-0000-0000-000074D20000}"/>
    <cellStyle name="Note 3 3 2 9 10" xfId="46492" xr:uid="{00000000-0005-0000-0000-000075D20000}"/>
    <cellStyle name="Note 3 3 2 9 11" xfId="51971" xr:uid="{00000000-0005-0000-0000-000076D20000}"/>
    <cellStyle name="Note 3 3 2 9 2" xfId="3472" xr:uid="{00000000-0005-0000-0000-000077D20000}"/>
    <cellStyle name="Note 3 3 2 9 2 2" xfId="8952" xr:uid="{00000000-0005-0000-0000-000078D20000}"/>
    <cellStyle name="Note 3 3 2 9 2 3" xfId="14428" xr:uid="{00000000-0005-0000-0000-000079D20000}"/>
    <cellStyle name="Note 3 3 2 9 2 4" xfId="19904" xr:uid="{00000000-0005-0000-0000-00007AD20000}"/>
    <cellStyle name="Note 3 3 2 9 2 5" xfId="25380" xr:uid="{00000000-0005-0000-0000-00007BD20000}"/>
    <cellStyle name="Note 3 3 2 9 2 6" xfId="37176" xr:uid="{00000000-0005-0000-0000-00007CD20000}"/>
    <cellStyle name="Note 3 3 2 9 2 7" xfId="42653" xr:uid="{00000000-0005-0000-0000-00007DD20000}"/>
    <cellStyle name="Note 3 3 2 9 2 8" xfId="48130" xr:uid="{00000000-0005-0000-0000-00007ED20000}"/>
    <cellStyle name="Note 3 3 2 9 2 9" xfId="53648" xr:uid="{00000000-0005-0000-0000-00007FD20000}"/>
    <cellStyle name="Note 3 3 2 9 3" xfId="5244" xr:uid="{00000000-0005-0000-0000-000080D20000}"/>
    <cellStyle name="Note 3 3 2 9 3 2" xfId="10724" xr:uid="{00000000-0005-0000-0000-000081D20000}"/>
    <cellStyle name="Note 3 3 2 9 3 3" xfId="16200" xr:uid="{00000000-0005-0000-0000-000082D20000}"/>
    <cellStyle name="Note 3 3 2 9 3 4" xfId="21676" xr:uid="{00000000-0005-0000-0000-000083D20000}"/>
    <cellStyle name="Note 3 3 2 9 3 5" xfId="27152" xr:uid="{00000000-0005-0000-0000-000084D20000}"/>
    <cellStyle name="Note 3 3 2 9 3 6" xfId="38948" xr:uid="{00000000-0005-0000-0000-000085D20000}"/>
    <cellStyle name="Note 3 3 2 9 3 7" xfId="44425" xr:uid="{00000000-0005-0000-0000-000086D20000}"/>
    <cellStyle name="Note 3 3 2 9 3 8" xfId="49902" xr:uid="{00000000-0005-0000-0000-000087D20000}"/>
    <cellStyle name="Note 3 3 2 9 3 9" xfId="55420" xr:uid="{00000000-0005-0000-0000-000088D20000}"/>
    <cellStyle name="Note 3 3 2 9 4" xfId="7312" xr:uid="{00000000-0005-0000-0000-000089D20000}"/>
    <cellStyle name="Note 3 3 2 9 5" xfId="12791" xr:uid="{00000000-0005-0000-0000-00008AD20000}"/>
    <cellStyle name="Note 3 3 2 9 6" xfId="18267" xr:uid="{00000000-0005-0000-0000-00008BD20000}"/>
    <cellStyle name="Note 3 3 2 9 7" xfId="23743" xr:uid="{00000000-0005-0000-0000-00008CD20000}"/>
    <cellStyle name="Note 3 3 2 9 8" xfId="35538" xr:uid="{00000000-0005-0000-0000-00008DD20000}"/>
    <cellStyle name="Note 3 3 2 9 9" xfId="41015" xr:uid="{00000000-0005-0000-0000-00008ED20000}"/>
    <cellStyle name="Note 3 3 20" xfId="41003" xr:uid="{00000000-0005-0000-0000-00008FD20000}"/>
    <cellStyle name="Note 3 3 21" xfId="46480" xr:uid="{00000000-0005-0000-0000-000090D20000}"/>
    <cellStyle name="Note 3 3 22" xfId="51959" xr:uid="{00000000-0005-0000-0000-000091D20000}"/>
    <cellStyle name="Note 3 3 3" xfId="468" xr:uid="{00000000-0005-0000-0000-000092D20000}"/>
    <cellStyle name="Note 3 3 3 10" xfId="41016" xr:uid="{00000000-0005-0000-0000-000093D20000}"/>
    <cellStyle name="Note 3 3 3 11" xfId="46493" xr:uid="{00000000-0005-0000-0000-000094D20000}"/>
    <cellStyle name="Note 3 3 3 12" xfId="51972" xr:uid="{00000000-0005-0000-0000-000095D20000}"/>
    <cellStyle name="Note 3 3 3 2" xfId="2233" xr:uid="{00000000-0005-0000-0000-000096D20000}"/>
    <cellStyle name="Note 3 3 3 2 2" xfId="7713" xr:uid="{00000000-0005-0000-0000-000097D20000}"/>
    <cellStyle name="Note 3 3 3 2 3" xfId="13189" xr:uid="{00000000-0005-0000-0000-000098D20000}"/>
    <cellStyle name="Note 3 3 3 2 4" xfId="18665" xr:uid="{00000000-0005-0000-0000-000099D20000}"/>
    <cellStyle name="Note 3 3 3 2 5" xfId="24141" xr:uid="{00000000-0005-0000-0000-00009AD20000}"/>
    <cellStyle name="Note 3 3 3 2 6" xfId="35937" xr:uid="{00000000-0005-0000-0000-00009BD20000}"/>
    <cellStyle name="Note 3 3 3 2 7" xfId="41414" xr:uid="{00000000-0005-0000-0000-00009CD20000}"/>
    <cellStyle name="Note 3 3 3 2 8" xfId="46891" xr:uid="{00000000-0005-0000-0000-00009DD20000}"/>
    <cellStyle name="Note 3 3 3 2 9" xfId="52409" xr:uid="{00000000-0005-0000-0000-00009ED20000}"/>
    <cellStyle name="Note 3 3 3 3" xfId="4005" xr:uid="{00000000-0005-0000-0000-00009FD20000}"/>
    <cellStyle name="Note 3 3 3 3 2" xfId="9485" xr:uid="{00000000-0005-0000-0000-0000A0D20000}"/>
    <cellStyle name="Note 3 3 3 3 3" xfId="14961" xr:uid="{00000000-0005-0000-0000-0000A1D20000}"/>
    <cellStyle name="Note 3 3 3 3 4" xfId="20437" xr:uid="{00000000-0005-0000-0000-0000A2D20000}"/>
    <cellStyle name="Note 3 3 3 3 5" xfId="25913" xr:uid="{00000000-0005-0000-0000-0000A3D20000}"/>
    <cellStyle name="Note 3 3 3 3 6" xfId="37709" xr:uid="{00000000-0005-0000-0000-0000A4D20000}"/>
    <cellStyle name="Note 3 3 3 3 7" xfId="43186" xr:uid="{00000000-0005-0000-0000-0000A5D20000}"/>
    <cellStyle name="Note 3 3 3 3 8" xfId="48663" xr:uid="{00000000-0005-0000-0000-0000A6D20000}"/>
    <cellStyle name="Note 3 3 3 3 9" xfId="54181" xr:uid="{00000000-0005-0000-0000-0000A7D20000}"/>
    <cellStyle name="Note 3 3 3 4" xfId="7313" xr:uid="{00000000-0005-0000-0000-0000A8D20000}"/>
    <cellStyle name="Note 3 3 3 5" xfId="12792" xr:uid="{00000000-0005-0000-0000-0000A9D20000}"/>
    <cellStyle name="Note 3 3 3 6" xfId="18268" xr:uid="{00000000-0005-0000-0000-0000AAD20000}"/>
    <cellStyle name="Note 3 3 3 7" xfId="23744" xr:uid="{00000000-0005-0000-0000-0000ABD20000}"/>
    <cellStyle name="Note 3 3 3 8" xfId="33652" xr:uid="{00000000-0005-0000-0000-0000ACD20000}"/>
    <cellStyle name="Note 3 3 3 9" xfId="35539" xr:uid="{00000000-0005-0000-0000-0000ADD20000}"/>
    <cellStyle name="Note 3 3 4" xfId="644" xr:uid="{00000000-0005-0000-0000-0000AED20000}"/>
    <cellStyle name="Note 3 3 4 10" xfId="46494" xr:uid="{00000000-0005-0000-0000-0000AFD20000}"/>
    <cellStyle name="Note 3 3 4 11" xfId="51973" xr:uid="{00000000-0005-0000-0000-0000B0D20000}"/>
    <cellStyle name="Note 3 3 4 2" xfId="2405" xr:uid="{00000000-0005-0000-0000-0000B1D20000}"/>
    <cellStyle name="Note 3 3 4 2 2" xfId="7885" xr:uid="{00000000-0005-0000-0000-0000B2D20000}"/>
    <cellStyle name="Note 3 3 4 2 3" xfId="13361" xr:uid="{00000000-0005-0000-0000-0000B3D20000}"/>
    <cellStyle name="Note 3 3 4 2 4" xfId="18837" xr:uid="{00000000-0005-0000-0000-0000B4D20000}"/>
    <cellStyle name="Note 3 3 4 2 5" xfId="24313" xr:uid="{00000000-0005-0000-0000-0000B5D20000}"/>
    <cellStyle name="Note 3 3 4 2 6" xfId="36109" xr:uid="{00000000-0005-0000-0000-0000B6D20000}"/>
    <cellStyle name="Note 3 3 4 2 7" xfId="41586" xr:uid="{00000000-0005-0000-0000-0000B7D20000}"/>
    <cellStyle name="Note 3 3 4 2 8" xfId="47063" xr:uid="{00000000-0005-0000-0000-0000B8D20000}"/>
    <cellStyle name="Note 3 3 4 2 9" xfId="52581" xr:uid="{00000000-0005-0000-0000-0000B9D20000}"/>
    <cellStyle name="Note 3 3 4 3" xfId="4177" xr:uid="{00000000-0005-0000-0000-0000BAD20000}"/>
    <cellStyle name="Note 3 3 4 3 2" xfId="9657" xr:uid="{00000000-0005-0000-0000-0000BBD20000}"/>
    <cellStyle name="Note 3 3 4 3 3" xfId="15133" xr:uid="{00000000-0005-0000-0000-0000BCD20000}"/>
    <cellStyle name="Note 3 3 4 3 4" xfId="20609" xr:uid="{00000000-0005-0000-0000-0000BDD20000}"/>
    <cellStyle name="Note 3 3 4 3 5" xfId="26085" xr:uid="{00000000-0005-0000-0000-0000BED20000}"/>
    <cellStyle name="Note 3 3 4 3 6" xfId="37881" xr:uid="{00000000-0005-0000-0000-0000BFD20000}"/>
    <cellStyle name="Note 3 3 4 3 7" xfId="43358" xr:uid="{00000000-0005-0000-0000-0000C0D20000}"/>
    <cellStyle name="Note 3 3 4 3 8" xfId="48835" xr:uid="{00000000-0005-0000-0000-0000C1D20000}"/>
    <cellStyle name="Note 3 3 4 3 9" xfId="54353" xr:uid="{00000000-0005-0000-0000-0000C2D20000}"/>
    <cellStyle name="Note 3 3 4 4" xfId="7314" xr:uid="{00000000-0005-0000-0000-0000C3D20000}"/>
    <cellStyle name="Note 3 3 4 5" xfId="12793" xr:uid="{00000000-0005-0000-0000-0000C4D20000}"/>
    <cellStyle name="Note 3 3 4 6" xfId="18269" xr:uid="{00000000-0005-0000-0000-0000C5D20000}"/>
    <cellStyle name="Note 3 3 4 7" xfId="23745" xr:uid="{00000000-0005-0000-0000-0000C6D20000}"/>
    <cellStyle name="Note 3 3 4 8" xfId="35540" xr:uid="{00000000-0005-0000-0000-0000C7D20000}"/>
    <cellStyle name="Note 3 3 4 9" xfId="41017" xr:uid="{00000000-0005-0000-0000-0000C8D20000}"/>
    <cellStyle name="Note 3 3 5" xfId="816" xr:uid="{00000000-0005-0000-0000-0000C9D20000}"/>
    <cellStyle name="Note 3 3 5 10" xfId="46495" xr:uid="{00000000-0005-0000-0000-0000CAD20000}"/>
    <cellStyle name="Note 3 3 5 11" xfId="51974" xr:uid="{00000000-0005-0000-0000-0000CBD20000}"/>
    <cellStyle name="Note 3 3 5 2" xfId="2577" xr:uid="{00000000-0005-0000-0000-0000CCD20000}"/>
    <cellStyle name="Note 3 3 5 2 2" xfId="8057" xr:uid="{00000000-0005-0000-0000-0000CDD20000}"/>
    <cellStyle name="Note 3 3 5 2 3" xfId="13533" xr:uid="{00000000-0005-0000-0000-0000CED20000}"/>
    <cellStyle name="Note 3 3 5 2 4" xfId="19009" xr:uid="{00000000-0005-0000-0000-0000CFD20000}"/>
    <cellStyle name="Note 3 3 5 2 5" xfId="24485" xr:uid="{00000000-0005-0000-0000-0000D0D20000}"/>
    <cellStyle name="Note 3 3 5 2 6" xfId="36281" xr:uid="{00000000-0005-0000-0000-0000D1D20000}"/>
    <cellStyle name="Note 3 3 5 2 7" xfId="41758" xr:uid="{00000000-0005-0000-0000-0000D2D20000}"/>
    <cellStyle name="Note 3 3 5 2 8" xfId="47235" xr:uid="{00000000-0005-0000-0000-0000D3D20000}"/>
    <cellStyle name="Note 3 3 5 2 9" xfId="52753" xr:uid="{00000000-0005-0000-0000-0000D4D20000}"/>
    <cellStyle name="Note 3 3 5 3" xfId="4349" xr:uid="{00000000-0005-0000-0000-0000D5D20000}"/>
    <cellStyle name="Note 3 3 5 3 2" xfId="9829" xr:uid="{00000000-0005-0000-0000-0000D6D20000}"/>
    <cellStyle name="Note 3 3 5 3 3" xfId="15305" xr:uid="{00000000-0005-0000-0000-0000D7D20000}"/>
    <cellStyle name="Note 3 3 5 3 4" xfId="20781" xr:uid="{00000000-0005-0000-0000-0000D8D20000}"/>
    <cellStyle name="Note 3 3 5 3 5" xfId="26257" xr:uid="{00000000-0005-0000-0000-0000D9D20000}"/>
    <cellStyle name="Note 3 3 5 3 6" xfId="38053" xr:uid="{00000000-0005-0000-0000-0000DAD20000}"/>
    <cellStyle name="Note 3 3 5 3 7" xfId="43530" xr:uid="{00000000-0005-0000-0000-0000DBD20000}"/>
    <cellStyle name="Note 3 3 5 3 8" xfId="49007" xr:uid="{00000000-0005-0000-0000-0000DCD20000}"/>
    <cellStyle name="Note 3 3 5 3 9" xfId="54525" xr:uid="{00000000-0005-0000-0000-0000DDD20000}"/>
    <cellStyle name="Note 3 3 5 4" xfId="7315" xr:uid="{00000000-0005-0000-0000-0000DED20000}"/>
    <cellStyle name="Note 3 3 5 5" xfId="12794" xr:uid="{00000000-0005-0000-0000-0000DFD20000}"/>
    <cellStyle name="Note 3 3 5 6" xfId="18270" xr:uid="{00000000-0005-0000-0000-0000E0D20000}"/>
    <cellStyle name="Note 3 3 5 7" xfId="23746" xr:uid="{00000000-0005-0000-0000-0000E1D20000}"/>
    <cellStyle name="Note 3 3 5 8" xfId="35541" xr:uid="{00000000-0005-0000-0000-0000E2D20000}"/>
    <cellStyle name="Note 3 3 5 9" xfId="41018" xr:uid="{00000000-0005-0000-0000-0000E3D20000}"/>
    <cellStyle name="Note 3 3 6" xfId="988" xr:uid="{00000000-0005-0000-0000-0000E4D20000}"/>
    <cellStyle name="Note 3 3 6 10" xfId="46496" xr:uid="{00000000-0005-0000-0000-0000E5D20000}"/>
    <cellStyle name="Note 3 3 6 11" xfId="51975" xr:uid="{00000000-0005-0000-0000-0000E6D20000}"/>
    <cellStyle name="Note 3 3 6 2" xfId="2749" xr:uid="{00000000-0005-0000-0000-0000E7D20000}"/>
    <cellStyle name="Note 3 3 6 2 2" xfId="8229" xr:uid="{00000000-0005-0000-0000-0000E8D20000}"/>
    <cellStyle name="Note 3 3 6 2 3" xfId="13705" xr:uid="{00000000-0005-0000-0000-0000E9D20000}"/>
    <cellStyle name="Note 3 3 6 2 4" xfId="19181" xr:uid="{00000000-0005-0000-0000-0000EAD20000}"/>
    <cellStyle name="Note 3 3 6 2 5" xfId="24657" xr:uid="{00000000-0005-0000-0000-0000EBD20000}"/>
    <cellStyle name="Note 3 3 6 2 6" xfId="36453" xr:uid="{00000000-0005-0000-0000-0000ECD20000}"/>
    <cellStyle name="Note 3 3 6 2 7" xfId="41930" xr:uid="{00000000-0005-0000-0000-0000EDD20000}"/>
    <cellStyle name="Note 3 3 6 2 8" xfId="47407" xr:uid="{00000000-0005-0000-0000-0000EED20000}"/>
    <cellStyle name="Note 3 3 6 2 9" xfId="52925" xr:uid="{00000000-0005-0000-0000-0000EFD20000}"/>
    <cellStyle name="Note 3 3 6 3" xfId="4521" xr:uid="{00000000-0005-0000-0000-0000F0D20000}"/>
    <cellStyle name="Note 3 3 6 3 2" xfId="10001" xr:uid="{00000000-0005-0000-0000-0000F1D20000}"/>
    <cellStyle name="Note 3 3 6 3 3" xfId="15477" xr:uid="{00000000-0005-0000-0000-0000F2D20000}"/>
    <cellStyle name="Note 3 3 6 3 4" xfId="20953" xr:uid="{00000000-0005-0000-0000-0000F3D20000}"/>
    <cellStyle name="Note 3 3 6 3 5" xfId="26429" xr:uid="{00000000-0005-0000-0000-0000F4D20000}"/>
    <cellStyle name="Note 3 3 6 3 6" xfId="38225" xr:uid="{00000000-0005-0000-0000-0000F5D20000}"/>
    <cellStyle name="Note 3 3 6 3 7" xfId="43702" xr:uid="{00000000-0005-0000-0000-0000F6D20000}"/>
    <cellStyle name="Note 3 3 6 3 8" xfId="49179" xr:uid="{00000000-0005-0000-0000-0000F7D20000}"/>
    <cellStyle name="Note 3 3 6 3 9" xfId="54697" xr:uid="{00000000-0005-0000-0000-0000F8D20000}"/>
    <cellStyle name="Note 3 3 6 4" xfId="7316" xr:uid="{00000000-0005-0000-0000-0000F9D20000}"/>
    <cellStyle name="Note 3 3 6 5" xfId="12795" xr:uid="{00000000-0005-0000-0000-0000FAD20000}"/>
    <cellStyle name="Note 3 3 6 6" xfId="18271" xr:uid="{00000000-0005-0000-0000-0000FBD20000}"/>
    <cellStyle name="Note 3 3 6 7" xfId="23747" xr:uid="{00000000-0005-0000-0000-0000FCD20000}"/>
    <cellStyle name="Note 3 3 6 8" xfId="35542" xr:uid="{00000000-0005-0000-0000-0000FDD20000}"/>
    <cellStyle name="Note 3 3 6 9" xfId="41019" xr:uid="{00000000-0005-0000-0000-0000FED20000}"/>
    <cellStyle name="Note 3 3 7" xfId="1194" xr:uid="{00000000-0005-0000-0000-0000FFD20000}"/>
    <cellStyle name="Note 3 3 7 10" xfId="46497" xr:uid="{00000000-0005-0000-0000-000000D30000}"/>
    <cellStyle name="Note 3 3 7 11" xfId="51976" xr:uid="{00000000-0005-0000-0000-000001D30000}"/>
    <cellStyle name="Note 3 3 7 2" xfId="2955" xr:uid="{00000000-0005-0000-0000-000002D30000}"/>
    <cellStyle name="Note 3 3 7 2 2" xfId="8435" xr:uid="{00000000-0005-0000-0000-000003D30000}"/>
    <cellStyle name="Note 3 3 7 2 3" xfId="13911" xr:uid="{00000000-0005-0000-0000-000004D30000}"/>
    <cellStyle name="Note 3 3 7 2 4" xfId="19387" xr:uid="{00000000-0005-0000-0000-000005D30000}"/>
    <cellStyle name="Note 3 3 7 2 5" xfId="24863" xr:uid="{00000000-0005-0000-0000-000006D30000}"/>
    <cellStyle name="Note 3 3 7 2 6" xfId="36659" xr:uid="{00000000-0005-0000-0000-000007D30000}"/>
    <cellStyle name="Note 3 3 7 2 7" xfId="42136" xr:uid="{00000000-0005-0000-0000-000008D30000}"/>
    <cellStyle name="Note 3 3 7 2 8" xfId="47613" xr:uid="{00000000-0005-0000-0000-000009D30000}"/>
    <cellStyle name="Note 3 3 7 2 9" xfId="53131" xr:uid="{00000000-0005-0000-0000-00000AD30000}"/>
    <cellStyle name="Note 3 3 7 3" xfId="4727" xr:uid="{00000000-0005-0000-0000-00000BD30000}"/>
    <cellStyle name="Note 3 3 7 3 2" xfId="10207" xr:uid="{00000000-0005-0000-0000-00000CD30000}"/>
    <cellStyle name="Note 3 3 7 3 3" xfId="15683" xr:uid="{00000000-0005-0000-0000-00000DD30000}"/>
    <cellStyle name="Note 3 3 7 3 4" xfId="21159" xr:uid="{00000000-0005-0000-0000-00000ED30000}"/>
    <cellStyle name="Note 3 3 7 3 5" xfId="26635" xr:uid="{00000000-0005-0000-0000-00000FD30000}"/>
    <cellStyle name="Note 3 3 7 3 6" xfId="38431" xr:uid="{00000000-0005-0000-0000-000010D30000}"/>
    <cellStyle name="Note 3 3 7 3 7" xfId="43908" xr:uid="{00000000-0005-0000-0000-000011D30000}"/>
    <cellStyle name="Note 3 3 7 3 8" xfId="49385" xr:uid="{00000000-0005-0000-0000-000012D30000}"/>
    <cellStyle name="Note 3 3 7 3 9" xfId="54903" xr:uid="{00000000-0005-0000-0000-000013D30000}"/>
    <cellStyle name="Note 3 3 7 4" xfId="7317" xr:uid="{00000000-0005-0000-0000-000014D30000}"/>
    <cellStyle name="Note 3 3 7 5" xfId="12796" xr:uid="{00000000-0005-0000-0000-000015D30000}"/>
    <cellStyle name="Note 3 3 7 6" xfId="18272" xr:uid="{00000000-0005-0000-0000-000016D30000}"/>
    <cellStyle name="Note 3 3 7 7" xfId="23748" xr:uid="{00000000-0005-0000-0000-000017D30000}"/>
    <cellStyle name="Note 3 3 7 8" xfId="35543" xr:uid="{00000000-0005-0000-0000-000018D30000}"/>
    <cellStyle name="Note 3 3 7 9" xfId="41020" xr:uid="{00000000-0005-0000-0000-000019D30000}"/>
    <cellStyle name="Note 3 3 8" xfId="1366" xr:uid="{00000000-0005-0000-0000-00001AD30000}"/>
    <cellStyle name="Note 3 3 8 10" xfId="46498" xr:uid="{00000000-0005-0000-0000-00001BD30000}"/>
    <cellStyle name="Note 3 3 8 11" xfId="51977" xr:uid="{00000000-0005-0000-0000-00001CD30000}"/>
    <cellStyle name="Note 3 3 8 2" xfId="3127" xr:uid="{00000000-0005-0000-0000-00001DD30000}"/>
    <cellStyle name="Note 3 3 8 2 2" xfId="8607" xr:uid="{00000000-0005-0000-0000-00001ED30000}"/>
    <cellStyle name="Note 3 3 8 2 3" xfId="14083" xr:uid="{00000000-0005-0000-0000-00001FD30000}"/>
    <cellStyle name="Note 3 3 8 2 4" xfId="19559" xr:uid="{00000000-0005-0000-0000-000020D30000}"/>
    <cellStyle name="Note 3 3 8 2 5" xfId="25035" xr:uid="{00000000-0005-0000-0000-000021D30000}"/>
    <cellStyle name="Note 3 3 8 2 6" xfId="36831" xr:uid="{00000000-0005-0000-0000-000022D30000}"/>
    <cellStyle name="Note 3 3 8 2 7" xfId="42308" xr:uid="{00000000-0005-0000-0000-000023D30000}"/>
    <cellStyle name="Note 3 3 8 2 8" xfId="47785" xr:uid="{00000000-0005-0000-0000-000024D30000}"/>
    <cellStyle name="Note 3 3 8 2 9" xfId="53303" xr:uid="{00000000-0005-0000-0000-000025D30000}"/>
    <cellStyle name="Note 3 3 8 3" xfId="4899" xr:uid="{00000000-0005-0000-0000-000026D30000}"/>
    <cellStyle name="Note 3 3 8 3 2" xfId="10379" xr:uid="{00000000-0005-0000-0000-000027D30000}"/>
    <cellStyle name="Note 3 3 8 3 3" xfId="15855" xr:uid="{00000000-0005-0000-0000-000028D30000}"/>
    <cellStyle name="Note 3 3 8 3 4" xfId="21331" xr:uid="{00000000-0005-0000-0000-000029D30000}"/>
    <cellStyle name="Note 3 3 8 3 5" xfId="26807" xr:uid="{00000000-0005-0000-0000-00002AD30000}"/>
    <cellStyle name="Note 3 3 8 3 6" xfId="38603" xr:uid="{00000000-0005-0000-0000-00002BD30000}"/>
    <cellStyle name="Note 3 3 8 3 7" xfId="44080" xr:uid="{00000000-0005-0000-0000-00002CD30000}"/>
    <cellStyle name="Note 3 3 8 3 8" xfId="49557" xr:uid="{00000000-0005-0000-0000-00002DD30000}"/>
    <cellStyle name="Note 3 3 8 3 9" xfId="55075" xr:uid="{00000000-0005-0000-0000-00002ED30000}"/>
    <cellStyle name="Note 3 3 8 4" xfId="7318" xr:uid="{00000000-0005-0000-0000-00002FD30000}"/>
    <cellStyle name="Note 3 3 8 5" xfId="12797" xr:uid="{00000000-0005-0000-0000-000030D30000}"/>
    <cellStyle name="Note 3 3 8 6" xfId="18273" xr:uid="{00000000-0005-0000-0000-000031D30000}"/>
    <cellStyle name="Note 3 3 8 7" xfId="23749" xr:uid="{00000000-0005-0000-0000-000032D30000}"/>
    <cellStyle name="Note 3 3 8 8" xfId="35544" xr:uid="{00000000-0005-0000-0000-000033D30000}"/>
    <cellStyle name="Note 3 3 8 9" xfId="41021" xr:uid="{00000000-0005-0000-0000-000034D30000}"/>
    <cellStyle name="Note 3 3 9" xfId="1538" xr:uid="{00000000-0005-0000-0000-000035D30000}"/>
    <cellStyle name="Note 3 3 9 10" xfId="46499" xr:uid="{00000000-0005-0000-0000-000036D30000}"/>
    <cellStyle name="Note 3 3 9 11" xfId="51978" xr:uid="{00000000-0005-0000-0000-000037D30000}"/>
    <cellStyle name="Note 3 3 9 2" xfId="3299" xr:uid="{00000000-0005-0000-0000-000038D30000}"/>
    <cellStyle name="Note 3 3 9 2 2" xfId="8779" xr:uid="{00000000-0005-0000-0000-000039D30000}"/>
    <cellStyle name="Note 3 3 9 2 3" xfId="14255" xr:uid="{00000000-0005-0000-0000-00003AD30000}"/>
    <cellStyle name="Note 3 3 9 2 4" xfId="19731" xr:uid="{00000000-0005-0000-0000-00003BD30000}"/>
    <cellStyle name="Note 3 3 9 2 5" xfId="25207" xr:uid="{00000000-0005-0000-0000-00003CD30000}"/>
    <cellStyle name="Note 3 3 9 2 6" xfId="37003" xr:uid="{00000000-0005-0000-0000-00003DD30000}"/>
    <cellStyle name="Note 3 3 9 2 7" xfId="42480" xr:uid="{00000000-0005-0000-0000-00003ED30000}"/>
    <cellStyle name="Note 3 3 9 2 8" xfId="47957" xr:uid="{00000000-0005-0000-0000-00003FD30000}"/>
    <cellStyle name="Note 3 3 9 2 9" xfId="53475" xr:uid="{00000000-0005-0000-0000-000040D30000}"/>
    <cellStyle name="Note 3 3 9 3" xfId="5071" xr:uid="{00000000-0005-0000-0000-000041D30000}"/>
    <cellStyle name="Note 3 3 9 3 2" xfId="10551" xr:uid="{00000000-0005-0000-0000-000042D30000}"/>
    <cellStyle name="Note 3 3 9 3 3" xfId="16027" xr:uid="{00000000-0005-0000-0000-000043D30000}"/>
    <cellStyle name="Note 3 3 9 3 4" xfId="21503" xr:uid="{00000000-0005-0000-0000-000044D30000}"/>
    <cellStyle name="Note 3 3 9 3 5" xfId="26979" xr:uid="{00000000-0005-0000-0000-000045D30000}"/>
    <cellStyle name="Note 3 3 9 3 6" xfId="38775" xr:uid="{00000000-0005-0000-0000-000046D30000}"/>
    <cellStyle name="Note 3 3 9 3 7" xfId="44252" xr:uid="{00000000-0005-0000-0000-000047D30000}"/>
    <cellStyle name="Note 3 3 9 3 8" xfId="49729" xr:uid="{00000000-0005-0000-0000-000048D30000}"/>
    <cellStyle name="Note 3 3 9 3 9" xfId="55247" xr:uid="{00000000-0005-0000-0000-000049D30000}"/>
    <cellStyle name="Note 3 3 9 4" xfId="7319" xr:uid="{00000000-0005-0000-0000-00004AD30000}"/>
    <cellStyle name="Note 3 3 9 5" xfId="12798" xr:uid="{00000000-0005-0000-0000-00004BD30000}"/>
    <cellStyle name="Note 3 3 9 6" xfId="18274" xr:uid="{00000000-0005-0000-0000-00004CD30000}"/>
    <cellStyle name="Note 3 3 9 7" xfId="23750" xr:uid="{00000000-0005-0000-0000-00004DD30000}"/>
    <cellStyle name="Note 3 3 9 8" xfId="35545" xr:uid="{00000000-0005-0000-0000-00004ED30000}"/>
    <cellStyle name="Note 3 3 9 9" xfId="41022" xr:uid="{00000000-0005-0000-0000-00004FD30000}"/>
    <cellStyle name="Note 3 4" xfId="163" xr:uid="{00000000-0005-0000-0000-000050D30000}"/>
    <cellStyle name="Note 3 4 10" xfId="1712" xr:uid="{00000000-0005-0000-0000-000051D30000}"/>
    <cellStyle name="Note 3 4 10 10" xfId="46501" xr:uid="{00000000-0005-0000-0000-000052D30000}"/>
    <cellStyle name="Note 3 4 10 11" xfId="51980" xr:uid="{00000000-0005-0000-0000-000053D30000}"/>
    <cellStyle name="Note 3 4 10 2" xfId="3473" xr:uid="{00000000-0005-0000-0000-000054D30000}"/>
    <cellStyle name="Note 3 4 10 2 2" xfId="8953" xr:uid="{00000000-0005-0000-0000-000055D30000}"/>
    <cellStyle name="Note 3 4 10 2 3" xfId="14429" xr:uid="{00000000-0005-0000-0000-000056D30000}"/>
    <cellStyle name="Note 3 4 10 2 4" xfId="19905" xr:uid="{00000000-0005-0000-0000-000057D30000}"/>
    <cellStyle name="Note 3 4 10 2 5" xfId="25381" xr:uid="{00000000-0005-0000-0000-000058D30000}"/>
    <cellStyle name="Note 3 4 10 2 6" xfId="37177" xr:uid="{00000000-0005-0000-0000-000059D30000}"/>
    <cellStyle name="Note 3 4 10 2 7" xfId="42654" xr:uid="{00000000-0005-0000-0000-00005AD30000}"/>
    <cellStyle name="Note 3 4 10 2 8" xfId="48131" xr:uid="{00000000-0005-0000-0000-00005BD30000}"/>
    <cellStyle name="Note 3 4 10 2 9" xfId="53649" xr:uid="{00000000-0005-0000-0000-00005CD30000}"/>
    <cellStyle name="Note 3 4 10 3" xfId="5245" xr:uid="{00000000-0005-0000-0000-00005DD30000}"/>
    <cellStyle name="Note 3 4 10 3 2" xfId="10725" xr:uid="{00000000-0005-0000-0000-00005ED30000}"/>
    <cellStyle name="Note 3 4 10 3 3" xfId="16201" xr:uid="{00000000-0005-0000-0000-00005FD30000}"/>
    <cellStyle name="Note 3 4 10 3 4" xfId="21677" xr:uid="{00000000-0005-0000-0000-000060D30000}"/>
    <cellStyle name="Note 3 4 10 3 5" xfId="27153" xr:uid="{00000000-0005-0000-0000-000061D30000}"/>
    <cellStyle name="Note 3 4 10 3 6" xfId="38949" xr:uid="{00000000-0005-0000-0000-000062D30000}"/>
    <cellStyle name="Note 3 4 10 3 7" xfId="44426" xr:uid="{00000000-0005-0000-0000-000063D30000}"/>
    <cellStyle name="Note 3 4 10 3 8" xfId="49903" xr:uid="{00000000-0005-0000-0000-000064D30000}"/>
    <cellStyle name="Note 3 4 10 3 9" xfId="55421" xr:uid="{00000000-0005-0000-0000-000065D30000}"/>
    <cellStyle name="Note 3 4 10 4" xfId="7321" xr:uid="{00000000-0005-0000-0000-000066D30000}"/>
    <cellStyle name="Note 3 4 10 5" xfId="12800" xr:uid="{00000000-0005-0000-0000-000067D30000}"/>
    <cellStyle name="Note 3 4 10 6" xfId="18276" xr:uid="{00000000-0005-0000-0000-000068D30000}"/>
    <cellStyle name="Note 3 4 10 7" xfId="23752" xr:uid="{00000000-0005-0000-0000-000069D30000}"/>
    <cellStyle name="Note 3 4 10 8" xfId="35547" xr:uid="{00000000-0005-0000-0000-00006AD30000}"/>
    <cellStyle name="Note 3 4 10 9" xfId="41024" xr:uid="{00000000-0005-0000-0000-00006BD30000}"/>
    <cellStyle name="Note 3 4 11" xfId="1901" xr:uid="{00000000-0005-0000-0000-00006CD30000}"/>
    <cellStyle name="Note 3 4 11 10" xfId="46502" xr:uid="{00000000-0005-0000-0000-00006DD30000}"/>
    <cellStyle name="Note 3 4 11 11" xfId="51981" xr:uid="{00000000-0005-0000-0000-00006ED30000}"/>
    <cellStyle name="Note 3 4 11 2" xfId="3662" xr:uid="{00000000-0005-0000-0000-00006FD30000}"/>
    <cellStyle name="Note 3 4 11 2 2" xfId="9142" xr:uid="{00000000-0005-0000-0000-000070D30000}"/>
    <cellStyle name="Note 3 4 11 2 3" xfId="14618" xr:uid="{00000000-0005-0000-0000-000071D30000}"/>
    <cellStyle name="Note 3 4 11 2 4" xfId="20094" xr:uid="{00000000-0005-0000-0000-000072D30000}"/>
    <cellStyle name="Note 3 4 11 2 5" xfId="25570" xr:uid="{00000000-0005-0000-0000-000073D30000}"/>
    <cellStyle name="Note 3 4 11 2 6" xfId="37366" xr:uid="{00000000-0005-0000-0000-000074D30000}"/>
    <cellStyle name="Note 3 4 11 2 7" xfId="42843" xr:uid="{00000000-0005-0000-0000-000075D30000}"/>
    <cellStyle name="Note 3 4 11 2 8" xfId="48320" xr:uid="{00000000-0005-0000-0000-000076D30000}"/>
    <cellStyle name="Note 3 4 11 2 9" xfId="53838" xr:uid="{00000000-0005-0000-0000-000077D30000}"/>
    <cellStyle name="Note 3 4 11 3" xfId="5434" xr:uid="{00000000-0005-0000-0000-000078D30000}"/>
    <cellStyle name="Note 3 4 11 3 2" xfId="10914" xr:uid="{00000000-0005-0000-0000-000079D30000}"/>
    <cellStyle name="Note 3 4 11 3 3" xfId="16390" xr:uid="{00000000-0005-0000-0000-00007AD30000}"/>
    <cellStyle name="Note 3 4 11 3 4" xfId="21866" xr:uid="{00000000-0005-0000-0000-00007BD30000}"/>
    <cellStyle name="Note 3 4 11 3 5" xfId="27342" xr:uid="{00000000-0005-0000-0000-00007CD30000}"/>
    <cellStyle name="Note 3 4 11 3 6" xfId="39138" xr:uid="{00000000-0005-0000-0000-00007DD30000}"/>
    <cellStyle name="Note 3 4 11 3 7" xfId="44615" xr:uid="{00000000-0005-0000-0000-00007ED30000}"/>
    <cellStyle name="Note 3 4 11 3 8" xfId="50092" xr:uid="{00000000-0005-0000-0000-00007FD30000}"/>
    <cellStyle name="Note 3 4 11 3 9" xfId="55610" xr:uid="{00000000-0005-0000-0000-000080D30000}"/>
    <cellStyle name="Note 3 4 11 4" xfId="7322" xr:uid="{00000000-0005-0000-0000-000081D30000}"/>
    <cellStyle name="Note 3 4 11 5" xfId="12801" xr:uid="{00000000-0005-0000-0000-000082D30000}"/>
    <cellStyle name="Note 3 4 11 6" xfId="18277" xr:uid="{00000000-0005-0000-0000-000083D30000}"/>
    <cellStyle name="Note 3 4 11 7" xfId="23753" xr:uid="{00000000-0005-0000-0000-000084D30000}"/>
    <cellStyle name="Note 3 4 11 8" xfId="35548" xr:uid="{00000000-0005-0000-0000-000085D30000}"/>
    <cellStyle name="Note 3 4 11 9" xfId="41025" xr:uid="{00000000-0005-0000-0000-000086D30000}"/>
    <cellStyle name="Note 3 4 12" xfId="2074" xr:uid="{00000000-0005-0000-0000-000087D30000}"/>
    <cellStyle name="Note 3 4 12 10" xfId="52251" xr:uid="{00000000-0005-0000-0000-000088D30000}"/>
    <cellStyle name="Note 3 4 12 2" xfId="5606" xr:uid="{00000000-0005-0000-0000-000089D30000}"/>
    <cellStyle name="Note 3 4 12 2 2" xfId="11086" xr:uid="{00000000-0005-0000-0000-00008AD30000}"/>
    <cellStyle name="Note 3 4 12 2 3" xfId="16562" xr:uid="{00000000-0005-0000-0000-00008BD30000}"/>
    <cellStyle name="Note 3 4 12 2 4" xfId="22038" xr:uid="{00000000-0005-0000-0000-00008CD30000}"/>
    <cellStyle name="Note 3 4 12 2 5" xfId="27514" xr:uid="{00000000-0005-0000-0000-00008DD30000}"/>
    <cellStyle name="Note 3 4 12 2 6" xfId="39310" xr:uid="{00000000-0005-0000-0000-00008ED30000}"/>
    <cellStyle name="Note 3 4 12 2 7" xfId="44787" xr:uid="{00000000-0005-0000-0000-00008FD30000}"/>
    <cellStyle name="Note 3 4 12 2 8" xfId="50264" xr:uid="{00000000-0005-0000-0000-000090D30000}"/>
    <cellStyle name="Note 3 4 12 2 9" xfId="55782" xr:uid="{00000000-0005-0000-0000-000091D30000}"/>
    <cellStyle name="Note 3 4 12 3" xfId="7555" xr:uid="{00000000-0005-0000-0000-000092D30000}"/>
    <cellStyle name="Note 3 4 12 4" xfId="13031" xr:uid="{00000000-0005-0000-0000-000093D30000}"/>
    <cellStyle name="Note 3 4 12 5" xfId="18507" xr:uid="{00000000-0005-0000-0000-000094D30000}"/>
    <cellStyle name="Note 3 4 12 6" xfId="23983" xr:uid="{00000000-0005-0000-0000-000095D30000}"/>
    <cellStyle name="Note 3 4 12 7" xfId="35779" xr:uid="{00000000-0005-0000-0000-000096D30000}"/>
    <cellStyle name="Note 3 4 12 8" xfId="41256" xr:uid="{00000000-0005-0000-0000-000097D30000}"/>
    <cellStyle name="Note 3 4 12 9" xfId="46733" xr:uid="{00000000-0005-0000-0000-000098D30000}"/>
    <cellStyle name="Note 3 4 13" xfId="3735" xr:uid="{00000000-0005-0000-0000-000099D30000}"/>
    <cellStyle name="Note 3 4 13 2" xfId="9215" xr:uid="{00000000-0005-0000-0000-00009AD30000}"/>
    <cellStyle name="Note 3 4 13 3" xfId="14691" xr:uid="{00000000-0005-0000-0000-00009BD30000}"/>
    <cellStyle name="Note 3 4 13 4" xfId="20167" xr:uid="{00000000-0005-0000-0000-00009CD30000}"/>
    <cellStyle name="Note 3 4 13 5" xfId="25643" xr:uid="{00000000-0005-0000-0000-00009DD30000}"/>
    <cellStyle name="Note 3 4 13 6" xfId="37439" xr:uid="{00000000-0005-0000-0000-00009ED30000}"/>
    <cellStyle name="Note 3 4 13 7" xfId="42916" xr:uid="{00000000-0005-0000-0000-00009FD30000}"/>
    <cellStyle name="Note 3 4 13 8" xfId="48393" xr:uid="{00000000-0005-0000-0000-0000A0D30000}"/>
    <cellStyle name="Note 3 4 13 9" xfId="53911" xr:uid="{00000000-0005-0000-0000-0000A1D30000}"/>
    <cellStyle name="Note 3 4 14" xfId="7320" xr:uid="{00000000-0005-0000-0000-0000A2D30000}"/>
    <cellStyle name="Note 3 4 15" xfId="12799" xr:uid="{00000000-0005-0000-0000-0000A3D30000}"/>
    <cellStyle name="Note 3 4 16" xfId="18275" xr:uid="{00000000-0005-0000-0000-0000A4D30000}"/>
    <cellStyle name="Note 3 4 17" xfId="23751" xr:uid="{00000000-0005-0000-0000-0000A5D30000}"/>
    <cellStyle name="Note 3 4 18" xfId="33653" xr:uid="{00000000-0005-0000-0000-0000A6D30000}"/>
    <cellStyle name="Note 3 4 19" xfId="35546" xr:uid="{00000000-0005-0000-0000-0000A7D30000}"/>
    <cellStyle name="Note 3 4 2" xfId="255" xr:uid="{00000000-0005-0000-0000-0000A8D30000}"/>
    <cellStyle name="Note 3 4 2 10" xfId="1902" xr:uid="{00000000-0005-0000-0000-0000A9D30000}"/>
    <cellStyle name="Note 3 4 2 10 10" xfId="46504" xr:uid="{00000000-0005-0000-0000-0000AAD30000}"/>
    <cellStyle name="Note 3 4 2 10 11" xfId="51983" xr:uid="{00000000-0005-0000-0000-0000ABD30000}"/>
    <cellStyle name="Note 3 4 2 10 2" xfId="3663" xr:uid="{00000000-0005-0000-0000-0000ACD30000}"/>
    <cellStyle name="Note 3 4 2 10 2 2" xfId="9143" xr:uid="{00000000-0005-0000-0000-0000ADD30000}"/>
    <cellStyle name="Note 3 4 2 10 2 3" xfId="14619" xr:uid="{00000000-0005-0000-0000-0000AED30000}"/>
    <cellStyle name="Note 3 4 2 10 2 4" xfId="20095" xr:uid="{00000000-0005-0000-0000-0000AFD30000}"/>
    <cellStyle name="Note 3 4 2 10 2 5" xfId="25571" xr:uid="{00000000-0005-0000-0000-0000B0D30000}"/>
    <cellStyle name="Note 3 4 2 10 2 6" xfId="37367" xr:uid="{00000000-0005-0000-0000-0000B1D30000}"/>
    <cellStyle name="Note 3 4 2 10 2 7" xfId="42844" xr:uid="{00000000-0005-0000-0000-0000B2D30000}"/>
    <cellStyle name="Note 3 4 2 10 2 8" xfId="48321" xr:uid="{00000000-0005-0000-0000-0000B3D30000}"/>
    <cellStyle name="Note 3 4 2 10 2 9" xfId="53839" xr:uid="{00000000-0005-0000-0000-0000B4D30000}"/>
    <cellStyle name="Note 3 4 2 10 3" xfId="5435" xr:uid="{00000000-0005-0000-0000-0000B5D30000}"/>
    <cellStyle name="Note 3 4 2 10 3 2" xfId="10915" xr:uid="{00000000-0005-0000-0000-0000B6D30000}"/>
    <cellStyle name="Note 3 4 2 10 3 3" xfId="16391" xr:uid="{00000000-0005-0000-0000-0000B7D30000}"/>
    <cellStyle name="Note 3 4 2 10 3 4" xfId="21867" xr:uid="{00000000-0005-0000-0000-0000B8D30000}"/>
    <cellStyle name="Note 3 4 2 10 3 5" xfId="27343" xr:uid="{00000000-0005-0000-0000-0000B9D30000}"/>
    <cellStyle name="Note 3 4 2 10 3 6" xfId="39139" xr:uid="{00000000-0005-0000-0000-0000BAD30000}"/>
    <cellStyle name="Note 3 4 2 10 3 7" xfId="44616" xr:uid="{00000000-0005-0000-0000-0000BBD30000}"/>
    <cellStyle name="Note 3 4 2 10 3 8" xfId="50093" xr:uid="{00000000-0005-0000-0000-0000BCD30000}"/>
    <cellStyle name="Note 3 4 2 10 3 9" xfId="55611" xr:uid="{00000000-0005-0000-0000-0000BDD30000}"/>
    <cellStyle name="Note 3 4 2 10 4" xfId="7324" xr:uid="{00000000-0005-0000-0000-0000BED30000}"/>
    <cellStyle name="Note 3 4 2 10 5" xfId="12803" xr:uid="{00000000-0005-0000-0000-0000BFD30000}"/>
    <cellStyle name="Note 3 4 2 10 6" xfId="18279" xr:uid="{00000000-0005-0000-0000-0000C0D30000}"/>
    <cellStyle name="Note 3 4 2 10 7" xfId="23755" xr:uid="{00000000-0005-0000-0000-0000C1D30000}"/>
    <cellStyle name="Note 3 4 2 10 8" xfId="35550" xr:uid="{00000000-0005-0000-0000-0000C2D30000}"/>
    <cellStyle name="Note 3 4 2 10 9" xfId="41027" xr:uid="{00000000-0005-0000-0000-0000C3D30000}"/>
    <cellStyle name="Note 3 4 2 11" xfId="2075" xr:uid="{00000000-0005-0000-0000-0000C4D30000}"/>
    <cellStyle name="Note 3 4 2 11 10" xfId="52252" xr:uid="{00000000-0005-0000-0000-0000C5D30000}"/>
    <cellStyle name="Note 3 4 2 11 2" xfId="5607" xr:uid="{00000000-0005-0000-0000-0000C6D30000}"/>
    <cellStyle name="Note 3 4 2 11 2 2" xfId="11087" xr:uid="{00000000-0005-0000-0000-0000C7D30000}"/>
    <cellStyle name="Note 3 4 2 11 2 3" xfId="16563" xr:uid="{00000000-0005-0000-0000-0000C8D30000}"/>
    <cellStyle name="Note 3 4 2 11 2 4" xfId="22039" xr:uid="{00000000-0005-0000-0000-0000C9D30000}"/>
    <cellStyle name="Note 3 4 2 11 2 5" xfId="27515" xr:uid="{00000000-0005-0000-0000-0000CAD30000}"/>
    <cellStyle name="Note 3 4 2 11 2 6" xfId="39311" xr:uid="{00000000-0005-0000-0000-0000CBD30000}"/>
    <cellStyle name="Note 3 4 2 11 2 7" xfId="44788" xr:uid="{00000000-0005-0000-0000-0000CCD30000}"/>
    <cellStyle name="Note 3 4 2 11 2 8" xfId="50265" xr:uid="{00000000-0005-0000-0000-0000CDD30000}"/>
    <cellStyle name="Note 3 4 2 11 2 9" xfId="55783" xr:uid="{00000000-0005-0000-0000-0000CED30000}"/>
    <cellStyle name="Note 3 4 2 11 3" xfId="7556" xr:uid="{00000000-0005-0000-0000-0000CFD30000}"/>
    <cellStyle name="Note 3 4 2 11 4" xfId="13032" xr:uid="{00000000-0005-0000-0000-0000D0D30000}"/>
    <cellStyle name="Note 3 4 2 11 5" xfId="18508" xr:uid="{00000000-0005-0000-0000-0000D1D30000}"/>
    <cellStyle name="Note 3 4 2 11 6" xfId="23984" xr:uid="{00000000-0005-0000-0000-0000D2D30000}"/>
    <cellStyle name="Note 3 4 2 11 7" xfId="35780" xr:uid="{00000000-0005-0000-0000-0000D3D30000}"/>
    <cellStyle name="Note 3 4 2 11 8" xfId="41257" xr:uid="{00000000-0005-0000-0000-0000D4D30000}"/>
    <cellStyle name="Note 3 4 2 11 9" xfId="46734" xr:uid="{00000000-0005-0000-0000-0000D5D30000}"/>
    <cellStyle name="Note 3 4 2 12" xfId="3821" xr:uid="{00000000-0005-0000-0000-0000D6D30000}"/>
    <cellStyle name="Note 3 4 2 12 2" xfId="9301" xr:uid="{00000000-0005-0000-0000-0000D7D30000}"/>
    <cellStyle name="Note 3 4 2 12 3" xfId="14777" xr:uid="{00000000-0005-0000-0000-0000D8D30000}"/>
    <cellStyle name="Note 3 4 2 12 4" xfId="20253" xr:uid="{00000000-0005-0000-0000-0000D9D30000}"/>
    <cellStyle name="Note 3 4 2 12 5" xfId="25729" xr:uid="{00000000-0005-0000-0000-0000DAD30000}"/>
    <cellStyle name="Note 3 4 2 12 6" xfId="37525" xr:uid="{00000000-0005-0000-0000-0000DBD30000}"/>
    <cellStyle name="Note 3 4 2 12 7" xfId="43002" xr:uid="{00000000-0005-0000-0000-0000DCD30000}"/>
    <cellStyle name="Note 3 4 2 12 8" xfId="48479" xr:uid="{00000000-0005-0000-0000-0000DDD30000}"/>
    <cellStyle name="Note 3 4 2 12 9" xfId="53997" xr:uid="{00000000-0005-0000-0000-0000DED30000}"/>
    <cellStyle name="Note 3 4 2 13" xfId="7323" xr:uid="{00000000-0005-0000-0000-0000DFD30000}"/>
    <cellStyle name="Note 3 4 2 14" xfId="12802" xr:uid="{00000000-0005-0000-0000-0000E0D30000}"/>
    <cellStyle name="Note 3 4 2 15" xfId="18278" xr:uid="{00000000-0005-0000-0000-0000E1D30000}"/>
    <cellStyle name="Note 3 4 2 16" xfId="23754" xr:uid="{00000000-0005-0000-0000-0000E2D30000}"/>
    <cellStyle name="Note 3 4 2 17" xfId="33654" xr:uid="{00000000-0005-0000-0000-0000E3D30000}"/>
    <cellStyle name="Note 3 4 2 18" xfId="35549" xr:uid="{00000000-0005-0000-0000-0000E4D30000}"/>
    <cellStyle name="Note 3 4 2 19" xfId="41026" xr:uid="{00000000-0005-0000-0000-0000E5D30000}"/>
    <cellStyle name="Note 3 4 2 2" xfId="471" xr:uid="{00000000-0005-0000-0000-0000E6D30000}"/>
    <cellStyle name="Note 3 4 2 2 10" xfId="41028" xr:uid="{00000000-0005-0000-0000-0000E7D30000}"/>
    <cellStyle name="Note 3 4 2 2 11" xfId="46505" xr:uid="{00000000-0005-0000-0000-0000E8D30000}"/>
    <cellStyle name="Note 3 4 2 2 12" xfId="51984" xr:uid="{00000000-0005-0000-0000-0000E9D30000}"/>
    <cellStyle name="Note 3 4 2 2 2" xfId="2236" xr:uid="{00000000-0005-0000-0000-0000EAD30000}"/>
    <cellStyle name="Note 3 4 2 2 2 2" xfId="7716" xr:uid="{00000000-0005-0000-0000-0000EBD30000}"/>
    <cellStyle name="Note 3 4 2 2 2 3" xfId="13192" xr:uid="{00000000-0005-0000-0000-0000ECD30000}"/>
    <cellStyle name="Note 3 4 2 2 2 4" xfId="18668" xr:uid="{00000000-0005-0000-0000-0000EDD30000}"/>
    <cellStyle name="Note 3 4 2 2 2 5" xfId="24144" xr:uid="{00000000-0005-0000-0000-0000EED30000}"/>
    <cellStyle name="Note 3 4 2 2 2 6" xfId="35940" xr:uid="{00000000-0005-0000-0000-0000EFD30000}"/>
    <cellStyle name="Note 3 4 2 2 2 7" xfId="41417" xr:uid="{00000000-0005-0000-0000-0000F0D30000}"/>
    <cellStyle name="Note 3 4 2 2 2 8" xfId="46894" xr:uid="{00000000-0005-0000-0000-0000F1D30000}"/>
    <cellStyle name="Note 3 4 2 2 2 9" xfId="52412" xr:uid="{00000000-0005-0000-0000-0000F2D30000}"/>
    <cellStyle name="Note 3 4 2 2 3" xfId="4008" xr:uid="{00000000-0005-0000-0000-0000F3D30000}"/>
    <cellStyle name="Note 3 4 2 2 3 2" xfId="9488" xr:uid="{00000000-0005-0000-0000-0000F4D30000}"/>
    <cellStyle name="Note 3 4 2 2 3 3" xfId="14964" xr:uid="{00000000-0005-0000-0000-0000F5D30000}"/>
    <cellStyle name="Note 3 4 2 2 3 4" xfId="20440" xr:uid="{00000000-0005-0000-0000-0000F6D30000}"/>
    <cellStyle name="Note 3 4 2 2 3 5" xfId="25916" xr:uid="{00000000-0005-0000-0000-0000F7D30000}"/>
    <cellStyle name="Note 3 4 2 2 3 6" xfId="37712" xr:uid="{00000000-0005-0000-0000-0000F8D30000}"/>
    <cellStyle name="Note 3 4 2 2 3 7" xfId="43189" xr:uid="{00000000-0005-0000-0000-0000F9D30000}"/>
    <cellStyle name="Note 3 4 2 2 3 8" xfId="48666" xr:uid="{00000000-0005-0000-0000-0000FAD30000}"/>
    <cellStyle name="Note 3 4 2 2 3 9" xfId="54184" xr:uid="{00000000-0005-0000-0000-0000FBD30000}"/>
    <cellStyle name="Note 3 4 2 2 4" xfId="7325" xr:uid="{00000000-0005-0000-0000-0000FCD30000}"/>
    <cellStyle name="Note 3 4 2 2 5" xfId="12804" xr:uid="{00000000-0005-0000-0000-0000FDD30000}"/>
    <cellStyle name="Note 3 4 2 2 6" xfId="18280" xr:uid="{00000000-0005-0000-0000-0000FED30000}"/>
    <cellStyle name="Note 3 4 2 2 7" xfId="23756" xr:uid="{00000000-0005-0000-0000-0000FFD30000}"/>
    <cellStyle name="Note 3 4 2 2 8" xfId="33655" xr:uid="{00000000-0005-0000-0000-000000D40000}"/>
    <cellStyle name="Note 3 4 2 2 9" xfId="35551" xr:uid="{00000000-0005-0000-0000-000001D40000}"/>
    <cellStyle name="Note 3 4 2 20" xfId="46503" xr:uid="{00000000-0005-0000-0000-000002D40000}"/>
    <cellStyle name="Note 3 4 2 21" xfId="51982" xr:uid="{00000000-0005-0000-0000-000003D40000}"/>
    <cellStyle name="Note 3 4 2 3" xfId="647" xr:uid="{00000000-0005-0000-0000-000004D40000}"/>
    <cellStyle name="Note 3 4 2 3 10" xfId="46506" xr:uid="{00000000-0005-0000-0000-000005D40000}"/>
    <cellStyle name="Note 3 4 2 3 11" xfId="51985" xr:uid="{00000000-0005-0000-0000-000006D40000}"/>
    <cellStyle name="Note 3 4 2 3 2" xfId="2408" xr:uid="{00000000-0005-0000-0000-000007D40000}"/>
    <cellStyle name="Note 3 4 2 3 2 2" xfId="7888" xr:uid="{00000000-0005-0000-0000-000008D40000}"/>
    <cellStyle name="Note 3 4 2 3 2 3" xfId="13364" xr:uid="{00000000-0005-0000-0000-000009D40000}"/>
    <cellStyle name="Note 3 4 2 3 2 4" xfId="18840" xr:uid="{00000000-0005-0000-0000-00000AD40000}"/>
    <cellStyle name="Note 3 4 2 3 2 5" xfId="24316" xr:uid="{00000000-0005-0000-0000-00000BD40000}"/>
    <cellStyle name="Note 3 4 2 3 2 6" xfId="36112" xr:uid="{00000000-0005-0000-0000-00000CD40000}"/>
    <cellStyle name="Note 3 4 2 3 2 7" xfId="41589" xr:uid="{00000000-0005-0000-0000-00000DD40000}"/>
    <cellStyle name="Note 3 4 2 3 2 8" xfId="47066" xr:uid="{00000000-0005-0000-0000-00000ED40000}"/>
    <cellStyle name="Note 3 4 2 3 2 9" xfId="52584" xr:uid="{00000000-0005-0000-0000-00000FD40000}"/>
    <cellStyle name="Note 3 4 2 3 3" xfId="4180" xr:uid="{00000000-0005-0000-0000-000010D40000}"/>
    <cellStyle name="Note 3 4 2 3 3 2" xfId="9660" xr:uid="{00000000-0005-0000-0000-000011D40000}"/>
    <cellStyle name="Note 3 4 2 3 3 3" xfId="15136" xr:uid="{00000000-0005-0000-0000-000012D40000}"/>
    <cellStyle name="Note 3 4 2 3 3 4" xfId="20612" xr:uid="{00000000-0005-0000-0000-000013D40000}"/>
    <cellStyle name="Note 3 4 2 3 3 5" xfId="26088" xr:uid="{00000000-0005-0000-0000-000014D40000}"/>
    <cellStyle name="Note 3 4 2 3 3 6" xfId="37884" xr:uid="{00000000-0005-0000-0000-000015D40000}"/>
    <cellStyle name="Note 3 4 2 3 3 7" xfId="43361" xr:uid="{00000000-0005-0000-0000-000016D40000}"/>
    <cellStyle name="Note 3 4 2 3 3 8" xfId="48838" xr:uid="{00000000-0005-0000-0000-000017D40000}"/>
    <cellStyle name="Note 3 4 2 3 3 9" xfId="54356" xr:uid="{00000000-0005-0000-0000-000018D40000}"/>
    <cellStyle name="Note 3 4 2 3 4" xfId="7326" xr:uid="{00000000-0005-0000-0000-000019D40000}"/>
    <cellStyle name="Note 3 4 2 3 5" xfId="12805" xr:uid="{00000000-0005-0000-0000-00001AD40000}"/>
    <cellStyle name="Note 3 4 2 3 6" xfId="18281" xr:uid="{00000000-0005-0000-0000-00001BD40000}"/>
    <cellStyle name="Note 3 4 2 3 7" xfId="23757" xr:uid="{00000000-0005-0000-0000-00001CD40000}"/>
    <cellStyle name="Note 3 4 2 3 8" xfId="35552" xr:uid="{00000000-0005-0000-0000-00001DD40000}"/>
    <cellStyle name="Note 3 4 2 3 9" xfId="41029" xr:uid="{00000000-0005-0000-0000-00001ED40000}"/>
    <cellStyle name="Note 3 4 2 4" xfId="819" xr:uid="{00000000-0005-0000-0000-00001FD40000}"/>
    <cellStyle name="Note 3 4 2 4 10" xfId="46507" xr:uid="{00000000-0005-0000-0000-000020D40000}"/>
    <cellStyle name="Note 3 4 2 4 11" xfId="51986" xr:uid="{00000000-0005-0000-0000-000021D40000}"/>
    <cellStyle name="Note 3 4 2 4 2" xfId="2580" xr:uid="{00000000-0005-0000-0000-000022D40000}"/>
    <cellStyle name="Note 3 4 2 4 2 2" xfId="8060" xr:uid="{00000000-0005-0000-0000-000023D40000}"/>
    <cellStyle name="Note 3 4 2 4 2 3" xfId="13536" xr:uid="{00000000-0005-0000-0000-000024D40000}"/>
    <cellStyle name="Note 3 4 2 4 2 4" xfId="19012" xr:uid="{00000000-0005-0000-0000-000025D40000}"/>
    <cellStyle name="Note 3 4 2 4 2 5" xfId="24488" xr:uid="{00000000-0005-0000-0000-000026D40000}"/>
    <cellStyle name="Note 3 4 2 4 2 6" xfId="36284" xr:uid="{00000000-0005-0000-0000-000027D40000}"/>
    <cellStyle name="Note 3 4 2 4 2 7" xfId="41761" xr:uid="{00000000-0005-0000-0000-000028D40000}"/>
    <cellStyle name="Note 3 4 2 4 2 8" xfId="47238" xr:uid="{00000000-0005-0000-0000-000029D40000}"/>
    <cellStyle name="Note 3 4 2 4 2 9" xfId="52756" xr:uid="{00000000-0005-0000-0000-00002AD40000}"/>
    <cellStyle name="Note 3 4 2 4 3" xfId="4352" xr:uid="{00000000-0005-0000-0000-00002BD40000}"/>
    <cellStyle name="Note 3 4 2 4 3 2" xfId="9832" xr:uid="{00000000-0005-0000-0000-00002CD40000}"/>
    <cellStyle name="Note 3 4 2 4 3 3" xfId="15308" xr:uid="{00000000-0005-0000-0000-00002DD40000}"/>
    <cellStyle name="Note 3 4 2 4 3 4" xfId="20784" xr:uid="{00000000-0005-0000-0000-00002ED40000}"/>
    <cellStyle name="Note 3 4 2 4 3 5" xfId="26260" xr:uid="{00000000-0005-0000-0000-00002FD40000}"/>
    <cellStyle name="Note 3 4 2 4 3 6" xfId="38056" xr:uid="{00000000-0005-0000-0000-000030D40000}"/>
    <cellStyle name="Note 3 4 2 4 3 7" xfId="43533" xr:uid="{00000000-0005-0000-0000-000031D40000}"/>
    <cellStyle name="Note 3 4 2 4 3 8" xfId="49010" xr:uid="{00000000-0005-0000-0000-000032D40000}"/>
    <cellStyle name="Note 3 4 2 4 3 9" xfId="54528" xr:uid="{00000000-0005-0000-0000-000033D40000}"/>
    <cellStyle name="Note 3 4 2 4 4" xfId="7327" xr:uid="{00000000-0005-0000-0000-000034D40000}"/>
    <cellStyle name="Note 3 4 2 4 5" xfId="12806" xr:uid="{00000000-0005-0000-0000-000035D40000}"/>
    <cellStyle name="Note 3 4 2 4 6" xfId="18282" xr:uid="{00000000-0005-0000-0000-000036D40000}"/>
    <cellStyle name="Note 3 4 2 4 7" xfId="23758" xr:uid="{00000000-0005-0000-0000-000037D40000}"/>
    <cellStyle name="Note 3 4 2 4 8" xfId="35553" xr:uid="{00000000-0005-0000-0000-000038D40000}"/>
    <cellStyle name="Note 3 4 2 4 9" xfId="41030" xr:uid="{00000000-0005-0000-0000-000039D40000}"/>
    <cellStyle name="Note 3 4 2 5" xfId="991" xr:uid="{00000000-0005-0000-0000-00003AD40000}"/>
    <cellStyle name="Note 3 4 2 5 10" xfId="46508" xr:uid="{00000000-0005-0000-0000-00003BD40000}"/>
    <cellStyle name="Note 3 4 2 5 11" xfId="51987" xr:uid="{00000000-0005-0000-0000-00003CD40000}"/>
    <cellStyle name="Note 3 4 2 5 2" xfId="2752" xr:uid="{00000000-0005-0000-0000-00003DD40000}"/>
    <cellStyle name="Note 3 4 2 5 2 2" xfId="8232" xr:uid="{00000000-0005-0000-0000-00003ED40000}"/>
    <cellStyle name="Note 3 4 2 5 2 3" xfId="13708" xr:uid="{00000000-0005-0000-0000-00003FD40000}"/>
    <cellStyle name="Note 3 4 2 5 2 4" xfId="19184" xr:uid="{00000000-0005-0000-0000-000040D40000}"/>
    <cellStyle name="Note 3 4 2 5 2 5" xfId="24660" xr:uid="{00000000-0005-0000-0000-000041D40000}"/>
    <cellStyle name="Note 3 4 2 5 2 6" xfId="36456" xr:uid="{00000000-0005-0000-0000-000042D40000}"/>
    <cellStyle name="Note 3 4 2 5 2 7" xfId="41933" xr:uid="{00000000-0005-0000-0000-000043D40000}"/>
    <cellStyle name="Note 3 4 2 5 2 8" xfId="47410" xr:uid="{00000000-0005-0000-0000-000044D40000}"/>
    <cellStyle name="Note 3 4 2 5 2 9" xfId="52928" xr:uid="{00000000-0005-0000-0000-000045D40000}"/>
    <cellStyle name="Note 3 4 2 5 3" xfId="4524" xr:uid="{00000000-0005-0000-0000-000046D40000}"/>
    <cellStyle name="Note 3 4 2 5 3 2" xfId="10004" xr:uid="{00000000-0005-0000-0000-000047D40000}"/>
    <cellStyle name="Note 3 4 2 5 3 3" xfId="15480" xr:uid="{00000000-0005-0000-0000-000048D40000}"/>
    <cellStyle name="Note 3 4 2 5 3 4" xfId="20956" xr:uid="{00000000-0005-0000-0000-000049D40000}"/>
    <cellStyle name="Note 3 4 2 5 3 5" xfId="26432" xr:uid="{00000000-0005-0000-0000-00004AD40000}"/>
    <cellStyle name="Note 3 4 2 5 3 6" xfId="38228" xr:uid="{00000000-0005-0000-0000-00004BD40000}"/>
    <cellStyle name="Note 3 4 2 5 3 7" xfId="43705" xr:uid="{00000000-0005-0000-0000-00004CD40000}"/>
    <cellStyle name="Note 3 4 2 5 3 8" xfId="49182" xr:uid="{00000000-0005-0000-0000-00004DD40000}"/>
    <cellStyle name="Note 3 4 2 5 3 9" xfId="54700" xr:uid="{00000000-0005-0000-0000-00004ED40000}"/>
    <cellStyle name="Note 3 4 2 5 4" xfId="7328" xr:uid="{00000000-0005-0000-0000-00004FD40000}"/>
    <cellStyle name="Note 3 4 2 5 5" xfId="12807" xr:uid="{00000000-0005-0000-0000-000050D40000}"/>
    <cellStyle name="Note 3 4 2 5 6" xfId="18283" xr:uid="{00000000-0005-0000-0000-000051D40000}"/>
    <cellStyle name="Note 3 4 2 5 7" xfId="23759" xr:uid="{00000000-0005-0000-0000-000052D40000}"/>
    <cellStyle name="Note 3 4 2 5 8" xfId="35554" xr:uid="{00000000-0005-0000-0000-000053D40000}"/>
    <cellStyle name="Note 3 4 2 5 9" xfId="41031" xr:uid="{00000000-0005-0000-0000-000054D40000}"/>
    <cellStyle name="Note 3 4 2 6" xfId="1197" xr:uid="{00000000-0005-0000-0000-000055D40000}"/>
    <cellStyle name="Note 3 4 2 6 10" xfId="46509" xr:uid="{00000000-0005-0000-0000-000056D40000}"/>
    <cellStyle name="Note 3 4 2 6 11" xfId="51988" xr:uid="{00000000-0005-0000-0000-000057D40000}"/>
    <cellStyle name="Note 3 4 2 6 2" xfId="2958" xr:uid="{00000000-0005-0000-0000-000058D40000}"/>
    <cellStyle name="Note 3 4 2 6 2 2" xfId="8438" xr:uid="{00000000-0005-0000-0000-000059D40000}"/>
    <cellStyle name="Note 3 4 2 6 2 3" xfId="13914" xr:uid="{00000000-0005-0000-0000-00005AD40000}"/>
    <cellStyle name="Note 3 4 2 6 2 4" xfId="19390" xr:uid="{00000000-0005-0000-0000-00005BD40000}"/>
    <cellStyle name="Note 3 4 2 6 2 5" xfId="24866" xr:uid="{00000000-0005-0000-0000-00005CD40000}"/>
    <cellStyle name="Note 3 4 2 6 2 6" xfId="36662" xr:uid="{00000000-0005-0000-0000-00005DD40000}"/>
    <cellStyle name="Note 3 4 2 6 2 7" xfId="42139" xr:uid="{00000000-0005-0000-0000-00005ED40000}"/>
    <cellStyle name="Note 3 4 2 6 2 8" xfId="47616" xr:uid="{00000000-0005-0000-0000-00005FD40000}"/>
    <cellStyle name="Note 3 4 2 6 2 9" xfId="53134" xr:uid="{00000000-0005-0000-0000-000060D40000}"/>
    <cellStyle name="Note 3 4 2 6 3" xfId="4730" xr:uid="{00000000-0005-0000-0000-000061D40000}"/>
    <cellStyle name="Note 3 4 2 6 3 2" xfId="10210" xr:uid="{00000000-0005-0000-0000-000062D40000}"/>
    <cellStyle name="Note 3 4 2 6 3 3" xfId="15686" xr:uid="{00000000-0005-0000-0000-000063D40000}"/>
    <cellStyle name="Note 3 4 2 6 3 4" xfId="21162" xr:uid="{00000000-0005-0000-0000-000064D40000}"/>
    <cellStyle name="Note 3 4 2 6 3 5" xfId="26638" xr:uid="{00000000-0005-0000-0000-000065D40000}"/>
    <cellStyle name="Note 3 4 2 6 3 6" xfId="38434" xr:uid="{00000000-0005-0000-0000-000066D40000}"/>
    <cellStyle name="Note 3 4 2 6 3 7" xfId="43911" xr:uid="{00000000-0005-0000-0000-000067D40000}"/>
    <cellStyle name="Note 3 4 2 6 3 8" xfId="49388" xr:uid="{00000000-0005-0000-0000-000068D40000}"/>
    <cellStyle name="Note 3 4 2 6 3 9" xfId="54906" xr:uid="{00000000-0005-0000-0000-000069D40000}"/>
    <cellStyle name="Note 3 4 2 6 4" xfId="7329" xr:uid="{00000000-0005-0000-0000-00006AD40000}"/>
    <cellStyle name="Note 3 4 2 6 5" xfId="12808" xr:uid="{00000000-0005-0000-0000-00006BD40000}"/>
    <cellStyle name="Note 3 4 2 6 6" xfId="18284" xr:uid="{00000000-0005-0000-0000-00006CD40000}"/>
    <cellStyle name="Note 3 4 2 6 7" xfId="23760" xr:uid="{00000000-0005-0000-0000-00006DD40000}"/>
    <cellStyle name="Note 3 4 2 6 8" xfId="35555" xr:uid="{00000000-0005-0000-0000-00006ED40000}"/>
    <cellStyle name="Note 3 4 2 6 9" xfId="41032" xr:uid="{00000000-0005-0000-0000-00006FD40000}"/>
    <cellStyle name="Note 3 4 2 7" xfId="1369" xr:uid="{00000000-0005-0000-0000-000070D40000}"/>
    <cellStyle name="Note 3 4 2 7 10" xfId="46510" xr:uid="{00000000-0005-0000-0000-000071D40000}"/>
    <cellStyle name="Note 3 4 2 7 11" xfId="51989" xr:uid="{00000000-0005-0000-0000-000072D40000}"/>
    <cellStyle name="Note 3 4 2 7 2" xfId="3130" xr:uid="{00000000-0005-0000-0000-000073D40000}"/>
    <cellStyle name="Note 3 4 2 7 2 2" xfId="8610" xr:uid="{00000000-0005-0000-0000-000074D40000}"/>
    <cellStyle name="Note 3 4 2 7 2 3" xfId="14086" xr:uid="{00000000-0005-0000-0000-000075D40000}"/>
    <cellStyle name="Note 3 4 2 7 2 4" xfId="19562" xr:uid="{00000000-0005-0000-0000-000076D40000}"/>
    <cellStyle name="Note 3 4 2 7 2 5" xfId="25038" xr:uid="{00000000-0005-0000-0000-000077D40000}"/>
    <cellStyle name="Note 3 4 2 7 2 6" xfId="36834" xr:uid="{00000000-0005-0000-0000-000078D40000}"/>
    <cellStyle name="Note 3 4 2 7 2 7" xfId="42311" xr:uid="{00000000-0005-0000-0000-000079D40000}"/>
    <cellStyle name="Note 3 4 2 7 2 8" xfId="47788" xr:uid="{00000000-0005-0000-0000-00007AD40000}"/>
    <cellStyle name="Note 3 4 2 7 2 9" xfId="53306" xr:uid="{00000000-0005-0000-0000-00007BD40000}"/>
    <cellStyle name="Note 3 4 2 7 3" xfId="4902" xr:uid="{00000000-0005-0000-0000-00007CD40000}"/>
    <cellStyle name="Note 3 4 2 7 3 2" xfId="10382" xr:uid="{00000000-0005-0000-0000-00007DD40000}"/>
    <cellStyle name="Note 3 4 2 7 3 3" xfId="15858" xr:uid="{00000000-0005-0000-0000-00007ED40000}"/>
    <cellStyle name="Note 3 4 2 7 3 4" xfId="21334" xr:uid="{00000000-0005-0000-0000-00007FD40000}"/>
    <cellStyle name="Note 3 4 2 7 3 5" xfId="26810" xr:uid="{00000000-0005-0000-0000-000080D40000}"/>
    <cellStyle name="Note 3 4 2 7 3 6" xfId="38606" xr:uid="{00000000-0005-0000-0000-000081D40000}"/>
    <cellStyle name="Note 3 4 2 7 3 7" xfId="44083" xr:uid="{00000000-0005-0000-0000-000082D40000}"/>
    <cellStyle name="Note 3 4 2 7 3 8" xfId="49560" xr:uid="{00000000-0005-0000-0000-000083D40000}"/>
    <cellStyle name="Note 3 4 2 7 3 9" xfId="55078" xr:uid="{00000000-0005-0000-0000-000084D40000}"/>
    <cellStyle name="Note 3 4 2 7 4" xfId="7330" xr:uid="{00000000-0005-0000-0000-000085D40000}"/>
    <cellStyle name="Note 3 4 2 7 5" xfId="12809" xr:uid="{00000000-0005-0000-0000-000086D40000}"/>
    <cellStyle name="Note 3 4 2 7 6" xfId="18285" xr:uid="{00000000-0005-0000-0000-000087D40000}"/>
    <cellStyle name="Note 3 4 2 7 7" xfId="23761" xr:uid="{00000000-0005-0000-0000-000088D40000}"/>
    <cellStyle name="Note 3 4 2 7 8" xfId="35556" xr:uid="{00000000-0005-0000-0000-000089D40000}"/>
    <cellStyle name="Note 3 4 2 7 9" xfId="41033" xr:uid="{00000000-0005-0000-0000-00008AD40000}"/>
    <cellStyle name="Note 3 4 2 8" xfId="1541" xr:uid="{00000000-0005-0000-0000-00008BD40000}"/>
    <cellStyle name="Note 3 4 2 8 10" xfId="46511" xr:uid="{00000000-0005-0000-0000-00008CD40000}"/>
    <cellStyle name="Note 3 4 2 8 11" xfId="51990" xr:uid="{00000000-0005-0000-0000-00008DD40000}"/>
    <cellStyle name="Note 3 4 2 8 2" xfId="3302" xr:uid="{00000000-0005-0000-0000-00008ED40000}"/>
    <cellStyle name="Note 3 4 2 8 2 2" xfId="8782" xr:uid="{00000000-0005-0000-0000-00008FD40000}"/>
    <cellStyle name="Note 3 4 2 8 2 3" xfId="14258" xr:uid="{00000000-0005-0000-0000-000090D40000}"/>
    <cellStyle name="Note 3 4 2 8 2 4" xfId="19734" xr:uid="{00000000-0005-0000-0000-000091D40000}"/>
    <cellStyle name="Note 3 4 2 8 2 5" xfId="25210" xr:uid="{00000000-0005-0000-0000-000092D40000}"/>
    <cellStyle name="Note 3 4 2 8 2 6" xfId="37006" xr:uid="{00000000-0005-0000-0000-000093D40000}"/>
    <cellStyle name="Note 3 4 2 8 2 7" xfId="42483" xr:uid="{00000000-0005-0000-0000-000094D40000}"/>
    <cellStyle name="Note 3 4 2 8 2 8" xfId="47960" xr:uid="{00000000-0005-0000-0000-000095D40000}"/>
    <cellStyle name="Note 3 4 2 8 2 9" xfId="53478" xr:uid="{00000000-0005-0000-0000-000096D40000}"/>
    <cellStyle name="Note 3 4 2 8 3" xfId="5074" xr:uid="{00000000-0005-0000-0000-000097D40000}"/>
    <cellStyle name="Note 3 4 2 8 3 2" xfId="10554" xr:uid="{00000000-0005-0000-0000-000098D40000}"/>
    <cellStyle name="Note 3 4 2 8 3 3" xfId="16030" xr:uid="{00000000-0005-0000-0000-000099D40000}"/>
    <cellStyle name="Note 3 4 2 8 3 4" xfId="21506" xr:uid="{00000000-0005-0000-0000-00009AD40000}"/>
    <cellStyle name="Note 3 4 2 8 3 5" xfId="26982" xr:uid="{00000000-0005-0000-0000-00009BD40000}"/>
    <cellStyle name="Note 3 4 2 8 3 6" xfId="38778" xr:uid="{00000000-0005-0000-0000-00009CD40000}"/>
    <cellStyle name="Note 3 4 2 8 3 7" xfId="44255" xr:uid="{00000000-0005-0000-0000-00009DD40000}"/>
    <cellStyle name="Note 3 4 2 8 3 8" xfId="49732" xr:uid="{00000000-0005-0000-0000-00009ED40000}"/>
    <cellStyle name="Note 3 4 2 8 3 9" xfId="55250" xr:uid="{00000000-0005-0000-0000-00009FD40000}"/>
    <cellStyle name="Note 3 4 2 8 4" xfId="7331" xr:uid="{00000000-0005-0000-0000-0000A0D40000}"/>
    <cellStyle name="Note 3 4 2 8 5" xfId="12810" xr:uid="{00000000-0005-0000-0000-0000A1D40000}"/>
    <cellStyle name="Note 3 4 2 8 6" xfId="18286" xr:uid="{00000000-0005-0000-0000-0000A2D40000}"/>
    <cellStyle name="Note 3 4 2 8 7" xfId="23762" xr:uid="{00000000-0005-0000-0000-0000A3D40000}"/>
    <cellStyle name="Note 3 4 2 8 8" xfId="35557" xr:uid="{00000000-0005-0000-0000-0000A4D40000}"/>
    <cellStyle name="Note 3 4 2 8 9" xfId="41034" xr:uid="{00000000-0005-0000-0000-0000A5D40000}"/>
    <cellStyle name="Note 3 4 2 9" xfId="1713" xr:uid="{00000000-0005-0000-0000-0000A6D40000}"/>
    <cellStyle name="Note 3 4 2 9 10" xfId="46512" xr:uid="{00000000-0005-0000-0000-0000A7D40000}"/>
    <cellStyle name="Note 3 4 2 9 11" xfId="51991" xr:uid="{00000000-0005-0000-0000-0000A8D40000}"/>
    <cellStyle name="Note 3 4 2 9 2" xfId="3474" xr:uid="{00000000-0005-0000-0000-0000A9D40000}"/>
    <cellStyle name="Note 3 4 2 9 2 2" xfId="8954" xr:uid="{00000000-0005-0000-0000-0000AAD40000}"/>
    <cellStyle name="Note 3 4 2 9 2 3" xfId="14430" xr:uid="{00000000-0005-0000-0000-0000ABD40000}"/>
    <cellStyle name="Note 3 4 2 9 2 4" xfId="19906" xr:uid="{00000000-0005-0000-0000-0000ACD40000}"/>
    <cellStyle name="Note 3 4 2 9 2 5" xfId="25382" xr:uid="{00000000-0005-0000-0000-0000ADD40000}"/>
    <cellStyle name="Note 3 4 2 9 2 6" xfId="37178" xr:uid="{00000000-0005-0000-0000-0000AED40000}"/>
    <cellStyle name="Note 3 4 2 9 2 7" xfId="42655" xr:uid="{00000000-0005-0000-0000-0000AFD40000}"/>
    <cellStyle name="Note 3 4 2 9 2 8" xfId="48132" xr:uid="{00000000-0005-0000-0000-0000B0D40000}"/>
    <cellStyle name="Note 3 4 2 9 2 9" xfId="53650" xr:uid="{00000000-0005-0000-0000-0000B1D40000}"/>
    <cellStyle name="Note 3 4 2 9 3" xfId="5246" xr:uid="{00000000-0005-0000-0000-0000B2D40000}"/>
    <cellStyle name="Note 3 4 2 9 3 2" xfId="10726" xr:uid="{00000000-0005-0000-0000-0000B3D40000}"/>
    <cellStyle name="Note 3 4 2 9 3 3" xfId="16202" xr:uid="{00000000-0005-0000-0000-0000B4D40000}"/>
    <cellStyle name="Note 3 4 2 9 3 4" xfId="21678" xr:uid="{00000000-0005-0000-0000-0000B5D40000}"/>
    <cellStyle name="Note 3 4 2 9 3 5" xfId="27154" xr:uid="{00000000-0005-0000-0000-0000B6D40000}"/>
    <cellStyle name="Note 3 4 2 9 3 6" xfId="38950" xr:uid="{00000000-0005-0000-0000-0000B7D40000}"/>
    <cellStyle name="Note 3 4 2 9 3 7" xfId="44427" xr:uid="{00000000-0005-0000-0000-0000B8D40000}"/>
    <cellStyle name="Note 3 4 2 9 3 8" xfId="49904" xr:uid="{00000000-0005-0000-0000-0000B9D40000}"/>
    <cellStyle name="Note 3 4 2 9 3 9" xfId="55422" xr:uid="{00000000-0005-0000-0000-0000BAD40000}"/>
    <cellStyle name="Note 3 4 2 9 4" xfId="7332" xr:uid="{00000000-0005-0000-0000-0000BBD40000}"/>
    <cellStyle name="Note 3 4 2 9 5" xfId="12811" xr:uid="{00000000-0005-0000-0000-0000BCD40000}"/>
    <cellStyle name="Note 3 4 2 9 6" xfId="18287" xr:uid="{00000000-0005-0000-0000-0000BDD40000}"/>
    <cellStyle name="Note 3 4 2 9 7" xfId="23763" xr:uid="{00000000-0005-0000-0000-0000BED40000}"/>
    <cellStyle name="Note 3 4 2 9 8" xfId="35558" xr:uid="{00000000-0005-0000-0000-0000BFD40000}"/>
    <cellStyle name="Note 3 4 2 9 9" xfId="41035" xr:uid="{00000000-0005-0000-0000-0000C0D40000}"/>
    <cellStyle name="Note 3 4 20" xfId="41023" xr:uid="{00000000-0005-0000-0000-0000C1D40000}"/>
    <cellStyle name="Note 3 4 21" xfId="46500" xr:uid="{00000000-0005-0000-0000-0000C2D40000}"/>
    <cellStyle name="Note 3 4 22" xfId="51979" xr:uid="{00000000-0005-0000-0000-0000C3D40000}"/>
    <cellStyle name="Note 3 4 3" xfId="470" xr:uid="{00000000-0005-0000-0000-0000C4D40000}"/>
    <cellStyle name="Note 3 4 3 10" xfId="41036" xr:uid="{00000000-0005-0000-0000-0000C5D40000}"/>
    <cellStyle name="Note 3 4 3 11" xfId="46513" xr:uid="{00000000-0005-0000-0000-0000C6D40000}"/>
    <cellStyle name="Note 3 4 3 12" xfId="51992" xr:uid="{00000000-0005-0000-0000-0000C7D40000}"/>
    <cellStyle name="Note 3 4 3 2" xfId="2235" xr:uid="{00000000-0005-0000-0000-0000C8D40000}"/>
    <cellStyle name="Note 3 4 3 2 2" xfId="7715" xr:uid="{00000000-0005-0000-0000-0000C9D40000}"/>
    <cellStyle name="Note 3 4 3 2 3" xfId="13191" xr:uid="{00000000-0005-0000-0000-0000CAD40000}"/>
    <cellStyle name="Note 3 4 3 2 4" xfId="18667" xr:uid="{00000000-0005-0000-0000-0000CBD40000}"/>
    <cellStyle name="Note 3 4 3 2 5" xfId="24143" xr:uid="{00000000-0005-0000-0000-0000CCD40000}"/>
    <cellStyle name="Note 3 4 3 2 6" xfId="35939" xr:uid="{00000000-0005-0000-0000-0000CDD40000}"/>
    <cellStyle name="Note 3 4 3 2 7" xfId="41416" xr:uid="{00000000-0005-0000-0000-0000CED40000}"/>
    <cellStyle name="Note 3 4 3 2 8" xfId="46893" xr:uid="{00000000-0005-0000-0000-0000CFD40000}"/>
    <cellStyle name="Note 3 4 3 2 9" xfId="52411" xr:uid="{00000000-0005-0000-0000-0000D0D40000}"/>
    <cellStyle name="Note 3 4 3 3" xfId="4007" xr:uid="{00000000-0005-0000-0000-0000D1D40000}"/>
    <cellStyle name="Note 3 4 3 3 2" xfId="9487" xr:uid="{00000000-0005-0000-0000-0000D2D40000}"/>
    <cellStyle name="Note 3 4 3 3 3" xfId="14963" xr:uid="{00000000-0005-0000-0000-0000D3D40000}"/>
    <cellStyle name="Note 3 4 3 3 4" xfId="20439" xr:uid="{00000000-0005-0000-0000-0000D4D40000}"/>
    <cellStyle name="Note 3 4 3 3 5" xfId="25915" xr:uid="{00000000-0005-0000-0000-0000D5D40000}"/>
    <cellStyle name="Note 3 4 3 3 6" xfId="37711" xr:uid="{00000000-0005-0000-0000-0000D6D40000}"/>
    <cellStyle name="Note 3 4 3 3 7" xfId="43188" xr:uid="{00000000-0005-0000-0000-0000D7D40000}"/>
    <cellStyle name="Note 3 4 3 3 8" xfId="48665" xr:uid="{00000000-0005-0000-0000-0000D8D40000}"/>
    <cellStyle name="Note 3 4 3 3 9" xfId="54183" xr:uid="{00000000-0005-0000-0000-0000D9D40000}"/>
    <cellStyle name="Note 3 4 3 4" xfId="7333" xr:uid="{00000000-0005-0000-0000-0000DAD40000}"/>
    <cellStyle name="Note 3 4 3 5" xfId="12812" xr:uid="{00000000-0005-0000-0000-0000DBD40000}"/>
    <cellStyle name="Note 3 4 3 6" xfId="18288" xr:uid="{00000000-0005-0000-0000-0000DCD40000}"/>
    <cellStyle name="Note 3 4 3 7" xfId="23764" xr:uid="{00000000-0005-0000-0000-0000DDD40000}"/>
    <cellStyle name="Note 3 4 3 8" xfId="33656" xr:uid="{00000000-0005-0000-0000-0000DED40000}"/>
    <cellStyle name="Note 3 4 3 9" xfId="35559" xr:uid="{00000000-0005-0000-0000-0000DFD40000}"/>
    <cellStyle name="Note 3 4 4" xfId="646" xr:uid="{00000000-0005-0000-0000-0000E0D40000}"/>
    <cellStyle name="Note 3 4 4 10" xfId="46514" xr:uid="{00000000-0005-0000-0000-0000E1D40000}"/>
    <cellStyle name="Note 3 4 4 11" xfId="51993" xr:uid="{00000000-0005-0000-0000-0000E2D40000}"/>
    <cellStyle name="Note 3 4 4 2" xfId="2407" xr:uid="{00000000-0005-0000-0000-0000E3D40000}"/>
    <cellStyle name="Note 3 4 4 2 2" xfId="7887" xr:uid="{00000000-0005-0000-0000-0000E4D40000}"/>
    <cellStyle name="Note 3 4 4 2 3" xfId="13363" xr:uid="{00000000-0005-0000-0000-0000E5D40000}"/>
    <cellStyle name="Note 3 4 4 2 4" xfId="18839" xr:uid="{00000000-0005-0000-0000-0000E6D40000}"/>
    <cellStyle name="Note 3 4 4 2 5" xfId="24315" xr:uid="{00000000-0005-0000-0000-0000E7D40000}"/>
    <cellStyle name="Note 3 4 4 2 6" xfId="36111" xr:uid="{00000000-0005-0000-0000-0000E8D40000}"/>
    <cellStyle name="Note 3 4 4 2 7" xfId="41588" xr:uid="{00000000-0005-0000-0000-0000E9D40000}"/>
    <cellStyle name="Note 3 4 4 2 8" xfId="47065" xr:uid="{00000000-0005-0000-0000-0000EAD40000}"/>
    <cellStyle name="Note 3 4 4 2 9" xfId="52583" xr:uid="{00000000-0005-0000-0000-0000EBD40000}"/>
    <cellStyle name="Note 3 4 4 3" xfId="4179" xr:uid="{00000000-0005-0000-0000-0000ECD40000}"/>
    <cellStyle name="Note 3 4 4 3 2" xfId="9659" xr:uid="{00000000-0005-0000-0000-0000EDD40000}"/>
    <cellStyle name="Note 3 4 4 3 3" xfId="15135" xr:uid="{00000000-0005-0000-0000-0000EED40000}"/>
    <cellStyle name="Note 3 4 4 3 4" xfId="20611" xr:uid="{00000000-0005-0000-0000-0000EFD40000}"/>
    <cellStyle name="Note 3 4 4 3 5" xfId="26087" xr:uid="{00000000-0005-0000-0000-0000F0D40000}"/>
    <cellStyle name="Note 3 4 4 3 6" xfId="37883" xr:uid="{00000000-0005-0000-0000-0000F1D40000}"/>
    <cellStyle name="Note 3 4 4 3 7" xfId="43360" xr:uid="{00000000-0005-0000-0000-0000F2D40000}"/>
    <cellStyle name="Note 3 4 4 3 8" xfId="48837" xr:uid="{00000000-0005-0000-0000-0000F3D40000}"/>
    <cellStyle name="Note 3 4 4 3 9" xfId="54355" xr:uid="{00000000-0005-0000-0000-0000F4D40000}"/>
    <cellStyle name="Note 3 4 4 4" xfId="7334" xr:uid="{00000000-0005-0000-0000-0000F5D40000}"/>
    <cellStyle name="Note 3 4 4 5" xfId="12813" xr:uid="{00000000-0005-0000-0000-0000F6D40000}"/>
    <cellStyle name="Note 3 4 4 6" xfId="18289" xr:uid="{00000000-0005-0000-0000-0000F7D40000}"/>
    <cellStyle name="Note 3 4 4 7" xfId="23765" xr:uid="{00000000-0005-0000-0000-0000F8D40000}"/>
    <cellStyle name="Note 3 4 4 8" xfId="35560" xr:uid="{00000000-0005-0000-0000-0000F9D40000}"/>
    <cellStyle name="Note 3 4 4 9" xfId="41037" xr:uid="{00000000-0005-0000-0000-0000FAD40000}"/>
    <cellStyle name="Note 3 4 5" xfId="818" xr:uid="{00000000-0005-0000-0000-0000FBD40000}"/>
    <cellStyle name="Note 3 4 5 10" xfId="46515" xr:uid="{00000000-0005-0000-0000-0000FCD40000}"/>
    <cellStyle name="Note 3 4 5 11" xfId="51994" xr:uid="{00000000-0005-0000-0000-0000FDD40000}"/>
    <cellStyle name="Note 3 4 5 2" xfId="2579" xr:uid="{00000000-0005-0000-0000-0000FED40000}"/>
    <cellStyle name="Note 3 4 5 2 2" xfId="8059" xr:uid="{00000000-0005-0000-0000-0000FFD40000}"/>
    <cellStyle name="Note 3 4 5 2 3" xfId="13535" xr:uid="{00000000-0005-0000-0000-000000D50000}"/>
    <cellStyle name="Note 3 4 5 2 4" xfId="19011" xr:uid="{00000000-0005-0000-0000-000001D50000}"/>
    <cellStyle name="Note 3 4 5 2 5" xfId="24487" xr:uid="{00000000-0005-0000-0000-000002D50000}"/>
    <cellStyle name="Note 3 4 5 2 6" xfId="36283" xr:uid="{00000000-0005-0000-0000-000003D50000}"/>
    <cellStyle name="Note 3 4 5 2 7" xfId="41760" xr:uid="{00000000-0005-0000-0000-000004D50000}"/>
    <cellStyle name="Note 3 4 5 2 8" xfId="47237" xr:uid="{00000000-0005-0000-0000-000005D50000}"/>
    <cellStyle name="Note 3 4 5 2 9" xfId="52755" xr:uid="{00000000-0005-0000-0000-000006D50000}"/>
    <cellStyle name="Note 3 4 5 3" xfId="4351" xr:uid="{00000000-0005-0000-0000-000007D50000}"/>
    <cellStyle name="Note 3 4 5 3 2" xfId="9831" xr:uid="{00000000-0005-0000-0000-000008D50000}"/>
    <cellStyle name="Note 3 4 5 3 3" xfId="15307" xr:uid="{00000000-0005-0000-0000-000009D50000}"/>
    <cellStyle name="Note 3 4 5 3 4" xfId="20783" xr:uid="{00000000-0005-0000-0000-00000AD50000}"/>
    <cellStyle name="Note 3 4 5 3 5" xfId="26259" xr:uid="{00000000-0005-0000-0000-00000BD50000}"/>
    <cellStyle name="Note 3 4 5 3 6" xfId="38055" xr:uid="{00000000-0005-0000-0000-00000CD50000}"/>
    <cellStyle name="Note 3 4 5 3 7" xfId="43532" xr:uid="{00000000-0005-0000-0000-00000DD50000}"/>
    <cellStyle name="Note 3 4 5 3 8" xfId="49009" xr:uid="{00000000-0005-0000-0000-00000ED50000}"/>
    <cellStyle name="Note 3 4 5 3 9" xfId="54527" xr:uid="{00000000-0005-0000-0000-00000FD50000}"/>
    <cellStyle name="Note 3 4 5 4" xfId="7335" xr:uid="{00000000-0005-0000-0000-000010D50000}"/>
    <cellStyle name="Note 3 4 5 5" xfId="12814" xr:uid="{00000000-0005-0000-0000-000011D50000}"/>
    <cellStyle name="Note 3 4 5 6" xfId="18290" xr:uid="{00000000-0005-0000-0000-000012D50000}"/>
    <cellStyle name="Note 3 4 5 7" xfId="23766" xr:uid="{00000000-0005-0000-0000-000013D50000}"/>
    <cellStyle name="Note 3 4 5 8" xfId="35561" xr:uid="{00000000-0005-0000-0000-000014D50000}"/>
    <cellStyle name="Note 3 4 5 9" xfId="41038" xr:uid="{00000000-0005-0000-0000-000015D50000}"/>
    <cellStyle name="Note 3 4 6" xfId="990" xr:uid="{00000000-0005-0000-0000-000016D50000}"/>
    <cellStyle name="Note 3 4 6 10" xfId="46516" xr:uid="{00000000-0005-0000-0000-000017D50000}"/>
    <cellStyle name="Note 3 4 6 11" xfId="51995" xr:uid="{00000000-0005-0000-0000-000018D50000}"/>
    <cellStyle name="Note 3 4 6 2" xfId="2751" xr:uid="{00000000-0005-0000-0000-000019D50000}"/>
    <cellStyle name="Note 3 4 6 2 2" xfId="8231" xr:uid="{00000000-0005-0000-0000-00001AD50000}"/>
    <cellStyle name="Note 3 4 6 2 3" xfId="13707" xr:uid="{00000000-0005-0000-0000-00001BD50000}"/>
    <cellStyle name="Note 3 4 6 2 4" xfId="19183" xr:uid="{00000000-0005-0000-0000-00001CD50000}"/>
    <cellStyle name="Note 3 4 6 2 5" xfId="24659" xr:uid="{00000000-0005-0000-0000-00001DD50000}"/>
    <cellStyle name="Note 3 4 6 2 6" xfId="36455" xr:uid="{00000000-0005-0000-0000-00001ED50000}"/>
    <cellStyle name="Note 3 4 6 2 7" xfId="41932" xr:uid="{00000000-0005-0000-0000-00001FD50000}"/>
    <cellStyle name="Note 3 4 6 2 8" xfId="47409" xr:uid="{00000000-0005-0000-0000-000020D50000}"/>
    <cellStyle name="Note 3 4 6 2 9" xfId="52927" xr:uid="{00000000-0005-0000-0000-000021D50000}"/>
    <cellStyle name="Note 3 4 6 3" xfId="4523" xr:uid="{00000000-0005-0000-0000-000022D50000}"/>
    <cellStyle name="Note 3 4 6 3 2" xfId="10003" xr:uid="{00000000-0005-0000-0000-000023D50000}"/>
    <cellStyle name="Note 3 4 6 3 3" xfId="15479" xr:uid="{00000000-0005-0000-0000-000024D50000}"/>
    <cellStyle name="Note 3 4 6 3 4" xfId="20955" xr:uid="{00000000-0005-0000-0000-000025D50000}"/>
    <cellStyle name="Note 3 4 6 3 5" xfId="26431" xr:uid="{00000000-0005-0000-0000-000026D50000}"/>
    <cellStyle name="Note 3 4 6 3 6" xfId="38227" xr:uid="{00000000-0005-0000-0000-000027D50000}"/>
    <cellStyle name="Note 3 4 6 3 7" xfId="43704" xr:uid="{00000000-0005-0000-0000-000028D50000}"/>
    <cellStyle name="Note 3 4 6 3 8" xfId="49181" xr:uid="{00000000-0005-0000-0000-000029D50000}"/>
    <cellStyle name="Note 3 4 6 3 9" xfId="54699" xr:uid="{00000000-0005-0000-0000-00002AD50000}"/>
    <cellStyle name="Note 3 4 6 4" xfId="7336" xr:uid="{00000000-0005-0000-0000-00002BD50000}"/>
    <cellStyle name="Note 3 4 6 5" xfId="12815" xr:uid="{00000000-0005-0000-0000-00002CD50000}"/>
    <cellStyle name="Note 3 4 6 6" xfId="18291" xr:uid="{00000000-0005-0000-0000-00002DD50000}"/>
    <cellStyle name="Note 3 4 6 7" xfId="23767" xr:uid="{00000000-0005-0000-0000-00002ED50000}"/>
    <cellStyle name="Note 3 4 6 8" xfId="35562" xr:uid="{00000000-0005-0000-0000-00002FD50000}"/>
    <cellStyle name="Note 3 4 6 9" xfId="41039" xr:uid="{00000000-0005-0000-0000-000030D50000}"/>
    <cellStyle name="Note 3 4 7" xfId="1196" xr:uid="{00000000-0005-0000-0000-000031D50000}"/>
    <cellStyle name="Note 3 4 7 10" xfId="46517" xr:uid="{00000000-0005-0000-0000-000032D50000}"/>
    <cellStyle name="Note 3 4 7 11" xfId="51996" xr:uid="{00000000-0005-0000-0000-000033D50000}"/>
    <cellStyle name="Note 3 4 7 2" xfId="2957" xr:uid="{00000000-0005-0000-0000-000034D50000}"/>
    <cellStyle name="Note 3 4 7 2 2" xfId="8437" xr:uid="{00000000-0005-0000-0000-000035D50000}"/>
    <cellStyle name="Note 3 4 7 2 3" xfId="13913" xr:uid="{00000000-0005-0000-0000-000036D50000}"/>
    <cellStyle name="Note 3 4 7 2 4" xfId="19389" xr:uid="{00000000-0005-0000-0000-000037D50000}"/>
    <cellStyle name="Note 3 4 7 2 5" xfId="24865" xr:uid="{00000000-0005-0000-0000-000038D50000}"/>
    <cellStyle name="Note 3 4 7 2 6" xfId="36661" xr:uid="{00000000-0005-0000-0000-000039D50000}"/>
    <cellStyle name="Note 3 4 7 2 7" xfId="42138" xr:uid="{00000000-0005-0000-0000-00003AD50000}"/>
    <cellStyle name="Note 3 4 7 2 8" xfId="47615" xr:uid="{00000000-0005-0000-0000-00003BD50000}"/>
    <cellStyle name="Note 3 4 7 2 9" xfId="53133" xr:uid="{00000000-0005-0000-0000-00003CD50000}"/>
    <cellStyle name="Note 3 4 7 3" xfId="4729" xr:uid="{00000000-0005-0000-0000-00003DD50000}"/>
    <cellStyle name="Note 3 4 7 3 2" xfId="10209" xr:uid="{00000000-0005-0000-0000-00003ED50000}"/>
    <cellStyle name="Note 3 4 7 3 3" xfId="15685" xr:uid="{00000000-0005-0000-0000-00003FD50000}"/>
    <cellStyle name="Note 3 4 7 3 4" xfId="21161" xr:uid="{00000000-0005-0000-0000-000040D50000}"/>
    <cellStyle name="Note 3 4 7 3 5" xfId="26637" xr:uid="{00000000-0005-0000-0000-000041D50000}"/>
    <cellStyle name="Note 3 4 7 3 6" xfId="38433" xr:uid="{00000000-0005-0000-0000-000042D50000}"/>
    <cellStyle name="Note 3 4 7 3 7" xfId="43910" xr:uid="{00000000-0005-0000-0000-000043D50000}"/>
    <cellStyle name="Note 3 4 7 3 8" xfId="49387" xr:uid="{00000000-0005-0000-0000-000044D50000}"/>
    <cellStyle name="Note 3 4 7 3 9" xfId="54905" xr:uid="{00000000-0005-0000-0000-000045D50000}"/>
    <cellStyle name="Note 3 4 7 4" xfId="7337" xr:uid="{00000000-0005-0000-0000-000046D50000}"/>
    <cellStyle name="Note 3 4 7 5" xfId="12816" xr:uid="{00000000-0005-0000-0000-000047D50000}"/>
    <cellStyle name="Note 3 4 7 6" xfId="18292" xr:uid="{00000000-0005-0000-0000-000048D50000}"/>
    <cellStyle name="Note 3 4 7 7" xfId="23768" xr:uid="{00000000-0005-0000-0000-000049D50000}"/>
    <cellStyle name="Note 3 4 7 8" xfId="35563" xr:uid="{00000000-0005-0000-0000-00004AD50000}"/>
    <cellStyle name="Note 3 4 7 9" xfId="41040" xr:uid="{00000000-0005-0000-0000-00004BD50000}"/>
    <cellStyle name="Note 3 4 8" xfId="1368" xr:uid="{00000000-0005-0000-0000-00004CD50000}"/>
    <cellStyle name="Note 3 4 8 10" xfId="46518" xr:uid="{00000000-0005-0000-0000-00004DD50000}"/>
    <cellStyle name="Note 3 4 8 11" xfId="51997" xr:uid="{00000000-0005-0000-0000-00004ED50000}"/>
    <cellStyle name="Note 3 4 8 2" xfId="3129" xr:uid="{00000000-0005-0000-0000-00004FD50000}"/>
    <cellStyle name="Note 3 4 8 2 2" xfId="8609" xr:uid="{00000000-0005-0000-0000-000050D50000}"/>
    <cellStyle name="Note 3 4 8 2 3" xfId="14085" xr:uid="{00000000-0005-0000-0000-000051D50000}"/>
    <cellStyle name="Note 3 4 8 2 4" xfId="19561" xr:uid="{00000000-0005-0000-0000-000052D50000}"/>
    <cellStyle name="Note 3 4 8 2 5" xfId="25037" xr:uid="{00000000-0005-0000-0000-000053D50000}"/>
    <cellStyle name="Note 3 4 8 2 6" xfId="36833" xr:uid="{00000000-0005-0000-0000-000054D50000}"/>
    <cellStyle name="Note 3 4 8 2 7" xfId="42310" xr:uid="{00000000-0005-0000-0000-000055D50000}"/>
    <cellStyle name="Note 3 4 8 2 8" xfId="47787" xr:uid="{00000000-0005-0000-0000-000056D50000}"/>
    <cellStyle name="Note 3 4 8 2 9" xfId="53305" xr:uid="{00000000-0005-0000-0000-000057D50000}"/>
    <cellStyle name="Note 3 4 8 3" xfId="4901" xr:uid="{00000000-0005-0000-0000-000058D50000}"/>
    <cellStyle name="Note 3 4 8 3 2" xfId="10381" xr:uid="{00000000-0005-0000-0000-000059D50000}"/>
    <cellStyle name="Note 3 4 8 3 3" xfId="15857" xr:uid="{00000000-0005-0000-0000-00005AD50000}"/>
    <cellStyle name="Note 3 4 8 3 4" xfId="21333" xr:uid="{00000000-0005-0000-0000-00005BD50000}"/>
    <cellStyle name="Note 3 4 8 3 5" xfId="26809" xr:uid="{00000000-0005-0000-0000-00005CD50000}"/>
    <cellStyle name="Note 3 4 8 3 6" xfId="38605" xr:uid="{00000000-0005-0000-0000-00005DD50000}"/>
    <cellStyle name="Note 3 4 8 3 7" xfId="44082" xr:uid="{00000000-0005-0000-0000-00005ED50000}"/>
    <cellStyle name="Note 3 4 8 3 8" xfId="49559" xr:uid="{00000000-0005-0000-0000-00005FD50000}"/>
    <cellStyle name="Note 3 4 8 3 9" xfId="55077" xr:uid="{00000000-0005-0000-0000-000060D50000}"/>
    <cellStyle name="Note 3 4 8 4" xfId="7338" xr:uid="{00000000-0005-0000-0000-000061D50000}"/>
    <cellStyle name="Note 3 4 8 5" xfId="12817" xr:uid="{00000000-0005-0000-0000-000062D50000}"/>
    <cellStyle name="Note 3 4 8 6" xfId="18293" xr:uid="{00000000-0005-0000-0000-000063D50000}"/>
    <cellStyle name="Note 3 4 8 7" xfId="23769" xr:uid="{00000000-0005-0000-0000-000064D50000}"/>
    <cellStyle name="Note 3 4 8 8" xfId="35564" xr:uid="{00000000-0005-0000-0000-000065D50000}"/>
    <cellStyle name="Note 3 4 8 9" xfId="41041" xr:uid="{00000000-0005-0000-0000-000066D50000}"/>
    <cellStyle name="Note 3 4 9" xfId="1540" xr:uid="{00000000-0005-0000-0000-000067D50000}"/>
    <cellStyle name="Note 3 4 9 10" xfId="46519" xr:uid="{00000000-0005-0000-0000-000068D50000}"/>
    <cellStyle name="Note 3 4 9 11" xfId="51998" xr:uid="{00000000-0005-0000-0000-000069D50000}"/>
    <cellStyle name="Note 3 4 9 2" xfId="3301" xr:uid="{00000000-0005-0000-0000-00006AD50000}"/>
    <cellStyle name="Note 3 4 9 2 2" xfId="8781" xr:uid="{00000000-0005-0000-0000-00006BD50000}"/>
    <cellStyle name="Note 3 4 9 2 3" xfId="14257" xr:uid="{00000000-0005-0000-0000-00006CD50000}"/>
    <cellStyle name="Note 3 4 9 2 4" xfId="19733" xr:uid="{00000000-0005-0000-0000-00006DD50000}"/>
    <cellStyle name="Note 3 4 9 2 5" xfId="25209" xr:uid="{00000000-0005-0000-0000-00006ED50000}"/>
    <cellStyle name="Note 3 4 9 2 6" xfId="37005" xr:uid="{00000000-0005-0000-0000-00006FD50000}"/>
    <cellStyle name="Note 3 4 9 2 7" xfId="42482" xr:uid="{00000000-0005-0000-0000-000070D50000}"/>
    <cellStyle name="Note 3 4 9 2 8" xfId="47959" xr:uid="{00000000-0005-0000-0000-000071D50000}"/>
    <cellStyle name="Note 3 4 9 2 9" xfId="53477" xr:uid="{00000000-0005-0000-0000-000072D50000}"/>
    <cellStyle name="Note 3 4 9 3" xfId="5073" xr:uid="{00000000-0005-0000-0000-000073D50000}"/>
    <cellStyle name="Note 3 4 9 3 2" xfId="10553" xr:uid="{00000000-0005-0000-0000-000074D50000}"/>
    <cellStyle name="Note 3 4 9 3 3" xfId="16029" xr:uid="{00000000-0005-0000-0000-000075D50000}"/>
    <cellStyle name="Note 3 4 9 3 4" xfId="21505" xr:uid="{00000000-0005-0000-0000-000076D50000}"/>
    <cellStyle name="Note 3 4 9 3 5" xfId="26981" xr:uid="{00000000-0005-0000-0000-000077D50000}"/>
    <cellStyle name="Note 3 4 9 3 6" xfId="38777" xr:uid="{00000000-0005-0000-0000-000078D50000}"/>
    <cellStyle name="Note 3 4 9 3 7" xfId="44254" xr:uid="{00000000-0005-0000-0000-000079D50000}"/>
    <cellStyle name="Note 3 4 9 3 8" xfId="49731" xr:uid="{00000000-0005-0000-0000-00007AD50000}"/>
    <cellStyle name="Note 3 4 9 3 9" xfId="55249" xr:uid="{00000000-0005-0000-0000-00007BD50000}"/>
    <cellStyle name="Note 3 4 9 4" xfId="7339" xr:uid="{00000000-0005-0000-0000-00007CD50000}"/>
    <cellStyle name="Note 3 4 9 5" xfId="12818" xr:uid="{00000000-0005-0000-0000-00007DD50000}"/>
    <cellStyle name="Note 3 4 9 6" xfId="18294" xr:uid="{00000000-0005-0000-0000-00007ED50000}"/>
    <cellStyle name="Note 3 4 9 7" xfId="23770" xr:uid="{00000000-0005-0000-0000-00007FD50000}"/>
    <cellStyle name="Note 3 4 9 8" xfId="35565" xr:uid="{00000000-0005-0000-0000-000080D50000}"/>
    <cellStyle name="Note 3 4 9 9" xfId="41042" xr:uid="{00000000-0005-0000-0000-000081D50000}"/>
    <cellStyle name="Note 3 5" xfId="180" xr:uid="{00000000-0005-0000-0000-000082D50000}"/>
    <cellStyle name="Note 3 5 10" xfId="1714" xr:uid="{00000000-0005-0000-0000-000083D50000}"/>
    <cellStyle name="Note 3 5 10 10" xfId="46521" xr:uid="{00000000-0005-0000-0000-000084D50000}"/>
    <cellStyle name="Note 3 5 10 11" xfId="52000" xr:uid="{00000000-0005-0000-0000-000085D50000}"/>
    <cellStyle name="Note 3 5 10 2" xfId="3475" xr:uid="{00000000-0005-0000-0000-000086D50000}"/>
    <cellStyle name="Note 3 5 10 2 2" xfId="8955" xr:uid="{00000000-0005-0000-0000-000087D50000}"/>
    <cellStyle name="Note 3 5 10 2 3" xfId="14431" xr:uid="{00000000-0005-0000-0000-000088D50000}"/>
    <cellStyle name="Note 3 5 10 2 4" xfId="19907" xr:uid="{00000000-0005-0000-0000-000089D50000}"/>
    <cellStyle name="Note 3 5 10 2 5" xfId="25383" xr:uid="{00000000-0005-0000-0000-00008AD50000}"/>
    <cellStyle name="Note 3 5 10 2 6" xfId="37179" xr:uid="{00000000-0005-0000-0000-00008BD50000}"/>
    <cellStyle name="Note 3 5 10 2 7" xfId="42656" xr:uid="{00000000-0005-0000-0000-00008CD50000}"/>
    <cellStyle name="Note 3 5 10 2 8" xfId="48133" xr:uid="{00000000-0005-0000-0000-00008DD50000}"/>
    <cellStyle name="Note 3 5 10 2 9" xfId="53651" xr:uid="{00000000-0005-0000-0000-00008ED50000}"/>
    <cellStyle name="Note 3 5 10 3" xfId="5247" xr:uid="{00000000-0005-0000-0000-00008FD50000}"/>
    <cellStyle name="Note 3 5 10 3 2" xfId="10727" xr:uid="{00000000-0005-0000-0000-000090D50000}"/>
    <cellStyle name="Note 3 5 10 3 3" xfId="16203" xr:uid="{00000000-0005-0000-0000-000091D50000}"/>
    <cellStyle name="Note 3 5 10 3 4" xfId="21679" xr:uid="{00000000-0005-0000-0000-000092D50000}"/>
    <cellStyle name="Note 3 5 10 3 5" xfId="27155" xr:uid="{00000000-0005-0000-0000-000093D50000}"/>
    <cellStyle name="Note 3 5 10 3 6" xfId="38951" xr:uid="{00000000-0005-0000-0000-000094D50000}"/>
    <cellStyle name="Note 3 5 10 3 7" xfId="44428" xr:uid="{00000000-0005-0000-0000-000095D50000}"/>
    <cellStyle name="Note 3 5 10 3 8" xfId="49905" xr:uid="{00000000-0005-0000-0000-000096D50000}"/>
    <cellStyle name="Note 3 5 10 3 9" xfId="55423" xr:uid="{00000000-0005-0000-0000-000097D50000}"/>
    <cellStyle name="Note 3 5 10 4" xfId="7341" xr:uid="{00000000-0005-0000-0000-000098D50000}"/>
    <cellStyle name="Note 3 5 10 5" xfId="12820" xr:uid="{00000000-0005-0000-0000-000099D50000}"/>
    <cellStyle name="Note 3 5 10 6" xfId="18296" xr:uid="{00000000-0005-0000-0000-00009AD50000}"/>
    <cellStyle name="Note 3 5 10 7" xfId="23772" xr:uid="{00000000-0005-0000-0000-00009BD50000}"/>
    <cellStyle name="Note 3 5 10 8" xfId="35567" xr:uid="{00000000-0005-0000-0000-00009CD50000}"/>
    <cellStyle name="Note 3 5 10 9" xfId="41044" xr:uid="{00000000-0005-0000-0000-00009DD50000}"/>
    <cellStyle name="Note 3 5 11" xfId="1903" xr:uid="{00000000-0005-0000-0000-00009ED50000}"/>
    <cellStyle name="Note 3 5 11 10" xfId="46522" xr:uid="{00000000-0005-0000-0000-00009FD50000}"/>
    <cellStyle name="Note 3 5 11 11" xfId="52001" xr:uid="{00000000-0005-0000-0000-0000A0D50000}"/>
    <cellStyle name="Note 3 5 11 2" xfId="3664" xr:uid="{00000000-0005-0000-0000-0000A1D50000}"/>
    <cellStyle name="Note 3 5 11 2 2" xfId="9144" xr:uid="{00000000-0005-0000-0000-0000A2D50000}"/>
    <cellStyle name="Note 3 5 11 2 3" xfId="14620" xr:uid="{00000000-0005-0000-0000-0000A3D50000}"/>
    <cellStyle name="Note 3 5 11 2 4" xfId="20096" xr:uid="{00000000-0005-0000-0000-0000A4D50000}"/>
    <cellStyle name="Note 3 5 11 2 5" xfId="25572" xr:uid="{00000000-0005-0000-0000-0000A5D50000}"/>
    <cellStyle name="Note 3 5 11 2 6" xfId="37368" xr:uid="{00000000-0005-0000-0000-0000A6D50000}"/>
    <cellStyle name="Note 3 5 11 2 7" xfId="42845" xr:uid="{00000000-0005-0000-0000-0000A7D50000}"/>
    <cellStyle name="Note 3 5 11 2 8" xfId="48322" xr:uid="{00000000-0005-0000-0000-0000A8D50000}"/>
    <cellStyle name="Note 3 5 11 2 9" xfId="53840" xr:uid="{00000000-0005-0000-0000-0000A9D50000}"/>
    <cellStyle name="Note 3 5 11 3" xfId="5436" xr:uid="{00000000-0005-0000-0000-0000AAD50000}"/>
    <cellStyle name="Note 3 5 11 3 2" xfId="10916" xr:uid="{00000000-0005-0000-0000-0000ABD50000}"/>
    <cellStyle name="Note 3 5 11 3 3" xfId="16392" xr:uid="{00000000-0005-0000-0000-0000ACD50000}"/>
    <cellStyle name="Note 3 5 11 3 4" xfId="21868" xr:uid="{00000000-0005-0000-0000-0000ADD50000}"/>
    <cellStyle name="Note 3 5 11 3 5" xfId="27344" xr:uid="{00000000-0005-0000-0000-0000AED50000}"/>
    <cellStyle name="Note 3 5 11 3 6" xfId="39140" xr:uid="{00000000-0005-0000-0000-0000AFD50000}"/>
    <cellStyle name="Note 3 5 11 3 7" xfId="44617" xr:uid="{00000000-0005-0000-0000-0000B0D50000}"/>
    <cellStyle name="Note 3 5 11 3 8" xfId="50094" xr:uid="{00000000-0005-0000-0000-0000B1D50000}"/>
    <cellStyle name="Note 3 5 11 3 9" xfId="55612" xr:uid="{00000000-0005-0000-0000-0000B2D50000}"/>
    <cellStyle name="Note 3 5 11 4" xfId="7342" xr:uid="{00000000-0005-0000-0000-0000B3D50000}"/>
    <cellStyle name="Note 3 5 11 5" xfId="12821" xr:uid="{00000000-0005-0000-0000-0000B4D50000}"/>
    <cellStyle name="Note 3 5 11 6" xfId="18297" xr:uid="{00000000-0005-0000-0000-0000B5D50000}"/>
    <cellStyle name="Note 3 5 11 7" xfId="23773" xr:uid="{00000000-0005-0000-0000-0000B6D50000}"/>
    <cellStyle name="Note 3 5 11 8" xfId="35568" xr:uid="{00000000-0005-0000-0000-0000B7D50000}"/>
    <cellStyle name="Note 3 5 11 9" xfId="41045" xr:uid="{00000000-0005-0000-0000-0000B8D50000}"/>
    <cellStyle name="Note 3 5 12" xfId="2076" xr:uid="{00000000-0005-0000-0000-0000B9D50000}"/>
    <cellStyle name="Note 3 5 12 10" xfId="52253" xr:uid="{00000000-0005-0000-0000-0000BAD50000}"/>
    <cellStyle name="Note 3 5 12 2" xfId="5608" xr:uid="{00000000-0005-0000-0000-0000BBD50000}"/>
    <cellStyle name="Note 3 5 12 2 2" xfId="11088" xr:uid="{00000000-0005-0000-0000-0000BCD50000}"/>
    <cellStyle name="Note 3 5 12 2 3" xfId="16564" xr:uid="{00000000-0005-0000-0000-0000BDD50000}"/>
    <cellStyle name="Note 3 5 12 2 4" xfId="22040" xr:uid="{00000000-0005-0000-0000-0000BED50000}"/>
    <cellStyle name="Note 3 5 12 2 5" xfId="27516" xr:uid="{00000000-0005-0000-0000-0000BFD50000}"/>
    <cellStyle name="Note 3 5 12 2 6" xfId="39312" xr:uid="{00000000-0005-0000-0000-0000C0D50000}"/>
    <cellStyle name="Note 3 5 12 2 7" xfId="44789" xr:uid="{00000000-0005-0000-0000-0000C1D50000}"/>
    <cellStyle name="Note 3 5 12 2 8" xfId="50266" xr:uid="{00000000-0005-0000-0000-0000C2D50000}"/>
    <cellStyle name="Note 3 5 12 2 9" xfId="55784" xr:uid="{00000000-0005-0000-0000-0000C3D50000}"/>
    <cellStyle name="Note 3 5 12 3" xfId="7557" xr:uid="{00000000-0005-0000-0000-0000C4D50000}"/>
    <cellStyle name="Note 3 5 12 4" xfId="13033" xr:uid="{00000000-0005-0000-0000-0000C5D50000}"/>
    <cellStyle name="Note 3 5 12 5" xfId="18509" xr:uid="{00000000-0005-0000-0000-0000C6D50000}"/>
    <cellStyle name="Note 3 5 12 6" xfId="23985" xr:uid="{00000000-0005-0000-0000-0000C7D50000}"/>
    <cellStyle name="Note 3 5 12 7" xfId="35781" xr:uid="{00000000-0005-0000-0000-0000C8D50000}"/>
    <cellStyle name="Note 3 5 12 8" xfId="41258" xr:uid="{00000000-0005-0000-0000-0000C9D50000}"/>
    <cellStyle name="Note 3 5 12 9" xfId="46735" xr:uid="{00000000-0005-0000-0000-0000CAD50000}"/>
    <cellStyle name="Note 3 5 13" xfId="3752" xr:uid="{00000000-0005-0000-0000-0000CBD50000}"/>
    <cellStyle name="Note 3 5 13 2" xfId="9232" xr:uid="{00000000-0005-0000-0000-0000CCD50000}"/>
    <cellStyle name="Note 3 5 13 3" xfId="14708" xr:uid="{00000000-0005-0000-0000-0000CDD50000}"/>
    <cellStyle name="Note 3 5 13 4" xfId="20184" xr:uid="{00000000-0005-0000-0000-0000CED50000}"/>
    <cellStyle name="Note 3 5 13 5" xfId="25660" xr:uid="{00000000-0005-0000-0000-0000CFD50000}"/>
    <cellStyle name="Note 3 5 13 6" xfId="37456" xr:uid="{00000000-0005-0000-0000-0000D0D50000}"/>
    <cellStyle name="Note 3 5 13 7" xfId="42933" xr:uid="{00000000-0005-0000-0000-0000D1D50000}"/>
    <cellStyle name="Note 3 5 13 8" xfId="48410" xr:uid="{00000000-0005-0000-0000-0000D2D50000}"/>
    <cellStyle name="Note 3 5 13 9" xfId="53928" xr:uid="{00000000-0005-0000-0000-0000D3D50000}"/>
    <cellStyle name="Note 3 5 14" xfId="7340" xr:uid="{00000000-0005-0000-0000-0000D4D50000}"/>
    <cellStyle name="Note 3 5 15" xfId="12819" xr:uid="{00000000-0005-0000-0000-0000D5D50000}"/>
    <cellStyle name="Note 3 5 16" xfId="18295" xr:uid="{00000000-0005-0000-0000-0000D6D50000}"/>
    <cellStyle name="Note 3 5 17" xfId="23771" xr:uid="{00000000-0005-0000-0000-0000D7D50000}"/>
    <cellStyle name="Note 3 5 18" xfId="33657" xr:uid="{00000000-0005-0000-0000-0000D8D50000}"/>
    <cellStyle name="Note 3 5 19" xfId="35566" xr:uid="{00000000-0005-0000-0000-0000D9D50000}"/>
    <cellStyle name="Note 3 5 2" xfId="272" xr:uid="{00000000-0005-0000-0000-0000DAD50000}"/>
    <cellStyle name="Note 3 5 2 10" xfId="1904" xr:uid="{00000000-0005-0000-0000-0000DBD50000}"/>
    <cellStyle name="Note 3 5 2 10 10" xfId="46524" xr:uid="{00000000-0005-0000-0000-0000DCD50000}"/>
    <cellStyle name="Note 3 5 2 10 11" xfId="52003" xr:uid="{00000000-0005-0000-0000-0000DDD50000}"/>
    <cellStyle name="Note 3 5 2 10 2" xfId="3665" xr:uid="{00000000-0005-0000-0000-0000DED50000}"/>
    <cellStyle name="Note 3 5 2 10 2 2" xfId="9145" xr:uid="{00000000-0005-0000-0000-0000DFD50000}"/>
    <cellStyle name="Note 3 5 2 10 2 3" xfId="14621" xr:uid="{00000000-0005-0000-0000-0000E0D50000}"/>
    <cellStyle name="Note 3 5 2 10 2 4" xfId="20097" xr:uid="{00000000-0005-0000-0000-0000E1D50000}"/>
    <cellStyle name="Note 3 5 2 10 2 5" xfId="25573" xr:uid="{00000000-0005-0000-0000-0000E2D50000}"/>
    <cellStyle name="Note 3 5 2 10 2 6" xfId="37369" xr:uid="{00000000-0005-0000-0000-0000E3D50000}"/>
    <cellStyle name="Note 3 5 2 10 2 7" xfId="42846" xr:uid="{00000000-0005-0000-0000-0000E4D50000}"/>
    <cellStyle name="Note 3 5 2 10 2 8" xfId="48323" xr:uid="{00000000-0005-0000-0000-0000E5D50000}"/>
    <cellStyle name="Note 3 5 2 10 2 9" xfId="53841" xr:uid="{00000000-0005-0000-0000-0000E6D50000}"/>
    <cellStyle name="Note 3 5 2 10 3" xfId="5437" xr:uid="{00000000-0005-0000-0000-0000E7D50000}"/>
    <cellStyle name="Note 3 5 2 10 3 2" xfId="10917" xr:uid="{00000000-0005-0000-0000-0000E8D50000}"/>
    <cellStyle name="Note 3 5 2 10 3 3" xfId="16393" xr:uid="{00000000-0005-0000-0000-0000E9D50000}"/>
    <cellStyle name="Note 3 5 2 10 3 4" xfId="21869" xr:uid="{00000000-0005-0000-0000-0000EAD50000}"/>
    <cellStyle name="Note 3 5 2 10 3 5" xfId="27345" xr:uid="{00000000-0005-0000-0000-0000EBD50000}"/>
    <cellStyle name="Note 3 5 2 10 3 6" xfId="39141" xr:uid="{00000000-0005-0000-0000-0000ECD50000}"/>
    <cellStyle name="Note 3 5 2 10 3 7" xfId="44618" xr:uid="{00000000-0005-0000-0000-0000EDD50000}"/>
    <cellStyle name="Note 3 5 2 10 3 8" xfId="50095" xr:uid="{00000000-0005-0000-0000-0000EED50000}"/>
    <cellStyle name="Note 3 5 2 10 3 9" xfId="55613" xr:uid="{00000000-0005-0000-0000-0000EFD50000}"/>
    <cellStyle name="Note 3 5 2 10 4" xfId="7344" xr:uid="{00000000-0005-0000-0000-0000F0D50000}"/>
    <cellStyle name="Note 3 5 2 10 5" xfId="12823" xr:uid="{00000000-0005-0000-0000-0000F1D50000}"/>
    <cellStyle name="Note 3 5 2 10 6" xfId="18299" xr:uid="{00000000-0005-0000-0000-0000F2D50000}"/>
    <cellStyle name="Note 3 5 2 10 7" xfId="23775" xr:uid="{00000000-0005-0000-0000-0000F3D50000}"/>
    <cellStyle name="Note 3 5 2 10 8" xfId="35570" xr:uid="{00000000-0005-0000-0000-0000F4D50000}"/>
    <cellStyle name="Note 3 5 2 10 9" xfId="41047" xr:uid="{00000000-0005-0000-0000-0000F5D50000}"/>
    <cellStyle name="Note 3 5 2 11" xfId="2077" xr:uid="{00000000-0005-0000-0000-0000F6D50000}"/>
    <cellStyle name="Note 3 5 2 11 10" xfId="52254" xr:uid="{00000000-0005-0000-0000-0000F7D50000}"/>
    <cellStyle name="Note 3 5 2 11 2" xfId="5609" xr:uid="{00000000-0005-0000-0000-0000F8D50000}"/>
    <cellStyle name="Note 3 5 2 11 2 2" xfId="11089" xr:uid="{00000000-0005-0000-0000-0000F9D50000}"/>
    <cellStyle name="Note 3 5 2 11 2 3" xfId="16565" xr:uid="{00000000-0005-0000-0000-0000FAD50000}"/>
    <cellStyle name="Note 3 5 2 11 2 4" xfId="22041" xr:uid="{00000000-0005-0000-0000-0000FBD50000}"/>
    <cellStyle name="Note 3 5 2 11 2 5" xfId="27517" xr:uid="{00000000-0005-0000-0000-0000FCD50000}"/>
    <cellStyle name="Note 3 5 2 11 2 6" xfId="39313" xr:uid="{00000000-0005-0000-0000-0000FDD50000}"/>
    <cellStyle name="Note 3 5 2 11 2 7" xfId="44790" xr:uid="{00000000-0005-0000-0000-0000FED50000}"/>
    <cellStyle name="Note 3 5 2 11 2 8" xfId="50267" xr:uid="{00000000-0005-0000-0000-0000FFD50000}"/>
    <cellStyle name="Note 3 5 2 11 2 9" xfId="55785" xr:uid="{00000000-0005-0000-0000-000000D60000}"/>
    <cellStyle name="Note 3 5 2 11 3" xfId="7558" xr:uid="{00000000-0005-0000-0000-000001D60000}"/>
    <cellStyle name="Note 3 5 2 11 4" xfId="13034" xr:uid="{00000000-0005-0000-0000-000002D60000}"/>
    <cellStyle name="Note 3 5 2 11 5" xfId="18510" xr:uid="{00000000-0005-0000-0000-000003D60000}"/>
    <cellStyle name="Note 3 5 2 11 6" xfId="23986" xr:uid="{00000000-0005-0000-0000-000004D60000}"/>
    <cellStyle name="Note 3 5 2 11 7" xfId="35782" xr:uid="{00000000-0005-0000-0000-000005D60000}"/>
    <cellStyle name="Note 3 5 2 11 8" xfId="41259" xr:uid="{00000000-0005-0000-0000-000006D60000}"/>
    <cellStyle name="Note 3 5 2 11 9" xfId="46736" xr:uid="{00000000-0005-0000-0000-000007D60000}"/>
    <cellStyle name="Note 3 5 2 12" xfId="3838" xr:uid="{00000000-0005-0000-0000-000008D60000}"/>
    <cellStyle name="Note 3 5 2 12 2" xfId="9318" xr:uid="{00000000-0005-0000-0000-000009D60000}"/>
    <cellStyle name="Note 3 5 2 12 3" xfId="14794" xr:uid="{00000000-0005-0000-0000-00000AD60000}"/>
    <cellStyle name="Note 3 5 2 12 4" xfId="20270" xr:uid="{00000000-0005-0000-0000-00000BD60000}"/>
    <cellStyle name="Note 3 5 2 12 5" xfId="25746" xr:uid="{00000000-0005-0000-0000-00000CD60000}"/>
    <cellStyle name="Note 3 5 2 12 6" xfId="37542" xr:uid="{00000000-0005-0000-0000-00000DD60000}"/>
    <cellStyle name="Note 3 5 2 12 7" xfId="43019" xr:uid="{00000000-0005-0000-0000-00000ED60000}"/>
    <cellStyle name="Note 3 5 2 12 8" xfId="48496" xr:uid="{00000000-0005-0000-0000-00000FD60000}"/>
    <cellStyle name="Note 3 5 2 12 9" xfId="54014" xr:uid="{00000000-0005-0000-0000-000010D60000}"/>
    <cellStyle name="Note 3 5 2 13" xfId="7343" xr:uid="{00000000-0005-0000-0000-000011D60000}"/>
    <cellStyle name="Note 3 5 2 14" xfId="12822" xr:uid="{00000000-0005-0000-0000-000012D60000}"/>
    <cellStyle name="Note 3 5 2 15" xfId="18298" xr:uid="{00000000-0005-0000-0000-000013D60000}"/>
    <cellStyle name="Note 3 5 2 16" xfId="23774" xr:uid="{00000000-0005-0000-0000-000014D60000}"/>
    <cellStyle name="Note 3 5 2 17" xfId="33658" xr:uid="{00000000-0005-0000-0000-000015D60000}"/>
    <cellStyle name="Note 3 5 2 18" xfId="35569" xr:uid="{00000000-0005-0000-0000-000016D60000}"/>
    <cellStyle name="Note 3 5 2 19" xfId="41046" xr:uid="{00000000-0005-0000-0000-000017D60000}"/>
    <cellStyle name="Note 3 5 2 2" xfId="473" xr:uid="{00000000-0005-0000-0000-000018D60000}"/>
    <cellStyle name="Note 3 5 2 2 10" xfId="41048" xr:uid="{00000000-0005-0000-0000-000019D60000}"/>
    <cellStyle name="Note 3 5 2 2 11" xfId="46525" xr:uid="{00000000-0005-0000-0000-00001AD60000}"/>
    <cellStyle name="Note 3 5 2 2 12" xfId="52004" xr:uid="{00000000-0005-0000-0000-00001BD60000}"/>
    <cellStyle name="Note 3 5 2 2 2" xfId="2238" xr:uid="{00000000-0005-0000-0000-00001CD60000}"/>
    <cellStyle name="Note 3 5 2 2 2 2" xfId="7718" xr:uid="{00000000-0005-0000-0000-00001DD60000}"/>
    <cellStyle name="Note 3 5 2 2 2 3" xfId="13194" xr:uid="{00000000-0005-0000-0000-00001ED60000}"/>
    <cellStyle name="Note 3 5 2 2 2 4" xfId="18670" xr:uid="{00000000-0005-0000-0000-00001FD60000}"/>
    <cellStyle name="Note 3 5 2 2 2 5" xfId="24146" xr:uid="{00000000-0005-0000-0000-000020D60000}"/>
    <cellStyle name="Note 3 5 2 2 2 6" xfId="35942" xr:uid="{00000000-0005-0000-0000-000021D60000}"/>
    <cellStyle name="Note 3 5 2 2 2 7" xfId="41419" xr:uid="{00000000-0005-0000-0000-000022D60000}"/>
    <cellStyle name="Note 3 5 2 2 2 8" xfId="46896" xr:uid="{00000000-0005-0000-0000-000023D60000}"/>
    <cellStyle name="Note 3 5 2 2 2 9" xfId="52414" xr:uid="{00000000-0005-0000-0000-000024D60000}"/>
    <cellStyle name="Note 3 5 2 2 3" xfId="4010" xr:uid="{00000000-0005-0000-0000-000025D60000}"/>
    <cellStyle name="Note 3 5 2 2 3 2" xfId="9490" xr:uid="{00000000-0005-0000-0000-000026D60000}"/>
    <cellStyle name="Note 3 5 2 2 3 3" xfId="14966" xr:uid="{00000000-0005-0000-0000-000027D60000}"/>
    <cellStyle name="Note 3 5 2 2 3 4" xfId="20442" xr:uid="{00000000-0005-0000-0000-000028D60000}"/>
    <cellStyle name="Note 3 5 2 2 3 5" xfId="25918" xr:uid="{00000000-0005-0000-0000-000029D60000}"/>
    <cellStyle name="Note 3 5 2 2 3 6" xfId="37714" xr:uid="{00000000-0005-0000-0000-00002AD60000}"/>
    <cellStyle name="Note 3 5 2 2 3 7" xfId="43191" xr:uid="{00000000-0005-0000-0000-00002BD60000}"/>
    <cellStyle name="Note 3 5 2 2 3 8" xfId="48668" xr:uid="{00000000-0005-0000-0000-00002CD60000}"/>
    <cellStyle name="Note 3 5 2 2 3 9" xfId="54186" xr:uid="{00000000-0005-0000-0000-00002DD60000}"/>
    <cellStyle name="Note 3 5 2 2 4" xfId="7345" xr:uid="{00000000-0005-0000-0000-00002ED60000}"/>
    <cellStyle name="Note 3 5 2 2 5" xfId="12824" xr:uid="{00000000-0005-0000-0000-00002FD60000}"/>
    <cellStyle name="Note 3 5 2 2 6" xfId="18300" xr:uid="{00000000-0005-0000-0000-000030D60000}"/>
    <cellStyle name="Note 3 5 2 2 7" xfId="23776" xr:uid="{00000000-0005-0000-0000-000031D60000}"/>
    <cellStyle name="Note 3 5 2 2 8" xfId="33659" xr:uid="{00000000-0005-0000-0000-000032D60000}"/>
    <cellStyle name="Note 3 5 2 2 9" xfId="35571" xr:uid="{00000000-0005-0000-0000-000033D60000}"/>
    <cellStyle name="Note 3 5 2 20" xfId="46523" xr:uid="{00000000-0005-0000-0000-000034D60000}"/>
    <cellStyle name="Note 3 5 2 21" xfId="52002" xr:uid="{00000000-0005-0000-0000-000035D60000}"/>
    <cellStyle name="Note 3 5 2 3" xfId="649" xr:uid="{00000000-0005-0000-0000-000036D60000}"/>
    <cellStyle name="Note 3 5 2 3 10" xfId="46526" xr:uid="{00000000-0005-0000-0000-000037D60000}"/>
    <cellStyle name="Note 3 5 2 3 11" xfId="52005" xr:uid="{00000000-0005-0000-0000-000038D60000}"/>
    <cellStyle name="Note 3 5 2 3 2" xfId="2410" xr:uid="{00000000-0005-0000-0000-000039D60000}"/>
    <cellStyle name="Note 3 5 2 3 2 2" xfId="7890" xr:uid="{00000000-0005-0000-0000-00003AD60000}"/>
    <cellStyle name="Note 3 5 2 3 2 3" xfId="13366" xr:uid="{00000000-0005-0000-0000-00003BD60000}"/>
    <cellStyle name="Note 3 5 2 3 2 4" xfId="18842" xr:uid="{00000000-0005-0000-0000-00003CD60000}"/>
    <cellStyle name="Note 3 5 2 3 2 5" xfId="24318" xr:uid="{00000000-0005-0000-0000-00003DD60000}"/>
    <cellStyle name="Note 3 5 2 3 2 6" xfId="36114" xr:uid="{00000000-0005-0000-0000-00003ED60000}"/>
    <cellStyle name="Note 3 5 2 3 2 7" xfId="41591" xr:uid="{00000000-0005-0000-0000-00003FD60000}"/>
    <cellStyle name="Note 3 5 2 3 2 8" xfId="47068" xr:uid="{00000000-0005-0000-0000-000040D60000}"/>
    <cellStyle name="Note 3 5 2 3 2 9" xfId="52586" xr:uid="{00000000-0005-0000-0000-000041D60000}"/>
    <cellStyle name="Note 3 5 2 3 3" xfId="4182" xr:uid="{00000000-0005-0000-0000-000042D60000}"/>
    <cellStyle name="Note 3 5 2 3 3 2" xfId="9662" xr:uid="{00000000-0005-0000-0000-000043D60000}"/>
    <cellStyle name="Note 3 5 2 3 3 3" xfId="15138" xr:uid="{00000000-0005-0000-0000-000044D60000}"/>
    <cellStyle name="Note 3 5 2 3 3 4" xfId="20614" xr:uid="{00000000-0005-0000-0000-000045D60000}"/>
    <cellStyle name="Note 3 5 2 3 3 5" xfId="26090" xr:uid="{00000000-0005-0000-0000-000046D60000}"/>
    <cellStyle name="Note 3 5 2 3 3 6" xfId="37886" xr:uid="{00000000-0005-0000-0000-000047D60000}"/>
    <cellStyle name="Note 3 5 2 3 3 7" xfId="43363" xr:uid="{00000000-0005-0000-0000-000048D60000}"/>
    <cellStyle name="Note 3 5 2 3 3 8" xfId="48840" xr:uid="{00000000-0005-0000-0000-000049D60000}"/>
    <cellStyle name="Note 3 5 2 3 3 9" xfId="54358" xr:uid="{00000000-0005-0000-0000-00004AD60000}"/>
    <cellStyle name="Note 3 5 2 3 4" xfId="7346" xr:uid="{00000000-0005-0000-0000-00004BD60000}"/>
    <cellStyle name="Note 3 5 2 3 5" xfId="12825" xr:uid="{00000000-0005-0000-0000-00004CD60000}"/>
    <cellStyle name="Note 3 5 2 3 6" xfId="18301" xr:uid="{00000000-0005-0000-0000-00004DD60000}"/>
    <cellStyle name="Note 3 5 2 3 7" xfId="23777" xr:uid="{00000000-0005-0000-0000-00004ED60000}"/>
    <cellStyle name="Note 3 5 2 3 8" xfId="35572" xr:uid="{00000000-0005-0000-0000-00004FD60000}"/>
    <cellStyle name="Note 3 5 2 3 9" xfId="41049" xr:uid="{00000000-0005-0000-0000-000050D60000}"/>
    <cellStyle name="Note 3 5 2 4" xfId="821" xr:uid="{00000000-0005-0000-0000-000051D60000}"/>
    <cellStyle name="Note 3 5 2 4 10" xfId="46527" xr:uid="{00000000-0005-0000-0000-000052D60000}"/>
    <cellStyle name="Note 3 5 2 4 11" xfId="52006" xr:uid="{00000000-0005-0000-0000-000053D60000}"/>
    <cellStyle name="Note 3 5 2 4 2" xfId="2582" xr:uid="{00000000-0005-0000-0000-000054D60000}"/>
    <cellStyle name="Note 3 5 2 4 2 2" xfId="8062" xr:uid="{00000000-0005-0000-0000-000055D60000}"/>
    <cellStyle name="Note 3 5 2 4 2 3" xfId="13538" xr:uid="{00000000-0005-0000-0000-000056D60000}"/>
    <cellStyle name="Note 3 5 2 4 2 4" xfId="19014" xr:uid="{00000000-0005-0000-0000-000057D60000}"/>
    <cellStyle name="Note 3 5 2 4 2 5" xfId="24490" xr:uid="{00000000-0005-0000-0000-000058D60000}"/>
    <cellStyle name="Note 3 5 2 4 2 6" xfId="36286" xr:uid="{00000000-0005-0000-0000-000059D60000}"/>
    <cellStyle name="Note 3 5 2 4 2 7" xfId="41763" xr:uid="{00000000-0005-0000-0000-00005AD60000}"/>
    <cellStyle name="Note 3 5 2 4 2 8" xfId="47240" xr:uid="{00000000-0005-0000-0000-00005BD60000}"/>
    <cellStyle name="Note 3 5 2 4 2 9" xfId="52758" xr:uid="{00000000-0005-0000-0000-00005CD60000}"/>
    <cellStyle name="Note 3 5 2 4 3" xfId="4354" xr:uid="{00000000-0005-0000-0000-00005DD60000}"/>
    <cellStyle name="Note 3 5 2 4 3 2" xfId="9834" xr:uid="{00000000-0005-0000-0000-00005ED60000}"/>
    <cellStyle name="Note 3 5 2 4 3 3" xfId="15310" xr:uid="{00000000-0005-0000-0000-00005FD60000}"/>
    <cellStyle name="Note 3 5 2 4 3 4" xfId="20786" xr:uid="{00000000-0005-0000-0000-000060D60000}"/>
    <cellStyle name="Note 3 5 2 4 3 5" xfId="26262" xr:uid="{00000000-0005-0000-0000-000061D60000}"/>
    <cellStyle name="Note 3 5 2 4 3 6" xfId="38058" xr:uid="{00000000-0005-0000-0000-000062D60000}"/>
    <cellStyle name="Note 3 5 2 4 3 7" xfId="43535" xr:uid="{00000000-0005-0000-0000-000063D60000}"/>
    <cellStyle name="Note 3 5 2 4 3 8" xfId="49012" xr:uid="{00000000-0005-0000-0000-000064D60000}"/>
    <cellStyle name="Note 3 5 2 4 3 9" xfId="54530" xr:uid="{00000000-0005-0000-0000-000065D60000}"/>
    <cellStyle name="Note 3 5 2 4 4" xfId="7347" xr:uid="{00000000-0005-0000-0000-000066D60000}"/>
    <cellStyle name="Note 3 5 2 4 5" xfId="12826" xr:uid="{00000000-0005-0000-0000-000067D60000}"/>
    <cellStyle name="Note 3 5 2 4 6" xfId="18302" xr:uid="{00000000-0005-0000-0000-000068D60000}"/>
    <cellStyle name="Note 3 5 2 4 7" xfId="23778" xr:uid="{00000000-0005-0000-0000-000069D60000}"/>
    <cellStyle name="Note 3 5 2 4 8" xfId="35573" xr:uid="{00000000-0005-0000-0000-00006AD60000}"/>
    <cellStyle name="Note 3 5 2 4 9" xfId="41050" xr:uid="{00000000-0005-0000-0000-00006BD60000}"/>
    <cellStyle name="Note 3 5 2 5" xfId="993" xr:uid="{00000000-0005-0000-0000-00006CD60000}"/>
    <cellStyle name="Note 3 5 2 5 10" xfId="46528" xr:uid="{00000000-0005-0000-0000-00006DD60000}"/>
    <cellStyle name="Note 3 5 2 5 11" xfId="52007" xr:uid="{00000000-0005-0000-0000-00006ED60000}"/>
    <cellStyle name="Note 3 5 2 5 2" xfId="2754" xr:uid="{00000000-0005-0000-0000-00006FD60000}"/>
    <cellStyle name="Note 3 5 2 5 2 2" xfId="8234" xr:uid="{00000000-0005-0000-0000-000070D60000}"/>
    <cellStyle name="Note 3 5 2 5 2 3" xfId="13710" xr:uid="{00000000-0005-0000-0000-000071D60000}"/>
    <cellStyle name="Note 3 5 2 5 2 4" xfId="19186" xr:uid="{00000000-0005-0000-0000-000072D60000}"/>
    <cellStyle name="Note 3 5 2 5 2 5" xfId="24662" xr:uid="{00000000-0005-0000-0000-000073D60000}"/>
    <cellStyle name="Note 3 5 2 5 2 6" xfId="36458" xr:uid="{00000000-0005-0000-0000-000074D60000}"/>
    <cellStyle name="Note 3 5 2 5 2 7" xfId="41935" xr:uid="{00000000-0005-0000-0000-000075D60000}"/>
    <cellStyle name="Note 3 5 2 5 2 8" xfId="47412" xr:uid="{00000000-0005-0000-0000-000076D60000}"/>
    <cellStyle name="Note 3 5 2 5 2 9" xfId="52930" xr:uid="{00000000-0005-0000-0000-000077D60000}"/>
    <cellStyle name="Note 3 5 2 5 3" xfId="4526" xr:uid="{00000000-0005-0000-0000-000078D60000}"/>
    <cellStyle name="Note 3 5 2 5 3 2" xfId="10006" xr:uid="{00000000-0005-0000-0000-000079D60000}"/>
    <cellStyle name="Note 3 5 2 5 3 3" xfId="15482" xr:uid="{00000000-0005-0000-0000-00007AD60000}"/>
    <cellStyle name="Note 3 5 2 5 3 4" xfId="20958" xr:uid="{00000000-0005-0000-0000-00007BD60000}"/>
    <cellStyle name="Note 3 5 2 5 3 5" xfId="26434" xr:uid="{00000000-0005-0000-0000-00007CD60000}"/>
    <cellStyle name="Note 3 5 2 5 3 6" xfId="38230" xr:uid="{00000000-0005-0000-0000-00007DD60000}"/>
    <cellStyle name="Note 3 5 2 5 3 7" xfId="43707" xr:uid="{00000000-0005-0000-0000-00007ED60000}"/>
    <cellStyle name="Note 3 5 2 5 3 8" xfId="49184" xr:uid="{00000000-0005-0000-0000-00007FD60000}"/>
    <cellStyle name="Note 3 5 2 5 3 9" xfId="54702" xr:uid="{00000000-0005-0000-0000-000080D60000}"/>
    <cellStyle name="Note 3 5 2 5 4" xfId="7348" xr:uid="{00000000-0005-0000-0000-000081D60000}"/>
    <cellStyle name="Note 3 5 2 5 5" xfId="12827" xr:uid="{00000000-0005-0000-0000-000082D60000}"/>
    <cellStyle name="Note 3 5 2 5 6" xfId="18303" xr:uid="{00000000-0005-0000-0000-000083D60000}"/>
    <cellStyle name="Note 3 5 2 5 7" xfId="23779" xr:uid="{00000000-0005-0000-0000-000084D60000}"/>
    <cellStyle name="Note 3 5 2 5 8" xfId="35574" xr:uid="{00000000-0005-0000-0000-000085D60000}"/>
    <cellStyle name="Note 3 5 2 5 9" xfId="41051" xr:uid="{00000000-0005-0000-0000-000086D60000}"/>
    <cellStyle name="Note 3 5 2 6" xfId="1199" xr:uid="{00000000-0005-0000-0000-000087D60000}"/>
    <cellStyle name="Note 3 5 2 6 10" xfId="46529" xr:uid="{00000000-0005-0000-0000-000088D60000}"/>
    <cellStyle name="Note 3 5 2 6 11" xfId="52008" xr:uid="{00000000-0005-0000-0000-000089D60000}"/>
    <cellStyle name="Note 3 5 2 6 2" xfId="2960" xr:uid="{00000000-0005-0000-0000-00008AD60000}"/>
    <cellStyle name="Note 3 5 2 6 2 2" xfId="8440" xr:uid="{00000000-0005-0000-0000-00008BD60000}"/>
    <cellStyle name="Note 3 5 2 6 2 3" xfId="13916" xr:uid="{00000000-0005-0000-0000-00008CD60000}"/>
    <cellStyle name="Note 3 5 2 6 2 4" xfId="19392" xr:uid="{00000000-0005-0000-0000-00008DD60000}"/>
    <cellStyle name="Note 3 5 2 6 2 5" xfId="24868" xr:uid="{00000000-0005-0000-0000-00008ED60000}"/>
    <cellStyle name="Note 3 5 2 6 2 6" xfId="36664" xr:uid="{00000000-0005-0000-0000-00008FD60000}"/>
    <cellStyle name="Note 3 5 2 6 2 7" xfId="42141" xr:uid="{00000000-0005-0000-0000-000090D60000}"/>
    <cellStyle name="Note 3 5 2 6 2 8" xfId="47618" xr:uid="{00000000-0005-0000-0000-000091D60000}"/>
    <cellStyle name="Note 3 5 2 6 2 9" xfId="53136" xr:uid="{00000000-0005-0000-0000-000092D60000}"/>
    <cellStyle name="Note 3 5 2 6 3" xfId="4732" xr:uid="{00000000-0005-0000-0000-000093D60000}"/>
    <cellStyle name="Note 3 5 2 6 3 2" xfId="10212" xr:uid="{00000000-0005-0000-0000-000094D60000}"/>
    <cellStyle name="Note 3 5 2 6 3 3" xfId="15688" xr:uid="{00000000-0005-0000-0000-000095D60000}"/>
    <cellStyle name="Note 3 5 2 6 3 4" xfId="21164" xr:uid="{00000000-0005-0000-0000-000096D60000}"/>
    <cellStyle name="Note 3 5 2 6 3 5" xfId="26640" xr:uid="{00000000-0005-0000-0000-000097D60000}"/>
    <cellStyle name="Note 3 5 2 6 3 6" xfId="38436" xr:uid="{00000000-0005-0000-0000-000098D60000}"/>
    <cellStyle name="Note 3 5 2 6 3 7" xfId="43913" xr:uid="{00000000-0005-0000-0000-000099D60000}"/>
    <cellStyle name="Note 3 5 2 6 3 8" xfId="49390" xr:uid="{00000000-0005-0000-0000-00009AD60000}"/>
    <cellStyle name="Note 3 5 2 6 3 9" xfId="54908" xr:uid="{00000000-0005-0000-0000-00009BD60000}"/>
    <cellStyle name="Note 3 5 2 6 4" xfId="7349" xr:uid="{00000000-0005-0000-0000-00009CD60000}"/>
    <cellStyle name="Note 3 5 2 6 5" xfId="12828" xr:uid="{00000000-0005-0000-0000-00009DD60000}"/>
    <cellStyle name="Note 3 5 2 6 6" xfId="18304" xr:uid="{00000000-0005-0000-0000-00009ED60000}"/>
    <cellStyle name="Note 3 5 2 6 7" xfId="23780" xr:uid="{00000000-0005-0000-0000-00009FD60000}"/>
    <cellStyle name="Note 3 5 2 6 8" xfId="35575" xr:uid="{00000000-0005-0000-0000-0000A0D60000}"/>
    <cellStyle name="Note 3 5 2 6 9" xfId="41052" xr:uid="{00000000-0005-0000-0000-0000A1D60000}"/>
    <cellStyle name="Note 3 5 2 7" xfId="1371" xr:uid="{00000000-0005-0000-0000-0000A2D60000}"/>
    <cellStyle name="Note 3 5 2 7 10" xfId="46530" xr:uid="{00000000-0005-0000-0000-0000A3D60000}"/>
    <cellStyle name="Note 3 5 2 7 11" xfId="52009" xr:uid="{00000000-0005-0000-0000-0000A4D60000}"/>
    <cellStyle name="Note 3 5 2 7 2" xfId="3132" xr:uid="{00000000-0005-0000-0000-0000A5D60000}"/>
    <cellStyle name="Note 3 5 2 7 2 2" xfId="8612" xr:uid="{00000000-0005-0000-0000-0000A6D60000}"/>
    <cellStyle name="Note 3 5 2 7 2 3" xfId="14088" xr:uid="{00000000-0005-0000-0000-0000A7D60000}"/>
    <cellStyle name="Note 3 5 2 7 2 4" xfId="19564" xr:uid="{00000000-0005-0000-0000-0000A8D60000}"/>
    <cellStyle name="Note 3 5 2 7 2 5" xfId="25040" xr:uid="{00000000-0005-0000-0000-0000A9D60000}"/>
    <cellStyle name="Note 3 5 2 7 2 6" xfId="36836" xr:uid="{00000000-0005-0000-0000-0000AAD60000}"/>
    <cellStyle name="Note 3 5 2 7 2 7" xfId="42313" xr:uid="{00000000-0005-0000-0000-0000ABD60000}"/>
    <cellStyle name="Note 3 5 2 7 2 8" xfId="47790" xr:uid="{00000000-0005-0000-0000-0000ACD60000}"/>
    <cellStyle name="Note 3 5 2 7 2 9" xfId="53308" xr:uid="{00000000-0005-0000-0000-0000ADD60000}"/>
    <cellStyle name="Note 3 5 2 7 3" xfId="4904" xr:uid="{00000000-0005-0000-0000-0000AED60000}"/>
    <cellStyle name="Note 3 5 2 7 3 2" xfId="10384" xr:uid="{00000000-0005-0000-0000-0000AFD60000}"/>
    <cellStyle name="Note 3 5 2 7 3 3" xfId="15860" xr:uid="{00000000-0005-0000-0000-0000B0D60000}"/>
    <cellStyle name="Note 3 5 2 7 3 4" xfId="21336" xr:uid="{00000000-0005-0000-0000-0000B1D60000}"/>
    <cellStyle name="Note 3 5 2 7 3 5" xfId="26812" xr:uid="{00000000-0005-0000-0000-0000B2D60000}"/>
    <cellStyle name="Note 3 5 2 7 3 6" xfId="38608" xr:uid="{00000000-0005-0000-0000-0000B3D60000}"/>
    <cellStyle name="Note 3 5 2 7 3 7" xfId="44085" xr:uid="{00000000-0005-0000-0000-0000B4D60000}"/>
    <cellStyle name="Note 3 5 2 7 3 8" xfId="49562" xr:uid="{00000000-0005-0000-0000-0000B5D60000}"/>
    <cellStyle name="Note 3 5 2 7 3 9" xfId="55080" xr:uid="{00000000-0005-0000-0000-0000B6D60000}"/>
    <cellStyle name="Note 3 5 2 7 4" xfId="7350" xr:uid="{00000000-0005-0000-0000-0000B7D60000}"/>
    <cellStyle name="Note 3 5 2 7 5" xfId="12829" xr:uid="{00000000-0005-0000-0000-0000B8D60000}"/>
    <cellStyle name="Note 3 5 2 7 6" xfId="18305" xr:uid="{00000000-0005-0000-0000-0000B9D60000}"/>
    <cellStyle name="Note 3 5 2 7 7" xfId="23781" xr:uid="{00000000-0005-0000-0000-0000BAD60000}"/>
    <cellStyle name="Note 3 5 2 7 8" xfId="35576" xr:uid="{00000000-0005-0000-0000-0000BBD60000}"/>
    <cellStyle name="Note 3 5 2 7 9" xfId="41053" xr:uid="{00000000-0005-0000-0000-0000BCD60000}"/>
    <cellStyle name="Note 3 5 2 8" xfId="1543" xr:uid="{00000000-0005-0000-0000-0000BDD60000}"/>
    <cellStyle name="Note 3 5 2 8 10" xfId="46531" xr:uid="{00000000-0005-0000-0000-0000BED60000}"/>
    <cellStyle name="Note 3 5 2 8 11" xfId="52010" xr:uid="{00000000-0005-0000-0000-0000BFD60000}"/>
    <cellStyle name="Note 3 5 2 8 2" xfId="3304" xr:uid="{00000000-0005-0000-0000-0000C0D60000}"/>
    <cellStyle name="Note 3 5 2 8 2 2" xfId="8784" xr:uid="{00000000-0005-0000-0000-0000C1D60000}"/>
    <cellStyle name="Note 3 5 2 8 2 3" xfId="14260" xr:uid="{00000000-0005-0000-0000-0000C2D60000}"/>
    <cellStyle name="Note 3 5 2 8 2 4" xfId="19736" xr:uid="{00000000-0005-0000-0000-0000C3D60000}"/>
    <cellStyle name="Note 3 5 2 8 2 5" xfId="25212" xr:uid="{00000000-0005-0000-0000-0000C4D60000}"/>
    <cellStyle name="Note 3 5 2 8 2 6" xfId="37008" xr:uid="{00000000-0005-0000-0000-0000C5D60000}"/>
    <cellStyle name="Note 3 5 2 8 2 7" xfId="42485" xr:uid="{00000000-0005-0000-0000-0000C6D60000}"/>
    <cellStyle name="Note 3 5 2 8 2 8" xfId="47962" xr:uid="{00000000-0005-0000-0000-0000C7D60000}"/>
    <cellStyle name="Note 3 5 2 8 2 9" xfId="53480" xr:uid="{00000000-0005-0000-0000-0000C8D60000}"/>
    <cellStyle name="Note 3 5 2 8 3" xfId="5076" xr:uid="{00000000-0005-0000-0000-0000C9D60000}"/>
    <cellStyle name="Note 3 5 2 8 3 2" xfId="10556" xr:uid="{00000000-0005-0000-0000-0000CAD60000}"/>
    <cellStyle name="Note 3 5 2 8 3 3" xfId="16032" xr:uid="{00000000-0005-0000-0000-0000CBD60000}"/>
    <cellStyle name="Note 3 5 2 8 3 4" xfId="21508" xr:uid="{00000000-0005-0000-0000-0000CCD60000}"/>
    <cellStyle name="Note 3 5 2 8 3 5" xfId="26984" xr:uid="{00000000-0005-0000-0000-0000CDD60000}"/>
    <cellStyle name="Note 3 5 2 8 3 6" xfId="38780" xr:uid="{00000000-0005-0000-0000-0000CED60000}"/>
    <cellStyle name="Note 3 5 2 8 3 7" xfId="44257" xr:uid="{00000000-0005-0000-0000-0000CFD60000}"/>
    <cellStyle name="Note 3 5 2 8 3 8" xfId="49734" xr:uid="{00000000-0005-0000-0000-0000D0D60000}"/>
    <cellStyle name="Note 3 5 2 8 3 9" xfId="55252" xr:uid="{00000000-0005-0000-0000-0000D1D60000}"/>
    <cellStyle name="Note 3 5 2 8 4" xfId="7351" xr:uid="{00000000-0005-0000-0000-0000D2D60000}"/>
    <cellStyle name="Note 3 5 2 8 5" xfId="12830" xr:uid="{00000000-0005-0000-0000-0000D3D60000}"/>
    <cellStyle name="Note 3 5 2 8 6" xfId="18306" xr:uid="{00000000-0005-0000-0000-0000D4D60000}"/>
    <cellStyle name="Note 3 5 2 8 7" xfId="23782" xr:uid="{00000000-0005-0000-0000-0000D5D60000}"/>
    <cellStyle name="Note 3 5 2 8 8" xfId="35577" xr:uid="{00000000-0005-0000-0000-0000D6D60000}"/>
    <cellStyle name="Note 3 5 2 8 9" xfId="41054" xr:uid="{00000000-0005-0000-0000-0000D7D60000}"/>
    <cellStyle name="Note 3 5 2 9" xfId="1715" xr:uid="{00000000-0005-0000-0000-0000D8D60000}"/>
    <cellStyle name="Note 3 5 2 9 10" xfId="46532" xr:uid="{00000000-0005-0000-0000-0000D9D60000}"/>
    <cellStyle name="Note 3 5 2 9 11" xfId="52011" xr:uid="{00000000-0005-0000-0000-0000DAD60000}"/>
    <cellStyle name="Note 3 5 2 9 2" xfId="3476" xr:uid="{00000000-0005-0000-0000-0000DBD60000}"/>
    <cellStyle name="Note 3 5 2 9 2 2" xfId="8956" xr:uid="{00000000-0005-0000-0000-0000DCD60000}"/>
    <cellStyle name="Note 3 5 2 9 2 3" xfId="14432" xr:uid="{00000000-0005-0000-0000-0000DDD60000}"/>
    <cellStyle name="Note 3 5 2 9 2 4" xfId="19908" xr:uid="{00000000-0005-0000-0000-0000DED60000}"/>
    <cellStyle name="Note 3 5 2 9 2 5" xfId="25384" xr:uid="{00000000-0005-0000-0000-0000DFD60000}"/>
    <cellStyle name="Note 3 5 2 9 2 6" xfId="37180" xr:uid="{00000000-0005-0000-0000-0000E0D60000}"/>
    <cellStyle name="Note 3 5 2 9 2 7" xfId="42657" xr:uid="{00000000-0005-0000-0000-0000E1D60000}"/>
    <cellStyle name="Note 3 5 2 9 2 8" xfId="48134" xr:uid="{00000000-0005-0000-0000-0000E2D60000}"/>
    <cellStyle name="Note 3 5 2 9 2 9" xfId="53652" xr:uid="{00000000-0005-0000-0000-0000E3D60000}"/>
    <cellStyle name="Note 3 5 2 9 3" xfId="5248" xr:uid="{00000000-0005-0000-0000-0000E4D60000}"/>
    <cellStyle name="Note 3 5 2 9 3 2" xfId="10728" xr:uid="{00000000-0005-0000-0000-0000E5D60000}"/>
    <cellStyle name="Note 3 5 2 9 3 3" xfId="16204" xr:uid="{00000000-0005-0000-0000-0000E6D60000}"/>
    <cellStyle name="Note 3 5 2 9 3 4" xfId="21680" xr:uid="{00000000-0005-0000-0000-0000E7D60000}"/>
    <cellStyle name="Note 3 5 2 9 3 5" xfId="27156" xr:uid="{00000000-0005-0000-0000-0000E8D60000}"/>
    <cellStyle name="Note 3 5 2 9 3 6" xfId="38952" xr:uid="{00000000-0005-0000-0000-0000E9D60000}"/>
    <cellStyle name="Note 3 5 2 9 3 7" xfId="44429" xr:uid="{00000000-0005-0000-0000-0000EAD60000}"/>
    <cellStyle name="Note 3 5 2 9 3 8" xfId="49906" xr:uid="{00000000-0005-0000-0000-0000EBD60000}"/>
    <cellStyle name="Note 3 5 2 9 3 9" xfId="55424" xr:uid="{00000000-0005-0000-0000-0000ECD60000}"/>
    <cellStyle name="Note 3 5 2 9 4" xfId="7352" xr:uid="{00000000-0005-0000-0000-0000EDD60000}"/>
    <cellStyle name="Note 3 5 2 9 5" xfId="12831" xr:uid="{00000000-0005-0000-0000-0000EED60000}"/>
    <cellStyle name="Note 3 5 2 9 6" xfId="18307" xr:uid="{00000000-0005-0000-0000-0000EFD60000}"/>
    <cellStyle name="Note 3 5 2 9 7" xfId="23783" xr:uid="{00000000-0005-0000-0000-0000F0D60000}"/>
    <cellStyle name="Note 3 5 2 9 8" xfId="35578" xr:uid="{00000000-0005-0000-0000-0000F1D60000}"/>
    <cellStyle name="Note 3 5 2 9 9" xfId="41055" xr:uid="{00000000-0005-0000-0000-0000F2D60000}"/>
    <cellStyle name="Note 3 5 20" xfId="41043" xr:uid="{00000000-0005-0000-0000-0000F3D60000}"/>
    <cellStyle name="Note 3 5 21" xfId="46520" xr:uid="{00000000-0005-0000-0000-0000F4D60000}"/>
    <cellStyle name="Note 3 5 22" xfId="51999" xr:uid="{00000000-0005-0000-0000-0000F5D60000}"/>
    <cellStyle name="Note 3 5 3" xfId="472" xr:uid="{00000000-0005-0000-0000-0000F6D60000}"/>
    <cellStyle name="Note 3 5 3 10" xfId="41056" xr:uid="{00000000-0005-0000-0000-0000F7D60000}"/>
    <cellStyle name="Note 3 5 3 11" xfId="46533" xr:uid="{00000000-0005-0000-0000-0000F8D60000}"/>
    <cellStyle name="Note 3 5 3 12" xfId="52012" xr:uid="{00000000-0005-0000-0000-0000F9D60000}"/>
    <cellStyle name="Note 3 5 3 2" xfId="2237" xr:uid="{00000000-0005-0000-0000-0000FAD60000}"/>
    <cellStyle name="Note 3 5 3 2 2" xfId="7717" xr:uid="{00000000-0005-0000-0000-0000FBD60000}"/>
    <cellStyle name="Note 3 5 3 2 3" xfId="13193" xr:uid="{00000000-0005-0000-0000-0000FCD60000}"/>
    <cellStyle name="Note 3 5 3 2 4" xfId="18669" xr:uid="{00000000-0005-0000-0000-0000FDD60000}"/>
    <cellStyle name="Note 3 5 3 2 5" xfId="24145" xr:uid="{00000000-0005-0000-0000-0000FED60000}"/>
    <cellStyle name="Note 3 5 3 2 6" xfId="35941" xr:uid="{00000000-0005-0000-0000-0000FFD60000}"/>
    <cellStyle name="Note 3 5 3 2 7" xfId="41418" xr:uid="{00000000-0005-0000-0000-000000D70000}"/>
    <cellStyle name="Note 3 5 3 2 8" xfId="46895" xr:uid="{00000000-0005-0000-0000-000001D70000}"/>
    <cellStyle name="Note 3 5 3 2 9" xfId="52413" xr:uid="{00000000-0005-0000-0000-000002D70000}"/>
    <cellStyle name="Note 3 5 3 3" xfId="4009" xr:uid="{00000000-0005-0000-0000-000003D70000}"/>
    <cellStyle name="Note 3 5 3 3 2" xfId="9489" xr:uid="{00000000-0005-0000-0000-000004D70000}"/>
    <cellStyle name="Note 3 5 3 3 3" xfId="14965" xr:uid="{00000000-0005-0000-0000-000005D70000}"/>
    <cellStyle name="Note 3 5 3 3 4" xfId="20441" xr:uid="{00000000-0005-0000-0000-000006D70000}"/>
    <cellStyle name="Note 3 5 3 3 5" xfId="25917" xr:uid="{00000000-0005-0000-0000-000007D70000}"/>
    <cellStyle name="Note 3 5 3 3 6" xfId="37713" xr:uid="{00000000-0005-0000-0000-000008D70000}"/>
    <cellStyle name="Note 3 5 3 3 7" xfId="43190" xr:uid="{00000000-0005-0000-0000-000009D70000}"/>
    <cellStyle name="Note 3 5 3 3 8" xfId="48667" xr:uid="{00000000-0005-0000-0000-00000AD70000}"/>
    <cellStyle name="Note 3 5 3 3 9" xfId="54185" xr:uid="{00000000-0005-0000-0000-00000BD70000}"/>
    <cellStyle name="Note 3 5 3 4" xfId="7353" xr:uid="{00000000-0005-0000-0000-00000CD70000}"/>
    <cellStyle name="Note 3 5 3 5" xfId="12832" xr:uid="{00000000-0005-0000-0000-00000DD70000}"/>
    <cellStyle name="Note 3 5 3 6" xfId="18308" xr:uid="{00000000-0005-0000-0000-00000ED70000}"/>
    <cellStyle name="Note 3 5 3 7" xfId="23784" xr:uid="{00000000-0005-0000-0000-00000FD70000}"/>
    <cellStyle name="Note 3 5 3 8" xfId="33660" xr:uid="{00000000-0005-0000-0000-000010D70000}"/>
    <cellStyle name="Note 3 5 3 9" xfId="35579" xr:uid="{00000000-0005-0000-0000-000011D70000}"/>
    <cellStyle name="Note 3 5 4" xfId="648" xr:uid="{00000000-0005-0000-0000-000012D70000}"/>
    <cellStyle name="Note 3 5 4 10" xfId="46534" xr:uid="{00000000-0005-0000-0000-000013D70000}"/>
    <cellStyle name="Note 3 5 4 11" xfId="52013" xr:uid="{00000000-0005-0000-0000-000014D70000}"/>
    <cellStyle name="Note 3 5 4 2" xfId="2409" xr:uid="{00000000-0005-0000-0000-000015D70000}"/>
    <cellStyle name="Note 3 5 4 2 2" xfId="7889" xr:uid="{00000000-0005-0000-0000-000016D70000}"/>
    <cellStyle name="Note 3 5 4 2 3" xfId="13365" xr:uid="{00000000-0005-0000-0000-000017D70000}"/>
    <cellStyle name="Note 3 5 4 2 4" xfId="18841" xr:uid="{00000000-0005-0000-0000-000018D70000}"/>
    <cellStyle name="Note 3 5 4 2 5" xfId="24317" xr:uid="{00000000-0005-0000-0000-000019D70000}"/>
    <cellStyle name="Note 3 5 4 2 6" xfId="36113" xr:uid="{00000000-0005-0000-0000-00001AD70000}"/>
    <cellStyle name="Note 3 5 4 2 7" xfId="41590" xr:uid="{00000000-0005-0000-0000-00001BD70000}"/>
    <cellStyle name="Note 3 5 4 2 8" xfId="47067" xr:uid="{00000000-0005-0000-0000-00001CD70000}"/>
    <cellStyle name="Note 3 5 4 2 9" xfId="52585" xr:uid="{00000000-0005-0000-0000-00001DD70000}"/>
    <cellStyle name="Note 3 5 4 3" xfId="4181" xr:uid="{00000000-0005-0000-0000-00001ED70000}"/>
    <cellStyle name="Note 3 5 4 3 2" xfId="9661" xr:uid="{00000000-0005-0000-0000-00001FD70000}"/>
    <cellStyle name="Note 3 5 4 3 3" xfId="15137" xr:uid="{00000000-0005-0000-0000-000020D70000}"/>
    <cellStyle name="Note 3 5 4 3 4" xfId="20613" xr:uid="{00000000-0005-0000-0000-000021D70000}"/>
    <cellStyle name="Note 3 5 4 3 5" xfId="26089" xr:uid="{00000000-0005-0000-0000-000022D70000}"/>
    <cellStyle name="Note 3 5 4 3 6" xfId="37885" xr:uid="{00000000-0005-0000-0000-000023D70000}"/>
    <cellStyle name="Note 3 5 4 3 7" xfId="43362" xr:uid="{00000000-0005-0000-0000-000024D70000}"/>
    <cellStyle name="Note 3 5 4 3 8" xfId="48839" xr:uid="{00000000-0005-0000-0000-000025D70000}"/>
    <cellStyle name="Note 3 5 4 3 9" xfId="54357" xr:uid="{00000000-0005-0000-0000-000026D70000}"/>
    <cellStyle name="Note 3 5 4 4" xfId="7354" xr:uid="{00000000-0005-0000-0000-000027D70000}"/>
    <cellStyle name="Note 3 5 4 5" xfId="12833" xr:uid="{00000000-0005-0000-0000-000028D70000}"/>
    <cellStyle name="Note 3 5 4 6" xfId="18309" xr:uid="{00000000-0005-0000-0000-000029D70000}"/>
    <cellStyle name="Note 3 5 4 7" xfId="23785" xr:uid="{00000000-0005-0000-0000-00002AD70000}"/>
    <cellStyle name="Note 3 5 4 8" xfId="35580" xr:uid="{00000000-0005-0000-0000-00002BD70000}"/>
    <cellStyle name="Note 3 5 4 9" xfId="41057" xr:uid="{00000000-0005-0000-0000-00002CD70000}"/>
    <cellStyle name="Note 3 5 5" xfId="820" xr:uid="{00000000-0005-0000-0000-00002DD70000}"/>
    <cellStyle name="Note 3 5 5 10" xfId="46535" xr:uid="{00000000-0005-0000-0000-00002ED70000}"/>
    <cellStyle name="Note 3 5 5 11" xfId="52014" xr:uid="{00000000-0005-0000-0000-00002FD70000}"/>
    <cellStyle name="Note 3 5 5 2" xfId="2581" xr:uid="{00000000-0005-0000-0000-000030D70000}"/>
    <cellStyle name="Note 3 5 5 2 2" xfId="8061" xr:uid="{00000000-0005-0000-0000-000031D70000}"/>
    <cellStyle name="Note 3 5 5 2 3" xfId="13537" xr:uid="{00000000-0005-0000-0000-000032D70000}"/>
    <cellStyle name="Note 3 5 5 2 4" xfId="19013" xr:uid="{00000000-0005-0000-0000-000033D70000}"/>
    <cellStyle name="Note 3 5 5 2 5" xfId="24489" xr:uid="{00000000-0005-0000-0000-000034D70000}"/>
    <cellStyle name="Note 3 5 5 2 6" xfId="36285" xr:uid="{00000000-0005-0000-0000-000035D70000}"/>
    <cellStyle name="Note 3 5 5 2 7" xfId="41762" xr:uid="{00000000-0005-0000-0000-000036D70000}"/>
    <cellStyle name="Note 3 5 5 2 8" xfId="47239" xr:uid="{00000000-0005-0000-0000-000037D70000}"/>
    <cellStyle name="Note 3 5 5 2 9" xfId="52757" xr:uid="{00000000-0005-0000-0000-000038D70000}"/>
    <cellStyle name="Note 3 5 5 3" xfId="4353" xr:uid="{00000000-0005-0000-0000-000039D70000}"/>
    <cellStyle name="Note 3 5 5 3 2" xfId="9833" xr:uid="{00000000-0005-0000-0000-00003AD70000}"/>
    <cellStyle name="Note 3 5 5 3 3" xfId="15309" xr:uid="{00000000-0005-0000-0000-00003BD70000}"/>
    <cellStyle name="Note 3 5 5 3 4" xfId="20785" xr:uid="{00000000-0005-0000-0000-00003CD70000}"/>
    <cellStyle name="Note 3 5 5 3 5" xfId="26261" xr:uid="{00000000-0005-0000-0000-00003DD70000}"/>
    <cellStyle name="Note 3 5 5 3 6" xfId="38057" xr:uid="{00000000-0005-0000-0000-00003ED70000}"/>
    <cellStyle name="Note 3 5 5 3 7" xfId="43534" xr:uid="{00000000-0005-0000-0000-00003FD70000}"/>
    <cellStyle name="Note 3 5 5 3 8" xfId="49011" xr:uid="{00000000-0005-0000-0000-000040D70000}"/>
    <cellStyle name="Note 3 5 5 3 9" xfId="54529" xr:uid="{00000000-0005-0000-0000-000041D70000}"/>
    <cellStyle name="Note 3 5 5 4" xfId="7355" xr:uid="{00000000-0005-0000-0000-000042D70000}"/>
    <cellStyle name="Note 3 5 5 5" xfId="12834" xr:uid="{00000000-0005-0000-0000-000043D70000}"/>
    <cellStyle name="Note 3 5 5 6" xfId="18310" xr:uid="{00000000-0005-0000-0000-000044D70000}"/>
    <cellStyle name="Note 3 5 5 7" xfId="23786" xr:uid="{00000000-0005-0000-0000-000045D70000}"/>
    <cellStyle name="Note 3 5 5 8" xfId="35581" xr:uid="{00000000-0005-0000-0000-000046D70000}"/>
    <cellStyle name="Note 3 5 5 9" xfId="41058" xr:uid="{00000000-0005-0000-0000-000047D70000}"/>
    <cellStyle name="Note 3 5 6" xfId="992" xr:uid="{00000000-0005-0000-0000-000048D70000}"/>
    <cellStyle name="Note 3 5 6 10" xfId="46536" xr:uid="{00000000-0005-0000-0000-000049D70000}"/>
    <cellStyle name="Note 3 5 6 11" xfId="52015" xr:uid="{00000000-0005-0000-0000-00004AD70000}"/>
    <cellStyle name="Note 3 5 6 2" xfId="2753" xr:uid="{00000000-0005-0000-0000-00004BD70000}"/>
    <cellStyle name="Note 3 5 6 2 2" xfId="8233" xr:uid="{00000000-0005-0000-0000-00004CD70000}"/>
    <cellStyle name="Note 3 5 6 2 3" xfId="13709" xr:uid="{00000000-0005-0000-0000-00004DD70000}"/>
    <cellStyle name="Note 3 5 6 2 4" xfId="19185" xr:uid="{00000000-0005-0000-0000-00004ED70000}"/>
    <cellStyle name="Note 3 5 6 2 5" xfId="24661" xr:uid="{00000000-0005-0000-0000-00004FD70000}"/>
    <cellStyle name="Note 3 5 6 2 6" xfId="36457" xr:uid="{00000000-0005-0000-0000-000050D70000}"/>
    <cellStyle name="Note 3 5 6 2 7" xfId="41934" xr:uid="{00000000-0005-0000-0000-000051D70000}"/>
    <cellStyle name="Note 3 5 6 2 8" xfId="47411" xr:uid="{00000000-0005-0000-0000-000052D70000}"/>
    <cellStyle name="Note 3 5 6 2 9" xfId="52929" xr:uid="{00000000-0005-0000-0000-000053D70000}"/>
    <cellStyle name="Note 3 5 6 3" xfId="4525" xr:uid="{00000000-0005-0000-0000-000054D70000}"/>
    <cellStyle name="Note 3 5 6 3 2" xfId="10005" xr:uid="{00000000-0005-0000-0000-000055D70000}"/>
    <cellStyle name="Note 3 5 6 3 3" xfId="15481" xr:uid="{00000000-0005-0000-0000-000056D70000}"/>
    <cellStyle name="Note 3 5 6 3 4" xfId="20957" xr:uid="{00000000-0005-0000-0000-000057D70000}"/>
    <cellStyle name="Note 3 5 6 3 5" xfId="26433" xr:uid="{00000000-0005-0000-0000-000058D70000}"/>
    <cellStyle name="Note 3 5 6 3 6" xfId="38229" xr:uid="{00000000-0005-0000-0000-000059D70000}"/>
    <cellStyle name="Note 3 5 6 3 7" xfId="43706" xr:uid="{00000000-0005-0000-0000-00005AD70000}"/>
    <cellStyle name="Note 3 5 6 3 8" xfId="49183" xr:uid="{00000000-0005-0000-0000-00005BD70000}"/>
    <cellStyle name="Note 3 5 6 3 9" xfId="54701" xr:uid="{00000000-0005-0000-0000-00005CD70000}"/>
    <cellStyle name="Note 3 5 6 4" xfId="7356" xr:uid="{00000000-0005-0000-0000-00005DD70000}"/>
    <cellStyle name="Note 3 5 6 5" xfId="12835" xr:uid="{00000000-0005-0000-0000-00005ED70000}"/>
    <cellStyle name="Note 3 5 6 6" xfId="18311" xr:uid="{00000000-0005-0000-0000-00005FD70000}"/>
    <cellStyle name="Note 3 5 6 7" xfId="23787" xr:uid="{00000000-0005-0000-0000-000060D70000}"/>
    <cellStyle name="Note 3 5 6 8" xfId="35582" xr:uid="{00000000-0005-0000-0000-000061D70000}"/>
    <cellStyle name="Note 3 5 6 9" xfId="41059" xr:uid="{00000000-0005-0000-0000-000062D70000}"/>
    <cellStyle name="Note 3 5 7" xfId="1198" xr:uid="{00000000-0005-0000-0000-000063D70000}"/>
    <cellStyle name="Note 3 5 7 10" xfId="46537" xr:uid="{00000000-0005-0000-0000-000064D70000}"/>
    <cellStyle name="Note 3 5 7 11" xfId="52016" xr:uid="{00000000-0005-0000-0000-000065D70000}"/>
    <cellStyle name="Note 3 5 7 2" xfId="2959" xr:uid="{00000000-0005-0000-0000-000066D70000}"/>
    <cellStyle name="Note 3 5 7 2 2" xfId="8439" xr:uid="{00000000-0005-0000-0000-000067D70000}"/>
    <cellStyle name="Note 3 5 7 2 3" xfId="13915" xr:uid="{00000000-0005-0000-0000-000068D70000}"/>
    <cellStyle name="Note 3 5 7 2 4" xfId="19391" xr:uid="{00000000-0005-0000-0000-000069D70000}"/>
    <cellStyle name="Note 3 5 7 2 5" xfId="24867" xr:uid="{00000000-0005-0000-0000-00006AD70000}"/>
    <cellStyle name="Note 3 5 7 2 6" xfId="36663" xr:uid="{00000000-0005-0000-0000-00006BD70000}"/>
    <cellStyle name="Note 3 5 7 2 7" xfId="42140" xr:uid="{00000000-0005-0000-0000-00006CD70000}"/>
    <cellStyle name="Note 3 5 7 2 8" xfId="47617" xr:uid="{00000000-0005-0000-0000-00006DD70000}"/>
    <cellStyle name="Note 3 5 7 2 9" xfId="53135" xr:uid="{00000000-0005-0000-0000-00006ED70000}"/>
    <cellStyle name="Note 3 5 7 3" xfId="4731" xr:uid="{00000000-0005-0000-0000-00006FD70000}"/>
    <cellStyle name="Note 3 5 7 3 2" xfId="10211" xr:uid="{00000000-0005-0000-0000-000070D70000}"/>
    <cellStyle name="Note 3 5 7 3 3" xfId="15687" xr:uid="{00000000-0005-0000-0000-000071D70000}"/>
    <cellStyle name="Note 3 5 7 3 4" xfId="21163" xr:uid="{00000000-0005-0000-0000-000072D70000}"/>
    <cellStyle name="Note 3 5 7 3 5" xfId="26639" xr:uid="{00000000-0005-0000-0000-000073D70000}"/>
    <cellStyle name="Note 3 5 7 3 6" xfId="38435" xr:uid="{00000000-0005-0000-0000-000074D70000}"/>
    <cellStyle name="Note 3 5 7 3 7" xfId="43912" xr:uid="{00000000-0005-0000-0000-000075D70000}"/>
    <cellStyle name="Note 3 5 7 3 8" xfId="49389" xr:uid="{00000000-0005-0000-0000-000076D70000}"/>
    <cellStyle name="Note 3 5 7 3 9" xfId="54907" xr:uid="{00000000-0005-0000-0000-000077D70000}"/>
    <cellStyle name="Note 3 5 7 4" xfId="7357" xr:uid="{00000000-0005-0000-0000-000078D70000}"/>
    <cellStyle name="Note 3 5 7 5" xfId="12836" xr:uid="{00000000-0005-0000-0000-000079D70000}"/>
    <cellStyle name="Note 3 5 7 6" xfId="18312" xr:uid="{00000000-0005-0000-0000-00007AD70000}"/>
    <cellStyle name="Note 3 5 7 7" xfId="23788" xr:uid="{00000000-0005-0000-0000-00007BD70000}"/>
    <cellStyle name="Note 3 5 7 8" xfId="35583" xr:uid="{00000000-0005-0000-0000-00007CD70000}"/>
    <cellStyle name="Note 3 5 7 9" xfId="41060" xr:uid="{00000000-0005-0000-0000-00007DD70000}"/>
    <cellStyle name="Note 3 5 8" xfId="1370" xr:uid="{00000000-0005-0000-0000-00007ED70000}"/>
    <cellStyle name="Note 3 5 8 10" xfId="46538" xr:uid="{00000000-0005-0000-0000-00007FD70000}"/>
    <cellStyle name="Note 3 5 8 11" xfId="52017" xr:uid="{00000000-0005-0000-0000-000080D70000}"/>
    <cellStyle name="Note 3 5 8 2" xfId="3131" xr:uid="{00000000-0005-0000-0000-000081D70000}"/>
    <cellStyle name="Note 3 5 8 2 2" xfId="8611" xr:uid="{00000000-0005-0000-0000-000082D70000}"/>
    <cellStyle name="Note 3 5 8 2 3" xfId="14087" xr:uid="{00000000-0005-0000-0000-000083D70000}"/>
    <cellStyle name="Note 3 5 8 2 4" xfId="19563" xr:uid="{00000000-0005-0000-0000-000084D70000}"/>
    <cellStyle name="Note 3 5 8 2 5" xfId="25039" xr:uid="{00000000-0005-0000-0000-000085D70000}"/>
    <cellStyle name="Note 3 5 8 2 6" xfId="36835" xr:uid="{00000000-0005-0000-0000-000086D70000}"/>
    <cellStyle name="Note 3 5 8 2 7" xfId="42312" xr:uid="{00000000-0005-0000-0000-000087D70000}"/>
    <cellStyle name="Note 3 5 8 2 8" xfId="47789" xr:uid="{00000000-0005-0000-0000-000088D70000}"/>
    <cellStyle name="Note 3 5 8 2 9" xfId="53307" xr:uid="{00000000-0005-0000-0000-000089D70000}"/>
    <cellStyle name="Note 3 5 8 3" xfId="4903" xr:uid="{00000000-0005-0000-0000-00008AD70000}"/>
    <cellStyle name="Note 3 5 8 3 2" xfId="10383" xr:uid="{00000000-0005-0000-0000-00008BD70000}"/>
    <cellStyle name="Note 3 5 8 3 3" xfId="15859" xr:uid="{00000000-0005-0000-0000-00008CD70000}"/>
    <cellStyle name="Note 3 5 8 3 4" xfId="21335" xr:uid="{00000000-0005-0000-0000-00008DD70000}"/>
    <cellStyle name="Note 3 5 8 3 5" xfId="26811" xr:uid="{00000000-0005-0000-0000-00008ED70000}"/>
    <cellStyle name="Note 3 5 8 3 6" xfId="38607" xr:uid="{00000000-0005-0000-0000-00008FD70000}"/>
    <cellStyle name="Note 3 5 8 3 7" xfId="44084" xr:uid="{00000000-0005-0000-0000-000090D70000}"/>
    <cellStyle name="Note 3 5 8 3 8" xfId="49561" xr:uid="{00000000-0005-0000-0000-000091D70000}"/>
    <cellStyle name="Note 3 5 8 3 9" xfId="55079" xr:uid="{00000000-0005-0000-0000-000092D70000}"/>
    <cellStyle name="Note 3 5 8 4" xfId="7358" xr:uid="{00000000-0005-0000-0000-000093D70000}"/>
    <cellStyle name="Note 3 5 8 5" xfId="12837" xr:uid="{00000000-0005-0000-0000-000094D70000}"/>
    <cellStyle name="Note 3 5 8 6" xfId="18313" xr:uid="{00000000-0005-0000-0000-000095D70000}"/>
    <cellStyle name="Note 3 5 8 7" xfId="23789" xr:uid="{00000000-0005-0000-0000-000096D70000}"/>
    <cellStyle name="Note 3 5 8 8" xfId="35584" xr:uid="{00000000-0005-0000-0000-000097D70000}"/>
    <cellStyle name="Note 3 5 8 9" xfId="41061" xr:uid="{00000000-0005-0000-0000-000098D70000}"/>
    <cellStyle name="Note 3 5 9" xfId="1542" xr:uid="{00000000-0005-0000-0000-000099D70000}"/>
    <cellStyle name="Note 3 5 9 10" xfId="46539" xr:uid="{00000000-0005-0000-0000-00009AD70000}"/>
    <cellStyle name="Note 3 5 9 11" xfId="52018" xr:uid="{00000000-0005-0000-0000-00009BD70000}"/>
    <cellStyle name="Note 3 5 9 2" xfId="3303" xr:uid="{00000000-0005-0000-0000-00009CD70000}"/>
    <cellStyle name="Note 3 5 9 2 2" xfId="8783" xr:uid="{00000000-0005-0000-0000-00009DD70000}"/>
    <cellStyle name="Note 3 5 9 2 3" xfId="14259" xr:uid="{00000000-0005-0000-0000-00009ED70000}"/>
    <cellStyle name="Note 3 5 9 2 4" xfId="19735" xr:uid="{00000000-0005-0000-0000-00009FD70000}"/>
    <cellStyle name="Note 3 5 9 2 5" xfId="25211" xr:uid="{00000000-0005-0000-0000-0000A0D70000}"/>
    <cellStyle name="Note 3 5 9 2 6" xfId="37007" xr:uid="{00000000-0005-0000-0000-0000A1D70000}"/>
    <cellStyle name="Note 3 5 9 2 7" xfId="42484" xr:uid="{00000000-0005-0000-0000-0000A2D70000}"/>
    <cellStyle name="Note 3 5 9 2 8" xfId="47961" xr:uid="{00000000-0005-0000-0000-0000A3D70000}"/>
    <cellStyle name="Note 3 5 9 2 9" xfId="53479" xr:uid="{00000000-0005-0000-0000-0000A4D70000}"/>
    <cellStyle name="Note 3 5 9 3" xfId="5075" xr:uid="{00000000-0005-0000-0000-0000A5D70000}"/>
    <cellStyle name="Note 3 5 9 3 2" xfId="10555" xr:uid="{00000000-0005-0000-0000-0000A6D70000}"/>
    <cellStyle name="Note 3 5 9 3 3" xfId="16031" xr:uid="{00000000-0005-0000-0000-0000A7D70000}"/>
    <cellStyle name="Note 3 5 9 3 4" xfId="21507" xr:uid="{00000000-0005-0000-0000-0000A8D70000}"/>
    <cellStyle name="Note 3 5 9 3 5" xfId="26983" xr:uid="{00000000-0005-0000-0000-0000A9D70000}"/>
    <cellStyle name="Note 3 5 9 3 6" xfId="38779" xr:uid="{00000000-0005-0000-0000-0000AAD70000}"/>
    <cellStyle name="Note 3 5 9 3 7" xfId="44256" xr:uid="{00000000-0005-0000-0000-0000ABD70000}"/>
    <cellStyle name="Note 3 5 9 3 8" xfId="49733" xr:uid="{00000000-0005-0000-0000-0000ACD70000}"/>
    <cellStyle name="Note 3 5 9 3 9" xfId="55251" xr:uid="{00000000-0005-0000-0000-0000ADD70000}"/>
    <cellStyle name="Note 3 5 9 4" xfId="7359" xr:uid="{00000000-0005-0000-0000-0000AED70000}"/>
    <cellStyle name="Note 3 5 9 5" xfId="12838" xr:uid="{00000000-0005-0000-0000-0000AFD70000}"/>
    <cellStyle name="Note 3 5 9 6" xfId="18314" xr:uid="{00000000-0005-0000-0000-0000B0D70000}"/>
    <cellStyle name="Note 3 5 9 7" xfId="23790" xr:uid="{00000000-0005-0000-0000-0000B1D70000}"/>
    <cellStyle name="Note 3 5 9 8" xfId="35585" xr:uid="{00000000-0005-0000-0000-0000B2D70000}"/>
    <cellStyle name="Note 3 5 9 9" xfId="41062" xr:uid="{00000000-0005-0000-0000-0000B3D70000}"/>
    <cellStyle name="Note 3 6" xfId="203" xr:uid="{00000000-0005-0000-0000-0000B4D70000}"/>
    <cellStyle name="Note 3 6 10" xfId="1905" xr:uid="{00000000-0005-0000-0000-0000B5D70000}"/>
    <cellStyle name="Note 3 6 10 10" xfId="46541" xr:uid="{00000000-0005-0000-0000-0000B6D70000}"/>
    <cellStyle name="Note 3 6 10 11" xfId="52020" xr:uid="{00000000-0005-0000-0000-0000B7D70000}"/>
    <cellStyle name="Note 3 6 10 2" xfId="3666" xr:uid="{00000000-0005-0000-0000-0000B8D70000}"/>
    <cellStyle name="Note 3 6 10 2 2" xfId="9146" xr:uid="{00000000-0005-0000-0000-0000B9D70000}"/>
    <cellStyle name="Note 3 6 10 2 3" xfId="14622" xr:uid="{00000000-0005-0000-0000-0000BAD70000}"/>
    <cellStyle name="Note 3 6 10 2 4" xfId="20098" xr:uid="{00000000-0005-0000-0000-0000BBD70000}"/>
    <cellStyle name="Note 3 6 10 2 5" xfId="25574" xr:uid="{00000000-0005-0000-0000-0000BCD70000}"/>
    <cellStyle name="Note 3 6 10 2 6" xfId="37370" xr:uid="{00000000-0005-0000-0000-0000BDD70000}"/>
    <cellStyle name="Note 3 6 10 2 7" xfId="42847" xr:uid="{00000000-0005-0000-0000-0000BED70000}"/>
    <cellStyle name="Note 3 6 10 2 8" xfId="48324" xr:uid="{00000000-0005-0000-0000-0000BFD70000}"/>
    <cellStyle name="Note 3 6 10 2 9" xfId="53842" xr:uid="{00000000-0005-0000-0000-0000C0D70000}"/>
    <cellStyle name="Note 3 6 10 3" xfId="5438" xr:uid="{00000000-0005-0000-0000-0000C1D70000}"/>
    <cellStyle name="Note 3 6 10 3 2" xfId="10918" xr:uid="{00000000-0005-0000-0000-0000C2D70000}"/>
    <cellStyle name="Note 3 6 10 3 3" xfId="16394" xr:uid="{00000000-0005-0000-0000-0000C3D70000}"/>
    <cellStyle name="Note 3 6 10 3 4" xfId="21870" xr:uid="{00000000-0005-0000-0000-0000C4D70000}"/>
    <cellStyle name="Note 3 6 10 3 5" xfId="27346" xr:uid="{00000000-0005-0000-0000-0000C5D70000}"/>
    <cellStyle name="Note 3 6 10 3 6" xfId="39142" xr:uid="{00000000-0005-0000-0000-0000C6D70000}"/>
    <cellStyle name="Note 3 6 10 3 7" xfId="44619" xr:uid="{00000000-0005-0000-0000-0000C7D70000}"/>
    <cellStyle name="Note 3 6 10 3 8" xfId="50096" xr:uid="{00000000-0005-0000-0000-0000C8D70000}"/>
    <cellStyle name="Note 3 6 10 3 9" xfId="55614" xr:uid="{00000000-0005-0000-0000-0000C9D70000}"/>
    <cellStyle name="Note 3 6 10 4" xfId="7361" xr:uid="{00000000-0005-0000-0000-0000CAD70000}"/>
    <cellStyle name="Note 3 6 10 5" xfId="12840" xr:uid="{00000000-0005-0000-0000-0000CBD70000}"/>
    <cellStyle name="Note 3 6 10 6" xfId="18316" xr:uid="{00000000-0005-0000-0000-0000CCD70000}"/>
    <cellStyle name="Note 3 6 10 7" xfId="23792" xr:uid="{00000000-0005-0000-0000-0000CDD70000}"/>
    <cellStyle name="Note 3 6 10 8" xfId="35587" xr:uid="{00000000-0005-0000-0000-0000CED70000}"/>
    <cellStyle name="Note 3 6 10 9" xfId="41064" xr:uid="{00000000-0005-0000-0000-0000CFD70000}"/>
    <cellStyle name="Note 3 6 11" xfId="2078" xr:uid="{00000000-0005-0000-0000-0000D0D70000}"/>
    <cellStyle name="Note 3 6 11 10" xfId="52255" xr:uid="{00000000-0005-0000-0000-0000D1D70000}"/>
    <cellStyle name="Note 3 6 11 2" xfId="5610" xr:uid="{00000000-0005-0000-0000-0000D2D70000}"/>
    <cellStyle name="Note 3 6 11 2 2" xfId="11090" xr:uid="{00000000-0005-0000-0000-0000D3D70000}"/>
    <cellStyle name="Note 3 6 11 2 3" xfId="16566" xr:uid="{00000000-0005-0000-0000-0000D4D70000}"/>
    <cellStyle name="Note 3 6 11 2 4" xfId="22042" xr:uid="{00000000-0005-0000-0000-0000D5D70000}"/>
    <cellStyle name="Note 3 6 11 2 5" xfId="27518" xr:uid="{00000000-0005-0000-0000-0000D6D70000}"/>
    <cellStyle name="Note 3 6 11 2 6" xfId="39314" xr:uid="{00000000-0005-0000-0000-0000D7D70000}"/>
    <cellStyle name="Note 3 6 11 2 7" xfId="44791" xr:uid="{00000000-0005-0000-0000-0000D8D70000}"/>
    <cellStyle name="Note 3 6 11 2 8" xfId="50268" xr:uid="{00000000-0005-0000-0000-0000D9D70000}"/>
    <cellStyle name="Note 3 6 11 2 9" xfId="55786" xr:uid="{00000000-0005-0000-0000-0000DAD70000}"/>
    <cellStyle name="Note 3 6 11 3" xfId="7559" xr:uid="{00000000-0005-0000-0000-0000DBD70000}"/>
    <cellStyle name="Note 3 6 11 4" xfId="13035" xr:uid="{00000000-0005-0000-0000-0000DCD70000}"/>
    <cellStyle name="Note 3 6 11 5" xfId="18511" xr:uid="{00000000-0005-0000-0000-0000DDD70000}"/>
    <cellStyle name="Note 3 6 11 6" xfId="23987" xr:uid="{00000000-0005-0000-0000-0000DED70000}"/>
    <cellStyle name="Note 3 6 11 7" xfId="35783" xr:uid="{00000000-0005-0000-0000-0000DFD70000}"/>
    <cellStyle name="Note 3 6 11 8" xfId="41260" xr:uid="{00000000-0005-0000-0000-0000E0D70000}"/>
    <cellStyle name="Note 3 6 11 9" xfId="46737" xr:uid="{00000000-0005-0000-0000-0000E1D70000}"/>
    <cellStyle name="Note 3 6 12" xfId="3769" xr:uid="{00000000-0005-0000-0000-0000E2D70000}"/>
    <cellStyle name="Note 3 6 12 2" xfId="9249" xr:uid="{00000000-0005-0000-0000-0000E3D70000}"/>
    <cellStyle name="Note 3 6 12 3" xfId="14725" xr:uid="{00000000-0005-0000-0000-0000E4D70000}"/>
    <cellStyle name="Note 3 6 12 4" xfId="20201" xr:uid="{00000000-0005-0000-0000-0000E5D70000}"/>
    <cellStyle name="Note 3 6 12 5" xfId="25677" xr:uid="{00000000-0005-0000-0000-0000E6D70000}"/>
    <cellStyle name="Note 3 6 12 6" xfId="37473" xr:uid="{00000000-0005-0000-0000-0000E7D70000}"/>
    <cellStyle name="Note 3 6 12 7" xfId="42950" xr:uid="{00000000-0005-0000-0000-0000E8D70000}"/>
    <cellStyle name="Note 3 6 12 8" xfId="48427" xr:uid="{00000000-0005-0000-0000-0000E9D70000}"/>
    <cellStyle name="Note 3 6 12 9" xfId="53945" xr:uid="{00000000-0005-0000-0000-0000EAD70000}"/>
    <cellStyle name="Note 3 6 13" xfId="7360" xr:uid="{00000000-0005-0000-0000-0000EBD70000}"/>
    <cellStyle name="Note 3 6 14" xfId="12839" xr:uid="{00000000-0005-0000-0000-0000ECD70000}"/>
    <cellStyle name="Note 3 6 15" xfId="18315" xr:uid="{00000000-0005-0000-0000-0000EDD70000}"/>
    <cellStyle name="Note 3 6 16" xfId="23791" xr:uid="{00000000-0005-0000-0000-0000EED70000}"/>
    <cellStyle name="Note 3 6 17" xfId="33661" xr:uid="{00000000-0005-0000-0000-0000EFD70000}"/>
    <cellStyle name="Note 3 6 18" xfId="35586" xr:uid="{00000000-0005-0000-0000-0000F0D70000}"/>
    <cellStyle name="Note 3 6 19" xfId="41063" xr:uid="{00000000-0005-0000-0000-0000F1D70000}"/>
    <cellStyle name="Note 3 6 2" xfId="474" xr:uid="{00000000-0005-0000-0000-0000F2D70000}"/>
    <cellStyle name="Note 3 6 2 10" xfId="41065" xr:uid="{00000000-0005-0000-0000-0000F3D70000}"/>
    <cellStyle name="Note 3 6 2 11" xfId="46542" xr:uid="{00000000-0005-0000-0000-0000F4D70000}"/>
    <cellStyle name="Note 3 6 2 12" xfId="52021" xr:uid="{00000000-0005-0000-0000-0000F5D70000}"/>
    <cellStyle name="Note 3 6 2 2" xfId="2239" xr:uid="{00000000-0005-0000-0000-0000F6D70000}"/>
    <cellStyle name="Note 3 6 2 2 10" xfId="52415" xr:uid="{00000000-0005-0000-0000-0000F7D70000}"/>
    <cellStyle name="Note 3 6 2 2 2" xfId="7719" xr:uid="{00000000-0005-0000-0000-0000F8D70000}"/>
    <cellStyle name="Note 3 6 2 2 3" xfId="13195" xr:uid="{00000000-0005-0000-0000-0000F9D70000}"/>
    <cellStyle name="Note 3 6 2 2 4" xfId="18671" xr:uid="{00000000-0005-0000-0000-0000FAD70000}"/>
    <cellStyle name="Note 3 6 2 2 5" xfId="24147" xr:uid="{00000000-0005-0000-0000-0000FBD70000}"/>
    <cellStyle name="Note 3 6 2 2 6" xfId="33663" xr:uid="{00000000-0005-0000-0000-0000FCD70000}"/>
    <cellStyle name="Note 3 6 2 2 7" xfId="35943" xr:uid="{00000000-0005-0000-0000-0000FDD70000}"/>
    <cellStyle name="Note 3 6 2 2 8" xfId="41420" xr:uid="{00000000-0005-0000-0000-0000FED70000}"/>
    <cellStyle name="Note 3 6 2 2 9" xfId="46897" xr:uid="{00000000-0005-0000-0000-0000FFD70000}"/>
    <cellStyle name="Note 3 6 2 3" xfId="4011" xr:uid="{00000000-0005-0000-0000-000000D80000}"/>
    <cellStyle name="Note 3 6 2 3 2" xfId="9491" xr:uid="{00000000-0005-0000-0000-000001D80000}"/>
    <cellStyle name="Note 3 6 2 3 3" xfId="14967" xr:uid="{00000000-0005-0000-0000-000002D80000}"/>
    <cellStyle name="Note 3 6 2 3 4" xfId="20443" xr:uid="{00000000-0005-0000-0000-000003D80000}"/>
    <cellStyle name="Note 3 6 2 3 5" xfId="25919" xr:uid="{00000000-0005-0000-0000-000004D80000}"/>
    <cellStyle name="Note 3 6 2 3 6" xfId="37715" xr:uid="{00000000-0005-0000-0000-000005D80000}"/>
    <cellStyle name="Note 3 6 2 3 7" xfId="43192" xr:uid="{00000000-0005-0000-0000-000006D80000}"/>
    <cellStyle name="Note 3 6 2 3 8" xfId="48669" xr:uid="{00000000-0005-0000-0000-000007D80000}"/>
    <cellStyle name="Note 3 6 2 3 9" xfId="54187" xr:uid="{00000000-0005-0000-0000-000008D80000}"/>
    <cellStyle name="Note 3 6 2 4" xfId="7362" xr:uid="{00000000-0005-0000-0000-000009D80000}"/>
    <cellStyle name="Note 3 6 2 5" xfId="12841" xr:uid="{00000000-0005-0000-0000-00000AD80000}"/>
    <cellStyle name="Note 3 6 2 6" xfId="18317" xr:uid="{00000000-0005-0000-0000-00000BD80000}"/>
    <cellStyle name="Note 3 6 2 7" xfId="23793" xr:uid="{00000000-0005-0000-0000-00000CD80000}"/>
    <cellStyle name="Note 3 6 2 8" xfId="33662" xr:uid="{00000000-0005-0000-0000-00000DD80000}"/>
    <cellStyle name="Note 3 6 2 9" xfId="35588" xr:uid="{00000000-0005-0000-0000-00000ED80000}"/>
    <cellStyle name="Note 3 6 20" xfId="46540" xr:uid="{00000000-0005-0000-0000-00000FD80000}"/>
    <cellStyle name="Note 3 6 21" xfId="52019" xr:uid="{00000000-0005-0000-0000-000010D80000}"/>
    <cellStyle name="Note 3 6 3" xfId="650" xr:uid="{00000000-0005-0000-0000-000011D80000}"/>
    <cellStyle name="Note 3 6 3 10" xfId="41066" xr:uid="{00000000-0005-0000-0000-000012D80000}"/>
    <cellStyle name="Note 3 6 3 11" xfId="46543" xr:uid="{00000000-0005-0000-0000-000013D80000}"/>
    <cellStyle name="Note 3 6 3 12" xfId="52022" xr:uid="{00000000-0005-0000-0000-000014D80000}"/>
    <cellStyle name="Note 3 6 3 2" xfId="2411" xr:uid="{00000000-0005-0000-0000-000015D80000}"/>
    <cellStyle name="Note 3 6 3 2 2" xfId="7891" xr:uid="{00000000-0005-0000-0000-000016D80000}"/>
    <cellStyle name="Note 3 6 3 2 3" xfId="13367" xr:uid="{00000000-0005-0000-0000-000017D80000}"/>
    <cellStyle name="Note 3 6 3 2 4" xfId="18843" xr:uid="{00000000-0005-0000-0000-000018D80000}"/>
    <cellStyle name="Note 3 6 3 2 5" xfId="24319" xr:uid="{00000000-0005-0000-0000-000019D80000}"/>
    <cellStyle name="Note 3 6 3 2 6" xfId="36115" xr:uid="{00000000-0005-0000-0000-00001AD80000}"/>
    <cellStyle name="Note 3 6 3 2 7" xfId="41592" xr:uid="{00000000-0005-0000-0000-00001BD80000}"/>
    <cellStyle name="Note 3 6 3 2 8" xfId="47069" xr:uid="{00000000-0005-0000-0000-00001CD80000}"/>
    <cellStyle name="Note 3 6 3 2 9" xfId="52587" xr:uid="{00000000-0005-0000-0000-00001DD80000}"/>
    <cellStyle name="Note 3 6 3 3" xfId="4183" xr:uid="{00000000-0005-0000-0000-00001ED80000}"/>
    <cellStyle name="Note 3 6 3 3 2" xfId="9663" xr:uid="{00000000-0005-0000-0000-00001FD80000}"/>
    <cellStyle name="Note 3 6 3 3 3" xfId="15139" xr:uid="{00000000-0005-0000-0000-000020D80000}"/>
    <cellStyle name="Note 3 6 3 3 4" xfId="20615" xr:uid="{00000000-0005-0000-0000-000021D80000}"/>
    <cellStyle name="Note 3 6 3 3 5" xfId="26091" xr:uid="{00000000-0005-0000-0000-000022D80000}"/>
    <cellStyle name="Note 3 6 3 3 6" xfId="37887" xr:uid="{00000000-0005-0000-0000-000023D80000}"/>
    <cellStyle name="Note 3 6 3 3 7" xfId="43364" xr:uid="{00000000-0005-0000-0000-000024D80000}"/>
    <cellStyle name="Note 3 6 3 3 8" xfId="48841" xr:uid="{00000000-0005-0000-0000-000025D80000}"/>
    <cellStyle name="Note 3 6 3 3 9" xfId="54359" xr:uid="{00000000-0005-0000-0000-000026D80000}"/>
    <cellStyle name="Note 3 6 3 4" xfId="7363" xr:uid="{00000000-0005-0000-0000-000027D80000}"/>
    <cellStyle name="Note 3 6 3 5" xfId="12842" xr:uid="{00000000-0005-0000-0000-000028D80000}"/>
    <cellStyle name="Note 3 6 3 6" xfId="18318" xr:uid="{00000000-0005-0000-0000-000029D80000}"/>
    <cellStyle name="Note 3 6 3 7" xfId="23794" xr:uid="{00000000-0005-0000-0000-00002AD80000}"/>
    <cellStyle name="Note 3 6 3 8" xfId="33664" xr:uid="{00000000-0005-0000-0000-00002BD80000}"/>
    <cellStyle name="Note 3 6 3 9" xfId="35589" xr:uid="{00000000-0005-0000-0000-00002CD80000}"/>
    <cellStyle name="Note 3 6 4" xfId="822" xr:uid="{00000000-0005-0000-0000-00002DD80000}"/>
    <cellStyle name="Note 3 6 4 10" xfId="46544" xr:uid="{00000000-0005-0000-0000-00002ED80000}"/>
    <cellStyle name="Note 3 6 4 11" xfId="52023" xr:uid="{00000000-0005-0000-0000-00002FD80000}"/>
    <cellStyle name="Note 3 6 4 2" xfId="2583" xr:uid="{00000000-0005-0000-0000-000030D80000}"/>
    <cellStyle name="Note 3 6 4 2 2" xfId="8063" xr:uid="{00000000-0005-0000-0000-000031D80000}"/>
    <cellStyle name="Note 3 6 4 2 3" xfId="13539" xr:uid="{00000000-0005-0000-0000-000032D80000}"/>
    <cellStyle name="Note 3 6 4 2 4" xfId="19015" xr:uid="{00000000-0005-0000-0000-000033D80000}"/>
    <cellStyle name="Note 3 6 4 2 5" xfId="24491" xr:uid="{00000000-0005-0000-0000-000034D80000}"/>
    <cellStyle name="Note 3 6 4 2 6" xfId="36287" xr:uid="{00000000-0005-0000-0000-000035D80000}"/>
    <cellStyle name="Note 3 6 4 2 7" xfId="41764" xr:uid="{00000000-0005-0000-0000-000036D80000}"/>
    <cellStyle name="Note 3 6 4 2 8" xfId="47241" xr:uid="{00000000-0005-0000-0000-000037D80000}"/>
    <cellStyle name="Note 3 6 4 2 9" xfId="52759" xr:uid="{00000000-0005-0000-0000-000038D80000}"/>
    <cellStyle name="Note 3 6 4 3" xfId="4355" xr:uid="{00000000-0005-0000-0000-000039D80000}"/>
    <cellStyle name="Note 3 6 4 3 2" xfId="9835" xr:uid="{00000000-0005-0000-0000-00003AD80000}"/>
    <cellStyle name="Note 3 6 4 3 3" xfId="15311" xr:uid="{00000000-0005-0000-0000-00003BD80000}"/>
    <cellStyle name="Note 3 6 4 3 4" xfId="20787" xr:uid="{00000000-0005-0000-0000-00003CD80000}"/>
    <cellStyle name="Note 3 6 4 3 5" xfId="26263" xr:uid="{00000000-0005-0000-0000-00003DD80000}"/>
    <cellStyle name="Note 3 6 4 3 6" xfId="38059" xr:uid="{00000000-0005-0000-0000-00003ED80000}"/>
    <cellStyle name="Note 3 6 4 3 7" xfId="43536" xr:uid="{00000000-0005-0000-0000-00003FD80000}"/>
    <cellStyle name="Note 3 6 4 3 8" xfId="49013" xr:uid="{00000000-0005-0000-0000-000040D80000}"/>
    <cellStyle name="Note 3 6 4 3 9" xfId="54531" xr:uid="{00000000-0005-0000-0000-000041D80000}"/>
    <cellStyle name="Note 3 6 4 4" xfId="7364" xr:uid="{00000000-0005-0000-0000-000042D80000}"/>
    <cellStyle name="Note 3 6 4 5" xfId="12843" xr:uid="{00000000-0005-0000-0000-000043D80000}"/>
    <cellStyle name="Note 3 6 4 6" xfId="18319" xr:uid="{00000000-0005-0000-0000-000044D80000}"/>
    <cellStyle name="Note 3 6 4 7" xfId="23795" xr:uid="{00000000-0005-0000-0000-000045D80000}"/>
    <cellStyle name="Note 3 6 4 8" xfId="35590" xr:uid="{00000000-0005-0000-0000-000046D80000}"/>
    <cellStyle name="Note 3 6 4 9" xfId="41067" xr:uid="{00000000-0005-0000-0000-000047D80000}"/>
    <cellStyle name="Note 3 6 5" xfId="994" xr:uid="{00000000-0005-0000-0000-000048D80000}"/>
    <cellStyle name="Note 3 6 5 10" xfId="46545" xr:uid="{00000000-0005-0000-0000-000049D80000}"/>
    <cellStyle name="Note 3 6 5 11" xfId="52024" xr:uid="{00000000-0005-0000-0000-00004AD80000}"/>
    <cellStyle name="Note 3 6 5 2" xfId="2755" xr:uid="{00000000-0005-0000-0000-00004BD80000}"/>
    <cellStyle name="Note 3 6 5 2 2" xfId="8235" xr:uid="{00000000-0005-0000-0000-00004CD80000}"/>
    <cellStyle name="Note 3 6 5 2 3" xfId="13711" xr:uid="{00000000-0005-0000-0000-00004DD80000}"/>
    <cellStyle name="Note 3 6 5 2 4" xfId="19187" xr:uid="{00000000-0005-0000-0000-00004ED80000}"/>
    <cellStyle name="Note 3 6 5 2 5" xfId="24663" xr:uid="{00000000-0005-0000-0000-00004FD80000}"/>
    <cellStyle name="Note 3 6 5 2 6" xfId="36459" xr:uid="{00000000-0005-0000-0000-000050D80000}"/>
    <cellStyle name="Note 3 6 5 2 7" xfId="41936" xr:uid="{00000000-0005-0000-0000-000051D80000}"/>
    <cellStyle name="Note 3 6 5 2 8" xfId="47413" xr:uid="{00000000-0005-0000-0000-000052D80000}"/>
    <cellStyle name="Note 3 6 5 2 9" xfId="52931" xr:uid="{00000000-0005-0000-0000-000053D80000}"/>
    <cellStyle name="Note 3 6 5 3" xfId="4527" xr:uid="{00000000-0005-0000-0000-000054D80000}"/>
    <cellStyle name="Note 3 6 5 3 2" xfId="10007" xr:uid="{00000000-0005-0000-0000-000055D80000}"/>
    <cellStyle name="Note 3 6 5 3 3" xfId="15483" xr:uid="{00000000-0005-0000-0000-000056D80000}"/>
    <cellStyle name="Note 3 6 5 3 4" xfId="20959" xr:uid="{00000000-0005-0000-0000-000057D80000}"/>
    <cellStyle name="Note 3 6 5 3 5" xfId="26435" xr:uid="{00000000-0005-0000-0000-000058D80000}"/>
    <cellStyle name="Note 3 6 5 3 6" xfId="38231" xr:uid="{00000000-0005-0000-0000-000059D80000}"/>
    <cellStyle name="Note 3 6 5 3 7" xfId="43708" xr:uid="{00000000-0005-0000-0000-00005AD80000}"/>
    <cellStyle name="Note 3 6 5 3 8" xfId="49185" xr:uid="{00000000-0005-0000-0000-00005BD80000}"/>
    <cellStyle name="Note 3 6 5 3 9" xfId="54703" xr:uid="{00000000-0005-0000-0000-00005CD80000}"/>
    <cellStyle name="Note 3 6 5 4" xfId="7365" xr:uid="{00000000-0005-0000-0000-00005DD80000}"/>
    <cellStyle name="Note 3 6 5 5" xfId="12844" xr:uid="{00000000-0005-0000-0000-00005ED80000}"/>
    <cellStyle name="Note 3 6 5 6" xfId="18320" xr:uid="{00000000-0005-0000-0000-00005FD80000}"/>
    <cellStyle name="Note 3 6 5 7" xfId="23796" xr:uid="{00000000-0005-0000-0000-000060D80000}"/>
    <cellStyle name="Note 3 6 5 8" xfId="35591" xr:uid="{00000000-0005-0000-0000-000061D80000}"/>
    <cellStyle name="Note 3 6 5 9" xfId="41068" xr:uid="{00000000-0005-0000-0000-000062D80000}"/>
    <cellStyle name="Note 3 6 6" xfId="1200" xr:uid="{00000000-0005-0000-0000-000063D80000}"/>
    <cellStyle name="Note 3 6 6 10" xfId="46546" xr:uid="{00000000-0005-0000-0000-000064D80000}"/>
    <cellStyle name="Note 3 6 6 11" xfId="52025" xr:uid="{00000000-0005-0000-0000-000065D80000}"/>
    <cellStyle name="Note 3 6 6 2" xfId="2961" xr:uid="{00000000-0005-0000-0000-000066D80000}"/>
    <cellStyle name="Note 3 6 6 2 2" xfId="8441" xr:uid="{00000000-0005-0000-0000-000067D80000}"/>
    <cellStyle name="Note 3 6 6 2 3" xfId="13917" xr:uid="{00000000-0005-0000-0000-000068D80000}"/>
    <cellStyle name="Note 3 6 6 2 4" xfId="19393" xr:uid="{00000000-0005-0000-0000-000069D80000}"/>
    <cellStyle name="Note 3 6 6 2 5" xfId="24869" xr:uid="{00000000-0005-0000-0000-00006AD80000}"/>
    <cellStyle name="Note 3 6 6 2 6" xfId="36665" xr:uid="{00000000-0005-0000-0000-00006BD80000}"/>
    <cellStyle name="Note 3 6 6 2 7" xfId="42142" xr:uid="{00000000-0005-0000-0000-00006CD80000}"/>
    <cellStyle name="Note 3 6 6 2 8" xfId="47619" xr:uid="{00000000-0005-0000-0000-00006DD80000}"/>
    <cellStyle name="Note 3 6 6 2 9" xfId="53137" xr:uid="{00000000-0005-0000-0000-00006ED80000}"/>
    <cellStyle name="Note 3 6 6 3" xfId="4733" xr:uid="{00000000-0005-0000-0000-00006FD80000}"/>
    <cellStyle name="Note 3 6 6 3 2" xfId="10213" xr:uid="{00000000-0005-0000-0000-000070D80000}"/>
    <cellStyle name="Note 3 6 6 3 3" xfId="15689" xr:uid="{00000000-0005-0000-0000-000071D80000}"/>
    <cellStyle name="Note 3 6 6 3 4" xfId="21165" xr:uid="{00000000-0005-0000-0000-000072D80000}"/>
    <cellStyle name="Note 3 6 6 3 5" xfId="26641" xr:uid="{00000000-0005-0000-0000-000073D80000}"/>
    <cellStyle name="Note 3 6 6 3 6" xfId="38437" xr:uid="{00000000-0005-0000-0000-000074D80000}"/>
    <cellStyle name="Note 3 6 6 3 7" xfId="43914" xr:uid="{00000000-0005-0000-0000-000075D80000}"/>
    <cellStyle name="Note 3 6 6 3 8" xfId="49391" xr:uid="{00000000-0005-0000-0000-000076D80000}"/>
    <cellStyle name="Note 3 6 6 3 9" xfId="54909" xr:uid="{00000000-0005-0000-0000-000077D80000}"/>
    <cellStyle name="Note 3 6 6 4" xfId="7366" xr:uid="{00000000-0005-0000-0000-000078D80000}"/>
    <cellStyle name="Note 3 6 6 5" xfId="12845" xr:uid="{00000000-0005-0000-0000-000079D80000}"/>
    <cellStyle name="Note 3 6 6 6" xfId="18321" xr:uid="{00000000-0005-0000-0000-00007AD80000}"/>
    <cellStyle name="Note 3 6 6 7" xfId="23797" xr:uid="{00000000-0005-0000-0000-00007BD80000}"/>
    <cellStyle name="Note 3 6 6 8" xfId="35592" xr:uid="{00000000-0005-0000-0000-00007CD80000}"/>
    <cellStyle name="Note 3 6 6 9" xfId="41069" xr:uid="{00000000-0005-0000-0000-00007DD80000}"/>
    <cellStyle name="Note 3 6 7" xfId="1372" xr:uid="{00000000-0005-0000-0000-00007ED80000}"/>
    <cellStyle name="Note 3 6 7 10" xfId="46547" xr:uid="{00000000-0005-0000-0000-00007FD80000}"/>
    <cellStyle name="Note 3 6 7 11" xfId="52026" xr:uid="{00000000-0005-0000-0000-000080D80000}"/>
    <cellStyle name="Note 3 6 7 2" xfId="3133" xr:uid="{00000000-0005-0000-0000-000081D80000}"/>
    <cellStyle name="Note 3 6 7 2 2" xfId="8613" xr:uid="{00000000-0005-0000-0000-000082D80000}"/>
    <cellStyle name="Note 3 6 7 2 3" xfId="14089" xr:uid="{00000000-0005-0000-0000-000083D80000}"/>
    <cellStyle name="Note 3 6 7 2 4" xfId="19565" xr:uid="{00000000-0005-0000-0000-000084D80000}"/>
    <cellStyle name="Note 3 6 7 2 5" xfId="25041" xr:uid="{00000000-0005-0000-0000-000085D80000}"/>
    <cellStyle name="Note 3 6 7 2 6" xfId="36837" xr:uid="{00000000-0005-0000-0000-000086D80000}"/>
    <cellStyle name="Note 3 6 7 2 7" xfId="42314" xr:uid="{00000000-0005-0000-0000-000087D80000}"/>
    <cellStyle name="Note 3 6 7 2 8" xfId="47791" xr:uid="{00000000-0005-0000-0000-000088D80000}"/>
    <cellStyle name="Note 3 6 7 2 9" xfId="53309" xr:uid="{00000000-0005-0000-0000-000089D80000}"/>
    <cellStyle name="Note 3 6 7 3" xfId="4905" xr:uid="{00000000-0005-0000-0000-00008AD80000}"/>
    <cellStyle name="Note 3 6 7 3 2" xfId="10385" xr:uid="{00000000-0005-0000-0000-00008BD80000}"/>
    <cellStyle name="Note 3 6 7 3 3" xfId="15861" xr:uid="{00000000-0005-0000-0000-00008CD80000}"/>
    <cellStyle name="Note 3 6 7 3 4" xfId="21337" xr:uid="{00000000-0005-0000-0000-00008DD80000}"/>
    <cellStyle name="Note 3 6 7 3 5" xfId="26813" xr:uid="{00000000-0005-0000-0000-00008ED80000}"/>
    <cellStyle name="Note 3 6 7 3 6" xfId="38609" xr:uid="{00000000-0005-0000-0000-00008FD80000}"/>
    <cellStyle name="Note 3 6 7 3 7" xfId="44086" xr:uid="{00000000-0005-0000-0000-000090D80000}"/>
    <cellStyle name="Note 3 6 7 3 8" xfId="49563" xr:uid="{00000000-0005-0000-0000-000091D80000}"/>
    <cellStyle name="Note 3 6 7 3 9" xfId="55081" xr:uid="{00000000-0005-0000-0000-000092D80000}"/>
    <cellStyle name="Note 3 6 7 4" xfId="7367" xr:uid="{00000000-0005-0000-0000-000093D80000}"/>
    <cellStyle name="Note 3 6 7 5" xfId="12846" xr:uid="{00000000-0005-0000-0000-000094D80000}"/>
    <cellStyle name="Note 3 6 7 6" xfId="18322" xr:uid="{00000000-0005-0000-0000-000095D80000}"/>
    <cellStyle name="Note 3 6 7 7" xfId="23798" xr:uid="{00000000-0005-0000-0000-000096D80000}"/>
    <cellStyle name="Note 3 6 7 8" xfId="35593" xr:uid="{00000000-0005-0000-0000-000097D80000}"/>
    <cellStyle name="Note 3 6 7 9" xfId="41070" xr:uid="{00000000-0005-0000-0000-000098D80000}"/>
    <cellStyle name="Note 3 6 8" xfId="1544" xr:uid="{00000000-0005-0000-0000-000099D80000}"/>
    <cellStyle name="Note 3 6 8 10" xfId="46548" xr:uid="{00000000-0005-0000-0000-00009AD80000}"/>
    <cellStyle name="Note 3 6 8 11" xfId="52027" xr:uid="{00000000-0005-0000-0000-00009BD80000}"/>
    <cellStyle name="Note 3 6 8 2" xfId="3305" xr:uid="{00000000-0005-0000-0000-00009CD80000}"/>
    <cellStyle name="Note 3 6 8 2 2" xfId="8785" xr:uid="{00000000-0005-0000-0000-00009DD80000}"/>
    <cellStyle name="Note 3 6 8 2 3" xfId="14261" xr:uid="{00000000-0005-0000-0000-00009ED80000}"/>
    <cellStyle name="Note 3 6 8 2 4" xfId="19737" xr:uid="{00000000-0005-0000-0000-00009FD80000}"/>
    <cellStyle name="Note 3 6 8 2 5" xfId="25213" xr:uid="{00000000-0005-0000-0000-0000A0D80000}"/>
    <cellStyle name="Note 3 6 8 2 6" xfId="37009" xr:uid="{00000000-0005-0000-0000-0000A1D80000}"/>
    <cellStyle name="Note 3 6 8 2 7" xfId="42486" xr:uid="{00000000-0005-0000-0000-0000A2D80000}"/>
    <cellStyle name="Note 3 6 8 2 8" xfId="47963" xr:uid="{00000000-0005-0000-0000-0000A3D80000}"/>
    <cellStyle name="Note 3 6 8 2 9" xfId="53481" xr:uid="{00000000-0005-0000-0000-0000A4D80000}"/>
    <cellStyle name="Note 3 6 8 3" xfId="5077" xr:uid="{00000000-0005-0000-0000-0000A5D80000}"/>
    <cellStyle name="Note 3 6 8 3 2" xfId="10557" xr:uid="{00000000-0005-0000-0000-0000A6D80000}"/>
    <cellStyle name="Note 3 6 8 3 3" xfId="16033" xr:uid="{00000000-0005-0000-0000-0000A7D80000}"/>
    <cellStyle name="Note 3 6 8 3 4" xfId="21509" xr:uid="{00000000-0005-0000-0000-0000A8D80000}"/>
    <cellStyle name="Note 3 6 8 3 5" xfId="26985" xr:uid="{00000000-0005-0000-0000-0000A9D80000}"/>
    <cellStyle name="Note 3 6 8 3 6" xfId="38781" xr:uid="{00000000-0005-0000-0000-0000AAD80000}"/>
    <cellStyle name="Note 3 6 8 3 7" xfId="44258" xr:uid="{00000000-0005-0000-0000-0000ABD80000}"/>
    <cellStyle name="Note 3 6 8 3 8" xfId="49735" xr:uid="{00000000-0005-0000-0000-0000ACD80000}"/>
    <cellStyle name="Note 3 6 8 3 9" xfId="55253" xr:uid="{00000000-0005-0000-0000-0000ADD80000}"/>
    <cellStyle name="Note 3 6 8 4" xfId="7368" xr:uid="{00000000-0005-0000-0000-0000AED80000}"/>
    <cellStyle name="Note 3 6 8 5" xfId="12847" xr:uid="{00000000-0005-0000-0000-0000AFD80000}"/>
    <cellStyle name="Note 3 6 8 6" xfId="18323" xr:uid="{00000000-0005-0000-0000-0000B0D80000}"/>
    <cellStyle name="Note 3 6 8 7" xfId="23799" xr:uid="{00000000-0005-0000-0000-0000B1D80000}"/>
    <cellStyle name="Note 3 6 8 8" xfId="35594" xr:uid="{00000000-0005-0000-0000-0000B2D80000}"/>
    <cellStyle name="Note 3 6 8 9" xfId="41071" xr:uid="{00000000-0005-0000-0000-0000B3D80000}"/>
    <cellStyle name="Note 3 6 9" xfId="1716" xr:uid="{00000000-0005-0000-0000-0000B4D80000}"/>
    <cellStyle name="Note 3 6 9 10" xfId="46549" xr:uid="{00000000-0005-0000-0000-0000B5D80000}"/>
    <cellStyle name="Note 3 6 9 11" xfId="52028" xr:uid="{00000000-0005-0000-0000-0000B6D80000}"/>
    <cellStyle name="Note 3 6 9 2" xfId="3477" xr:uid="{00000000-0005-0000-0000-0000B7D80000}"/>
    <cellStyle name="Note 3 6 9 2 2" xfId="8957" xr:uid="{00000000-0005-0000-0000-0000B8D80000}"/>
    <cellStyle name="Note 3 6 9 2 3" xfId="14433" xr:uid="{00000000-0005-0000-0000-0000B9D80000}"/>
    <cellStyle name="Note 3 6 9 2 4" xfId="19909" xr:uid="{00000000-0005-0000-0000-0000BAD80000}"/>
    <cellStyle name="Note 3 6 9 2 5" xfId="25385" xr:uid="{00000000-0005-0000-0000-0000BBD80000}"/>
    <cellStyle name="Note 3 6 9 2 6" xfId="37181" xr:uid="{00000000-0005-0000-0000-0000BCD80000}"/>
    <cellStyle name="Note 3 6 9 2 7" xfId="42658" xr:uid="{00000000-0005-0000-0000-0000BDD80000}"/>
    <cellStyle name="Note 3 6 9 2 8" xfId="48135" xr:uid="{00000000-0005-0000-0000-0000BED80000}"/>
    <cellStyle name="Note 3 6 9 2 9" xfId="53653" xr:uid="{00000000-0005-0000-0000-0000BFD80000}"/>
    <cellStyle name="Note 3 6 9 3" xfId="5249" xr:uid="{00000000-0005-0000-0000-0000C0D80000}"/>
    <cellStyle name="Note 3 6 9 3 2" xfId="10729" xr:uid="{00000000-0005-0000-0000-0000C1D80000}"/>
    <cellStyle name="Note 3 6 9 3 3" xfId="16205" xr:uid="{00000000-0005-0000-0000-0000C2D80000}"/>
    <cellStyle name="Note 3 6 9 3 4" xfId="21681" xr:uid="{00000000-0005-0000-0000-0000C3D80000}"/>
    <cellStyle name="Note 3 6 9 3 5" xfId="27157" xr:uid="{00000000-0005-0000-0000-0000C4D80000}"/>
    <cellStyle name="Note 3 6 9 3 6" xfId="38953" xr:uid="{00000000-0005-0000-0000-0000C5D80000}"/>
    <cellStyle name="Note 3 6 9 3 7" xfId="44430" xr:uid="{00000000-0005-0000-0000-0000C6D80000}"/>
    <cellStyle name="Note 3 6 9 3 8" xfId="49907" xr:uid="{00000000-0005-0000-0000-0000C7D80000}"/>
    <cellStyle name="Note 3 6 9 3 9" xfId="55425" xr:uid="{00000000-0005-0000-0000-0000C8D80000}"/>
    <cellStyle name="Note 3 6 9 4" xfId="7369" xr:uid="{00000000-0005-0000-0000-0000C9D80000}"/>
    <cellStyle name="Note 3 6 9 5" xfId="12848" xr:uid="{00000000-0005-0000-0000-0000CAD80000}"/>
    <cellStyle name="Note 3 6 9 6" xfId="18324" xr:uid="{00000000-0005-0000-0000-0000CBD80000}"/>
    <cellStyle name="Note 3 6 9 7" xfId="23800" xr:uid="{00000000-0005-0000-0000-0000CCD80000}"/>
    <cellStyle name="Note 3 6 9 8" xfId="35595" xr:uid="{00000000-0005-0000-0000-0000CDD80000}"/>
    <cellStyle name="Note 3 6 9 9" xfId="41072" xr:uid="{00000000-0005-0000-0000-0000CED80000}"/>
    <cellStyle name="Note 3 7" xfId="465" xr:uid="{00000000-0005-0000-0000-0000CFD80000}"/>
    <cellStyle name="Note 3 7 10" xfId="41073" xr:uid="{00000000-0005-0000-0000-0000D0D80000}"/>
    <cellStyle name="Note 3 7 11" xfId="46550" xr:uid="{00000000-0005-0000-0000-0000D1D80000}"/>
    <cellStyle name="Note 3 7 12" xfId="52029" xr:uid="{00000000-0005-0000-0000-0000D2D80000}"/>
    <cellStyle name="Note 3 7 2" xfId="2230" xr:uid="{00000000-0005-0000-0000-0000D3D80000}"/>
    <cellStyle name="Note 3 7 2 10" xfId="52406" xr:uid="{00000000-0005-0000-0000-0000D4D80000}"/>
    <cellStyle name="Note 3 7 2 2" xfId="7710" xr:uid="{00000000-0005-0000-0000-0000D5D80000}"/>
    <cellStyle name="Note 3 7 2 2 2" xfId="33667" xr:uid="{00000000-0005-0000-0000-0000D6D80000}"/>
    <cellStyle name="Note 3 7 2 3" xfId="13186" xr:uid="{00000000-0005-0000-0000-0000D7D80000}"/>
    <cellStyle name="Note 3 7 2 4" xfId="18662" xr:uid="{00000000-0005-0000-0000-0000D8D80000}"/>
    <cellStyle name="Note 3 7 2 5" xfId="24138" xr:uid="{00000000-0005-0000-0000-0000D9D80000}"/>
    <cellStyle name="Note 3 7 2 6" xfId="33666" xr:uid="{00000000-0005-0000-0000-0000DAD80000}"/>
    <cellStyle name="Note 3 7 2 7" xfId="35934" xr:uid="{00000000-0005-0000-0000-0000DBD80000}"/>
    <cellStyle name="Note 3 7 2 8" xfId="41411" xr:uid="{00000000-0005-0000-0000-0000DCD80000}"/>
    <cellStyle name="Note 3 7 2 9" xfId="46888" xr:uid="{00000000-0005-0000-0000-0000DDD80000}"/>
    <cellStyle name="Note 3 7 3" xfId="4002" xr:uid="{00000000-0005-0000-0000-0000DED80000}"/>
    <cellStyle name="Note 3 7 3 10" xfId="54178" xr:uid="{00000000-0005-0000-0000-0000DFD80000}"/>
    <cellStyle name="Note 3 7 3 2" xfId="9482" xr:uid="{00000000-0005-0000-0000-0000E0D80000}"/>
    <cellStyle name="Note 3 7 3 3" xfId="14958" xr:uid="{00000000-0005-0000-0000-0000E1D80000}"/>
    <cellStyle name="Note 3 7 3 4" xfId="20434" xr:uid="{00000000-0005-0000-0000-0000E2D80000}"/>
    <cellStyle name="Note 3 7 3 5" xfId="25910" xr:uid="{00000000-0005-0000-0000-0000E3D80000}"/>
    <cellStyle name="Note 3 7 3 6" xfId="33668" xr:uid="{00000000-0005-0000-0000-0000E4D80000}"/>
    <cellStyle name="Note 3 7 3 7" xfId="37706" xr:uid="{00000000-0005-0000-0000-0000E5D80000}"/>
    <cellStyle name="Note 3 7 3 8" xfId="43183" xr:uid="{00000000-0005-0000-0000-0000E6D80000}"/>
    <cellStyle name="Note 3 7 3 9" xfId="48660" xr:uid="{00000000-0005-0000-0000-0000E7D80000}"/>
    <cellStyle name="Note 3 7 4" xfId="7370" xr:uid="{00000000-0005-0000-0000-0000E8D80000}"/>
    <cellStyle name="Note 3 7 5" xfId="12849" xr:uid="{00000000-0005-0000-0000-0000E9D80000}"/>
    <cellStyle name="Note 3 7 6" xfId="18325" xr:uid="{00000000-0005-0000-0000-0000EAD80000}"/>
    <cellStyle name="Note 3 7 7" xfId="23801" xr:uid="{00000000-0005-0000-0000-0000EBD80000}"/>
    <cellStyle name="Note 3 7 8" xfId="33665" xr:uid="{00000000-0005-0000-0000-0000ECD80000}"/>
    <cellStyle name="Note 3 7 9" xfId="35596" xr:uid="{00000000-0005-0000-0000-0000EDD80000}"/>
    <cellStyle name="Note 3 8" xfId="641" xr:uid="{00000000-0005-0000-0000-0000EED80000}"/>
    <cellStyle name="Note 3 8 10" xfId="41074" xr:uid="{00000000-0005-0000-0000-0000EFD80000}"/>
    <cellStyle name="Note 3 8 11" xfId="46551" xr:uid="{00000000-0005-0000-0000-0000F0D80000}"/>
    <cellStyle name="Note 3 8 12" xfId="52030" xr:uid="{00000000-0005-0000-0000-0000F1D80000}"/>
    <cellStyle name="Note 3 8 2" xfId="2402" xr:uid="{00000000-0005-0000-0000-0000F2D80000}"/>
    <cellStyle name="Note 3 8 2 10" xfId="52578" xr:uid="{00000000-0005-0000-0000-0000F3D80000}"/>
    <cellStyle name="Note 3 8 2 2" xfId="7882" xr:uid="{00000000-0005-0000-0000-0000F4D80000}"/>
    <cellStyle name="Note 3 8 2 3" xfId="13358" xr:uid="{00000000-0005-0000-0000-0000F5D80000}"/>
    <cellStyle name="Note 3 8 2 4" xfId="18834" xr:uid="{00000000-0005-0000-0000-0000F6D80000}"/>
    <cellStyle name="Note 3 8 2 5" xfId="24310" xr:uid="{00000000-0005-0000-0000-0000F7D80000}"/>
    <cellStyle name="Note 3 8 2 6" xfId="33670" xr:uid="{00000000-0005-0000-0000-0000F8D80000}"/>
    <cellStyle name="Note 3 8 2 7" xfId="36106" xr:uid="{00000000-0005-0000-0000-0000F9D80000}"/>
    <cellStyle name="Note 3 8 2 8" xfId="41583" xr:uid="{00000000-0005-0000-0000-0000FAD80000}"/>
    <cellStyle name="Note 3 8 2 9" xfId="47060" xr:uid="{00000000-0005-0000-0000-0000FBD80000}"/>
    <cellStyle name="Note 3 8 3" xfId="4174" xr:uid="{00000000-0005-0000-0000-0000FCD80000}"/>
    <cellStyle name="Note 3 8 3 2" xfId="9654" xr:uid="{00000000-0005-0000-0000-0000FDD80000}"/>
    <cellStyle name="Note 3 8 3 3" xfId="15130" xr:uid="{00000000-0005-0000-0000-0000FED80000}"/>
    <cellStyle name="Note 3 8 3 4" xfId="20606" xr:uid="{00000000-0005-0000-0000-0000FFD80000}"/>
    <cellStyle name="Note 3 8 3 5" xfId="26082" xr:uid="{00000000-0005-0000-0000-000000D90000}"/>
    <cellStyle name="Note 3 8 3 6" xfId="37878" xr:uid="{00000000-0005-0000-0000-000001D90000}"/>
    <cellStyle name="Note 3 8 3 7" xfId="43355" xr:uid="{00000000-0005-0000-0000-000002D90000}"/>
    <cellStyle name="Note 3 8 3 8" xfId="48832" xr:uid="{00000000-0005-0000-0000-000003D90000}"/>
    <cellStyle name="Note 3 8 3 9" xfId="54350" xr:uid="{00000000-0005-0000-0000-000004D90000}"/>
    <cellStyle name="Note 3 8 4" xfId="7371" xr:uid="{00000000-0005-0000-0000-000005D90000}"/>
    <cellStyle name="Note 3 8 5" xfId="12850" xr:uid="{00000000-0005-0000-0000-000006D90000}"/>
    <cellStyle name="Note 3 8 6" xfId="18326" xr:uid="{00000000-0005-0000-0000-000007D90000}"/>
    <cellStyle name="Note 3 8 7" xfId="23802" xr:uid="{00000000-0005-0000-0000-000008D90000}"/>
    <cellStyle name="Note 3 8 8" xfId="33669" xr:uid="{00000000-0005-0000-0000-000009D90000}"/>
    <cellStyle name="Note 3 8 9" xfId="35597" xr:uid="{00000000-0005-0000-0000-00000AD90000}"/>
    <cellStyle name="Note 3 9" xfId="813" xr:uid="{00000000-0005-0000-0000-00000BD90000}"/>
    <cellStyle name="Note 3 9 10" xfId="41075" xr:uid="{00000000-0005-0000-0000-00000CD90000}"/>
    <cellStyle name="Note 3 9 11" xfId="46552" xr:uid="{00000000-0005-0000-0000-00000DD90000}"/>
    <cellStyle name="Note 3 9 12" xfId="52031" xr:uid="{00000000-0005-0000-0000-00000ED90000}"/>
    <cellStyle name="Note 3 9 2" xfId="2574" xr:uid="{00000000-0005-0000-0000-00000FD90000}"/>
    <cellStyle name="Note 3 9 2 2" xfId="8054" xr:uid="{00000000-0005-0000-0000-000010D90000}"/>
    <cellStyle name="Note 3 9 2 3" xfId="13530" xr:uid="{00000000-0005-0000-0000-000011D90000}"/>
    <cellStyle name="Note 3 9 2 4" xfId="19006" xr:uid="{00000000-0005-0000-0000-000012D90000}"/>
    <cellStyle name="Note 3 9 2 5" xfId="24482" xr:uid="{00000000-0005-0000-0000-000013D90000}"/>
    <cellStyle name="Note 3 9 2 6" xfId="36278" xr:uid="{00000000-0005-0000-0000-000014D90000}"/>
    <cellStyle name="Note 3 9 2 7" xfId="41755" xr:uid="{00000000-0005-0000-0000-000015D90000}"/>
    <cellStyle name="Note 3 9 2 8" xfId="47232" xr:uid="{00000000-0005-0000-0000-000016D90000}"/>
    <cellStyle name="Note 3 9 2 9" xfId="52750" xr:uid="{00000000-0005-0000-0000-000017D90000}"/>
    <cellStyle name="Note 3 9 3" xfId="4346" xr:uid="{00000000-0005-0000-0000-000018D90000}"/>
    <cellStyle name="Note 3 9 3 2" xfId="9826" xr:uid="{00000000-0005-0000-0000-000019D90000}"/>
    <cellStyle name="Note 3 9 3 3" xfId="15302" xr:uid="{00000000-0005-0000-0000-00001AD90000}"/>
    <cellStyle name="Note 3 9 3 4" xfId="20778" xr:uid="{00000000-0005-0000-0000-00001BD90000}"/>
    <cellStyle name="Note 3 9 3 5" xfId="26254" xr:uid="{00000000-0005-0000-0000-00001CD90000}"/>
    <cellStyle name="Note 3 9 3 6" xfId="38050" xr:uid="{00000000-0005-0000-0000-00001DD90000}"/>
    <cellStyle name="Note 3 9 3 7" xfId="43527" xr:uid="{00000000-0005-0000-0000-00001ED90000}"/>
    <cellStyle name="Note 3 9 3 8" xfId="49004" xr:uid="{00000000-0005-0000-0000-00001FD90000}"/>
    <cellStyle name="Note 3 9 3 9" xfId="54522" xr:uid="{00000000-0005-0000-0000-000020D90000}"/>
    <cellStyle name="Note 3 9 4" xfId="7372" xr:uid="{00000000-0005-0000-0000-000021D90000}"/>
    <cellStyle name="Note 3 9 5" xfId="12851" xr:uid="{00000000-0005-0000-0000-000022D90000}"/>
    <cellStyle name="Note 3 9 6" xfId="18327" xr:uid="{00000000-0005-0000-0000-000023D90000}"/>
    <cellStyle name="Note 3 9 7" xfId="23803" xr:uid="{00000000-0005-0000-0000-000024D90000}"/>
    <cellStyle name="Note 3 9 8" xfId="33671" xr:uid="{00000000-0005-0000-0000-000025D90000}"/>
    <cellStyle name="Note 3 9 9" xfId="35598" xr:uid="{00000000-0005-0000-0000-000026D90000}"/>
    <cellStyle name="Note 4" xfId="33672" xr:uid="{00000000-0005-0000-0000-000027D90000}"/>
    <cellStyle name="Note 4 2" xfId="33673" xr:uid="{00000000-0005-0000-0000-000028D90000}"/>
    <cellStyle name="Note 4 2 2" xfId="33674" xr:uid="{00000000-0005-0000-0000-000029D90000}"/>
    <cellStyle name="Note 4 2 2 2" xfId="33675" xr:uid="{00000000-0005-0000-0000-00002AD90000}"/>
    <cellStyle name="Note 4 2 3" xfId="33676" xr:uid="{00000000-0005-0000-0000-00002BD90000}"/>
    <cellStyle name="Note 4 3" xfId="33677" xr:uid="{00000000-0005-0000-0000-00002CD90000}"/>
    <cellStyle name="Note 4 3 2" xfId="33678" xr:uid="{00000000-0005-0000-0000-00002DD90000}"/>
    <cellStyle name="Note 4 3 2 2" xfId="33679" xr:uid="{00000000-0005-0000-0000-00002ED90000}"/>
    <cellStyle name="Note 4 3 3" xfId="33680" xr:uid="{00000000-0005-0000-0000-00002FD90000}"/>
    <cellStyle name="Note 4 4" xfId="33681" xr:uid="{00000000-0005-0000-0000-000030D90000}"/>
    <cellStyle name="Note 4 4 2" xfId="33682" xr:uid="{00000000-0005-0000-0000-000031D90000}"/>
    <cellStyle name="Note 4 4 2 2" xfId="33683" xr:uid="{00000000-0005-0000-0000-000032D90000}"/>
    <cellStyle name="Note 4 4 3" xfId="33684" xr:uid="{00000000-0005-0000-0000-000033D90000}"/>
    <cellStyle name="Note 4 5" xfId="33685" xr:uid="{00000000-0005-0000-0000-000034D90000}"/>
    <cellStyle name="Note 4 5 2" xfId="33686" xr:uid="{00000000-0005-0000-0000-000035D90000}"/>
    <cellStyle name="Note 4 5 2 2" xfId="33687" xr:uid="{00000000-0005-0000-0000-000036D90000}"/>
    <cellStyle name="Note 4 5 3" xfId="33688" xr:uid="{00000000-0005-0000-0000-000037D90000}"/>
    <cellStyle name="Note 4 6" xfId="33689" xr:uid="{00000000-0005-0000-0000-000038D90000}"/>
    <cellStyle name="Note 4 6 2" xfId="33690" xr:uid="{00000000-0005-0000-0000-000039D90000}"/>
    <cellStyle name="Note 4 6 2 2" xfId="33691" xr:uid="{00000000-0005-0000-0000-00003AD90000}"/>
    <cellStyle name="Note 4 6 3" xfId="33692" xr:uid="{00000000-0005-0000-0000-00003BD90000}"/>
    <cellStyle name="Note 4 7" xfId="33693" xr:uid="{00000000-0005-0000-0000-00003CD90000}"/>
    <cellStyle name="Note 4 7 2" xfId="33694" xr:uid="{00000000-0005-0000-0000-00003DD90000}"/>
    <cellStyle name="Note 4 7 2 2" xfId="33695" xr:uid="{00000000-0005-0000-0000-00003ED90000}"/>
    <cellStyle name="Note 4 7 3" xfId="33696" xr:uid="{00000000-0005-0000-0000-00003FD90000}"/>
    <cellStyle name="Note 4 8" xfId="33697" xr:uid="{00000000-0005-0000-0000-000040D90000}"/>
    <cellStyle name="Note 4 8 2" xfId="33698" xr:uid="{00000000-0005-0000-0000-000041D90000}"/>
    <cellStyle name="Note 4 9" xfId="33699" xr:uid="{00000000-0005-0000-0000-000042D90000}"/>
    <cellStyle name="Note 5" xfId="33700" xr:uid="{00000000-0005-0000-0000-000043D90000}"/>
    <cellStyle name="Note 5 2" xfId="33701" xr:uid="{00000000-0005-0000-0000-000044D90000}"/>
    <cellStyle name="Note 5 2 2" xfId="33702" xr:uid="{00000000-0005-0000-0000-000045D90000}"/>
    <cellStyle name="Note 5 2 2 2" xfId="33703" xr:uid="{00000000-0005-0000-0000-000046D90000}"/>
    <cellStyle name="Note 5 2 3" xfId="33704" xr:uid="{00000000-0005-0000-0000-000047D90000}"/>
    <cellStyle name="Note 5 3" xfId="33705" xr:uid="{00000000-0005-0000-0000-000048D90000}"/>
    <cellStyle name="Note 5 3 2" xfId="33706" xr:uid="{00000000-0005-0000-0000-000049D90000}"/>
    <cellStyle name="Note 5 3 2 2" xfId="33707" xr:uid="{00000000-0005-0000-0000-00004AD90000}"/>
    <cellStyle name="Note 5 3 3" xfId="33708" xr:uid="{00000000-0005-0000-0000-00004BD90000}"/>
    <cellStyle name="Note 5 4" xfId="33709" xr:uid="{00000000-0005-0000-0000-00004CD90000}"/>
    <cellStyle name="Note 5 4 2" xfId="33710" xr:uid="{00000000-0005-0000-0000-00004DD90000}"/>
    <cellStyle name="Note 5 4 2 2" xfId="33711" xr:uid="{00000000-0005-0000-0000-00004ED90000}"/>
    <cellStyle name="Note 5 4 3" xfId="33712" xr:uid="{00000000-0005-0000-0000-00004FD90000}"/>
    <cellStyle name="Note 5 5" xfId="33713" xr:uid="{00000000-0005-0000-0000-000050D90000}"/>
    <cellStyle name="Note 5 5 2" xfId="33714" xr:uid="{00000000-0005-0000-0000-000051D90000}"/>
    <cellStyle name="Note 5 5 2 2" xfId="33715" xr:uid="{00000000-0005-0000-0000-000052D90000}"/>
    <cellStyle name="Note 5 5 3" xfId="33716" xr:uid="{00000000-0005-0000-0000-000053D90000}"/>
    <cellStyle name="Note 5 6" xfId="33717" xr:uid="{00000000-0005-0000-0000-000054D90000}"/>
    <cellStyle name="Note 5 6 2" xfId="33718" xr:uid="{00000000-0005-0000-0000-000055D90000}"/>
    <cellStyle name="Note 5 6 2 2" xfId="33719" xr:uid="{00000000-0005-0000-0000-000056D90000}"/>
    <cellStyle name="Note 5 6 3" xfId="33720" xr:uid="{00000000-0005-0000-0000-000057D90000}"/>
    <cellStyle name="Note 5 7" xfId="33721" xr:uid="{00000000-0005-0000-0000-000058D90000}"/>
    <cellStyle name="Note 5 7 2" xfId="33722" xr:uid="{00000000-0005-0000-0000-000059D90000}"/>
    <cellStyle name="Note 5 7 2 2" xfId="33723" xr:uid="{00000000-0005-0000-0000-00005AD90000}"/>
    <cellStyle name="Note 5 7 3" xfId="33724" xr:uid="{00000000-0005-0000-0000-00005BD90000}"/>
    <cellStyle name="Note 5 8" xfId="33725" xr:uid="{00000000-0005-0000-0000-00005CD90000}"/>
    <cellStyle name="Note 5 8 2" xfId="33726" xr:uid="{00000000-0005-0000-0000-00005DD90000}"/>
    <cellStyle name="Note 5 9" xfId="33727" xr:uid="{00000000-0005-0000-0000-00005ED90000}"/>
    <cellStyle name="Note 6" xfId="33728" xr:uid="{00000000-0005-0000-0000-00005FD90000}"/>
    <cellStyle name="Note 6 2" xfId="33729" xr:uid="{00000000-0005-0000-0000-000060D90000}"/>
    <cellStyle name="Note 6 2 2" xfId="33730" xr:uid="{00000000-0005-0000-0000-000061D90000}"/>
    <cellStyle name="Note 6 2 2 2" xfId="33731" xr:uid="{00000000-0005-0000-0000-000062D90000}"/>
    <cellStyle name="Note 6 2 3" xfId="33732" xr:uid="{00000000-0005-0000-0000-000063D90000}"/>
    <cellStyle name="Note 6 3" xfId="33733" xr:uid="{00000000-0005-0000-0000-000064D90000}"/>
    <cellStyle name="Note 6 3 2" xfId="33734" xr:uid="{00000000-0005-0000-0000-000065D90000}"/>
    <cellStyle name="Note 6 3 2 2" xfId="33735" xr:uid="{00000000-0005-0000-0000-000066D90000}"/>
    <cellStyle name="Note 6 3 3" xfId="33736" xr:uid="{00000000-0005-0000-0000-000067D90000}"/>
    <cellStyle name="Note 6 4" xfId="33737" xr:uid="{00000000-0005-0000-0000-000068D90000}"/>
    <cellStyle name="Note 6 4 2" xfId="33738" xr:uid="{00000000-0005-0000-0000-000069D90000}"/>
    <cellStyle name="Note 6 4 2 2" xfId="33739" xr:uid="{00000000-0005-0000-0000-00006AD90000}"/>
    <cellStyle name="Note 6 4 3" xfId="33740" xr:uid="{00000000-0005-0000-0000-00006BD90000}"/>
    <cellStyle name="Note 6 5" xfId="33741" xr:uid="{00000000-0005-0000-0000-00006CD90000}"/>
    <cellStyle name="Note 6 5 2" xfId="33742" xr:uid="{00000000-0005-0000-0000-00006DD90000}"/>
    <cellStyle name="Note 6 5 2 2" xfId="33743" xr:uid="{00000000-0005-0000-0000-00006ED90000}"/>
    <cellStyle name="Note 6 5 3" xfId="33744" xr:uid="{00000000-0005-0000-0000-00006FD90000}"/>
    <cellStyle name="Note 6 6" xfId="33745" xr:uid="{00000000-0005-0000-0000-000070D90000}"/>
    <cellStyle name="Note 6 6 2" xfId="33746" xr:uid="{00000000-0005-0000-0000-000071D90000}"/>
    <cellStyle name="Note 6 6 2 2" xfId="33747" xr:uid="{00000000-0005-0000-0000-000072D90000}"/>
    <cellStyle name="Note 6 6 3" xfId="33748" xr:uid="{00000000-0005-0000-0000-000073D90000}"/>
    <cellStyle name="Note 6 7" xfId="33749" xr:uid="{00000000-0005-0000-0000-000074D90000}"/>
    <cellStyle name="Note 6 7 2" xfId="33750" xr:uid="{00000000-0005-0000-0000-000075D90000}"/>
    <cellStyle name="Note 6 7 2 2" xfId="33751" xr:uid="{00000000-0005-0000-0000-000076D90000}"/>
    <cellStyle name="Note 6 7 3" xfId="33752" xr:uid="{00000000-0005-0000-0000-000077D90000}"/>
    <cellStyle name="Note 6 8" xfId="33753" xr:uid="{00000000-0005-0000-0000-000078D90000}"/>
    <cellStyle name="Note 6 8 2" xfId="33754" xr:uid="{00000000-0005-0000-0000-000079D90000}"/>
    <cellStyle name="Note 6 9" xfId="33755" xr:uid="{00000000-0005-0000-0000-00007AD90000}"/>
    <cellStyle name="Note 7" xfId="33756" xr:uid="{00000000-0005-0000-0000-00007BD90000}"/>
    <cellStyle name="Note 7 2" xfId="33757" xr:uid="{00000000-0005-0000-0000-00007CD90000}"/>
    <cellStyle name="Note 7 2 2" xfId="33758" xr:uid="{00000000-0005-0000-0000-00007DD90000}"/>
    <cellStyle name="Note 7 2 2 2" xfId="33759" xr:uid="{00000000-0005-0000-0000-00007ED90000}"/>
    <cellStyle name="Note 7 2 3" xfId="33760" xr:uid="{00000000-0005-0000-0000-00007FD90000}"/>
    <cellStyle name="Note 7 3" xfId="33761" xr:uid="{00000000-0005-0000-0000-000080D90000}"/>
    <cellStyle name="Note 7 3 2" xfId="33762" xr:uid="{00000000-0005-0000-0000-000081D90000}"/>
    <cellStyle name="Note 7 3 2 2" xfId="33763" xr:uid="{00000000-0005-0000-0000-000082D90000}"/>
    <cellStyle name="Note 7 3 3" xfId="33764" xr:uid="{00000000-0005-0000-0000-000083D90000}"/>
    <cellStyle name="Note 7 4" xfId="33765" xr:uid="{00000000-0005-0000-0000-000084D90000}"/>
    <cellStyle name="Note 7 4 2" xfId="33766" xr:uid="{00000000-0005-0000-0000-000085D90000}"/>
    <cellStyle name="Note 7 4 2 2" xfId="33767" xr:uid="{00000000-0005-0000-0000-000086D90000}"/>
    <cellStyle name="Note 7 4 3" xfId="33768" xr:uid="{00000000-0005-0000-0000-000087D90000}"/>
    <cellStyle name="Note 7 5" xfId="33769" xr:uid="{00000000-0005-0000-0000-000088D90000}"/>
    <cellStyle name="Note 7 5 2" xfId="33770" xr:uid="{00000000-0005-0000-0000-000089D90000}"/>
    <cellStyle name="Note 7 5 2 2" xfId="33771" xr:uid="{00000000-0005-0000-0000-00008AD90000}"/>
    <cellStyle name="Note 7 5 3" xfId="33772" xr:uid="{00000000-0005-0000-0000-00008BD90000}"/>
    <cellStyle name="Note 7 6" xfId="33773" xr:uid="{00000000-0005-0000-0000-00008CD90000}"/>
    <cellStyle name="Note 7 6 2" xfId="33774" xr:uid="{00000000-0005-0000-0000-00008DD90000}"/>
    <cellStyle name="Note 7 6 2 2" xfId="33775" xr:uid="{00000000-0005-0000-0000-00008ED90000}"/>
    <cellStyle name="Note 7 6 3" xfId="33776" xr:uid="{00000000-0005-0000-0000-00008FD90000}"/>
    <cellStyle name="Note 7 7" xfId="33777" xr:uid="{00000000-0005-0000-0000-000090D90000}"/>
    <cellStyle name="Note 7 7 2" xfId="33778" xr:uid="{00000000-0005-0000-0000-000091D90000}"/>
    <cellStyle name="Note 7 7 2 2" xfId="33779" xr:uid="{00000000-0005-0000-0000-000092D90000}"/>
    <cellStyle name="Note 7 7 3" xfId="33780" xr:uid="{00000000-0005-0000-0000-000093D90000}"/>
    <cellStyle name="Note 7 8" xfId="33781" xr:uid="{00000000-0005-0000-0000-000094D90000}"/>
    <cellStyle name="Note 7 8 2" xfId="33782" xr:uid="{00000000-0005-0000-0000-000095D90000}"/>
    <cellStyle name="Note 7 9" xfId="33783" xr:uid="{00000000-0005-0000-0000-000096D90000}"/>
    <cellStyle name="Note 8" xfId="33784" xr:uid="{00000000-0005-0000-0000-000097D90000}"/>
    <cellStyle name="Note 8 2" xfId="33785" xr:uid="{00000000-0005-0000-0000-000098D90000}"/>
    <cellStyle name="Note 8 2 2" xfId="33786" xr:uid="{00000000-0005-0000-0000-000099D90000}"/>
    <cellStyle name="Note 8 3" xfId="33787" xr:uid="{00000000-0005-0000-0000-00009AD90000}"/>
    <cellStyle name="Note 9" xfId="33788" xr:uid="{00000000-0005-0000-0000-00009BD90000}"/>
    <cellStyle name="Note 9 2" xfId="33789" xr:uid="{00000000-0005-0000-0000-00009CD90000}"/>
    <cellStyle name="Note 9 2 2" xfId="33790" xr:uid="{00000000-0005-0000-0000-00009DD90000}"/>
    <cellStyle name="Note 9 2 2 2" xfId="33791" xr:uid="{00000000-0005-0000-0000-00009ED90000}"/>
    <cellStyle name="Note 9 2 3" xfId="33792" xr:uid="{00000000-0005-0000-0000-00009FD90000}"/>
    <cellStyle name="Note 9 3" xfId="33793" xr:uid="{00000000-0005-0000-0000-0000A0D90000}"/>
    <cellStyle name="Note 9 3 2" xfId="33794" xr:uid="{00000000-0005-0000-0000-0000A1D90000}"/>
    <cellStyle name="Note 9 3 2 2" xfId="33795" xr:uid="{00000000-0005-0000-0000-0000A2D90000}"/>
    <cellStyle name="Note 9 3 3" xfId="33796" xr:uid="{00000000-0005-0000-0000-0000A3D90000}"/>
    <cellStyle name="Note 9 4" xfId="33797" xr:uid="{00000000-0005-0000-0000-0000A4D90000}"/>
    <cellStyle name="Note 9 4 2" xfId="33798" xr:uid="{00000000-0005-0000-0000-0000A5D90000}"/>
    <cellStyle name="Note 9 4 2 2" xfId="33799" xr:uid="{00000000-0005-0000-0000-0000A6D90000}"/>
    <cellStyle name="Note 9 4 3" xfId="33800" xr:uid="{00000000-0005-0000-0000-0000A7D90000}"/>
    <cellStyle name="Note 9 5" xfId="33801" xr:uid="{00000000-0005-0000-0000-0000A8D90000}"/>
    <cellStyle name="Note 9 5 2" xfId="33802" xr:uid="{00000000-0005-0000-0000-0000A9D90000}"/>
    <cellStyle name="Note 9 5 2 2" xfId="33803" xr:uid="{00000000-0005-0000-0000-0000AAD90000}"/>
    <cellStyle name="Note 9 5 3" xfId="33804" xr:uid="{00000000-0005-0000-0000-0000ABD90000}"/>
    <cellStyle name="Note 9 6" xfId="33805" xr:uid="{00000000-0005-0000-0000-0000ACD90000}"/>
    <cellStyle name="Note 9 6 2" xfId="33806" xr:uid="{00000000-0005-0000-0000-0000ADD90000}"/>
    <cellStyle name="Note 9 6 2 2" xfId="33807" xr:uid="{00000000-0005-0000-0000-0000AED90000}"/>
    <cellStyle name="Note 9 6 3" xfId="33808" xr:uid="{00000000-0005-0000-0000-0000AFD90000}"/>
    <cellStyle name="Note 9 7" xfId="33809" xr:uid="{00000000-0005-0000-0000-0000B0D90000}"/>
    <cellStyle name="Note 9 7 2" xfId="33810" xr:uid="{00000000-0005-0000-0000-0000B1D90000}"/>
    <cellStyle name="Note 9 7 2 2" xfId="33811" xr:uid="{00000000-0005-0000-0000-0000B2D90000}"/>
    <cellStyle name="Note 9 7 3" xfId="33812" xr:uid="{00000000-0005-0000-0000-0000B3D90000}"/>
    <cellStyle name="Note 9 8" xfId="33813" xr:uid="{00000000-0005-0000-0000-0000B4D90000}"/>
    <cellStyle name="Note 9 8 2" xfId="33814" xr:uid="{00000000-0005-0000-0000-0000B5D90000}"/>
    <cellStyle name="Note 9 9" xfId="33815" xr:uid="{00000000-0005-0000-0000-0000B6D90000}"/>
    <cellStyle name="Output" xfId="49" builtinId="21" customBuiltin="1"/>
    <cellStyle name="Output 2" xfId="126" xr:uid="{00000000-0005-0000-0000-0000B8D90000}"/>
    <cellStyle name="Output 3" xfId="475" xr:uid="{00000000-0005-0000-0000-0000B9D90000}"/>
    <cellStyle name="Output 3 2" xfId="33816" xr:uid="{00000000-0005-0000-0000-0000BAD90000}"/>
    <cellStyle name="Output 4" xfId="33817" xr:uid="{00000000-0005-0000-0000-0000BBD90000}"/>
    <cellStyle name="Output 4 2" xfId="52079" xr:uid="{00000000-0005-0000-0000-0000BCD90000}"/>
    <cellStyle name="Percent" xfId="1" builtinId="5"/>
    <cellStyle name="Percent 2" xfId="5" xr:uid="{00000000-0005-0000-0000-0000BED90000}"/>
    <cellStyle name="Percent 2 10" xfId="27544" xr:uid="{00000000-0005-0000-0000-0000BFD90000}"/>
    <cellStyle name="Percent 2 2" xfId="35" xr:uid="{00000000-0005-0000-0000-0000C0D90000}"/>
    <cellStyle name="Percent 2 2 2" xfId="33818" xr:uid="{00000000-0005-0000-0000-0000C1D90000}"/>
    <cellStyle name="Percent 2 2 3" xfId="33819" xr:uid="{00000000-0005-0000-0000-0000C2D90000}"/>
    <cellStyle name="Percent 2 2 4" xfId="33820" xr:uid="{00000000-0005-0000-0000-0000C3D90000}"/>
    <cellStyle name="Percent 2 2 5" xfId="33821" xr:uid="{00000000-0005-0000-0000-0000C4D90000}"/>
    <cellStyle name="Percent 2 2 6" xfId="33822" xr:uid="{00000000-0005-0000-0000-0000C5D90000}"/>
    <cellStyle name="Percent 2 2 7" xfId="33823" xr:uid="{00000000-0005-0000-0000-0000C6D90000}"/>
    <cellStyle name="Percent 2 2 8" xfId="33824" xr:uid="{00000000-0005-0000-0000-0000C7D90000}"/>
    <cellStyle name="Percent 2 2 9" xfId="27545" xr:uid="{00000000-0005-0000-0000-0000C8D90000}"/>
    <cellStyle name="Percent 2 3" xfId="33825" xr:uid="{00000000-0005-0000-0000-0000C9D90000}"/>
    <cellStyle name="Percent 2 4" xfId="33826" xr:uid="{00000000-0005-0000-0000-0000CAD90000}"/>
    <cellStyle name="Percent 2 5" xfId="33827" xr:uid="{00000000-0005-0000-0000-0000CBD90000}"/>
    <cellStyle name="Percent 2 6" xfId="33828" xr:uid="{00000000-0005-0000-0000-0000CCD90000}"/>
    <cellStyle name="Percent 2 7" xfId="33829" xr:uid="{00000000-0005-0000-0000-0000CDD90000}"/>
    <cellStyle name="Percent 2 8" xfId="33830" xr:uid="{00000000-0005-0000-0000-0000CED90000}"/>
    <cellStyle name="Percent 2 9" xfId="33831" xr:uid="{00000000-0005-0000-0000-0000CFD90000}"/>
    <cellStyle name="Percent 3" xfId="127" xr:uid="{00000000-0005-0000-0000-0000D0D90000}"/>
    <cellStyle name="Percent 3 2" xfId="27546" xr:uid="{00000000-0005-0000-0000-0000D1D90000}"/>
    <cellStyle name="Percent 4" xfId="197" xr:uid="{00000000-0005-0000-0000-0000D2D90000}"/>
    <cellStyle name="Percent 4 2" xfId="27548" xr:uid="{00000000-0005-0000-0000-0000D3D90000}"/>
    <cellStyle name="Percent 4 3" xfId="27547" xr:uid="{00000000-0005-0000-0000-0000D4D90000}"/>
    <cellStyle name="Percent 5" xfId="476" xr:uid="{00000000-0005-0000-0000-0000D5D90000}"/>
    <cellStyle name="Percent 5 2" xfId="27550" xr:uid="{00000000-0005-0000-0000-0000D6D90000}"/>
    <cellStyle name="Percent 5 2 2" xfId="33832" xr:uid="{00000000-0005-0000-0000-0000D7D90000}"/>
    <cellStyle name="Percent 5 3" xfId="33833" xr:uid="{00000000-0005-0000-0000-0000D8D90000}"/>
    <cellStyle name="Percent 5 4" xfId="27549" xr:uid="{00000000-0005-0000-0000-0000D9D90000}"/>
    <cellStyle name="Percent 6" xfId="27551" xr:uid="{00000000-0005-0000-0000-0000DAD90000}"/>
    <cellStyle name="Percent 6 2" xfId="27552" xr:uid="{00000000-0005-0000-0000-0000DBD90000}"/>
    <cellStyle name="Percent 7" xfId="27553" xr:uid="{00000000-0005-0000-0000-0000DCD90000}"/>
    <cellStyle name="Percent 7 2" xfId="27554" xr:uid="{00000000-0005-0000-0000-0000DDD90000}"/>
    <cellStyle name="Percent 8" xfId="27520" xr:uid="{00000000-0005-0000-0000-0000DED90000}"/>
    <cellStyle name="Title" xfId="40" builtinId="15" customBuiltin="1"/>
    <cellStyle name="Total" xfId="55" builtinId="25" customBuiltin="1"/>
    <cellStyle name="Total 2" xfId="128" xr:uid="{00000000-0005-0000-0000-0000E1D90000}"/>
    <cellStyle name="Total 3" xfId="477" xr:uid="{00000000-0005-0000-0000-0000E2D90000}"/>
    <cellStyle name="Total 3 2" xfId="33834" xr:uid="{00000000-0005-0000-0000-0000E3D90000}"/>
    <cellStyle name="Total 4" xfId="33835" xr:uid="{00000000-0005-0000-0000-0000E4D90000}"/>
    <cellStyle name="Total 4 2" xfId="52080" xr:uid="{00000000-0005-0000-0000-0000E5D90000}"/>
    <cellStyle name="Warning Text" xfId="53" builtinId="11" customBuiltin="1"/>
    <cellStyle name="Warning Text 2" xfId="129" xr:uid="{00000000-0005-0000-0000-0000E7D90000}"/>
    <cellStyle name="Warning Text 3" xfId="478" xr:uid="{00000000-0005-0000-0000-0000E8D90000}"/>
    <cellStyle name="Warning Text 3 2" xfId="33836" xr:uid="{00000000-0005-0000-0000-0000E9D90000}"/>
    <cellStyle name="Warning Text 4" xfId="33837" xr:uid="{00000000-0005-0000-0000-0000EAD90000}"/>
    <cellStyle name="Warning Text 4 2" xfId="52081" xr:uid="{00000000-0005-0000-0000-0000EBD9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208085435103745E-2"/>
          <c:y val="0.14196347031963472"/>
          <c:w val="0.87884297595330707"/>
          <c:h val="0.7247111063171898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Sheet12!$C$3:$H$3</c:f>
              <c:numCache>
                <c:formatCode>0.00%</c:formatCode>
                <c:ptCount val="6"/>
                <c:pt idx="0">
                  <c:v>-5.0000000000000001E-3</c:v>
                </c:pt>
                <c:pt idx="1">
                  <c:v>-2.5000000000000001E-3</c:v>
                </c:pt>
                <c:pt idx="2">
                  <c:v>0</c:v>
                </c:pt>
                <c:pt idx="3">
                  <c:v>2.5000000000000001E-3</c:v>
                </c:pt>
                <c:pt idx="4">
                  <c:v>5.0000000000000001E-3</c:v>
                </c:pt>
                <c:pt idx="5">
                  <c:v>7.4999999999999997E-3</c:v>
                </c:pt>
              </c:numCache>
            </c:numRef>
          </c:cat>
          <c:val>
            <c:numRef>
              <c:f>Sheet12!$C$4:$C$44</c:f>
              <c:numCache>
                <c:formatCode>0.000%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B9-4607-AF4D-30282E152D3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Sheet12!$C$3:$H$3</c:f>
              <c:numCache>
                <c:formatCode>0.00%</c:formatCode>
                <c:ptCount val="6"/>
                <c:pt idx="0">
                  <c:v>-5.0000000000000001E-3</c:v>
                </c:pt>
                <c:pt idx="1">
                  <c:v>-2.5000000000000001E-3</c:v>
                </c:pt>
                <c:pt idx="2">
                  <c:v>0</c:v>
                </c:pt>
                <c:pt idx="3">
                  <c:v>2.5000000000000001E-3</c:v>
                </c:pt>
                <c:pt idx="4">
                  <c:v>5.0000000000000001E-3</c:v>
                </c:pt>
                <c:pt idx="5">
                  <c:v>7.4999999999999997E-3</c:v>
                </c:pt>
              </c:numCache>
            </c:numRef>
          </c:cat>
          <c:val>
            <c:numRef>
              <c:f>Sheet12!$D$4:$D$44</c:f>
              <c:numCache>
                <c:formatCode>0.000%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8C-465A-86B8-F5320B7E40C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Sheet12!$C$3:$H$3</c:f>
              <c:numCache>
                <c:formatCode>0.00%</c:formatCode>
                <c:ptCount val="6"/>
                <c:pt idx="0">
                  <c:v>-5.0000000000000001E-3</c:v>
                </c:pt>
                <c:pt idx="1">
                  <c:v>-2.5000000000000001E-3</c:v>
                </c:pt>
                <c:pt idx="2">
                  <c:v>0</c:v>
                </c:pt>
                <c:pt idx="3">
                  <c:v>2.5000000000000001E-3</c:v>
                </c:pt>
                <c:pt idx="4">
                  <c:v>5.0000000000000001E-3</c:v>
                </c:pt>
                <c:pt idx="5">
                  <c:v>7.4999999999999997E-3</c:v>
                </c:pt>
              </c:numCache>
            </c:numRef>
          </c:cat>
          <c:val>
            <c:numRef>
              <c:f>Sheet12!$E$4:$E$44</c:f>
              <c:numCache>
                <c:formatCode>0.000%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D-4ABE-B620-2E23DF8B824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Sheet12!$C$3:$H$3</c:f>
              <c:numCache>
                <c:formatCode>0.00%</c:formatCode>
                <c:ptCount val="6"/>
                <c:pt idx="0">
                  <c:v>-5.0000000000000001E-3</c:v>
                </c:pt>
                <c:pt idx="1">
                  <c:v>-2.5000000000000001E-3</c:v>
                </c:pt>
                <c:pt idx="2">
                  <c:v>0</c:v>
                </c:pt>
                <c:pt idx="3">
                  <c:v>2.5000000000000001E-3</c:v>
                </c:pt>
                <c:pt idx="4">
                  <c:v>5.0000000000000001E-3</c:v>
                </c:pt>
                <c:pt idx="5">
                  <c:v>7.4999999999999997E-3</c:v>
                </c:pt>
              </c:numCache>
            </c:numRef>
          </c:cat>
          <c:val>
            <c:numRef>
              <c:f>Sheet12!$F$4:$F$44</c:f>
              <c:numCache>
                <c:formatCode>0.000%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2D-4ABE-B620-2E23DF8B824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Sheet12!$C$3:$H$3</c:f>
              <c:numCache>
                <c:formatCode>0.00%</c:formatCode>
                <c:ptCount val="6"/>
                <c:pt idx="0">
                  <c:v>-5.0000000000000001E-3</c:v>
                </c:pt>
                <c:pt idx="1">
                  <c:v>-2.5000000000000001E-3</c:v>
                </c:pt>
                <c:pt idx="2">
                  <c:v>0</c:v>
                </c:pt>
                <c:pt idx="3">
                  <c:v>2.5000000000000001E-3</c:v>
                </c:pt>
                <c:pt idx="4">
                  <c:v>5.0000000000000001E-3</c:v>
                </c:pt>
                <c:pt idx="5">
                  <c:v>7.4999999999999997E-3</c:v>
                </c:pt>
              </c:numCache>
            </c:numRef>
          </c:cat>
          <c:val>
            <c:numRef>
              <c:f>Sheet12!$G$4:$G$44</c:f>
              <c:numCache>
                <c:formatCode>0.000%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2D-4ABE-B620-2E23DF8B8248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Sheet12!$C$3:$H$3</c:f>
              <c:numCache>
                <c:formatCode>0.00%</c:formatCode>
                <c:ptCount val="6"/>
                <c:pt idx="0">
                  <c:v>-5.0000000000000001E-3</c:v>
                </c:pt>
                <c:pt idx="1">
                  <c:v>-2.5000000000000001E-3</c:v>
                </c:pt>
                <c:pt idx="2">
                  <c:v>0</c:v>
                </c:pt>
                <c:pt idx="3">
                  <c:v>2.5000000000000001E-3</c:v>
                </c:pt>
                <c:pt idx="4">
                  <c:v>5.0000000000000001E-3</c:v>
                </c:pt>
                <c:pt idx="5">
                  <c:v>7.4999999999999997E-3</c:v>
                </c:pt>
              </c:numCache>
            </c:numRef>
          </c:cat>
          <c:val>
            <c:numRef>
              <c:f>Sheet12!$H$4:$H$44</c:f>
              <c:numCache>
                <c:formatCode>0.000%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2D-4ABE-B620-2E23DF8B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358016"/>
        <c:axId val="238855296"/>
      </c:lineChart>
      <c:catAx>
        <c:axId val="60358016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238855296"/>
        <c:crosses val="autoZero"/>
        <c:auto val="1"/>
        <c:lblAlgn val="ctr"/>
        <c:lblOffset val="100"/>
        <c:noMultiLvlLbl val="0"/>
      </c:catAx>
      <c:valAx>
        <c:axId val="238855296"/>
        <c:scaling>
          <c:orientation val="minMax"/>
          <c:max val="1.0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5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Sheet1!$I$56:$I$74</c:f>
              <c:numCache>
                <c:formatCode>0.00000</c:formatCode>
                <c:ptCount val="19"/>
                <c:pt idx="0">
                  <c:v>-0.19785872688039999</c:v>
                </c:pt>
                <c:pt idx="1">
                  <c:v>-0.14283648005380001</c:v>
                </c:pt>
                <c:pt idx="2" formatCode="0.000">
                  <c:v>-6.5995680759800002E-2</c:v>
                </c:pt>
                <c:pt idx="3">
                  <c:v>2.77949232013E-2</c:v>
                </c:pt>
                <c:pt idx="4">
                  <c:v>0.138958779275</c:v>
                </c:pt>
                <c:pt idx="5">
                  <c:v>0.2526578741521</c:v>
                </c:pt>
                <c:pt idx="6">
                  <c:v>0.38369106709110001</c:v>
                </c:pt>
                <c:pt idx="7">
                  <c:v>0.50612590789940004</c:v>
                </c:pt>
                <c:pt idx="8">
                  <c:v>0.66735567300569998</c:v>
                </c:pt>
                <c:pt idx="9">
                  <c:v>0.79101295168120001</c:v>
                </c:pt>
                <c:pt idx="10">
                  <c:v>0.96075286395470005</c:v>
                </c:pt>
                <c:pt idx="11">
                  <c:v>1.1014552923469001</c:v>
                </c:pt>
                <c:pt idx="12">
                  <c:v>1.2532454617191</c:v>
                </c:pt>
                <c:pt idx="13">
                  <c:v>1.3532160483521001</c:v>
                </c:pt>
                <c:pt idx="14">
                  <c:v>1.4973721672538001</c:v>
                </c:pt>
                <c:pt idx="15">
                  <c:v>1.598221946587</c:v>
                </c:pt>
                <c:pt idx="16">
                  <c:v>1.7040774077037999</c:v>
                </c:pt>
                <c:pt idx="17">
                  <c:v>1.7726553101327001</c:v>
                </c:pt>
                <c:pt idx="18">
                  <c:v>1.8216907771113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7A-45FB-81AC-268A9375569D}"/>
            </c:ext>
          </c:extLst>
        </c:ser>
        <c:ser>
          <c:idx val="1"/>
          <c:order val="1"/>
          <c:marker>
            <c:symbol val="none"/>
          </c:marker>
          <c:val>
            <c:numRef>
              <c:f>Sheet1!$J$56:$J$74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7A-45FB-81AC-268A93755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132992"/>
        <c:axId val="274134528"/>
      </c:lineChart>
      <c:catAx>
        <c:axId val="274132992"/>
        <c:scaling>
          <c:orientation val="minMax"/>
        </c:scaling>
        <c:delete val="0"/>
        <c:axPos val="b"/>
        <c:majorTickMark val="out"/>
        <c:minorTickMark val="none"/>
        <c:tickLblPos val="nextTo"/>
        <c:crossAx val="274134528"/>
        <c:crosses val="autoZero"/>
        <c:auto val="1"/>
        <c:lblAlgn val="ctr"/>
        <c:lblOffset val="100"/>
        <c:noMultiLvlLbl val="0"/>
      </c:catAx>
      <c:valAx>
        <c:axId val="274134528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274132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11</xdr:row>
      <xdr:rowOff>0</xdr:rowOff>
    </xdr:from>
    <xdr:to>
      <xdr:col>4</xdr:col>
      <xdr:colOff>104775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704850</xdr:colOff>
          <xdr:row>17</xdr:row>
          <xdr:rowOff>0</xdr:rowOff>
        </xdr:from>
        <xdr:to>
          <xdr:col>16</xdr:col>
          <xdr:colOff>400050</xdr:colOff>
          <xdr:row>21</xdr:row>
          <xdr:rowOff>66675</xdr:rowOff>
        </xdr:to>
        <xdr:sp macro="" textlink="">
          <xdr:nvSpPr>
            <xdr:cNvPr id="1286113" name="Button 993" descr="TempXBS" hidden="1">
              <a:extLst>
                <a:ext uri="{63B3BB69-23CF-44E3-9099-C40C66FF867C}">
                  <a14:compatExt spid="_x0000_s1286113"/>
                </a:ext>
                <a:ext uri="{FF2B5EF4-FFF2-40B4-BE49-F238E27FC236}">
                  <a16:creationId xmlns:a16="http://schemas.microsoft.com/office/drawing/2014/main" id="{00000000-0008-0000-0000-0000E19F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Once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2</xdr:row>
          <xdr:rowOff>123825</xdr:rowOff>
        </xdr:from>
        <xdr:to>
          <xdr:col>3</xdr:col>
          <xdr:colOff>1047750</xdr:colOff>
          <xdr:row>6</xdr:row>
          <xdr:rowOff>142875</xdr:rowOff>
        </xdr:to>
        <xdr:sp macro="" textlink="">
          <xdr:nvSpPr>
            <xdr:cNvPr id="1148431" name="Button 1551" descr="TempXBS" hidden="1">
              <a:extLst>
                <a:ext uri="{63B3BB69-23CF-44E3-9099-C40C66FF867C}">
                  <a14:compatExt spid="_x0000_s1148431"/>
                </a:ext>
                <a:ext uri="{FF2B5EF4-FFF2-40B4-BE49-F238E27FC236}">
                  <a16:creationId xmlns:a16="http://schemas.microsoft.com/office/drawing/2014/main" id="{00000000-0008-0000-0100-00000F86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Once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0</xdr:row>
          <xdr:rowOff>123825</xdr:rowOff>
        </xdr:from>
        <xdr:to>
          <xdr:col>6</xdr:col>
          <xdr:colOff>400050</xdr:colOff>
          <xdr:row>7</xdr:row>
          <xdr:rowOff>0</xdr:rowOff>
        </xdr:to>
        <xdr:sp macro="" textlink="">
          <xdr:nvSpPr>
            <xdr:cNvPr id="1148433" name="Button 1553" descr="TempXBS" hidden="1">
              <a:extLst>
                <a:ext uri="{63B3BB69-23CF-44E3-9099-C40C66FF867C}">
                  <a14:compatExt spid="_x0000_s1148433"/>
                </a:ext>
                <a:ext uri="{FF2B5EF4-FFF2-40B4-BE49-F238E27FC236}">
                  <a16:creationId xmlns:a16="http://schemas.microsoft.com/office/drawing/2014/main" id="{00000000-0008-0000-0100-00001186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1038225</xdr:colOff>
          <xdr:row>92</xdr:row>
          <xdr:rowOff>19050</xdr:rowOff>
        </xdr:from>
        <xdr:to>
          <xdr:col>10</xdr:col>
          <xdr:colOff>1085850</xdr:colOff>
          <xdr:row>97</xdr:row>
          <xdr:rowOff>123825</xdr:rowOff>
        </xdr:to>
        <xdr:sp macro="" textlink="">
          <xdr:nvSpPr>
            <xdr:cNvPr id="1804289" name="Button 1" descr="TempXBS" hidden="1">
              <a:extLst>
                <a:ext uri="{63B3BB69-23CF-44E3-9099-C40C66FF867C}">
                  <a14:compatExt spid="_x0000_s1804289"/>
                </a:ext>
                <a:ext uri="{FF2B5EF4-FFF2-40B4-BE49-F238E27FC236}">
                  <a16:creationId xmlns:a16="http://schemas.microsoft.com/office/drawing/2014/main" id="{00000000-0008-0000-0800-00000188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Once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19050</xdr:rowOff>
        </xdr:from>
        <xdr:to>
          <xdr:col>7</xdr:col>
          <xdr:colOff>85725</xdr:colOff>
          <xdr:row>5</xdr:row>
          <xdr:rowOff>123825</xdr:rowOff>
        </xdr:to>
        <xdr:sp macro="" textlink="">
          <xdr:nvSpPr>
            <xdr:cNvPr id="1804290" name="Button 2" descr="TempXBS" hidden="1">
              <a:extLst>
                <a:ext uri="{63B3BB69-23CF-44E3-9099-C40C66FF867C}">
                  <a14:compatExt spid="_x0000_s1804290"/>
                </a:ext>
                <a:ext uri="{FF2B5EF4-FFF2-40B4-BE49-F238E27FC236}">
                  <a16:creationId xmlns:a16="http://schemas.microsoft.com/office/drawing/2014/main" id="{00000000-0008-0000-0800-00000288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Once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57150</xdr:rowOff>
        </xdr:from>
        <xdr:to>
          <xdr:col>9</xdr:col>
          <xdr:colOff>1238250</xdr:colOff>
          <xdr:row>5</xdr:row>
          <xdr:rowOff>38100</xdr:rowOff>
        </xdr:to>
        <xdr:sp macro="" textlink="">
          <xdr:nvSpPr>
            <xdr:cNvPr id="1804291" name="Button 3" descr="TempXBS" hidden="1">
              <a:extLst>
                <a:ext uri="{63B3BB69-23CF-44E3-9099-C40C66FF867C}">
                  <a14:compatExt spid="_x0000_s1804291"/>
                </a:ext>
                <a:ext uri="{FF2B5EF4-FFF2-40B4-BE49-F238E27FC236}">
                  <a16:creationId xmlns:a16="http://schemas.microsoft.com/office/drawing/2014/main" id="{00000000-0008-0000-0800-000003881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676275</xdr:colOff>
      <xdr:row>52</xdr:row>
      <xdr:rowOff>123825</xdr:rowOff>
    </xdr:from>
    <xdr:to>
      <xdr:col>19</xdr:col>
      <xdr:colOff>819150</xdr:colOff>
      <xdr:row>72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1314450</xdr:colOff>
          <xdr:row>18</xdr:row>
          <xdr:rowOff>9525</xdr:rowOff>
        </xdr:from>
        <xdr:to>
          <xdr:col>25</xdr:col>
          <xdr:colOff>152400</xdr:colOff>
          <xdr:row>24</xdr:row>
          <xdr:rowOff>57150</xdr:rowOff>
        </xdr:to>
        <xdr:sp macro="" textlink="">
          <xdr:nvSpPr>
            <xdr:cNvPr id="171529" name="Button 1545" descr="TempXBS" hidden="1">
              <a:extLst>
                <a:ext uri="{63B3BB69-23CF-44E3-9099-C40C66FF867C}">
                  <a14:compatExt spid="_x0000_s171529"/>
                </a:ext>
                <a:ext uri="{FF2B5EF4-FFF2-40B4-BE49-F238E27FC236}">
                  <a16:creationId xmlns:a16="http://schemas.microsoft.com/office/drawing/2014/main" id="{00000000-0008-0000-0A00-0000099E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1323975</xdr:colOff>
          <xdr:row>26</xdr:row>
          <xdr:rowOff>114300</xdr:rowOff>
        </xdr:from>
        <xdr:to>
          <xdr:col>25</xdr:col>
          <xdr:colOff>171450</xdr:colOff>
          <xdr:row>32</xdr:row>
          <xdr:rowOff>161925</xdr:rowOff>
        </xdr:to>
        <xdr:sp macro="" textlink="">
          <xdr:nvSpPr>
            <xdr:cNvPr id="171530" name="Button 1546" descr="TempXBS" hidden="1">
              <a:extLst>
                <a:ext uri="{63B3BB69-23CF-44E3-9099-C40C66FF867C}">
                  <a14:compatExt spid="_x0000_s171530"/>
                </a:ext>
                <a:ext uri="{FF2B5EF4-FFF2-40B4-BE49-F238E27FC236}">
                  <a16:creationId xmlns:a16="http://schemas.microsoft.com/office/drawing/2014/main" id="{00000000-0008-0000-0A00-00000A9E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XBS Curves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%20Here/QuantLibXL/QuantLibXL-1.4.0-bin/QuantLibXL-1.4.0/StandaloneExamples/Analytics/YieldCurve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es"/>
      <sheetName val="RateHelpers"/>
      <sheetName val="Bootstrapping"/>
    </sheetNames>
    <sheetDataSet>
      <sheetData sheetId="0">
        <row r="1">
          <cell r="B1" t="str">
            <v>obj_00009#0000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1"/>
  <dimension ref="A1:AU61"/>
  <sheetViews>
    <sheetView workbookViewId="0">
      <selection activeCell="L41" sqref="L41"/>
    </sheetView>
  </sheetViews>
  <sheetFormatPr defaultRowHeight="11.25" x14ac:dyDescent="0.2"/>
  <cols>
    <col min="1" max="2" width="43.1640625" customWidth="1"/>
    <col min="3" max="10" width="11.1640625" customWidth="1"/>
    <col min="11" max="11" width="9.33203125" customWidth="1"/>
    <col min="12" max="12" width="14.1640625" bestFit="1" customWidth="1"/>
    <col min="20" max="20" width="19.1640625" customWidth="1"/>
    <col min="21" max="21" width="16.33203125" customWidth="1"/>
    <col min="32" max="32" width="16" customWidth="1"/>
    <col min="33" max="33" width="18.5" customWidth="1"/>
    <col min="36" max="36" width="20.1640625" customWidth="1"/>
    <col min="37" max="37" width="21.83203125" customWidth="1"/>
    <col min="40" max="41" width="18.6640625" customWidth="1"/>
  </cols>
  <sheetData>
    <row r="1" spans="1:47" x14ac:dyDescent="0.2">
      <c r="B1" s="102">
        <f>_xll.qlCalendarAdvance(Calendar,_xll.qlSettingsEvaluationDate(),"2D",)</f>
        <v>42761</v>
      </c>
      <c r="AJ1" s="102">
        <f>_xll.qlCalendarAdvance(Calendar,_xll.qlSettingsEvaluationDate(),"2D",)</f>
        <v>42761</v>
      </c>
    </row>
    <row r="2" spans="1:47" ht="12" thickBot="1" x14ac:dyDescent="0.25">
      <c r="A2" s="105" t="s">
        <v>261</v>
      </c>
      <c r="B2" s="102">
        <f>_xll.qlCalendarAdvance(Calendar,B1,A2)</f>
        <v>42761</v>
      </c>
      <c r="C2" s="105"/>
      <c r="D2" s="105"/>
      <c r="E2" s="105"/>
      <c r="F2" s="105"/>
      <c r="G2" s="105"/>
      <c r="H2" s="105"/>
      <c r="I2" s="105"/>
      <c r="J2" s="105"/>
      <c r="AJ2" s="102">
        <f>_xll.qlCalendarAdvance(Calendar,AJ1,A2)</f>
        <v>42761</v>
      </c>
    </row>
    <row r="3" spans="1:47" ht="12" thickBot="1" x14ac:dyDescent="0.25">
      <c r="B3" s="4" t="s">
        <v>28</v>
      </c>
      <c r="C3" s="199">
        <v>-5.0000000000000001E-3</v>
      </c>
      <c r="D3" s="199">
        <f>C3+0.0025</f>
        <v>-2.5000000000000001E-3</v>
      </c>
      <c r="E3" s="199">
        <f>D3+0.0025</f>
        <v>0</v>
      </c>
      <c r="F3" s="199">
        <f t="shared" ref="F3:H3" si="0">E3+0.0025</f>
        <v>2.5000000000000001E-3</v>
      </c>
      <c r="G3" s="199">
        <f t="shared" si="0"/>
        <v>5.0000000000000001E-3</v>
      </c>
      <c r="H3" s="199">
        <f t="shared" si="0"/>
        <v>7.4999999999999997E-3</v>
      </c>
      <c r="I3" s="199"/>
      <c r="J3" s="199">
        <v>1.2500000000000001E-2</v>
      </c>
      <c r="K3" s="105" t="s">
        <v>257</v>
      </c>
      <c r="N3" t="e">
        <f ca="1">_xll.qlBachelierCapFloorEngine(,"eonia",'EUR TermStructures'!F41,)</f>
        <v>#VALUE!</v>
      </c>
      <c r="O3" s="105" t="s">
        <v>46</v>
      </c>
      <c r="Q3" s="3" t="s">
        <v>55</v>
      </c>
      <c r="R3" s="5" t="s">
        <v>7</v>
      </c>
      <c r="S3" s="3" t="s">
        <v>1</v>
      </c>
      <c r="T3" s="4" t="s">
        <v>47</v>
      </c>
      <c r="U3" s="4" t="s">
        <v>48</v>
      </c>
      <c r="V3" s="4" t="s">
        <v>12</v>
      </c>
      <c r="W3" s="4" t="s">
        <v>49</v>
      </c>
      <c r="X3" s="4" t="s">
        <v>50</v>
      </c>
      <c r="Y3" s="4" t="s">
        <v>4</v>
      </c>
      <c r="Z3" s="4" t="s">
        <v>51</v>
      </c>
      <c r="AA3" s="4" t="s">
        <v>52</v>
      </c>
      <c r="AB3" s="4" t="s">
        <v>21</v>
      </c>
      <c r="AC3" s="4" t="s">
        <v>53</v>
      </c>
      <c r="AD3" s="4" t="s">
        <v>54</v>
      </c>
      <c r="AE3" s="4" t="s">
        <v>5</v>
      </c>
      <c r="AG3" s="3" t="s">
        <v>37</v>
      </c>
      <c r="AH3" s="5" t="s">
        <v>7</v>
      </c>
      <c r="AI3" s="3" t="s">
        <v>1</v>
      </c>
      <c r="AJ3" s="4" t="s">
        <v>28</v>
      </c>
      <c r="AK3" s="4" t="s">
        <v>29</v>
      </c>
      <c r="AL3" s="4" t="s">
        <v>30</v>
      </c>
      <c r="AM3" s="4" t="s">
        <v>3</v>
      </c>
      <c r="AN3" s="4" t="s">
        <v>31</v>
      </c>
      <c r="AO3" s="4" t="s">
        <v>32</v>
      </c>
      <c r="AP3" s="4" t="s">
        <v>33</v>
      </c>
      <c r="AQ3" s="4" t="s">
        <v>34</v>
      </c>
      <c r="AR3" s="4" t="s">
        <v>35</v>
      </c>
      <c r="AS3" s="4" t="s">
        <v>36</v>
      </c>
      <c r="AT3" s="4" t="s">
        <v>5</v>
      </c>
      <c r="AU3" s="5" t="s">
        <v>6</v>
      </c>
    </row>
    <row r="4" spans="1:47" ht="12" thickBot="1" x14ac:dyDescent="0.25">
      <c r="A4" s="105" t="s">
        <v>1000</v>
      </c>
      <c r="B4" s="114">
        <f>_xll.qlCalendarAdvance(Calendar,B$2,A4)</f>
        <v>42942</v>
      </c>
      <c r="C4" s="202" t="e">
        <f ca="1">_xll.qlOptionletVTSVolatility('EUR TermStructures'!$F$41,$B4,C$3)</f>
        <v>#VALUE!</v>
      </c>
      <c r="D4" s="202" t="e">
        <f ca="1">_xll.qlOptionletVTSVolatility('EUR TermStructures'!$F$41,$B4,D$3)</f>
        <v>#VALUE!</v>
      </c>
      <c r="E4" s="202" t="e">
        <f ca="1">_xll.qlOptionletVTSVolatility('EUR TermStructures'!$F$41,$B4,E$3)</f>
        <v>#VALUE!</v>
      </c>
      <c r="F4" s="202" t="e">
        <f ca="1">_xll.qlOptionletVTSVolatility('EUR TermStructures'!$F$41,$B4,F$3)</f>
        <v>#VALUE!</v>
      </c>
      <c r="G4" s="202" t="e">
        <f ca="1">_xll.qlOptionletVTSVolatility('EUR TermStructures'!$F$41,$B4,G$3)</f>
        <v>#VALUE!</v>
      </c>
      <c r="H4" s="202" t="e">
        <f ca="1">_xll.qlOptionletVTSVolatility('EUR TermStructures'!$F$41,$B4,H$3)</f>
        <v>#VALUE!</v>
      </c>
      <c r="I4" s="202"/>
      <c r="J4" s="202"/>
      <c r="K4">
        <f ca="1">_xll.qlCapFloorTermVTSVolatility2('EUR TermStructures'!F$9,A4,C$3,TRUE)</f>
        <v>7.3381462873220557E-4</v>
      </c>
      <c r="L4" s="110" t="e">
        <f ca="1">_xll.qlCapFloorImpliedVolatility(O4,M4,"eonia",,,,,,"Normal")</f>
        <v>#VALUE!</v>
      </c>
      <c r="M4" s="1" t="e">
        <f ca="1">_xll.qlInstrumentNPV(O4,N4)</f>
        <v>#NUM!</v>
      </c>
      <c r="N4" t="e">
        <f ca="1">_xll.qlInstrumentSetPricingEngine(O4,N$3)</f>
        <v>#VALUE!</v>
      </c>
      <c r="O4" t="str">
        <f>_xll.qlCapFloor(,"Floor",Q4,H$3)</f>
        <v>obj_00271#0004</v>
      </c>
      <c r="Q4" s="10" t="str">
        <f>_xll.qlIborLeg(S4,T4,U4,V4,W4,X4,Y4,Z4,AA4,AB4,AC4,AD4,AE4,AF21)</f>
        <v>obj_0026c#0004</v>
      </c>
      <c r="R4" s="11" t="str">
        <f>_xll.ohRangeRetrieveError(Q4)</f>
        <v/>
      </c>
      <c r="S4" s="6"/>
      <c r="T4" s="7" t="s">
        <v>39</v>
      </c>
      <c r="U4" s="25">
        <v>1000000</v>
      </c>
      <c r="V4" s="7" t="str">
        <f>AG4</f>
        <v>obj_0005e#0005</v>
      </c>
      <c r="W4" s="7"/>
      <c r="X4" s="7"/>
      <c r="Y4" s="7" t="s">
        <v>14</v>
      </c>
      <c r="Z4" s="8"/>
      <c r="AA4" s="7"/>
      <c r="AB4" s="103" t="s">
        <v>992</v>
      </c>
      <c r="AC4" s="8"/>
      <c r="AD4" s="8"/>
      <c r="AE4" s="7"/>
      <c r="AF4">
        <f>_xll.qlScheduleSize(AG4)</f>
        <v>2</v>
      </c>
      <c r="AG4" s="10" t="str">
        <f>_xll.qlSchedule(AI4,AJ4,AK4,AL4,AM4,AN4,AO4,AP4,AQ4,AR4,AS4,AT4,AU4)</f>
        <v>obj_0005e#0005</v>
      </c>
      <c r="AH4" s="11" t="str">
        <f>_xll.ohRangeRetrieveError(AG4)</f>
        <v/>
      </c>
      <c r="AI4" s="104"/>
      <c r="AJ4" s="114">
        <f>_xll.qlCalendarAdvance(Calendar,AJ$2,A4)</f>
        <v>42942</v>
      </c>
      <c r="AK4" s="114">
        <f>_xll.qlCalendarAdvance(Calendar,AJ4,"6M",)</f>
        <v>43126</v>
      </c>
      <c r="AL4" s="103" t="s">
        <v>38</v>
      </c>
      <c r="AM4" s="7" t="s">
        <v>10</v>
      </c>
      <c r="AN4" s="7" t="s">
        <v>39</v>
      </c>
      <c r="AO4" s="7" t="s">
        <v>39</v>
      </c>
      <c r="AP4" s="103" t="s">
        <v>289</v>
      </c>
      <c r="AQ4" s="7"/>
      <c r="AR4" s="14"/>
      <c r="AS4" s="14"/>
      <c r="AT4" s="7"/>
      <c r="AU4" s="9"/>
    </row>
    <row r="5" spans="1:47" ht="12" thickBot="1" x14ac:dyDescent="0.25">
      <c r="A5" s="105" t="s">
        <v>1071</v>
      </c>
      <c r="B5" s="114">
        <f>_xll.qlCalendarAdvance(Calendar,B$2,A5)</f>
        <v>43126</v>
      </c>
      <c r="C5" s="202" t="e">
        <f ca="1">_xll.qlOptionletVTSVolatility('EUR TermStructures'!$F$41,$B5,C$3)</f>
        <v>#VALUE!</v>
      </c>
      <c r="D5" s="202" t="e">
        <f ca="1">_xll.qlOptionletVTSVolatility('EUR TermStructures'!$F$41,$B5,D$3)</f>
        <v>#VALUE!</v>
      </c>
      <c r="E5" s="202" t="e">
        <f ca="1">_xll.qlOptionletVTSVolatility('EUR TermStructures'!$F$41,$B5,E$3)</f>
        <v>#VALUE!</v>
      </c>
      <c r="F5" s="202" t="e">
        <f ca="1">_xll.qlOptionletVTSVolatility('EUR TermStructures'!$F$41,$B5,F$3)</f>
        <v>#VALUE!</v>
      </c>
      <c r="G5" s="202" t="e">
        <f ca="1">_xll.qlOptionletVTSVolatility('EUR TermStructures'!$F$41,$B5,G$3)</f>
        <v>#VALUE!</v>
      </c>
      <c r="H5" s="202" t="e">
        <f ca="1">_xll.qlOptionletVTSVolatility('EUR TermStructures'!$F$41,$B5,H$3)</f>
        <v>#VALUE!</v>
      </c>
      <c r="I5" s="202"/>
      <c r="J5" s="202"/>
      <c r="K5">
        <f ca="1">_xll.qlCapFloorTermVTSVolatility2('EUR TermStructures'!F$9,A5,C$3,TRUE)</f>
        <v>1.1300000000000001E-3</v>
      </c>
      <c r="L5" s="110" t="e">
        <f ca="1">_xll.qlCapFloorImpliedVolatility(O5,M5,"eonia",,,,,,"Normal")</f>
        <v>#VALUE!</v>
      </c>
      <c r="M5" s="1" t="e">
        <f ca="1">_xll.qlInstrumentNPV(O5,N5)</f>
        <v>#NUM!</v>
      </c>
      <c r="N5" t="e">
        <f ca="1">_xll.qlInstrumentSetPricingEngine(O5,N$3)</f>
        <v>#VALUE!</v>
      </c>
      <c r="O5" t="str">
        <f>_xll.qlCapFloor(,"Floor",Q5,H$3)</f>
        <v>obj_00270#0004</v>
      </c>
      <c r="Q5" s="10" t="str">
        <f>_xll.qlIborLeg(S5,T5,U5,V5,W5,X5,Y5,Z5,AA5,AB5,AC5,AD5,AE5,AF22)</f>
        <v>obj_0026e#0004</v>
      </c>
      <c r="R5" s="11" t="str">
        <f>_xll.ohRangeRetrieveError(Q5)</f>
        <v/>
      </c>
      <c r="S5" s="6"/>
      <c r="T5" s="7" t="s">
        <v>39</v>
      </c>
      <c r="U5" s="25">
        <v>1000000</v>
      </c>
      <c r="V5" s="7" t="str">
        <f t="shared" ref="V5:V9" si="1">AG5</f>
        <v>obj_0005f#0005</v>
      </c>
      <c r="W5" s="7"/>
      <c r="X5" s="7"/>
      <c r="Y5" s="7" t="s">
        <v>14</v>
      </c>
      <c r="Z5" s="8"/>
      <c r="AA5" s="7"/>
      <c r="AB5" s="103" t="s">
        <v>992</v>
      </c>
      <c r="AC5" s="8"/>
      <c r="AD5" s="8"/>
      <c r="AE5" s="7"/>
      <c r="AF5">
        <f>_xll.qlScheduleSize(AG5)</f>
        <v>2</v>
      </c>
      <c r="AG5" s="10" t="str">
        <f>_xll.qlSchedule(AI5,AJ5,AK5,AL5,AM5,AN5,AO5,AP5,AQ5,AR5,AS5,AT5,AU5)</f>
        <v>obj_0005f#0005</v>
      </c>
      <c r="AH5" s="11" t="str">
        <f>_xll.ohRangeRetrieveError(AG5)</f>
        <v/>
      </c>
      <c r="AI5" s="104"/>
      <c r="AJ5" s="114">
        <f>_xll.qlCalendarAdvance(Calendar,AJ$2,A5)</f>
        <v>43126</v>
      </c>
      <c r="AK5" s="114">
        <f>_xll.qlCalendarAdvance(Calendar,AJ5,"6M",)</f>
        <v>43307</v>
      </c>
      <c r="AL5" s="103" t="s">
        <v>38</v>
      </c>
      <c r="AM5" s="7" t="s">
        <v>10</v>
      </c>
      <c r="AN5" s="7" t="s">
        <v>39</v>
      </c>
      <c r="AO5" s="7" t="s">
        <v>39</v>
      </c>
      <c r="AP5" s="103" t="s">
        <v>289</v>
      </c>
      <c r="AQ5" s="7"/>
      <c r="AR5" s="14"/>
      <c r="AS5" s="14"/>
      <c r="AT5" s="7"/>
      <c r="AU5" s="9"/>
    </row>
    <row r="6" spans="1:47" ht="12" thickBot="1" x14ac:dyDescent="0.25">
      <c r="A6" s="105" t="s">
        <v>1506</v>
      </c>
      <c r="B6" s="114">
        <f>_xll.qlCalendarAdvance(Calendar,B$2,A6)</f>
        <v>43307</v>
      </c>
      <c r="C6" s="202" t="e">
        <f ca="1">_xll.qlOptionletVTSVolatility('EUR TermStructures'!$F$41,$B6,C$3)</f>
        <v>#VALUE!</v>
      </c>
      <c r="D6" s="202" t="e">
        <f ca="1">_xll.qlOptionletVTSVolatility('EUR TermStructures'!$F$41,$B6,D$3)</f>
        <v>#VALUE!</v>
      </c>
      <c r="E6" s="202" t="e">
        <f ca="1">_xll.qlOptionletVTSVolatility('EUR TermStructures'!$F$41,$B6,E$3)</f>
        <v>#VALUE!</v>
      </c>
      <c r="F6" s="202" t="e">
        <f ca="1">_xll.qlOptionletVTSVolatility('EUR TermStructures'!$F$41,$B6,F$3)</f>
        <v>#VALUE!</v>
      </c>
      <c r="G6" s="202" t="e">
        <f ca="1">_xll.qlOptionletVTSVolatility('EUR TermStructures'!$F$41,$B6,G$3)</f>
        <v>#VALUE!</v>
      </c>
      <c r="H6" s="202" t="e">
        <f ca="1">_xll.qlOptionletVTSVolatility('EUR TermStructures'!$F$41,$B6,H$3)</f>
        <v>#VALUE!</v>
      </c>
      <c r="I6" s="202"/>
      <c r="J6" s="202"/>
      <c r="K6">
        <f ca="1">_xll.qlCapFloorTermVTSVolatility2('EUR TermStructures'!F$9,A6,C$3,TRUE)</f>
        <v>1.5199999999999999E-3</v>
      </c>
      <c r="L6" s="110" t="e">
        <f ca="1">_xll.qlCapFloorImpliedVolatility(O6,M6,"eonia",,,,,,"Normal")</f>
        <v>#VALUE!</v>
      </c>
      <c r="M6" s="1" t="e">
        <f ca="1">_xll.qlInstrumentNPV(O6,N6)</f>
        <v>#NUM!</v>
      </c>
      <c r="N6" t="e">
        <f ca="1">_xll.qlInstrumentSetPricingEngine(O6,N$3)</f>
        <v>#VALUE!</v>
      </c>
      <c r="O6" t="str">
        <f>_xll.qlCapFloor(,"Floor",Q6,H$3)</f>
        <v>obj_0026f#0004</v>
      </c>
      <c r="Q6" s="10" t="str">
        <f>_xll.qlIborLeg(S6,T6,U6,V6,W6,X6,Y6,Z6,AA6,AB6,AC6,AD6,AE6,AF23)</f>
        <v>obj_00262#0004</v>
      </c>
      <c r="R6" s="11" t="str">
        <f>_xll.ohRangeRetrieveError(Q6)</f>
        <v/>
      </c>
      <c r="S6" s="6"/>
      <c r="T6" s="7" t="s">
        <v>39</v>
      </c>
      <c r="U6" s="25">
        <v>1000000</v>
      </c>
      <c r="V6" s="7" t="str">
        <f t="shared" si="1"/>
        <v>obj_00061#0005</v>
      </c>
      <c r="W6" s="7"/>
      <c r="X6" s="7"/>
      <c r="Y6" s="7" t="s">
        <v>14</v>
      </c>
      <c r="Z6" s="8"/>
      <c r="AA6" s="7"/>
      <c r="AB6" s="103" t="s">
        <v>992</v>
      </c>
      <c r="AC6" s="8"/>
      <c r="AD6" s="8"/>
      <c r="AE6" s="7"/>
      <c r="AF6">
        <f>_xll.qlScheduleSize(AG6)</f>
        <v>2</v>
      </c>
      <c r="AG6" s="10" t="str">
        <f>_xll.qlSchedule(AI6,AJ6,AK6,AL6,AM6,AN6,AO6,AP6,AQ6,AR6,AS6,AT6,AU6)</f>
        <v>obj_00061#0005</v>
      </c>
      <c r="AH6" s="11" t="str">
        <f>_xll.ohRangeRetrieveError(AG6)</f>
        <v/>
      </c>
      <c r="AI6" s="104"/>
      <c r="AJ6" s="114">
        <f>_xll.qlCalendarAdvance(Calendar,AJ$2,A6)</f>
        <v>43307</v>
      </c>
      <c r="AK6" s="114">
        <f>_xll.qlCalendarAdvance(Calendar,AJ6,"6M",)</f>
        <v>43493</v>
      </c>
      <c r="AL6" s="103" t="s">
        <v>38</v>
      </c>
      <c r="AM6" s="7" t="s">
        <v>10</v>
      </c>
      <c r="AN6" s="7" t="s">
        <v>39</v>
      </c>
      <c r="AO6" s="7" t="s">
        <v>39</v>
      </c>
      <c r="AP6" s="103" t="s">
        <v>289</v>
      </c>
      <c r="AQ6" s="7"/>
      <c r="AR6" s="14"/>
      <c r="AS6" s="14"/>
      <c r="AT6" s="7"/>
      <c r="AU6" s="9"/>
    </row>
    <row r="7" spans="1:47" ht="12" thickBot="1" x14ac:dyDescent="0.25">
      <c r="A7" s="105" t="s">
        <v>157</v>
      </c>
      <c r="B7" s="114">
        <f>_xll.qlCalendarAdvance(Calendar,B$2,A7)</f>
        <v>43493</v>
      </c>
      <c r="C7" s="202" t="e">
        <f ca="1">_xll.qlOptionletVTSVolatility('EUR TermStructures'!$F$41,$B7,C$3)</f>
        <v>#VALUE!</v>
      </c>
      <c r="D7" s="202" t="e">
        <f ca="1">_xll.qlOptionletVTSVolatility('EUR TermStructures'!$F$41,$B7,D$3)</f>
        <v>#VALUE!</v>
      </c>
      <c r="E7" s="202" t="e">
        <f ca="1">_xll.qlOptionletVTSVolatility('EUR TermStructures'!$F$41,$B7,E$3)</f>
        <v>#VALUE!</v>
      </c>
      <c r="F7" s="202" t="e">
        <f ca="1">_xll.qlOptionletVTSVolatility('EUR TermStructures'!$F$41,$B7,F$3)</f>
        <v>#VALUE!</v>
      </c>
      <c r="G7" s="202" t="e">
        <f ca="1">_xll.qlOptionletVTSVolatility('EUR TermStructures'!$F$41,$B7,G$3)</f>
        <v>#VALUE!</v>
      </c>
      <c r="H7" s="202" t="e">
        <f ca="1">_xll.qlOptionletVTSVolatility('EUR TermStructures'!$F$41,$B7,H$3)</f>
        <v>#VALUE!</v>
      </c>
      <c r="I7" s="202"/>
      <c r="J7" s="202" t="e">
        <f ca="1">_xll.qlOptionletVTSVolatility('EUR TermStructures'!$F$41,$B7,J$3)</f>
        <v>#VALUE!</v>
      </c>
      <c r="K7">
        <f ca="1">_xll.qlCapFloorTermVTSVolatility2('EUR TermStructures'!F$9,A7,C$3,TRUE)</f>
        <v>1.9100000000000002E-3</v>
      </c>
      <c r="L7" s="110" t="e">
        <f ca="1">_xll.qlCapFloorImpliedVolatility(O7,M7,"eonia",,,,,,"Normal")</f>
        <v>#VALUE!</v>
      </c>
      <c r="M7" s="1" t="e">
        <f ca="1">_xll.qlInstrumentNPV(O7,N7)</f>
        <v>#NUM!</v>
      </c>
      <c r="N7" t="e">
        <f ca="1">_xll.qlInstrumentSetPricingEngine(O7,N$3)</f>
        <v>#VALUE!</v>
      </c>
      <c r="O7" t="str">
        <f>_xll.qlCapFloor(,"Floor",Q7,H$3)</f>
        <v>obj_00272#0004</v>
      </c>
      <c r="Q7" s="10" t="str">
        <f>_xll.qlIborLeg(S7,T7,U7,V7,W7,X7,Y7,Z7,AA7,AB7,AC7,AD7,AE7,AF24)</f>
        <v>obj_00267#0004</v>
      </c>
      <c r="R7" s="11" t="str">
        <f>_xll.ohRangeRetrieveError(Q7)</f>
        <v/>
      </c>
      <c r="S7" s="6"/>
      <c r="T7" s="7" t="s">
        <v>39</v>
      </c>
      <c r="U7" s="25">
        <v>1000000</v>
      </c>
      <c r="V7" s="7" t="str">
        <f t="shared" si="1"/>
        <v>obj_00062#0005</v>
      </c>
      <c r="W7" s="7"/>
      <c r="X7" s="7"/>
      <c r="Y7" s="7" t="s">
        <v>14</v>
      </c>
      <c r="Z7" s="8"/>
      <c r="AA7" s="7"/>
      <c r="AB7" s="103" t="s">
        <v>992</v>
      </c>
      <c r="AC7" s="8"/>
      <c r="AD7" s="8"/>
      <c r="AE7" s="7"/>
      <c r="AF7">
        <f>_xll.qlScheduleSize(AG7)</f>
        <v>2</v>
      </c>
      <c r="AG7" s="10" t="str">
        <f>_xll.qlSchedule(AI7,AJ7,AK7,AL7,AM7,AN7,AO7,AP7,AQ7,AR7,AS7,AT7,AU7)</f>
        <v>obj_00062#0005</v>
      </c>
      <c r="AH7" s="11" t="str">
        <f>_xll.ohRangeRetrieveError(AG7)</f>
        <v/>
      </c>
      <c r="AI7" s="104"/>
      <c r="AJ7" s="114">
        <f>_xll.qlCalendarAdvance(Calendar,AJ$2,A7)</f>
        <v>43493</v>
      </c>
      <c r="AK7" s="114">
        <f>_xll.qlCalendarAdvance(Calendar,AJ7,"6M",)</f>
        <v>43675</v>
      </c>
      <c r="AL7" s="103" t="s">
        <v>38</v>
      </c>
      <c r="AM7" s="7" t="s">
        <v>10</v>
      </c>
      <c r="AN7" s="7" t="s">
        <v>39</v>
      </c>
      <c r="AO7" s="7" t="s">
        <v>39</v>
      </c>
      <c r="AP7" s="103" t="s">
        <v>289</v>
      </c>
      <c r="AQ7" s="7"/>
      <c r="AR7" s="14"/>
      <c r="AS7" s="14"/>
      <c r="AT7" s="7"/>
      <c r="AU7" s="9"/>
    </row>
    <row r="8" spans="1:47" ht="12" thickBot="1" x14ac:dyDescent="0.25">
      <c r="A8" s="105" t="s">
        <v>1518</v>
      </c>
      <c r="B8" s="114">
        <f>_xll.qlCalendarAdvance(Calendar,B$2,A8)</f>
        <v>43672</v>
      </c>
      <c r="C8" s="202" t="e">
        <f ca="1">_xll.qlOptionletVTSVolatility('EUR TermStructures'!$F$41,$B8,C$3)</f>
        <v>#VALUE!</v>
      </c>
      <c r="D8" s="202" t="e">
        <f ca="1">_xll.qlOptionletVTSVolatility('EUR TermStructures'!$F$41,$B8,D$3)</f>
        <v>#VALUE!</v>
      </c>
      <c r="E8" s="202" t="e">
        <f ca="1">_xll.qlOptionletVTSVolatility('EUR TermStructures'!$F$41,$B8,E$3)</f>
        <v>#VALUE!</v>
      </c>
      <c r="F8" s="202" t="e">
        <f ca="1">_xll.qlOptionletVTSVolatility('EUR TermStructures'!$F$41,$B8,F$3)</f>
        <v>#VALUE!</v>
      </c>
      <c r="G8" s="202" t="e">
        <f ca="1">_xll.qlOptionletVTSVolatility('EUR TermStructures'!$F$41,$B8,G$3)</f>
        <v>#VALUE!</v>
      </c>
      <c r="H8" s="202" t="e">
        <f ca="1">_xll.qlOptionletVTSVolatility('EUR TermStructures'!$F$41,$B8,H$3)</f>
        <v>#VALUE!</v>
      </c>
      <c r="I8" s="202"/>
      <c r="J8" s="202" t="e">
        <f ca="1">_xll.qlOptionletVTSVolatility('EUR TermStructures'!$F$41,$B8,J$3)</f>
        <v>#VALUE!</v>
      </c>
      <c r="K8">
        <f ca="1">_xll.qlCapFloorTermVTSVolatility2('EUR TermStructures'!F$9,A8,C$3,TRUE)</f>
        <v>2.366055150112466E-3</v>
      </c>
      <c r="L8" s="110" t="e">
        <f ca="1">_xll.qlCapFloorImpliedVolatility(O8,M8,"eonia",,,,,,"Normal")</f>
        <v>#VALUE!</v>
      </c>
      <c r="M8" s="1" t="e">
        <f ca="1">_xll.qlInstrumentNPV(O8,N8)</f>
        <v>#NUM!</v>
      </c>
      <c r="N8" t="e">
        <f ca="1">_xll.qlInstrumentSetPricingEngine(O8,N$3)</f>
        <v>#VALUE!</v>
      </c>
      <c r="O8" t="str">
        <f>_xll.qlCapFloor(,"Floor",Q8,H$3)</f>
        <v>obj_00274#0004</v>
      </c>
      <c r="Q8" s="10" t="str">
        <f>_xll.qlIborLeg(S8,T8,U8,V8,W8,X8,Y8,Z8,AA8,AB8,AC8,AD8,AE8,AF25)</f>
        <v>obj_0025c#0004</v>
      </c>
      <c r="R8" s="11" t="str">
        <f>_xll.ohRangeRetrieveError(Q8)</f>
        <v/>
      </c>
      <c r="S8" s="6"/>
      <c r="T8" s="7" t="s">
        <v>39</v>
      </c>
      <c r="U8" s="25">
        <v>1000000</v>
      </c>
      <c r="V8" s="7" t="str">
        <f t="shared" si="1"/>
        <v>obj_0005d#0005</v>
      </c>
      <c r="W8" s="7"/>
      <c r="X8" s="7"/>
      <c r="Y8" s="7" t="s">
        <v>14</v>
      </c>
      <c r="Z8" s="8"/>
      <c r="AA8" s="7"/>
      <c r="AB8" s="103" t="s">
        <v>992</v>
      </c>
      <c r="AC8" s="8"/>
      <c r="AD8" s="8"/>
      <c r="AE8" s="7"/>
      <c r="AF8">
        <f>_xll.qlScheduleSize(AG8)</f>
        <v>2</v>
      </c>
      <c r="AG8" s="10" t="str">
        <f>_xll.qlSchedule(AI8,AJ8,AK8,AL8,AM8,AN8,AO8,AP8,AQ8,AR8,AS8,AT8,AU8)</f>
        <v>obj_0005d#0005</v>
      </c>
      <c r="AH8" s="11" t="str">
        <f>_xll.ohRangeRetrieveError(AG8)</f>
        <v/>
      </c>
      <c r="AI8" s="104"/>
      <c r="AJ8" s="114">
        <f>_xll.qlCalendarAdvance(Calendar,AJ$2,A8)</f>
        <v>43672</v>
      </c>
      <c r="AK8" s="114">
        <f>_xll.qlCalendarAdvance(Calendar,AJ8,"6M",)</f>
        <v>43857</v>
      </c>
      <c r="AL8" s="103" t="s">
        <v>38</v>
      </c>
      <c r="AM8" s="7" t="s">
        <v>10</v>
      </c>
      <c r="AN8" s="7" t="s">
        <v>39</v>
      </c>
      <c r="AO8" s="7" t="s">
        <v>39</v>
      </c>
      <c r="AP8" s="103" t="s">
        <v>289</v>
      </c>
      <c r="AQ8" s="7"/>
      <c r="AR8" s="14"/>
      <c r="AS8" s="14"/>
      <c r="AT8" s="7"/>
      <c r="AU8" s="9"/>
    </row>
    <row r="9" spans="1:47" ht="12" thickBot="1" x14ac:dyDescent="0.25">
      <c r="A9" s="105" t="s">
        <v>99</v>
      </c>
      <c r="B9" s="114">
        <f>_xll.qlCalendarAdvance(Calendar,B$2,A9)</f>
        <v>43857</v>
      </c>
      <c r="C9" s="202" t="e">
        <f ca="1">_xll.qlOptionletVTSVolatility('EUR TermStructures'!$F$41,$B9,C$3)</f>
        <v>#VALUE!</v>
      </c>
      <c r="D9" s="202" t="e">
        <f ca="1">_xll.qlOptionletVTSVolatility('EUR TermStructures'!$F$41,$B9,D$3)</f>
        <v>#VALUE!</v>
      </c>
      <c r="E9" s="202" t="e">
        <f ca="1">_xll.qlOptionletVTSVolatility('EUR TermStructures'!$F$41,$B9,E$3)</f>
        <v>#VALUE!</v>
      </c>
      <c r="F9" s="202" t="e">
        <f ca="1">_xll.qlOptionletVTSVolatility('EUR TermStructures'!$F$41,$B9,F$3)</f>
        <v>#VALUE!</v>
      </c>
      <c r="G9" s="202" t="e">
        <f ca="1">_xll.qlOptionletVTSVolatility('EUR TermStructures'!$F$41,$B9,G$3)</f>
        <v>#VALUE!</v>
      </c>
      <c r="H9" s="202" t="e">
        <f ca="1">_xll.qlOptionletVTSVolatility('EUR TermStructures'!$F$41,$B9,H$3)</f>
        <v>#VALUE!</v>
      </c>
      <c r="I9" s="202"/>
      <c r="J9" s="202" t="e">
        <f ca="1">_xll.qlOptionletVTSVolatility('EUR TermStructures'!$F$41,$B9,J$3)</f>
        <v>#VALUE!</v>
      </c>
      <c r="K9">
        <f ca="1">_xll.qlCapFloorTermVTSVolatility2('EUR TermStructures'!F$9,A9,C$3,TRUE)</f>
        <v>2.8399999999999996E-3</v>
      </c>
      <c r="L9" s="110" t="e">
        <f ca="1">_xll.qlCapFloorImpliedVolatility(O9,M9,"eonia",,,,,,"Normal")</f>
        <v>#VALUE!</v>
      </c>
      <c r="M9" s="1" t="e">
        <f ca="1">_xll.qlInstrumentNPV(O9,N9)</f>
        <v>#NUM!</v>
      </c>
      <c r="N9" t="e">
        <f ca="1">_xll.qlInstrumentSetPricingEngine(O9,N$3)</f>
        <v>#VALUE!</v>
      </c>
      <c r="O9" t="str">
        <f>_xll.qlCapFloor(,"Floor",Q9,H$3)</f>
        <v>obj_00273#0004</v>
      </c>
      <c r="Q9" s="10" t="str">
        <f>_xll.qlIborLeg(S9,T9,U9,V9,W9,X9,Y9,Z9,AA9,AB9,AC9,AD9,AE9,AF26)</f>
        <v>obj_0025b#0004</v>
      </c>
      <c r="R9" s="11" t="str">
        <f>_xll.ohRangeRetrieveError(Q9)</f>
        <v/>
      </c>
      <c r="S9" s="6"/>
      <c r="T9" s="7" t="s">
        <v>39</v>
      </c>
      <c r="U9" s="25">
        <v>1000000</v>
      </c>
      <c r="V9" s="7" t="str">
        <f t="shared" si="1"/>
        <v>obj_00060#0005</v>
      </c>
      <c r="W9" s="7"/>
      <c r="X9" s="7"/>
      <c r="Y9" s="7" t="s">
        <v>14</v>
      </c>
      <c r="Z9" s="8"/>
      <c r="AA9" s="7"/>
      <c r="AB9" s="103" t="s">
        <v>992</v>
      </c>
      <c r="AC9" s="8"/>
      <c r="AD9" s="8"/>
      <c r="AE9" s="7"/>
      <c r="AF9">
        <f>_xll.qlScheduleSize(AG9)</f>
        <v>2</v>
      </c>
      <c r="AG9" s="10" t="str">
        <f>_xll.qlSchedule(AI9,AJ9,AK9,AL9,AM9,AN9,AO9,AP9,AQ9,AR9,AS9,AT9,AU9)</f>
        <v>obj_00060#0005</v>
      </c>
      <c r="AH9" s="11" t="str">
        <f>_xll.ohRangeRetrieveError(AG9)</f>
        <v/>
      </c>
      <c r="AI9" s="104"/>
      <c r="AJ9" s="114">
        <f>_xll.qlCalendarAdvance(Calendar,AJ$2,A9)</f>
        <v>43857</v>
      </c>
      <c r="AK9" s="114">
        <f>_xll.qlCalendarAdvance(Calendar,AJ9,"6M",)</f>
        <v>44039</v>
      </c>
      <c r="AL9" s="103" t="s">
        <v>38</v>
      </c>
      <c r="AM9" s="7" t="s">
        <v>10</v>
      </c>
      <c r="AN9" s="7" t="s">
        <v>39</v>
      </c>
      <c r="AO9" s="7" t="s">
        <v>39</v>
      </c>
      <c r="AP9" s="103" t="s">
        <v>289</v>
      </c>
      <c r="AQ9" s="7"/>
      <c r="AR9" s="14"/>
      <c r="AS9" s="14"/>
      <c r="AT9" s="7"/>
      <c r="AU9" s="9"/>
    </row>
    <row r="10" spans="1:47" ht="12" thickBot="1" x14ac:dyDescent="0.25">
      <c r="A10" s="105" t="s">
        <v>1519</v>
      </c>
      <c r="B10" s="114">
        <f>_xll.qlCalendarAdvance(Calendar,B$2,A10)</f>
        <v>44039</v>
      </c>
      <c r="C10" s="202" t="e">
        <f ca="1">_xll.qlOptionletVTSVolatility('EUR TermStructures'!$F$41,$B10,C$3)</f>
        <v>#VALUE!</v>
      </c>
      <c r="D10" s="202" t="e">
        <f ca="1">_xll.qlOptionletVTSVolatility('EUR TermStructures'!$F$41,$B10,D$3)</f>
        <v>#VALUE!</v>
      </c>
      <c r="E10" s="202" t="e">
        <f ca="1">_xll.qlOptionletVTSVolatility('EUR TermStructures'!$F$41,$B10,E$3)</f>
        <v>#VALUE!</v>
      </c>
      <c r="F10" s="202" t="e">
        <f ca="1">_xll.qlOptionletVTSVolatility('EUR TermStructures'!$F$41,$B10,F$3)</f>
        <v>#VALUE!</v>
      </c>
      <c r="G10" s="202" t="e">
        <f ca="1">_xll.qlOptionletVTSVolatility('EUR TermStructures'!$F$41,$B10,G$3)</f>
        <v>#VALUE!</v>
      </c>
      <c r="H10" s="202" t="e">
        <f ca="1">_xll.qlOptionletVTSVolatility('EUR TermStructures'!$F$41,$B10,H$3)</f>
        <v>#VALUE!</v>
      </c>
      <c r="I10" s="202"/>
      <c r="J10" s="202" t="e">
        <f ca="1">_xll.qlOptionletVTSVolatility('EUR TermStructures'!$F$41,$B10,J$3)</f>
        <v>#VALUE!</v>
      </c>
      <c r="L10" s="110" t="e">
        <f ca="1">_xll.qlCapFloorImpliedVolatility(O10,M10,"eonia",,,,,,"Normal")</f>
        <v>#VALUE!</v>
      </c>
      <c r="M10" s="1" t="e">
        <f ca="1">_xll.qlInstrumentNPV(O10,N10)</f>
        <v>#NUM!</v>
      </c>
      <c r="N10" t="e">
        <f ca="1">_xll.qlInstrumentSetPricingEngine(O10,N$3)</f>
        <v>#VALUE!</v>
      </c>
      <c r="O10" t="str">
        <f>_xll.qlCapFloor(,"Floor",Q10,H$3)</f>
        <v>obj_00268#0004</v>
      </c>
      <c r="Q10" s="10" t="str">
        <f>_xll.qlIborLeg(S10,T10,U10,V10,W10,X10,Y10,Z10,AA10,AB10,AC10,AD10,AE10,AF27)</f>
        <v>obj_00240#0004</v>
      </c>
      <c r="R10" s="11" t="str">
        <f>_xll.ohRangeRetrieveError(Q10)</f>
        <v/>
      </c>
      <c r="S10" s="6"/>
      <c r="T10" s="7" t="s">
        <v>39</v>
      </c>
      <c r="U10" s="25">
        <v>1000000</v>
      </c>
      <c r="V10" s="7" t="str">
        <f t="shared" ref="V10:V26" si="2">AG10</f>
        <v>obj_00048#0006</v>
      </c>
      <c r="W10" s="7"/>
      <c r="X10" s="7"/>
      <c r="Y10" s="7" t="s">
        <v>14</v>
      </c>
      <c r="Z10" s="8"/>
      <c r="AA10" s="7"/>
      <c r="AB10" s="103" t="s">
        <v>992</v>
      </c>
      <c r="AC10" s="8"/>
      <c r="AD10" s="8"/>
      <c r="AE10" s="7"/>
      <c r="AF10">
        <f>_xll.qlScheduleSize(AG10)</f>
        <v>2</v>
      </c>
      <c r="AG10" s="10" t="str">
        <f>_xll.qlSchedule(AI10,AJ10,AK10,AL10,AM10,AN10,AO10,AP10,AQ10,AR10,AS10,AT10,AU10)</f>
        <v>obj_00048#0006</v>
      </c>
      <c r="AH10" s="11" t="str">
        <f>_xll.ohRangeRetrieveError(AG10)</f>
        <v/>
      </c>
      <c r="AI10" s="104"/>
      <c r="AJ10" s="114">
        <f>_xll.qlCalendarAdvance(Calendar,AJ$2,A10)</f>
        <v>44039</v>
      </c>
      <c r="AK10" s="114">
        <f>_xll.qlCalendarAdvance(Calendar,AJ10,"6M",)</f>
        <v>44223</v>
      </c>
      <c r="AL10" s="103" t="s">
        <v>38</v>
      </c>
      <c r="AM10" s="7" t="s">
        <v>10</v>
      </c>
      <c r="AN10" s="7" t="s">
        <v>39</v>
      </c>
      <c r="AO10" s="7" t="s">
        <v>39</v>
      </c>
      <c r="AP10" s="103" t="s">
        <v>289</v>
      </c>
      <c r="AQ10" s="7"/>
      <c r="AR10" s="14"/>
      <c r="AS10" s="14"/>
      <c r="AT10" s="7"/>
      <c r="AU10" s="9"/>
    </row>
    <row r="11" spans="1:47" ht="12" thickBot="1" x14ac:dyDescent="0.25">
      <c r="A11" s="105" t="s">
        <v>101</v>
      </c>
      <c r="B11" s="114">
        <f>_xll.qlCalendarAdvance(Calendar,B$2,A11)</f>
        <v>44222</v>
      </c>
      <c r="C11" s="202" t="e">
        <f ca="1">_xll.qlOptionletVTSVolatility('EUR TermStructures'!$F$41,$B11,C$3)</f>
        <v>#VALUE!</v>
      </c>
      <c r="D11" s="202" t="e">
        <f ca="1">_xll.qlOptionletVTSVolatility('EUR TermStructures'!$F$41,$B11,D$3)</f>
        <v>#VALUE!</v>
      </c>
      <c r="E11" s="202" t="e">
        <f ca="1">_xll.qlOptionletVTSVolatility('EUR TermStructures'!$F$41,$B11,E$3)</f>
        <v>#VALUE!</v>
      </c>
      <c r="F11" s="202" t="e">
        <f ca="1">_xll.qlOptionletVTSVolatility('EUR TermStructures'!$F$41,$B11,F$3)</f>
        <v>#VALUE!</v>
      </c>
      <c r="G11" s="202" t="e">
        <f ca="1">_xll.qlOptionletVTSVolatility('EUR TermStructures'!$F$41,$B11,G$3)</f>
        <v>#VALUE!</v>
      </c>
      <c r="H11" s="202" t="e">
        <f ca="1">_xll.qlOptionletVTSVolatility('EUR TermStructures'!$F$41,$B11,H$3)</f>
        <v>#VALUE!</v>
      </c>
      <c r="I11" s="202"/>
      <c r="J11" s="202" t="e">
        <f ca="1">_xll.qlOptionletVTSVolatility('EUR TermStructures'!$F$41,$B11,J$3)</f>
        <v>#VALUE!</v>
      </c>
      <c r="L11" s="110" t="e">
        <f ca="1">_xll.qlCapFloorImpliedVolatility(O11,M11,"eonia",,,,,,"Normal")</f>
        <v>#VALUE!</v>
      </c>
      <c r="M11" s="1" t="e">
        <f ca="1">_xll.qlInstrumentNPV(O11,N11)</f>
        <v>#NUM!</v>
      </c>
      <c r="N11" t="e">
        <f ca="1">_xll.qlInstrumentSetPricingEngine(O11,N$3)</f>
        <v>#VALUE!</v>
      </c>
      <c r="O11" t="str">
        <f>_xll.qlCapFloor(,"Floor",Q11,H$3)</f>
        <v>obj_0025d#0004</v>
      </c>
      <c r="Q11" s="10" t="str">
        <f>_xll.qlIborLeg(S11,T11,U11,V11,W11,X11,Y11,Z11,AA11,AB11,AC11,AD11,AE11,AF28)</f>
        <v>obj_0024b#0004</v>
      </c>
      <c r="R11" s="11" t="str">
        <f>_xll.ohRangeRetrieveError(Q11)</f>
        <v/>
      </c>
      <c r="S11" s="6"/>
      <c r="T11" s="7" t="s">
        <v>39</v>
      </c>
      <c r="U11" s="25">
        <v>1000000</v>
      </c>
      <c r="V11" s="7" t="str">
        <f t="shared" si="2"/>
        <v>obj_00050#0006</v>
      </c>
      <c r="W11" s="7"/>
      <c r="X11" s="7"/>
      <c r="Y11" s="7" t="s">
        <v>14</v>
      </c>
      <c r="Z11" s="8"/>
      <c r="AA11" s="7"/>
      <c r="AB11" s="103" t="s">
        <v>992</v>
      </c>
      <c r="AC11" s="8"/>
      <c r="AD11" s="8"/>
      <c r="AE11" s="7"/>
      <c r="AF11">
        <f>_xll.qlScheduleSize(AG11)</f>
        <v>2</v>
      </c>
      <c r="AG11" s="10" t="str">
        <f>_xll.qlSchedule(AI11,AJ11,AK11,AL11,AM11,AN11,AO11,AP11,AQ11,AR11,AS11,AT11,AU11)</f>
        <v>obj_00050#0006</v>
      </c>
      <c r="AH11" s="11" t="str">
        <f>_xll.ohRangeRetrieveError(AG11)</f>
        <v/>
      </c>
      <c r="AI11" s="104"/>
      <c r="AJ11" s="114">
        <f>_xll.qlCalendarAdvance(Calendar,AJ$2,A11)</f>
        <v>44222</v>
      </c>
      <c r="AK11" s="114">
        <f>_xll.qlCalendarAdvance(Calendar,AJ11,"6M",)</f>
        <v>44403</v>
      </c>
      <c r="AL11" s="103" t="s">
        <v>38</v>
      </c>
      <c r="AM11" s="7" t="s">
        <v>10</v>
      </c>
      <c r="AN11" s="7" t="s">
        <v>39</v>
      </c>
      <c r="AO11" s="7" t="s">
        <v>39</v>
      </c>
      <c r="AP11" s="103" t="s">
        <v>289</v>
      </c>
      <c r="AQ11" s="7"/>
      <c r="AR11" s="14"/>
      <c r="AS11" s="14"/>
      <c r="AT11" s="7"/>
      <c r="AU11" s="9"/>
    </row>
    <row r="12" spans="1:47" ht="12" thickBot="1" x14ac:dyDescent="0.25">
      <c r="A12" s="105" t="s">
        <v>1520</v>
      </c>
      <c r="B12" s="114">
        <f>_xll.qlCalendarAdvance(Calendar,B$2,A12)</f>
        <v>44403</v>
      </c>
      <c r="C12" s="202" t="e">
        <f ca="1">_xll.qlOptionletVTSVolatility('EUR TermStructures'!$F$41,$B12,C$3)</f>
        <v>#VALUE!</v>
      </c>
      <c r="D12" s="202" t="e">
        <f ca="1">_xll.qlOptionletVTSVolatility('EUR TermStructures'!$F$41,$B12,D$3)</f>
        <v>#VALUE!</v>
      </c>
      <c r="E12" s="202" t="e">
        <f ca="1">_xll.qlOptionletVTSVolatility('EUR TermStructures'!$F$41,$B12,E$3)</f>
        <v>#VALUE!</v>
      </c>
      <c r="F12" s="202" t="e">
        <f ca="1">_xll.qlOptionletVTSVolatility('EUR TermStructures'!$F$41,$B12,F$3)</f>
        <v>#VALUE!</v>
      </c>
      <c r="G12" s="202" t="e">
        <f ca="1">_xll.qlOptionletVTSVolatility('EUR TermStructures'!$F$41,$B12,G$3)</f>
        <v>#VALUE!</v>
      </c>
      <c r="H12" s="202" t="e">
        <f ca="1">_xll.qlOptionletVTSVolatility('EUR TermStructures'!$F$41,$B12,H$3)</f>
        <v>#VALUE!</v>
      </c>
      <c r="I12" s="202"/>
      <c r="J12" s="202" t="e">
        <f ca="1">_xll.qlOptionletVTSVolatility('EUR TermStructures'!$F$41,$B12,J$3)</f>
        <v>#VALUE!</v>
      </c>
      <c r="L12" s="110" t="e">
        <f ca="1">_xll.qlCapFloorImpliedVolatility(O12,M12,"eonia",,,,,,"Normal")</f>
        <v>#VALUE!</v>
      </c>
      <c r="M12" s="1" t="e">
        <f ca="1">_xll.qlInstrumentNPV(O12,N12)</f>
        <v>#NUM!</v>
      </c>
      <c r="N12" t="e">
        <f ca="1">_xll.qlInstrumentSetPricingEngine(O12,N$3)</f>
        <v>#VALUE!</v>
      </c>
      <c r="O12" t="str">
        <f>_xll.qlCapFloor(,"Floor",Q12,H$3)</f>
        <v>obj_00252#0004</v>
      </c>
      <c r="Q12" s="10" t="str">
        <f>_xll.qlIborLeg(S12,T12,U12,V12,W12,X12,Y12,Z12,AA12,AB12,AC12,AD12,AE12,AF29)</f>
        <v>obj_0024f#0004</v>
      </c>
      <c r="R12" s="11" t="str">
        <f>_xll.ohRangeRetrieveError(Q12)</f>
        <v/>
      </c>
      <c r="S12" s="6"/>
      <c r="T12" s="7" t="s">
        <v>39</v>
      </c>
      <c r="U12" s="25">
        <v>1000000</v>
      </c>
      <c r="V12" s="7" t="str">
        <f t="shared" si="2"/>
        <v>obj_00054#0006</v>
      </c>
      <c r="W12" s="7"/>
      <c r="X12" s="7"/>
      <c r="Y12" s="7" t="s">
        <v>14</v>
      </c>
      <c r="Z12" s="8"/>
      <c r="AA12" s="7"/>
      <c r="AB12" s="103" t="s">
        <v>992</v>
      </c>
      <c r="AC12" s="8"/>
      <c r="AD12" s="8"/>
      <c r="AE12" s="7"/>
      <c r="AF12">
        <f>_xll.qlScheduleSize(AG12)</f>
        <v>2</v>
      </c>
      <c r="AG12" s="10" t="str">
        <f>_xll.qlSchedule(AI12,AJ12,AK12,AL12,AM12,AN12,AO12,AP12,AQ12,AR12,AS12,AT12,AU12)</f>
        <v>obj_00054#0006</v>
      </c>
      <c r="AH12" s="11" t="str">
        <f>_xll.ohRangeRetrieveError(AG12)</f>
        <v/>
      </c>
      <c r="AI12" s="104"/>
      <c r="AJ12" s="114">
        <f>_xll.qlCalendarAdvance(Calendar,AJ$2,A12)</f>
        <v>44403</v>
      </c>
      <c r="AK12" s="114">
        <f>_xll.qlCalendarAdvance(Calendar,AJ12,"6M",)</f>
        <v>44587</v>
      </c>
      <c r="AL12" s="103" t="s">
        <v>38</v>
      </c>
      <c r="AM12" s="7" t="s">
        <v>10</v>
      </c>
      <c r="AN12" s="7" t="s">
        <v>39</v>
      </c>
      <c r="AO12" s="7" t="s">
        <v>39</v>
      </c>
      <c r="AP12" s="103" t="s">
        <v>289</v>
      </c>
      <c r="AQ12" s="7"/>
      <c r="AR12" s="14"/>
      <c r="AS12" s="14"/>
      <c r="AT12" s="7"/>
      <c r="AU12" s="9"/>
    </row>
    <row r="13" spans="1:47" ht="12" thickBot="1" x14ac:dyDescent="0.25">
      <c r="A13" s="105" t="s">
        <v>102</v>
      </c>
      <c r="B13" s="114">
        <f>_xll.qlCalendarAdvance(Calendar,B$2,A13)</f>
        <v>44587</v>
      </c>
      <c r="C13" s="202" t="e">
        <f ca="1">_xll.qlOptionletVTSVolatility('EUR TermStructures'!$F$41,$B13,C$3)</f>
        <v>#VALUE!</v>
      </c>
      <c r="D13" s="202" t="e">
        <f ca="1">_xll.qlOptionletVTSVolatility('EUR TermStructures'!$F$41,$B13,D$3)</f>
        <v>#VALUE!</v>
      </c>
      <c r="E13" s="202" t="e">
        <f ca="1">_xll.qlOptionletVTSVolatility('EUR TermStructures'!$F$41,$B13,E$3)</f>
        <v>#VALUE!</v>
      </c>
      <c r="F13" s="202" t="e">
        <f ca="1">_xll.qlOptionletVTSVolatility('EUR TermStructures'!$F$41,$B13,F$3)</f>
        <v>#VALUE!</v>
      </c>
      <c r="G13" s="202" t="e">
        <f ca="1">_xll.qlOptionletVTSVolatility('EUR TermStructures'!$F$41,$B13,G$3)</f>
        <v>#VALUE!</v>
      </c>
      <c r="H13" s="202" t="e">
        <f ca="1">_xll.qlOptionletVTSVolatility('EUR TermStructures'!$F$41,$B13,H$3)</f>
        <v>#VALUE!</v>
      </c>
      <c r="I13" s="202"/>
      <c r="J13" s="202" t="e">
        <f ca="1">_xll.qlOptionletVTSVolatility('EUR TermStructures'!$F$41,$B13,J$3)</f>
        <v>#VALUE!</v>
      </c>
      <c r="L13" s="110" t="e">
        <f ca="1">_xll.qlCapFloorImpliedVolatility(O13,M13,"eonia",,,,,,"Normal")</f>
        <v>#VALUE!</v>
      </c>
      <c r="M13" s="1" t="e">
        <f ca="1">_xll.qlInstrumentNPV(O13,N13)</f>
        <v>#NUM!</v>
      </c>
      <c r="N13" t="e">
        <f ca="1">_xll.qlInstrumentSetPricingEngine(O13,N$3)</f>
        <v>#VALUE!</v>
      </c>
      <c r="O13" t="str">
        <f>_xll.qlCapFloor(,"Floor",Q13,H$3)</f>
        <v>obj_0024d#0004</v>
      </c>
      <c r="Q13" s="10" t="str">
        <f>_xll.qlIborLeg(S13,T13,U13,V13,W13,X13,Y13,Z13,AA13,AB13,AC13,AD13,AE13,AF30)</f>
        <v>obj_0024c#0004</v>
      </c>
      <c r="R13" s="11" t="str">
        <f>_xll.ohRangeRetrieveError(Q13)</f>
        <v/>
      </c>
      <c r="S13" s="6"/>
      <c r="T13" s="7" t="s">
        <v>39</v>
      </c>
      <c r="U13" s="25">
        <v>1000000</v>
      </c>
      <c r="V13" s="7" t="str">
        <f t="shared" si="2"/>
        <v>obj_00051#0006</v>
      </c>
      <c r="W13" s="7"/>
      <c r="X13" s="7"/>
      <c r="Y13" s="7" t="s">
        <v>14</v>
      </c>
      <c r="Z13" s="8"/>
      <c r="AA13" s="7"/>
      <c r="AB13" s="103" t="s">
        <v>992</v>
      </c>
      <c r="AC13" s="8"/>
      <c r="AD13" s="8"/>
      <c r="AE13" s="7"/>
      <c r="AF13">
        <f>_xll.qlScheduleSize(AG13)</f>
        <v>2</v>
      </c>
      <c r="AG13" s="10" t="str">
        <f>_xll.qlSchedule(AI13,AJ13,AK13,AL13,AM13,AN13,AO13,AP13,AQ13,AR13,AS13,AT13,AU13)</f>
        <v>obj_00051#0006</v>
      </c>
      <c r="AH13" s="11" t="str">
        <f>_xll.ohRangeRetrieveError(AG13)</f>
        <v/>
      </c>
      <c r="AI13" s="104"/>
      <c r="AJ13" s="114">
        <f>_xll.qlCalendarAdvance(Calendar,AJ$2,A13)</f>
        <v>44587</v>
      </c>
      <c r="AK13" s="114">
        <f>_xll.qlCalendarAdvance(Calendar,AJ13,"6M",)</f>
        <v>44768</v>
      </c>
      <c r="AL13" s="103" t="s">
        <v>38</v>
      </c>
      <c r="AM13" s="7" t="s">
        <v>10</v>
      </c>
      <c r="AN13" s="7" t="s">
        <v>39</v>
      </c>
      <c r="AO13" s="7" t="s">
        <v>39</v>
      </c>
      <c r="AP13" s="103" t="s">
        <v>289</v>
      </c>
      <c r="AQ13" s="7"/>
      <c r="AR13" s="14"/>
      <c r="AS13" s="14"/>
      <c r="AT13" s="7"/>
      <c r="AU13" s="9"/>
    </row>
    <row r="14" spans="1:47" ht="12" thickBot="1" x14ac:dyDescent="0.25">
      <c r="A14" s="105" t="s">
        <v>1521</v>
      </c>
      <c r="B14" s="114">
        <f>_xll.qlCalendarAdvance(Calendar,B$2,A14)</f>
        <v>44768</v>
      </c>
      <c r="C14" s="202" t="e">
        <f ca="1">_xll.qlOptionletVTSVolatility('EUR TermStructures'!$F$41,$B14,C$3)</f>
        <v>#VALUE!</v>
      </c>
      <c r="D14" s="202" t="e">
        <f ca="1">_xll.qlOptionletVTSVolatility('EUR TermStructures'!$F$41,$B14,D$3)</f>
        <v>#VALUE!</v>
      </c>
      <c r="E14" s="202" t="e">
        <f ca="1">_xll.qlOptionletVTSVolatility('EUR TermStructures'!$F$41,$B14,E$3)</f>
        <v>#VALUE!</v>
      </c>
      <c r="F14" s="202" t="e">
        <f ca="1">_xll.qlOptionletVTSVolatility('EUR TermStructures'!$F$41,$B14,F$3)</f>
        <v>#VALUE!</v>
      </c>
      <c r="G14" s="202" t="e">
        <f ca="1">_xll.qlOptionletVTSVolatility('EUR TermStructures'!$F$41,$B14,G$3)</f>
        <v>#VALUE!</v>
      </c>
      <c r="H14" s="202" t="e">
        <f ca="1">_xll.qlOptionletVTSVolatility('EUR TermStructures'!$F$41,$B14,H$3)</f>
        <v>#VALUE!</v>
      </c>
      <c r="I14" s="202"/>
      <c r="J14" s="202" t="e">
        <f ca="1">_xll.qlOptionletVTSVolatility('EUR TermStructures'!$F$41,$B14,J$3)</f>
        <v>#VALUE!</v>
      </c>
      <c r="L14" s="110" t="e">
        <f ca="1">_xll.qlCapFloorImpliedVolatility(O14,M14,"eonia",,,,,,"Normal")</f>
        <v>#VALUE!</v>
      </c>
      <c r="M14" s="1" t="e">
        <f ca="1">_xll.qlInstrumentNPV(O14,N14)</f>
        <v>#NUM!</v>
      </c>
      <c r="N14" t="e">
        <f ca="1">_xll.qlInstrumentSetPricingEngine(O14,N$3)</f>
        <v>#VALUE!</v>
      </c>
      <c r="O14" t="str">
        <f>_xll.qlCapFloor(,"Floor",Q14,H$3)</f>
        <v>obj_0024e#0004</v>
      </c>
      <c r="Q14" s="10" t="str">
        <f>_xll.qlIborLeg(S14,T14,U14,V14,W14,X14,Y14,Z14,AA14,AB14,AC14,AD14,AE14,AF31)</f>
        <v>obj_00249#0004</v>
      </c>
      <c r="R14" s="11" t="str">
        <f>_xll.ohRangeRetrieveError(Q14)</f>
        <v/>
      </c>
      <c r="S14" s="6"/>
      <c r="T14" s="7" t="s">
        <v>39</v>
      </c>
      <c r="U14" s="25">
        <v>1000000</v>
      </c>
      <c r="V14" s="7" t="str">
        <f t="shared" si="2"/>
        <v>obj_0004f#0006</v>
      </c>
      <c r="W14" s="7"/>
      <c r="X14" s="7"/>
      <c r="Y14" s="7" t="s">
        <v>14</v>
      </c>
      <c r="Z14" s="8"/>
      <c r="AA14" s="7"/>
      <c r="AB14" s="103" t="s">
        <v>992</v>
      </c>
      <c r="AC14" s="8"/>
      <c r="AD14" s="8"/>
      <c r="AE14" s="7"/>
      <c r="AF14">
        <f>_xll.qlScheduleSize(AG14)</f>
        <v>2</v>
      </c>
      <c r="AG14" s="10" t="str">
        <f>_xll.qlSchedule(AI14,AJ14,AK14,AL14,AM14,AN14,AO14,AP14,AQ14,AR14,AS14,AT14,AU14)</f>
        <v>obj_0004f#0006</v>
      </c>
      <c r="AH14" s="11" t="str">
        <f>_xll.ohRangeRetrieveError(AG14)</f>
        <v/>
      </c>
      <c r="AI14" s="104"/>
      <c r="AJ14" s="114">
        <f>_xll.qlCalendarAdvance(Calendar,AJ$2,A14)</f>
        <v>44768</v>
      </c>
      <c r="AK14" s="114">
        <f>_xll.qlCalendarAdvance(Calendar,AJ14,"6M",)</f>
        <v>44952</v>
      </c>
      <c r="AL14" s="103" t="s">
        <v>38</v>
      </c>
      <c r="AM14" s="7" t="s">
        <v>10</v>
      </c>
      <c r="AN14" s="7" t="s">
        <v>39</v>
      </c>
      <c r="AO14" s="7" t="s">
        <v>39</v>
      </c>
      <c r="AP14" s="103" t="s">
        <v>289</v>
      </c>
      <c r="AQ14" s="7"/>
      <c r="AR14" s="14"/>
      <c r="AS14" s="14"/>
      <c r="AT14" s="7"/>
      <c r="AU14" s="9"/>
    </row>
    <row r="15" spans="1:47" ht="12" thickBot="1" x14ac:dyDescent="0.25">
      <c r="A15" s="105" t="s">
        <v>103</v>
      </c>
      <c r="B15" s="114">
        <f>_xll.qlCalendarAdvance(Calendar,B$2,A15)</f>
        <v>44952</v>
      </c>
      <c r="C15" s="202" t="e">
        <f ca="1">_xll.qlOptionletVTSVolatility('EUR TermStructures'!$F$41,$B15,C$3)</f>
        <v>#VALUE!</v>
      </c>
      <c r="D15" s="202" t="e">
        <f ca="1">_xll.qlOptionletVTSVolatility('EUR TermStructures'!$F$41,$B15,D$3)</f>
        <v>#VALUE!</v>
      </c>
      <c r="E15" s="202" t="e">
        <f ca="1">_xll.qlOptionletVTSVolatility('EUR TermStructures'!$F$41,$B15,E$3)</f>
        <v>#VALUE!</v>
      </c>
      <c r="F15" s="202" t="e">
        <f ca="1">_xll.qlOptionletVTSVolatility('EUR TermStructures'!$F$41,$B15,F$3)</f>
        <v>#VALUE!</v>
      </c>
      <c r="G15" s="202" t="e">
        <f ca="1">_xll.qlOptionletVTSVolatility('EUR TermStructures'!$F$41,$B15,G$3)</f>
        <v>#VALUE!</v>
      </c>
      <c r="H15" s="202" t="e">
        <f ca="1">_xll.qlOptionletVTSVolatility('EUR TermStructures'!$F$41,$B15,H$3)</f>
        <v>#VALUE!</v>
      </c>
      <c r="I15" s="202"/>
      <c r="J15" s="202" t="e">
        <f ca="1">_xll.qlOptionletVTSVolatility('EUR TermStructures'!$F$41,$B15,J$3)</f>
        <v>#VALUE!</v>
      </c>
      <c r="L15" s="110" t="e">
        <f ca="1">_xll.qlCapFloorImpliedVolatility(O15,M15,"eonia",,,,,,"Normal")</f>
        <v>#VALUE!</v>
      </c>
      <c r="M15" s="1" t="e">
        <f ca="1">_xll.qlInstrumentNPV(O15,N15)</f>
        <v>#NUM!</v>
      </c>
      <c r="N15" t="e">
        <f ca="1">_xll.qlInstrumentSetPricingEngine(O15,N$3)</f>
        <v>#VALUE!</v>
      </c>
      <c r="O15" t="str">
        <f>_xll.qlCapFloor(,"Floor",Q15,H$3)</f>
        <v>obj_0026a#0004</v>
      </c>
      <c r="Q15" s="10" t="str">
        <f>_xll.qlIborLeg(S15,T15,U15,V15,W15,X15,Y15,Z15,AA15,AB15,AC15,AD15,AE15,AF32)</f>
        <v>obj_00226#0004</v>
      </c>
      <c r="R15" s="11" t="str">
        <f>_xll.ohRangeRetrieveError(Q15)</f>
        <v/>
      </c>
      <c r="S15" s="6"/>
      <c r="T15" s="7" t="s">
        <v>39</v>
      </c>
      <c r="U15" s="25">
        <v>1000000</v>
      </c>
      <c r="V15" s="7" t="str">
        <f t="shared" si="2"/>
        <v>obj_00043#0006</v>
      </c>
      <c r="W15" s="7"/>
      <c r="X15" s="7"/>
      <c r="Y15" s="7" t="s">
        <v>14</v>
      </c>
      <c r="Z15" s="8"/>
      <c r="AA15" s="7"/>
      <c r="AB15" s="103" t="s">
        <v>992</v>
      </c>
      <c r="AC15" s="8"/>
      <c r="AD15" s="8"/>
      <c r="AE15" s="7"/>
      <c r="AF15">
        <f>_xll.qlScheduleSize(AG15)</f>
        <v>2</v>
      </c>
      <c r="AG15" s="10" t="str">
        <f>_xll.qlSchedule(AI15,AJ15,AK15,AL15,AM15,AN15,AO15,AP15,AQ15,AR15,AS15,AT15,AU15)</f>
        <v>obj_00043#0006</v>
      </c>
      <c r="AH15" s="11" t="str">
        <f>_xll.ohRangeRetrieveError(AG15)</f>
        <v/>
      </c>
      <c r="AI15" s="104"/>
      <c r="AJ15" s="114">
        <f>_xll.qlCalendarAdvance(Calendar,AJ$2,A15)</f>
        <v>44952</v>
      </c>
      <c r="AK15" s="114">
        <f>_xll.qlCalendarAdvance(Calendar,AJ15,"6M",)</f>
        <v>45133</v>
      </c>
      <c r="AL15" s="103" t="s">
        <v>38</v>
      </c>
      <c r="AM15" s="7" t="s">
        <v>10</v>
      </c>
      <c r="AN15" s="7" t="s">
        <v>39</v>
      </c>
      <c r="AO15" s="7" t="s">
        <v>39</v>
      </c>
      <c r="AP15" s="103" t="s">
        <v>289</v>
      </c>
      <c r="AQ15" s="7"/>
      <c r="AR15" s="14"/>
      <c r="AS15" s="14"/>
      <c r="AT15" s="7"/>
      <c r="AU15" s="9"/>
    </row>
    <row r="16" spans="1:47" ht="12" thickBot="1" x14ac:dyDescent="0.25">
      <c r="A16" s="105" t="s">
        <v>1522</v>
      </c>
      <c r="B16" s="114">
        <f>_xll.qlCalendarAdvance(Calendar,B$2,A16)</f>
        <v>45133</v>
      </c>
      <c r="C16" s="202" t="e">
        <f ca="1">_xll.qlOptionletVTSVolatility('EUR TermStructures'!$F$41,$B16,C$3)</f>
        <v>#VALUE!</v>
      </c>
      <c r="D16" s="202" t="e">
        <f ca="1">_xll.qlOptionletVTSVolatility('EUR TermStructures'!$F$41,$B16,D$3)</f>
        <v>#VALUE!</v>
      </c>
      <c r="E16" s="202" t="e">
        <f ca="1">_xll.qlOptionletVTSVolatility('EUR TermStructures'!$F$41,$B16,E$3)</f>
        <v>#VALUE!</v>
      </c>
      <c r="F16" s="202" t="e">
        <f ca="1">_xll.qlOptionletVTSVolatility('EUR TermStructures'!$F$41,$B16,F$3)</f>
        <v>#VALUE!</v>
      </c>
      <c r="G16" s="202" t="e">
        <f ca="1">_xll.qlOptionletVTSVolatility('EUR TermStructures'!$F$41,$B16,G$3)</f>
        <v>#VALUE!</v>
      </c>
      <c r="H16" s="202" t="e">
        <f ca="1">_xll.qlOptionletVTSVolatility('EUR TermStructures'!$F$41,$B16,H$3)</f>
        <v>#VALUE!</v>
      </c>
      <c r="I16" s="202"/>
      <c r="J16" s="202" t="e">
        <f ca="1">_xll.qlOptionletVTSVolatility('EUR TermStructures'!$F$41,$B16,J$3)</f>
        <v>#VALUE!</v>
      </c>
      <c r="L16" s="110" t="e">
        <f ca="1">_xll.qlCapFloorImpliedVolatility(O16,M16,"eonia",,,,,,"Normal")</f>
        <v>#VALUE!</v>
      </c>
      <c r="M16" s="1" t="e">
        <f ca="1">_xll.qlInstrumentNPV(O16,N16)</f>
        <v>#NUM!</v>
      </c>
      <c r="N16" t="e">
        <f ca="1">_xll.qlInstrumentSetPricingEngine(O16,N$3)</f>
        <v>#VALUE!</v>
      </c>
      <c r="O16" t="str">
        <f>_xll.qlCapFloor(,"Floor",Q16,H$3)</f>
        <v>obj_00260#0004</v>
      </c>
      <c r="Q16" s="10" t="str">
        <f>_xll.qlIborLeg(S16,T16,U16,V16,W16,X16,Y16,Z16,AA16,AB16,AC16,AD16,AE16,AF33)</f>
        <v>obj_0023f#0004</v>
      </c>
      <c r="R16" s="11" t="str">
        <f>_xll.ohRangeRetrieveError(Q16)</f>
        <v/>
      </c>
      <c r="S16" s="6"/>
      <c r="T16" s="7" t="s">
        <v>39</v>
      </c>
      <c r="U16" s="25">
        <v>1000000</v>
      </c>
      <c r="V16" s="7" t="str">
        <f t="shared" si="2"/>
        <v>obj_00047#0006</v>
      </c>
      <c r="W16" s="7"/>
      <c r="X16" s="7"/>
      <c r="Y16" s="7" t="s">
        <v>14</v>
      </c>
      <c r="Z16" s="8"/>
      <c r="AA16" s="7"/>
      <c r="AB16" s="103" t="s">
        <v>992</v>
      </c>
      <c r="AC16" s="8"/>
      <c r="AD16" s="8"/>
      <c r="AE16" s="7"/>
      <c r="AF16">
        <f>_xll.qlScheduleSize(AG16)</f>
        <v>2</v>
      </c>
      <c r="AG16" s="10" t="str">
        <f>_xll.qlSchedule(AI16,AJ16,AK16,AL16,AM16,AN16,AO16,AP16,AQ16,AR16,AS16,AT16,AU16)</f>
        <v>obj_00047#0006</v>
      </c>
      <c r="AH16" s="11" t="str">
        <f>_xll.ohRangeRetrieveError(AG16)</f>
        <v/>
      </c>
      <c r="AI16" s="104"/>
      <c r="AJ16" s="114">
        <f>_xll.qlCalendarAdvance(Calendar,AJ$2,A16)</f>
        <v>45133</v>
      </c>
      <c r="AK16" s="114">
        <f>_xll.qlCalendarAdvance(Calendar,AJ16,"6M",)</f>
        <v>45317</v>
      </c>
      <c r="AL16" s="103" t="s">
        <v>38</v>
      </c>
      <c r="AM16" s="7" t="s">
        <v>10</v>
      </c>
      <c r="AN16" s="7" t="s">
        <v>39</v>
      </c>
      <c r="AO16" s="7" t="s">
        <v>39</v>
      </c>
      <c r="AP16" s="103" t="s">
        <v>289</v>
      </c>
      <c r="AQ16" s="7"/>
      <c r="AR16" s="14"/>
      <c r="AS16" s="14"/>
      <c r="AT16" s="7"/>
      <c r="AU16" s="9"/>
    </row>
    <row r="17" spans="1:47" ht="12" thickBot="1" x14ac:dyDescent="0.25">
      <c r="A17" s="105" t="s">
        <v>104</v>
      </c>
      <c r="B17" s="114">
        <f>_xll.qlCalendarAdvance(Calendar,B$2,A17)</f>
        <v>45317</v>
      </c>
      <c r="C17" s="202" t="e">
        <f ca="1">_xll.qlOptionletVTSVolatility('EUR TermStructures'!$F$41,$B17,C$3)</f>
        <v>#VALUE!</v>
      </c>
      <c r="D17" s="202" t="e">
        <f ca="1">_xll.qlOptionletVTSVolatility('EUR TermStructures'!$F$41,$B17,D$3)</f>
        <v>#VALUE!</v>
      </c>
      <c r="E17" s="202" t="e">
        <f ca="1">_xll.qlOptionletVTSVolatility('EUR TermStructures'!$F$41,$B17,E$3)</f>
        <v>#VALUE!</v>
      </c>
      <c r="F17" s="202" t="e">
        <f ca="1">_xll.qlOptionletVTSVolatility('EUR TermStructures'!$F$41,$B17,F$3)</f>
        <v>#VALUE!</v>
      </c>
      <c r="G17" s="202" t="e">
        <f ca="1">_xll.qlOptionletVTSVolatility('EUR TermStructures'!$F$41,$B17,G$3)</f>
        <v>#VALUE!</v>
      </c>
      <c r="H17" s="202" t="e">
        <f ca="1">_xll.qlOptionletVTSVolatility('EUR TermStructures'!$F$41,$B17,H$3)</f>
        <v>#VALUE!</v>
      </c>
      <c r="I17" s="202"/>
      <c r="J17" s="202" t="e">
        <f ca="1">_xll.qlOptionletVTSVolatility('EUR TermStructures'!$F$41,$B17,J$3)</f>
        <v>#VALUE!</v>
      </c>
      <c r="L17" s="110" t="e">
        <f ca="1">_xll.qlCapFloorImpliedVolatility(O17,M17,"eonia",,,,,,"Normal")</f>
        <v>#VALUE!</v>
      </c>
      <c r="M17" s="1" t="e">
        <f ca="1">_xll.qlInstrumentNPV(O17,N17)</f>
        <v>#NUM!</v>
      </c>
      <c r="N17" t="e">
        <f ca="1">_xll.qlInstrumentSetPricingEngine(O17,N$3)</f>
        <v>#VALUE!</v>
      </c>
      <c r="O17" t="str">
        <f>_xll.qlCapFloor(,"Floor",Q17,H$3)</f>
        <v>obj_00256#0004</v>
      </c>
      <c r="Q17" s="10" t="str">
        <f>_xll.qlIborLeg(S17,T17,U17,V17,W17,X17,Y17,Z17,AA17,AB17,AC17,AD17,AE17,AF34)</f>
        <v>obj_0023e#0004</v>
      </c>
      <c r="R17" s="11" t="str">
        <f>_xll.ohRangeRetrieveError(Q17)</f>
        <v/>
      </c>
      <c r="S17" s="6"/>
      <c r="T17" s="7" t="s">
        <v>39</v>
      </c>
      <c r="U17" s="25">
        <v>1000000</v>
      </c>
      <c r="V17" s="7" t="str">
        <f t="shared" si="2"/>
        <v>obj_00059#0005</v>
      </c>
      <c r="W17" s="7"/>
      <c r="X17" s="7"/>
      <c r="Y17" s="7" t="s">
        <v>14</v>
      </c>
      <c r="Z17" s="8"/>
      <c r="AA17" s="7"/>
      <c r="AB17" s="103" t="s">
        <v>992</v>
      </c>
      <c r="AC17" s="8"/>
      <c r="AD17" s="8"/>
      <c r="AE17" s="7"/>
      <c r="AF17">
        <f>_xll.qlScheduleSize(AG17)</f>
        <v>2</v>
      </c>
      <c r="AG17" s="10" t="str">
        <f>_xll.qlSchedule(AI17,AJ17,AK17,AL17,AM17,AN17,AO17,AP17,AQ17,AR17,AS17,AT17,AU17)</f>
        <v>obj_00059#0005</v>
      </c>
      <c r="AH17" s="11" t="str">
        <f>_xll.ohRangeRetrieveError(AG17)</f>
        <v/>
      </c>
      <c r="AI17" s="104"/>
      <c r="AJ17" s="114">
        <f>_xll.qlCalendarAdvance(Calendar,AJ$2,A17)</f>
        <v>45317</v>
      </c>
      <c r="AK17" s="114">
        <f>_xll.qlCalendarAdvance(Calendar,AJ17,"6M",)</f>
        <v>45499</v>
      </c>
      <c r="AL17" s="103" t="s">
        <v>38</v>
      </c>
      <c r="AM17" s="7" t="s">
        <v>10</v>
      </c>
      <c r="AN17" s="7" t="s">
        <v>39</v>
      </c>
      <c r="AO17" s="7" t="s">
        <v>39</v>
      </c>
      <c r="AP17" s="103" t="s">
        <v>289</v>
      </c>
      <c r="AQ17" s="7"/>
      <c r="AR17" s="14"/>
      <c r="AS17" s="14"/>
      <c r="AT17" s="7"/>
      <c r="AU17" s="9"/>
    </row>
    <row r="18" spans="1:47" ht="12" thickBot="1" x14ac:dyDescent="0.25">
      <c r="A18" s="105" t="s">
        <v>1523</v>
      </c>
      <c r="B18" s="114">
        <f>_xll.qlCalendarAdvance(Calendar,B$2,A18)</f>
        <v>45499</v>
      </c>
      <c r="C18" s="202" t="e">
        <f ca="1">_xll.qlOptionletVTSVolatility('EUR TermStructures'!$F$41,$B18,C$3)</f>
        <v>#VALUE!</v>
      </c>
      <c r="D18" s="202" t="e">
        <f ca="1">_xll.qlOptionletVTSVolatility('EUR TermStructures'!$F$41,$B18,D$3)</f>
        <v>#VALUE!</v>
      </c>
      <c r="E18" s="202" t="e">
        <f ca="1">_xll.qlOptionletVTSVolatility('EUR TermStructures'!$F$41,$B18,E$3)</f>
        <v>#VALUE!</v>
      </c>
      <c r="F18" s="202" t="e">
        <f ca="1">_xll.qlOptionletVTSVolatility('EUR TermStructures'!$F$41,$B18,F$3)</f>
        <v>#VALUE!</v>
      </c>
      <c r="G18" s="202" t="e">
        <f ca="1">_xll.qlOptionletVTSVolatility('EUR TermStructures'!$F$41,$B18,G$3)</f>
        <v>#VALUE!</v>
      </c>
      <c r="H18" s="202" t="e">
        <f ca="1">_xll.qlOptionletVTSVolatility('EUR TermStructures'!$F$41,$B18,H$3)</f>
        <v>#VALUE!</v>
      </c>
      <c r="I18" s="202"/>
      <c r="J18" s="202" t="e">
        <f ca="1">_xll.qlOptionletVTSVolatility('EUR TermStructures'!$F$41,$B18,J$3)</f>
        <v>#VALUE!</v>
      </c>
      <c r="L18" s="110" t="e">
        <f ca="1">_xll.qlCapFloorImpliedVolatility(O18,M18,"eonia",,,,,,"Normal")</f>
        <v>#VALUE!</v>
      </c>
      <c r="M18" s="1" t="e">
        <f ca="1">_xll.qlInstrumentNPV(O18,N18)</f>
        <v>#NUM!</v>
      </c>
      <c r="N18" t="e">
        <f ca="1">_xll.qlInstrumentSetPricingEngine(O18,N$3)</f>
        <v>#VALUE!</v>
      </c>
      <c r="O18" t="str">
        <f>_xll.qlCapFloor(,"Floor",Q18,H$3)</f>
        <v>obj_00259#0004</v>
      </c>
      <c r="Q18" s="10" t="str">
        <f>_xll.qlIborLeg(S18,T18,U18,V18,W18,X18,Y18,Z18,AA18,AB18,AC18,AD18,AE18,AF35)</f>
        <v>obj_00247#0004</v>
      </c>
      <c r="R18" s="11" t="str">
        <f>_xll.ohRangeRetrieveError(Q18)</f>
        <v/>
      </c>
      <c r="S18" s="6"/>
      <c r="T18" s="7" t="s">
        <v>39</v>
      </c>
      <c r="U18" s="25">
        <v>1000000</v>
      </c>
      <c r="V18" s="7" t="str">
        <f t="shared" si="2"/>
        <v>obj_00053#0006</v>
      </c>
      <c r="W18" s="7"/>
      <c r="X18" s="7"/>
      <c r="Y18" s="7" t="s">
        <v>14</v>
      </c>
      <c r="Z18" s="8"/>
      <c r="AA18" s="7"/>
      <c r="AB18" s="103" t="s">
        <v>992</v>
      </c>
      <c r="AC18" s="8"/>
      <c r="AD18" s="8"/>
      <c r="AE18" s="7"/>
      <c r="AF18">
        <f>_xll.qlScheduleSize(AG18)</f>
        <v>2</v>
      </c>
      <c r="AG18" s="10" t="str">
        <f>_xll.qlSchedule(AI18,AJ18,AK18,AL18,AM18,AN18,AO18,AP18,AQ18,AR18,AS18,AT18,AU18)</f>
        <v>obj_00053#0006</v>
      </c>
      <c r="AH18" s="11" t="str">
        <f>_xll.ohRangeRetrieveError(AG18)</f>
        <v/>
      </c>
      <c r="AI18" s="104"/>
      <c r="AJ18" s="114">
        <f>_xll.qlCalendarAdvance(Calendar,AJ$2,A18)</f>
        <v>45499</v>
      </c>
      <c r="AK18" s="114">
        <f>_xll.qlCalendarAdvance(Calendar,AJ18,"6M",)</f>
        <v>45684</v>
      </c>
      <c r="AL18" s="103" t="s">
        <v>38</v>
      </c>
      <c r="AM18" s="7" t="s">
        <v>10</v>
      </c>
      <c r="AN18" s="7" t="s">
        <v>39</v>
      </c>
      <c r="AO18" s="7" t="s">
        <v>39</v>
      </c>
      <c r="AP18" s="103" t="s">
        <v>289</v>
      </c>
      <c r="AQ18" s="7"/>
      <c r="AR18" s="14"/>
      <c r="AS18" s="14"/>
      <c r="AT18" s="7"/>
      <c r="AU18" s="9"/>
    </row>
    <row r="19" spans="1:47" ht="12" thickBot="1" x14ac:dyDescent="0.25">
      <c r="A19" s="105" t="s">
        <v>105</v>
      </c>
      <c r="B19" s="114">
        <f>_xll.qlCalendarAdvance(Calendar,B$2,A19)</f>
        <v>45684</v>
      </c>
      <c r="C19" s="202" t="e">
        <f ca="1">_xll.qlOptionletVTSVolatility('EUR TermStructures'!$F$41,$B19,C$3)</f>
        <v>#VALUE!</v>
      </c>
      <c r="D19" s="202" t="e">
        <f ca="1">_xll.qlOptionletVTSVolatility('EUR TermStructures'!$F$41,$B19,D$3)</f>
        <v>#VALUE!</v>
      </c>
      <c r="E19" s="202" t="e">
        <f ca="1">_xll.qlOptionletVTSVolatility('EUR TermStructures'!$F$41,$B19,E$3)</f>
        <v>#VALUE!</v>
      </c>
      <c r="F19" s="202" t="e">
        <f ca="1">_xll.qlOptionletVTSVolatility('EUR TermStructures'!$F$41,$B19,F$3)</f>
        <v>#VALUE!</v>
      </c>
      <c r="G19" s="202" t="e">
        <f ca="1">_xll.qlOptionletVTSVolatility('EUR TermStructures'!$F$41,$B19,G$3)</f>
        <v>#VALUE!</v>
      </c>
      <c r="H19" s="202" t="e">
        <f ca="1">_xll.qlOptionletVTSVolatility('EUR TermStructures'!$F$41,$B19,H$3)</f>
        <v>#VALUE!</v>
      </c>
      <c r="I19" s="202"/>
      <c r="J19" s="202" t="e">
        <f ca="1">_xll.qlOptionletVTSVolatility('EUR TermStructures'!$F$41,$B19,J$3)</f>
        <v>#VALUE!</v>
      </c>
      <c r="L19" s="110" t="e">
        <f ca="1">_xll.qlCapFloorImpliedVolatility(O19,M19,"eonia",,,,,,"Normal")</f>
        <v>#VALUE!</v>
      </c>
      <c r="M19" s="1" t="e">
        <f ca="1">_xll.qlInstrumentNPV(O19,N19)</f>
        <v>#NUM!</v>
      </c>
      <c r="N19" t="e">
        <f ca="1">_xll.qlInstrumentSetPricingEngine(O19,N$3)</f>
        <v>#VALUE!</v>
      </c>
      <c r="O19" t="str">
        <f>_xll.qlCapFloor(,"Floor",Q19,H$3)</f>
        <v>obj_00255#0004</v>
      </c>
      <c r="Q19" s="10" t="str">
        <f>_xll.qlIborLeg(S19,T19,U19,V19,W19,X19,Y19,Z19,AA19,AB19,AC19,AD19,AE19,AF36)</f>
        <v>obj_0023c#0004</v>
      </c>
      <c r="R19" s="11" t="str">
        <f>_xll.ohRangeRetrieveError(Q19)</f>
        <v/>
      </c>
      <c r="S19" s="6"/>
      <c r="T19" s="7" t="s">
        <v>39</v>
      </c>
      <c r="U19" s="25">
        <v>1000000</v>
      </c>
      <c r="V19" s="7" t="str">
        <f t="shared" si="2"/>
        <v>obj_00055#0006</v>
      </c>
      <c r="W19" s="7"/>
      <c r="X19" s="7"/>
      <c r="Y19" s="7" t="s">
        <v>14</v>
      </c>
      <c r="Z19" s="8"/>
      <c r="AA19" s="7"/>
      <c r="AB19" s="103" t="s">
        <v>992</v>
      </c>
      <c r="AC19" s="8"/>
      <c r="AD19" s="8"/>
      <c r="AE19" s="7"/>
      <c r="AF19">
        <f>_xll.qlScheduleSize(AG19)</f>
        <v>2</v>
      </c>
      <c r="AG19" s="10" t="str">
        <f>_xll.qlSchedule(AI19,AJ19,AK19,AL19,AM19,AN19,AO19,AP19,AQ19,AR19,AS19,AT19,AU19)</f>
        <v>obj_00055#0006</v>
      </c>
      <c r="AH19" s="11" t="str">
        <f>_xll.ohRangeRetrieveError(AG19)</f>
        <v/>
      </c>
      <c r="AI19" s="104"/>
      <c r="AJ19" s="114">
        <f>_xll.qlCalendarAdvance(Calendar,AJ$2,A19)</f>
        <v>45684</v>
      </c>
      <c r="AK19" s="114">
        <f>_xll.qlCalendarAdvance(Calendar,AJ19,"6M",)</f>
        <v>45866</v>
      </c>
      <c r="AL19" s="103" t="s">
        <v>38</v>
      </c>
      <c r="AM19" s="7" t="s">
        <v>10</v>
      </c>
      <c r="AN19" s="7" t="s">
        <v>39</v>
      </c>
      <c r="AO19" s="7" t="s">
        <v>39</v>
      </c>
      <c r="AP19" s="103" t="s">
        <v>289</v>
      </c>
      <c r="AQ19" s="7"/>
      <c r="AR19" s="14"/>
      <c r="AS19" s="14"/>
      <c r="AT19" s="7"/>
      <c r="AU19" s="9"/>
    </row>
    <row r="20" spans="1:47" ht="12" thickBot="1" x14ac:dyDescent="0.25">
      <c r="A20" s="105" t="s">
        <v>1524</v>
      </c>
      <c r="B20" s="114">
        <f>_xll.qlCalendarAdvance(Calendar,B$2,A20)</f>
        <v>45866</v>
      </c>
      <c r="C20" s="202" t="e">
        <f ca="1">_xll.qlOptionletVTSVolatility('EUR TermStructures'!$F$41,$B20,C$3)</f>
        <v>#VALUE!</v>
      </c>
      <c r="D20" s="202" t="e">
        <f ca="1">_xll.qlOptionletVTSVolatility('EUR TermStructures'!$F$41,$B20,D$3)</f>
        <v>#VALUE!</v>
      </c>
      <c r="E20" s="202" t="e">
        <f ca="1">_xll.qlOptionletVTSVolatility('EUR TermStructures'!$F$41,$B20,E$3)</f>
        <v>#VALUE!</v>
      </c>
      <c r="F20" s="202" t="e">
        <f ca="1">_xll.qlOptionletVTSVolatility('EUR TermStructures'!$F$41,$B20,F$3)</f>
        <v>#VALUE!</v>
      </c>
      <c r="G20" s="202" t="e">
        <f ca="1">_xll.qlOptionletVTSVolatility('EUR TermStructures'!$F$41,$B20,G$3)</f>
        <v>#VALUE!</v>
      </c>
      <c r="H20" s="202" t="e">
        <f ca="1">_xll.qlOptionletVTSVolatility('EUR TermStructures'!$F$41,$B20,H$3)</f>
        <v>#VALUE!</v>
      </c>
      <c r="I20" s="202"/>
      <c r="J20" s="202" t="e">
        <f ca="1">_xll.qlOptionletVTSVolatility('EUR TermStructures'!$F$41,$B20,J$3)</f>
        <v>#VALUE!</v>
      </c>
      <c r="L20" s="110" t="e">
        <f ca="1">_xll.qlCapFloorImpliedVolatility(O20,M20,"eonia",,,,,,"Normal")</f>
        <v>#VALUE!</v>
      </c>
      <c r="M20" s="1" t="e">
        <f ca="1">_xll.qlInstrumentNPV(O20,N20)</f>
        <v>#NUM!</v>
      </c>
      <c r="N20" t="e">
        <f ca="1">_xll.qlInstrumentSetPricingEngine(O20,N$3)</f>
        <v>#VALUE!</v>
      </c>
      <c r="O20" t="str">
        <f>_xll.qlCapFloor(,"Floor",Q20,H$3)</f>
        <v>obj_00257#0004</v>
      </c>
      <c r="Q20" s="10" t="str">
        <f>_xll.qlIborLeg(S20,T20,U20,V20,W20,X20,Y20,Z20,AA20,AB20,AC20,AD20,AE20,AF37)</f>
        <v>obj_00243#0004</v>
      </c>
      <c r="R20" s="11" t="str">
        <f>_xll.ohRangeRetrieveError(Q20)</f>
        <v/>
      </c>
      <c r="S20" s="6"/>
      <c r="T20" s="7" t="s">
        <v>39</v>
      </c>
      <c r="U20" s="25">
        <v>1000000</v>
      </c>
      <c r="V20" s="7" t="str">
        <f t="shared" si="2"/>
        <v>obj_00057#0006</v>
      </c>
      <c r="W20" s="7"/>
      <c r="X20" s="7"/>
      <c r="Y20" s="7" t="s">
        <v>14</v>
      </c>
      <c r="Z20" s="8"/>
      <c r="AA20" s="7"/>
      <c r="AB20" s="103" t="s">
        <v>992</v>
      </c>
      <c r="AC20" s="8"/>
      <c r="AD20" s="8"/>
      <c r="AE20" s="7"/>
      <c r="AF20">
        <f>_xll.qlScheduleSize(AG20)</f>
        <v>2</v>
      </c>
      <c r="AG20" s="10" t="str">
        <f>_xll.qlSchedule(AI20,AJ20,AK20,AL20,AM20,AN20,AO20,AP20,AQ20,AR20,AS20,AT20,AU20)</f>
        <v>obj_00057#0006</v>
      </c>
      <c r="AH20" s="11" t="str">
        <f>_xll.ohRangeRetrieveError(AG20)</f>
        <v/>
      </c>
      <c r="AI20" s="104"/>
      <c r="AJ20" s="114">
        <f>_xll.qlCalendarAdvance(Calendar,AJ$2,A20)</f>
        <v>45866</v>
      </c>
      <c r="AK20" s="114">
        <f>_xll.qlCalendarAdvance(Calendar,AJ20,"6M",)</f>
        <v>46050</v>
      </c>
      <c r="AL20" s="103" t="s">
        <v>38</v>
      </c>
      <c r="AM20" s="7" t="s">
        <v>10</v>
      </c>
      <c r="AN20" s="7" t="s">
        <v>39</v>
      </c>
      <c r="AO20" s="7" t="s">
        <v>39</v>
      </c>
      <c r="AP20" s="103" t="s">
        <v>289</v>
      </c>
      <c r="AQ20" s="7"/>
      <c r="AR20" s="14"/>
      <c r="AS20" s="14"/>
      <c r="AT20" s="7"/>
      <c r="AU20" s="9"/>
    </row>
    <row r="21" spans="1:47" ht="12" thickBot="1" x14ac:dyDescent="0.25">
      <c r="A21" s="105" t="s">
        <v>106</v>
      </c>
      <c r="B21" s="114">
        <f>_xll.qlCalendarAdvance(Calendar,B$2,A21)</f>
        <v>46048</v>
      </c>
      <c r="C21" s="202" t="e">
        <f ca="1">_xll.qlOptionletVTSVolatility('EUR TermStructures'!$F$41,$B21,C$3)</f>
        <v>#VALUE!</v>
      </c>
      <c r="D21" s="202" t="e">
        <f ca="1">_xll.qlOptionletVTSVolatility('EUR TermStructures'!$F$41,$B21,D$3)</f>
        <v>#VALUE!</v>
      </c>
      <c r="E21" s="202" t="e">
        <f ca="1">_xll.qlOptionletVTSVolatility('EUR TermStructures'!$F$41,$B21,E$3)</f>
        <v>#VALUE!</v>
      </c>
      <c r="F21" s="202" t="e">
        <f ca="1">_xll.qlOptionletVTSVolatility('EUR TermStructures'!$F$41,$B21,F$3)</f>
        <v>#VALUE!</v>
      </c>
      <c r="G21" s="202" t="e">
        <f ca="1">_xll.qlOptionletVTSVolatility('EUR TermStructures'!$F$41,$B21,G$3)</f>
        <v>#VALUE!</v>
      </c>
      <c r="H21" s="202" t="e">
        <f ca="1">_xll.qlOptionletVTSVolatility('EUR TermStructures'!$F$41,$B21,H$3)</f>
        <v>#VALUE!</v>
      </c>
      <c r="I21" s="202"/>
      <c r="J21" s="202" t="e">
        <f ca="1">_xll.qlOptionletVTSVolatility('EUR TermStructures'!$F$41,$B21,J$3)</f>
        <v>#VALUE!</v>
      </c>
      <c r="L21" s="110" t="e">
        <f ca="1">_xll.qlCapFloorImpliedVolatility(O21,M21,"eonia",,,,,,"Normal")</f>
        <v>#VALUE!</v>
      </c>
      <c r="M21" s="1" t="e">
        <f ca="1">_xll.qlInstrumentNPV(O21,N21)</f>
        <v>#NUM!</v>
      </c>
      <c r="N21" t="e">
        <f ca="1">_xll.qlInstrumentSetPricingEngine(O21,N$3)</f>
        <v>#VALUE!</v>
      </c>
      <c r="O21" t="str">
        <f>_xll.qlCapFloor(,"Floor",Q21,H$3)</f>
        <v>obj_0023a#0004</v>
      </c>
      <c r="Q21" s="10" t="str">
        <f>_xll.qlIborLeg(S21,T21,U21,V21,W21,X21,Y21,Z21,AA21,AB21,AC21,AD21,AE21,AF38)</f>
        <v>obj_00228#0004</v>
      </c>
      <c r="R21" s="11" t="str">
        <f>_xll.ohRangeRetrieveError(Q21)</f>
        <v/>
      </c>
      <c r="S21" s="6"/>
      <c r="T21" s="7" t="s">
        <v>39</v>
      </c>
      <c r="U21" s="25">
        <v>1000000</v>
      </c>
      <c r="V21" s="7" t="str">
        <f t="shared" si="2"/>
        <v>obj_0004b#0006</v>
      </c>
      <c r="W21" s="7"/>
      <c r="X21" s="7"/>
      <c r="Y21" s="7" t="s">
        <v>14</v>
      </c>
      <c r="Z21" s="8"/>
      <c r="AA21" s="7"/>
      <c r="AB21" s="103" t="s">
        <v>992</v>
      </c>
      <c r="AC21" s="8"/>
      <c r="AD21" s="8"/>
      <c r="AE21" s="7"/>
      <c r="AF21">
        <f>_xll.qlScheduleSize(AG21)</f>
        <v>2</v>
      </c>
      <c r="AG21" s="10" t="str">
        <f>_xll.qlSchedule(AI21,AJ21,AK21,AL21,AM21,AN21,AO21,AP21,AQ21,AR21,AS21,AT21,AU21)</f>
        <v>obj_0004b#0006</v>
      </c>
      <c r="AH21" s="11" t="str">
        <f>_xll.ohRangeRetrieveError(AG21)</f>
        <v/>
      </c>
      <c r="AI21" s="104"/>
      <c r="AJ21" s="114">
        <f>_xll.qlCalendarAdvance(Calendar,AJ$2,A21)</f>
        <v>46048</v>
      </c>
      <c r="AK21" s="114">
        <f>_xll.qlCalendarAdvance(Calendar,AJ21,"6M",)</f>
        <v>46230</v>
      </c>
      <c r="AL21" s="103" t="s">
        <v>38</v>
      </c>
      <c r="AM21" s="7" t="s">
        <v>10</v>
      </c>
      <c r="AN21" s="7" t="s">
        <v>39</v>
      </c>
      <c r="AO21" s="7" t="s">
        <v>39</v>
      </c>
      <c r="AP21" s="103" t="s">
        <v>289</v>
      </c>
      <c r="AQ21" s="7"/>
      <c r="AR21" s="14"/>
      <c r="AS21" s="14"/>
      <c r="AT21" s="7"/>
      <c r="AU21" s="9"/>
    </row>
    <row r="22" spans="1:47" ht="12" thickBot="1" x14ac:dyDescent="0.25">
      <c r="A22" s="105" t="s">
        <v>1525</v>
      </c>
      <c r="B22" s="114">
        <f>_xll.qlCalendarAdvance(Calendar,B$2,A22)</f>
        <v>46230</v>
      </c>
      <c r="C22" s="202" t="e">
        <f ca="1">_xll.qlOptionletVTSVolatility('EUR TermStructures'!$F$41,$B22,C$3)</f>
        <v>#VALUE!</v>
      </c>
      <c r="D22" s="202" t="e">
        <f ca="1">_xll.qlOptionletVTSVolatility('EUR TermStructures'!$F$41,$B22,D$3)</f>
        <v>#VALUE!</v>
      </c>
      <c r="E22" s="202" t="e">
        <f ca="1">_xll.qlOptionletVTSVolatility('EUR TermStructures'!$F$41,$B22,E$3)</f>
        <v>#VALUE!</v>
      </c>
      <c r="F22" s="202" t="e">
        <f ca="1">_xll.qlOptionletVTSVolatility('EUR TermStructures'!$F$41,$B22,F$3)</f>
        <v>#VALUE!</v>
      </c>
      <c r="G22" s="202" t="e">
        <f ca="1">_xll.qlOptionletVTSVolatility('EUR TermStructures'!$F$41,$B22,G$3)</f>
        <v>#VALUE!</v>
      </c>
      <c r="H22" s="202" t="e">
        <f ca="1">_xll.qlOptionletVTSVolatility('EUR TermStructures'!$F$41,$B22,H$3)</f>
        <v>#VALUE!</v>
      </c>
      <c r="I22" s="202"/>
      <c r="J22" s="202"/>
      <c r="L22" s="110" t="e">
        <f ca="1">_xll.qlCapFloorImpliedVolatility(O22,M22,"eonia",,,,,,"Normal")</f>
        <v>#VALUE!</v>
      </c>
      <c r="M22" s="1" t="e">
        <f ca="1">_xll.qlInstrumentNPV(O22,N22)</f>
        <v>#NUM!</v>
      </c>
      <c r="N22" t="e">
        <f ca="1">_xll.qlInstrumentSetPricingEngine(O22,N$3)</f>
        <v>#VALUE!</v>
      </c>
      <c r="O22" t="str">
        <f>_xll.qlCapFloor(,"Floor",Q22,H$3)</f>
        <v>obj_00241#0004</v>
      </c>
      <c r="Q22" s="10" t="str">
        <f>_xll.qlIborLeg(S22,T22,U22,V22,W22,X22,Y22,Z22,AA22,AB22,AC22,AD22,AE22,AF39)</f>
        <v>obj_0022f#0004</v>
      </c>
      <c r="R22" s="11" t="str">
        <f>_xll.ohRangeRetrieveError(Q22)</f>
        <v/>
      </c>
      <c r="S22" s="6"/>
      <c r="T22" s="7" t="s">
        <v>39</v>
      </c>
      <c r="U22" s="25">
        <v>1000000</v>
      </c>
      <c r="V22" s="7" t="str">
        <f t="shared" si="2"/>
        <v>obj_00041#0006</v>
      </c>
      <c r="W22" s="7"/>
      <c r="X22" s="7"/>
      <c r="Y22" s="7" t="s">
        <v>14</v>
      </c>
      <c r="Z22" s="8"/>
      <c r="AA22" s="7"/>
      <c r="AB22" s="103" t="s">
        <v>992</v>
      </c>
      <c r="AC22" s="8"/>
      <c r="AD22" s="8"/>
      <c r="AE22" s="7"/>
      <c r="AF22">
        <f>_xll.qlScheduleSize(AG22)</f>
        <v>2</v>
      </c>
      <c r="AG22" s="10" t="str">
        <f>_xll.qlSchedule(AI22,AJ22,AK22,AL22,AM22,AN22,AO22,AP22,AQ22,AR22,AS22,AT22,AU22)</f>
        <v>obj_00041#0006</v>
      </c>
      <c r="AH22" s="11" t="str">
        <f>_xll.ohRangeRetrieveError(AG22)</f>
        <v/>
      </c>
      <c r="AI22" s="104"/>
      <c r="AJ22" s="114">
        <f>_xll.qlCalendarAdvance(Calendar,AJ$2,A22)</f>
        <v>46230</v>
      </c>
      <c r="AK22" s="114">
        <f>_xll.qlCalendarAdvance(Calendar,AJ22,"6M",)</f>
        <v>46414</v>
      </c>
      <c r="AL22" s="103" t="s">
        <v>38</v>
      </c>
      <c r="AM22" s="7" t="s">
        <v>10</v>
      </c>
      <c r="AN22" s="7" t="s">
        <v>39</v>
      </c>
      <c r="AO22" s="7" t="s">
        <v>39</v>
      </c>
      <c r="AP22" s="103" t="s">
        <v>289</v>
      </c>
      <c r="AQ22" s="7"/>
      <c r="AR22" s="14"/>
      <c r="AS22" s="14"/>
      <c r="AT22" s="7"/>
      <c r="AU22" s="9"/>
    </row>
    <row r="23" spans="1:47" ht="12" thickBot="1" x14ac:dyDescent="0.25">
      <c r="A23" s="105" t="s">
        <v>79</v>
      </c>
      <c r="B23" s="114">
        <f>_xll.qlCalendarAdvance(Calendar,B$2,A23)</f>
        <v>46413</v>
      </c>
      <c r="C23" s="202" t="e">
        <f ca="1">_xll.qlOptionletVTSVolatility('EUR TermStructures'!$F$41,$B23,C$3)</f>
        <v>#VALUE!</v>
      </c>
      <c r="D23" s="202" t="e">
        <f ca="1">_xll.qlOptionletVTSVolatility('EUR TermStructures'!$F$41,$B23,D$3)</f>
        <v>#VALUE!</v>
      </c>
      <c r="E23" s="202" t="e">
        <f ca="1">_xll.qlOptionletVTSVolatility('EUR TermStructures'!$F$41,$B23,E$3)</f>
        <v>#VALUE!</v>
      </c>
      <c r="F23" s="202" t="e">
        <f ca="1">_xll.qlOptionletVTSVolatility('EUR TermStructures'!$F$41,$B23,F$3)</f>
        <v>#VALUE!</v>
      </c>
      <c r="G23" s="202" t="e">
        <f ca="1">_xll.qlOptionletVTSVolatility('EUR TermStructures'!$F$41,$B23,G$3)</f>
        <v>#VALUE!</v>
      </c>
      <c r="H23" s="202" t="e">
        <f ca="1">_xll.qlOptionletVTSVolatility('EUR TermStructures'!$F$41,$B23,H$3)</f>
        <v>#VALUE!</v>
      </c>
      <c r="I23" s="202"/>
      <c r="J23" s="202"/>
      <c r="L23" s="110" t="e">
        <f ca="1">_xll.qlCapFloorImpliedVolatility(O23,M23,"eonia",,,,,,"Normal")</f>
        <v>#VALUE!</v>
      </c>
      <c r="M23" s="1" t="e">
        <f ca="1">_xll.qlInstrumentNPV(O23,N23)</f>
        <v>#NUM!</v>
      </c>
      <c r="N23" t="e">
        <f ca="1">_xll.qlInstrumentSetPricingEngine(O23,N$3)</f>
        <v>#VALUE!</v>
      </c>
      <c r="O23" t="str">
        <f>_xll.qlCapFloor(,"Floor",Q23,H$3)</f>
        <v>obj_00264#0004</v>
      </c>
      <c r="Q23" s="10" t="str">
        <f>_xll.qlIborLeg(S23,T23,U23,V23,W23,X23,Y23,Z23,AA23,AB23,AC23,AD23,AE23,AF40)</f>
        <v>obj_00263#0004</v>
      </c>
      <c r="R23" s="11" t="str">
        <f>_xll.ohRangeRetrieveError(Q23)</f>
        <v/>
      </c>
      <c r="S23" s="6"/>
      <c r="T23" s="7" t="s">
        <v>39</v>
      </c>
      <c r="U23" s="25">
        <v>1000000</v>
      </c>
      <c r="V23" s="7" t="str">
        <f t="shared" si="2"/>
        <v>obj_0005c#0005</v>
      </c>
      <c r="W23" s="7"/>
      <c r="X23" s="7"/>
      <c r="Y23" s="7" t="s">
        <v>14</v>
      </c>
      <c r="Z23" s="8"/>
      <c r="AA23" s="7"/>
      <c r="AB23" s="103" t="s">
        <v>992</v>
      </c>
      <c r="AC23" s="8"/>
      <c r="AD23" s="8"/>
      <c r="AE23" s="7"/>
      <c r="AF23">
        <f>_xll.qlScheduleSize(AG23)</f>
        <v>2</v>
      </c>
      <c r="AG23" s="10" t="str">
        <f>_xll.qlSchedule(AI23,AJ23,AK23,AL23,AM23,AN23,AO23,AP23,AQ23,AR23,AS23,AT23,AU23)</f>
        <v>obj_0005c#0005</v>
      </c>
      <c r="AH23" s="11" t="str">
        <f>_xll.ohRangeRetrieveError(AG23)</f>
        <v/>
      </c>
      <c r="AI23" s="104"/>
      <c r="AJ23" s="114">
        <f>_xll.qlCalendarAdvance(Calendar,AJ$2,A23)</f>
        <v>46413</v>
      </c>
      <c r="AK23" s="114">
        <f>_xll.qlCalendarAdvance(Calendar,AJ23,"6M",)</f>
        <v>46594</v>
      </c>
      <c r="AL23" s="103" t="s">
        <v>38</v>
      </c>
      <c r="AM23" s="7" t="s">
        <v>10</v>
      </c>
      <c r="AN23" s="7" t="s">
        <v>39</v>
      </c>
      <c r="AO23" s="7" t="s">
        <v>39</v>
      </c>
      <c r="AP23" s="103" t="s">
        <v>289</v>
      </c>
      <c r="AQ23" s="7"/>
      <c r="AR23" s="14"/>
      <c r="AS23" s="14"/>
      <c r="AT23" s="7"/>
      <c r="AU23" s="9"/>
    </row>
    <row r="24" spans="1:47" ht="12" thickBot="1" x14ac:dyDescent="0.25">
      <c r="A24" s="105" t="s">
        <v>1526</v>
      </c>
      <c r="B24" s="114">
        <f>_xll.qlCalendarAdvance(Calendar,B$2,A24)</f>
        <v>46594</v>
      </c>
      <c r="C24" s="202" t="e">
        <f ca="1">_xll.qlOptionletVTSVolatility('EUR TermStructures'!$F$41,$B24,C$3)</f>
        <v>#VALUE!</v>
      </c>
      <c r="D24" s="202" t="e">
        <f ca="1">_xll.qlOptionletVTSVolatility('EUR TermStructures'!$F$41,$B24,D$3)</f>
        <v>#VALUE!</v>
      </c>
      <c r="E24" s="202" t="e">
        <f ca="1">_xll.qlOptionletVTSVolatility('EUR TermStructures'!$F$41,$B24,E$3)</f>
        <v>#VALUE!</v>
      </c>
      <c r="F24" s="202" t="e">
        <f ca="1">_xll.qlOptionletVTSVolatility('EUR TermStructures'!$F$41,$B24,F$3)</f>
        <v>#VALUE!</v>
      </c>
      <c r="G24" s="202" t="e">
        <f ca="1">_xll.qlOptionletVTSVolatility('EUR TermStructures'!$F$41,$B24,G$3)</f>
        <v>#VALUE!</v>
      </c>
      <c r="H24" s="202" t="e">
        <f ca="1">_xll.qlOptionletVTSVolatility('EUR TermStructures'!$F$41,$B24,H$3)</f>
        <v>#VALUE!</v>
      </c>
      <c r="I24" s="202"/>
      <c r="J24" s="202"/>
      <c r="L24" s="110" t="e">
        <f ca="1">_xll.qlCapFloorImpliedVolatility(O24,M24,"eonia",,,,,,"Normal")</f>
        <v>#VALUE!</v>
      </c>
      <c r="M24" s="1" t="e">
        <f ca="1">_xll.qlInstrumentNPV(O24,N24)</f>
        <v>#NUM!</v>
      </c>
      <c r="N24" t="e">
        <f ca="1">_xll.qlInstrumentSetPricingEngine(O24,N$3)</f>
        <v>#VALUE!</v>
      </c>
      <c r="O24" t="str">
        <f>_xll.qlCapFloor(,"Floor",Q24,H$3)</f>
        <v>obj_0026d#0004</v>
      </c>
      <c r="Q24" s="10" t="str">
        <f>_xll.qlIborLeg(S24,T24,U24,V24,W24,X24,Y24,Z24,AA24,AB24,AC24,AD24,AE24,AF41)</f>
        <v>obj_00224#0004</v>
      </c>
      <c r="R24" s="11" t="str">
        <f>_xll.ohRangeRetrieveError(Q24)</f>
        <v/>
      </c>
      <c r="S24" s="6"/>
      <c r="T24" s="7" t="s">
        <v>39</v>
      </c>
      <c r="U24" s="25">
        <v>1000000</v>
      </c>
      <c r="V24" s="7" t="str">
        <f t="shared" si="2"/>
        <v>obj_00046#0006</v>
      </c>
      <c r="W24" s="7"/>
      <c r="X24" s="7"/>
      <c r="Y24" s="7" t="s">
        <v>14</v>
      </c>
      <c r="Z24" s="8"/>
      <c r="AA24" s="7"/>
      <c r="AB24" s="103" t="s">
        <v>992</v>
      </c>
      <c r="AC24" s="8"/>
      <c r="AD24" s="8"/>
      <c r="AE24" s="7"/>
      <c r="AF24">
        <f>_xll.qlScheduleSize(AG24)</f>
        <v>2</v>
      </c>
      <c r="AG24" s="10" t="str">
        <f>_xll.qlSchedule(AI24,AJ24,AK24,AL24,AM24,AN24,AO24,AP24,AQ24,AR24,AS24,AT24,AU24)</f>
        <v>obj_00046#0006</v>
      </c>
      <c r="AH24" s="11" t="str">
        <f>_xll.ohRangeRetrieveError(AG24)</f>
        <v/>
      </c>
      <c r="AI24" s="104"/>
      <c r="AJ24" s="114">
        <f>_xll.qlCalendarAdvance(Calendar,AJ$2,A24)</f>
        <v>46594</v>
      </c>
      <c r="AK24" s="114">
        <f>_xll.qlCalendarAdvance(Calendar,AJ24,"6M",)</f>
        <v>46778</v>
      </c>
      <c r="AL24" s="103" t="s">
        <v>38</v>
      </c>
      <c r="AM24" s="7" t="s">
        <v>10</v>
      </c>
      <c r="AN24" s="7" t="s">
        <v>39</v>
      </c>
      <c r="AO24" s="7" t="s">
        <v>39</v>
      </c>
      <c r="AP24" s="103" t="s">
        <v>289</v>
      </c>
      <c r="AQ24" s="7"/>
      <c r="AR24" s="14"/>
      <c r="AS24" s="14"/>
      <c r="AT24" s="7"/>
      <c r="AU24" s="9"/>
    </row>
    <row r="25" spans="1:47" ht="12" thickBot="1" x14ac:dyDescent="0.25">
      <c r="A25" s="105" t="s">
        <v>158</v>
      </c>
      <c r="B25" s="114">
        <f>_xll.qlCalendarAdvance(Calendar,B$2,A25)</f>
        <v>46778</v>
      </c>
      <c r="C25" s="202" t="e">
        <f ca="1">_xll.qlOptionletVTSVolatility('EUR TermStructures'!$F$41,$B25,C$3)</f>
        <v>#VALUE!</v>
      </c>
      <c r="D25" s="202" t="e">
        <f ca="1">_xll.qlOptionletVTSVolatility('EUR TermStructures'!$F$41,$B25,D$3)</f>
        <v>#VALUE!</v>
      </c>
      <c r="E25" s="202" t="e">
        <f ca="1">_xll.qlOptionletVTSVolatility('EUR TermStructures'!$F$41,$B25,E$3)</f>
        <v>#VALUE!</v>
      </c>
      <c r="F25" s="202" t="e">
        <f ca="1">_xll.qlOptionletVTSVolatility('EUR TermStructures'!$F$41,$B25,F$3)</f>
        <v>#VALUE!</v>
      </c>
      <c r="G25" s="202" t="e">
        <f ca="1">_xll.qlOptionletVTSVolatility('EUR TermStructures'!$F$41,$B25,G$3)</f>
        <v>#VALUE!</v>
      </c>
      <c r="H25" s="202" t="e">
        <f ca="1">_xll.qlOptionletVTSVolatility('EUR TermStructures'!$F$41,$B25,H$3)</f>
        <v>#VALUE!</v>
      </c>
      <c r="I25" s="202"/>
      <c r="J25" s="202"/>
      <c r="L25" s="110" t="e">
        <f ca="1">_xll.qlCapFloorImpliedVolatility(O25,M25,"eonia",,,,,,"Normal")</f>
        <v>#VALUE!</v>
      </c>
      <c r="M25" s="1" t="e">
        <f ca="1">_xll.qlInstrumentNPV(O25,N25)</f>
        <v>#NUM!</v>
      </c>
      <c r="N25" t="e">
        <f ca="1">_xll.qlInstrumentSetPricingEngine(O25,N$3)</f>
        <v>#VALUE!</v>
      </c>
      <c r="O25" t="str">
        <f>_xll.qlCapFloor(,"Floor",Q25,H$3)</f>
        <v>obj_0025e#0004</v>
      </c>
      <c r="Q25" s="10" t="str">
        <f>_xll.qlIborLeg(S25,T25,U25,V25,W25,X25,Y25,Z25,AA25,AB25,AC25,AD25,AE25,AF42)</f>
        <v>obj_00238#0004</v>
      </c>
      <c r="R25" s="11" t="str">
        <f>_xll.ohRangeRetrieveError(Q25)</f>
        <v/>
      </c>
      <c r="S25" s="6"/>
      <c r="T25" s="7" t="s">
        <v>39</v>
      </c>
      <c r="U25" s="25">
        <v>1000000</v>
      </c>
      <c r="V25" s="7" t="str">
        <f t="shared" si="2"/>
        <v>obj_0005b#0005</v>
      </c>
      <c r="W25" s="7"/>
      <c r="X25" s="7"/>
      <c r="Y25" s="7" t="s">
        <v>14</v>
      </c>
      <c r="Z25" s="8"/>
      <c r="AA25" s="7"/>
      <c r="AB25" s="103" t="s">
        <v>992</v>
      </c>
      <c r="AC25" s="8"/>
      <c r="AD25" s="8"/>
      <c r="AE25" s="7"/>
      <c r="AF25">
        <f>_xll.qlScheduleSize(AG25)</f>
        <v>2</v>
      </c>
      <c r="AG25" s="10" t="str">
        <f>_xll.qlSchedule(AI25,AJ25,AK25,AL25,AM25,AN25,AO25,AP25,AQ25,AR25,AS25,AT25,AU25)</f>
        <v>obj_0005b#0005</v>
      </c>
      <c r="AH25" s="11" t="str">
        <f>_xll.ohRangeRetrieveError(AG25)</f>
        <v/>
      </c>
      <c r="AI25" s="104"/>
      <c r="AJ25" s="114">
        <f>_xll.qlCalendarAdvance(Calendar,AJ$2,A25)</f>
        <v>46778</v>
      </c>
      <c r="AK25" s="114">
        <f>_xll.qlCalendarAdvance(Calendar,AJ25,"6M",)</f>
        <v>46960</v>
      </c>
      <c r="AL25" s="103" t="s">
        <v>38</v>
      </c>
      <c r="AM25" s="7" t="s">
        <v>10</v>
      </c>
      <c r="AN25" s="7" t="s">
        <v>39</v>
      </c>
      <c r="AO25" s="7" t="s">
        <v>39</v>
      </c>
      <c r="AP25" s="103" t="s">
        <v>289</v>
      </c>
      <c r="AQ25" s="7"/>
      <c r="AR25" s="14"/>
      <c r="AS25" s="14"/>
      <c r="AT25" s="7"/>
      <c r="AU25" s="9"/>
    </row>
    <row r="26" spans="1:47" ht="12" thickBot="1" x14ac:dyDescent="0.25">
      <c r="A26" s="105" t="s">
        <v>1527</v>
      </c>
      <c r="B26" s="114">
        <f>_xll.qlCalendarAdvance(Calendar,B$2,A26)</f>
        <v>46960</v>
      </c>
      <c r="C26" s="202" t="e">
        <f ca="1">_xll.qlOptionletVTSVolatility('EUR TermStructures'!$F$41,$B26,C$3)</f>
        <v>#VALUE!</v>
      </c>
      <c r="D26" s="202" t="e">
        <f ca="1">_xll.qlOptionletVTSVolatility('EUR TermStructures'!$F$41,$B26,D$3)</f>
        <v>#VALUE!</v>
      </c>
      <c r="E26" s="202" t="e">
        <f ca="1">_xll.qlOptionletVTSVolatility('EUR TermStructures'!$F$41,$B26,E$3)</f>
        <v>#VALUE!</v>
      </c>
      <c r="F26" s="202" t="e">
        <f ca="1">_xll.qlOptionletVTSVolatility('EUR TermStructures'!$F$41,$B26,F$3)</f>
        <v>#VALUE!</v>
      </c>
      <c r="G26" s="202" t="e">
        <f ca="1">_xll.qlOptionletVTSVolatility('EUR TermStructures'!$F$41,$B26,G$3)</f>
        <v>#VALUE!</v>
      </c>
      <c r="H26" s="202" t="e">
        <f ca="1">_xll.qlOptionletVTSVolatility('EUR TermStructures'!$F$41,$B26,H$3)</f>
        <v>#VALUE!</v>
      </c>
      <c r="I26" s="202"/>
      <c r="J26" s="202"/>
      <c r="L26" s="110" t="e">
        <f ca="1">_xll.qlCapFloorImpliedVolatility(O26,M26,"eonia",,,,,,"Normal")</f>
        <v>#VALUE!</v>
      </c>
      <c r="M26" s="1" t="e">
        <f ca="1">_xll.qlInstrumentNPV(O26,N26)</f>
        <v>#NUM!</v>
      </c>
      <c r="N26" t="e">
        <f ca="1">_xll.qlInstrumentSetPricingEngine(O26,N$3)</f>
        <v>#VALUE!</v>
      </c>
      <c r="O26" t="str">
        <f>_xll.qlCapFloor(,"Floor",Q26,H$3)</f>
        <v>obj_00269#0004</v>
      </c>
      <c r="Q26" s="10" t="str">
        <f>_xll.qlIborLeg(S26,T26,U26,V26,W26,X26,Y26,Z26,AA26,AB26,AC26,AD26,AE26,AF43)</f>
        <v>obj_00225#0004</v>
      </c>
      <c r="R26" s="11" t="str">
        <f>_xll.ohRangeRetrieveError(Q26)</f>
        <v/>
      </c>
      <c r="S26" s="6"/>
      <c r="T26" s="7" t="s">
        <v>39</v>
      </c>
      <c r="U26" s="25">
        <v>1000000</v>
      </c>
      <c r="V26" s="7" t="str">
        <f t="shared" si="2"/>
        <v>obj_0004e#0006</v>
      </c>
      <c r="W26" s="7"/>
      <c r="X26" s="7"/>
      <c r="Y26" s="7" t="s">
        <v>14</v>
      </c>
      <c r="Z26" s="8"/>
      <c r="AA26" s="7"/>
      <c r="AB26" s="103" t="s">
        <v>992</v>
      </c>
      <c r="AC26" s="8"/>
      <c r="AD26" s="8"/>
      <c r="AE26" s="7"/>
      <c r="AF26">
        <f>_xll.qlScheduleSize(AG26)</f>
        <v>2</v>
      </c>
      <c r="AG26" s="10" t="str">
        <f>_xll.qlSchedule(AI26,AJ26,AK26,AL26,AM26,AN26,AO26,AP26,AQ26,AR26,AS26,AT26,AU26)</f>
        <v>obj_0004e#0006</v>
      </c>
      <c r="AH26" s="11" t="str">
        <f>_xll.ohRangeRetrieveError(AG26)</f>
        <v/>
      </c>
      <c r="AI26" s="104"/>
      <c r="AJ26" s="114">
        <f>_xll.qlCalendarAdvance(Calendar,AJ$2,A26)</f>
        <v>46960</v>
      </c>
      <c r="AK26" s="114">
        <f>_xll.qlCalendarAdvance(Calendar,AJ26,"6M",)</f>
        <v>47144</v>
      </c>
      <c r="AL26" s="103" t="s">
        <v>38</v>
      </c>
      <c r="AM26" s="7" t="s">
        <v>10</v>
      </c>
      <c r="AN26" s="7" t="s">
        <v>39</v>
      </c>
      <c r="AO26" s="7" t="s">
        <v>39</v>
      </c>
      <c r="AP26" s="103" t="s">
        <v>289</v>
      </c>
      <c r="AQ26" s="7"/>
      <c r="AR26" s="14"/>
      <c r="AS26" s="14"/>
      <c r="AT26" s="7"/>
      <c r="AU26" s="9"/>
    </row>
    <row r="27" spans="1:47" ht="12" thickBot="1" x14ac:dyDescent="0.25">
      <c r="A27" s="105" t="s">
        <v>159</v>
      </c>
      <c r="B27" s="114">
        <f>_xll.qlCalendarAdvance(Calendar,B$2,A27)</f>
        <v>47144</v>
      </c>
      <c r="C27" s="202" t="e">
        <f ca="1">_xll.qlOptionletVTSVolatility('EUR TermStructures'!$F$41,$B27,C$3)</f>
        <v>#VALUE!</v>
      </c>
      <c r="D27" s="202" t="e">
        <f ca="1">_xll.qlOptionletVTSVolatility('EUR TermStructures'!$F$41,$B27,D$3)</f>
        <v>#VALUE!</v>
      </c>
      <c r="E27" s="202" t="e">
        <f ca="1">_xll.qlOptionletVTSVolatility('EUR TermStructures'!$F$41,$B27,E$3)</f>
        <v>#VALUE!</v>
      </c>
      <c r="F27" s="202" t="e">
        <f ca="1">_xll.qlOptionletVTSVolatility('EUR TermStructures'!$F$41,$B27,F$3)</f>
        <v>#VALUE!</v>
      </c>
      <c r="G27" s="202" t="e">
        <f ca="1">_xll.qlOptionletVTSVolatility('EUR TermStructures'!$F$41,$B27,G$3)</f>
        <v>#VALUE!</v>
      </c>
      <c r="H27" s="202" t="e">
        <f ca="1">_xll.qlOptionletVTSVolatility('EUR TermStructures'!$F$41,$B27,H$3)</f>
        <v>#VALUE!</v>
      </c>
      <c r="I27" s="202"/>
      <c r="J27" s="202"/>
      <c r="L27" s="110" t="e">
        <f ca="1">_xll.qlCapFloorImpliedVolatility(O27,M27,"eonia",,,,,,"Normal")</f>
        <v>#VALUE!</v>
      </c>
      <c r="M27" s="1" t="e">
        <f ca="1">_xll.qlInstrumentNPV(O27,N27)</f>
        <v>#NUM!</v>
      </c>
      <c r="N27" t="e">
        <f ca="1">_xll.qlInstrumentSetPricingEngine(O27,N$3)</f>
        <v>#VALUE!</v>
      </c>
      <c r="O27" t="str">
        <f>_xll.qlCapFloor(,"Floor",Q27,H$3)</f>
        <v>obj_0023d#0004</v>
      </c>
      <c r="Q27" s="10" t="str">
        <f>_xll.qlIborLeg(S27,T27,U27,V27,W27,X27,Y27,Z27,AA27,AB27,AC27,AD27,AE27,AF44)</f>
        <v>obj_0022d#0004</v>
      </c>
      <c r="R27" s="11" t="str">
        <f>_xll.ohRangeRetrieveError(Q27)</f>
        <v/>
      </c>
      <c r="S27" s="6"/>
      <c r="T27" s="7" t="s">
        <v>39</v>
      </c>
      <c r="U27" s="25">
        <v>1000000</v>
      </c>
      <c r="V27" s="7" t="str">
        <f t="shared" ref="V27:V44" si="3">AG27</f>
        <v>obj_0003e#0006</v>
      </c>
      <c r="W27" s="7"/>
      <c r="X27" s="7"/>
      <c r="Y27" s="7" t="s">
        <v>14</v>
      </c>
      <c r="Z27" s="8"/>
      <c r="AA27" s="7"/>
      <c r="AB27" s="103" t="s">
        <v>992</v>
      </c>
      <c r="AC27" s="8"/>
      <c r="AD27" s="8"/>
      <c r="AE27" s="7"/>
      <c r="AF27">
        <f>_xll.qlScheduleSize(AG27)</f>
        <v>2</v>
      </c>
      <c r="AG27" s="10" t="str">
        <f>_xll.qlSchedule(AI27,AJ27,AK27,AL27,AM27,AN27,AO27,AP27,AQ27,AR27,AS27,AT27,AU27)</f>
        <v>obj_0003e#0006</v>
      </c>
      <c r="AH27" s="11" t="str">
        <f>_xll.ohRangeRetrieveError(AG27)</f>
        <v/>
      </c>
      <c r="AI27" s="104"/>
      <c r="AJ27" s="114">
        <f>_xll.qlCalendarAdvance(Calendar,AJ$2,A27)</f>
        <v>47144</v>
      </c>
      <c r="AK27" s="114">
        <f>_xll.qlCalendarAdvance(Calendar,AJ27,"6M",)</f>
        <v>47325</v>
      </c>
      <c r="AL27" s="103" t="s">
        <v>38</v>
      </c>
      <c r="AM27" s="7" t="s">
        <v>10</v>
      </c>
      <c r="AN27" s="7" t="s">
        <v>39</v>
      </c>
      <c r="AO27" s="7" t="s">
        <v>39</v>
      </c>
      <c r="AP27" s="103" t="s">
        <v>289</v>
      </c>
      <c r="AQ27" s="7"/>
      <c r="AR27" s="14"/>
      <c r="AS27" s="14"/>
      <c r="AT27" s="7"/>
      <c r="AU27" s="9"/>
    </row>
    <row r="28" spans="1:47" ht="12" thickBot="1" x14ac:dyDescent="0.25">
      <c r="A28" s="105" t="s">
        <v>1528</v>
      </c>
      <c r="B28" s="114">
        <f>_xll.qlCalendarAdvance(Calendar,B$2,A28)</f>
        <v>47325</v>
      </c>
      <c r="C28" s="202" t="e">
        <f ca="1">_xll.qlOptionletVTSVolatility('EUR TermStructures'!$F$41,$B28,C$3)</f>
        <v>#VALUE!</v>
      </c>
      <c r="D28" s="202" t="e">
        <f ca="1">_xll.qlOptionletVTSVolatility('EUR TermStructures'!$F$41,$B28,D$3)</f>
        <v>#VALUE!</v>
      </c>
      <c r="E28" s="202" t="e">
        <f ca="1">_xll.qlOptionletVTSVolatility('EUR TermStructures'!$F$41,$B28,E$3)</f>
        <v>#VALUE!</v>
      </c>
      <c r="F28" s="202" t="e">
        <f ca="1">_xll.qlOptionletVTSVolatility('EUR TermStructures'!$F$41,$B28,F$3)</f>
        <v>#VALUE!</v>
      </c>
      <c r="G28" s="202" t="e">
        <f ca="1">_xll.qlOptionletVTSVolatility('EUR TermStructures'!$F$41,$B28,G$3)</f>
        <v>#VALUE!</v>
      </c>
      <c r="H28" s="202" t="e">
        <f ca="1">_xll.qlOptionletVTSVolatility('EUR TermStructures'!$F$41,$B28,H$3)</f>
        <v>#VALUE!</v>
      </c>
      <c r="I28" s="202"/>
      <c r="J28" s="202"/>
      <c r="L28" s="110" t="e">
        <f ca="1">_xll.qlCapFloorImpliedVolatility(O28,M28,"eonia",,,,,,"Normal")</f>
        <v>#VALUE!</v>
      </c>
      <c r="M28" s="1" t="e">
        <f ca="1">_xll.qlInstrumentNPV(O28,N28)</f>
        <v>#NUM!</v>
      </c>
      <c r="N28" t="e">
        <f ca="1">_xll.qlInstrumentSetPricingEngine(O28,N$3)</f>
        <v>#VALUE!</v>
      </c>
      <c r="O28" t="str">
        <f>_xll.qlCapFloor(,"Floor",Q28,H$3)</f>
        <v>obj_00248#0004</v>
      </c>
      <c r="Q28" s="10" t="str">
        <f>_xll.qlIborLeg(S28,T28,U28,V28,W28,X28,Y28,Z28,AA28,AB28,AC28,AD28,AE28,AF45)</f>
        <v>obj_0021f#0005</v>
      </c>
      <c r="R28" s="11" t="str">
        <f>_xll.ohRangeRetrieveError(Q28)</f>
        <v/>
      </c>
      <c r="S28" s="6"/>
      <c r="T28" s="7" t="s">
        <v>39</v>
      </c>
      <c r="U28" s="25">
        <v>1000000</v>
      </c>
      <c r="V28" s="7" t="str">
        <f t="shared" si="3"/>
        <v>obj_0003c#0006</v>
      </c>
      <c r="W28" s="7"/>
      <c r="X28" s="7"/>
      <c r="Y28" s="7" t="s">
        <v>14</v>
      </c>
      <c r="Z28" s="8"/>
      <c r="AA28" s="7"/>
      <c r="AB28" s="103" t="s">
        <v>992</v>
      </c>
      <c r="AC28" s="8"/>
      <c r="AD28" s="8"/>
      <c r="AE28" s="7"/>
      <c r="AF28">
        <f>_xll.qlScheduleSize(AG28)</f>
        <v>2</v>
      </c>
      <c r="AG28" s="10" t="str">
        <f>_xll.qlSchedule(AI28,AJ28,AK28,AL28,AM28,AN28,AO28,AP28,AQ28,AR28,AS28,AT28,AU28)</f>
        <v>obj_0003c#0006</v>
      </c>
      <c r="AH28" s="11" t="str">
        <f>_xll.ohRangeRetrieveError(AG28)</f>
        <v/>
      </c>
      <c r="AI28" s="104"/>
      <c r="AJ28" s="114">
        <f>_xll.qlCalendarAdvance(Calendar,AJ$2,A28)</f>
        <v>47325</v>
      </c>
      <c r="AK28" s="114">
        <f>_xll.qlCalendarAdvance(Calendar,AJ28,"6M",)</f>
        <v>47511</v>
      </c>
      <c r="AL28" s="103" t="s">
        <v>38</v>
      </c>
      <c r="AM28" s="7" t="s">
        <v>10</v>
      </c>
      <c r="AN28" s="7" t="s">
        <v>39</v>
      </c>
      <c r="AO28" s="7" t="s">
        <v>39</v>
      </c>
      <c r="AP28" s="103" t="s">
        <v>289</v>
      </c>
      <c r="AQ28" s="7"/>
      <c r="AR28" s="14"/>
      <c r="AS28" s="14"/>
      <c r="AT28" s="7"/>
      <c r="AU28" s="9"/>
    </row>
    <row r="29" spans="1:47" ht="12" thickBot="1" x14ac:dyDescent="0.25">
      <c r="A29" s="105" t="s">
        <v>160</v>
      </c>
      <c r="B29" s="114">
        <f>_xll.qlCalendarAdvance(Calendar,B$2,A29)</f>
        <v>47511</v>
      </c>
      <c r="C29" s="202" t="e">
        <f ca="1">_xll.qlOptionletVTSVolatility('EUR TermStructures'!$F$41,$B29,C$3)</f>
        <v>#VALUE!</v>
      </c>
      <c r="D29" s="202" t="e">
        <f ca="1">_xll.qlOptionletVTSVolatility('EUR TermStructures'!$F$41,$B29,D$3)</f>
        <v>#VALUE!</v>
      </c>
      <c r="E29" s="202" t="e">
        <f ca="1">_xll.qlOptionletVTSVolatility('EUR TermStructures'!$F$41,$B29,E$3)</f>
        <v>#VALUE!</v>
      </c>
      <c r="F29" s="202" t="e">
        <f ca="1">_xll.qlOptionletVTSVolatility('EUR TermStructures'!$F$41,$B29,F$3)</f>
        <v>#VALUE!</v>
      </c>
      <c r="G29" s="202" t="e">
        <f ca="1">_xll.qlOptionletVTSVolatility('EUR TermStructures'!$F$41,$B29,G$3)</f>
        <v>#VALUE!</v>
      </c>
      <c r="H29" s="202" t="e">
        <f ca="1">_xll.qlOptionletVTSVolatility('EUR TermStructures'!$F$41,$B29,H$3)</f>
        <v>#VALUE!</v>
      </c>
      <c r="I29" s="202"/>
      <c r="J29" s="202"/>
      <c r="L29" s="110" t="e">
        <f ca="1">_xll.qlCapFloorImpliedVolatility(O29,M29,"eonia",,,,,,"Normal")</f>
        <v>#VALUE!</v>
      </c>
      <c r="M29" s="1" t="e">
        <f ca="1">_xll.qlInstrumentNPV(O29,N29)</f>
        <v>#NUM!</v>
      </c>
      <c r="N29" t="e">
        <f ca="1">_xll.qlInstrumentSetPricingEngine(O29,N$3)</f>
        <v>#VALUE!</v>
      </c>
      <c r="O29" t="str">
        <f>_xll.qlCapFloor(,"Floor",Q29,H$3)</f>
        <v>obj_00237#0004</v>
      </c>
      <c r="Q29" s="10" t="str">
        <f>_xll.qlIborLeg(S29,T29,U29,V29,W29,X29,Y29,Z29,AA29,AB29,AC29,AD29,AE29,AF46)</f>
        <v>obj_00222#0005</v>
      </c>
      <c r="R29" s="11" t="str">
        <f>_xll.ohRangeRetrieveError(Q29)</f>
        <v/>
      </c>
      <c r="S29" s="6"/>
      <c r="T29" s="7" t="s">
        <v>39</v>
      </c>
      <c r="U29" s="25">
        <v>1000000</v>
      </c>
      <c r="V29" s="7" t="str">
        <f t="shared" si="3"/>
        <v>obj_00040#0006</v>
      </c>
      <c r="W29" s="7"/>
      <c r="X29" s="7"/>
      <c r="Y29" s="7" t="s">
        <v>14</v>
      </c>
      <c r="Z29" s="8"/>
      <c r="AA29" s="7"/>
      <c r="AB29" s="103" t="s">
        <v>992</v>
      </c>
      <c r="AC29" s="8"/>
      <c r="AD29" s="8"/>
      <c r="AE29" s="7"/>
      <c r="AF29">
        <f>_xll.qlScheduleSize(AG29)</f>
        <v>2</v>
      </c>
      <c r="AG29" s="10" t="str">
        <f>_xll.qlSchedule(AI29,AJ29,AK29,AL29,AM29,AN29,AO29,AP29,AQ29,AR29,AS29,AT29,AU29)</f>
        <v>obj_00040#0006</v>
      </c>
      <c r="AH29" s="11" t="str">
        <f>_xll.ohRangeRetrieveError(AG29)</f>
        <v/>
      </c>
      <c r="AI29" s="104"/>
      <c r="AJ29" s="114">
        <f>_xll.qlCalendarAdvance(Calendar,AJ$2,A29)</f>
        <v>47511</v>
      </c>
      <c r="AK29" s="114">
        <f>_xll.qlCalendarAdvance(Calendar,AJ29,"6M",)</f>
        <v>47693</v>
      </c>
      <c r="AL29" s="103" t="s">
        <v>38</v>
      </c>
      <c r="AM29" s="7" t="s">
        <v>10</v>
      </c>
      <c r="AN29" s="7" t="s">
        <v>39</v>
      </c>
      <c r="AO29" s="7" t="s">
        <v>39</v>
      </c>
      <c r="AP29" s="103" t="s">
        <v>289</v>
      </c>
      <c r="AQ29" s="7"/>
      <c r="AR29" s="14"/>
      <c r="AS29" s="14"/>
      <c r="AT29" s="7"/>
      <c r="AU29" s="9"/>
    </row>
    <row r="30" spans="1:47" ht="12" thickBot="1" x14ac:dyDescent="0.25">
      <c r="A30" s="105" t="s">
        <v>1534</v>
      </c>
      <c r="B30" s="114">
        <f>_xll.qlCalendarAdvance(Calendar,B$2,A30)</f>
        <v>47690</v>
      </c>
      <c r="C30" s="202" t="e">
        <f ca="1">_xll.qlOptionletVTSVolatility('EUR TermStructures'!$F$41,$B30,C$3)</f>
        <v>#VALUE!</v>
      </c>
      <c r="D30" s="202" t="e">
        <f ca="1">_xll.qlOptionletVTSVolatility('EUR TermStructures'!$F$41,$B30,D$3)</f>
        <v>#VALUE!</v>
      </c>
      <c r="E30" s="202" t="e">
        <f ca="1">_xll.qlOptionletVTSVolatility('EUR TermStructures'!$F$41,$B30,E$3)</f>
        <v>#VALUE!</v>
      </c>
      <c r="F30" s="202" t="e">
        <f ca="1">_xll.qlOptionletVTSVolatility('EUR TermStructures'!$F$41,$B30,F$3)</f>
        <v>#VALUE!</v>
      </c>
      <c r="G30" s="202" t="e">
        <f ca="1">_xll.qlOptionletVTSVolatility('EUR TermStructures'!$F$41,$B30,G$3)</f>
        <v>#VALUE!</v>
      </c>
      <c r="H30" s="202" t="e">
        <f ca="1">_xll.qlOptionletVTSVolatility('EUR TermStructures'!$F$41,$B30,H$3)</f>
        <v>#VALUE!</v>
      </c>
      <c r="I30" s="202"/>
      <c r="J30" s="202"/>
      <c r="L30" s="110" t="e">
        <f ca="1">_xll.qlCapFloorImpliedVolatility(O30,M30,"eonia",,,,,,"Normal")</f>
        <v>#VALUE!</v>
      </c>
      <c r="M30" s="1" t="e">
        <f ca="1">_xll.qlInstrumentNPV(O30,N30)</f>
        <v>#NUM!</v>
      </c>
      <c r="N30" t="e">
        <f ca="1">_xll.qlInstrumentSetPricingEngine(O30,N$3)</f>
        <v>#VALUE!</v>
      </c>
      <c r="O30" t="str">
        <f>_xll.qlCapFloor(,"Floor",Q30,H$3)</f>
        <v>obj_0025f#0004</v>
      </c>
      <c r="Q30" s="10" t="str">
        <f>_xll.qlIborLeg(S30,T30,U30,V30,W30,X30,Y30,Z30,AA30,AB30,AC30,AD30,AE30,AF47)</f>
        <v>obj_0022b#0004</v>
      </c>
      <c r="R30" s="11" t="str">
        <f>_xll.ohRangeRetrieveError(Q30)</f>
        <v/>
      </c>
      <c r="S30" s="6"/>
      <c r="T30" s="7" t="s">
        <v>39</v>
      </c>
      <c r="U30" s="25">
        <v>1000000</v>
      </c>
      <c r="V30" s="7" t="str">
        <f t="shared" si="3"/>
        <v>obj_00052#0006</v>
      </c>
      <c r="W30" s="7"/>
      <c r="X30" s="7"/>
      <c r="Y30" s="7" t="s">
        <v>14</v>
      </c>
      <c r="Z30" s="8"/>
      <c r="AA30" s="7"/>
      <c r="AB30" s="103" t="s">
        <v>992</v>
      </c>
      <c r="AC30" s="8"/>
      <c r="AD30" s="8"/>
      <c r="AE30" s="7"/>
      <c r="AF30">
        <f>_xll.qlScheduleSize(AG30)</f>
        <v>2</v>
      </c>
      <c r="AG30" s="10" t="str">
        <f>_xll.qlSchedule(AI30,AJ30,AK30,AL30,AM30,AN30,AO30,AP30,AQ30,AR30,AS30,AT30,AU30)</f>
        <v>obj_00052#0006</v>
      </c>
      <c r="AH30" s="11" t="str">
        <f>_xll.ohRangeRetrieveError(AG30)</f>
        <v/>
      </c>
      <c r="AI30" s="104"/>
      <c r="AJ30" s="114">
        <f>_xll.qlCalendarAdvance(Calendar,AJ$2,A30)</f>
        <v>47690</v>
      </c>
      <c r="AK30" s="114">
        <f>_xll.qlCalendarAdvance(Calendar,AJ30,"6M",)</f>
        <v>47875</v>
      </c>
      <c r="AL30" s="103" t="s">
        <v>38</v>
      </c>
      <c r="AM30" s="7" t="s">
        <v>10</v>
      </c>
      <c r="AN30" s="7" t="s">
        <v>39</v>
      </c>
      <c r="AO30" s="7" t="s">
        <v>39</v>
      </c>
      <c r="AP30" s="103" t="s">
        <v>289</v>
      </c>
      <c r="AQ30" s="7"/>
      <c r="AR30" s="14"/>
      <c r="AS30" s="14"/>
      <c r="AT30" s="7"/>
      <c r="AU30" s="9"/>
    </row>
    <row r="31" spans="1:47" ht="12" thickBot="1" x14ac:dyDescent="0.25">
      <c r="A31" s="105" t="s">
        <v>1529</v>
      </c>
      <c r="B31" s="114">
        <f>_xll.qlCalendarAdvance(Calendar,B$2,A31)</f>
        <v>47875</v>
      </c>
      <c r="C31" s="202" t="e">
        <f ca="1">_xll.qlOptionletVTSVolatility('EUR TermStructures'!$F$41,$B31,C$3)</f>
        <v>#VALUE!</v>
      </c>
      <c r="D31" s="202" t="e">
        <f ca="1">_xll.qlOptionletVTSVolatility('EUR TermStructures'!$F$41,$B31,D$3)</f>
        <v>#VALUE!</v>
      </c>
      <c r="E31" s="202" t="e">
        <f ca="1">_xll.qlOptionletVTSVolatility('EUR TermStructures'!$F$41,$B31,E$3)</f>
        <v>#VALUE!</v>
      </c>
      <c r="F31" s="202" t="e">
        <f ca="1">_xll.qlOptionletVTSVolatility('EUR TermStructures'!$F$41,$B31,F$3)</f>
        <v>#VALUE!</v>
      </c>
      <c r="G31" s="202" t="e">
        <f ca="1">_xll.qlOptionletVTSVolatility('EUR TermStructures'!$F$41,$B31,G$3)</f>
        <v>#VALUE!</v>
      </c>
      <c r="H31" s="202" t="e">
        <f ca="1">_xll.qlOptionletVTSVolatility('EUR TermStructures'!$F$41,$B31,H$3)</f>
        <v>#VALUE!</v>
      </c>
      <c r="I31" s="202"/>
      <c r="J31" s="202"/>
      <c r="L31" s="110" t="e">
        <f ca="1">_xll.qlCapFloorImpliedVolatility(O31,M31,"eonia",,,,,,"Normal")</f>
        <v>#VALUE!</v>
      </c>
      <c r="M31" s="1" t="e">
        <f ca="1">_xll.qlInstrumentNPV(O31,N31)</f>
        <v>#NUM!</v>
      </c>
      <c r="N31" t="e">
        <f ca="1">_xll.qlInstrumentSetPricingEngine(O31,N$3)</f>
        <v>#VALUE!</v>
      </c>
      <c r="O31" t="str">
        <f>_xll.qlCapFloor(,"Floor",Q31,H$3)</f>
        <v>obj_0022c#0004</v>
      </c>
      <c r="Q31" s="10" t="str">
        <f>_xll.qlIborLeg(S31,T31,U31,V31,W31,X31,Y31,Z31,AA31,AB31,AC31,AD31,AE31,AF48)</f>
        <v>obj_0021d#0005</v>
      </c>
      <c r="R31" s="11" t="str">
        <f>_xll.ohRangeRetrieveError(Q31)</f>
        <v/>
      </c>
      <c r="S31" s="6"/>
      <c r="T31" s="7" t="s">
        <v>39</v>
      </c>
      <c r="U31" s="25">
        <v>1000000</v>
      </c>
      <c r="V31" s="7" t="str">
        <f t="shared" si="3"/>
        <v>obj_0003d#0006</v>
      </c>
      <c r="W31" s="7"/>
      <c r="X31" s="7"/>
      <c r="Y31" s="7" t="s">
        <v>14</v>
      </c>
      <c r="Z31" s="8"/>
      <c r="AA31" s="7"/>
      <c r="AB31" s="103" t="s">
        <v>992</v>
      </c>
      <c r="AC31" s="8"/>
      <c r="AD31" s="8"/>
      <c r="AE31" s="7"/>
      <c r="AF31">
        <f>_xll.qlScheduleSize(AG31)</f>
        <v>2</v>
      </c>
      <c r="AG31" s="10" t="str">
        <f>_xll.qlSchedule(AI31,AJ31,AK31,AL31,AM31,AN31,AO31,AP31,AQ31,AR31,AS31,AT31,AU31)</f>
        <v>obj_0003d#0006</v>
      </c>
      <c r="AH31" s="11" t="str">
        <f>_xll.ohRangeRetrieveError(AG31)</f>
        <v/>
      </c>
      <c r="AI31" s="104"/>
      <c r="AJ31" s="114">
        <f>_xll.qlCalendarAdvance(Calendar,AJ$2,A31)</f>
        <v>47875</v>
      </c>
      <c r="AK31" s="114">
        <f>_xll.qlCalendarAdvance(Calendar,AJ31,"6M",)</f>
        <v>48057</v>
      </c>
      <c r="AL31" s="103" t="s">
        <v>38</v>
      </c>
      <c r="AM31" s="7" t="s">
        <v>10</v>
      </c>
      <c r="AN31" s="7" t="s">
        <v>39</v>
      </c>
      <c r="AO31" s="7" t="s">
        <v>39</v>
      </c>
      <c r="AP31" s="103" t="s">
        <v>289</v>
      </c>
      <c r="AQ31" s="7"/>
      <c r="AR31" s="14"/>
      <c r="AS31" s="14"/>
      <c r="AT31" s="7"/>
      <c r="AU31" s="9"/>
    </row>
    <row r="32" spans="1:47" ht="12" thickBot="1" x14ac:dyDescent="0.25">
      <c r="A32" s="105" t="s">
        <v>1535</v>
      </c>
      <c r="B32" s="114">
        <f>_xll.qlCalendarAdvance(Calendar,B$2,A32)</f>
        <v>48057</v>
      </c>
      <c r="C32" s="202" t="e">
        <f ca="1">_xll.qlOptionletVTSVolatility('EUR TermStructures'!$F$41,$B32,C$3)</f>
        <v>#VALUE!</v>
      </c>
      <c r="D32" s="202" t="e">
        <f ca="1">_xll.qlOptionletVTSVolatility('EUR TermStructures'!$F$41,$B32,D$3)</f>
        <v>#VALUE!</v>
      </c>
      <c r="E32" s="202" t="e">
        <f ca="1">_xll.qlOptionletVTSVolatility('EUR TermStructures'!$F$41,$B32,E$3)</f>
        <v>#VALUE!</v>
      </c>
      <c r="F32" s="202" t="e">
        <f ca="1">_xll.qlOptionletVTSVolatility('EUR TermStructures'!$F$41,$B32,F$3)</f>
        <v>#VALUE!</v>
      </c>
      <c r="G32" s="202" t="e">
        <f ca="1">_xll.qlOptionletVTSVolatility('EUR TermStructures'!$F$41,$B32,G$3)</f>
        <v>#VALUE!</v>
      </c>
      <c r="H32" s="202" t="e">
        <f ca="1">_xll.qlOptionletVTSVolatility('EUR TermStructures'!$F$41,$B32,H$3)</f>
        <v>#VALUE!</v>
      </c>
      <c r="I32" s="202"/>
      <c r="J32" s="202"/>
      <c r="L32" s="110" t="e">
        <f ca="1">_xll.qlCapFloorImpliedVolatility(O32,M32,"eonia",,,,,,"Normal")</f>
        <v>#VALUE!</v>
      </c>
      <c r="M32" s="1" t="e">
        <f ca="1">_xll.qlInstrumentNPV(O32,N32)</f>
        <v>#NUM!</v>
      </c>
      <c r="N32" t="e">
        <f ca="1">_xll.qlInstrumentSetPricingEngine(O32,N$3)</f>
        <v>#VALUE!</v>
      </c>
      <c r="O32" t="str">
        <f>_xll.qlCapFloor(,"Floor",Q32,H$3)</f>
        <v>obj_00231#0004</v>
      </c>
      <c r="Q32" s="10" t="str">
        <f>_xll.qlIborLeg(S32,T32,U32,V32,W32,X32,Y32,Z32,AA32,AB32,AC32,AD32,AE32,AF49)</f>
        <v>obj_00230#0004</v>
      </c>
      <c r="R32" s="11" t="str">
        <f>_xll.ohRangeRetrieveError(Q32)</f>
        <v/>
      </c>
      <c r="S32" s="6"/>
      <c r="T32" s="7" t="s">
        <v>39</v>
      </c>
      <c r="U32" s="25">
        <v>1000000</v>
      </c>
      <c r="V32" s="7" t="str">
        <f t="shared" si="3"/>
        <v>obj_00045#0006</v>
      </c>
      <c r="W32" s="7"/>
      <c r="X32" s="7"/>
      <c r="Y32" s="7" t="s">
        <v>14</v>
      </c>
      <c r="Z32" s="8"/>
      <c r="AA32" s="7"/>
      <c r="AB32" s="103" t="s">
        <v>992</v>
      </c>
      <c r="AC32" s="8"/>
      <c r="AD32" s="8"/>
      <c r="AE32" s="7"/>
      <c r="AF32">
        <f>_xll.qlScheduleSize(AG32)</f>
        <v>2</v>
      </c>
      <c r="AG32" s="10" t="str">
        <f>_xll.qlSchedule(AI32,AJ32,AK32,AL32,AM32,AN32,AO32,AP32,AQ32,AR32,AS32,AT32,AU32)</f>
        <v>obj_00045#0006</v>
      </c>
      <c r="AH32" s="11" t="str">
        <f>_xll.ohRangeRetrieveError(AG32)</f>
        <v/>
      </c>
      <c r="AI32" s="104"/>
      <c r="AJ32" s="114">
        <f>_xll.qlCalendarAdvance(Calendar,AJ$2,A32)</f>
        <v>48057</v>
      </c>
      <c r="AK32" s="114">
        <f>_xll.qlCalendarAdvance(Calendar,AJ32,"6M",)</f>
        <v>48241</v>
      </c>
      <c r="AL32" s="103" t="s">
        <v>38</v>
      </c>
      <c r="AM32" s="7" t="s">
        <v>10</v>
      </c>
      <c r="AN32" s="7" t="s">
        <v>39</v>
      </c>
      <c r="AO32" s="7" t="s">
        <v>39</v>
      </c>
      <c r="AP32" s="103" t="s">
        <v>289</v>
      </c>
      <c r="AQ32" s="7"/>
      <c r="AR32" s="14"/>
      <c r="AS32" s="14"/>
      <c r="AT32" s="7"/>
      <c r="AU32" s="9"/>
    </row>
    <row r="33" spans="1:47" ht="12" thickBot="1" x14ac:dyDescent="0.25">
      <c r="A33" s="105" t="s">
        <v>1020</v>
      </c>
      <c r="B33" s="114">
        <f>_xll.qlCalendarAdvance(Calendar,B$2,A33)</f>
        <v>48239</v>
      </c>
      <c r="C33" s="202" t="e">
        <f ca="1">_xll.qlOptionletVTSVolatility('EUR TermStructures'!$F$41,$B33,C$3)</f>
        <v>#VALUE!</v>
      </c>
      <c r="D33" s="202" t="e">
        <f ca="1">_xll.qlOptionletVTSVolatility('EUR TermStructures'!$F$41,$B33,D$3)</f>
        <v>#VALUE!</v>
      </c>
      <c r="E33" s="202" t="e">
        <f ca="1">_xll.qlOptionletVTSVolatility('EUR TermStructures'!$F$41,$B33,E$3)</f>
        <v>#VALUE!</v>
      </c>
      <c r="F33" s="202" t="e">
        <f ca="1">_xll.qlOptionletVTSVolatility('EUR TermStructures'!$F$41,$B33,F$3)</f>
        <v>#VALUE!</v>
      </c>
      <c r="G33" s="202" t="e">
        <f ca="1">_xll.qlOptionletVTSVolatility('EUR TermStructures'!$F$41,$B33,G$3)</f>
        <v>#VALUE!</v>
      </c>
      <c r="H33" s="202" t="e">
        <f ca="1">_xll.qlOptionletVTSVolatility('EUR TermStructures'!$F$41,$B33,H$3)</f>
        <v>#VALUE!</v>
      </c>
      <c r="I33" s="202"/>
      <c r="J33" s="202"/>
      <c r="L33" s="110" t="e">
        <f ca="1">_xll.qlCapFloorImpliedVolatility(O33,M33,"eonia",,,,,,"Normal")</f>
        <v>#VALUE!</v>
      </c>
      <c r="M33" s="1" t="e">
        <f ca="1">_xll.qlInstrumentNPV(O33,N33)</f>
        <v>#NUM!</v>
      </c>
      <c r="N33" t="e">
        <f ca="1">_xll.qlInstrumentSetPricingEngine(O33,N$3)</f>
        <v>#VALUE!</v>
      </c>
      <c r="O33" t="str">
        <f>_xll.qlCapFloor(,"Floor",Q33,H$3)</f>
        <v>obj_00261#0004</v>
      </c>
      <c r="Q33" s="10" t="str">
        <f>_xll.qlIborLeg(S33,T33,U33,V33,W33,X33,Y33,Z33,AA33,AB33,AC33,AD33,AE33,AF50)</f>
        <v>obj_00233#0004</v>
      </c>
      <c r="R33" s="11" t="str">
        <f>_xll.ohRangeRetrieveError(Q33)</f>
        <v/>
      </c>
      <c r="S33" s="6"/>
      <c r="T33" s="7" t="s">
        <v>39</v>
      </c>
      <c r="U33" s="25">
        <v>1000000</v>
      </c>
      <c r="V33" s="7" t="str">
        <f t="shared" si="3"/>
        <v>obj_00058#0006</v>
      </c>
      <c r="W33" s="7"/>
      <c r="X33" s="7"/>
      <c r="Y33" s="7" t="s">
        <v>14</v>
      </c>
      <c r="Z33" s="8"/>
      <c r="AA33" s="7"/>
      <c r="AB33" s="103" t="s">
        <v>992</v>
      </c>
      <c r="AC33" s="8"/>
      <c r="AD33" s="8"/>
      <c r="AE33" s="7"/>
      <c r="AF33">
        <f>_xll.qlScheduleSize(AG33)</f>
        <v>2</v>
      </c>
      <c r="AG33" s="10" t="str">
        <f>_xll.qlSchedule(AI33,AJ33,AK33,AL33,AM33,AN33,AO33,AP33,AQ33,AR33,AS33,AT33,AU33)</f>
        <v>obj_00058#0006</v>
      </c>
      <c r="AH33" s="11" t="str">
        <f>_xll.ohRangeRetrieveError(AG33)</f>
        <v/>
      </c>
      <c r="AI33" s="104"/>
      <c r="AJ33" s="114">
        <f>_xll.qlCalendarAdvance(Calendar,AJ$2,A33)</f>
        <v>48239</v>
      </c>
      <c r="AK33" s="114">
        <f>_xll.qlCalendarAdvance(Calendar,AJ33,"6M",)</f>
        <v>48421</v>
      </c>
      <c r="AL33" s="103" t="s">
        <v>38</v>
      </c>
      <c r="AM33" s="7" t="s">
        <v>10</v>
      </c>
      <c r="AN33" s="7" t="s">
        <v>39</v>
      </c>
      <c r="AO33" s="7" t="s">
        <v>39</v>
      </c>
      <c r="AP33" s="103" t="s">
        <v>289</v>
      </c>
      <c r="AQ33" s="7"/>
      <c r="AR33" s="14"/>
      <c r="AS33" s="14"/>
      <c r="AT33" s="7"/>
      <c r="AU33" s="9"/>
    </row>
    <row r="34" spans="1:47" ht="12" thickBot="1" x14ac:dyDescent="0.25">
      <c r="A34" s="105" t="s">
        <v>1536</v>
      </c>
      <c r="B34" s="114">
        <f>_xll.qlCalendarAdvance(Calendar,B$2,A34)</f>
        <v>48421</v>
      </c>
      <c r="C34" s="202" t="e">
        <f ca="1">_xll.qlOptionletVTSVolatility('EUR TermStructures'!$F$41,$B34,C$3)</f>
        <v>#VALUE!</v>
      </c>
      <c r="D34" s="202" t="e">
        <f ca="1">_xll.qlOptionletVTSVolatility('EUR TermStructures'!$F$41,$B34,D$3)</f>
        <v>#VALUE!</v>
      </c>
      <c r="E34" s="202" t="e">
        <f ca="1">_xll.qlOptionletVTSVolatility('EUR TermStructures'!$F$41,$B34,E$3)</f>
        <v>#VALUE!</v>
      </c>
      <c r="F34" s="202" t="e">
        <f ca="1">_xll.qlOptionletVTSVolatility('EUR TermStructures'!$F$41,$B34,F$3)</f>
        <v>#VALUE!</v>
      </c>
      <c r="G34" s="202" t="e">
        <f ca="1">_xll.qlOptionletVTSVolatility('EUR TermStructures'!$F$41,$B34,G$3)</f>
        <v>#VALUE!</v>
      </c>
      <c r="H34" s="202" t="e">
        <f ca="1">_xll.qlOptionletVTSVolatility('EUR TermStructures'!$F$41,$B34,H$3)</f>
        <v>#VALUE!</v>
      </c>
      <c r="I34" s="202"/>
      <c r="J34" s="202"/>
      <c r="L34" s="110" t="e">
        <f ca="1">_xll.qlCapFloorImpliedVolatility(O34,M34,"eonia",,,,,,"Normal")</f>
        <v>#VALUE!</v>
      </c>
      <c r="M34" s="1" t="e">
        <f ca="1">_xll.qlInstrumentNPV(O34,N34)</f>
        <v>#NUM!</v>
      </c>
      <c r="N34" t="e">
        <f ca="1">_xll.qlInstrumentSetPricingEngine(O34,N$3)</f>
        <v>#VALUE!</v>
      </c>
      <c r="O34" t="str">
        <f>_xll.qlCapFloor(,"Floor",Q34,H$3)</f>
        <v>obj_0025a#0004</v>
      </c>
      <c r="Q34" s="10" t="str">
        <f>_xll.qlIborLeg(S34,T34,U34,V34,W34,X34,Y34,Z34,AA34,AB34,AC34,AD34,AE34,AF51)</f>
        <v>obj_00250#0004</v>
      </c>
      <c r="R34" s="11" t="str">
        <f>_xll.ohRangeRetrieveError(Q34)</f>
        <v/>
      </c>
      <c r="S34" s="6"/>
      <c r="T34" s="7" t="s">
        <v>39</v>
      </c>
      <c r="U34" s="25">
        <v>1000000</v>
      </c>
      <c r="V34" s="7" t="str">
        <f t="shared" si="3"/>
        <v>obj_00049#0006</v>
      </c>
      <c r="W34" s="7"/>
      <c r="X34" s="7"/>
      <c r="Y34" s="7" t="s">
        <v>14</v>
      </c>
      <c r="Z34" s="8"/>
      <c r="AA34" s="7"/>
      <c r="AB34" s="103" t="s">
        <v>992</v>
      </c>
      <c r="AC34" s="8"/>
      <c r="AD34" s="8"/>
      <c r="AE34" s="7"/>
      <c r="AF34">
        <f>_xll.qlScheduleSize(AG34)</f>
        <v>2</v>
      </c>
      <c r="AG34" s="10" t="str">
        <f>_xll.qlSchedule(AI34,AJ34,AK34,AL34,AM34,AN34,AO34,AP34,AQ34,AR34,AS34,AT34,AU34)</f>
        <v>obj_00049#0006</v>
      </c>
      <c r="AH34" s="11" t="str">
        <f>_xll.ohRangeRetrieveError(AG34)</f>
        <v/>
      </c>
      <c r="AI34" s="104"/>
      <c r="AJ34" s="114">
        <f>_xll.qlCalendarAdvance(Calendar,AJ$2,A34)</f>
        <v>48421</v>
      </c>
      <c r="AK34" s="114">
        <f>_xll.qlCalendarAdvance(Calendar,AJ34,"6M",)</f>
        <v>48605</v>
      </c>
      <c r="AL34" s="103" t="s">
        <v>38</v>
      </c>
      <c r="AM34" s="7" t="s">
        <v>10</v>
      </c>
      <c r="AN34" s="7" t="s">
        <v>39</v>
      </c>
      <c r="AO34" s="7" t="s">
        <v>39</v>
      </c>
      <c r="AP34" s="103" t="s">
        <v>289</v>
      </c>
      <c r="AQ34" s="7"/>
      <c r="AR34" s="14"/>
      <c r="AS34" s="14"/>
      <c r="AT34" s="7"/>
      <c r="AU34" s="9"/>
    </row>
    <row r="35" spans="1:47" ht="12" thickBot="1" x14ac:dyDescent="0.25">
      <c r="A35" s="105" t="s">
        <v>1530</v>
      </c>
      <c r="B35" s="114">
        <f>_xll.qlCalendarAdvance(Calendar,B$2,A35)</f>
        <v>48605</v>
      </c>
      <c r="C35" s="202" t="e">
        <f ca="1">_xll.qlOptionletVTSVolatility('EUR TermStructures'!$F$41,$B35,C$3)</f>
        <v>#VALUE!</v>
      </c>
      <c r="D35" s="202" t="e">
        <f ca="1">_xll.qlOptionletVTSVolatility('EUR TermStructures'!$F$41,$B35,D$3)</f>
        <v>#VALUE!</v>
      </c>
      <c r="E35" s="202" t="e">
        <f ca="1">_xll.qlOptionletVTSVolatility('EUR TermStructures'!$F$41,$B35,E$3)</f>
        <v>#VALUE!</v>
      </c>
      <c r="F35" s="202" t="e">
        <f ca="1">_xll.qlOptionletVTSVolatility('EUR TermStructures'!$F$41,$B35,F$3)</f>
        <v>#VALUE!</v>
      </c>
      <c r="G35" s="202" t="e">
        <f ca="1">_xll.qlOptionletVTSVolatility('EUR TermStructures'!$F$41,$B35,G$3)</f>
        <v>#VALUE!</v>
      </c>
      <c r="H35" s="202" t="e">
        <f ca="1">_xll.qlOptionletVTSVolatility('EUR TermStructures'!$F$41,$B35,H$3)</f>
        <v>#VALUE!</v>
      </c>
      <c r="I35" s="202"/>
      <c r="J35" s="202"/>
      <c r="L35" s="110" t="e">
        <f ca="1">_xll.qlCapFloorImpliedVolatility(O35,M35,"eonia",,,,,,"Normal")</f>
        <v>#VALUE!</v>
      </c>
      <c r="M35" s="1" t="e">
        <f ca="1">_xll.qlInstrumentNPV(O35,N35)</f>
        <v>#NUM!</v>
      </c>
      <c r="N35" t="e">
        <f ca="1">_xll.qlInstrumentSetPricingEngine(O35,N$3)</f>
        <v>#VALUE!</v>
      </c>
      <c r="O35" t="str">
        <f>_xll.qlCapFloor(,"Floor",Q35,H$3)</f>
        <v>obj_00258#0004</v>
      </c>
      <c r="Q35" s="10" t="str">
        <f>_xll.qlIborLeg(S35,T35,U35,V35,W35,X35,Y35,Z35,AA35,AB35,AC35,AD35,AE35,AF52)</f>
        <v>obj_00244#0004</v>
      </c>
      <c r="R35" s="11" t="str">
        <f>_xll.ohRangeRetrieveError(Q35)</f>
        <v/>
      </c>
      <c r="S35" s="6"/>
      <c r="T35" s="7" t="s">
        <v>39</v>
      </c>
      <c r="U35" s="25">
        <v>1000000</v>
      </c>
      <c r="V35" s="7" t="str">
        <f t="shared" si="3"/>
        <v>obj_00042#0006</v>
      </c>
      <c r="W35" s="7"/>
      <c r="X35" s="7"/>
      <c r="Y35" s="7" t="s">
        <v>14</v>
      </c>
      <c r="Z35" s="8"/>
      <c r="AA35" s="7"/>
      <c r="AB35" s="103" t="s">
        <v>992</v>
      </c>
      <c r="AC35" s="8"/>
      <c r="AD35" s="8"/>
      <c r="AE35" s="7"/>
      <c r="AF35">
        <f>_xll.qlScheduleSize(AG35)</f>
        <v>2</v>
      </c>
      <c r="AG35" s="10" t="str">
        <f>_xll.qlSchedule(AI35,AJ35,AK35,AL35,AM35,AN35,AO35,AP35,AQ35,AR35,AS35,AT35,AU35)</f>
        <v>obj_00042#0006</v>
      </c>
      <c r="AH35" s="11" t="str">
        <f>_xll.ohRangeRetrieveError(AG35)</f>
        <v/>
      </c>
      <c r="AI35" s="104"/>
      <c r="AJ35" s="114">
        <f>_xll.qlCalendarAdvance(Calendar,AJ$2,A35)</f>
        <v>48605</v>
      </c>
      <c r="AK35" s="114">
        <f>_xll.qlCalendarAdvance(Calendar,AJ35,"6M",)</f>
        <v>48786</v>
      </c>
      <c r="AL35" s="103" t="s">
        <v>38</v>
      </c>
      <c r="AM35" s="7" t="s">
        <v>10</v>
      </c>
      <c r="AN35" s="7" t="s">
        <v>39</v>
      </c>
      <c r="AO35" s="7" t="s">
        <v>39</v>
      </c>
      <c r="AP35" s="103" t="s">
        <v>289</v>
      </c>
      <c r="AQ35" s="7"/>
      <c r="AR35" s="14"/>
      <c r="AS35" s="14"/>
      <c r="AT35" s="7"/>
      <c r="AU35" s="9"/>
    </row>
    <row r="36" spans="1:47" ht="12" thickBot="1" x14ac:dyDescent="0.25">
      <c r="A36" s="105" t="s">
        <v>1537</v>
      </c>
      <c r="B36" s="114">
        <f>_xll.qlCalendarAdvance(Calendar,B$2,A36)</f>
        <v>48786</v>
      </c>
      <c r="C36" s="202" t="e">
        <f ca="1">_xll.qlOptionletVTSVolatility('EUR TermStructures'!$F$41,$B36,C$3)</f>
        <v>#VALUE!</v>
      </c>
      <c r="D36" s="202" t="e">
        <f ca="1">_xll.qlOptionletVTSVolatility('EUR TermStructures'!$F$41,$B36,D$3)</f>
        <v>#VALUE!</v>
      </c>
      <c r="E36" s="202" t="e">
        <f ca="1">_xll.qlOptionletVTSVolatility('EUR TermStructures'!$F$41,$B36,E$3)</f>
        <v>#VALUE!</v>
      </c>
      <c r="F36" s="202" t="e">
        <f ca="1">_xll.qlOptionletVTSVolatility('EUR TermStructures'!$F$41,$B36,F$3)</f>
        <v>#VALUE!</v>
      </c>
      <c r="G36" s="202" t="e">
        <f ca="1">_xll.qlOptionletVTSVolatility('EUR TermStructures'!$F$41,$B36,G$3)</f>
        <v>#VALUE!</v>
      </c>
      <c r="H36" s="202" t="e">
        <f ca="1">_xll.qlOptionletVTSVolatility('EUR TermStructures'!$F$41,$B36,H$3)</f>
        <v>#VALUE!</v>
      </c>
      <c r="I36" s="202"/>
      <c r="J36" s="202"/>
      <c r="L36" s="110" t="e">
        <f ca="1">_xll.qlCapFloorImpliedVolatility(O36,M36,"eonia",,,,,,"Normal")</f>
        <v>#VALUE!</v>
      </c>
      <c r="M36" s="1" t="e">
        <f ca="1">_xll.qlInstrumentNPV(O36,N36)</f>
        <v>#NUM!</v>
      </c>
      <c r="N36" t="e">
        <f ca="1">_xll.qlInstrumentSetPricingEngine(O36,N$3)</f>
        <v>#VALUE!</v>
      </c>
      <c r="O36" t="str">
        <f>_xll.qlCapFloor(,"Floor",Q36,H$3)</f>
        <v>obj_00266#0004</v>
      </c>
      <c r="Q36" s="10" t="str">
        <f>_xll.qlIborLeg(S36,T36,U36,V36,W36,X36,Y36,Z36,AA36,AB36,AC36,AD36,AE36,AF53)</f>
        <v>obj_0022a#0004</v>
      </c>
      <c r="R36" s="11" t="str">
        <f>_xll.ohRangeRetrieveError(Q36)</f>
        <v/>
      </c>
      <c r="S36" s="6"/>
      <c r="T36" s="7" t="s">
        <v>39</v>
      </c>
      <c r="U36" s="25">
        <v>1000000</v>
      </c>
      <c r="V36" s="7" t="str">
        <f t="shared" si="3"/>
        <v>obj_0004d#0006</v>
      </c>
      <c r="W36" s="7"/>
      <c r="X36" s="7"/>
      <c r="Y36" s="7" t="s">
        <v>14</v>
      </c>
      <c r="Z36" s="8"/>
      <c r="AA36" s="7"/>
      <c r="AB36" s="103" t="s">
        <v>992</v>
      </c>
      <c r="AC36" s="8"/>
      <c r="AD36" s="8"/>
      <c r="AE36" s="7"/>
      <c r="AF36">
        <f>_xll.qlScheduleSize(AG36)</f>
        <v>2</v>
      </c>
      <c r="AG36" s="10" t="str">
        <f>_xll.qlSchedule(AI36,AJ36,AK36,AL36,AM36,AN36,AO36,AP36,AQ36,AR36,AS36,AT36,AU36)</f>
        <v>obj_0004d#0006</v>
      </c>
      <c r="AH36" s="11" t="str">
        <f>_xll.ohRangeRetrieveError(AG36)</f>
        <v/>
      </c>
      <c r="AI36" s="104"/>
      <c r="AJ36" s="114">
        <f>_xll.qlCalendarAdvance(Calendar,AJ$2,A36)</f>
        <v>48786</v>
      </c>
      <c r="AK36" s="114">
        <f>_xll.qlCalendarAdvance(Calendar,AJ36,"6M",)</f>
        <v>48970</v>
      </c>
      <c r="AL36" s="103" t="s">
        <v>38</v>
      </c>
      <c r="AM36" s="7" t="s">
        <v>10</v>
      </c>
      <c r="AN36" s="7" t="s">
        <v>39</v>
      </c>
      <c r="AO36" s="7" t="s">
        <v>39</v>
      </c>
      <c r="AP36" s="103" t="s">
        <v>289</v>
      </c>
      <c r="AQ36" s="7"/>
      <c r="AR36" s="14"/>
      <c r="AS36" s="14"/>
      <c r="AT36" s="7"/>
      <c r="AU36" s="9"/>
    </row>
    <row r="37" spans="1:47" ht="12" thickBot="1" x14ac:dyDescent="0.25">
      <c r="A37" s="105" t="s">
        <v>1531</v>
      </c>
      <c r="B37" s="114">
        <f>_xll.qlCalendarAdvance(Calendar,B$2,A37)</f>
        <v>48970</v>
      </c>
      <c r="C37" s="202" t="e">
        <f ca="1">_xll.qlOptionletVTSVolatility('EUR TermStructures'!$F$41,$B37,C$3)</f>
        <v>#VALUE!</v>
      </c>
      <c r="D37" s="202" t="e">
        <f ca="1">_xll.qlOptionletVTSVolatility('EUR TermStructures'!$F$41,$B37,D$3)</f>
        <v>#VALUE!</v>
      </c>
      <c r="E37" s="202" t="e">
        <f ca="1">_xll.qlOptionletVTSVolatility('EUR TermStructures'!$F$41,$B37,E$3)</f>
        <v>#VALUE!</v>
      </c>
      <c r="F37" s="202" t="e">
        <f ca="1">_xll.qlOptionletVTSVolatility('EUR TermStructures'!$F$41,$B37,F$3)</f>
        <v>#VALUE!</v>
      </c>
      <c r="G37" s="202" t="e">
        <f ca="1">_xll.qlOptionletVTSVolatility('EUR TermStructures'!$F$41,$B37,G$3)</f>
        <v>#VALUE!</v>
      </c>
      <c r="H37" s="202" t="e">
        <f ca="1">_xll.qlOptionletVTSVolatility('EUR TermStructures'!$F$41,$B37,H$3)</f>
        <v>#VALUE!</v>
      </c>
      <c r="I37" s="202"/>
      <c r="J37" s="202"/>
      <c r="L37" s="110" t="e">
        <f ca="1">_xll.qlCapFloorImpliedVolatility(O37,M37,"eonia",,,,,,"Normal")</f>
        <v>#VALUE!</v>
      </c>
      <c r="M37" s="1" t="e">
        <f ca="1">_xll.qlInstrumentNPV(O37,N37)</f>
        <v>#NUM!</v>
      </c>
      <c r="N37" t="e">
        <f ca="1">_xll.qlInstrumentSetPricingEngine(O37,N$3)</f>
        <v>#VALUE!</v>
      </c>
      <c r="O37" t="str">
        <f>_xll.qlCapFloor(,"Floor",Q37,H$3)</f>
        <v>obj_00221#0005</v>
      </c>
      <c r="Q37" s="10" t="str">
        <f>_xll.qlIborLeg(S37,T37,U37,V37,W37,X37,Y37,Z37,AA37,AB37,AC37,AD37,AE37,AF54)</f>
        <v>obj_00220#0005</v>
      </c>
      <c r="R37" s="11" t="str">
        <f>_xll.ohRangeRetrieveError(Q37)</f>
        <v/>
      </c>
      <c r="S37" s="6"/>
      <c r="T37" s="7" t="s">
        <v>39</v>
      </c>
      <c r="U37" s="25">
        <v>1000000</v>
      </c>
      <c r="V37" s="7" t="str">
        <f t="shared" si="3"/>
        <v>obj_0003a#0006</v>
      </c>
      <c r="W37" s="7"/>
      <c r="X37" s="7"/>
      <c r="Y37" s="7" t="s">
        <v>14</v>
      </c>
      <c r="Z37" s="8"/>
      <c r="AA37" s="7"/>
      <c r="AB37" s="103" t="s">
        <v>992</v>
      </c>
      <c r="AC37" s="8"/>
      <c r="AD37" s="8"/>
      <c r="AE37" s="7"/>
      <c r="AF37">
        <f>_xll.qlScheduleSize(AG37)</f>
        <v>2</v>
      </c>
      <c r="AG37" s="10" t="str">
        <f>_xll.qlSchedule(AI37,AJ37,AK37,AL37,AM37,AN37,AO37,AP37,AQ37,AR37,AS37,AT37,AU37)</f>
        <v>obj_0003a#0006</v>
      </c>
      <c r="AH37" s="11" t="str">
        <f>_xll.ohRangeRetrieveError(AG37)</f>
        <v/>
      </c>
      <c r="AI37" s="104"/>
      <c r="AJ37" s="114">
        <f>_xll.qlCalendarAdvance(Calendar,AJ$2,A37)</f>
        <v>48970</v>
      </c>
      <c r="AK37" s="114">
        <f>_xll.qlCalendarAdvance(Calendar,AJ37,"6M",)</f>
        <v>49151</v>
      </c>
      <c r="AL37" s="103" t="s">
        <v>38</v>
      </c>
      <c r="AM37" s="7" t="s">
        <v>10</v>
      </c>
      <c r="AN37" s="7" t="s">
        <v>39</v>
      </c>
      <c r="AO37" s="7" t="s">
        <v>39</v>
      </c>
      <c r="AP37" s="103" t="s">
        <v>289</v>
      </c>
      <c r="AQ37" s="7"/>
      <c r="AR37" s="14"/>
      <c r="AS37" s="14"/>
      <c r="AT37" s="7"/>
      <c r="AU37" s="9"/>
    </row>
    <row r="38" spans="1:47" ht="12" thickBot="1" x14ac:dyDescent="0.25">
      <c r="A38" s="105" t="s">
        <v>1538</v>
      </c>
      <c r="B38" s="114">
        <f>_xll.qlCalendarAdvance(Calendar,B$2,A38)</f>
        <v>49151</v>
      </c>
      <c r="C38" s="202" t="e">
        <f ca="1">_xll.qlOptionletVTSVolatility('EUR TermStructures'!$F$41,$B38,C$3)</f>
        <v>#VALUE!</v>
      </c>
      <c r="D38" s="202" t="e">
        <f ca="1">_xll.qlOptionletVTSVolatility('EUR TermStructures'!$F$41,$B38,D$3)</f>
        <v>#VALUE!</v>
      </c>
      <c r="E38" s="202" t="e">
        <f ca="1">_xll.qlOptionletVTSVolatility('EUR TermStructures'!$F$41,$B38,E$3)</f>
        <v>#VALUE!</v>
      </c>
      <c r="F38" s="202" t="e">
        <f ca="1">_xll.qlOptionletVTSVolatility('EUR TermStructures'!$F$41,$B38,F$3)</f>
        <v>#VALUE!</v>
      </c>
      <c r="G38" s="202" t="e">
        <f ca="1">_xll.qlOptionletVTSVolatility('EUR TermStructures'!$F$41,$B38,G$3)</f>
        <v>#VALUE!</v>
      </c>
      <c r="H38" s="202" t="e">
        <f ca="1">_xll.qlOptionletVTSVolatility('EUR TermStructures'!$F$41,$B38,H$3)</f>
        <v>#VALUE!</v>
      </c>
      <c r="I38" s="202"/>
      <c r="J38" s="202"/>
      <c r="L38" s="110" t="e">
        <f ca="1">_xll.qlCapFloorImpliedVolatility(O38,M38,"eonia",,,,,,"Normal")</f>
        <v>#VALUE!</v>
      </c>
      <c r="M38" s="1" t="e">
        <f ca="1">_xll.qlInstrumentNPV(O38,N38)</f>
        <v>#NUM!</v>
      </c>
      <c r="N38" t="e">
        <f ca="1">_xll.qlInstrumentSetPricingEngine(O38,N$3)</f>
        <v>#VALUE!</v>
      </c>
      <c r="O38" t="str">
        <f>_xll.qlCapFloor(,"Floor",Q38,H$3)</f>
        <v>obj_00265#0004</v>
      </c>
      <c r="Q38" s="10" t="str">
        <f>_xll.qlIborLeg(S38,T38,U38,V38,W38,X38,Y38,Z38,AA38,AB38,AC38,AD38,AE38,AF55)</f>
        <v>obj_00232#0004</v>
      </c>
      <c r="R38" s="11" t="str">
        <f>_xll.ohRangeRetrieveError(Q38)</f>
        <v/>
      </c>
      <c r="S38" s="6"/>
      <c r="T38" s="7" t="s">
        <v>39</v>
      </c>
      <c r="U38" s="25">
        <v>1000000</v>
      </c>
      <c r="V38" s="7" t="str">
        <f t="shared" si="3"/>
        <v>obj_0004a#0006</v>
      </c>
      <c r="W38" s="7"/>
      <c r="X38" s="7"/>
      <c r="Y38" s="7" t="s">
        <v>14</v>
      </c>
      <c r="Z38" s="8"/>
      <c r="AA38" s="7"/>
      <c r="AB38" s="103" t="s">
        <v>992</v>
      </c>
      <c r="AC38" s="8"/>
      <c r="AD38" s="8"/>
      <c r="AE38" s="7"/>
      <c r="AF38">
        <f>_xll.qlScheduleSize(AG38)</f>
        <v>2</v>
      </c>
      <c r="AG38" s="10" t="str">
        <f>_xll.qlSchedule(AI38,AJ38,AK38,AL38,AM38,AN38,AO38,AP38,AQ38,AR38,AS38,AT38,AU38)</f>
        <v>obj_0004a#0006</v>
      </c>
      <c r="AH38" s="11" t="str">
        <f>_xll.ohRangeRetrieveError(AG38)</f>
        <v/>
      </c>
      <c r="AI38" s="104"/>
      <c r="AJ38" s="114">
        <f>_xll.qlCalendarAdvance(Calendar,AJ$2,A38)</f>
        <v>49151</v>
      </c>
      <c r="AK38" s="114">
        <f>_xll.qlCalendarAdvance(Calendar,AJ38,"6M",)</f>
        <v>49335</v>
      </c>
      <c r="AL38" s="103" t="s">
        <v>38</v>
      </c>
      <c r="AM38" s="7" t="s">
        <v>10</v>
      </c>
      <c r="AN38" s="7" t="s">
        <v>39</v>
      </c>
      <c r="AO38" s="7" t="s">
        <v>39</v>
      </c>
      <c r="AP38" s="103" t="s">
        <v>289</v>
      </c>
      <c r="AQ38" s="7"/>
      <c r="AR38" s="14"/>
      <c r="AS38" s="14"/>
      <c r="AT38" s="7"/>
      <c r="AU38" s="9"/>
    </row>
    <row r="39" spans="1:47" ht="12" thickBot="1" x14ac:dyDescent="0.25">
      <c r="A39" s="105" t="s">
        <v>1532</v>
      </c>
      <c r="B39" s="114">
        <f>_xll.qlCalendarAdvance(Calendar,B$2,A39)</f>
        <v>49335</v>
      </c>
      <c r="C39" s="202" t="e">
        <f ca="1">_xll.qlOptionletVTSVolatility('EUR TermStructures'!$F$41,$B39,C$3)</f>
        <v>#VALUE!</v>
      </c>
      <c r="D39" s="202" t="e">
        <f ca="1">_xll.qlOptionletVTSVolatility('EUR TermStructures'!$F$41,$B39,D$3)</f>
        <v>#VALUE!</v>
      </c>
      <c r="E39" s="202" t="e">
        <f ca="1">_xll.qlOptionletVTSVolatility('EUR TermStructures'!$F$41,$B39,E$3)</f>
        <v>#VALUE!</v>
      </c>
      <c r="F39" s="202" t="e">
        <f ca="1">_xll.qlOptionletVTSVolatility('EUR TermStructures'!$F$41,$B39,F$3)</f>
        <v>#VALUE!</v>
      </c>
      <c r="G39" s="202" t="e">
        <f ca="1">_xll.qlOptionletVTSVolatility('EUR TermStructures'!$F$41,$B39,G$3)</f>
        <v>#VALUE!</v>
      </c>
      <c r="H39" s="202" t="e">
        <f ca="1">_xll.qlOptionletVTSVolatility('EUR TermStructures'!$F$41,$B39,H$3)</f>
        <v>#VALUE!</v>
      </c>
      <c r="I39" s="202"/>
      <c r="J39" s="202"/>
      <c r="L39" s="110" t="e">
        <f ca="1">_xll.qlCapFloorImpliedVolatility(O39,M39,"eonia",,,,,,"Normal")</f>
        <v>#VALUE!</v>
      </c>
      <c r="M39" s="1" t="e">
        <f ca="1">_xll.qlInstrumentNPV(O39,N39)</f>
        <v>#NUM!</v>
      </c>
      <c r="N39" t="e">
        <f ca="1">_xll.qlInstrumentSetPricingEngine(O39,N$3)</f>
        <v>#VALUE!</v>
      </c>
      <c r="O39" t="str">
        <f>_xll.qlCapFloor(,"Floor",Q39,H$3)</f>
        <v>obj_00246#0004</v>
      </c>
      <c r="Q39" s="10" t="str">
        <f>_xll.qlIborLeg(S39,T39,U39,V39,W39,X39,Y39,Z39,AA39,AB39,AC39,AD39,AE39,AF56)</f>
        <v>obj_00245#0004</v>
      </c>
      <c r="R39" s="11" t="str">
        <f>_xll.ohRangeRetrieveError(Q39)</f>
        <v/>
      </c>
      <c r="S39" s="6"/>
      <c r="T39" s="7" t="s">
        <v>39</v>
      </c>
      <c r="U39" s="25">
        <v>1000000</v>
      </c>
      <c r="V39" s="7" t="str">
        <f t="shared" si="3"/>
        <v>obj_00044#0006</v>
      </c>
      <c r="W39" s="7"/>
      <c r="X39" s="7"/>
      <c r="Y39" s="7" t="s">
        <v>14</v>
      </c>
      <c r="Z39" s="8"/>
      <c r="AA39" s="7"/>
      <c r="AB39" s="103" t="s">
        <v>992</v>
      </c>
      <c r="AC39" s="8"/>
      <c r="AD39" s="8"/>
      <c r="AE39" s="7"/>
      <c r="AF39">
        <f>_xll.qlScheduleSize(AG39)</f>
        <v>2</v>
      </c>
      <c r="AG39" s="10" t="str">
        <f>_xll.qlSchedule(AI39,AJ39,AK39,AL39,AM39,AN39,AO39,AP39,AQ39,AR39,AS39,AT39,AU39)</f>
        <v>obj_00044#0006</v>
      </c>
      <c r="AH39" s="11" t="str">
        <f>_xll.ohRangeRetrieveError(AG39)</f>
        <v/>
      </c>
      <c r="AI39" s="104"/>
      <c r="AJ39" s="114">
        <f>_xll.qlCalendarAdvance(Calendar,AJ$2,A39)</f>
        <v>49335</v>
      </c>
      <c r="AK39" s="114">
        <f>_xll.qlCalendarAdvance(Calendar,AJ39,"6M",)</f>
        <v>49516</v>
      </c>
      <c r="AL39" s="103" t="s">
        <v>38</v>
      </c>
      <c r="AM39" s="7" t="s">
        <v>10</v>
      </c>
      <c r="AN39" s="7" t="s">
        <v>39</v>
      </c>
      <c r="AO39" s="7" t="s">
        <v>39</v>
      </c>
      <c r="AP39" s="103" t="s">
        <v>289</v>
      </c>
      <c r="AQ39" s="7"/>
      <c r="AR39" s="14"/>
      <c r="AS39" s="14"/>
      <c r="AT39" s="7"/>
      <c r="AU39" s="9"/>
    </row>
    <row r="40" spans="1:47" ht="12" thickBot="1" x14ac:dyDescent="0.25">
      <c r="A40" s="105" t="s">
        <v>1539</v>
      </c>
      <c r="B40" s="114">
        <f>_xll.qlCalendarAdvance(Calendar,B$2,A40)</f>
        <v>49516</v>
      </c>
      <c r="C40" s="202" t="e">
        <f ca="1">_xll.qlOptionletVTSVolatility('EUR TermStructures'!$F$41,$B40,C$3)</f>
        <v>#VALUE!</v>
      </c>
      <c r="D40" s="202" t="e">
        <f ca="1">_xll.qlOptionletVTSVolatility('EUR TermStructures'!$F$41,$B40,D$3)</f>
        <v>#VALUE!</v>
      </c>
      <c r="E40" s="202" t="e">
        <f ca="1">_xll.qlOptionletVTSVolatility('EUR TermStructures'!$F$41,$B40,E$3)</f>
        <v>#VALUE!</v>
      </c>
      <c r="F40" s="202" t="e">
        <f ca="1">_xll.qlOptionletVTSVolatility('EUR TermStructures'!$F$41,$B40,F$3)</f>
        <v>#VALUE!</v>
      </c>
      <c r="G40" s="202" t="e">
        <f ca="1">_xll.qlOptionletVTSVolatility('EUR TermStructures'!$F$41,$B40,G$3)</f>
        <v>#VALUE!</v>
      </c>
      <c r="H40" s="202" t="e">
        <f ca="1">_xll.qlOptionletVTSVolatility('EUR TermStructures'!$F$41,$B40,H$3)</f>
        <v>#VALUE!</v>
      </c>
      <c r="I40" s="202"/>
      <c r="J40" s="202"/>
      <c r="L40" s="110" t="e">
        <f ca="1">_xll.qlCapFloorImpliedVolatility(O40,M40,"eonia",,,,,,"Normal")</f>
        <v>#VALUE!</v>
      </c>
      <c r="M40" s="1" t="e">
        <f ca="1">_xll.qlInstrumentNPV(O40,N40)</f>
        <v>#NUM!</v>
      </c>
      <c r="N40" t="e">
        <f ca="1">_xll.qlInstrumentSetPricingEngine(O40,N$3)</f>
        <v>#VALUE!</v>
      </c>
      <c r="O40" t="str">
        <f>_xll.qlCapFloor(,"Floor",Q40,H$3)</f>
        <v>obj_0026b#0004</v>
      </c>
      <c r="Q40" s="10" t="str">
        <f>_xll.qlIborLeg(S40,T40,U40,V40,W40,X40,Y40,Z40,AA40,AB40,AC40,AD40,AE40,AF57)</f>
        <v>obj_00227#0004</v>
      </c>
      <c r="R40" s="11" t="str">
        <f>_xll.ohRangeRetrieveError(Q40)</f>
        <v/>
      </c>
      <c r="S40" s="6"/>
      <c r="T40" s="7" t="s">
        <v>39</v>
      </c>
      <c r="U40" s="25">
        <v>1000000</v>
      </c>
      <c r="V40" s="7" t="str">
        <f t="shared" si="3"/>
        <v>obj_0004c#0006</v>
      </c>
      <c r="W40" s="7"/>
      <c r="X40" s="7"/>
      <c r="Y40" s="7" t="s">
        <v>14</v>
      </c>
      <c r="Z40" s="8"/>
      <c r="AA40" s="7"/>
      <c r="AB40" s="103" t="s">
        <v>992</v>
      </c>
      <c r="AC40" s="8"/>
      <c r="AD40" s="8"/>
      <c r="AE40" s="7"/>
      <c r="AF40">
        <f>_xll.qlScheduleSize(AG40)</f>
        <v>2</v>
      </c>
      <c r="AG40" s="10" t="str">
        <f>_xll.qlSchedule(AI40,AJ40,AK40,AL40,AM40,AN40,AO40,AP40,AQ40,AR40,AS40,AT40,AU40)</f>
        <v>obj_0004c#0006</v>
      </c>
      <c r="AH40" s="11" t="str">
        <f>_xll.ohRangeRetrieveError(AG40)</f>
        <v/>
      </c>
      <c r="AI40" s="104"/>
      <c r="AJ40" s="114">
        <f>_xll.qlCalendarAdvance(Calendar,AJ$2,A40)</f>
        <v>49516</v>
      </c>
      <c r="AK40" s="114">
        <f>_xll.qlCalendarAdvance(Calendar,AJ40,"6M",)</f>
        <v>49702</v>
      </c>
      <c r="AL40" s="103" t="s">
        <v>38</v>
      </c>
      <c r="AM40" s="7" t="s">
        <v>10</v>
      </c>
      <c r="AN40" s="7" t="s">
        <v>39</v>
      </c>
      <c r="AO40" s="7" t="s">
        <v>39</v>
      </c>
      <c r="AP40" s="103" t="s">
        <v>289</v>
      </c>
      <c r="AQ40" s="7"/>
      <c r="AR40" s="14"/>
      <c r="AS40" s="14"/>
      <c r="AT40" s="7"/>
      <c r="AU40" s="9"/>
    </row>
    <row r="41" spans="1:47" ht="12" thickBot="1" x14ac:dyDescent="0.25">
      <c r="A41" s="105" t="s">
        <v>1533</v>
      </c>
      <c r="B41" s="114">
        <f>_xll.qlCalendarAdvance(Calendar,B$2,A41)</f>
        <v>49702</v>
      </c>
      <c r="C41" s="202" t="e">
        <f ca="1">_xll.qlOptionletVTSVolatility('EUR TermStructures'!$F$41,$B41,C$3)</f>
        <v>#VALUE!</v>
      </c>
      <c r="D41" s="202" t="e">
        <f ca="1">_xll.qlOptionletVTSVolatility('EUR TermStructures'!$F$41,$B41,D$3)</f>
        <v>#VALUE!</v>
      </c>
      <c r="E41" s="202" t="e">
        <f ca="1">_xll.qlOptionletVTSVolatility('EUR TermStructures'!$F$41,$B41,E$3)</f>
        <v>#VALUE!</v>
      </c>
      <c r="F41" s="202" t="e">
        <f ca="1">_xll.qlOptionletVTSVolatility('EUR TermStructures'!$F$41,$B41,F$3)</f>
        <v>#VALUE!</v>
      </c>
      <c r="G41" s="202" t="e">
        <f ca="1">_xll.qlOptionletVTSVolatility('EUR TermStructures'!$F$41,$B41,G$3)</f>
        <v>#VALUE!</v>
      </c>
      <c r="H41" s="202" t="e">
        <f ca="1">_xll.qlOptionletVTSVolatility('EUR TermStructures'!$F$41,$B41,H$3)</f>
        <v>#VALUE!</v>
      </c>
      <c r="I41" s="202"/>
      <c r="J41" s="202"/>
      <c r="L41" s="110" t="e">
        <f ca="1">_xll.qlCapFloorImpliedVolatility(O41,M41,"eonia",,,,,,"Normal")</f>
        <v>#VALUE!</v>
      </c>
      <c r="M41" s="1" t="e">
        <f ca="1">_xll.qlInstrumentNPV(O41,N41)</f>
        <v>#NUM!</v>
      </c>
      <c r="N41" t="e">
        <f ca="1">_xll.qlInstrumentSetPricingEngine(O41,N$3)</f>
        <v>#VALUE!</v>
      </c>
      <c r="O41" t="str">
        <f>_xll.qlCapFloor(,"Floor",Q41,H$3)</f>
        <v>obj_00242#0004</v>
      </c>
      <c r="Q41" s="10" t="str">
        <f>_xll.qlIborLeg(S41,T41,U41,V41,W41,X41,Y41,Z41,AA41,AB41,AC41,AD41,AE41,AF58)</f>
        <v>obj_00234#0004</v>
      </c>
      <c r="R41" s="11" t="str">
        <f>_xll.ohRangeRetrieveError(Q41)</f>
        <v/>
      </c>
      <c r="S41" s="6"/>
      <c r="T41" s="7" t="s">
        <v>39</v>
      </c>
      <c r="U41" s="25">
        <v>1000000</v>
      </c>
      <c r="V41" s="7" t="str">
        <f t="shared" si="3"/>
        <v>obj_00056#0006</v>
      </c>
      <c r="W41" s="7"/>
      <c r="X41" s="7"/>
      <c r="Y41" s="7" t="s">
        <v>14</v>
      </c>
      <c r="Z41" s="8"/>
      <c r="AA41" s="7"/>
      <c r="AB41" s="103" t="s">
        <v>992</v>
      </c>
      <c r="AC41" s="8"/>
      <c r="AD41" s="8"/>
      <c r="AE41" s="7"/>
      <c r="AF41">
        <f>_xll.qlScheduleSize(AG41)</f>
        <v>2</v>
      </c>
      <c r="AG41" s="10" t="str">
        <f>_xll.qlSchedule(AI41,AJ41,AK41,AL41,AM41,AN41,AO41,AP41,AQ41,AR41,AS41,AT41,AU41)</f>
        <v>obj_00056#0006</v>
      </c>
      <c r="AH41" s="11" t="str">
        <f>_xll.ohRangeRetrieveError(AG41)</f>
        <v/>
      </c>
      <c r="AI41" s="104"/>
      <c r="AJ41" s="114">
        <f>_xll.qlCalendarAdvance(Calendar,AJ$2,A41)</f>
        <v>49702</v>
      </c>
      <c r="AK41" s="114">
        <f>_xll.qlCalendarAdvance(Calendar,AJ41,"6M",)</f>
        <v>49884</v>
      </c>
      <c r="AL41" s="103" t="s">
        <v>38</v>
      </c>
      <c r="AM41" s="7" t="s">
        <v>10</v>
      </c>
      <c r="AN41" s="7" t="s">
        <v>39</v>
      </c>
      <c r="AO41" s="7" t="s">
        <v>39</v>
      </c>
      <c r="AP41" s="103" t="s">
        <v>289</v>
      </c>
      <c r="AQ41" s="7"/>
      <c r="AR41" s="14"/>
      <c r="AS41" s="14"/>
      <c r="AT41" s="7"/>
      <c r="AU41" s="9"/>
    </row>
    <row r="42" spans="1:47" ht="12" thickBot="1" x14ac:dyDescent="0.25">
      <c r="A42" s="105" t="s">
        <v>1540</v>
      </c>
      <c r="B42" s="114">
        <f>_xll.qlCalendarAdvance(Calendar,B$2,A42)</f>
        <v>49884</v>
      </c>
      <c r="C42" s="202" t="e">
        <f ca="1">_xll.qlOptionletVTSVolatility('EUR TermStructures'!$F$41,$B42,C$3)</f>
        <v>#VALUE!</v>
      </c>
      <c r="D42" s="202" t="e">
        <f ca="1">_xll.qlOptionletVTSVolatility('EUR TermStructures'!$F$41,$B42,D$3)</f>
        <v>#VALUE!</v>
      </c>
      <c r="E42" s="202" t="e">
        <f ca="1">_xll.qlOptionletVTSVolatility('EUR TermStructures'!$F$41,$B42,E$3)</f>
        <v>#VALUE!</v>
      </c>
      <c r="F42" s="202" t="e">
        <f ca="1">_xll.qlOptionletVTSVolatility('EUR TermStructures'!$F$41,$B42,F$3)</f>
        <v>#VALUE!</v>
      </c>
      <c r="G42" s="202" t="e">
        <f ca="1">_xll.qlOptionletVTSVolatility('EUR TermStructures'!$F$41,$B42,G$3)</f>
        <v>#VALUE!</v>
      </c>
      <c r="H42" s="202" t="e">
        <f ca="1">_xll.qlOptionletVTSVolatility('EUR TermStructures'!$F$41,$B42,H$3)</f>
        <v>#VALUE!</v>
      </c>
      <c r="I42" s="202"/>
      <c r="J42" s="202"/>
      <c r="L42" s="110" t="e">
        <f ca="1">_xll.qlCapFloorImpliedVolatility(O42,M42,"eonia",,,,,,"Normal")</f>
        <v>#VALUE!</v>
      </c>
      <c r="M42" s="1" t="e">
        <f ca="1">_xll.qlInstrumentNPV(O42,N42)</f>
        <v>#NUM!</v>
      </c>
      <c r="N42" t="e">
        <f ca="1">_xll.qlInstrumentSetPricingEngine(O42,N$3)</f>
        <v>#VALUE!</v>
      </c>
      <c r="O42" t="str">
        <f>_xll.qlCapFloor(,"Floor",Q42,H$3)</f>
        <v>obj_0021e#0005</v>
      </c>
      <c r="Q42" s="10" t="str">
        <f>_xll.qlIborLeg(S42,T42,U42,V42,W42,X42,Y42,Z42,AA42,AB42,AC42,AD42,AE42,AF59)</f>
        <v>obj_0021c#0005</v>
      </c>
      <c r="R42" s="11" t="str">
        <f>_xll.ohRangeRetrieveError(Q42)</f>
        <v/>
      </c>
      <c r="S42" s="6"/>
      <c r="T42" s="7" t="s">
        <v>39</v>
      </c>
      <c r="U42" s="25">
        <v>1000000</v>
      </c>
      <c r="V42" s="7" t="str">
        <f t="shared" si="3"/>
        <v>obj_0003f#0006</v>
      </c>
      <c r="W42" s="7"/>
      <c r="X42" s="7"/>
      <c r="Y42" s="7" t="s">
        <v>14</v>
      </c>
      <c r="Z42" s="8"/>
      <c r="AA42" s="7"/>
      <c r="AB42" s="103" t="s">
        <v>992</v>
      </c>
      <c r="AC42" s="8"/>
      <c r="AD42" s="8"/>
      <c r="AE42" s="7"/>
      <c r="AF42">
        <f>_xll.qlScheduleSize(AG42)</f>
        <v>2</v>
      </c>
      <c r="AG42" s="10" t="str">
        <f>_xll.qlSchedule(AI42,AJ42,AK42,AL42,AM42,AN42,AO42,AP42,AQ42,AR42,AS42,AT42,AU42)</f>
        <v>obj_0003f#0006</v>
      </c>
      <c r="AH42" s="11" t="str">
        <f>_xll.ohRangeRetrieveError(AG42)</f>
        <v/>
      </c>
      <c r="AI42" s="104"/>
      <c r="AJ42" s="114">
        <f>_xll.qlCalendarAdvance(Calendar,AJ$2,A42)</f>
        <v>49884</v>
      </c>
      <c r="AK42" s="114">
        <f>_xll.qlCalendarAdvance(Calendar,AJ42,"6M",)</f>
        <v>50068</v>
      </c>
      <c r="AL42" s="103" t="s">
        <v>38</v>
      </c>
      <c r="AM42" s="7" t="s">
        <v>10</v>
      </c>
      <c r="AN42" s="7" t="s">
        <v>39</v>
      </c>
      <c r="AO42" s="7" t="s">
        <v>39</v>
      </c>
      <c r="AP42" s="103" t="s">
        <v>289</v>
      </c>
      <c r="AQ42" s="7"/>
      <c r="AR42" s="14"/>
      <c r="AS42" s="14"/>
      <c r="AT42" s="7"/>
      <c r="AU42" s="9"/>
    </row>
    <row r="43" spans="1:47" ht="12" thickBot="1" x14ac:dyDescent="0.25">
      <c r="A43" s="105" t="s">
        <v>1021</v>
      </c>
      <c r="B43" s="114">
        <f>_xll.qlCalendarAdvance(Calendar,B$2,A43)</f>
        <v>50066</v>
      </c>
      <c r="C43" s="202" t="e">
        <f ca="1">_xll.qlOptionletVTSVolatility('EUR TermStructures'!$F$41,$B43,C$3)</f>
        <v>#VALUE!</v>
      </c>
      <c r="D43" s="202" t="e">
        <f ca="1">_xll.qlOptionletVTSVolatility('EUR TermStructures'!$F$41,$B43,D$3)</f>
        <v>#VALUE!</v>
      </c>
      <c r="E43" s="202" t="e">
        <f ca="1">_xll.qlOptionletVTSVolatility('EUR TermStructures'!$F$41,$B43,E$3)</f>
        <v>#VALUE!</v>
      </c>
      <c r="F43" s="202" t="e">
        <f ca="1">_xll.qlOptionletVTSVolatility('EUR TermStructures'!$F$41,$B43,F$3)</f>
        <v>#VALUE!</v>
      </c>
      <c r="G43" s="202" t="e">
        <f ca="1">_xll.qlOptionletVTSVolatility('EUR TermStructures'!$F$41,$B43,G$3)</f>
        <v>#VALUE!</v>
      </c>
      <c r="H43" s="202" t="e">
        <f ca="1">_xll.qlOptionletVTSVolatility('EUR TermStructures'!$F$41,$B43,H$3)</f>
        <v>#VALUE!</v>
      </c>
      <c r="I43" s="202"/>
      <c r="J43" s="202"/>
      <c r="L43" s="110" t="e">
        <f ca="1">_xll.qlCapFloorImpliedVolatility(O43,M43,"eonia",,,,,,"Normal")</f>
        <v>#VALUE!</v>
      </c>
      <c r="M43" s="1" t="e">
        <f ca="1">_xll.qlInstrumentNPV(O43,N43)</f>
        <v>#NUM!</v>
      </c>
      <c r="N43" t="e">
        <f ca="1">_xll.qlInstrumentSetPricingEngine(O43,N$3)</f>
        <v>#VALUE!</v>
      </c>
      <c r="O43" t="str">
        <f>_xll.qlCapFloor(,"Floor",Q43,H$3)</f>
        <v>obj_00229#0004</v>
      </c>
      <c r="Q43" s="10" t="str">
        <f>_xll.qlIborLeg(S43,T43,U43,V43,W43,X43,Y43,Z43,AA43,AB43,AC43,AD43,AE43,AF60)</f>
        <v>obj_00223#0004</v>
      </c>
      <c r="R43" s="11" t="str">
        <f>_xll.ohRangeRetrieveError(Q43)</f>
        <v/>
      </c>
      <c r="S43" s="6"/>
      <c r="T43" s="7" t="s">
        <v>39</v>
      </c>
      <c r="U43" s="25">
        <v>1000000</v>
      </c>
      <c r="V43" s="7" t="str">
        <f t="shared" si="3"/>
        <v>obj_0003b#0006</v>
      </c>
      <c r="W43" s="7"/>
      <c r="X43" s="7"/>
      <c r="Y43" s="7" t="s">
        <v>14</v>
      </c>
      <c r="Z43" s="8"/>
      <c r="AA43" s="7"/>
      <c r="AB43" s="103" t="s">
        <v>992</v>
      </c>
      <c r="AC43" s="8"/>
      <c r="AD43" s="8"/>
      <c r="AE43" s="7"/>
      <c r="AF43">
        <f>_xll.qlScheduleSize(AG43)</f>
        <v>2</v>
      </c>
      <c r="AG43" s="10" t="str">
        <f>_xll.qlSchedule(AI43,AJ43,AK43,AL43,AM43,AN43,AO43,AP43,AQ43,AR43,AS43,AT43,AU43)</f>
        <v>obj_0003b#0006</v>
      </c>
      <c r="AH43" s="11" t="str">
        <f>_xll.ohRangeRetrieveError(AG43)</f>
        <v/>
      </c>
      <c r="AI43" s="104"/>
      <c r="AJ43" s="114">
        <f>_xll.qlCalendarAdvance(Calendar,AJ$2,A43)</f>
        <v>50066</v>
      </c>
      <c r="AK43" s="114">
        <f>_xll.qlCalendarAdvance(Calendar,AJ43,"6M",)</f>
        <v>50248</v>
      </c>
      <c r="AL43" s="103" t="s">
        <v>38</v>
      </c>
      <c r="AM43" s="7" t="s">
        <v>10</v>
      </c>
      <c r="AN43" s="7" t="s">
        <v>39</v>
      </c>
      <c r="AO43" s="7" t="s">
        <v>39</v>
      </c>
      <c r="AP43" s="103" t="s">
        <v>289</v>
      </c>
      <c r="AQ43" s="7"/>
      <c r="AR43" s="14"/>
      <c r="AS43" s="14"/>
      <c r="AT43" s="7"/>
      <c r="AU43" s="9"/>
    </row>
    <row r="44" spans="1:47" ht="12" thickBot="1" x14ac:dyDescent="0.25">
      <c r="A44" s="105" t="s">
        <v>1541</v>
      </c>
      <c r="B44" s="114">
        <f>_xll.qlCalendarAdvance(Calendar,B$2,A44)</f>
        <v>50248</v>
      </c>
      <c r="C44" s="202" t="e">
        <f ca="1">_xll.qlOptionletVTSVolatility('EUR TermStructures'!$F$41,$B44,C$3)</f>
        <v>#VALUE!</v>
      </c>
      <c r="D44" s="202" t="e">
        <f ca="1">_xll.qlOptionletVTSVolatility('EUR TermStructures'!$F$41,$B44,D$3)</f>
        <v>#VALUE!</v>
      </c>
      <c r="E44" s="202" t="e">
        <f ca="1">_xll.qlOptionletVTSVolatility('EUR TermStructures'!$F$41,$B44,E$3)</f>
        <v>#VALUE!</v>
      </c>
      <c r="F44" s="202" t="e">
        <f ca="1">_xll.qlOptionletVTSVolatility('EUR TermStructures'!$F$41,$B44,F$3)</f>
        <v>#VALUE!</v>
      </c>
      <c r="G44" s="202" t="e">
        <f ca="1">_xll.qlOptionletVTSVolatility('EUR TermStructures'!$F$41,$B44,G$3)</f>
        <v>#VALUE!</v>
      </c>
      <c r="H44" s="202" t="e">
        <f ca="1">_xll.qlOptionletVTSVolatility('EUR TermStructures'!$F$41,$B44,H$3)</f>
        <v>#VALUE!</v>
      </c>
      <c r="I44" s="202"/>
      <c r="J44" s="202"/>
      <c r="L44" s="110" t="e">
        <f ca="1">_xll.qlCapFloorImpliedVolatility(O44,M44,"eonia",,,,,,"Normal")</f>
        <v>#VALUE!</v>
      </c>
      <c r="M44" s="1" t="e">
        <f ca="1">_xll.qlInstrumentNPV(O44,N44)</f>
        <v>#NUM!</v>
      </c>
      <c r="N44" t="e">
        <f ca="1">_xll.qlInstrumentSetPricingEngine(O44,N$3)</f>
        <v>#VALUE!</v>
      </c>
      <c r="O44" t="str">
        <f>_xll.qlCapFloor(,"Floor",Q44,H$3)</f>
        <v>obj_0024a#0004</v>
      </c>
      <c r="Q44" s="10" t="str">
        <f>_xll.qlIborLeg(S44,T44,U44,V44,W44,X44,Y44,Z44,AA44,AB44,AC44,AD44,AE44,AF61)</f>
        <v>obj_0022e#0004</v>
      </c>
      <c r="R44" s="11" t="str">
        <f>_xll.ohRangeRetrieveError(Q44)</f>
        <v/>
      </c>
      <c r="S44" s="6"/>
      <c r="T44" s="7" t="s">
        <v>39</v>
      </c>
      <c r="U44" s="25">
        <v>1000000</v>
      </c>
      <c r="V44" s="7" t="str">
        <f t="shared" si="3"/>
        <v>obj_0005a#0005</v>
      </c>
      <c r="W44" s="7"/>
      <c r="X44" s="7"/>
      <c r="Y44" s="7" t="s">
        <v>14</v>
      </c>
      <c r="Z44" s="8"/>
      <c r="AA44" s="7"/>
      <c r="AB44" s="103" t="s">
        <v>992</v>
      </c>
      <c r="AC44" s="8"/>
      <c r="AD44" s="8"/>
      <c r="AE44" s="7"/>
      <c r="AF44">
        <f>_xll.qlScheduleSize(AG44)</f>
        <v>2</v>
      </c>
      <c r="AG44" s="10" t="str">
        <f>_xll.qlSchedule(AI44,AJ44,AK44,AL44,AM44,AN44,AO44,AP44,AQ44,AR44,AS44,AT44,AU44)</f>
        <v>obj_0005a#0005</v>
      </c>
      <c r="AH44" s="11" t="str">
        <f>_xll.ohRangeRetrieveError(AG44)</f>
        <v/>
      </c>
      <c r="AI44" s="104"/>
      <c r="AJ44" s="114">
        <f>_xll.qlCalendarAdvance(Calendar,AJ$2,A44)</f>
        <v>50248</v>
      </c>
      <c r="AK44" s="114">
        <f>_xll.qlCalendarAdvance(Calendar,AJ44,"6M",)</f>
        <v>50432</v>
      </c>
      <c r="AL44" s="103" t="s">
        <v>38</v>
      </c>
      <c r="AM44" s="7" t="s">
        <v>10</v>
      </c>
      <c r="AN44" s="7" t="s">
        <v>39</v>
      </c>
      <c r="AO44" s="7" t="s">
        <v>39</v>
      </c>
      <c r="AP44" s="103" t="s">
        <v>289</v>
      </c>
      <c r="AQ44" s="7"/>
      <c r="AR44" s="14"/>
      <c r="AS44" s="14"/>
      <c r="AT44" s="7"/>
      <c r="AU44" s="9"/>
    </row>
    <row r="45" spans="1:47" x14ac:dyDescent="0.2">
      <c r="A45" s="106"/>
      <c r="B45" s="106"/>
      <c r="C45" s="106"/>
      <c r="D45" s="106"/>
      <c r="E45" s="106"/>
      <c r="F45" s="106"/>
      <c r="G45" s="106"/>
      <c r="H45" s="106"/>
      <c r="I45" s="106"/>
      <c r="J45" s="106"/>
    </row>
    <row r="52" spans="1:10" x14ac:dyDescent="0.2">
      <c r="A52" s="105" t="s">
        <v>1533</v>
      </c>
      <c r="B52" s="114">
        <f>_xll.qlCalendarAdvance(Calendar,B$2,A52)</f>
        <v>49702</v>
      </c>
      <c r="C52" s="202" t="e">
        <f ca="1">_xll.qlOptionletVTSVolatility('EUR TermStructures'!$F$41,$B52,C$3)</f>
        <v>#VALUE!</v>
      </c>
      <c r="D52" s="202" t="e">
        <f ca="1">_xll.qlOptionletVTSVolatility('EUR TermStructures'!$F$41,$B52,D$3)</f>
        <v>#VALUE!</v>
      </c>
      <c r="E52" s="202" t="e">
        <f ca="1">_xll.qlOptionletVTSVolatility('EUR TermStructures'!$F$41,$B52,E$3)</f>
        <v>#VALUE!</v>
      </c>
      <c r="F52" s="202" t="e">
        <f ca="1">_xll.qlOptionletVTSVolatility('EUR TermStructures'!$F$41,$B52,F$3)</f>
        <v>#VALUE!</v>
      </c>
      <c r="G52" s="202" t="e">
        <f ca="1">_xll.qlOptionletVTSVolatility('EUR TermStructures'!$F$41,$B52,G$3)</f>
        <v>#VALUE!</v>
      </c>
      <c r="H52" s="202" t="e">
        <f ca="1">_xll.qlOptionletVTSVolatility('EUR TermStructures'!$F$41,$B52,H$3)</f>
        <v>#VALUE!</v>
      </c>
      <c r="I52" s="202"/>
      <c r="J52" s="202" t="e">
        <f ca="1">_xll.qlCapFloorImpliedVolatility(J53,J55,"eonia",,,,,,"Normal",,J51)</f>
        <v>#VALUE!</v>
      </c>
    </row>
    <row r="53" spans="1:10" x14ac:dyDescent="0.2">
      <c r="C53" t="str">
        <f>_xll.qlCapFloor(,"Floor",$Q41,C$3)</f>
        <v>obj_00239#0004</v>
      </c>
      <c r="D53" t="str">
        <f>_xll.qlCapFloor(,"Floor",$Q41,D$3)</f>
        <v>obj_00253#0004</v>
      </c>
      <c r="E53" t="str">
        <f>_xll.qlCapFloor(,"Floor",$Q41,E$3)</f>
        <v>obj_00251#0004</v>
      </c>
      <c r="F53" t="str">
        <f>_xll.qlCapFloor(,"Floor",$Q41,F$3)</f>
        <v>obj_0023b#0004</v>
      </c>
      <c r="G53" t="str">
        <f>_xll.qlCapFloor(,"Floor",$Q41,G$3)</f>
        <v>obj_00254#0004</v>
      </c>
      <c r="H53" t="str">
        <f>_xll.qlCapFloor(,"Floor",$Q41,H$3)</f>
        <v>obj_00236#0004</v>
      </c>
      <c r="J53" t="str">
        <f>_xll.qlCapFloor(,"Floor",$Q41,J$3)</f>
        <v>obj_00235#0004</v>
      </c>
    </row>
    <row r="54" spans="1:10" x14ac:dyDescent="0.2">
      <c r="C54" t="e">
        <f ca="1">_xll.qlInstrumentSetPricingEngine(C53,$N$3)</f>
        <v>#VALUE!</v>
      </c>
      <c r="D54" t="e">
        <f ca="1">_xll.qlInstrumentSetPricingEngine(D53,$N$3)</f>
        <v>#VALUE!</v>
      </c>
      <c r="E54" t="e">
        <f ca="1">_xll.qlInstrumentSetPricingEngine(E53,$N$3)</f>
        <v>#VALUE!</v>
      </c>
      <c r="F54" t="e">
        <f ca="1">_xll.qlInstrumentSetPricingEngine(F53,$N$3)</f>
        <v>#VALUE!</v>
      </c>
      <c r="G54" t="e">
        <f ca="1">_xll.qlInstrumentSetPricingEngine(G53,$N$3)</f>
        <v>#VALUE!</v>
      </c>
      <c r="H54" t="e">
        <f ca="1">_xll.qlInstrumentSetPricingEngine(H53,$N$3)</f>
        <v>#VALUE!</v>
      </c>
      <c r="J54" t="e">
        <f ca="1">_xll.qlInstrumentSetPricingEngine(J53,J58)</f>
        <v>#VALUE!</v>
      </c>
    </row>
    <row r="55" spans="1:10" x14ac:dyDescent="0.2">
      <c r="C55" s="108" t="e">
        <f ca="1">_xll.qlInstrumentNPV(C53,C54)</f>
        <v>#NUM!</v>
      </c>
      <c r="D55" s="108" t="e">
        <f ca="1">_xll.qlInstrumentNPV(D53,D54)</f>
        <v>#NUM!</v>
      </c>
      <c r="E55" s="108" t="e">
        <f ca="1">_xll.qlInstrumentNPV(E53,E54)</f>
        <v>#NUM!</v>
      </c>
      <c r="F55" s="108" t="e">
        <f ca="1">_xll.qlInstrumentNPV(F53,F54)</f>
        <v>#NUM!</v>
      </c>
      <c r="G55" s="108" t="e">
        <f ca="1">_xll.qlInstrumentNPV(G53,G54)</f>
        <v>#NUM!</v>
      </c>
      <c r="H55" s="108" t="e">
        <f ca="1">_xll.qlInstrumentNPV(H53,H54)</f>
        <v>#NUM!</v>
      </c>
      <c r="I55" s="108"/>
      <c r="J55" s="108" t="e">
        <f ca="1">_xll.qlInstrumentNPV(J53,J54)</f>
        <v>#NUM!</v>
      </c>
    </row>
    <row r="56" spans="1:10" x14ac:dyDescent="0.2">
      <c r="C56" s="202" t="e">
        <f ca="1">_xll.qlCapFloorImpliedVolatility(C53,C55,"eonia",,,,,,"ShiftedLognormal",0.03,C55)</f>
        <v>#VALUE!</v>
      </c>
      <c r="D56" s="202" t="e">
        <f ca="1">_xll.qlCapFloorImpliedVolatility(D53,D55,"eonia",,,,,,"ShiftedLognormal",0.03,D55)</f>
        <v>#VALUE!</v>
      </c>
      <c r="E56" s="202" t="e">
        <f ca="1">_xll.qlCapFloorImpliedVolatility(E53,E55,"eonia",,,,,,"ShiftedLognormal",0.03,E55)</f>
        <v>#VALUE!</v>
      </c>
      <c r="F56" s="202" t="e">
        <f ca="1">_xll.qlCapFloorImpliedVolatility(F53,F55,"eonia",,,,,,"ShiftedLognormal",0.03,F55)</f>
        <v>#VALUE!</v>
      </c>
      <c r="G56" s="202" t="e">
        <f ca="1">_xll.qlCapFloorImpliedVolatility(G53,G55,"eonia",,,,,,"ShiftedLognormal",0.03,G55)</f>
        <v>#VALUE!</v>
      </c>
      <c r="H56" s="202" t="e">
        <f ca="1">_xll.qlCapFloorImpliedVolatility(H53,H55,"eonia",,,,,,"ShiftedLognormal",0.03,H55)</f>
        <v>#VALUE!</v>
      </c>
      <c r="J56" s="202" t="e">
        <f ca="1">_xll.qlInterpolationInterpolate(C60,J3,TRUE)</f>
        <v>#VALUE!</v>
      </c>
    </row>
    <row r="58" spans="1:10" x14ac:dyDescent="0.2">
      <c r="J58" t="e">
        <f ca="1">_xll.qlBlackCapFloorEngine(,"eonia",J59,0.03)</f>
        <v>#VALUE!</v>
      </c>
    </row>
    <row r="59" spans="1:10" x14ac:dyDescent="0.2">
      <c r="J59" t="e">
        <f ca="1">_xll.qlConstantOptionletVolatility(,0,"TARGET","f",J56,,,0.03 )</f>
        <v>#NUM!</v>
      </c>
    </row>
    <row r="60" spans="1:10" x14ac:dyDescent="0.2">
      <c r="B60" s="13">
        <f>_xll.qlCapFloorAtmRate(O41,"eonia")</f>
        <v>1.7512588562325751E-2</v>
      </c>
      <c r="C60" t="e">
        <f ca="1">_xll.qlSABRInterpolation(,C3:H3,C56:H56,19,B60,,,,,,,,,,,,,,,0.03)</f>
        <v>#VALUE!</v>
      </c>
    </row>
    <row r="61" spans="1:10" x14ac:dyDescent="0.2">
      <c r="J61" t="str">
        <f ca="1">_xll.ohRangeRetrieveError(J58)</f>
        <v/>
      </c>
    </row>
  </sheetData>
  <dataValidations disablePrompts="1" count="3">
    <dataValidation type="list" allowBlank="1" showInputMessage="1" showErrorMessage="1" sqref="T4:T44 AN4:AO44" xr:uid="{00000000-0002-0000-0000-000000000000}">
      <formula1>"Following,Modified Following,Preceding,Modified Preceding,Unadjusted"</formula1>
    </dataValidation>
    <dataValidation type="list" allowBlank="1" showInputMessage="1" showErrorMessage="1" sqref="Y4:Y44" xr:uid="{00000000-0002-0000-0000-000001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AM4:AM44" xr:uid="{00000000-0002-0000-0000-000002000000}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6113" r:id="rId4" name="Button 993">
              <controlPr defaultSize="0" print="0" autoFill="0" autoPict="0" macro="[0]!Update_Once" altText="TempXBS">
                <anchor moveWithCells="1" sizeWithCells="1">
                  <from>
                    <xdr:col>11</xdr:col>
                    <xdr:colOff>704850</xdr:colOff>
                    <xdr:row>17</xdr:row>
                    <xdr:rowOff>0</xdr:rowOff>
                  </from>
                  <to>
                    <xdr:col>16</xdr:col>
                    <xdr:colOff>400050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H196"/>
  <sheetViews>
    <sheetView topLeftCell="F1" zoomScale="80" zoomScaleNormal="80" workbookViewId="0">
      <selection activeCell="I8" sqref="I8"/>
    </sheetView>
  </sheetViews>
  <sheetFormatPr defaultRowHeight="11.25" x14ac:dyDescent="0.2"/>
  <cols>
    <col min="1" max="1" width="38.33203125" customWidth="1"/>
    <col min="2" max="2" width="25" bestFit="1" customWidth="1"/>
    <col min="3" max="3" width="5.5" customWidth="1"/>
    <col min="4" max="4" width="22.1640625" bestFit="1" customWidth="1"/>
    <col min="5" max="5" width="16.6640625" bestFit="1" customWidth="1"/>
    <col min="6" max="6" width="41.83203125" customWidth="1"/>
    <col min="7" max="7" width="26.33203125" bestFit="1" customWidth="1"/>
    <col min="8" max="8" width="16" bestFit="1" customWidth="1"/>
    <col min="9" max="9" width="15.83203125" bestFit="1" customWidth="1"/>
    <col min="10" max="11" width="10.1640625" bestFit="1" customWidth="1"/>
    <col min="12" max="13" width="9" customWidth="1"/>
    <col min="14" max="14" width="20.5" customWidth="1"/>
    <col min="15" max="15" width="16.5" customWidth="1"/>
    <col min="16" max="24" width="9" customWidth="1"/>
    <col min="26" max="28" width="8.6640625" customWidth="1"/>
    <col min="29" max="29" width="10.1640625" bestFit="1" customWidth="1"/>
    <col min="31" max="31" width="22.83203125" bestFit="1" customWidth="1"/>
    <col min="32" max="32" width="22.5" bestFit="1" customWidth="1"/>
    <col min="34" max="35" width="16.33203125" customWidth="1"/>
    <col min="36" max="36" width="12.1640625" customWidth="1"/>
    <col min="38" max="38" width="9.6640625" bestFit="1" customWidth="1"/>
    <col min="39" max="40" width="9.6640625" customWidth="1"/>
    <col min="42" max="42" width="10.1640625" bestFit="1" customWidth="1"/>
    <col min="43" max="44" width="9.5" bestFit="1" customWidth="1"/>
    <col min="45" max="45" width="10.1640625" bestFit="1" customWidth="1"/>
    <col min="46" max="46" width="24.33203125" customWidth="1"/>
    <col min="47" max="47" width="20.83203125" customWidth="1"/>
    <col min="48" max="48" width="24.83203125" customWidth="1"/>
    <col min="49" max="49" width="17.1640625" customWidth="1"/>
    <col min="50" max="50" width="10.33203125" bestFit="1" customWidth="1"/>
    <col min="51" max="52" width="23.6640625" bestFit="1" customWidth="1"/>
    <col min="53" max="53" width="9.6640625" bestFit="1" customWidth="1"/>
    <col min="54" max="54" width="9.5" bestFit="1" customWidth="1"/>
    <col min="55" max="55" width="9.6640625" bestFit="1" customWidth="1"/>
    <col min="56" max="56" width="23" bestFit="1" customWidth="1"/>
    <col min="57" max="57" width="13" bestFit="1" customWidth="1"/>
    <col min="58" max="58" width="19" customWidth="1"/>
    <col min="59" max="59" width="16.33203125" bestFit="1" customWidth="1"/>
    <col min="62" max="63" width="9.5" bestFit="1" customWidth="1"/>
    <col min="75" max="75" width="20.83203125" customWidth="1"/>
    <col min="76" max="76" width="15.83203125" customWidth="1"/>
  </cols>
  <sheetData>
    <row r="1" spans="1:46" ht="12.75" x14ac:dyDescent="0.2">
      <c r="A1" s="194" t="s">
        <v>274</v>
      </c>
      <c r="J1" s="116"/>
      <c r="AF1" s="31">
        <v>0.03</v>
      </c>
      <c r="AH1" s="113" t="e">
        <f ca="1">STDEVP(AF3:AR18)/AVERAGE(AF3:AR18)</f>
        <v>#VALUE!</v>
      </c>
      <c r="AM1" s="126"/>
      <c r="AN1" s="126"/>
      <c r="AO1" s="126"/>
      <c r="AP1" s="126"/>
      <c r="AQ1" s="126"/>
      <c r="AR1" s="126"/>
      <c r="AS1" s="126"/>
      <c r="AT1" s="126"/>
    </row>
    <row r="2" spans="1:46" ht="12.75" x14ac:dyDescent="0.2">
      <c r="A2" s="194"/>
      <c r="K2" s="105" t="s">
        <v>1509</v>
      </c>
      <c r="L2">
        <v>-0.75</v>
      </c>
      <c r="M2">
        <v>-0.5</v>
      </c>
      <c r="N2">
        <v>-0.25</v>
      </c>
      <c r="O2">
        <v>-0.13</v>
      </c>
      <c r="P2">
        <v>0</v>
      </c>
      <c r="Q2" s="126">
        <v>0.25</v>
      </c>
      <c r="R2" s="126">
        <v>0.5</v>
      </c>
      <c r="S2" s="126">
        <v>1</v>
      </c>
      <c r="T2" s="126">
        <v>1.5</v>
      </c>
      <c r="U2" s="126">
        <v>2</v>
      </c>
      <c r="V2" s="126">
        <v>3</v>
      </c>
      <c r="W2" s="126">
        <v>5</v>
      </c>
      <c r="X2" s="126">
        <v>10</v>
      </c>
      <c r="AF2">
        <v>-0.75</v>
      </c>
      <c r="AG2">
        <v>-0.5</v>
      </c>
      <c r="AH2">
        <v>-0.25</v>
      </c>
      <c r="AI2">
        <v>-0.13</v>
      </c>
      <c r="AJ2">
        <v>0</v>
      </c>
      <c r="AK2" s="126">
        <v>0.25</v>
      </c>
      <c r="AL2" s="126">
        <v>0.5</v>
      </c>
      <c r="AM2" s="126">
        <v>1</v>
      </c>
      <c r="AN2" s="126">
        <v>1.5</v>
      </c>
      <c r="AO2" s="126">
        <v>2</v>
      </c>
      <c r="AP2" s="126">
        <v>3</v>
      </c>
      <c r="AQ2" s="126">
        <v>5</v>
      </c>
      <c r="AR2" s="126">
        <v>10</v>
      </c>
      <c r="AS2" s="159"/>
      <c r="AT2" s="159"/>
    </row>
    <row r="3" spans="1:46" ht="13.5" thickBot="1" x14ac:dyDescent="0.25">
      <c r="A3" s="194"/>
      <c r="K3" t="s">
        <v>25</v>
      </c>
      <c r="L3" s="148">
        <v>5.5</v>
      </c>
      <c r="M3" s="148">
        <v>11.3</v>
      </c>
      <c r="N3" s="148">
        <v>18.600000000000001</v>
      </c>
      <c r="O3" s="148">
        <v>24.3</v>
      </c>
      <c r="P3" s="148">
        <v>30</v>
      </c>
      <c r="Q3" s="148">
        <v>40.1</v>
      </c>
      <c r="R3" s="148">
        <v>49.4</v>
      </c>
      <c r="S3" s="148">
        <v>66.8</v>
      </c>
      <c r="T3" s="148">
        <v>83</v>
      </c>
      <c r="U3" s="148">
        <v>98.4</v>
      </c>
      <c r="V3" s="148">
        <v>127.7</v>
      </c>
      <c r="W3" s="148">
        <v>182.3</v>
      </c>
      <c r="X3" s="148">
        <v>306.60000000000002</v>
      </c>
      <c r="AE3" t="s">
        <v>25</v>
      </c>
      <c r="AF3" s="196" t="e">
        <f ca="1">_xll.qlCapFloorImpliedVolatility(AF61,AF48/10000,"eonia",,,,,,"ShiftedLognormal",$AF$1)</f>
        <v>#VALUE!</v>
      </c>
      <c r="AG3" s="196" t="e">
        <f ca="1">_xll.qlCapFloorImpliedVolatility(AG61,AG48/10000,"eonia",,,,,,"ShiftedLognormal",$AF$1)</f>
        <v>#VALUE!</v>
      </c>
      <c r="AH3" s="196" t="e">
        <f ca="1">_xll.qlCapFloorImpliedVolatility(AH61,AH48/10000,"eonia",,,,,,"ShiftedLognormal",$AF$1)</f>
        <v>#VALUE!</v>
      </c>
      <c r="AI3" s="196" t="e">
        <f ca="1">_xll.qlCapFloorImpliedVolatility(AI61,AI48/10000,"eonia",,,,,,"ShiftedLognormal",$AF$1)</f>
        <v>#VALUE!</v>
      </c>
      <c r="AJ3" s="196" t="e">
        <f ca="1">_xll.qlCapFloorImpliedVolatility(AJ61,AJ48/10000,"eonia",,,,,,"ShiftedLognormal",$AF$1)</f>
        <v>#VALUE!</v>
      </c>
      <c r="AK3" s="196" t="e">
        <f ca="1">_xll.qlCapFloorImpliedVolatility(AK61,AK48/10000,"eonia",,,,,,"ShiftedLognormal",$AF$1)</f>
        <v>#VALUE!</v>
      </c>
      <c r="AL3" s="196" t="e">
        <f ca="1">_xll.qlCapFloorImpliedVolatility(AL61,AL48/10000,"eonia",,,,,,"ShiftedLognormal",$AF$1)</f>
        <v>#VALUE!</v>
      </c>
      <c r="AM3" s="196" t="e">
        <f ca="1">_xll.qlCapFloorImpliedVolatility(AM61,AM48/10000,"eonia",,,,,,"ShiftedLognormal",$AF$1)</f>
        <v>#VALUE!</v>
      </c>
      <c r="AN3" s="196" t="e">
        <f ca="1">_xll.qlCapFloorImpliedVolatility(AN61,AN48/10000,"eonia",,,,,,"ShiftedLognormal",$AF$1)</f>
        <v>#VALUE!</v>
      </c>
      <c r="AO3" s="196" t="e">
        <f ca="1">_xll.qlCapFloorImpliedVolatility(AO61,AO48/10000,"eonia",,,,,,"ShiftedLognormal",$AF$1)</f>
        <v>#VALUE!</v>
      </c>
      <c r="AP3" s="196" t="e">
        <f ca="1">_xll.qlCapFloorImpliedVolatility(AP61,AP48/10000,"eonia",,,,,,"ShiftedLognormal",$AF$1)</f>
        <v>#VALUE!</v>
      </c>
      <c r="AQ3" s="196" t="e">
        <f ca="1">_xll.qlCapFloorImpliedVolatility(AQ61,AQ48/10000,"eonia",,,,,,"ShiftedLognormal",$AF$1)</f>
        <v>#VALUE!</v>
      </c>
      <c r="AR3" s="196" t="e">
        <f ca="1">_xll.qlCapFloorImpliedVolatility(AR61,AR48/10000,"eonia",,,,,,"ShiftedLognormal",$AF$1)</f>
        <v>#VALUE!</v>
      </c>
      <c r="AS3" s="179" t="str">
        <f ca="1">_xll.ohRangeRetrieveError(AR3)</f>
        <v/>
      </c>
      <c r="AT3" s="159"/>
    </row>
    <row r="4" spans="1:46" ht="12.75" x14ac:dyDescent="0.2">
      <c r="A4" s="194"/>
      <c r="K4" s="105" t="s">
        <v>156</v>
      </c>
      <c r="L4" s="148">
        <v>12.4</v>
      </c>
      <c r="M4" s="148">
        <v>15.2</v>
      </c>
      <c r="N4" s="148">
        <v>20.5</v>
      </c>
      <c r="O4" s="148">
        <v>26</v>
      </c>
      <c r="P4" s="148">
        <v>31.5</v>
      </c>
      <c r="Q4" s="148">
        <v>41.4</v>
      </c>
      <c r="R4" s="148">
        <v>50.6</v>
      </c>
      <c r="S4" s="148">
        <v>67.5</v>
      </c>
      <c r="T4" s="148">
        <v>83.2</v>
      </c>
      <c r="U4" s="148">
        <v>98.2</v>
      </c>
      <c r="V4" s="148">
        <v>126.5</v>
      </c>
      <c r="W4" s="148">
        <v>179.1</v>
      </c>
      <c r="X4" s="148">
        <v>298.10000000000002</v>
      </c>
      <c r="AC4" s="125"/>
      <c r="AE4" s="105" t="s">
        <v>156</v>
      </c>
      <c r="AF4" s="196" t="e">
        <f ca="1">_xll.qlCapFloorImpliedVolatility(AF62,AF49/10000,"eonia",,,,,,"ShiftedLognormal",$AF$1)</f>
        <v>#VALUE!</v>
      </c>
      <c r="AG4" s="196" t="e">
        <f ca="1">_xll.qlCapFloorImpliedVolatility(AG62,AG49/10000,"eonia",,,,,,"ShiftedLognormal",$AF$1)</f>
        <v>#VALUE!</v>
      </c>
      <c r="AH4" s="196" t="e">
        <f ca="1">_xll.qlCapFloorImpliedVolatility(AH62,AH49/10000,"eonia",,,,,,"ShiftedLognormal",$AF$1)</f>
        <v>#VALUE!</v>
      </c>
      <c r="AI4" s="196" t="e">
        <f ca="1">_xll.qlCapFloorImpliedVolatility(AI62,AI49/10000,"eonia",,,,,,"ShiftedLognormal",$AF$1)</f>
        <v>#VALUE!</v>
      </c>
      <c r="AJ4" s="196" t="e">
        <f ca="1">_xll.qlCapFloorImpliedVolatility(AJ62,AJ49/10000,"eonia",,,,,,"ShiftedLognormal",$AF$1)</f>
        <v>#VALUE!</v>
      </c>
      <c r="AK4" s="196" t="e">
        <f ca="1">_xll.qlCapFloorImpliedVolatility(AK62,AK49/10000,"eonia",,,,,,"ShiftedLognormal",$AF$1)</f>
        <v>#VALUE!</v>
      </c>
      <c r="AL4" s="196" t="e">
        <f ca="1">_xll.qlCapFloorImpliedVolatility(AL62,AL49/10000,"eonia",,,,,,"ShiftedLognormal",$AF$1)</f>
        <v>#VALUE!</v>
      </c>
      <c r="AM4" s="196" t="e">
        <f ca="1">_xll.qlCapFloorImpliedVolatility(AM62,AM49/10000,"eonia",,,,,,"ShiftedLognormal",$AF$1)</f>
        <v>#VALUE!</v>
      </c>
      <c r="AN4" s="196" t="e">
        <f ca="1">_xll.qlCapFloorImpliedVolatility(AN62,AN49/10000,"eonia",,,,,,"ShiftedLognormal",$AF$1)</f>
        <v>#VALUE!</v>
      </c>
      <c r="AO4" s="196" t="e">
        <f ca="1">_xll.qlCapFloorImpliedVolatility(AO62,AO49/10000,"eonia",,,,,,"ShiftedLognormal",$AF$1)</f>
        <v>#VALUE!</v>
      </c>
      <c r="AP4" s="196" t="e">
        <f ca="1">_xll.qlCapFloorImpliedVolatility(AP62,AP49/10000,"eonia",,,,,,"ShiftedLognormal",$AF$1)</f>
        <v>#VALUE!</v>
      </c>
      <c r="AQ4" s="196" t="e">
        <f ca="1">_xll.qlCapFloorImpliedVolatility(AQ62,AQ49/10000,"eonia",,,,,,"ShiftedLognormal",$AF$1)</f>
        <v>#VALUE!</v>
      </c>
      <c r="AR4" s="196" t="e">
        <f ca="1">_xll.qlCapFloorImpliedVolatility(AR62,AR49/10000,"eonia",,,,,,"ShiftedLognormal",$AF$1)</f>
        <v>#VALUE!</v>
      </c>
      <c r="AS4" s="159"/>
      <c r="AT4" s="159"/>
    </row>
    <row r="5" spans="1:46" ht="12.75" x14ac:dyDescent="0.2">
      <c r="A5" s="194" t="s">
        <v>273</v>
      </c>
      <c r="K5" t="s">
        <v>157</v>
      </c>
      <c r="L5" s="148">
        <v>18.899999999999999</v>
      </c>
      <c r="M5" s="148">
        <v>19.100000000000001</v>
      </c>
      <c r="N5" s="148">
        <v>22.9</v>
      </c>
      <c r="O5" s="148">
        <v>28</v>
      </c>
      <c r="P5" s="148">
        <v>33.299999999999997</v>
      </c>
      <c r="Q5" s="148">
        <v>42.9</v>
      </c>
      <c r="R5" s="148">
        <v>51.8</v>
      </c>
      <c r="S5" s="148">
        <v>68.2</v>
      </c>
      <c r="T5" s="148">
        <v>83.5</v>
      </c>
      <c r="U5" s="148">
        <v>97.9</v>
      </c>
      <c r="V5" s="148">
        <v>125.3</v>
      </c>
      <c r="W5" s="148">
        <v>175.9</v>
      </c>
      <c r="X5" s="148">
        <v>290</v>
      </c>
      <c r="AE5" t="s">
        <v>157</v>
      </c>
      <c r="AF5" s="196" t="e">
        <f ca="1">_xll.qlCapFloorImpliedVolatility(AF63,AF50/10000,"eonia",,,,,,"ShiftedLognormal",$AF$1)</f>
        <v>#VALUE!</v>
      </c>
      <c r="AG5" s="196" t="e">
        <f ca="1">_xll.qlCapFloorImpliedVolatility(AG63,AG50/10000,"eonia",,,,,,"ShiftedLognormal",$AF$1)</f>
        <v>#VALUE!</v>
      </c>
      <c r="AH5" s="196" t="e">
        <f ca="1">_xll.qlCapFloorImpliedVolatility(AH63,AH50/10000,"eonia",,,,,,"ShiftedLognormal",$AF$1)</f>
        <v>#VALUE!</v>
      </c>
      <c r="AI5" s="196" t="e">
        <f ca="1">_xll.qlCapFloorImpliedVolatility(AI63,AI50/10000,"eonia",,,,,,"ShiftedLognormal",$AF$1)</f>
        <v>#VALUE!</v>
      </c>
      <c r="AJ5" s="196" t="e">
        <f ca="1">_xll.qlCapFloorImpliedVolatility(AJ63,AJ50/10000,"eonia",,,,,,"ShiftedLognormal",$AF$1)</f>
        <v>#VALUE!</v>
      </c>
      <c r="AK5" s="196" t="e">
        <f ca="1">_xll.qlCapFloorImpliedVolatility(AK63,AK50/10000,"eonia",,,,,,"ShiftedLognormal",$AF$1)</f>
        <v>#VALUE!</v>
      </c>
      <c r="AL5" s="196" t="e">
        <f ca="1">_xll.qlCapFloorImpliedVolatility(AL63,AL50/10000,"eonia",,,,,,"ShiftedLognormal",$AF$1)</f>
        <v>#VALUE!</v>
      </c>
      <c r="AM5" s="196" t="e">
        <f ca="1">_xll.qlCapFloorImpliedVolatility(AM63,AM50/10000,"eonia",,,,,,"ShiftedLognormal",$AF$1)</f>
        <v>#VALUE!</v>
      </c>
      <c r="AN5" s="196" t="e">
        <f ca="1">_xll.qlCapFloorImpliedVolatility(AN63,AN50/10000,"eonia",,,,,,"ShiftedLognormal",$AF$1)</f>
        <v>#VALUE!</v>
      </c>
      <c r="AO5" s="196" t="e">
        <f ca="1">_xll.qlCapFloorImpliedVolatility(AO63,AO50/10000,"eonia",,,,,,"ShiftedLognormal",$AF$1)</f>
        <v>#VALUE!</v>
      </c>
      <c r="AP5" s="196" t="e">
        <f ca="1">_xll.qlCapFloorImpliedVolatility(AP63,AP50/10000,"eonia",,,,,,"ShiftedLognormal",$AF$1)</f>
        <v>#VALUE!</v>
      </c>
      <c r="AQ5" s="196" t="e">
        <f ca="1">_xll.qlCapFloorImpliedVolatility(AQ63,AQ50/10000,"eonia",,,,,,"ShiftedLognormal",$AF$1)</f>
        <v>#VALUE!</v>
      </c>
      <c r="AR5" s="196" t="e">
        <f ca="1">_xll.qlCapFloorImpliedVolatility(AR63,AR50/10000,"eonia",,,,,,"ShiftedLognormal",$AF$1)</f>
        <v>#VALUE!</v>
      </c>
      <c r="AS5" s="159"/>
      <c r="AT5" s="159"/>
    </row>
    <row r="6" spans="1:46" ht="12.75" x14ac:dyDescent="0.2">
      <c r="A6" s="194"/>
      <c r="K6" t="s">
        <v>99</v>
      </c>
      <c r="L6" s="148">
        <v>30.9</v>
      </c>
      <c r="M6" s="148">
        <v>28.4</v>
      </c>
      <c r="N6" s="148">
        <v>26.3</v>
      </c>
      <c r="O6" s="148">
        <v>29.4</v>
      </c>
      <c r="P6" s="148">
        <v>33.6</v>
      </c>
      <c r="Q6" s="148">
        <v>41.6</v>
      </c>
      <c r="R6" s="148">
        <v>49.4</v>
      </c>
      <c r="S6" s="148">
        <v>63.9</v>
      </c>
      <c r="T6" s="148">
        <v>77.5</v>
      </c>
      <c r="U6" s="148">
        <v>90.3</v>
      </c>
      <c r="V6" s="148">
        <v>114.4</v>
      </c>
      <c r="W6" s="148">
        <v>158.5</v>
      </c>
      <c r="X6" s="148">
        <v>256.2</v>
      </c>
      <c r="AD6" s="31"/>
      <c r="AE6" t="s">
        <v>99</v>
      </c>
      <c r="AF6" s="196" t="e">
        <f ca="1">_xll.qlCapFloorImpliedVolatility(L75,L51/10000,"eonia",,,,,,"ShiftedLognormal",$AF$1)</f>
        <v>#VALUE!</v>
      </c>
      <c r="AG6" s="196" t="e">
        <f ca="1">_xll.qlCapFloorImpliedVolatility(M75,M51/10000,"eonia",,,,,,"ShiftedLognormal",$AF$1)</f>
        <v>#VALUE!</v>
      </c>
      <c r="AH6" s="196" t="e">
        <f ca="1">_xll.qlCapFloorImpliedVolatility(N75,N51/10000,"eonia",,,,,,"ShiftedLognormal",$AF$1)</f>
        <v>#VALUE!</v>
      </c>
      <c r="AI6" s="196" t="e">
        <f ca="1">_xll.qlCapFloorImpliedVolatility(O75,O51/10000,"eonia",,,,,,"ShiftedLognormal",$AF$1)</f>
        <v>#VALUE!</v>
      </c>
      <c r="AJ6" s="196" t="e">
        <f ca="1">_xll.qlCapFloorImpliedVolatility(P75,P51/10000,"eonia",,,,,,"ShiftedLognormal",$AF$1)</f>
        <v>#VALUE!</v>
      </c>
      <c r="AK6" s="196" t="e">
        <f ca="1">_xll.qlCapFloorImpliedVolatility(Q75,Q51/10000,"eonia",,,,,,"ShiftedLognormal",$AF$1)</f>
        <v>#VALUE!</v>
      </c>
      <c r="AL6" s="196" t="e">
        <f ca="1">_xll.qlCapFloorImpliedVolatility(R75,R51/10000,"eonia",,,,,,"ShiftedLognormal",$AF$1)</f>
        <v>#VALUE!</v>
      </c>
      <c r="AM6" s="196" t="e">
        <f ca="1">_xll.qlCapFloorImpliedVolatility(S75,S51/10000,"eonia",,,,,,"ShiftedLognormal",$AF$1)</f>
        <v>#VALUE!</v>
      </c>
      <c r="AN6" s="196" t="e">
        <f ca="1">_xll.qlCapFloorImpliedVolatility(T75,T51/10000,"eonia",,,,,,"ShiftedLognormal",$AF$1)</f>
        <v>#VALUE!</v>
      </c>
      <c r="AO6" s="196" t="e">
        <f ca="1">_xll.qlCapFloorImpliedVolatility(U75,U51/10000,"eonia",,,,,,"ShiftedLognormal",$AF$1)</f>
        <v>#VALUE!</v>
      </c>
      <c r="AP6" s="196" t="e">
        <f ca="1">_xll.qlCapFloorImpliedVolatility(V75,V51/10000,"eonia",,,,,,"ShiftedLognormal",$AF$1)</f>
        <v>#VALUE!</v>
      </c>
      <c r="AQ6" s="196" t="e">
        <f ca="1">_xll.qlCapFloorImpliedVolatility(W75,W51/10000,"eonia",,,,,,"ShiftedLognormal",$AF$1)</f>
        <v>#VALUE!</v>
      </c>
      <c r="AR6" s="196" t="e">
        <f ca="1">_xll.qlCapFloorImpliedVolatility(X75,X51/10000,"eonia",,,,,,"ShiftedLognormal",$AF$1)</f>
        <v>#VALUE!</v>
      </c>
      <c r="AS6" s="159"/>
      <c r="AT6" s="159"/>
    </row>
    <row r="7" spans="1:46" ht="12.75" x14ac:dyDescent="0.2">
      <c r="K7" t="s">
        <v>101</v>
      </c>
      <c r="L7" s="148">
        <v>37.6</v>
      </c>
      <c r="M7" s="148">
        <v>34.9</v>
      </c>
      <c r="N7" s="148">
        <v>32.6</v>
      </c>
      <c r="O7" s="148">
        <v>34.9</v>
      </c>
      <c r="P7" s="148">
        <v>38.299999999999997</v>
      </c>
      <c r="Q7" s="148">
        <v>45</v>
      </c>
      <c r="R7" s="148">
        <v>51.5</v>
      </c>
      <c r="S7" s="148">
        <v>63.9</v>
      </c>
      <c r="T7" s="148">
        <v>75.8</v>
      </c>
      <c r="U7" s="148">
        <v>87.2</v>
      </c>
      <c r="V7" s="148">
        <v>108.7</v>
      </c>
      <c r="W7" s="148">
        <v>148.1</v>
      </c>
      <c r="X7" s="148">
        <v>235.3</v>
      </c>
      <c r="AE7" t="s">
        <v>101</v>
      </c>
      <c r="AF7" s="196" t="e">
        <f ca="1">_xll.qlCapFloorImpliedVolatility(L76,L52/10000,"eonia",,,,,,"ShiftedLognormal",$AF$1)</f>
        <v>#VALUE!</v>
      </c>
      <c r="AG7" s="196" t="e">
        <f ca="1">_xll.qlCapFloorImpliedVolatility(M76,M52/10000,"eonia",,,,,,"ShiftedLognormal",$AF$1)</f>
        <v>#VALUE!</v>
      </c>
      <c r="AH7" s="196" t="e">
        <f ca="1">_xll.qlCapFloorImpliedVolatility(N76,N52/10000,"eonia",,,,,,"ShiftedLognormal",$AF$1)</f>
        <v>#VALUE!</v>
      </c>
      <c r="AI7" s="196" t="e">
        <f ca="1">_xll.qlCapFloorImpliedVolatility(O76,O52/10000,"eonia",,,,,,"ShiftedLognormal",$AF$1)</f>
        <v>#VALUE!</v>
      </c>
      <c r="AJ7" s="196" t="e">
        <f ca="1">_xll.qlCapFloorImpliedVolatility(P76,P52/10000,"eonia",,,,,,"ShiftedLognormal",$AF$1)</f>
        <v>#VALUE!</v>
      </c>
      <c r="AK7" s="196" t="e">
        <f ca="1">_xll.qlCapFloorImpliedVolatility(Q76,Q52/10000,"eonia",,,,,,"ShiftedLognormal",$AF$1)</f>
        <v>#VALUE!</v>
      </c>
      <c r="AL7" s="196" t="e">
        <f ca="1">_xll.qlCapFloorImpliedVolatility(R76,R52/10000,"eonia",,,,,,"ShiftedLognormal",$AF$1)</f>
        <v>#VALUE!</v>
      </c>
      <c r="AM7" s="196" t="e">
        <f ca="1">_xll.qlCapFloorImpliedVolatility(S76,S52/10000,"eonia",,,,,,"ShiftedLognormal",$AF$1)</f>
        <v>#VALUE!</v>
      </c>
      <c r="AN7" s="196" t="e">
        <f ca="1">_xll.qlCapFloorImpliedVolatility(T76,T52/10000,"eonia",,,,,,"ShiftedLognormal",$AF$1)</f>
        <v>#VALUE!</v>
      </c>
      <c r="AO7" s="196" t="e">
        <f ca="1">_xll.qlCapFloorImpliedVolatility(U76,U52/10000,"eonia",,,,,,"ShiftedLognormal",$AF$1)</f>
        <v>#VALUE!</v>
      </c>
      <c r="AP7" s="196" t="e">
        <f ca="1">_xll.qlCapFloorImpliedVolatility(V76,V52/10000,"eonia",,,,,,"ShiftedLognormal",$AF$1)</f>
        <v>#VALUE!</v>
      </c>
      <c r="AQ7" s="196" t="e">
        <f ca="1">_xll.qlCapFloorImpliedVolatility(W76,W52/10000,"eonia",,,,,,"ShiftedLognormal",$AF$1)</f>
        <v>#VALUE!</v>
      </c>
      <c r="AR7" s="196" t="e">
        <f ca="1">_xll.qlCapFloorImpliedVolatility(X76,X52/10000,"eonia",,,,,,"ShiftedLognormal",$AF$1)</f>
        <v>#VALUE!</v>
      </c>
      <c r="AS7" s="159"/>
      <c r="AT7" s="159"/>
    </row>
    <row r="8" spans="1:46" ht="12.75" x14ac:dyDescent="0.2">
      <c r="B8" t="str">
        <f>_xll.qlCapFloorTermVolSurface(B11,B12,B13,B14,_xll.ohPack(K29:K44),_xll.ohPack(L28:W28),_xll.ohPack(L29:W44),"Simple")</f>
        <v>EO6M_Vol#0012</v>
      </c>
      <c r="D8" t="str">
        <f>_xll.qlCapFloorTermVolSurface("eo3mWrongSurface",D12,D13,D14,_xll.ohPack(K29:K44),_xll.ohPack(L28:W28),_xll.ohPack(L29:W44),"Simple")</f>
        <v>eo3mWrongSurface#0012</v>
      </c>
      <c r="K8" t="s">
        <v>102</v>
      </c>
      <c r="L8" s="148">
        <v>42</v>
      </c>
      <c r="M8" s="148">
        <v>39.6</v>
      </c>
      <c r="N8" s="148">
        <v>37.700000000000003</v>
      </c>
      <c r="O8" s="148">
        <v>39.6</v>
      </c>
      <c r="P8" s="148">
        <v>42.5</v>
      </c>
      <c r="Q8" s="148">
        <v>48.2</v>
      </c>
      <c r="R8" s="148">
        <v>53.6</v>
      </c>
      <c r="S8" s="148">
        <v>63.6</v>
      </c>
      <c r="T8" s="148">
        <v>73</v>
      </c>
      <c r="U8" s="148">
        <v>82</v>
      </c>
      <c r="V8" s="148">
        <v>99.2</v>
      </c>
      <c r="W8" s="148">
        <v>131.69999999999999</v>
      </c>
      <c r="X8" s="148">
        <v>205.3</v>
      </c>
      <c r="AE8" t="s">
        <v>102</v>
      </c>
      <c r="AF8" s="196" t="e">
        <f ca="1">_xll.qlCapFloorImpliedVolatility(L77,L53/10000,"eonia",,,,,,"ShiftedLognormal",$AF$1)</f>
        <v>#VALUE!</v>
      </c>
      <c r="AG8" s="196" t="e">
        <f ca="1">_xll.qlCapFloorImpliedVolatility(M77,M53/10000,"eonia",,,,,,"ShiftedLognormal",$AF$1)</f>
        <v>#VALUE!</v>
      </c>
      <c r="AH8" s="196" t="e">
        <f ca="1">_xll.qlCapFloorImpliedVolatility(N77,N53/10000,"eonia",,,,,,"ShiftedLognormal",$AF$1)</f>
        <v>#VALUE!</v>
      </c>
      <c r="AI8" s="196" t="e">
        <f ca="1">_xll.qlCapFloorImpliedVolatility(O77,O53/10000,"eonia",,,,,,"ShiftedLognormal",$AF$1)</f>
        <v>#VALUE!</v>
      </c>
      <c r="AJ8" s="196" t="e">
        <f ca="1">_xll.qlCapFloorImpliedVolatility(P77,P53/10000,"eonia",,,,,,"ShiftedLognormal",$AF$1)</f>
        <v>#VALUE!</v>
      </c>
      <c r="AK8" s="196" t="e">
        <f ca="1">_xll.qlCapFloorImpliedVolatility(Q77,Q53/10000,"eonia",,,,,,"ShiftedLognormal",$AF$1)</f>
        <v>#VALUE!</v>
      </c>
      <c r="AL8" s="196" t="e">
        <f ca="1">_xll.qlCapFloorImpliedVolatility(R77,R53/10000,"eonia",,,,,,"ShiftedLognormal",$AF$1)</f>
        <v>#VALUE!</v>
      </c>
      <c r="AM8" s="196" t="e">
        <f ca="1">_xll.qlCapFloorImpliedVolatility(S77,S53/10000,"eonia",,,,,,"ShiftedLognormal",$AF$1)</f>
        <v>#VALUE!</v>
      </c>
      <c r="AN8" s="196" t="e">
        <f ca="1">_xll.qlCapFloorImpliedVolatility(T77,T53/10000,"eonia",,,,,,"ShiftedLognormal",$AF$1)</f>
        <v>#VALUE!</v>
      </c>
      <c r="AO8" s="196" t="e">
        <f ca="1">_xll.qlCapFloorImpliedVolatility(U77,U53/10000,"eonia",,,,,,"ShiftedLognormal",$AF$1)</f>
        <v>#VALUE!</v>
      </c>
      <c r="AP8" s="196" t="e">
        <f ca="1">_xll.qlCapFloorImpliedVolatility(V77,V53/10000,"eonia",,,,,,"ShiftedLognormal",$AF$1)</f>
        <v>#VALUE!</v>
      </c>
      <c r="AQ8" s="196" t="e">
        <f ca="1">_xll.qlCapFloorImpliedVolatility(W77,W53/10000,"eonia",,,,,,"ShiftedLognormal",$AF$1)</f>
        <v>#VALUE!</v>
      </c>
      <c r="AR8" s="196" t="e">
        <f ca="1">_xll.qlCapFloorImpliedVolatility(X77,X53/10000,"eonia",,,,,,"ShiftedLognormal",$AF$1)</f>
        <v>#VALUE!</v>
      </c>
      <c r="AS8" s="159"/>
      <c r="AT8" s="159"/>
    </row>
    <row r="9" spans="1:46" ht="12.75" x14ac:dyDescent="0.2">
      <c r="A9" s="105" t="s">
        <v>265</v>
      </c>
      <c r="B9" t="str">
        <f>_xll.qlCapFloorTermVolSurface("EO6M_VolFull",B12,B13,B14,_xll.ohPack(K32:K44),_xll.ohPack(L28:X28),_xll.ohPack(L32:X44))</f>
        <v>EO6M_VolFull#0006</v>
      </c>
      <c r="D9" t="str">
        <f>_xll.qlCapFloorTermVolSurface(D11,D12,D13,D14,_xll.ohPack(AE29:AE31),_xll.ohPack(AF28:AR28),_xll.ohPack(AF29:AR31))</f>
        <v>EO3M_Vol#0005</v>
      </c>
      <c r="F9" t="str">
        <f ca="1">_xll.qlCapFloorTermVolSurface(,B12,B13,B14,_xll.ohPack(K29:K44),_xll.ohPack(L28:V28),_xll.ohPack(L29:V44),,,_xll.ohTrigger(AF78:AR80))</f>
        <v>obj_00000#0027</v>
      </c>
      <c r="G9" t="e">
        <f>qlcap</f>
        <v>#NAME?</v>
      </c>
      <c r="K9" t="s">
        <v>103</v>
      </c>
      <c r="L9" s="148">
        <v>45.7</v>
      </c>
      <c r="M9" s="148">
        <v>43.7</v>
      </c>
      <c r="N9" s="148">
        <v>42.1</v>
      </c>
      <c r="O9" s="148">
        <v>43.6</v>
      </c>
      <c r="P9" s="148">
        <v>46.1</v>
      </c>
      <c r="Q9" s="148">
        <v>51.2</v>
      </c>
      <c r="R9" s="148">
        <v>55.8</v>
      </c>
      <c r="S9" s="148">
        <v>64.2</v>
      </c>
      <c r="T9" s="148">
        <v>71.8</v>
      </c>
      <c r="U9" s="148">
        <v>79</v>
      </c>
      <c r="V9" s="148">
        <v>93</v>
      </c>
      <c r="W9" s="148">
        <v>119.9</v>
      </c>
      <c r="X9" s="148">
        <v>183</v>
      </c>
      <c r="AE9" t="s">
        <v>103</v>
      </c>
      <c r="AF9" s="196" t="e">
        <f ca="1">_xll.qlCapFloorImpliedVolatility(L78,L54/10000,"eonia",,,,,,"ShiftedLognormal",$AF$1)</f>
        <v>#VALUE!</v>
      </c>
      <c r="AG9" s="196" t="e">
        <f ca="1">_xll.qlCapFloorImpliedVolatility(M78,M54/10000,"eonia",,,,,,"ShiftedLognormal",$AF$1)</f>
        <v>#VALUE!</v>
      </c>
      <c r="AH9" s="196" t="e">
        <f ca="1">_xll.qlCapFloorImpliedVolatility(N78,N54/10000,"eonia",,,,,,"ShiftedLognormal",$AF$1)</f>
        <v>#VALUE!</v>
      </c>
      <c r="AI9" s="196" t="e">
        <f ca="1">_xll.qlCapFloorImpliedVolatility(O78,O54/10000,"eonia",,,,,,"ShiftedLognormal",$AF$1)</f>
        <v>#VALUE!</v>
      </c>
      <c r="AJ9" s="196" t="e">
        <f ca="1">_xll.qlCapFloorImpliedVolatility(P78,P54/10000,"eonia",,,,,,"ShiftedLognormal",$AF$1)</f>
        <v>#VALUE!</v>
      </c>
      <c r="AK9" s="196" t="e">
        <f ca="1">_xll.qlCapFloorImpliedVolatility(Q78,Q54/10000,"eonia",,,,,,"ShiftedLognormal",$AF$1)</f>
        <v>#VALUE!</v>
      </c>
      <c r="AL9" s="196" t="e">
        <f ca="1">_xll.qlCapFloorImpliedVolatility(R78,R54/10000,"eonia",,,,,,"ShiftedLognormal",$AF$1)</f>
        <v>#VALUE!</v>
      </c>
      <c r="AM9" s="196" t="e">
        <f ca="1">_xll.qlCapFloorImpliedVolatility(S78,S54/10000,"eonia",,,,,,"ShiftedLognormal",$AF$1)</f>
        <v>#VALUE!</v>
      </c>
      <c r="AN9" s="196" t="e">
        <f ca="1">_xll.qlCapFloorImpliedVolatility(T78,T54/10000,"eonia",,,,,,"ShiftedLognormal",$AF$1)</f>
        <v>#VALUE!</v>
      </c>
      <c r="AO9" s="196" t="e">
        <f ca="1">_xll.qlCapFloorImpliedVolatility(U78,U54/10000,"eonia",,,,,,"ShiftedLognormal",$AF$1)</f>
        <v>#VALUE!</v>
      </c>
      <c r="AP9" s="196" t="e">
        <f ca="1">_xll.qlCapFloorImpliedVolatility(V78,V54/10000,"eonia",,,,,,"ShiftedLognormal",$AF$1)</f>
        <v>#VALUE!</v>
      </c>
      <c r="AQ9" s="196" t="e">
        <f ca="1">_xll.qlCapFloorImpliedVolatility(W78,W54/10000,"eonia",,,,,,"ShiftedLognormal",$AF$1)</f>
        <v>#VALUE!</v>
      </c>
      <c r="AR9" s="196" t="e">
        <f ca="1">_xll.qlCapFloorImpliedVolatility(X78,X54/10000,"eonia",,,,,,"ShiftedLognormal",$AF$1)</f>
        <v>#VALUE!</v>
      </c>
      <c r="AS9" s="159"/>
      <c r="AT9" s="159"/>
    </row>
    <row r="10" spans="1:46" ht="13.5" thickBot="1" x14ac:dyDescent="0.25">
      <c r="B10" s="11" t="str">
        <f>_xll.ohRangeRetrieveError(B9)</f>
        <v/>
      </c>
      <c r="D10" s="11" t="str">
        <f>_xll.ohRangeRetrieveError(D9)</f>
        <v/>
      </c>
      <c r="K10" t="s">
        <v>104</v>
      </c>
      <c r="L10" s="148">
        <v>48.6</v>
      </c>
      <c r="M10" s="148">
        <v>46.8</v>
      </c>
      <c r="N10" s="148">
        <v>45.4</v>
      </c>
      <c r="O10" s="148">
        <v>46.8</v>
      </c>
      <c r="P10" s="148">
        <v>49</v>
      </c>
      <c r="Q10" s="148">
        <v>53.5</v>
      </c>
      <c r="R10" s="148">
        <v>57.6</v>
      </c>
      <c r="S10" s="148">
        <v>64.7</v>
      </c>
      <c r="T10" s="148">
        <v>71.099999999999994</v>
      </c>
      <c r="U10" s="148">
        <v>77</v>
      </c>
      <c r="V10" s="148">
        <v>88.5</v>
      </c>
      <c r="W10" s="148">
        <v>110.9</v>
      </c>
      <c r="X10" s="148">
        <v>165.7</v>
      </c>
      <c r="AE10" t="s">
        <v>104</v>
      </c>
      <c r="AF10" s="196" t="e">
        <f ca="1">_xll.qlCapFloorImpliedVolatility(L79,L55/10000,"eonia",,,,,,"ShiftedLognormal",$AF$1)</f>
        <v>#VALUE!</v>
      </c>
      <c r="AG10" s="196" t="e">
        <f ca="1">_xll.qlCapFloorImpliedVolatility(M79,M55/10000,"eonia",,,,,,"ShiftedLognormal",$AF$1)</f>
        <v>#VALUE!</v>
      </c>
      <c r="AH10" s="196" t="e">
        <f ca="1">_xll.qlCapFloorImpliedVolatility(N79,N55/10000,"eonia",,,,,,"ShiftedLognormal",$AF$1)</f>
        <v>#VALUE!</v>
      </c>
      <c r="AI10" s="196" t="e">
        <f ca="1">_xll.qlCapFloorImpliedVolatility(O79,O55/10000,"eonia",,,,,,"ShiftedLognormal",$AF$1)</f>
        <v>#VALUE!</v>
      </c>
      <c r="AJ10" s="196" t="e">
        <f ca="1">_xll.qlCapFloorImpliedVolatility(P79,P55/10000,"eonia",,,,,,"ShiftedLognormal",$AF$1)</f>
        <v>#VALUE!</v>
      </c>
      <c r="AK10" s="196" t="e">
        <f ca="1">_xll.qlCapFloorImpliedVolatility(Q79,Q55/10000,"eonia",,,,,,"ShiftedLognormal",$AF$1)</f>
        <v>#VALUE!</v>
      </c>
      <c r="AL10" s="196" t="e">
        <f ca="1">_xll.qlCapFloorImpliedVolatility(R79,R55/10000,"eonia",,,,,,"ShiftedLognormal",$AF$1)</f>
        <v>#VALUE!</v>
      </c>
      <c r="AM10" s="196" t="e">
        <f ca="1">_xll.qlCapFloorImpliedVolatility(S79,S55/10000,"eonia",,,,,,"ShiftedLognormal",$AF$1)</f>
        <v>#VALUE!</v>
      </c>
      <c r="AN10" s="196" t="e">
        <f ca="1">_xll.qlCapFloorImpliedVolatility(T79,T55/10000,"eonia",,,,,,"ShiftedLognormal",$AF$1)</f>
        <v>#VALUE!</v>
      </c>
      <c r="AO10" s="196" t="e">
        <f ca="1">_xll.qlCapFloorImpliedVolatility(U79,U55/10000,"eonia",,,,,,"ShiftedLognormal",$AF$1)</f>
        <v>#VALUE!</v>
      </c>
      <c r="AP10" s="196" t="e">
        <f ca="1">_xll.qlCapFloorImpliedVolatility(V79,V55/10000,"eonia",,,,,,"ShiftedLognormal",$AF$1)</f>
        <v>#VALUE!</v>
      </c>
      <c r="AQ10" s="196" t="e">
        <f ca="1">_xll.qlCapFloorImpliedVolatility(W79,W55/10000,"eonia",,,,,,"ShiftedLognormal",$AF$1)</f>
        <v>#VALUE!</v>
      </c>
      <c r="AR10" s="196" t="e">
        <f ca="1">_xll.qlCapFloorImpliedVolatility(X79,X55/10000,"eonia",,,,,,"ShiftedLognormal",$AF$1)</f>
        <v>#VALUE!</v>
      </c>
      <c r="AS10" s="159"/>
      <c r="AT10" s="159"/>
    </row>
    <row r="11" spans="1:46" ht="12.75" x14ac:dyDescent="0.2">
      <c r="A11" t="s">
        <v>266</v>
      </c>
      <c r="B11" s="105" t="s">
        <v>1507</v>
      </c>
      <c r="D11" s="105" t="s">
        <v>1508</v>
      </c>
      <c r="K11" t="s">
        <v>105</v>
      </c>
      <c r="L11" s="148">
        <v>51</v>
      </c>
      <c r="M11" s="148">
        <v>49.4</v>
      </c>
      <c r="N11" s="148">
        <v>48.2</v>
      </c>
      <c r="O11" s="148">
        <v>49.3</v>
      </c>
      <c r="P11" s="148">
        <v>51.3</v>
      </c>
      <c r="Q11" s="148">
        <v>55.4</v>
      </c>
      <c r="R11" s="148">
        <v>59</v>
      </c>
      <c r="S11" s="148">
        <v>65.400000000000006</v>
      </c>
      <c r="T11" s="148">
        <v>70.8</v>
      </c>
      <c r="U11" s="148">
        <v>75.900000000000006</v>
      </c>
      <c r="V11" s="148">
        <v>85.5</v>
      </c>
      <c r="W11" s="148">
        <v>104.6</v>
      </c>
      <c r="X11" s="148">
        <v>152.6</v>
      </c>
      <c r="AE11" t="s">
        <v>105</v>
      </c>
      <c r="AF11" s="196" t="e">
        <f ca="1">_xll.qlCapFloorImpliedVolatility(L80,L56/10000,"eonia",,,,,,"ShiftedLognormal",$AF$1)</f>
        <v>#VALUE!</v>
      </c>
      <c r="AG11" s="196" t="e">
        <f ca="1">_xll.qlCapFloorImpliedVolatility(M80,M56/10000,"eonia",,,,,,"ShiftedLognormal",$AF$1)</f>
        <v>#VALUE!</v>
      </c>
      <c r="AH11" s="196" t="e">
        <f ca="1">_xll.qlCapFloorImpliedVolatility(N80,N56/10000,"eonia",,,,,,"ShiftedLognormal",$AF$1)</f>
        <v>#VALUE!</v>
      </c>
      <c r="AI11" s="196" t="e">
        <f ca="1">_xll.qlCapFloorImpliedVolatility(O80,O56/10000,"eonia",,,,,,"ShiftedLognormal",$AF$1)</f>
        <v>#VALUE!</v>
      </c>
      <c r="AJ11" s="196" t="e">
        <f ca="1">_xll.qlCapFloorImpliedVolatility(P80,P56/10000,"eonia",,,,,,"ShiftedLognormal",$AF$1)</f>
        <v>#VALUE!</v>
      </c>
      <c r="AK11" s="196" t="e">
        <f ca="1">_xll.qlCapFloorImpliedVolatility(Q80,Q56/10000,"eonia",,,,,,"ShiftedLognormal",$AF$1)</f>
        <v>#VALUE!</v>
      </c>
      <c r="AL11" s="196" t="e">
        <f ca="1">_xll.qlCapFloorImpliedVolatility(R80,R56/10000,"eonia",,,,,,"ShiftedLognormal",$AF$1)</f>
        <v>#VALUE!</v>
      </c>
      <c r="AM11" s="196" t="e">
        <f ca="1">_xll.qlCapFloorImpliedVolatility(S80,S56/10000,"eonia",,,,,,"ShiftedLognormal",$AF$1)</f>
        <v>#VALUE!</v>
      </c>
      <c r="AN11" s="196" t="e">
        <f ca="1">_xll.qlCapFloorImpliedVolatility(T80,T56/10000,"eonia",,,,,,"ShiftedLognormal",$AF$1)</f>
        <v>#VALUE!</v>
      </c>
      <c r="AO11" s="196" t="e">
        <f ca="1">_xll.qlCapFloorImpliedVolatility(U80,U56/10000,"eonia",,,,,,"ShiftedLognormal",$AF$1)</f>
        <v>#VALUE!</v>
      </c>
      <c r="AP11" s="196" t="e">
        <f ca="1">_xll.qlCapFloorImpliedVolatility(V80,V56/10000,"eonia",,,,,,"ShiftedLognormal",$AF$1)</f>
        <v>#VALUE!</v>
      </c>
      <c r="AQ11" s="196" t="e">
        <f ca="1">_xll.qlCapFloorImpliedVolatility(W80,W56/10000,"eonia",,,,,,"ShiftedLognormal",$AF$1)</f>
        <v>#VALUE!</v>
      </c>
      <c r="AR11" s="196" t="e">
        <f ca="1">_xll.qlCapFloorImpliedVolatility(X80,X56/10000,"eonia",,,,,,"ShiftedLognormal",$AF$1)</f>
        <v>#VALUE!</v>
      </c>
      <c r="AS11" s="159"/>
      <c r="AT11" s="159"/>
    </row>
    <row r="12" spans="1:46" ht="13.5" thickBot="1" x14ac:dyDescent="0.25">
      <c r="A12" t="s">
        <v>267</v>
      </c>
      <c r="B12">
        <v>2</v>
      </c>
      <c r="D12">
        <v>2</v>
      </c>
      <c r="F12" s="11"/>
      <c r="K12" t="s">
        <v>106</v>
      </c>
      <c r="L12" s="148">
        <v>52.7</v>
      </c>
      <c r="M12" s="148">
        <v>51.3</v>
      </c>
      <c r="N12" s="148">
        <v>50.2</v>
      </c>
      <c r="O12" s="148">
        <v>51.3</v>
      </c>
      <c r="P12" s="148">
        <v>53.1</v>
      </c>
      <c r="Q12" s="148">
        <v>56.8</v>
      </c>
      <c r="R12" s="148">
        <v>60.1</v>
      </c>
      <c r="S12" s="148">
        <v>65.8</v>
      </c>
      <c r="T12" s="148">
        <v>70.599999999999994</v>
      </c>
      <c r="U12" s="148">
        <v>75</v>
      </c>
      <c r="V12" s="148">
        <v>83.3</v>
      </c>
      <c r="W12" s="148">
        <v>99.9</v>
      </c>
      <c r="X12" s="148">
        <v>142.30000000000001</v>
      </c>
      <c r="AE12" t="s">
        <v>106</v>
      </c>
      <c r="AF12" s="196" t="e">
        <f ca="1">_xll.qlCapFloorImpliedVolatility(L81,L57/10000,"eonia",,,,,,"ShiftedLognormal",$AF$1)</f>
        <v>#VALUE!</v>
      </c>
      <c r="AG12" s="196" t="e">
        <f ca="1">_xll.qlCapFloorImpliedVolatility(M81,M57/10000,"eonia",,,,,,"ShiftedLognormal",$AF$1)</f>
        <v>#VALUE!</v>
      </c>
      <c r="AH12" s="196" t="e">
        <f ca="1">_xll.qlCapFloorImpliedVolatility(N81,N57/10000,"eonia",,,,,,"ShiftedLognormal",$AF$1)</f>
        <v>#VALUE!</v>
      </c>
      <c r="AI12" s="196" t="e">
        <f ca="1">_xll.qlCapFloorImpliedVolatility(O81,O57/10000,"eonia",,,,,,"ShiftedLognormal",$AF$1)</f>
        <v>#VALUE!</v>
      </c>
      <c r="AJ12" s="196" t="e">
        <f ca="1">_xll.qlCapFloorImpliedVolatility(P81,P57/10000,"eonia",,,,,,"ShiftedLognormal",$AF$1)</f>
        <v>#VALUE!</v>
      </c>
      <c r="AK12" s="196" t="e">
        <f ca="1">_xll.qlCapFloorImpliedVolatility(Q81,Q57/10000,"eonia",,,,,,"ShiftedLognormal",$AF$1)</f>
        <v>#VALUE!</v>
      </c>
      <c r="AL12" s="196" t="e">
        <f ca="1">_xll.qlCapFloorImpliedVolatility(R81,R57/10000,"eonia",,,,,,"ShiftedLognormal",$AF$1)</f>
        <v>#VALUE!</v>
      </c>
      <c r="AM12" s="196" t="e">
        <f ca="1">_xll.qlCapFloorImpliedVolatility(S81,S57/10000,"eonia",,,,,,"ShiftedLognormal",$AF$1)</f>
        <v>#VALUE!</v>
      </c>
      <c r="AN12" s="196" t="e">
        <f ca="1">_xll.qlCapFloorImpliedVolatility(T81,T57/10000,"eonia",,,,,,"ShiftedLognormal",$AF$1)</f>
        <v>#VALUE!</v>
      </c>
      <c r="AO12" s="196" t="e">
        <f ca="1">_xll.qlCapFloorImpliedVolatility(U81,U57/10000,"eonia",,,,,,"ShiftedLognormal",$AF$1)</f>
        <v>#VALUE!</v>
      </c>
      <c r="AP12" s="196" t="e">
        <f ca="1">_xll.qlCapFloorImpliedVolatility(V81,V57/10000,"eonia",,,,,,"ShiftedLognormal",$AF$1)</f>
        <v>#VALUE!</v>
      </c>
      <c r="AQ12" s="196" t="e">
        <f ca="1">_xll.qlCapFloorImpliedVolatility(W81,W57/10000,"eonia",,,,,,"ShiftedLognormal",$AF$1)</f>
        <v>#VALUE!</v>
      </c>
      <c r="AR12" s="196" t="e">
        <f ca="1">_xll.qlCapFloorImpliedVolatility(X81,X57/10000,"eonia",,,,,,"ShiftedLognormal",$AF$1)</f>
        <v>#VALUE!</v>
      </c>
      <c r="AS12" s="159"/>
      <c r="AT12" s="159"/>
    </row>
    <row r="13" spans="1:46" ht="12.75" x14ac:dyDescent="0.2">
      <c r="A13" t="s">
        <v>268</v>
      </c>
      <c r="B13" t="s">
        <v>98</v>
      </c>
      <c r="D13" t="s">
        <v>98</v>
      </c>
      <c r="K13" t="s">
        <v>79</v>
      </c>
      <c r="L13" s="148">
        <v>54</v>
      </c>
      <c r="M13" s="148">
        <v>52.7</v>
      </c>
      <c r="N13" s="148">
        <v>51.8</v>
      </c>
      <c r="O13" s="148">
        <v>52.8</v>
      </c>
      <c r="P13" s="148">
        <v>54.4</v>
      </c>
      <c r="Q13" s="148">
        <v>57.8</v>
      </c>
      <c r="R13" s="148">
        <v>60.8</v>
      </c>
      <c r="S13" s="148">
        <v>66</v>
      </c>
      <c r="T13" s="148">
        <v>70.3</v>
      </c>
      <c r="U13" s="148">
        <v>74.3</v>
      </c>
      <c r="V13" s="148">
        <v>81.7</v>
      </c>
      <c r="W13" s="148">
        <v>96.4</v>
      </c>
      <c r="X13" s="148">
        <v>134.80000000000001</v>
      </c>
      <c r="AE13" t="s">
        <v>79</v>
      </c>
      <c r="AF13" s="196" t="e">
        <f ca="1">_xll.qlCapFloorImpliedVolatility(L82,L58/10000,"eonia",,,,,,"ShiftedLognormal",$AF$1)</f>
        <v>#VALUE!</v>
      </c>
      <c r="AG13" s="196" t="e">
        <f ca="1">_xll.qlCapFloorImpliedVolatility(M82,M58/10000,"eonia",,,,,,"ShiftedLognormal",$AF$1)</f>
        <v>#VALUE!</v>
      </c>
      <c r="AH13" s="196" t="e">
        <f ca="1">_xll.qlCapFloorImpliedVolatility(N82,N58/10000,"eonia",,,,,,"ShiftedLognormal",$AF$1)</f>
        <v>#VALUE!</v>
      </c>
      <c r="AI13" s="196" t="e">
        <f ca="1">_xll.qlCapFloorImpliedVolatility(O82,O58/10000,"eonia",,,,,,"ShiftedLognormal",$AF$1)</f>
        <v>#VALUE!</v>
      </c>
      <c r="AJ13" s="196" t="e">
        <f ca="1">_xll.qlCapFloorImpliedVolatility(P82,P58/10000,"eonia",,,,,,"ShiftedLognormal",$AF$1)</f>
        <v>#VALUE!</v>
      </c>
      <c r="AK13" s="196" t="e">
        <f ca="1">_xll.qlCapFloorImpliedVolatility(Q82,Q58/10000,"eonia",,,,,,"ShiftedLognormal",$AF$1)</f>
        <v>#VALUE!</v>
      </c>
      <c r="AL13" s="196" t="e">
        <f ca="1">_xll.qlCapFloorImpliedVolatility(R82,R58/10000,"eonia",,,,,,"ShiftedLognormal",$AF$1)</f>
        <v>#VALUE!</v>
      </c>
      <c r="AM13" s="196" t="e">
        <f ca="1">_xll.qlCapFloorImpliedVolatility(S82,S58/10000,"eonia",,,,,,"ShiftedLognormal",$AF$1)</f>
        <v>#VALUE!</v>
      </c>
      <c r="AN13" s="196" t="e">
        <f ca="1">_xll.qlCapFloorImpliedVolatility(T82,T58/10000,"eonia",,,,,,"ShiftedLognormal",$AF$1)</f>
        <v>#VALUE!</v>
      </c>
      <c r="AO13" s="196" t="e">
        <f ca="1">_xll.qlCapFloorImpliedVolatility(U82,U58/10000,"eonia",,,,,,"ShiftedLognormal",$AF$1)</f>
        <v>#VALUE!</v>
      </c>
      <c r="AP13" s="196" t="e">
        <f ca="1">_xll.qlCapFloorImpliedVolatility(V82,V58/10000,"eonia",,,,,,"ShiftedLognormal",$AF$1)</f>
        <v>#VALUE!</v>
      </c>
      <c r="AQ13" s="196" t="e">
        <f ca="1">_xll.qlCapFloorImpliedVolatility(W82,W58/10000,"eonia",,,,,,"ShiftedLognormal",$AF$1)</f>
        <v>#VALUE!</v>
      </c>
      <c r="AR13" s="196" t="e">
        <f ca="1">_xll.qlCapFloorImpliedVolatility(X82,X58/10000,"eonia",,,,,,"ShiftedLognormal",$AF$1)</f>
        <v>#VALUE!</v>
      </c>
      <c r="AS13" s="159"/>
      <c r="AT13" s="159"/>
    </row>
    <row r="14" spans="1:46" ht="12.75" x14ac:dyDescent="0.2">
      <c r="A14" t="s">
        <v>269</v>
      </c>
      <c r="B14" s="105" t="s">
        <v>39</v>
      </c>
      <c r="D14" s="105" t="s">
        <v>39</v>
      </c>
      <c r="K14" t="s">
        <v>159</v>
      </c>
      <c r="L14" s="148">
        <v>55.7</v>
      </c>
      <c r="M14" s="148">
        <v>54.7</v>
      </c>
      <c r="N14" s="148">
        <v>54</v>
      </c>
      <c r="O14" s="148">
        <v>54.8</v>
      </c>
      <c r="P14" s="148">
        <v>56.2</v>
      </c>
      <c r="Q14" s="148">
        <v>59</v>
      </c>
      <c r="R14" s="148">
        <v>61.6</v>
      </c>
      <c r="S14" s="148">
        <v>65.900000000000006</v>
      </c>
      <c r="T14" s="148">
        <v>69.599999999999994</v>
      </c>
      <c r="U14" s="148">
        <v>72.8</v>
      </c>
      <c r="V14" s="148">
        <v>79</v>
      </c>
      <c r="W14" s="148">
        <v>91.6</v>
      </c>
      <c r="X14" s="148">
        <v>124.8</v>
      </c>
      <c r="AE14" t="s">
        <v>159</v>
      </c>
      <c r="AF14" s="196" t="e">
        <f ca="1">_xll.qlCapFloorImpliedVolatility(L83,L59/10000,"eonia",,,,,,"ShiftedLognormal",$AF$1)</f>
        <v>#VALUE!</v>
      </c>
      <c r="AG14" s="196" t="e">
        <f ca="1">_xll.qlCapFloorImpliedVolatility(M83,M59/10000,"eonia",,,,,,"ShiftedLognormal",$AF$1)</f>
        <v>#VALUE!</v>
      </c>
      <c r="AH14" s="196" t="e">
        <f ca="1">_xll.qlCapFloorImpliedVolatility(N83,N59/10000,"eonia",,,,,,"ShiftedLognormal",$AF$1)</f>
        <v>#VALUE!</v>
      </c>
      <c r="AI14" s="196" t="e">
        <f ca="1">_xll.qlCapFloorImpliedVolatility(O83,O59/10000,"eonia",,,,,,"ShiftedLognormal",$AF$1)</f>
        <v>#VALUE!</v>
      </c>
      <c r="AJ14" s="196" t="e">
        <f ca="1">_xll.qlCapFloorImpliedVolatility(P83,P59/10000,"eonia",,,,,,"ShiftedLognormal",$AF$1)</f>
        <v>#VALUE!</v>
      </c>
      <c r="AK14" s="196" t="e">
        <f ca="1">_xll.qlCapFloorImpliedVolatility(Q83,Q59/10000,"eonia",,,,,,"ShiftedLognormal",$AF$1)</f>
        <v>#VALUE!</v>
      </c>
      <c r="AL14" s="196" t="e">
        <f ca="1">_xll.qlCapFloorImpliedVolatility(R83,R59/10000,"eonia",,,,,,"ShiftedLognormal",$AF$1)</f>
        <v>#VALUE!</v>
      </c>
      <c r="AM14" s="196" t="e">
        <f ca="1">_xll.qlCapFloorImpliedVolatility(S83,S59/10000,"eonia",,,,,,"ShiftedLognormal",$AF$1)</f>
        <v>#VALUE!</v>
      </c>
      <c r="AN14" s="196" t="e">
        <f ca="1">_xll.qlCapFloorImpliedVolatility(T83,T59/10000,"eonia",,,,,,"ShiftedLognormal",$AF$1)</f>
        <v>#VALUE!</v>
      </c>
      <c r="AO14" s="196" t="e">
        <f ca="1">_xll.qlCapFloorImpliedVolatility(U83,U59/10000,"eonia",,,,,,"ShiftedLognormal",$AF$1)</f>
        <v>#VALUE!</v>
      </c>
      <c r="AP14" s="196" t="e">
        <f ca="1">_xll.qlCapFloorImpliedVolatility(V83,V59/10000,"eonia",,,,,,"ShiftedLognormal",$AF$1)</f>
        <v>#VALUE!</v>
      </c>
      <c r="AQ14" s="196" t="e">
        <f ca="1">_xll.qlCapFloorImpliedVolatility(W83,W59/10000,"eonia",,,,,,"ShiftedLognormal",$AF$1)</f>
        <v>#VALUE!</v>
      </c>
      <c r="AR14" s="196" t="e">
        <f ca="1">_xll.qlCapFloorImpliedVolatility(X83,X59/10000,"eonia",,,,,,"ShiftedLognormal",$AF$1)</f>
        <v>#VALUE!</v>
      </c>
      <c r="AS14" s="159"/>
      <c r="AT14" s="159"/>
    </row>
    <row r="15" spans="1:46" ht="12.75" x14ac:dyDescent="0.2">
      <c r="K15" t="s">
        <v>107</v>
      </c>
      <c r="L15" s="148">
        <v>56.7</v>
      </c>
      <c r="M15" s="148">
        <v>56</v>
      </c>
      <c r="N15" s="148">
        <v>55.6</v>
      </c>
      <c r="O15" s="148">
        <v>56.3</v>
      </c>
      <c r="P15" s="148">
        <v>57.4</v>
      </c>
      <c r="Q15" s="148">
        <v>59.7</v>
      </c>
      <c r="R15" s="148">
        <v>61.8</v>
      </c>
      <c r="S15" s="148">
        <v>65.400000000000006</v>
      </c>
      <c r="T15" s="148">
        <v>68.400000000000006</v>
      </c>
      <c r="U15" s="148">
        <v>71.099999999999994</v>
      </c>
      <c r="V15" s="148">
        <v>76.2</v>
      </c>
      <c r="W15" s="148">
        <v>86.7</v>
      </c>
      <c r="X15" s="148">
        <v>114.4</v>
      </c>
      <c r="AE15" t="s">
        <v>107</v>
      </c>
      <c r="AF15" s="196" t="e">
        <f ca="1">_xll.qlCapFloorImpliedVolatility(L84,L60/10000,"eonia",,,,,,"ShiftedLognormal",$AF$1)</f>
        <v>#VALUE!</v>
      </c>
      <c r="AG15" s="196" t="e">
        <f ca="1">_xll.qlCapFloorImpliedVolatility(M84,M60/10000,"eonia",,,,,,"ShiftedLognormal",$AF$1)</f>
        <v>#VALUE!</v>
      </c>
      <c r="AH15" s="196" t="e">
        <f ca="1">_xll.qlCapFloorImpliedVolatility(N84,N60/10000,"eonia",,,,,,"ShiftedLognormal",$AF$1)</f>
        <v>#VALUE!</v>
      </c>
      <c r="AI15" s="196" t="e">
        <f ca="1">_xll.qlCapFloorImpliedVolatility(O84,O60/10000,"eonia",,,,,,"ShiftedLognormal",$AF$1)</f>
        <v>#VALUE!</v>
      </c>
      <c r="AJ15" s="196" t="e">
        <f ca="1">_xll.qlCapFloorImpliedVolatility(P84,P60/10000,"eonia",,,,,,"ShiftedLognormal",$AF$1)</f>
        <v>#VALUE!</v>
      </c>
      <c r="AK15" s="196" t="e">
        <f ca="1">_xll.qlCapFloorImpliedVolatility(Q84,Q60/10000,"eonia",,,,,,"ShiftedLognormal",$AF$1)</f>
        <v>#VALUE!</v>
      </c>
      <c r="AL15" s="196" t="e">
        <f ca="1">_xll.qlCapFloorImpliedVolatility(R84,R60/10000,"eonia",,,,,,"ShiftedLognormal",$AF$1)</f>
        <v>#VALUE!</v>
      </c>
      <c r="AM15" s="196" t="e">
        <f ca="1">_xll.qlCapFloorImpliedVolatility(S84,S60/10000,"eonia",,,,,,"ShiftedLognormal",$AF$1)</f>
        <v>#VALUE!</v>
      </c>
      <c r="AN15" s="196" t="e">
        <f ca="1">_xll.qlCapFloorImpliedVolatility(T84,T60/10000,"eonia",,,,,,"ShiftedLognormal",$AF$1)</f>
        <v>#VALUE!</v>
      </c>
      <c r="AO15" s="196" t="e">
        <f ca="1">_xll.qlCapFloorImpliedVolatility(U84,U60/10000,"eonia",,,,,,"ShiftedLognormal",$AF$1)</f>
        <v>#VALUE!</v>
      </c>
      <c r="AP15" s="196" t="e">
        <f ca="1">_xll.qlCapFloorImpliedVolatility(V84,V60/10000,"eonia",,,,,,"ShiftedLognormal",$AF$1)</f>
        <v>#VALUE!</v>
      </c>
      <c r="AQ15" s="196" t="e">
        <f ca="1">_xll.qlCapFloorImpliedVolatility(W84,W60/10000,"eonia",,,,,,"ShiftedLognormal",$AF$1)</f>
        <v>#VALUE!</v>
      </c>
      <c r="AR15" s="196" t="e">
        <f ca="1">_xll.qlCapFloorImpliedVolatility(X84,X60/10000,"eonia",,,,,,"ShiftedLognormal",$AF$1)</f>
        <v>#VALUE!</v>
      </c>
      <c r="AS15" s="159"/>
      <c r="AT15" s="159"/>
    </row>
    <row r="16" spans="1:46" ht="12.75" x14ac:dyDescent="0.2">
      <c r="B16" s="13"/>
      <c r="D16" t="str">
        <f>D10</f>
        <v/>
      </c>
      <c r="K16" t="s">
        <v>108</v>
      </c>
      <c r="L16" s="148">
        <v>57.1</v>
      </c>
      <c r="M16" s="148">
        <v>56.9</v>
      </c>
      <c r="N16" s="148">
        <v>56.8</v>
      </c>
      <c r="O16" s="148">
        <v>57.3</v>
      </c>
      <c r="P16" s="148">
        <v>58.1</v>
      </c>
      <c r="Q16" s="148">
        <v>59.8</v>
      </c>
      <c r="R16" s="148">
        <v>61.4</v>
      </c>
      <c r="S16" s="148">
        <v>64.099999999999994</v>
      </c>
      <c r="T16" s="148">
        <v>66.5</v>
      </c>
      <c r="U16" s="148">
        <v>68.7</v>
      </c>
      <c r="V16" s="148">
        <v>72.8</v>
      </c>
      <c r="W16" s="148">
        <v>81.400000000000006</v>
      </c>
      <c r="X16" s="148">
        <v>103.6</v>
      </c>
      <c r="AE16" t="s">
        <v>108</v>
      </c>
      <c r="AF16" s="196" t="e">
        <f ca="1">_xll.qlCapFloorImpliedVolatility(L85,L61/10000,"eonia",,,,,,"ShiftedLognormal",$AF$1)</f>
        <v>#VALUE!</v>
      </c>
      <c r="AG16" s="196" t="e">
        <f ca="1">_xll.qlCapFloorImpliedVolatility(M85,M61/10000,"eonia",,,,,,"ShiftedLognormal",$AF$1)</f>
        <v>#VALUE!</v>
      </c>
      <c r="AH16" s="196" t="e">
        <f ca="1">_xll.qlCapFloorImpliedVolatility(N85,N61/10000,"eonia",,,,,,"ShiftedLognormal",$AF$1)</f>
        <v>#VALUE!</v>
      </c>
      <c r="AI16" s="196" t="e">
        <f ca="1">_xll.qlCapFloorImpliedVolatility(O85,O61/10000,"eonia",,,,,,"ShiftedLognormal",$AF$1)</f>
        <v>#VALUE!</v>
      </c>
      <c r="AJ16" s="196" t="e">
        <f ca="1">_xll.qlCapFloorImpliedVolatility(P85,P61/10000,"eonia",,,,,,"ShiftedLognormal",$AF$1)</f>
        <v>#VALUE!</v>
      </c>
      <c r="AK16" s="196" t="e">
        <f ca="1">_xll.qlCapFloorImpliedVolatility(Q85,Q61/10000,"eonia",,,,,,"ShiftedLognormal",$AF$1)</f>
        <v>#VALUE!</v>
      </c>
      <c r="AL16" s="196" t="e">
        <f ca="1">_xll.qlCapFloorImpliedVolatility(R85,R61/10000,"eonia",,,,,,"ShiftedLognormal",$AF$1)</f>
        <v>#VALUE!</v>
      </c>
      <c r="AM16" s="196" t="e">
        <f ca="1">_xll.qlCapFloorImpliedVolatility(S85,S61/10000,"eonia",,,,,,"ShiftedLognormal",$AF$1)</f>
        <v>#VALUE!</v>
      </c>
      <c r="AN16" s="196" t="e">
        <f ca="1">_xll.qlCapFloorImpliedVolatility(T85,T61/10000,"eonia",,,,,,"ShiftedLognormal",$AF$1)</f>
        <v>#VALUE!</v>
      </c>
      <c r="AO16" s="196" t="e">
        <f ca="1">_xll.qlCapFloorImpliedVolatility(U85,U61/10000,"eonia",,,,,,"ShiftedLognormal",$AF$1)</f>
        <v>#VALUE!</v>
      </c>
      <c r="AP16" s="196" t="e">
        <f ca="1">_xll.qlCapFloorImpliedVolatility(V85,V61/10000,"eonia",,,,,,"ShiftedLognormal",$AF$1)</f>
        <v>#VALUE!</v>
      </c>
      <c r="AQ16" s="196" t="e">
        <f ca="1">_xll.qlCapFloorImpliedVolatility(W85,W61/10000,"eonia",,,,,,"ShiftedLognormal",$AF$1)</f>
        <v>#VALUE!</v>
      </c>
      <c r="AR16" s="196" t="e">
        <f ca="1">_xll.qlCapFloorImpliedVolatility(X85,X61/10000,"eonia",,,,,,"ShiftedLognormal",$AF$1)</f>
        <v>#VALUE!</v>
      </c>
      <c r="AS16" s="159"/>
      <c r="AT16" s="159"/>
    </row>
    <row r="17" spans="1:86" ht="12.75" x14ac:dyDescent="0.2">
      <c r="K17" t="s">
        <v>109</v>
      </c>
      <c r="L17" s="148">
        <v>56.6</v>
      </c>
      <c r="M17" s="148">
        <v>56.6</v>
      </c>
      <c r="N17" s="148">
        <v>56.7</v>
      </c>
      <c r="O17" s="148">
        <v>57.1</v>
      </c>
      <c r="P17" s="148">
        <v>57.8</v>
      </c>
      <c r="Q17" s="148">
        <v>59.1</v>
      </c>
      <c r="R17" s="148">
        <v>60.5</v>
      </c>
      <c r="S17" s="148">
        <v>62.8</v>
      </c>
      <c r="T17" s="148">
        <v>64.8</v>
      </c>
      <c r="U17" s="148">
        <v>66.7</v>
      </c>
      <c r="V17" s="148">
        <v>70.400000000000006</v>
      </c>
      <c r="W17" s="148">
        <v>78</v>
      </c>
      <c r="X17" s="148">
        <v>97.5</v>
      </c>
      <c r="AE17" t="s">
        <v>109</v>
      </c>
      <c r="AF17" s="196" t="e">
        <f ca="1">_xll.qlCapFloorImpliedVolatility(L86,L62/10000,"eonia",,,,,,"ShiftedLognormal",$AF$1)</f>
        <v>#VALUE!</v>
      </c>
      <c r="AG17" s="196" t="e">
        <f ca="1">_xll.qlCapFloorImpliedVolatility(M86,M62/10000,"eonia",,,,,,"ShiftedLognormal",$AF$1)</f>
        <v>#VALUE!</v>
      </c>
      <c r="AH17" s="196" t="e">
        <f ca="1">_xll.qlCapFloorImpliedVolatility(N86,N62/10000,"eonia",,,,,,"ShiftedLognormal",$AF$1)</f>
        <v>#VALUE!</v>
      </c>
      <c r="AI17" s="196" t="e">
        <f ca="1">_xll.qlCapFloorImpliedVolatility(O86,O62/10000,"eonia",,,,,,"ShiftedLognormal",$AF$1)</f>
        <v>#VALUE!</v>
      </c>
      <c r="AJ17" s="196" t="e">
        <f ca="1">_xll.qlCapFloorImpliedVolatility(P86,P62/10000,"eonia",,,,,,"ShiftedLognormal",$AF$1)</f>
        <v>#VALUE!</v>
      </c>
      <c r="AK17" s="196" t="e">
        <f ca="1">_xll.qlCapFloorImpliedVolatility(Q86,Q62/10000,"eonia",,,,,,"ShiftedLognormal",$AF$1)</f>
        <v>#VALUE!</v>
      </c>
      <c r="AL17" s="196" t="e">
        <f ca="1">_xll.qlCapFloorImpliedVolatility(R86,R62/10000,"eonia",,,,,,"ShiftedLognormal",$AF$1)</f>
        <v>#VALUE!</v>
      </c>
      <c r="AM17" s="196" t="e">
        <f ca="1">_xll.qlCapFloorImpliedVolatility(S86,S62/10000,"eonia",,,,,,"ShiftedLognormal",$AF$1)</f>
        <v>#VALUE!</v>
      </c>
      <c r="AN17" s="196" t="e">
        <f ca="1">_xll.qlCapFloorImpliedVolatility(T86,T62/10000,"eonia",,,,,,"ShiftedLognormal",$AF$1)</f>
        <v>#VALUE!</v>
      </c>
      <c r="AO17" s="196" t="e">
        <f ca="1">_xll.qlCapFloorImpliedVolatility(U86,U62/10000,"eonia",,,,,,"ShiftedLognormal",$AF$1)</f>
        <v>#VALUE!</v>
      </c>
      <c r="AP17" s="196" t="e">
        <f ca="1">_xll.qlCapFloorImpliedVolatility(V86,V62/10000,"eonia",,,,,,"ShiftedLognormal",$AF$1)</f>
        <v>#VALUE!</v>
      </c>
      <c r="AQ17" s="196" t="e">
        <f ca="1">_xll.qlCapFloorImpliedVolatility(W86,W62/10000,"eonia",,,,,,"ShiftedLognormal",$AF$1)</f>
        <v>#VALUE!</v>
      </c>
      <c r="AR17" s="196" t="e">
        <f ca="1">_xll.qlCapFloorImpliedVolatility(X86,X62/10000,"eonia",,,,,,"ShiftedLognormal",$AF$1)</f>
        <v>#VALUE!</v>
      </c>
    </row>
    <row r="18" spans="1:86" ht="12.75" x14ac:dyDescent="0.2">
      <c r="K18" t="s">
        <v>110</v>
      </c>
      <c r="L18" s="148">
        <v>55.4</v>
      </c>
      <c r="M18" s="148">
        <v>55.6</v>
      </c>
      <c r="N18" s="148">
        <v>55.9</v>
      </c>
      <c r="O18" s="148">
        <v>56.3</v>
      </c>
      <c r="P18" s="148">
        <v>56.8</v>
      </c>
      <c r="Q18" s="148">
        <v>58</v>
      </c>
      <c r="R18" s="148">
        <v>59.2</v>
      </c>
      <c r="S18" s="148">
        <v>61.3</v>
      </c>
      <c r="T18" s="148">
        <v>63.1</v>
      </c>
      <c r="U18" s="148">
        <v>64.900000000000006</v>
      </c>
      <c r="V18" s="148">
        <v>68.3</v>
      </c>
      <c r="W18" s="148">
        <v>75.2</v>
      </c>
      <c r="X18" s="148">
        <v>92.8</v>
      </c>
      <c r="AE18" t="s">
        <v>110</v>
      </c>
      <c r="AF18" s="196" t="e">
        <f ca="1">_xll.qlCapFloorImpliedVolatility(L87,L63/10000,"eonia",,,,,,"ShiftedLognormal",$AF$1)</f>
        <v>#VALUE!</v>
      </c>
      <c r="AG18" s="196" t="e">
        <f ca="1">_xll.qlCapFloorImpliedVolatility(M87,M63/10000,"eonia",,,,,,"ShiftedLognormal",$AF$1)</f>
        <v>#VALUE!</v>
      </c>
      <c r="AH18" s="196" t="e">
        <f ca="1">_xll.qlCapFloorImpliedVolatility(N87,N63/10000,"eonia",,,,,,"ShiftedLognormal",$AF$1)</f>
        <v>#VALUE!</v>
      </c>
      <c r="AI18" s="196" t="e">
        <f ca="1">_xll.qlCapFloorImpliedVolatility(O87,O63/10000,"eonia",,,,,,"ShiftedLognormal",$AF$1)</f>
        <v>#VALUE!</v>
      </c>
      <c r="AJ18" s="196" t="e">
        <f ca="1">_xll.qlCapFloorImpliedVolatility(P87,P63/10000,"eonia",,,,,,"ShiftedLognormal",$AF$1)</f>
        <v>#VALUE!</v>
      </c>
      <c r="AK18" s="196" t="e">
        <f ca="1">_xll.qlCapFloorImpliedVolatility(Q87,Q63/10000,"eonia",,,,,,"ShiftedLognormal",$AF$1)</f>
        <v>#VALUE!</v>
      </c>
      <c r="AL18" s="196" t="e">
        <f ca="1">_xll.qlCapFloorImpliedVolatility(R87,R63/10000,"eonia",,,,,,"ShiftedLognormal",$AF$1)</f>
        <v>#VALUE!</v>
      </c>
      <c r="AM18" s="196" t="e">
        <f ca="1">_xll.qlCapFloorImpliedVolatility(S87,S63/10000,"eonia",,,,,,"ShiftedLognormal",$AF$1)</f>
        <v>#VALUE!</v>
      </c>
      <c r="AN18" s="196" t="e">
        <f ca="1">_xll.qlCapFloorImpliedVolatility(T87,T63/10000,"eonia",,,,,,"ShiftedLognormal",$AF$1)</f>
        <v>#VALUE!</v>
      </c>
      <c r="AO18" s="196" t="e">
        <f ca="1">_xll.qlCapFloorImpliedVolatility(U87,U63/10000,"eonia",,,,,,"ShiftedLognormal",$AF$1)</f>
        <v>#VALUE!</v>
      </c>
      <c r="AP18" s="196" t="e">
        <f ca="1">_xll.qlCapFloorImpliedVolatility(V87,V63/10000,"eonia",,,,,,"ShiftedLognormal",$AF$1)</f>
        <v>#VALUE!</v>
      </c>
      <c r="AQ18" s="196" t="e">
        <f ca="1">_xll.qlCapFloorImpliedVolatility(W87,W63/10000,"eonia",,,,,,"ShiftedLognormal",$AF$1)</f>
        <v>#VALUE!</v>
      </c>
      <c r="AR18" s="196" t="e">
        <f ca="1">_xll.qlCapFloorImpliedVolatility(X87,X63/10000,"eonia",,,,,,"ShiftedLognormal",$AF$1)</f>
        <v>#VALUE!</v>
      </c>
    </row>
    <row r="19" spans="1:86" ht="11.25" customHeight="1" x14ac:dyDescent="0.2"/>
    <row r="20" spans="1:86" ht="11.25" customHeight="1" x14ac:dyDescent="0.2">
      <c r="B20" t="str">
        <f>B10</f>
        <v/>
      </c>
      <c r="F20" s="105"/>
      <c r="AF20" t="str">
        <f ca="1">_xll.ohRangeRetrieveError(AF18)</f>
        <v/>
      </c>
    </row>
    <row r="21" spans="1:86" ht="11.25" customHeight="1" x14ac:dyDescent="0.2">
      <c r="F21" t="str">
        <f ca="1">_xll.ohRangeRetrieveError(F40)</f>
        <v>qlStrippedOptionletAdapter - Parameter 'Trigger' has error value</v>
      </c>
    </row>
    <row r="22" spans="1:86" ht="11.25" customHeight="1" x14ac:dyDescent="0.2"/>
    <row r="23" spans="1:86" ht="11.25" customHeight="1" x14ac:dyDescent="0.2">
      <c r="A23" s="115" t="s">
        <v>279</v>
      </c>
      <c r="B23">
        <f>_xll.qlCapFloorTermVTSVolatility2(B9,"1Y",-1%,TRUE)*10000</f>
        <v>23.817839184407688</v>
      </c>
      <c r="D23">
        <f>_xll.qlCapFloorTermVTSVolatility2(D9,"1Y",1.5%)*10000</f>
        <v>83</v>
      </c>
    </row>
    <row r="24" spans="1:86" x14ac:dyDescent="0.2">
      <c r="M24" s="110"/>
      <c r="N24" s="110"/>
      <c r="O24" s="110"/>
      <c r="P24" s="110"/>
      <c r="BD24" t="str">
        <f ca="1">BD29</f>
        <v/>
      </c>
    </row>
    <row r="25" spans="1:86" ht="12.75" x14ac:dyDescent="0.2">
      <c r="A25" s="193" t="s">
        <v>272</v>
      </c>
      <c r="B25" t="e">
        <f ca="1">_xll.qlOptionletStripper1(B28,B29,B30,B31,B32,B33,B34,B35,,'Active Indexes'!B8)</f>
        <v>#NUM!</v>
      </c>
      <c r="D25" t="e">
        <f ca="1">_xll.qlOptionletStripper1(D28,D29,D30,D31,D32,D33,D34,D35,,'Active Indexes'!B18)</f>
        <v>#NUM!</v>
      </c>
      <c r="F25" t="e">
        <f ca="1">_xll.qlOptionletStripper1(F28,F29,F30,F31,F32,F33,F34,F35,,)</f>
        <v>#NUM!</v>
      </c>
      <c r="M25" s="110"/>
      <c r="N25" s="110"/>
      <c r="O25" s="110"/>
      <c r="P25" s="110"/>
      <c r="BU25" t="str">
        <f ca="1">BU29</f>
        <v/>
      </c>
    </row>
    <row r="26" spans="1:86" ht="13.5" thickBot="1" x14ac:dyDescent="0.25">
      <c r="A26" s="194"/>
      <c r="B26" s="11" t="str">
        <f ca="1">_xll.ohRangeRetrieveError(B25)</f>
        <v>qlOptionletStripper1 - Error converting parameter 'Permanent' : 'Unable to convert type 'class std::basic_string&lt;char,struct std::char_traits&lt;char&gt;,class std::allocator&lt;char&gt; &gt;' to type 'bool' - Error in call to Excel: (xlSpecial | 2) callback failed:  Co</v>
      </c>
      <c r="D26" s="11" t="str">
        <f ca="1">_xll.ohRangeRetrieveError(D25)</f>
        <v>qlOptionletStripper1 - Error converting parameter 'Permanent' : 'Unable to convert type 'class std::basic_string&lt;char,struct std::char_traits&lt;char&gt;,class std::allocator&lt;char&gt; &gt;' to type 'bool' - Error in call to Excel: (xlSpecial | 2) callback failed:  Co</v>
      </c>
      <c r="F26" s="11" t="str">
        <f ca="1">_xll.ohRangeRetrieveError(F25)</f>
        <v>qlOptionletStripper1 - ObjectHandler error: attempt to retrieve object with unknown ID 'Normal'</v>
      </c>
      <c r="M26" s="110"/>
      <c r="N26" s="110"/>
      <c r="O26" s="110"/>
      <c r="P26" s="110"/>
      <c r="AA26" s="13"/>
    </row>
    <row r="27" spans="1:86" ht="12" thickBot="1" x14ac:dyDescent="0.25">
      <c r="L27" s="13">
        <f t="array" ref="L27:X27">_xll.qlCapFloorTermVolSurfaceStrikes(B9)</f>
        <v>-7.4999999999999997E-3</v>
      </c>
      <c r="M27" s="13">
        <v>-5.0000000000000001E-3</v>
      </c>
      <c r="N27" s="13">
        <v>-2.5000000000000001E-3</v>
      </c>
      <c r="O27" s="13">
        <v>-1.25E-3</v>
      </c>
      <c r="P27" s="13">
        <v>0</v>
      </c>
      <c r="Q27" s="13">
        <v>2.5000000000000001E-3</v>
      </c>
      <c r="R27" s="13">
        <v>5.0000000000000001E-3</v>
      </c>
      <c r="S27" s="13">
        <v>0.01</v>
      </c>
      <c r="T27" s="13">
        <v>1.4999999999999999E-2</v>
      </c>
      <c r="U27" s="13">
        <v>0.02</v>
      </c>
      <c r="V27" s="13">
        <v>0.03</v>
      </c>
      <c r="W27" s="13">
        <v>0.05</v>
      </c>
      <c r="X27" s="13">
        <v>0.1</v>
      </c>
      <c r="AA27" s="13"/>
      <c r="AF27" s="13">
        <f t="array" ref="AF27:AR27">_xll.qlCapFloorTermVolSurfaceStrikes(D9)</f>
        <v>-7.4999999999999997E-3</v>
      </c>
      <c r="AG27" s="13">
        <v>-5.0000000000000001E-3</v>
      </c>
      <c r="AH27" s="13">
        <v>-2.5000000000000001E-3</v>
      </c>
      <c r="AI27" s="13">
        <v>-1.25E-3</v>
      </c>
      <c r="AJ27" s="13">
        <v>0</v>
      </c>
      <c r="AK27" s="13">
        <v>2.5000000000000001E-3</v>
      </c>
      <c r="AL27" s="13">
        <v>5.0000000000000001E-3</v>
      </c>
      <c r="AM27" s="13">
        <v>0.01</v>
      </c>
      <c r="AN27" s="13">
        <v>1.4999999999999999E-2</v>
      </c>
      <c r="AO27" s="13">
        <v>0.02</v>
      </c>
      <c r="AP27" s="13">
        <v>0.03</v>
      </c>
      <c r="AQ27" s="13">
        <v>0.05</v>
      </c>
      <c r="AR27" s="13">
        <v>0.1</v>
      </c>
      <c r="AU27" s="105" t="s">
        <v>1515</v>
      </c>
      <c r="AV27" s="105" t="s">
        <v>1516</v>
      </c>
      <c r="AW27" s="105" t="s">
        <v>60</v>
      </c>
      <c r="AX27" s="105" t="s">
        <v>280</v>
      </c>
    </row>
    <row r="28" spans="1:86" ht="12" thickBot="1" x14ac:dyDescent="0.25">
      <c r="A28" s="105" t="s">
        <v>259</v>
      </c>
      <c r="B28" t="s">
        <v>1500</v>
      </c>
      <c r="D28" s="105" t="s">
        <v>1513</v>
      </c>
      <c r="F28" s="105" t="s">
        <v>1542</v>
      </c>
      <c r="L28" s="13">
        <v>-7.4999999999999997E-3</v>
      </c>
      <c r="M28" s="13">
        <v>-5.0000000000000001E-3</v>
      </c>
      <c r="N28" s="13">
        <v>-2.5000000000000001E-3</v>
      </c>
      <c r="O28" s="13">
        <v>-1.25E-3</v>
      </c>
      <c r="P28" s="13">
        <v>0</v>
      </c>
      <c r="Q28" s="13">
        <v>2.5000000000000001E-3</v>
      </c>
      <c r="R28" s="13">
        <v>5.0000000000000001E-3</v>
      </c>
      <c r="S28" s="13">
        <v>0.01</v>
      </c>
      <c r="T28" s="13">
        <v>1.4999999999999999E-2</v>
      </c>
      <c r="U28" s="13">
        <v>0.02</v>
      </c>
      <c r="V28" s="13">
        <v>0.03</v>
      </c>
      <c r="W28" s="13">
        <v>0.05</v>
      </c>
      <c r="X28" s="13">
        <v>0.1</v>
      </c>
      <c r="Y28" s="13"/>
      <c r="AA28" s="13"/>
      <c r="AF28" s="13">
        <v>-7.4999999999999997E-3</v>
      </c>
      <c r="AG28" s="13">
        <v>-5.0000000000000001E-3</v>
      </c>
      <c r="AH28" s="13">
        <v>-2.5000000000000001E-3</v>
      </c>
      <c r="AI28" s="13">
        <v>-1.25E-3</v>
      </c>
      <c r="AJ28" s="13">
        <v>0</v>
      </c>
      <c r="AK28" s="13">
        <v>2.5000000000000001E-3</v>
      </c>
      <c r="AL28" s="13">
        <v>5.0000000000000001E-3</v>
      </c>
      <c r="AM28" s="13">
        <v>0.01</v>
      </c>
      <c r="AN28" s="13">
        <v>1.4999999999999999E-2</v>
      </c>
      <c r="AO28" s="13">
        <v>0.02</v>
      </c>
      <c r="AP28" s="13">
        <v>0.03</v>
      </c>
      <c r="AQ28" s="13">
        <v>0.05</v>
      </c>
      <c r="AR28" s="13">
        <v>0.1</v>
      </c>
      <c r="AS28" s="13"/>
      <c r="AT28" s="105" t="s">
        <v>1517</v>
      </c>
      <c r="AU28" t="b">
        <v>1</v>
      </c>
      <c r="AV28" t="b">
        <v>0</v>
      </c>
      <c r="BC28" s="3" t="s">
        <v>55</v>
      </c>
      <c r="BD28" s="5" t="s">
        <v>7</v>
      </c>
      <c r="BE28" s="3" t="s">
        <v>1</v>
      </c>
      <c r="BF28" s="4" t="s">
        <v>47</v>
      </c>
      <c r="BG28" s="4" t="s">
        <v>48</v>
      </c>
      <c r="BH28" s="4" t="s">
        <v>12</v>
      </c>
      <c r="BI28" s="4" t="s">
        <v>49</v>
      </c>
      <c r="BJ28" s="4" t="s">
        <v>50</v>
      </c>
      <c r="BK28" s="4" t="s">
        <v>4</v>
      </c>
      <c r="BL28" s="4" t="s">
        <v>51</v>
      </c>
      <c r="BM28" s="4" t="s">
        <v>52</v>
      </c>
      <c r="BN28" s="4" t="s">
        <v>21</v>
      </c>
      <c r="BO28" s="4" t="s">
        <v>53</v>
      </c>
      <c r="BP28" s="4" t="s">
        <v>54</v>
      </c>
      <c r="BQ28" s="4" t="s">
        <v>5</v>
      </c>
      <c r="BT28" s="3" t="s">
        <v>55</v>
      </c>
      <c r="BU28" s="5" t="s">
        <v>7</v>
      </c>
      <c r="BV28" s="3" t="s">
        <v>1</v>
      </c>
      <c r="BW28" s="4" t="s">
        <v>47</v>
      </c>
      <c r="BX28" s="4" t="s">
        <v>48</v>
      </c>
      <c r="BY28" s="4" t="s">
        <v>12</v>
      </c>
      <c r="BZ28" s="4" t="s">
        <v>49</v>
      </c>
      <c r="CA28" s="4" t="s">
        <v>50</v>
      </c>
      <c r="CB28" s="4" t="s">
        <v>4</v>
      </c>
      <c r="CC28" s="4" t="s">
        <v>51</v>
      </c>
      <c r="CD28" s="4" t="s">
        <v>52</v>
      </c>
      <c r="CE28" s="4" t="s">
        <v>21</v>
      </c>
      <c r="CF28" s="4" t="s">
        <v>53</v>
      </c>
      <c r="CG28" s="4" t="s">
        <v>54</v>
      </c>
      <c r="CH28" s="4" t="s">
        <v>5</v>
      </c>
    </row>
    <row r="29" spans="1:86" ht="12" thickBot="1" x14ac:dyDescent="0.25">
      <c r="A29" s="105" t="s">
        <v>1498</v>
      </c>
      <c r="B29" t="str">
        <f>B8</f>
        <v>EO6M_Vol#0012</v>
      </c>
      <c r="D29" t="str">
        <f>D8</f>
        <v>eo3mWrongSurface#0012</v>
      </c>
      <c r="F29" t="str">
        <f ca="1">F9</f>
        <v>obj_00000#0027</v>
      </c>
      <c r="I29" t="str">
        <f t="array" ref="I29:I44">_xll.qlCapFloorTermVolSurfaceOptionTenors(B9)</f>
        <v>3Y</v>
      </c>
      <c r="J29" s="102">
        <f t="array" ref="J29:J44">_xll.qlCapFloorTermVolSurfaceOptionDates(B9)</f>
        <v>43857</v>
      </c>
      <c r="K29" t="s">
        <v>25</v>
      </c>
      <c r="L29" s="197">
        <f t="shared" ref="L29:X29" si="0">L3/10000</f>
        <v>5.5000000000000003E-4</v>
      </c>
      <c r="M29" s="197">
        <f t="shared" si="0"/>
        <v>1.1300000000000001E-3</v>
      </c>
      <c r="N29" s="197">
        <f t="shared" si="0"/>
        <v>1.8600000000000001E-3</v>
      </c>
      <c r="O29" s="197">
        <f t="shared" si="0"/>
        <v>2.4299999999999999E-3</v>
      </c>
      <c r="P29" s="197">
        <f t="shared" si="0"/>
        <v>3.0000000000000001E-3</v>
      </c>
      <c r="Q29" s="197">
        <f t="shared" si="0"/>
        <v>4.0100000000000005E-3</v>
      </c>
      <c r="R29" s="197">
        <f t="shared" si="0"/>
        <v>4.9399999999999999E-3</v>
      </c>
      <c r="S29" s="197">
        <f t="shared" si="0"/>
        <v>6.6799999999999993E-3</v>
      </c>
      <c r="T29" s="197">
        <f t="shared" si="0"/>
        <v>8.3000000000000001E-3</v>
      </c>
      <c r="U29" s="197">
        <f t="shared" si="0"/>
        <v>9.8399999999999998E-3</v>
      </c>
      <c r="V29" s="197">
        <f t="shared" si="0"/>
        <v>1.277E-2</v>
      </c>
      <c r="W29" s="197">
        <f t="shared" si="0"/>
        <v>1.823E-2</v>
      </c>
      <c r="X29" s="197">
        <f t="shared" si="0"/>
        <v>3.0660000000000003E-2</v>
      </c>
      <c r="Y29" s="13"/>
      <c r="Z29" s="110" t="e">
        <f>#REF!</f>
        <v>#REF!</v>
      </c>
      <c r="AA29" s="198">
        <f t="shared" ref="AA29:AA31" si="1">AU82</f>
        <v>0</v>
      </c>
      <c r="AC29" t="str">
        <f t="array" ref="AC29:AC44">_xll.qlCapFloorTermVolSurfaceOptionTenors(D9)</f>
        <v>1Y</v>
      </c>
      <c r="AD29" s="102">
        <f t="array" ref="AD29:AD44">_xll.qlCapFloorTermVolSurfaceOptionDates(D9)</f>
        <v>43126</v>
      </c>
      <c r="AE29" t="s">
        <v>25</v>
      </c>
      <c r="AF29" s="197">
        <f>L3/10000</f>
        <v>5.5000000000000003E-4</v>
      </c>
      <c r="AG29" s="197">
        <f t="shared" ref="AG29:AR29" si="2">M3/10000</f>
        <v>1.1300000000000001E-3</v>
      </c>
      <c r="AH29" s="197">
        <f t="shared" si="2"/>
        <v>1.8600000000000001E-3</v>
      </c>
      <c r="AI29" s="197">
        <f t="shared" si="2"/>
        <v>2.4299999999999999E-3</v>
      </c>
      <c r="AJ29" s="197">
        <f t="shared" si="2"/>
        <v>3.0000000000000001E-3</v>
      </c>
      <c r="AK29" s="197">
        <f t="shared" si="2"/>
        <v>4.0100000000000005E-3</v>
      </c>
      <c r="AL29" s="197">
        <f t="shared" si="2"/>
        <v>4.9399999999999999E-3</v>
      </c>
      <c r="AM29" s="197">
        <f t="shared" si="2"/>
        <v>6.6799999999999993E-3</v>
      </c>
      <c r="AN29" s="197">
        <f t="shared" si="2"/>
        <v>8.3000000000000001E-3</v>
      </c>
      <c r="AO29" s="197">
        <f t="shared" si="2"/>
        <v>9.8399999999999998E-3</v>
      </c>
      <c r="AP29" s="197">
        <f t="shared" si="2"/>
        <v>1.277E-2</v>
      </c>
      <c r="AQ29" s="197">
        <f t="shared" si="2"/>
        <v>1.823E-2</v>
      </c>
      <c r="AR29" s="197">
        <f t="shared" si="2"/>
        <v>3.0660000000000003E-2</v>
      </c>
      <c r="AS29" s="13"/>
      <c r="AT29" s="195">
        <f ca="1">AY29/AZ29</f>
        <v>-17.0649195425231</v>
      </c>
      <c r="AU29" t="str">
        <f ca="1">BC29</f>
        <v>obj_001cb#0040</v>
      </c>
      <c r="AV29" t="str">
        <f ca="1">BT29</f>
        <v>obj_001d1#0028</v>
      </c>
      <c r="AW29" t="str">
        <f ca="1">_xll.qlSwap(,AU29:AV29,AU$28:AV$28)</f>
        <v>obj_001d6#0028</v>
      </c>
      <c r="AX29" t="b">
        <f ca="1">_xll.qlInstrumentSetPricingEngine(AW29,"eoniaPricing",PricingEngines!C$1)</f>
        <v>1</v>
      </c>
      <c r="AY29">
        <f ca="1">_xll.qlInstrumentNPV(AW29,AX29)</f>
        <v>1307.0800136731305</v>
      </c>
      <c r="AZ29" s="108">
        <f ca="1">_xll.qlSwapLegBPS(AW29,0,AY29)</f>
        <v>-76.59456057885842</v>
      </c>
      <c r="BC29" s="10" t="str">
        <f ca="1">_xll.qlIborLeg(BE29,BF29,BG29,BH29,BI29,BJ29,BK29,BL29,BM29,BN29,BO29,BP29,BQ29,'Active Indexes'!B$18)</f>
        <v>obj_001cb#0040</v>
      </c>
      <c r="BD29" s="11" t="str">
        <f ca="1">_xll.ohRangeRetrieveError(BC29)</f>
        <v/>
      </c>
      <c r="BE29" s="6"/>
      <c r="BF29" s="7" t="s">
        <v>39</v>
      </c>
      <c r="BG29" s="25">
        <v>1000000</v>
      </c>
      <c r="BH29" s="7" t="str">
        <f>BC35</f>
        <v>obj_00038#0006</v>
      </c>
      <c r="BI29" s="7"/>
      <c r="BJ29" s="7"/>
      <c r="BK29" s="7" t="s">
        <v>14</v>
      </c>
      <c r="BL29" s="8"/>
      <c r="BM29" s="7"/>
      <c r="BN29" s="103" t="s">
        <v>993</v>
      </c>
      <c r="BO29" s="8"/>
      <c r="BP29" s="8"/>
      <c r="BQ29" s="7"/>
      <c r="BT29" s="10" t="str">
        <f ca="1">_xll.qlIborLeg(BV29,BW29,BX29,BY29,BZ29,CA29,CB29,CC29,CD29,CE29,CF29,CG29,CH29,'Active Indexes'!B$8)</f>
        <v>obj_001d1#0028</v>
      </c>
      <c r="BU29" s="11" t="str">
        <f ca="1">_xll.ohRangeRetrieveError(BT29)</f>
        <v/>
      </c>
      <c r="BV29" s="6"/>
      <c r="BW29" s="7" t="s">
        <v>39</v>
      </c>
      <c r="BX29" s="25">
        <v>1000000</v>
      </c>
      <c r="BY29" s="7" t="str">
        <f>BT35</f>
        <v>obj_00037#0006</v>
      </c>
      <c r="BZ29" s="7"/>
      <c r="CA29" s="7"/>
      <c r="CB29" s="7" t="s">
        <v>14</v>
      </c>
      <c r="CC29" s="8"/>
      <c r="CD29" s="7"/>
      <c r="CE29" s="103" t="s">
        <v>992</v>
      </c>
      <c r="CF29" s="8"/>
      <c r="CG29" s="8"/>
      <c r="CH29" s="7"/>
    </row>
    <row r="30" spans="1:86" ht="12" thickBot="1" x14ac:dyDescent="0.25">
      <c r="A30" s="105" t="s">
        <v>275</v>
      </c>
      <c r="B30" t="s">
        <v>992</v>
      </c>
      <c r="D30" s="105" t="s">
        <v>993</v>
      </c>
      <c r="F30" t="s">
        <v>992</v>
      </c>
      <c r="I30" t="str">
        <v>4Y</v>
      </c>
      <c r="J30" s="102">
        <v>44222</v>
      </c>
      <c r="K30" s="105" t="s">
        <v>156</v>
      </c>
      <c r="L30" s="197">
        <f t="shared" ref="L30:X30" si="3">L4/10000</f>
        <v>1.24E-3</v>
      </c>
      <c r="M30" s="197">
        <f t="shared" si="3"/>
        <v>1.5199999999999999E-3</v>
      </c>
      <c r="N30" s="197">
        <f t="shared" si="3"/>
        <v>2.0500000000000002E-3</v>
      </c>
      <c r="O30" s="197">
        <f t="shared" si="3"/>
        <v>2.5999999999999999E-3</v>
      </c>
      <c r="P30" s="197">
        <f t="shared" si="3"/>
        <v>3.15E-3</v>
      </c>
      <c r="Q30" s="197">
        <f t="shared" si="3"/>
        <v>4.1399999999999996E-3</v>
      </c>
      <c r="R30" s="197">
        <f t="shared" si="3"/>
        <v>5.0600000000000003E-3</v>
      </c>
      <c r="S30" s="197">
        <f t="shared" si="3"/>
        <v>6.7499999999999999E-3</v>
      </c>
      <c r="T30" s="197">
        <f t="shared" si="3"/>
        <v>8.320000000000001E-3</v>
      </c>
      <c r="U30" s="197">
        <f t="shared" si="3"/>
        <v>9.8200000000000006E-3</v>
      </c>
      <c r="V30" s="197">
        <f t="shared" si="3"/>
        <v>1.265E-2</v>
      </c>
      <c r="W30" s="197">
        <f t="shared" si="3"/>
        <v>1.7909999999999999E-2</v>
      </c>
      <c r="X30" s="197">
        <f t="shared" si="3"/>
        <v>2.9810000000000003E-2</v>
      </c>
      <c r="Y30" s="13"/>
      <c r="Z30" s="110" t="e">
        <f>#REF!</f>
        <v>#REF!</v>
      </c>
      <c r="AA30" s="198">
        <f t="shared" si="1"/>
        <v>0</v>
      </c>
      <c r="AC30" t="str">
        <v>1Y6M</v>
      </c>
      <c r="AD30" s="102">
        <v>43307</v>
      </c>
      <c r="AE30" s="105" t="s">
        <v>156</v>
      </c>
      <c r="AF30" s="197">
        <f t="shared" ref="AF30:AR30" si="4">L4/10000</f>
        <v>1.24E-3</v>
      </c>
      <c r="AG30" s="197">
        <f t="shared" si="4"/>
        <v>1.5199999999999999E-3</v>
      </c>
      <c r="AH30" s="197">
        <f t="shared" si="4"/>
        <v>2.0500000000000002E-3</v>
      </c>
      <c r="AI30" s="197">
        <f t="shared" si="4"/>
        <v>2.5999999999999999E-3</v>
      </c>
      <c r="AJ30" s="197">
        <f t="shared" si="4"/>
        <v>3.15E-3</v>
      </c>
      <c r="AK30" s="197">
        <f t="shared" si="4"/>
        <v>4.1399999999999996E-3</v>
      </c>
      <c r="AL30" s="197">
        <f t="shared" si="4"/>
        <v>5.0600000000000003E-3</v>
      </c>
      <c r="AM30" s="197">
        <f t="shared" si="4"/>
        <v>6.7499999999999999E-3</v>
      </c>
      <c r="AN30" s="197">
        <f t="shared" si="4"/>
        <v>8.320000000000001E-3</v>
      </c>
      <c r="AO30" s="197">
        <f t="shared" si="4"/>
        <v>9.8200000000000006E-3</v>
      </c>
      <c r="AP30" s="197">
        <f t="shared" si="4"/>
        <v>1.265E-2</v>
      </c>
      <c r="AQ30" s="197">
        <f t="shared" si="4"/>
        <v>1.7909999999999999E-2</v>
      </c>
      <c r="AR30" s="197">
        <f t="shared" si="4"/>
        <v>2.9810000000000003E-2</v>
      </c>
      <c r="AS30" s="13"/>
      <c r="AT30" s="195">
        <f ca="1">AY30/AZ30</f>
        <v>-13.725731600982142</v>
      </c>
      <c r="AU30" t="str">
        <f t="shared" ref="AU30" ca="1" si="5">BC30</f>
        <v>obj_001cc#0040</v>
      </c>
      <c r="AV30" t="str">
        <f t="shared" ref="AV30:AV31" ca="1" si="6">BT30</f>
        <v>obj_001d3#0028</v>
      </c>
      <c r="AW30" t="str">
        <f ca="1">_xll.qlSwap(,AU30:AV30,AU$28:AV$28)</f>
        <v>obj_001d4#0028</v>
      </c>
      <c r="AX30" t="b">
        <f ca="1">_xll.qlInstrumentSetPricingEngine(AW30,"eoniaPricing",PricingEngines!C$1)</f>
        <v>1</v>
      </c>
      <c r="AY30">
        <f ca="1">_xll.qlInstrumentNPV(AW30,AX30)</f>
        <v>1744.6824626125476</v>
      </c>
      <c r="AZ30" s="108">
        <f ca="1">_xll.qlSwapLegBPS(AW30,0,AY30)</f>
        <v>-127.11034379309204</v>
      </c>
      <c r="BC30" s="10" t="str">
        <f ca="1">_xll.qlIborLeg(BE30,BF30,BG30,BH30,BI30,BJ30,BK30,BL30,BM30,BN30,BO30,BP30,BQ30,'Active Indexes'!B$18)</f>
        <v>obj_001cc#0040</v>
      </c>
      <c r="BD30" s="11" t="str">
        <f ca="1">_xll.ohRangeRetrieveError(BC30)</f>
        <v/>
      </c>
      <c r="BE30" s="6"/>
      <c r="BF30" s="7" t="s">
        <v>39</v>
      </c>
      <c r="BG30" s="25">
        <v>1000000</v>
      </c>
      <c r="BH30" s="7" t="str">
        <f t="shared" ref="BH30:BH31" si="7">BC36</f>
        <v>obj_00039#0006</v>
      </c>
      <c r="BI30" s="7"/>
      <c r="BJ30" s="7"/>
      <c r="BK30" s="7" t="s">
        <v>14</v>
      </c>
      <c r="BL30" s="8"/>
      <c r="BM30" s="7"/>
      <c r="BN30" s="103" t="s">
        <v>993</v>
      </c>
      <c r="BO30" s="8"/>
      <c r="BP30" s="8"/>
      <c r="BQ30" s="7"/>
      <c r="BT30" s="10" t="str">
        <f ca="1">_xll.qlIborLeg(BV30,BW30,BX30,BY30,BZ30,CA30,CB30,CC30,CD30,CE30,CF30,CG30,CH30,'Active Indexes'!B$8)</f>
        <v>obj_001d3#0028</v>
      </c>
      <c r="BU30" s="11" t="str">
        <f ca="1">_xll.ohRangeRetrieveError(BT30)</f>
        <v/>
      </c>
      <c r="BV30" s="6"/>
      <c r="BW30" s="7" t="s">
        <v>39</v>
      </c>
      <c r="BX30" s="25">
        <v>1000000</v>
      </c>
      <c r="BY30" s="7" t="str">
        <f t="shared" ref="BY30:BY31" si="8">BT36</f>
        <v>obj_00033#0006</v>
      </c>
      <c r="BZ30" s="7"/>
      <c r="CA30" s="7"/>
      <c r="CB30" s="7" t="s">
        <v>14</v>
      </c>
      <c r="CC30" s="8"/>
      <c r="CD30" s="7"/>
      <c r="CE30" s="103" t="s">
        <v>992</v>
      </c>
      <c r="CF30" s="8"/>
      <c r="CG30" s="8"/>
      <c r="CH30" s="7"/>
    </row>
    <row r="31" spans="1:86" ht="12" thickBot="1" x14ac:dyDescent="0.25">
      <c r="A31" s="105" t="s">
        <v>1499</v>
      </c>
      <c r="B31" s="13">
        <v>0.01</v>
      </c>
      <c r="D31" s="13">
        <v>0.01</v>
      </c>
      <c r="F31" s="13">
        <v>0.01</v>
      </c>
      <c r="I31" t="str">
        <v>5Y</v>
      </c>
      <c r="J31" s="102">
        <v>44587</v>
      </c>
      <c r="K31" t="s">
        <v>157</v>
      </c>
      <c r="L31" s="197">
        <f t="shared" ref="L31:X31" si="9">L5/10000</f>
        <v>1.8899999999999998E-3</v>
      </c>
      <c r="M31" s="197">
        <f t="shared" si="9"/>
        <v>1.9100000000000002E-3</v>
      </c>
      <c r="N31" s="197">
        <f t="shared" si="9"/>
        <v>2.2899999999999999E-3</v>
      </c>
      <c r="O31" s="197">
        <f t="shared" si="9"/>
        <v>2.8E-3</v>
      </c>
      <c r="P31" s="197">
        <f t="shared" si="9"/>
        <v>3.3299999999999996E-3</v>
      </c>
      <c r="Q31" s="197">
        <f t="shared" si="9"/>
        <v>4.2899999999999995E-3</v>
      </c>
      <c r="R31" s="197">
        <f t="shared" si="9"/>
        <v>5.1799999999999997E-3</v>
      </c>
      <c r="S31" s="197">
        <f t="shared" si="9"/>
        <v>6.8200000000000005E-3</v>
      </c>
      <c r="T31" s="197">
        <f t="shared" si="9"/>
        <v>8.3499999999999998E-3</v>
      </c>
      <c r="U31" s="197">
        <f t="shared" si="9"/>
        <v>9.7900000000000001E-3</v>
      </c>
      <c r="V31" s="197">
        <f t="shared" si="9"/>
        <v>1.2529999999999999E-2</v>
      </c>
      <c r="W31" s="197">
        <f t="shared" si="9"/>
        <v>1.7590000000000001E-2</v>
      </c>
      <c r="X31" s="197">
        <f t="shared" si="9"/>
        <v>2.9000000000000001E-2</v>
      </c>
      <c r="Y31" s="13"/>
      <c r="Z31" s="110" t="e">
        <f>#REF!</f>
        <v>#REF!</v>
      </c>
      <c r="AA31" s="198">
        <f t="shared" si="1"/>
        <v>0</v>
      </c>
      <c r="AC31" t="str">
        <v>2Y</v>
      </c>
      <c r="AD31" s="102">
        <v>43493</v>
      </c>
      <c r="AE31" t="s">
        <v>157</v>
      </c>
      <c r="AF31" s="197">
        <f t="shared" ref="AF31:AR31" si="10">L5/10000</f>
        <v>1.8899999999999998E-3</v>
      </c>
      <c r="AG31" s="197">
        <f t="shared" si="10"/>
        <v>1.9100000000000002E-3</v>
      </c>
      <c r="AH31" s="197">
        <f t="shared" si="10"/>
        <v>2.2899999999999999E-3</v>
      </c>
      <c r="AI31" s="197">
        <f t="shared" si="10"/>
        <v>2.8E-3</v>
      </c>
      <c r="AJ31" s="197">
        <f t="shared" si="10"/>
        <v>3.3299999999999996E-3</v>
      </c>
      <c r="AK31" s="197">
        <f t="shared" si="10"/>
        <v>4.2899999999999995E-3</v>
      </c>
      <c r="AL31" s="197">
        <f t="shared" si="10"/>
        <v>5.1799999999999997E-3</v>
      </c>
      <c r="AM31" s="197">
        <f t="shared" si="10"/>
        <v>6.8200000000000005E-3</v>
      </c>
      <c r="AN31" s="197">
        <f t="shared" si="10"/>
        <v>8.3499999999999998E-3</v>
      </c>
      <c r="AO31" s="197">
        <f t="shared" si="10"/>
        <v>9.7900000000000001E-3</v>
      </c>
      <c r="AP31" s="197">
        <f t="shared" si="10"/>
        <v>1.2529999999999999E-2</v>
      </c>
      <c r="AQ31" s="197">
        <f t="shared" si="10"/>
        <v>1.7590000000000001E-2</v>
      </c>
      <c r="AR31" s="197">
        <f t="shared" si="10"/>
        <v>2.9000000000000001E-2</v>
      </c>
      <c r="AS31" s="13"/>
      <c r="AT31" s="195">
        <f ca="1">AY31/AZ31</f>
        <v>-13.421451307897515</v>
      </c>
      <c r="AU31" t="str">
        <f ca="1">BC31</f>
        <v>obj_001cd#0040</v>
      </c>
      <c r="AV31" t="str">
        <f t="shared" ca="1" si="6"/>
        <v>obj_001d2#0028</v>
      </c>
      <c r="AW31" t="str">
        <f ca="1">_xll.qlSwap(,AU31:AV31,AU$28:AV$28)</f>
        <v>obj_001d5#0028</v>
      </c>
      <c r="AX31" t="b">
        <f ca="1">_xll.qlInstrumentSetPricingEngine(AW31,"eoniaPricing",PricingEngines!C$1)</f>
        <v>1</v>
      </c>
      <c r="AY31">
        <f ca="1">_xll.qlInstrumentNPV(AW31,AX31)</f>
        <v>2403.693590060273</v>
      </c>
      <c r="AZ31" s="108">
        <f ca="1">_xll.qlSwapLegBPS(AW31,0,AY31)</f>
        <v>-179.09341806022721</v>
      </c>
      <c r="BC31" s="10" t="str">
        <f ca="1">_xll.qlIborLeg(BE31,BF31,BG31,BH31,BI31,BJ31,BK31,BL31,BM31,BN31,BO31,BP31,BQ31,'Active Indexes'!B$18)</f>
        <v>obj_001cd#0040</v>
      </c>
      <c r="BD31" s="11" t="str">
        <f ca="1">_xll.ohRangeRetrieveError(BC31)</f>
        <v/>
      </c>
      <c r="BE31" s="6"/>
      <c r="BF31" s="7" t="s">
        <v>39</v>
      </c>
      <c r="BG31" s="25">
        <v>1000000</v>
      </c>
      <c r="BH31" s="7" t="str">
        <f t="shared" si="7"/>
        <v>obj_00036#0006</v>
      </c>
      <c r="BI31" s="7"/>
      <c r="BJ31" s="7"/>
      <c r="BK31" s="7" t="s">
        <v>14</v>
      </c>
      <c r="BL31" s="8"/>
      <c r="BM31" s="7"/>
      <c r="BN31" s="103" t="s">
        <v>993</v>
      </c>
      <c r="BO31" s="8"/>
      <c r="BP31" s="8"/>
      <c r="BQ31" s="7"/>
      <c r="BT31" s="10" t="str">
        <f ca="1">_xll.qlIborLeg(BV31,BW31,BX31,BY31,BZ31,CA31,CB31,CC31,CD31,CE31,CF31,CG31,CH31,'Active Indexes'!B$8)</f>
        <v>obj_001d2#0028</v>
      </c>
      <c r="BU31" s="11" t="str">
        <f ca="1">_xll.ohRangeRetrieveError(BT31)</f>
        <v/>
      </c>
      <c r="BV31" s="6"/>
      <c r="BW31" s="7" t="s">
        <v>39</v>
      </c>
      <c r="BX31" s="25">
        <v>1000000</v>
      </c>
      <c r="BY31" s="7" t="str">
        <f t="shared" si="8"/>
        <v>obj_00035#0006</v>
      </c>
      <c r="BZ31" s="7"/>
      <c r="CA31" s="7"/>
      <c r="CB31" s="7" t="s">
        <v>14</v>
      </c>
      <c r="CC31" s="8"/>
      <c r="CD31" s="7"/>
      <c r="CE31" s="103" t="s">
        <v>992</v>
      </c>
      <c r="CF31" s="8"/>
      <c r="CG31" s="8"/>
      <c r="CH31" s="7"/>
    </row>
    <row r="32" spans="1:86" x14ac:dyDescent="0.2">
      <c r="A32" s="105" t="s">
        <v>126</v>
      </c>
      <c r="B32">
        <v>9.9999999999999995E-7</v>
      </c>
      <c r="D32">
        <v>1E-4</v>
      </c>
      <c r="F32">
        <v>1E-4</v>
      </c>
      <c r="I32" t="str">
        <v>6Y</v>
      </c>
      <c r="J32" s="102">
        <v>44952</v>
      </c>
      <c r="K32" t="s">
        <v>99</v>
      </c>
      <c r="L32" s="197">
        <f t="shared" ref="L32:W32" si="11">L6/10000</f>
        <v>3.0899999999999999E-3</v>
      </c>
      <c r="M32" s="197">
        <f t="shared" si="11"/>
        <v>2.8399999999999996E-3</v>
      </c>
      <c r="N32" s="197">
        <f t="shared" si="11"/>
        <v>2.63E-3</v>
      </c>
      <c r="O32" s="197">
        <f t="shared" si="11"/>
        <v>2.9399999999999999E-3</v>
      </c>
      <c r="P32" s="197">
        <f t="shared" si="11"/>
        <v>3.3600000000000001E-3</v>
      </c>
      <c r="Q32" s="197">
        <f t="shared" si="11"/>
        <v>4.1600000000000005E-3</v>
      </c>
      <c r="R32" s="197">
        <f t="shared" si="11"/>
        <v>4.9399999999999999E-3</v>
      </c>
      <c r="S32" s="197">
        <f t="shared" si="11"/>
        <v>6.3899999999999998E-3</v>
      </c>
      <c r="T32" s="197">
        <f t="shared" si="11"/>
        <v>7.7499999999999999E-3</v>
      </c>
      <c r="U32" s="197">
        <f t="shared" si="11"/>
        <v>9.0299999999999998E-3</v>
      </c>
      <c r="V32" s="197">
        <f t="shared" si="11"/>
        <v>1.1440000000000001E-2</v>
      </c>
      <c r="W32" s="197">
        <f t="shared" si="11"/>
        <v>1.585E-2</v>
      </c>
      <c r="X32" s="197">
        <f t="shared" ref="X32" si="12">X6/10000</f>
        <v>2.562E-2</v>
      </c>
      <c r="Y32" s="13"/>
      <c r="AA32" s="197">
        <f t="shared" ref="AA32" si="13">AA6/10000</f>
        <v>0</v>
      </c>
      <c r="AC32" t="e">
        <v>#N/A</v>
      </c>
      <c r="AD32" s="102" t="e">
        <v>#N/A</v>
      </c>
      <c r="AE32" t="s">
        <v>99</v>
      </c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20"/>
      <c r="AR32" s="120"/>
      <c r="AS32" s="13"/>
    </row>
    <row r="33" spans="1:86" ht="12" thickBot="1" x14ac:dyDescent="0.25">
      <c r="A33" s="105" t="s">
        <v>276</v>
      </c>
      <c r="B33">
        <v>100</v>
      </c>
      <c r="D33">
        <v>100</v>
      </c>
      <c r="F33">
        <v>100</v>
      </c>
      <c r="I33" t="str">
        <v>7Y</v>
      </c>
      <c r="J33" s="102">
        <v>45317</v>
      </c>
      <c r="K33" t="s">
        <v>101</v>
      </c>
      <c r="L33" s="197">
        <f t="shared" ref="L33:X33" si="14">L7/10000</f>
        <v>3.7600000000000003E-3</v>
      </c>
      <c r="M33" s="197">
        <f t="shared" si="14"/>
        <v>3.49E-3</v>
      </c>
      <c r="N33" s="197">
        <f t="shared" si="14"/>
        <v>3.2600000000000003E-3</v>
      </c>
      <c r="O33" s="197">
        <f t="shared" si="14"/>
        <v>3.49E-3</v>
      </c>
      <c r="P33" s="197">
        <f t="shared" si="14"/>
        <v>3.8299999999999996E-3</v>
      </c>
      <c r="Q33" s="197">
        <f t="shared" si="14"/>
        <v>4.4999999999999997E-3</v>
      </c>
      <c r="R33" s="197">
        <f t="shared" si="14"/>
        <v>5.1500000000000001E-3</v>
      </c>
      <c r="S33" s="197">
        <f t="shared" si="14"/>
        <v>6.3899999999999998E-3</v>
      </c>
      <c r="T33" s="197">
        <f t="shared" si="14"/>
        <v>7.5799999999999999E-3</v>
      </c>
      <c r="U33" s="197">
        <f t="shared" si="14"/>
        <v>8.7200000000000003E-3</v>
      </c>
      <c r="V33" s="197">
        <f t="shared" si="14"/>
        <v>1.0869999999999999E-2</v>
      </c>
      <c r="W33" s="197">
        <f t="shared" si="14"/>
        <v>1.481E-2</v>
      </c>
      <c r="X33" s="197">
        <f t="shared" si="14"/>
        <v>2.3530000000000002E-2</v>
      </c>
      <c r="Y33" s="13"/>
      <c r="AA33" s="197">
        <f t="shared" ref="AA33" si="15">AA7/10000</f>
        <v>0</v>
      </c>
      <c r="AC33" t="e">
        <v>#N/A</v>
      </c>
      <c r="AD33" s="102" t="e">
        <v>#N/A</v>
      </c>
      <c r="AE33" t="s">
        <v>101</v>
      </c>
      <c r="AF33" s="120"/>
      <c r="AG33" s="120"/>
      <c r="AH33" s="120"/>
      <c r="AI33" s="120"/>
      <c r="AJ33" s="120"/>
      <c r="AK33" s="120"/>
      <c r="AL33" s="120"/>
      <c r="AM33" s="120"/>
      <c r="AN33" s="120"/>
      <c r="AO33" s="120"/>
      <c r="AP33" s="120"/>
      <c r="AQ33" s="120"/>
      <c r="AR33" s="120"/>
      <c r="AS33" s="13"/>
    </row>
    <row r="34" spans="1:86" ht="12" thickBot="1" x14ac:dyDescent="0.25">
      <c r="A34" t="s">
        <v>278</v>
      </c>
      <c r="B34" s="105" t="s">
        <v>851</v>
      </c>
      <c r="D34" s="105" t="s">
        <v>851</v>
      </c>
      <c r="E34" s="105" t="s">
        <v>851</v>
      </c>
      <c r="F34" s="105" t="s">
        <v>851</v>
      </c>
      <c r="I34" t="str">
        <v>8Y</v>
      </c>
      <c r="J34" s="102">
        <v>45684</v>
      </c>
      <c r="K34" t="s">
        <v>102</v>
      </c>
      <c r="L34" s="197">
        <f t="shared" ref="L34:X34" si="16">L8/10000</f>
        <v>4.1999999999999997E-3</v>
      </c>
      <c r="M34" s="197">
        <f t="shared" si="16"/>
        <v>3.96E-3</v>
      </c>
      <c r="N34" s="197">
        <f t="shared" si="16"/>
        <v>3.7700000000000003E-3</v>
      </c>
      <c r="O34" s="197">
        <f t="shared" si="16"/>
        <v>3.96E-3</v>
      </c>
      <c r="P34" s="197">
        <f t="shared" si="16"/>
        <v>4.2500000000000003E-3</v>
      </c>
      <c r="Q34" s="197">
        <f t="shared" si="16"/>
        <v>4.8200000000000005E-3</v>
      </c>
      <c r="R34" s="197">
        <f t="shared" si="16"/>
        <v>5.3600000000000002E-3</v>
      </c>
      <c r="S34" s="197">
        <f t="shared" si="16"/>
        <v>6.3600000000000002E-3</v>
      </c>
      <c r="T34" s="197">
        <f t="shared" si="16"/>
        <v>7.3000000000000001E-3</v>
      </c>
      <c r="U34" s="197">
        <f t="shared" si="16"/>
        <v>8.2000000000000007E-3</v>
      </c>
      <c r="V34" s="197">
        <f t="shared" si="16"/>
        <v>9.92E-3</v>
      </c>
      <c r="W34" s="197">
        <f t="shared" si="16"/>
        <v>1.3169999999999999E-2</v>
      </c>
      <c r="X34" s="197">
        <f t="shared" si="16"/>
        <v>2.053E-2</v>
      </c>
      <c r="Y34" s="13"/>
      <c r="AA34" s="197">
        <f t="shared" ref="AA34" si="17">AA8/10000</f>
        <v>0</v>
      </c>
      <c r="AC34" t="e">
        <v>#N/A</v>
      </c>
      <c r="AD34" s="102" t="e">
        <v>#N/A</v>
      </c>
      <c r="AE34" t="s">
        <v>102</v>
      </c>
      <c r="AF34" s="120"/>
      <c r="AG34" s="120"/>
      <c r="AH34" s="120"/>
      <c r="AI34" s="120"/>
      <c r="AJ34" s="120"/>
      <c r="AK34" s="120"/>
      <c r="AL34" s="120"/>
      <c r="AM34" s="120"/>
      <c r="AN34" s="120"/>
      <c r="AO34" s="120"/>
      <c r="AP34" s="120"/>
      <c r="AQ34" s="120"/>
      <c r="AR34" s="120"/>
      <c r="AS34" s="13"/>
      <c r="BC34" s="3" t="s">
        <v>37</v>
      </c>
      <c r="BD34" s="5" t="s">
        <v>7</v>
      </c>
      <c r="BE34" s="3" t="s">
        <v>1</v>
      </c>
      <c r="BF34" s="4" t="s">
        <v>28</v>
      </c>
      <c r="BG34" s="4" t="s">
        <v>29</v>
      </c>
      <c r="BH34" s="4" t="s">
        <v>30</v>
      </c>
      <c r="BI34" s="4" t="s">
        <v>3</v>
      </c>
      <c r="BJ34" s="4" t="s">
        <v>31</v>
      </c>
      <c r="BK34" s="4" t="s">
        <v>32</v>
      </c>
      <c r="BL34" s="4" t="s">
        <v>33</v>
      </c>
      <c r="BM34" s="4" t="s">
        <v>34</v>
      </c>
      <c r="BN34" s="4" t="s">
        <v>35</v>
      </c>
      <c r="BO34" s="4" t="s">
        <v>36</v>
      </c>
      <c r="BP34" s="4" t="s">
        <v>5</v>
      </c>
      <c r="BQ34" s="5" t="s">
        <v>6</v>
      </c>
      <c r="BT34" s="3" t="s">
        <v>37</v>
      </c>
      <c r="BU34" s="5" t="s">
        <v>7</v>
      </c>
      <c r="BV34" s="3" t="s">
        <v>1</v>
      </c>
      <c r="BW34" s="4" t="s">
        <v>28</v>
      </c>
      <c r="BX34" s="4" t="s">
        <v>29</v>
      </c>
      <c r="BY34" s="4" t="s">
        <v>30</v>
      </c>
      <c r="BZ34" s="4" t="s">
        <v>3</v>
      </c>
      <c r="CA34" s="4" t="s">
        <v>31</v>
      </c>
      <c r="CB34" s="4" t="s">
        <v>32</v>
      </c>
      <c r="CC34" s="4" t="s">
        <v>33</v>
      </c>
      <c r="CD34" s="4" t="s">
        <v>34</v>
      </c>
      <c r="CE34" s="4" t="s">
        <v>35</v>
      </c>
      <c r="CF34" s="4" t="s">
        <v>36</v>
      </c>
      <c r="CG34" s="4" t="s">
        <v>5</v>
      </c>
      <c r="CH34" s="5" t="s">
        <v>6</v>
      </c>
    </row>
    <row r="35" spans="1:86" ht="12" thickBot="1" x14ac:dyDescent="0.25">
      <c r="A35" t="s">
        <v>262</v>
      </c>
      <c r="I35" t="str">
        <v>9Y</v>
      </c>
      <c r="J35" s="102">
        <v>46048</v>
      </c>
      <c r="K35" t="s">
        <v>103</v>
      </c>
      <c r="L35" s="197">
        <f t="shared" ref="L35:X35" si="18">L9/10000</f>
        <v>4.5700000000000003E-3</v>
      </c>
      <c r="M35" s="197">
        <f t="shared" si="18"/>
        <v>4.3700000000000006E-3</v>
      </c>
      <c r="N35" s="197">
        <f t="shared" si="18"/>
        <v>4.2100000000000002E-3</v>
      </c>
      <c r="O35" s="197">
        <f t="shared" si="18"/>
        <v>4.3600000000000002E-3</v>
      </c>
      <c r="P35" s="197">
        <f t="shared" si="18"/>
        <v>4.6100000000000004E-3</v>
      </c>
      <c r="Q35" s="197">
        <f t="shared" si="18"/>
        <v>5.1200000000000004E-3</v>
      </c>
      <c r="R35" s="197">
        <f t="shared" si="18"/>
        <v>5.5799999999999999E-3</v>
      </c>
      <c r="S35" s="197">
        <f t="shared" si="18"/>
        <v>6.4200000000000004E-3</v>
      </c>
      <c r="T35" s="197">
        <f t="shared" si="18"/>
        <v>7.1799999999999998E-3</v>
      </c>
      <c r="U35" s="197">
        <f t="shared" si="18"/>
        <v>7.9000000000000008E-3</v>
      </c>
      <c r="V35" s="197">
        <f t="shared" si="18"/>
        <v>9.2999999999999992E-3</v>
      </c>
      <c r="W35" s="197">
        <f t="shared" si="18"/>
        <v>1.1990000000000001E-2</v>
      </c>
      <c r="X35" s="197">
        <f t="shared" si="18"/>
        <v>1.83E-2</v>
      </c>
      <c r="Y35" s="13"/>
      <c r="AA35" s="197">
        <f t="shared" ref="AA35" si="19">AA9/10000</f>
        <v>0</v>
      </c>
      <c r="AC35" t="e">
        <v>#N/A</v>
      </c>
      <c r="AD35" s="102" t="e">
        <v>#N/A</v>
      </c>
      <c r="AE35" t="s">
        <v>103</v>
      </c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3"/>
      <c r="BC35" s="10" t="str">
        <f>_xll.qlSchedule(BE35,BF35,BG35,BH35,BI35,BJ35,BK35,BL35,BM35,BN35,BO35,BP35,BQ35)</f>
        <v>obj_00038#0006</v>
      </c>
      <c r="BD35" s="11" t="str">
        <f>_xll.ohRangeRetrieveError(BC35)</f>
        <v/>
      </c>
      <c r="BE35" s="104"/>
      <c r="BF35" s="114">
        <f>_xll.qlCalendarAdvance(Calendar,_xll.qlCalendarAdvance(Calendar,_xll.qlSettingsEvaluationDate(),"2D",),"3m")</f>
        <v>42851</v>
      </c>
      <c r="BG35" s="114">
        <f>_xll.qlCalendarAdvance(Calendar,_xll.qlCalendarAdvance(Calendar,_xll.qlSettingsEvaluationDate(),"2D",),"1Y",)</f>
        <v>43126</v>
      </c>
      <c r="BH35" s="103" t="s">
        <v>97</v>
      </c>
      <c r="BI35" s="7" t="s">
        <v>10</v>
      </c>
      <c r="BJ35" s="7" t="s">
        <v>39</v>
      </c>
      <c r="BK35" s="7" t="s">
        <v>39</v>
      </c>
      <c r="BL35" s="103" t="s">
        <v>289</v>
      </c>
      <c r="BM35" s="7"/>
      <c r="BN35" s="14"/>
      <c r="BO35" s="14"/>
      <c r="BP35" s="7"/>
      <c r="BQ35" s="9"/>
      <c r="BT35" s="10" t="str">
        <f>_xll.qlSchedule(BV35,BW35,BX35,BY35,BZ35,CA35,CB35,CC35,CD35,CE35,CF35,CG35,CH35)</f>
        <v>obj_00037#0006</v>
      </c>
      <c r="BU35" s="11" t="str">
        <f>_xll.ohRangeRetrieveError(BT35)</f>
        <v/>
      </c>
      <c r="BV35" s="104"/>
      <c r="BW35" s="114">
        <f>_xll.qlCalendarAdvance(Calendar,_xll.qlCalendarAdvance(Calendar,_xll.qlSettingsEvaluationDate(),"2D",),BY35)</f>
        <v>42942</v>
      </c>
      <c r="BX35" s="114">
        <f>BG35</f>
        <v>43126</v>
      </c>
      <c r="BY35" s="103" t="s">
        <v>38</v>
      </c>
      <c r="BZ35" s="7" t="s">
        <v>10</v>
      </c>
      <c r="CA35" s="7" t="s">
        <v>39</v>
      </c>
      <c r="CB35" s="7" t="s">
        <v>39</v>
      </c>
      <c r="CC35" s="103" t="s">
        <v>289</v>
      </c>
      <c r="CD35" s="7"/>
      <c r="CE35" s="14"/>
      <c r="CF35" s="14"/>
      <c r="CG35" s="7"/>
      <c r="CH35" s="9"/>
    </row>
    <row r="36" spans="1:86" ht="12" thickBot="1" x14ac:dyDescent="0.25">
      <c r="A36" s="105" t="s">
        <v>270</v>
      </c>
      <c r="I36" t="str">
        <v>10Y</v>
      </c>
      <c r="J36" s="102">
        <v>46413</v>
      </c>
      <c r="K36" t="s">
        <v>104</v>
      </c>
      <c r="L36" s="197">
        <f t="shared" ref="L36:X36" si="20">L10/10000</f>
        <v>4.8599999999999997E-3</v>
      </c>
      <c r="M36" s="197">
        <f t="shared" si="20"/>
        <v>4.6800000000000001E-3</v>
      </c>
      <c r="N36" s="197">
        <f t="shared" si="20"/>
        <v>4.5399999999999998E-3</v>
      </c>
      <c r="O36" s="197">
        <f t="shared" si="20"/>
        <v>4.6800000000000001E-3</v>
      </c>
      <c r="P36" s="197">
        <f t="shared" si="20"/>
        <v>4.8999999999999998E-3</v>
      </c>
      <c r="Q36" s="197">
        <f t="shared" si="20"/>
        <v>5.3499999999999997E-3</v>
      </c>
      <c r="R36" s="197">
        <f t="shared" si="20"/>
        <v>5.7600000000000004E-3</v>
      </c>
      <c r="S36" s="197">
        <f t="shared" si="20"/>
        <v>6.4700000000000001E-3</v>
      </c>
      <c r="T36" s="197">
        <f t="shared" si="20"/>
        <v>7.1099999999999991E-3</v>
      </c>
      <c r="U36" s="197">
        <f t="shared" si="20"/>
        <v>7.7000000000000002E-3</v>
      </c>
      <c r="V36" s="197">
        <f t="shared" si="20"/>
        <v>8.8500000000000002E-3</v>
      </c>
      <c r="W36" s="197">
        <f t="shared" si="20"/>
        <v>1.1090000000000001E-2</v>
      </c>
      <c r="X36" s="197">
        <f t="shared" si="20"/>
        <v>1.6569999999999998E-2</v>
      </c>
      <c r="Y36" s="13"/>
      <c r="AA36" s="197">
        <f t="shared" ref="AA36" si="21">AA10/10000</f>
        <v>0</v>
      </c>
      <c r="AC36" t="e">
        <v>#N/A</v>
      </c>
      <c r="AD36" s="102" t="e">
        <v>#N/A</v>
      </c>
      <c r="AE36" t="s">
        <v>104</v>
      </c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3"/>
      <c r="BC36" s="10" t="str">
        <f>_xll.qlSchedule(BE36,BF36,BG36,BH36,BI36,BJ36,BK36,BL36,BM36,BN36,BO36,BP36,BQ36)</f>
        <v>obj_00039#0006</v>
      </c>
      <c r="BD36" s="11" t="str">
        <f>_xll.ohRangeRetrieveError(BC36)</f>
        <v/>
      </c>
      <c r="BE36" s="104"/>
      <c r="BF36" s="114">
        <f>_xll.qlCalendarAdvance(Calendar,_xll.qlCalendarAdvance(Calendar,_xll.qlSettingsEvaluationDate(),"2D",),"3m")</f>
        <v>42851</v>
      </c>
      <c r="BG36" s="114">
        <f>_xll.qlCalendarAdvance(Calendar,_xll.qlCalendarAdvance(Calendar,_xll.qlSettingsEvaluationDate(),"2D",),"18M",)</f>
        <v>43307</v>
      </c>
      <c r="BH36" s="103" t="s">
        <v>97</v>
      </c>
      <c r="BI36" s="7" t="s">
        <v>10</v>
      </c>
      <c r="BJ36" s="7" t="s">
        <v>39</v>
      </c>
      <c r="BK36" s="7" t="s">
        <v>39</v>
      </c>
      <c r="BL36" s="103" t="s">
        <v>289</v>
      </c>
      <c r="BM36" s="7"/>
      <c r="BN36" s="14"/>
      <c r="BO36" s="14"/>
      <c r="BP36" s="7"/>
      <c r="BQ36" s="9"/>
      <c r="BT36" s="10" t="str">
        <f>_xll.qlSchedule(BV36,BW36,BX36,BY36,BZ36,CA36,CB36,CC36,CD36,CE36,CF36,CG36,CH36)</f>
        <v>obj_00033#0006</v>
      </c>
      <c r="BU36" s="11" t="str">
        <f>_xll.ohRangeRetrieveError(BT36)</f>
        <v/>
      </c>
      <c r="BV36" s="104"/>
      <c r="BW36" s="114">
        <f>_xll.qlCalendarAdvance(Calendar,_xll.qlCalendarAdvance(Calendar,_xll.qlSettingsEvaluationDate(),"2D",),BY36)</f>
        <v>42942</v>
      </c>
      <c r="BX36" s="114">
        <f t="shared" ref="BX36:BX37" si="22">BG36</f>
        <v>43307</v>
      </c>
      <c r="BY36" s="103" t="s">
        <v>38</v>
      </c>
      <c r="BZ36" s="7" t="s">
        <v>10</v>
      </c>
      <c r="CA36" s="7" t="s">
        <v>39</v>
      </c>
      <c r="CB36" s="7" t="s">
        <v>39</v>
      </c>
      <c r="CC36" s="103" t="s">
        <v>289</v>
      </c>
      <c r="CD36" s="7"/>
      <c r="CE36" s="14"/>
      <c r="CF36" s="14"/>
      <c r="CG36" s="7"/>
      <c r="CH36" s="9"/>
    </row>
    <row r="37" spans="1:86" ht="12" thickBot="1" x14ac:dyDescent="0.25">
      <c r="A37" s="105" t="s">
        <v>271</v>
      </c>
      <c r="I37" t="str">
        <v>12Y</v>
      </c>
      <c r="J37" s="102">
        <v>47144</v>
      </c>
      <c r="K37" t="s">
        <v>105</v>
      </c>
      <c r="L37" s="197">
        <f t="shared" ref="L37:X37" si="23">L11/10000</f>
        <v>5.1000000000000004E-3</v>
      </c>
      <c r="M37" s="197">
        <f t="shared" si="23"/>
        <v>4.9399999999999999E-3</v>
      </c>
      <c r="N37" s="197">
        <f t="shared" si="23"/>
        <v>4.8200000000000005E-3</v>
      </c>
      <c r="O37" s="197">
        <f t="shared" si="23"/>
        <v>4.9299999999999995E-3</v>
      </c>
      <c r="P37" s="197">
        <f t="shared" si="23"/>
        <v>5.13E-3</v>
      </c>
      <c r="Q37" s="197">
        <f t="shared" si="23"/>
        <v>5.5399999999999998E-3</v>
      </c>
      <c r="R37" s="197">
        <f t="shared" si="23"/>
        <v>5.8999999999999999E-3</v>
      </c>
      <c r="S37" s="197">
        <f t="shared" si="23"/>
        <v>6.5400000000000007E-3</v>
      </c>
      <c r="T37" s="197">
        <f t="shared" si="23"/>
        <v>7.0799999999999995E-3</v>
      </c>
      <c r="U37" s="197">
        <f t="shared" si="23"/>
        <v>7.5900000000000004E-3</v>
      </c>
      <c r="V37" s="197">
        <f t="shared" si="23"/>
        <v>8.5500000000000003E-3</v>
      </c>
      <c r="W37" s="197">
        <f t="shared" si="23"/>
        <v>1.0459999999999999E-2</v>
      </c>
      <c r="X37" s="197">
        <f t="shared" si="23"/>
        <v>1.5259999999999999E-2</v>
      </c>
      <c r="Y37" s="13"/>
      <c r="AA37" s="197">
        <f t="shared" ref="AA37" si="24">AA11/10000</f>
        <v>0</v>
      </c>
      <c r="AC37" t="e">
        <v>#N/A</v>
      </c>
      <c r="AD37" s="102" t="e">
        <v>#N/A</v>
      </c>
      <c r="AE37" t="s">
        <v>105</v>
      </c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0"/>
      <c r="AR37" s="120"/>
      <c r="AS37" s="13"/>
      <c r="BC37" s="10" t="str">
        <f>_xll.qlSchedule(BE37,BF37,BG37,BH37,BI37,BJ37,BK37,BL37,BM37,BN37,BO37,BP37,BQ37)</f>
        <v>obj_00036#0006</v>
      </c>
      <c r="BD37" s="11" t="str">
        <f>_xll.ohRangeRetrieveError(BC37)</f>
        <v/>
      </c>
      <c r="BE37" s="104"/>
      <c r="BF37" s="114">
        <f>_xll.qlCalendarAdvance(Calendar,_xll.qlCalendarAdvance(Calendar,_xll.qlSettingsEvaluationDate(),"2D",),"3m")</f>
        <v>42851</v>
      </c>
      <c r="BG37" s="114">
        <f>_xll.qlCalendarAdvance(Calendar,_xll.qlCalendarAdvance(Calendar,_xll.qlSettingsEvaluationDate(),"2D",),"2Y",)</f>
        <v>43493</v>
      </c>
      <c r="BH37" s="103" t="s">
        <v>97</v>
      </c>
      <c r="BI37" s="7" t="s">
        <v>10</v>
      </c>
      <c r="BJ37" s="7" t="s">
        <v>39</v>
      </c>
      <c r="BK37" s="7" t="s">
        <v>39</v>
      </c>
      <c r="BL37" s="103" t="s">
        <v>289</v>
      </c>
      <c r="BM37" s="7"/>
      <c r="BN37" s="14"/>
      <c r="BO37" s="14"/>
      <c r="BP37" s="7"/>
      <c r="BQ37" s="9"/>
      <c r="BT37" s="10" t="str">
        <f>_xll.qlSchedule(BV37,BW37,BX37,BY37,BZ37,CA37,CB37,CC37,CD37,CE37,CF37,CG37,CH37)</f>
        <v>obj_00035#0006</v>
      </c>
      <c r="BU37" s="11" t="str">
        <f>_xll.ohRangeRetrieveError(BT37)</f>
        <v/>
      </c>
      <c r="BV37" s="104"/>
      <c r="BW37" s="114">
        <f>_xll.qlCalendarAdvance(Calendar,_xll.qlCalendarAdvance(Calendar,_xll.qlSettingsEvaluationDate(),"2D",),BY37)</f>
        <v>42942</v>
      </c>
      <c r="BX37" s="114">
        <f t="shared" si="22"/>
        <v>43493</v>
      </c>
      <c r="BY37" s="103" t="s">
        <v>38</v>
      </c>
      <c r="BZ37" s="7" t="s">
        <v>10</v>
      </c>
      <c r="CA37" s="7" t="s">
        <v>39</v>
      </c>
      <c r="CB37" s="7" t="s">
        <v>39</v>
      </c>
      <c r="CC37" s="103" t="s">
        <v>289</v>
      </c>
      <c r="CD37" s="7"/>
      <c r="CE37" s="14"/>
      <c r="CF37" s="14"/>
      <c r="CG37" s="7"/>
      <c r="CH37" s="9"/>
    </row>
    <row r="38" spans="1:86" x14ac:dyDescent="0.2">
      <c r="A38" s="105" t="s">
        <v>277</v>
      </c>
      <c r="I38" t="str">
        <v>15Y</v>
      </c>
      <c r="J38" s="102">
        <v>48239</v>
      </c>
      <c r="K38" t="s">
        <v>106</v>
      </c>
      <c r="L38" s="197">
        <f t="shared" ref="L38:X38" si="25">L12/10000</f>
        <v>5.2700000000000004E-3</v>
      </c>
      <c r="M38" s="197">
        <f t="shared" si="25"/>
        <v>5.13E-3</v>
      </c>
      <c r="N38" s="197">
        <f t="shared" si="25"/>
        <v>5.0200000000000002E-3</v>
      </c>
      <c r="O38" s="197">
        <f t="shared" si="25"/>
        <v>5.13E-3</v>
      </c>
      <c r="P38" s="197">
        <f t="shared" si="25"/>
        <v>5.3100000000000005E-3</v>
      </c>
      <c r="Q38" s="197">
        <f t="shared" si="25"/>
        <v>5.6799999999999993E-3</v>
      </c>
      <c r="R38" s="197">
        <f t="shared" si="25"/>
        <v>6.0099999999999997E-3</v>
      </c>
      <c r="S38" s="197">
        <f t="shared" si="25"/>
        <v>6.5799999999999999E-3</v>
      </c>
      <c r="T38" s="197">
        <f t="shared" si="25"/>
        <v>7.0599999999999994E-3</v>
      </c>
      <c r="U38" s="197">
        <f t="shared" si="25"/>
        <v>7.4999999999999997E-3</v>
      </c>
      <c r="V38" s="197">
        <f t="shared" si="25"/>
        <v>8.3299999999999989E-3</v>
      </c>
      <c r="W38" s="197">
        <f t="shared" si="25"/>
        <v>9.9900000000000006E-3</v>
      </c>
      <c r="X38" s="197">
        <f t="shared" si="25"/>
        <v>1.4230000000000001E-2</v>
      </c>
      <c r="Y38" s="13"/>
      <c r="AA38" s="197">
        <f t="shared" ref="AA38" si="26">AA12/10000</f>
        <v>0</v>
      </c>
      <c r="AC38" t="e">
        <v>#N/A</v>
      </c>
      <c r="AD38" s="102" t="e">
        <v>#N/A</v>
      </c>
      <c r="AE38" t="s">
        <v>106</v>
      </c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3"/>
    </row>
    <row r="39" spans="1:86" x14ac:dyDescent="0.2">
      <c r="I39" t="str">
        <v>20Y</v>
      </c>
      <c r="J39" s="102">
        <v>50066</v>
      </c>
      <c r="K39" t="s">
        <v>79</v>
      </c>
      <c r="L39" s="197">
        <f t="shared" ref="L39:X39" si="27">L13/10000</f>
        <v>5.4000000000000003E-3</v>
      </c>
      <c r="M39" s="197">
        <f t="shared" si="27"/>
        <v>5.2700000000000004E-3</v>
      </c>
      <c r="N39" s="197">
        <f t="shared" si="27"/>
        <v>5.1799999999999997E-3</v>
      </c>
      <c r="O39" s="197">
        <f t="shared" si="27"/>
        <v>5.28E-3</v>
      </c>
      <c r="P39" s="197">
        <f t="shared" si="27"/>
        <v>5.4399999999999995E-3</v>
      </c>
      <c r="Q39" s="197">
        <f t="shared" si="27"/>
        <v>5.7799999999999995E-3</v>
      </c>
      <c r="R39" s="197">
        <f t="shared" si="27"/>
        <v>6.0799999999999995E-3</v>
      </c>
      <c r="S39" s="197">
        <f t="shared" si="27"/>
        <v>6.6E-3</v>
      </c>
      <c r="T39" s="197">
        <f t="shared" si="27"/>
        <v>7.0299999999999998E-3</v>
      </c>
      <c r="U39" s="197">
        <f t="shared" si="27"/>
        <v>7.43E-3</v>
      </c>
      <c r="V39" s="197">
        <f t="shared" si="27"/>
        <v>8.1700000000000002E-3</v>
      </c>
      <c r="W39" s="197">
        <f t="shared" si="27"/>
        <v>9.640000000000001E-3</v>
      </c>
      <c r="X39" s="197">
        <f t="shared" si="27"/>
        <v>1.3480000000000001E-2</v>
      </c>
      <c r="Y39" s="13"/>
      <c r="AA39" s="197">
        <f t="shared" ref="AA39" si="28">AA13/10000</f>
        <v>0</v>
      </c>
      <c r="AC39" t="e">
        <v>#N/A</v>
      </c>
      <c r="AD39" s="102" t="e">
        <v>#N/A</v>
      </c>
      <c r="AE39" t="s">
        <v>79</v>
      </c>
      <c r="AF39" s="120"/>
      <c r="AG39" s="120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3"/>
    </row>
    <row r="40" spans="1:86" x14ac:dyDescent="0.2">
      <c r="A40" s="106" t="s">
        <v>1502</v>
      </c>
      <c r="B40" t="e">
        <f ca="1">_xll.qlStrippedOptionletAdapter(,B28,,B25)</f>
        <v>#NUM!</v>
      </c>
      <c r="D40" t="e">
        <f ca="1">_xll.qlStrippedOptionletAdapter(,D28,,D25)</f>
        <v>#NUM!</v>
      </c>
      <c r="F40" t="e">
        <f ca="1">_xll.qlStrippedOptionletAdapter(,F28,,F25)</f>
        <v>#NUM!</v>
      </c>
      <c r="I40" t="str">
        <v>25Y</v>
      </c>
      <c r="J40" s="102">
        <v>51893</v>
      </c>
      <c r="K40" t="s">
        <v>159</v>
      </c>
      <c r="L40" s="197">
        <f t="shared" ref="L40:X40" si="29">L14/10000</f>
        <v>5.5700000000000003E-3</v>
      </c>
      <c r="M40" s="197">
        <f t="shared" si="29"/>
        <v>5.47E-3</v>
      </c>
      <c r="N40" s="197">
        <f t="shared" si="29"/>
        <v>5.4000000000000003E-3</v>
      </c>
      <c r="O40" s="197">
        <f t="shared" si="29"/>
        <v>5.4799999999999996E-3</v>
      </c>
      <c r="P40" s="197">
        <f t="shared" si="29"/>
        <v>5.62E-3</v>
      </c>
      <c r="Q40" s="197">
        <f t="shared" si="29"/>
        <v>5.8999999999999999E-3</v>
      </c>
      <c r="R40" s="197">
        <f t="shared" si="29"/>
        <v>6.1600000000000005E-3</v>
      </c>
      <c r="S40" s="197">
        <f t="shared" si="29"/>
        <v>6.5900000000000004E-3</v>
      </c>
      <c r="T40" s="197">
        <f t="shared" si="29"/>
        <v>6.9599999999999992E-3</v>
      </c>
      <c r="U40" s="197">
        <f t="shared" si="29"/>
        <v>7.28E-3</v>
      </c>
      <c r="V40" s="197">
        <f t="shared" si="29"/>
        <v>7.9000000000000008E-3</v>
      </c>
      <c r="W40" s="197">
        <f t="shared" si="29"/>
        <v>9.1599999999999997E-3</v>
      </c>
      <c r="X40" s="197">
        <f t="shared" si="29"/>
        <v>1.248E-2</v>
      </c>
      <c r="Y40" s="13"/>
      <c r="AA40" s="197">
        <f t="shared" ref="AA40" si="30">AA14/10000</f>
        <v>0</v>
      </c>
      <c r="AC40" t="e">
        <v>#N/A</v>
      </c>
      <c r="AD40" s="102" t="e">
        <v>#N/A</v>
      </c>
      <c r="AE40" t="s">
        <v>159</v>
      </c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3"/>
      <c r="BF40" s="114">
        <f>_xll.qlCalendarAdvance(Calendar,_xll.qlCalendarAdvance(Calendar,_xll.qlSettingsEvaluationDate(),"2D",),BH40)</f>
        <v>42851</v>
      </c>
      <c r="BH40" s="163" t="s">
        <v>97</v>
      </c>
    </row>
    <row r="41" spans="1:86" x14ac:dyDescent="0.2">
      <c r="A41" s="106" t="s">
        <v>1501</v>
      </c>
      <c r="B41" s="192" t="e">
        <f ca="1">_xll.qlRelinkableHandleOptionletVolatilityStructure(,B40,,)</f>
        <v>#NUM!</v>
      </c>
      <c r="D41" s="192" t="e">
        <f ca="1">_xll.qlRelinkableHandleOptionletVolatilityStructure(,D40,,)</f>
        <v>#NUM!</v>
      </c>
      <c r="F41" s="192" t="e">
        <f ca="1">_xll.qlRelinkableHandleOptionletVolatilityStructure(,F40,,)</f>
        <v>#NUM!</v>
      </c>
      <c r="I41" t="str">
        <v>30Y</v>
      </c>
      <c r="J41" s="102">
        <v>53720</v>
      </c>
      <c r="K41" t="s">
        <v>107</v>
      </c>
      <c r="L41" s="197">
        <f t="shared" ref="L41:X41" si="31">L15/10000</f>
        <v>5.6700000000000006E-3</v>
      </c>
      <c r="M41" s="197">
        <f t="shared" si="31"/>
        <v>5.5999999999999999E-3</v>
      </c>
      <c r="N41" s="197">
        <f t="shared" si="31"/>
        <v>5.5599999999999998E-3</v>
      </c>
      <c r="O41" s="197">
        <f t="shared" si="31"/>
        <v>5.6299999999999996E-3</v>
      </c>
      <c r="P41" s="197">
        <f t="shared" si="31"/>
        <v>5.7399999999999994E-3</v>
      </c>
      <c r="Q41" s="197">
        <f t="shared" si="31"/>
        <v>5.9700000000000005E-3</v>
      </c>
      <c r="R41" s="197">
        <f t="shared" si="31"/>
        <v>6.1799999999999997E-3</v>
      </c>
      <c r="S41" s="197">
        <f t="shared" si="31"/>
        <v>6.5400000000000007E-3</v>
      </c>
      <c r="T41" s="197">
        <f t="shared" si="31"/>
        <v>6.8400000000000006E-3</v>
      </c>
      <c r="U41" s="197">
        <f t="shared" si="31"/>
        <v>7.1099999999999991E-3</v>
      </c>
      <c r="V41" s="197">
        <f t="shared" si="31"/>
        <v>7.62E-3</v>
      </c>
      <c r="W41" s="197">
        <f t="shared" si="31"/>
        <v>8.6700000000000006E-3</v>
      </c>
      <c r="X41" s="197">
        <f t="shared" si="31"/>
        <v>1.1440000000000001E-2</v>
      </c>
      <c r="Y41" s="13"/>
      <c r="AA41" s="197">
        <f t="shared" ref="AA41" si="32">AA15/10000</f>
        <v>0</v>
      </c>
      <c r="AC41" t="e">
        <v>#N/A</v>
      </c>
      <c r="AD41" s="102" t="e">
        <v>#N/A</v>
      </c>
      <c r="AE41" t="s">
        <v>107</v>
      </c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3"/>
      <c r="BF41" s="114">
        <f>_xll.qlCalendarAdvance(Calendar,_xll.qlSettingsEvaluationDate(),"2D",)</f>
        <v>42761</v>
      </c>
    </row>
    <row r="42" spans="1:86" x14ac:dyDescent="0.2">
      <c r="A42" s="106" t="s">
        <v>1514</v>
      </c>
      <c r="B42" t="e">
        <f ca="1">_xll.qlBachelierCapFloorEngine(,"eonia",B41)</f>
        <v>#VALUE!</v>
      </c>
      <c r="D42" t="e">
        <f ca="1">_xll.qlBachelierCapFloorEngine(,"eonia",D41)</f>
        <v>#VALUE!</v>
      </c>
      <c r="F42" t="e">
        <f ca="1">_xll.qlBachelierCapFloorEngine(,"eonia",F41)</f>
        <v>#VALUE!</v>
      </c>
      <c r="I42" t="e">
        <v>#N/A</v>
      </c>
      <c r="J42" s="102" t="e">
        <v>#N/A</v>
      </c>
      <c r="K42" t="s">
        <v>108</v>
      </c>
      <c r="L42" s="197">
        <f t="shared" ref="L42:X42" si="33">L16/10000</f>
        <v>5.7099999999999998E-3</v>
      </c>
      <c r="M42" s="197">
        <f t="shared" si="33"/>
        <v>5.6899999999999997E-3</v>
      </c>
      <c r="N42" s="197">
        <f t="shared" si="33"/>
        <v>5.6799999999999993E-3</v>
      </c>
      <c r="O42" s="197">
        <f t="shared" si="33"/>
        <v>5.7299999999999999E-3</v>
      </c>
      <c r="P42" s="197">
        <f t="shared" si="33"/>
        <v>5.8100000000000001E-3</v>
      </c>
      <c r="Q42" s="197">
        <f t="shared" si="33"/>
        <v>5.9800000000000001E-3</v>
      </c>
      <c r="R42" s="197">
        <f t="shared" si="33"/>
        <v>6.1399999999999996E-3</v>
      </c>
      <c r="S42" s="197">
        <f t="shared" si="33"/>
        <v>6.409999999999999E-3</v>
      </c>
      <c r="T42" s="197">
        <f t="shared" si="33"/>
        <v>6.6499999999999997E-3</v>
      </c>
      <c r="U42" s="197">
        <f t="shared" si="33"/>
        <v>6.8700000000000002E-3</v>
      </c>
      <c r="V42" s="197">
        <f t="shared" si="33"/>
        <v>7.28E-3</v>
      </c>
      <c r="W42" s="197">
        <f t="shared" si="33"/>
        <v>8.1400000000000014E-3</v>
      </c>
      <c r="X42" s="197">
        <f t="shared" si="33"/>
        <v>1.0359999999999999E-2</v>
      </c>
      <c r="Y42" s="13"/>
      <c r="AA42" s="197">
        <f t="shared" ref="AA42" si="34">AA16/10000</f>
        <v>0</v>
      </c>
      <c r="AC42" t="e">
        <v>#N/A</v>
      </c>
      <c r="AD42" s="102" t="e">
        <v>#N/A</v>
      </c>
      <c r="AE42" t="s">
        <v>108</v>
      </c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20"/>
      <c r="AR42" s="120"/>
      <c r="AS42" s="13"/>
    </row>
    <row r="43" spans="1:86" x14ac:dyDescent="0.2">
      <c r="A43" s="106" t="s">
        <v>1503</v>
      </c>
      <c r="B43" t="e">
        <f ca="1">_xll.qlMakeCapFloor(,$I$47,$K39,"eo6mproj",N$47,"0d",$L$67)</f>
        <v>#VALUE!</v>
      </c>
      <c r="D43" t="e">
        <f ca="1">_xll.qlMakeCapFloor(,$I$47,$K39,"eo3mproj",N$47,"0d",$L$67)</f>
        <v>#VALUE!</v>
      </c>
      <c r="F43" t="e">
        <f ca="1">_xll.qlMakeCapFloor(,$I$47,$K39,"eo6mproj",N$47,"0d",L68)</f>
        <v>#VALUE!</v>
      </c>
      <c r="I43" t="e">
        <v>#N/A</v>
      </c>
      <c r="J43" s="102" t="e">
        <v>#N/A</v>
      </c>
      <c r="K43" t="s">
        <v>109</v>
      </c>
      <c r="L43" s="197">
        <f t="shared" ref="L43:X43" si="35">L17/10000</f>
        <v>5.6600000000000001E-3</v>
      </c>
      <c r="M43" s="197">
        <f t="shared" si="35"/>
        <v>5.6600000000000001E-3</v>
      </c>
      <c r="N43" s="197">
        <f t="shared" si="35"/>
        <v>5.6700000000000006E-3</v>
      </c>
      <c r="O43" s="197">
        <f t="shared" si="35"/>
        <v>5.7099999999999998E-3</v>
      </c>
      <c r="P43" s="197">
        <f t="shared" si="35"/>
        <v>5.7799999999999995E-3</v>
      </c>
      <c r="Q43" s="197">
        <f t="shared" si="35"/>
        <v>5.9100000000000003E-3</v>
      </c>
      <c r="R43" s="197">
        <f t="shared" si="35"/>
        <v>6.0499999999999998E-3</v>
      </c>
      <c r="S43" s="197">
        <f t="shared" si="35"/>
        <v>6.28E-3</v>
      </c>
      <c r="T43" s="197">
        <f t="shared" si="35"/>
        <v>6.4799999999999996E-3</v>
      </c>
      <c r="U43" s="197">
        <f t="shared" si="35"/>
        <v>6.6700000000000006E-3</v>
      </c>
      <c r="V43" s="197">
        <f t="shared" si="35"/>
        <v>7.0400000000000003E-3</v>
      </c>
      <c r="W43" s="197">
        <f t="shared" si="35"/>
        <v>7.7999999999999996E-3</v>
      </c>
      <c r="X43" s="197">
        <f t="shared" si="35"/>
        <v>9.75E-3</v>
      </c>
      <c r="Y43" s="13"/>
      <c r="AA43" s="197">
        <f t="shared" ref="AA43" si="36">AA17/10000</f>
        <v>0</v>
      </c>
      <c r="AC43" t="e">
        <v>#N/A</v>
      </c>
      <c r="AD43" s="102" t="e">
        <v>#N/A</v>
      </c>
      <c r="AE43" t="s">
        <v>109</v>
      </c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3"/>
    </row>
    <row r="44" spans="1:86" x14ac:dyDescent="0.2">
      <c r="A44" s="106" t="s">
        <v>1504</v>
      </c>
      <c r="D44" t="e">
        <f ca="1">_xll.qlInstrumentSetPricingEngine(D43,D42)</f>
        <v>#VALUE!</v>
      </c>
      <c r="F44" t="e">
        <f ca="1">_xll.qlInstrumentSetPricingEngine(F43,F42)</f>
        <v>#VALUE!</v>
      </c>
      <c r="I44" t="e">
        <v>#N/A</v>
      </c>
      <c r="J44" s="102" t="e">
        <v>#N/A</v>
      </c>
      <c r="K44" t="s">
        <v>110</v>
      </c>
      <c r="L44" s="197">
        <f t="shared" ref="L44:X44" si="37">L18/10000</f>
        <v>5.5399999999999998E-3</v>
      </c>
      <c r="M44" s="197">
        <f t="shared" si="37"/>
        <v>5.5599999999999998E-3</v>
      </c>
      <c r="N44" s="197">
        <f t="shared" si="37"/>
        <v>5.5899999999999995E-3</v>
      </c>
      <c r="O44" s="197">
        <f t="shared" si="37"/>
        <v>5.6299999999999996E-3</v>
      </c>
      <c r="P44" s="197">
        <f t="shared" si="37"/>
        <v>5.6799999999999993E-3</v>
      </c>
      <c r="Q44" s="197">
        <f t="shared" si="37"/>
        <v>5.7999999999999996E-3</v>
      </c>
      <c r="R44" s="197">
        <f t="shared" si="37"/>
        <v>5.9199999999999999E-3</v>
      </c>
      <c r="S44" s="197">
        <f t="shared" si="37"/>
        <v>6.13E-3</v>
      </c>
      <c r="T44" s="197">
        <f t="shared" si="37"/>
        <v>6.3100000000000005E-3</v>
      </c>
      <c r="U44" s="197">
        <f t="shared" si="37"/>
        <v>6.490000000000001E-3</v>
      </c>
      <c r="V44" s="197">
        <f t="shared" si="37"/>
        <v>6.8300000000000001E-3</v>
      </c>
      <c r="W44" s="197">
        <f t="shared" si="37"/>
        <v>7.5200000000000006E-3</v>
      </c>
      <c r="X44" s="197">
        <f t="shared" si="37"/>
        <v>9.2800000000000001E-3</v>
      </c>
      <c r="AA44" s="197">
        <f t="shared" ref="AA44" si="38">AA18/10000</f>
        <v>0</v>
      </c>
      <c r="AC44" t="e">
        <v>#N/A</v>
      </c>
      <c r="AD44" s="102" t="e">
        <v>#N/A</v>
      </c>
      <c r="AE44" t="s">
        <v>110</v>
      </c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BA44" s="13"/>
    </row>
    <row r="45" spans="1:86" x14ac:dyDescent="0.2">
      <c r="A45" s="106" t="s">
        <v>1505</v>
      </c>
      <c r="B45" s="164" t="e">
        <f ca="1">_xll.qlInstrumentNPV(B43)*10000</f>
        <v>#VALUE!</v>
      </c>
      <c r="D45" s="164" t="e">
        <f ca="1">_xll.qlInstrumentNPV(D43)*10000</f>
        <v>#VALUE!</v>
      </c>
      <c r="F45" s="164" t="e">
        <f ca="1">_xll.qlInstrumentNPV(F43)*10000</f>
        <v>#VALUE!</v>
      </c>
      <c r="L45" s="118"/>
      <c r="Z45" s="13"/>
      <c r="AF45" s="118"/>
      <c r="AT45" s="13"/>
    </row>
    <row r="46" spans="1:86" ht="12" thickBot="1" x14ac:dyDescent="0.25">
      <c r="B46" s="11"/>
      <c r="D46" s="11"/>
      <c r="F46" s="11" t="str">
        <f ca="1">_xll.ohRangeRetrieveError(F45)</f>
        <v/>
      </c>
      <c r="L46" s="118"/>
      <c r="Z46" s="13"/>
      <c r="AF46" s="118"/>
      <c r="AT46" s="13"/>
      <c r="BA46" s="13"/>
    </row>
    <row r="47" spans="1:86" x14ac:dyDescent="0.2">
      <c r="A47" s="200" t="s">
        <v>1543</v>
      </c>
      <c r="B47" s="30" t="e">
        <f ca="1">B45/100</f>
        <v>#VALUE!</v>
      </c>
      <c r="C47" s="111"/>
      <c r="D47" s="111" t="e">
        <f ca="1">D45/100</f>
        <v>#VALUE!</v>
      </c>
      <c r="E47" s="201"/>
      <c r="F47" s="30" t="e">
        <f ca="1">F45/100</f>
        <v>#VALUE!</v>
      </c>
      <c r="H47" s="4" t="s">
        <v>43</v>
      </c>
      <c r="I47" s="103" t="s">
        <v>56</v>
      </c>
      <c r="K47" s="119" t="s">
        <v>281</v>
      </c>
      <c r="L47" s="13">
        <v>-7.4999999999999997E-3</v>
      </c>
      <c r="M47" s="13">
        <v>-5.0000000000000001E-3</v>
      </c>
      <c r="N47" s="13">
        <v>-2.5000000000000001E-3</v>
      </c>
      <c r="O47" s="13">
        <v>-1.25E-3</v>
      </c>
      <c r="P47" s="13">
        <v>0</v>
      </c>
      <c r="Q47" s="13">
        <v>2.5000000000000001E-3</v>
      </c>
      <c r="R47" s="13">
        <v>5.0000000000000001E-3</v>
      </c>
      <c r="S47" s="13">
        <v>0.01</v>
      </c>
      <c r="T47" s="13">
        <v>1.4999999999999999E-2</v>
      </c>
      <c r="U47" s="13">
        <v>0.02</v>
      </c>
      <c r="V47" s="13">
        <v>0.03</v>
      </c>
      <c r="W47" s="13">
        <v>0.05</v>
      </c>
      <c r="X47" s="13">
        <v>0.1</v>
      </c>
      <c r="Z47" s="123" t="s">
        <v>1544</v>
      </c>
      <c r="AC47" s="103" t="s">
        <v>56</v>
      </c>
      <c r="AE47" s="119" t="s">
        <v>281</v>
      </c>
      <c r="AF47" s="13">
        <v>-7.4999999999999997E-3</v>
      </c>
      <c r="AG47" s="13">
        <v>-5.0000000000000001E-3</v>
      </c>
      <c r="AH47" s="13">
        <v>-2.5000000000000001E-3</v>
      </c>
      <c r="AI47" s="13">
        <v>-1.25E-3</v>
      </c>
      <c r="AJ47" s="13">
        <v>0</v>
      </c>
      <c r="AK47" s="13">
        <v>2.5000000000000001E-3</v>
      </c>
      <c r="AL47" s="13">
        <v>5.0000000000000001E-3</v>
      </c>
      <c r="AM47" s="13">
        <v>0.01</v>
      </c>
      <c r="AN47" s="13">
        <v>1.4999999999999999E-2</v>
      </c>
      <c r="AO47" s="13">
        <v>0.02</v>
      </c>
      <c r="AP47" s="13">
        <v>0.03</v>
      </c>
      <c r="AQ47" s="13">
        <v>0.05</v>
      </c>
      <c r="AR47" s="13">
        <v>0.1</v>
      </c>
      <c r="AT47" s="13"/>
    </row>
    <row r="48" spans="1:86" x14ac:dyDescent="0.2">
      <c r="D48" s="105"/>
      <c r="J48" t="s">
        <v>284</v>
      </c>
      <c r="K48" t="s">
        <v>25</v>
      </c>
      <c r="L48" s="204" t="e">
        <f ca="1">_xll.qlInstrumentNPV(L72)*10000</f>
        <v>#VALUE!</v>
      </c>
      <c r="M48" s="204" t="e">
        <f ca="1">_xll.qlInstrumentNPV(M72)*10000</f>
        <v>#VALUE!</v>
      </c>
      <c r="N48" s="204" t="e">
        <f ca="1">_xll.qlInstrumentNPV(N72)*10000</f>
        <v>#VALUE!</v>
      </c>
      <c r="O48" s="204" t="e">
        <f ca="1">_xll.qlInstrumentNPV(O72)*10000</f>
        <v>#VALUE!</v>
      </c>
      <c r="P48" s="204" t="e">
        <f ca="1">_xll.qlInstrumentNPV(P72)*10000</f>
        <v>#VALUE!</v>
      </c>
      <c r="Q48" s="204" t="e">
        <f ca="1">_xll.qlInstrumentNPV(Q72)*10000</f>
        <v>#VALUE!</v>
      </c>
      <c r="R48" s="204" t="e">
        <f ca="1">_xll.qlInstrumentNPV(R72)*10000</f>
        <v>#VALUE!</v>
      </c>
      <c r="S48" s="204" t="e">
        <f ca="1">_xll.qlInstrumentNPV(S72)*10000</f>
        <v>#VALUE!</v>
      </c>
      <c r="T48" s="204" t="e">
        <f ca="1">_xll.qlInstrumentNPV(T72)*10000</f>
        <v>#VALUE!</v>
      </c>
      <c r="U48" s="204" t="e">
        <f ca="1">_xll.qlInstrumentNPV(U72)*10000</f>
        <v>#VALUE!</v>
      </c>
      <c r="V48" s="204" t="e">
        <f ca="1">_xll.qlInstrumentNPV(V72)*10000</f>
        <v>#VALUE!</v>
      </c>
      <c r="W48" s="204" t="e">
        <f ca="1">_xll.qlInstrumentNPV(W72)*10000</f>
        <v>#VALUE!</v>
      </c>
      <c r="X48" s="204" t="e">
        <f ca="1">_xll.qlInstrumentNPV(X72)*10000</f>
        <v>#VALUE!</v>
      </c>
      <c r="Z48" s="110" t="e">
        <f ca="1">_xll.qlCapFloorAtmRate(R72,"eonia")</f>
        <v>#VALUE!</v>
      </c>
      <c r="AB48" s="13"/>
      <c r="AC48" s="110" t="e">
        <f ca="1">_xll.qlCapFloorAtmRate(AG61,"eonia")</f>
        <v>#VALUE!</v>
      </c>
      <c r="AD48" t="s">
        <v>283</v>
      </c>
      <c r="AE48" t="s">
        <v>25</v>
      </c>
      <c r="AF48" s="121" t="e">
        <f ca="1">_xll.qlInstrumentNPV(AF61)*10000</f>
        <v>#VALUE!</v>
      </c>
      <c r="AG48" s="121" t="e">
        <f ca="1">_xll.qlInstrumentNPV(AG61)*10000</f>
        <v>#VALUE!</v>
      </c>
      <c r="AH48" s="121" t="e">
        <f ca="1">_xll.qlInstrumentNPV(AH61)*10000</f>
        <v>#VALUE!</v>
      </c>
      <c r="AI48" s="121" t="e">
        <f ca="1">_xll.qlInstrumentNPV(AI61)*10000</f>
        <v>#VALUE!</v>
      </c>
      <c r="AJ48" s="121" t="e">
        <f ca="1">_xll.qlInstrumentNPV(AJ61)*10000</f>
        <v>#VALUE!</v>
      </c>
      <c r="AK48" s="121" t="e">
        <f ca="1">_xll.qlInstrumentNPV(AK61)*10000</f>
        <v>#VALUE!</v>
      </c>
      <c r="AL48" s="121" t="e">
        <f ca="1">_xll.qlInstrumentNPV(AL61)*10000</f>
        <v>#VALUE!</v>
      </c>
      <c r="AM48" s="121" t="e">
        <f ca="1">_xll.qlInstrumentNPV(AM61)*10000</f>
        <v>#VALUE!</v>
      </c>
      <c r="AN48" s="121" t="e">
        <f ca="1">_xll.qlInstrumentNPV(AN61)*10000</f>
        <v>#VALUE!</v>
      </c>
      <c r="AO48" s="121" t="e">
        <f ca="1">_xll.qlInstrumentNPV(AO61)*10000</f>
        <v>#VALUE!</v>
      </c>
      <c r="AP48" s="121" t="e">
        <f ca="1">_xll.qlInstrumentNPV(AP61)*10000</f>
        <v>#VALUE!</v>
      </c>
      <c r="AQ48" s="121" t="e">
        <f ca="1">_xll.qlInstrumentNPV(AQ61)*10000</f>
        <v>#VALUE!</v>
      </c>
      <c r="AR48" s="121" t="e">
        <f ca="1">_xll.qlInstrumentNPV(AR61)*10000</f>
        <v>#VALUE!</v>
      </c>
      <c r="AX48" s="102"/>
      <c r="BD48" s="110"/>
    </row>
    <row r="49" spans="1:56" x14ac:dyDescent="0.2">
      <c r="J49" t="s">
        <v>284</v>
      </c>
      <c r="K49" s="105" t="s">
        <v>1506</v>
      </c>
      <c r="L49" s="204" t="e">
        <f ca="1">_xll.qlInstrumentNPV(L73)*10000</f>
        <v>#VALUE!</v>
      </c>
      <c r="M49" s="204" t="e">
        <f ca="1">_xll.qlInstrumentNPV(M73)*10000</f>
        <v>#VALUE!</v>
      </c>
      <c r="N49" s="204" t="e">
        <f ca="1">_xll.qlInstrumentNPV(N73)*10000</f>
        <v>#VALUE!</v>
      </c>
      <c r="O49" s="204" t="e">
        <f ca="1">_xll.qlInstrumentNPV(O73)*10000</f>
        <v>#VALUE!</v>
      </c>
      <c r="P49" s="204" t="e">
        <f ca="1">_xll.qlInstrumentNPV(P73)*10000</f>
        <v>#VALUE!</v>
      </c>
      <c r="Q49" s="204" t="e">
        <f ca="1">_xll.qlInstrumentNPV(Q73)*10000</f>
        <v>#VALUE!</v>
      </c>
      <c r="R49" s="204" t="e">
        <f ca="1">_xll.qlInstrumentNPV(R73)*10000</f>
        <v>#VALUE!</v>
      </c>
      <c r="S49" s="204" t="e">
        <f ca="1">_xll.qlInstrumentNPV(S73)*10000</f>
        <v>#VALUE!</v>
      </c>
      <c r="T49" s="204" t="e">
        <f ca="1">_xll.qlInstrumentNPV(T73)*10000</f>
        <v>#VALUE!</v>
      </c>
      <c r="U49" s="204" t="e">
        <f ca="1">_xll.qlInstrumentNPV(U73)*10000</f>
        <v>#VALUE!</v>
      </c>
      <c r="V49" s="204" t="e">
        <f ca="1">_xll.qlInstrumentNPV(V73)*10000</f>
        <v>#VALUE!</v>
      </c>
      <c r="W49" s="204" t="e">
        <f ca="1">_xll.qlInstrumentNPV(W73)*10000</f>
        <v>#VALUE!</v>
      </c>
      <c r="X49" s="204" t="e">
        <f ca="1">_xll.qlInstrumentNPV(X73)*10000</f>
        <v>#VALUE!</v>
      </c>
      <c r="Z49" s="110" t="e">
        <f ca="1">_xll.qlCapFloorAtmRate(R73,"eonia")</f>
        <v>#VALUE!</v>
      </c>
      <c r="AB49" s="13"/>
      <c r="AC49" s="110" t="e">
        <f ca="1">_xll.qlCapFloorAtmRate(AG62,"eonia")</f>
        <v>#VALUE!</v>
      </c>
      <c r="AD49" t="s">
        <v>283</v>
      </c>
      <c r="AE49" s="105" t="s">
        <v>1506</v>
      </c>
      <c r="AF49" s="121" t="e">
        <f ca="1">_xll.qlInstrumentNPV(AF62)*10000</f>
        <v>#VALUE!</v>
      </c>
      <c r="AG49" s="121" t="e">
        <f ca="1">_xll.qlInstrumentNPV(AG62)*10000</f>
        <v>#VALUE!</v>
      </c>
      <c r="AH49" s="121" t="e">
        <f ca="1">_xll.qlInstrumentNPV(AH62)*10000</f>
        <v>#VALUE!</v>
      </c>
      <c r="AI49" s="121" t="e">
        <f ca="1">_xll.qlInstrumentNPV(AI62)*10000</f>
        <v>#VALUE!</v>
      </c>
      <c r="AJ49" s="121" t="e">
        <f ca="1">_xll.qlInstrumentNPV(AJ62)*10000</f>
        <v>#VALUE!</v>
      </c>
      <c r="AK49" s="121" t="e">
        <f ca="1">_xll.qlInstrumentNPV(AK62)*10000</f>
        <v>#VALUE!</v>
      </c>
      <c r="AL49" s="121" t="e">
        <f ca="1">_xll.qlInstrumentNPV(AL62)*10000</f>
        <v>#VALUE!</v>
      </c>
      <c r="AM49" s="121" t="e">
        <f ca="1">_xll.qlInstrumentNPV(AM62)*10000</f>
        <v>#VALUE!</v>
      </c>
      <c r="AN49" s="121" t="e">
        <f ca="1">_xll.qlInstrumentNPV(AN62)*10000</f>
        <v>#VALUE!</v>
      </c>
      <c r="AO49" s="121" t="e">
        <f ca="1">_xll.qlInstrumentNPV(AO62)*10000</f>
        <v>#VALUE!</v>
      </c>
      <c r="AP49" s="121" t="e">
        <f ca="1">_xll.qlInstrumentNPV(AP62)*10000</f>
        <v>#VALUE!</v>
      </c>
      <c r="AQ49" s="121" t="e">
        <f ca="1">_xll.qlInstrumentNPV(AQ62)*10000</f>
        <v>#VALUE!</v>
      </c>
      <c r="AR49" s="121" t="e">
        <f ca="1">_xll.qlInstrumentNPV(AR62)*10000</f>
        <v>#VALUE!</v>
      </c>
      <c r="AT49" s="13"/>
      <c r="AV49" s="102"/>
      <c r="AX49" s="102"/>
      <c r="AY49" s="102"/>
      <c r="AZ49" s="102"/>
      <c r="BD49" s="102"/>
    </row>
    <row r="50" spans="1:56" x14ac:dyDescent="0.2">
      <c r="H50" s="105"/>
      <c r="J50" t="s">
        <v>284</v>
      </c>
      <c r="K50" t="s">
        <v>157</v>
      </c>
      <c r="L50" s="204" t="e">
        <f ca="1">_xll.qlInstrumentNPV(L74)*10000</f>
        <v>#VALUE!</v>
      </c>
      <c r="M50" s="204" t="e">
        <f ca="1">_xll.qlInstrumentNPV(M74)*10000</f>
        <v>#VALUE!</v>
      </c>
      <c r="N50" s="204" t="e">
        <f ca="1">_xll.qlInstrumentNPV(N74)*10000</f>
        <v>#VALUE!</v>
      </c>
      <c r="O50" s="204" t="e">
        <f ca="1">_xll.qlInstrumentNPV(O74)*10000</f>
        <v>#VALUE!</v>
      </c>
      <c r="P50" s="204" t="e">
        <f ca="1">_xll.qlInstrumentNPV(P74)*10000</f>
        <v>#VALUE!</v>
      </c>
      <c r="Q50" s="204" t="e">
        <f ca="1">_xll.qlInstrumentNPV(Q74)*10000</f>
        <v>#VALUE!</v>
      </c>
      <c r="R50" s="204" t="e">
        <f ca="1">_xll.qlInstrumentNPV(R74)*10000</f>
        <v>#VALUE!</v>
      </c>
      <c r="S50" s="204" t="e">
        <f ca="1">_xll.qlInstrumentNPV(S74)*10000</f>
        <v>#VALUE!</v>
      </c>
      <c r="T50" s="204" t="e">
        <f ca="1">_xll.qlInstrumentNPV(T74)*10000</f>
        <v>#VALUE!</v>
      </c>
      <c r="U50" s="204" t="e">
        <f ca="1">_xll.qlInstrumentNPV(U74)*10000</f>
        <v>#VALUE!</v>
      </c>
      <c r="V50" s="204" t="e">
        <f ca="1">_xll.qlInstrumentNPV(V74)*10000</f>
        <v>#VALUE!</v>
      </c>
      <c r="W50" s="204" t="e">
        <f ca="1">_xll.qlInstrumentNPV(W74)*10000</f>
        <v>#VALUE!</v>
      </c>
      <c r="X50" s="204" t="e">
        <f ca="1">_xll.qlInstrumentNPV(X74)*10000</f>
        <v>#VALUE!</v>
      </c>
      <c r="Z50" s="110" t="e">
        <f ca="1">_xll.qlCapFloorAtmRate(R74,"eonia")</f>
        <v>#VALUE!</v>
      </c>
      <c r="AB50" s="13"/>
      <c r="AC50" s="110" t="e">
        <f ca="1">_xll.qlCapFloorAtmRate(AG63,"eonia")</f>
        <v>#VALUE!</v>
      </c>
      <c r="AD50" t="s">
        <v>283</v>
      </c>
      <c r="AE50" t="s">
        <v>157</v>
      </c>
      <c r="AF50" s="121" t="e">
        <f ca="1">_xll.qlInstrumentNPV(AF63)*10000</f>
        <v>#VALUE!</v>
      </c>
      <c r="AG50" s="121" t="e">
        <f ca="1">_xll.qlInstrumentNPV(AG63)*10000</f>
        <v>#VALUE!</v>
      </c>
      <c r="AH50" s="121" t="e">
        <f ca="1">_xll.qlInstrumentNPV(AH63)*10000</f>
        <v>#VALUE!</v>
      </c>
      <c r="AI50" s="121" t="e">
        <f ca="1">_xll.qlInstrumentNPV(AI63)*10000</f>
        <v>#VALUE!</v>
      </c>
      <c r="AJ50" s="121" t="e">
        <f ca="1">_xll.qlInstrumentNPV(AJ63)*10000</f>
        <v>#VALUE!</v>
      </c>
      <c r="AK50" s="121" t="e">
        <f ca="1">_xll.qlInstrumentNPV(AK63)*10000</f>
        <v>#VALUE!</v>
      </c>
      <c r="AL50" s="121" t="e">
        <f ca="1">_xll.qlInstrumentNPV(AL63)*10000</f>
        <v>#VALUE!</v>
      </c>
      <c r="AM50" s="121" t="e">
        <f ca="1">_xll.qlInstrumentNPV(AM63)*10000</f>
        <v>#VALUE!</v>
      </c>
      <c r="AN50" s="121" t="e">
        <f ca="1">_xll.qlInstrumentNPV(AN63)*10000</f>
        <v>#VALUE!</v>
      </c>
      <c r="AO50" s="121" t="e">
        <f ca="1">_xll.qlInstrumentNPV(AO63)*10000</f>
        <v>#VALUE!</v>
      </c>
      <c r="AP50" s="121" t="e">
        <f ca="1">_xll.qlInstrumentNPV(AP63)*10000</f>
        <v>#VALUE!</v>
      </c>
      <c r="AQ50" s="121" t="e">
        <f ca="1">_xll.qlInstrumentNPV(AQ63)*10000</f>
        <v>#VALUE!</v>
      </c>
      <c r="AR50" s="121" t="e">
        <f ca="1">_xll.qlInstrumentNPV(AR63)*10000</f>
        <v>#VALUE!</v>
      </c>
      <c r="AT50" s="13"/>
      <c r="AV50" s="102"/>
      <c r="AX50" s="102"/>
      <c r="AY50" s="102"/>
      <c r="AZ50" s="102"/>
      <c r="BD50" s="102"/>
    </row>
    <row r="51" spans="1:56" x14ac:dyDescent="0.2">
      <c r="A51" t="str">
        <f ca="1">_xll.ohRangeRetrieveError(F43)</f>
        <v/>
      </c>
      <c r="J51" t="s">
        <v>284</v>
      </c>
      <c r="K51" t="s">
        <v>99</v>
      </c>
      <c r="L51" s="204" t="e">
        <f ca="1">_xll.qlInstrumentNPV(L75)*10000</f>
        <v>#VALUE!</v>
      </c>
      <c r="M51" s="204" t="e">
        <f ca="1">_xll.qlInstrumentNPV(M75)*10000</f>
        <v>#VALUE!</v>
      </c>
      <c r="N51" s="204" t="e">
        <f ca="1">_xll.qlInstrumentNPV(N75)*10000</f>
        <v>#VALUE!</v>
      </c>
      <c r="O51" s="204" t="e">
        <f ca="1">_xll.qlInstrumentNPV(O75)*10000</f>
        <v>#VALUE!</v>
      </c>
      <c r="P51" s="204" t="e">
        <f ca="1">_xll.qlInstrumentNPV(P75)*10000</f>
        <v>#VALUE!</v>
      </c>
      <c r="Q51" s="204" t="e">
        <f ca="1">_xll.qlInstrumentNPV(Q75)*10000</f>
        <v>#VALUE!</v>
      </c>
      <c r="R51" s="204" t="e">
        <f ca="1">_xll.qlInstrumentNPV(R75)*10000</f>
        <v>#VALUE!</v>
      </c>
      <c r="S51" s="204" t="e">
        <f ca="1">_xll.qlInstrumentNPV(S75)*10000</f>
        <v>#VALUE!</v>
      </c>
      <c r="T51" s="204" t="e">
        <f ca="1">_xll.qlInstrumentNPV(T75)*10000</f>
        <v>#VALUE!</v>
      </c>
      <c r="U51" s="204" t="e">
        <f ca="1">_xll.qlInstrumentNPV(U75)*10000</f>
        <v>#VALUE!</v>
      </c>
      <c r="V51" s="204" t="e">
        <f ca="1">_xll.qlInstrumentNPV(V75)*10000</f>
        <v>#VALUE!</v>
      </c>
      <c r="W51" s="204" t="e">
        <f ca="1">_xll.qlInstrumentNPV(W75)*10000</f>
        <v>#VALUE!</v>
      </c>
      <c r="X51" s="204" t="e">
        <f ca="1">_xll.qlInstrumentNPV(X75)*10000</f>
        <v>#VALUE!</v>
      </c>
      <c r="Z51" s="110" t="e">
        <f ca="1">_xll.qlCapFloorAtmRate(R75,"eonia")</f>
        <v>#VALUE!</v>
      </c>
      <c r="AB51" s="13"/>
      <c r="AD51" t="s">
        <v>284</v>
      </c>
      <c r="AE51" t="s">
        <v>99</v>
      </c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T51" s="13"/>
      <c r="AV51" s="102"/>
      <c r="AX51" s="102"/>
      <c r="AY51" s="102"/>
      <c r="AZ51" s="102"/>
      <c r="BD51" s="102"/>
    </row>
    <row r="52" spans="1:56" x14ac:dyDescent="0.2">
      <c r="J52" t="s">
        <v>284</v>
      </c>
      <c r="K52" t="s">
        <v>101</v>
      </c>
      <c r="L52" s="204" t="e">
        <f ca="1">_xll.qlInstrumentNPV(L76)*10000</f>
        <v>#VALUE!</v>
      </c>
      <c r="M52" s="204" t="e">
        <f ca="1">_xll.qlInstrumentNPV(M76)*10000</f>
        <v>#VALUE!</v>
      </c>
      <c r="N52" s="204" t="e">
        <f ca="1">_xll.qlInstrumentNPV(N76)*10000</f>
        <v>#VALUE!</v>
      </c>
      <c r="O52" s="204" t="e">
        <f ca="1">_xll.qlInstrumentNPV(O76)*10000</f>
        <v>#VALUE!</v>
      </c>
      <c r="P52" s="204" t="e">
        <f ca="1">_xll.qlInstrumentNPV(P76)*10000</f>
        <v>#VALUE!</v>
      </c>
      <c r="Q52" s="204" t="e">
        <f ca="1">_xll.qlInstrumentNPV(Q76)*10000</f>
        <v>#VALUE!</v>
      </c>
      <c r="R52" s="204" t="e">
        <f ca="1">_xll.qlInstrumentNPV(R76)*10000</f>
        <v>#VALUE!</v>
      </c>
      <c r="S52" s="204" t="e">
        <f ca="1">_xll.qlInstrumentNPV(S76)*10000</f>
        <v>#VALUE!</v>
      </c>
      <c r="T52" s="204" t="e">
        <f ca="1">_xll.qlInstrumentNPV(T76)*10000</f>
        <v>#VALUE!</v>
      </c>
      <c r="U52" s="204" t="e">
        <f ca="1">_xll.qlInstrumentNPV(U76)*10000</f>
        <v>#VALUE!</v>
      </c>
      <c r="V52" s="204" t="e">
        <f ca="1">_xll.qlInstrumentNPV(V76)*10000</f>
        <v>#VALUE!</v>
      </c>
      <c r="W52" s="204" t="e">
        <f ca="1">_xll.qlInstrumentNPV(W76)*10000</f>
        <v>#VALUE!</v>
      </c>
      <c r="X52" s="204" t="e">
        <f ca="1">_xll.qlInstrumentNPV(X76)*10000</f>
        <v>#VALUE!</v>
      </c>
      <c r="Z52" s="110" t="e">
        <f ca="1">_xll.qlCapFloorAtmRate(R76,"eonia")</f>
        <v>#VALUE!</v>
      </c>
      <c r="AB52" s="13"/>
      <c r="AD52" t="s">
        <v>284</v>
      </c>
      <c r="AE52" t="s">
        <v>101</v>
      </c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T52" s="13"/>
      <c r="AV52" s="102"/>
      <c r="AX52" s="102"/>
      <c r="BD52" s="102"/>
    </row>
    <row r="53" spans="1:56" x14ac:dyDescent="0.2">
      <c r="B53" t="str">
        <f ca="1">_xll.ohRangeRetrieveError(B45)</f>
        <v/>
      </c>
      <c r="J53" t="s">
        <v>284</v>
      </c>
      <c r="K53" t="s">
        <v>102</v>
      </c>
      <c r="L53" s="204" t="e">
        <f ca="1">_xll.qlInstrumentNPV(L77)*10000</f>
        <v>#VALUE!</v>
      </c>
      <c r="M53" s="204" t="e">
        <f ca="1">_xll.qlInstrumentNPV(M77)*10000</f>
        <v>#VALUE!</v>
      </c>
      <c r="N53" s="204" t="e">
        <f ca="1">_xll.qlInstrumentNPV(N77)*10000</f>
        <v>#VALUE!</v>
      </c>
      <c r="O53" s="204" t="e">
        <f ca="1">_xll.qlInstrumentNPV(O77)*10000</f>
        <v>#VALUE!</v>
      </c>
      <c r="P53" s="204" t="e">
        <f ca="1">_xll.qlInstrumentNPV(P77)*10000</f>
        <v>#VALUE!</v>
      </c>
      <c r="Q53" s="204" t="e">
        <f ca="1">_xll.qlInstrumentNPV(Q77)*10000</f>
        <v>#VALUE!</v>
      </c>
      <c r="R53" s="204" t="e">
        <f ca="1">_xll.qlInstrumentNPV(R77)*10000</f>
        <v>#VALUE!</v>
      </c>
      <c r="S53" s="204" t="e">
        <f ca="1">_xll.qlInstrumentNPV(S77)*10000</f>
        <v>#VALUE!</v>
      </c>
      <c r="T53" s="204" t="e">
        <f ca="1">_xll.qlInstrumentNPV(T77)*10000</f>
        <v>#VALUE!</v>
      </c>
      <c r="U53" s="204" t="e">
        <f ca="1">_xll.qlInstrumentNPV(U77)*10000</f>
        <v>#VALUE!</v>
      </c>
      <c r="V53" s="204" t="e">
        <f ca="1">_xll.qlInstrumentNPV(V77)*10000</f>
        <v>#VALUE!</v>
      </c>
      <c r="W53" s="204" t="e">
        <f ca="1">_xll.qlInstrumentNPV(W77)*10000</f>
        <v>#VALUE!</v>
      </c>
      <c r="X53" s="204" t="e">
        <f ca="1">_xll.qlInstrumentNPV(X77)*10000</f>
        <v>#VALUE!</v>
      </c>
      <c r="Z53" s="110" t="e">
        <f ca="1">_xll.qlCapFloorAtmRate(R77,"eonia")</f>
        <v>#VALUE!</v>
      </c>
      <c r="AB53" s="13"/>
      <c r="AD53" t="s">
        <v>284</v>
      </c>
      <c r="AE53" t="s">
        <v>102</v>
      </c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T53" s="13"/>
      <c r="AX53" s="102"/>
      <c r="BD53" s="110"/>
    </row>
    <row r="54" spans="1:56" ht="11.25" customHeight="1" x14ac:dyDescent="0.2">
      <c r="J54" t="s">
        <v>284</v>
      </c>
      <c r="K54" t="s">
        <v>103</v>
      </c>
      <c r="L54" s="204" t="e">
        <f ca="1">_xll.qlInstrumentNPV(L78)*10000</f>
        <v>#VALUE!</v>
      </c>
      <c r="M54" s="204" t="e">
        <f ca="1">_xll.qlInstrumentNPV(M78)*10000</f>
        <v>#VALUE!</v>
      </c>
      <c r="N54" s="204" t="e">
        <f ca="1">_xll.qlInstrumentNPV(N78)*10000</f>
        <v>#VALUE!</v>
      </c>
      <c r="O54" s="204" t="e">
        <f ca="1">_xll.qlInstrumentNPV(O78)*10000</f>
        <v>#VALUE!</v>
      </c>
      <c r="P54" s="204" t="e">
        <f ca="1">_xll.qlInstrumentNPV(P78)*10000</f>
        <v>#VALUE!</v>
      </c>
      <c r="Q54" s="204" t="e">
        <f ca="1">_xll.qlInstrumentNPV(Q78)*10000</f>
        <v>#VALUE!</v>
      </c>
      <c r="R54" s="204" t="e">
        <f ca="1">_xll.qlInstrumentNPV(R78)*10000</f>
        <v>#VALUE!</v>
      </c>
      <c r="S54" s="204" t="e">
        <f ca="1">_xll.qlInstrumentNPV(S78)*10000</f>
        <v>#VALUE!</v>
      </c>
      <c r="T54" s="204" t="e">
        <f ca="1">_xll.qlInstrumentNPV(T78)*10000</f>
        <v>#VALUE!</v>
      </c>
      <c r="U54" s="204" t="e">
        <f ca="1">_xll.qlInstrumentNPV(U78)*10000</f>
        <v>#VALUE!</v>
      </c>
      <c r="V54" s="204" t="e">
        <f ca="1">_xll.qlInstrumentNPV(V78)*10000</f>
        <v>#VALUE!</v>
      </c>
      <c r="W54" s="204" t="e">
        <f ca="1">_xll.qlInstrumentNPV(W78)*10000</f>
        <v>#VALUE!</v>
      </c>
      <c r="X54" s="204" t="e">
        <f ca="1">_xll.qlInstrumentNPV(X78)*10000</f>
        <v>#VALUE!</v>
      </c>
      <c r="Z54" s="110" t="e">
        <f ca="1">_xll.qlCapFloorAtmRate(R78,"eonia")</f>
        <v>#VALUE!</v>
      </c>
      <c r="AB54" s="13"/>
      <c r="AD54" t="s">
        <v>284</v>
      </c>
      <c r="AE54" t="s">
        <v>103</v>
      </c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T54" s="13"/>
      <c r="AX54" s="102"/>
      <c r="BD54" s="110"/>
    </row>
    <row r="55" spans="1:56" ht="11.25" customHeight="1" x14ac:dyDescent="0.2">
      <c r="A55" s="105" t="s">
        <v>125</v>
      </c>
      <c r="B55">
        <v>117.791</v>
      </c>
      <c r="J55" t="s">
        <v>284</v>
      </c>
      <c r="K55" t="s">
        <v>104</v>
      </c>
      <c r="L55" s="204" t="e">
        <f ca="1">_xll.qlInstrumentNPV(L79)*10000</f>
        <v>#VALUE!</v>
      </c>
      <c r="M55" s="204" t="e">
        <f ca="1">_xll.qlInstrumentNPV(M79)*10000</f>
        <v>#VALUE!</v>
      </c>
      <c r="N55" s="204" t="e">
        <f ca="1">_xll.qlInstrumentNPV(N79)*10000</f>
        <v>#VALUE!</v>
      </c>
      <c r="O55" s="204" t="e">
        <f ca="1">_xll.qlInstrumentNPV(O79)*10000</f>
        <v>#VALUE!</v>
      </c>
      <c r="P55" s="204" t="e">
        <f ca="1">_xll.qlInstrumentNPV(P79)*10000</f>
        <v>#VALUE!</v>
      </c>
      <c r="Q55" s="204" t="e">
        <f ca="1">_xll.qlInstrumentNPV(Q79)*10000</f>
        <v>#VALUE!</v>
      </c>
      <c r="R55" s="204" t="e">
        <f ca="1">_xll.qlInstrumentNPV(R79)*10000</f>
        <v>#VALUE!</v>
      </c>
      <c r="S55" s="204" t="e">
        <f ca="1">_xll.qlInstrumentNPV(S79)*10000</f>
        <v>#VALUE!</v>
      </c>
      <c r="T55" s="204" t="e">
        <f ca="1">_xll.qlInstrumentNPV(T79)*10000</f>
        <v>#VALUE!</v>
      </c>
      <c r="U55" s="204" t="e">
        <f ca="1">_xll.qlInstrumentNPV(U79)*10000</f>
        <v>#VALUE!</v>
      </c>
      <c r="V55" s="204" t="e">
        <f ca="1">_xll.qlInstrumentNPV(V79)*10000</f>
        <v>#VALUE!</v>
      </c>
      <c r="W55" s="204" t="e">
        <f ca="1">_xll.qlInstrumentNPV(W79)*10000</f>
        <v>#VALUE!</v>
      </c>
      <c r="X55" s="204" t="e">
        <f ca="1">_xll.qlInstrumentNPV(X79)*10000</f>
        <v>#VALUE!</v>
      </c>
      <c r="Z55" s="110" t="e">
        <f ca="1">_xll.qlCapFloorAtmRate(R79,"eonia")</f>
        <v>#VALUE!</v>
      </c>
      <c r="AB55" s="13"/>
      <c r="AD55" t="s">
        <v>284</v>
      </c>
      <c r="AE55" t="s">
        <v>104</v>
      </c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T55" s="13"/>
      <c r="AX55" s="102"/>
      <c r="BD55" s="110"/>
    </row>
    <row r="56" spans="1:56" x14ac:dyDescent="0.2">
      <c r="J56" t="s">
        <v>284</v>
      </c>
      <c r="K56" t="s">
        <v>105</v>
      </c>
      <c r="L56" s="204" t="e">
        <f ca="1">_xll.qlInstrumentNPV(L80)*10000</f>
        <v>#VALUE!</v>
      </c>
      <c r="M56" s="204" t="e">
        <f ca="1">_xll.qlInstrumentNPV(M80)*10000</f>
        <v>#VALUE!</v>
      </c>
      <c r="N56" s="204" t="e">
        <f ca="1">_xll.qlInstrumentNPV(N80)*10000</f>
        <v>#VALUE!</v>
      </c>
      <c r="O56" s="204" t="e">
        <f ca="1">_xll.qlInstrumentNPV(O80)*10000</f>
        <v>#VALUE!</v>
      </c>
      <c r="P56" s="204" t="e">
        <f ca="1">_xll.qlInstrumentNPV(P80)*10000</f>
        <v>#VALUE!</v>
      </c>
      <c r="Q56" s="204" t="e">
        <f ca="1">_xll.qlInstrumentNPV(Q80)*10000</f>
        <v>#VALUE!</v>
      </c>
      <c r="R56" s="204" t="e">
        <f ca="1">_xll.qlInstrumentNPV(R80)*10000</f>
        <v>#VALUE!</v>
      </c>
      <c r="S56" s="204" t="e">
        <f ca="1">_xll.qlInstrumentNPV(S80)*10000</f>
        <v>#VALUE!</v>
      </c>
      <c r="T56" s="204" t="e">
        <f ca="1">_xll.qlInstrumentNPV(T80)*10000</f>
        <v>#VALUE!</v>
      </c>
      <c r="U56" s="204" t="e">
        <f ca="1">_xll.qlInstrumentNPV(U80)*10000</f>
        <v>#VALUE!</v>
      </c>
      <c r="V56" s="204" t="e">
        <f ca="1">_xll.qlInstrumentNPV(V80)*10000</f>
        <v>#VALUE!</v>
      </c>
      <c r="W56" s="204" t="e">
        <f ca="1">_xll.qlInstrumentNPV(W80)*10000</f>
        <v>#VALUE!</v>
      </c>
      <c r="X56" s="204" t="e">
        <f ca="1">_xll.qlInstrumentNPV(X80)*10000</f>
        <v>#VALUE!</v>
      </c>
      <c r="Z56" s="110" t="e">
        <f ca="1">_xll.qlCapFloorAtmRate(R80,"eonia")</f>
        <v>#VALUE!</v>
      </c>
      <c r="AB56" s="13"/>
      <c r="AD56" t="s">
        <v>284</v>
      </c>
      <c r="AE56" t="s">
        <v>105</v>
      </c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T56" s="13"/>
      <c r="AX56" s="102"/>
      <c r="BD56" s="110"/>
    </row>
    <row r="57" spans="1:56" x14ac:dyDescent="0.2">
      <c r="J57" t="s">
        <v>284</v>
      </c>
      <c r="K57" t="s">
        <v>106</v>
      </c>
      <c r="L57" s="204" t="e">
        <f ca="1">_xll.qlInstrumentNPV(L81)*10000</f>
        <v>#VALUE!</v>
      </c>
      <c r="M57" s="204" t="e">
        <f ca="1">_xll.qlInstrumentNPV(M81)*10000</f>
        <v>#VALUE!</v>
      </c>
      <c r="N57" s="204" t="e">
        <f ca="1">_xll.qlInstrumentNPV(N81)*10000</f>
        <v>#VALUE!</v>
      </c>
      <c r="O57" s="204" t="e">
        <f ca="1">_xll.qlInstrumentNPV(O81)*10000</f>
        <v>#VALUE!</v>
      </c>
      <c r="P57" s="204" t="e">
        <f ca="1">_xll.qlInstrumentNPV(P81)*10000</f>
        <v>#VALUE!</v>
      </c>
      <c r="Q57" s="204" t="e">
        <f ca="1">_xll.qlInstrumentNPV(Q81)*10000</f>
        <v>#VALUE!</v>
      </c>
      <c r="R57" s="204" t="e">
        <f ca="1">_xll.qlInstrumentNPV(R81)*10000</f>
        <v>#VALUE!</v>
      </c>
      <c r="S57" s="204" t="e">
        <f ca="1">_xll.qlInstrumentNPV(S81)*10000</f>
        <v>#VALUE!</v>
      </c>
      <c r="T57" s="204" t="e">
        <f ca="1">_xll.qlInstrumentNPV(T81)*10000</f>
        <v>#VALUE!</v>
      </c>
      <c r="U57" s="204" t="e">
        <f ca="1">_xll.qlInstrumentNPV(U81)*10000</f>
        <v>#VALUE!</v>
      </c>
      <c r="V57" s="204" t="e">
        <f ca="1">_xll.qlInstrumentNPV(V81)*10000</f>
        <v>#VALUE!</v>
      </c>
      <c r="W57" s="204" t="e">
        <f ca="1">_xll.qlInstrumentNPV(W81)*10000</f>
        <v>#VALUE!</v>
      </c>
      <c r="X57" s="204" t="e">
        <f ca="1">_xll.qlInstrumentNPV(X81)*10000</f>
        <v>#VALUE!</v>
      </c>
      <c r="Z57" s="110" t="e">
        <f ca="1">_xll.qlCapFloorAtmRate(R81,"eonia")</f>
        <v>#VALUE!</v>
      </c>
      <c r="AB57" s="13"/>
      <c r="AD57" t="s">
        <v>284</v>
      </c>
      <c r="AE57" t="s">
        <v>106</v>
      </c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T57" s="13"/>
      <c r="AX57" s="102"/>
      <c r="BD57" s="110"/>
    </row>
    <row r="58" spans="1:56" x14ac:dyDescent="0.2">
      <c r="J58" t="s">
        <v>284</v>
      </c>
      <c r="K58" t="s">
        <v>79</v>
      </c>
      <c r="L58" s="204" t="e">
        <f ca="1">_xll.qlInstrumentNPV(L82)*10000</f>
        <v>#VALUE!</v>
      </c>
      <c r="M58" s="204" t="e">
        <f ca="1">_xll.qlInstrumentNPV(M82)*10000</f>
        <v>#VALUE!</v>
      </c>
      <c r="N58" s="291" t="e">
        <f ca="1">_xll.qlInstrumentNPV(N82)*10000</f>
        <v>#VALUE!</v>
      </c>
      <c r="O58" s="204" t="e">
        <f ca="1">_xll.qlInstrumentNPV(O82)*10000</f>
        <v>#VALUE!</v>
      </c>
      <c r="P58" s="204" t="e">
        <f ca="1">_xll.qlInstrumentNPV(P82)*10000</f>
        <v>#VALUE!</v>
      </c>
      <c r="Q58" s="204" t="e">
        <f ca="1">_xll.qlInstrumentNPV(Q82)*10000</f>
        <v>#VALUE!</v>
      </c>
      <c r="R58" s="204" t="e">
        <f ca="1">_xll.qlInstrumentNPV(R82)*10000</f>
        <v>#VALUE!</v>
      </c>
      <c r="S58" s="204" t="e">
        <f ca="1">_xll.qlInstrumentNPV(S82)*10000</f>
        <v>#VALUE!</v>
      </c>
      <c r="T58" s="204" t="e">
        <f ca="1">_xll.qlInstrumentNPV(T82)*10000</f>
        <v>#VALUE!</v>
      </c>
      <c r="U58" s="204" t="e">
        <f ca="1">_xll.qlInstrumentNPV(U82)*10000</f>
        <v>#VALUE!</v>
      </c>
      <c r="V58" s="204" t="e">
        <f ca="1">_xll.qlInstrumentNPV(V82)*10000</f>
        <v>#VALUE!</v>
      </c>
      <c r="W58" s="204" t="e">
        <f ca="1">_xll.qlInstrumentNPV(W82)*10000</f>
        <v>#VALUE!</v>
      </c>
      <c r="X58" s="204" t="e">
        <f ca="1">_xll.qlInstrumentNPV(X82)*10000</f>
        <v>#VALUE!</v>
      </c>
      <c r="Y58" s="13"/>
      <c r="Z58" s="110" t="e">
        <f ca="1">_xll.qlCapFloorAtmRate(R82,"eonia")</f>
        <v>#VALUE!</v>
      </c>
      <c r="AB58" s="13"/>
      <c r="AD58" t="s">
        <v>284</v>
      </c>
      <c r="AE58" t="s">
        <v>79</v>
      </c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2"/>
      <c r="AR58" s="121"/>
      <c r="AS58" s="13"/>
      <c r="AT58" s="13"/>
      <c r="AX58" s="102"/>
      <c r="BD58" s="110"/>
    </row>
    <row r="59" spans="1:56" x14ac:dyDescent="0.2">
      <c r="J59" t="s">
        <v>284</v>
      </c>
      <c r="K59" t="s">
        <v>159</v>
      </c>
      <c r="L59" s="204" t="e">
        <f ca="1">_xll.qlInstrumentNPV(L83)*10000</f>
        <v>#VALUE!</v>
      </c>
      <c r="M59" s="204" t="e">
        <f ca="1">_xll.qlInstrumentNPV(M83)*10000</f>
        <v>#VALUE!</v>
      </c>
      <c r="N59" s="204" t="e">
        <f ca="1">_xll.qlInstrumentNPV(N83)*10000</f>
        <v>#VALUE!</v>
      </c>
      <c r="O59" s="204" t="e">
        <f ca="1">_xll.qlInstrumentNPV(O83)*10000</f>
        <v>#VALUE!</v>
      </c>
      <c r="P59" s="204" t="e">
        <f ca="1">_xll.qlInstrumentNPV(P83)*10000</f>
        <v>#VALUE!</v>
      </c>
      <c r="Q59" s="204" t="e">
        <f ca="1">_xll.qlInstrumentNPV(Q83)*10000</f>
        <v>#VALUE!</v>
      </c>
      <c r="R59" s="204" t="e">
        <f ca="1">_xll.qlInstrumentNPV(R83)*10000</f>
        <v>#VALUE!</v>
      </c>
      <c r="S59" s="204" t="e">
        <f ca="1">_xll.qlInstrumentNPV(S83)*10000</f>
        <v>#VALUE!</v>
      </c>
      <c r="T59" s="204" t="e">
        <f ca="1">_xll.qlInstrumentNPV(T83)*10000</f>
        <v>#VALUE!</v>
      </c>
      <c r="U59" s="204" t="e">
        <f ca="1">_xll.qlInstrumentNPV(U83)*10000</f>
        <v>#VALUE!</v>
      </c>
      <c r="V59" s="204" t="e">
        <f ca="1">_xll.qlInstrumentNPV(V83)*10000</f>
        <v>#VALUE!</v>
      </c>
      <c r="W59" s="204" t="e">
        <f ca="1">_xll.qlInstrumentNPV(W83)*10000</f>
        <v>#VALUE!</v>
      </c>
      <c r="X59" s="204" t="e">
        <f ca="1">_xll.qlInstrumentNPV(X83)*10000</f>
        <v>#VALUE!</v>
      </c>
      <c r="Z59" s="110" t="e">
        <f ca="1">_xll.qlCapFloorAtmRate(R83,"eonia")</f>
        <v>#VALUE!</v>
      </c>
      <c r="AB59" s="13"/>
      <c r="AD59" t="s">
        <v>284</v>
      </c>
      <c r="AE59" t="s">
        <v>159</v>
      </c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T59" s="13"/>
      <c r="AX59" s="102"/>
      <c r="BD59" s="110"/>
    </row>
    <row r="60" spans="1:56" ht="12" thickBot="1" x14ac:dyDescent="0.25">
      <c r="J60" t="s">
        <v>284</v>
      </c>
      <c r="K60" t="s">
        <v>107</v>
      </c>
      <c r="L60" s="204" t="e">
        <f ca="1">_xll.qlInstrumentNPV(L84)*10000</f>
        <v>#VALUE!</v>
      </c>
      <c r="M60" s="204" t="e">
        <f ca="1">_xll.qlInstrumentNPV(M84)*10000</f>
        <v>#VALUE!</v>
      </c>
      <c r="N60" s="204" t="e">
        <f ca="1">_xll.qlInstrumentNPV(N84)*10000</f>
        <v>#VALUE!</v>
      </c>
      <c r="O60" s="204" t="e">
        <f ca="1">_xll.qlInstrumentNPV(O84)*10000</f>
        <v>#VALUE!</v>
      </c>
      <c r="P60" s="204" t="e">
        <f ca="1">_xll.qlInstrumentNPV(P84)*10000</f>
        <v>#VALUE!</v>
      </c>
      <c r="Q60" s="204" t="e">
        <f ca="1">_xll.qlInstrumentNPV(Q84)*10000</f>
        <v>#VALUE!</v>
      </c>
      <c r="R60" s="204" t="e">
        <f ca="1">_xll.qlInstrumentNPV(R84)*10000</f>
        <v>#VALUE!</v>
      </c>
      <c r="S60" s="204" t="e">
        <f ca="1">_xll.qlInstrumentNPV(S84)*10000</f>
        <v>#VALUE!</v>
      </c>
      <c r="T60" s="204" t="e">
        <f ca="1">_xll.qlInstrumentNPV(T84)*10000</f>
        <v>#VALUE!</v>
      </c>
      <c r="U60" s="204" t="e">
        <f ca="1">_xll.qlInstrumentNPV(U84)*10000</f>
        <v>#VALUE!</v>
      </c>
      <c r="V60" s="204" t="e">
        <f ca="1">_xll.qlInstrumentNPV(V84)*10000</f>
        <v>#VALUE!</v>
      </c>
      <c r="W60" s="204" t="e">
        <f ca="1">_xll.qlInstrumentNPV(W84)*10000</f>
        <v>#VALUE!</v>
      </c>
      <c r="X60" s="204" t="e">
        <f ca="1">_xll.qlInstrumentNPV(X84)*10000</f>
        <v>#VALUE!</v>
      </c>
      <c r="Z60" s="110" t="e">
        <f ca="1">_xll.qlCapFloorAtmRate(R84,"eonia")</f>
        <v>#VALUE!</v>
      </c>
      <c r="AB60" s="13"/>
      <c r="AD60" t="s">
        <v>284</v>
      </c>
      <c r="AE60" t="s">
        <v>107</v>
      </c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T60" s="13"/>
      <c r="AX60" s="102"/>
      <c r="BD60" s="110"/>
    </row>
    <row r="61" spans="1:56" ht="12" thickBot="1" x14ac:dyDescent="0.25">
      <c r="J61" t="s">
        <v>284</v>
      </c>
      <c r="K61" t="s">
        <v>108</v>
      </c>
      <c r="L61" s="204" t="e">
        <f ca="1">_xll.qlInstrumentNPV(L85)*10000</f>
        <v>#VALUE!</v>
      </c>
      <c r="M61" s="204" t="e">
        <f ca="1">_xll.qlInstrumentNPV(M85)*10000</f>
        <v>#VALUE!</v>
      </c>
      <c r="N61" s="204" t="e">
        <f ca="1">_xll.qlInstrumentNPV(N85)*10000</f>
        <v>#VALUE!</v>
      </c>
      <c r="O61" s="204" t="e">
        <f ca="1">_xll.qlInstrumentNPV(O85)*10000</f>
        <v>#VALUE!</v>
      </c>
      <c r="P61" s="204" t="e">
        <f ca="1">_xll.qlInstrumentNPV(P85)*10000</f>
        <v>#VALUE!</v>
      </c>
      <c r="Q61" s="204" t="e">
        <f ca="1">_xll.qlInstrumentNPV(Q85)*10000</f>
        <v>#VALUE!</v>
      </c>
      <c r="R61" s="204" t="e">
        <f ca="1">_xll.qlInstrumentNPV(R85)*10000</f>
        <v>#VALUE!</v>
      </c>
      <c r="S61" s="204" t="e">
        <f ca="1">_xll.qlInstrumentNPV(S85)*10000</f>
        <v>#VALUE!</v>
      </c>
      <c r="T61" s="204" t="e">
        <f ca="1">_xll.qlInstrumentNPV(T85)*10000</f>
        <v>#VALUE!</v>
      </c>
      <c r="U61" s="204" t="e">
        <f ca="1">_xll.qlInstrumentNPV(U85)*10000</f>
        <v>#VALUE!</v>
      </c>
      <c r="V61" s="204" t="e">
        <f ca="1">_xll.qlInstrumentNPV(V85)*10000</f>
        <v>#VALUE!</v>
      </c>
      <c r="W61" s="204" t="e">
        <f ca="1">_xll.qlInstrumentNPV(W85)*10000</f>
        <v>#VALUE!</v>
      </c>
      <c r="X61" s="204" t="e">
        <f ca="1">_xll.qlInstrumentNPV(X85)*10000</f>
        <v>#VALUE!</v>
      </c>
      <c r="Z61" s="110" t="e">
        <f ca="1">_xll.qlCapFloorAtmRate(R85,"eonia")</f>
        <v>#VALUE!</v>
      </c>
      <c r="AB61" s="13"/>
      <c r="AD61" t="s">
        <v>284</v>
      </c>
      <c r="AE61" t="s">
        <v>25</v>
      </c>
      <c r="AF61" s="178" t="e">
        <f ca="1">_xll.qlMakeCapFloor(,$I$47,$AE61,"eo3mproj",AF$47,"6m",$AG$95)</f>
        <v>#VALUE!</v>
      </c>
      <c r="AG61" s="178" t="e">
        <f ca="1">_xll.qlMakeCapFloor(,$I$47,$AE61,"eo3mproj",AG$47,"0d",$AG$95)</f>
        <v>#VALUE!</v>
      </c>
      <c r="AH61" s="178" t="e">
        <f ca="1">_xll.qlMakeCapFloor(,$I$47,$AE61,"eo3mproj",AH$47,"0d",$AG$95)</f>
        <v>#VALUE!</v>
      </c>
      <c r="AI61" s="178" t="e">
        <f ca="1">_xll.qlMakeCapFloor(,$I$47,$AE61,"eo3mproj",AI$47,"0d",$AG$95)</f>
        <v>#VALUE!</v>
      </c>
      <c r="AJ61" s="178" t="e">
        <f ca="1">_xll.qlMakeCapFloor(,$I$47,$AE61,"eo3mproj",AJ$47,"0d",$AG$95)</f>
        <v>#VALUE!</v>
      </c>
      <c r="AK61" s="178" t="e">
        <f ca="1">_xll.qlMakeCapFloor(,$I$47,$AE61,"eo3mproj",AK$47,"0d",$AG$95)</f>
        <v>#VALUE!</v>
      </c>
      <c r="AL61" s="178" t="e">
        <f ca="1">_xll.qlMakeCapFloor(,$I$47,$AE61,"eo3mproj",AL$47,"0d",$AG$95)</f>
        <v>#VALUE!</v>
      </c>
      <c r="AM61" s="178" t="e">
        <f ca="1">_xll.qlMakeCapFloor(,$I$47,$AE61,"eo3mproj",AM$47,"0d",$AG$95)</f>
        <v>#VALUE!</v>
      </c>
      <c r="AN61" s="178" t="e">
        <f ca="1">_xll.qlMakeCapFloor(,$I$47,$AE61,"eo3mproj",AN$47,"0d",$AG$95)</f>
        <v>#VALUE!</v>
      </c>
      <c r="AO61" s="178" t="e">
        <f ca="1">_xll.qlMakeCapFloor(,$I$47,$AE61,"eo3mproj",AO$47,"0d",$AG$95)</f>
        <v>#VALUE!</v>
      </c>
      <c r="AP61" s="178" t="e">
        <f ca="1">_xll.qlMakeCapFloor(,$I$47,$AE61,"eo3mproj",AP$47,"0d",$AG$95)</f>
        <v>#VALUE!</v>
      </c>
      <c r="AQ61" s="178" t="e">
        <f ca="1">_xll.qlMakeCapFloor(,$I$47,$AE61,"eo3mproj",AQ$47,"0d",$AG$95)</f>
        <v>#VALUE!</v>
      </c>
      <c r="AR61" s="178" t="e">
        <f ca="1">_xll.qlMakeCapFloor(,$I$47,$AE61,"eo3mproj",AR$47,"0d",$AG$95)</f>
        <v>#VALUE!</v>
      </c>
      <c r="AX61" s="102"/>
      <c r="BD61" s="110"/>
    </row>
    <row r="62" spans="1:56" ht="12" thickBot="1" x14ac:dyDescent="0.25">
      <c r="J62" t="s">
        <v>284</v>
      </c>
      <c r="K62" t="s">
        <v>109</v>
      </c>
      <c r="L62" s="204" t="e">
        <f ca="1">_xll.qlInstrumentNPV(L86)*10000</f>
        <v>#VALUE!</v>
      </c>
      <c r="M62" s="204" t="e">
        <f ca="1">_xll.qlInstrumentNPV(M86)*10000</f>
        <v>#VALUE!</v>
      </c>
      <c r="N62" s="204" t="e">
        <f ca="1">_xll.qlInstrumentNPV(N86)*10000</f>
        <v>#VALUE!</v>
      </c>
      <c r="O62" s="204" t="e">
        <f ca="1">_xll.qlInstrumentNPV(O86)*10000</f>
        <v>#VALUE!</v>
      </c>
      <c r="P62" s="204" t="e">
        <f ca="1">_xll.qlInstrumentNPV(P86)*10000</f>
        <v>#VALUE!</v>
      </c>
      <c r="Q62" s="204" t="e">
        <f ca="1">_xll.qlInstrumentNPV(Q86)*10000</f>
        <v>#VALUE!</v>
      </c>
      <c r="R62" s="204" t="e">
        <f ca="1">_xll.qlInstrumentNPV(R86)*10000</f>
        <v>#VALUE!</v>
      </c>
      <c r="S62" s="204" t="e">
        <f ca="1">_xll.qlInstrumentNPV(S86)*10000</f>
        <v>#VALUE!</v>
      </c>
      <c r="T62" s="204" t="e">
        <f ca="1">_xll.qlInstrumentNPV(T86)*10000</f>
        <v>#VALUE!</v>
      </c>
      <c r="U62" s="204" t="e">
        <f ca="1">_xll.qlInstrumentNPV(U86)*10000</f>
        <v>#VALUE!</v>
      </c>
      <c r="V62" s="204" t="e">
        <f ca="1">_xll.qlInstrumentNPV(V86)*10000</f>
        <v>#VALUE!</v>
      </c>
      <c r="W62" s="204" t="e">
        <f ca="1">_xll.qlInstrumentNPV(W86)*10000</f>
        <v>#VALUE!</v>
      </c>
      <c r="X62" s="204" t="e">
        <f ca="1">_xll.qlInstrumentNPV(X86)*10000</f>
        <v>#VALUE!</v>
      </c>
      <c r="Z62" s="110" t="e">
        <f ca="1">_xll.qlCapFloorAtmRate(R86,"eonia")</f>
        <v>#VALUE!</v>
      </c>
      <c r="AB62" s="13"/>
      <c r="AD62" t="s">
        <v>284</v>
      </c>
      <c r="AE62" s="105" t="s">
        <v>1506</v>
      </c>
      <c r="AF62" s="178" t="e">
        <f ca="1">_xll.qlMakeCapFloor(,$I$47,$AE62,"eo3mproj",AF$47,"0d",$AG$95)</f>
        <v>#VALUE!</v>
      </c>
      <c r="AG62" s="178" t="e">
        <f ca="1">_xll.qlMakeCapFloor(,$I$47,$AE62,"eo3mproj",AG$47,"0d",$AG$95)</f>
        <v>#VALUE!</v>
      </c>
      <c r="AH62" s="178" t="e">
        <f ca="1">_xll.qlMakeCapFloor(,$I$47,$AE62,"eo3mproj",AH$47,"0d",$AG$95)</f>
        <v>#VALUE!</v>
      </c>
      <c r="AI62" s="178" t="e">
        <f ca="1">_xll.qlMakeCapFloor(,$I$47,$AE62,"eo3mproj",AI$47,"0d",$AG$95)</f>
        <v>#VALUE!</v>
      </c>
      <c r="AJ62" s="178" t="e">
        <f ca="1">_xll.qlMakeCapFloor(,$I$47,$AE62,"eo3mproj",AJ$47,"0d",$AG$95)</f>
        <v>#VALUE!</v>
      </c>
      <c r="AK62" s="178" t="e">
        <f ca="1">_xll.qlMakeCapFloor(,$I$47,$AE62,"eo3mproj",AK$47,"0d",$AG$95)</f>
        <v>#VALUE!</v>
      </c>
      <c r="AL62" s="178" t="e">
        <f ca="1">_xll.qlMakeCapFloor(,$I$47,$AE62,"eo3mproj",AL$47,"0d",$AG$95)</f>
        <v>#VALUE!</v>
      </c>
      <c r="AM62" s="178" t="e">
        <f ca="1">_xll.qlMakeCapFloor(,$I$47,$AE62,"eo3mproj",AM$47,"0d",$AG$95)</f>
        <v>#VALUE!</v>
      </c>
      <c r="AN62" s="178" t="e">
        <f ca="1">_xll.qlMakeCapFloor(,$I$47,$AE62,"eo3mproj",AN$47,"0d",$AG$95)</f>
        <v>#VALUE!</v>
      </c>
      <c r="AO62" s="178" t="e">
        <f ca="1">_xll.qlMakeCapFloor(,$I$47,$AE62,"eo3mproj",AO$47,"0d",$AG$95)</f>
        <v>#VALUE!</v>
      </c>
      <c r="AP62" s="178" t="e">
        <f ca="1">_xll.qlMakeCapFloor(,$I$47,$AE62,"eo3mproj",AP$47,"0d",$AG$95)</f>
        <v>#VALUE!</v>
      </c>
      <c r="AQ62" s="178" t="e">
        <f ca="1">_xll.qlMakeCapFloor(,$I$47,$AE62,"eo3mproj",AQ$47,"0d",$AG$95)</f>
        <v>#VALUE!</v>
      </c>
      <c r="AR62" s="178" t="e">
        <f ca="1">_xll.qlMakeCapFloor(,$I$47,$AE62,"eo3mproj",AR$47,"0d",$AG$95)</f>
        <v>#VALUE!</v>
      </c>
      <c r="AX62" s="102"/>
      <c r="BD62" s="110"/>
    </row>
    <row r="63" spans="1:56" x14ac:dyDescent="0.2">
      <c r="J63" t="s">
        <v>284</v>
      </c>
      <c r="K63" t="s">
        <v>110</v>
      </c>
      <c r="L63" s="204" t="e">
        <f ca="1">_xll.qlInstrumentNPV(L87)*10000</f>
        <v>#VALUE!</v>
      </c>
      <c r="M63" s="204" t="e">
        <f ca="1">_xll.qlInstrumentNPV(M87)*10000</f>
        <v>#VALUE!</v>
      </c>
      <c r="N63" s="204" t="e">
        <f ca="1">_xll.qlInstrumentNPV(N87)*10000</f>
        <v>#VALUE!</v>
      </c>
      <c r="O63" s="204" t="e">
        <f ca="1">_xll.qlInstrumentNPV(O87)*10000</f>
        <v>#VALUE!</v>
      </c>
      <c r="P63" s="204" t="e">
        <f ca="1">_xll.qlInstrumentNPV(P87)*10000</f>
        <v>#VALUE!</v>
      </c>
      <c r="Q63" s="204" t="e">
        <f ca="1">_xll.qlInstrumentNPV(Q87)*10000</f>
        <v>#VALUE!</v>
      </c>
      <c r="R63" s="204" t="e">
        <f ca="1">_xll.qlInstrumentNPV(R87)*10000</f>
        <v>#VALUE!</v>
      </c>
      <c r="S63" s="204" t="e">
        <f ca="1">_xll.qlInstrumentNPV(S87)*10000</f>
        <v>#VALUE!</v>
      </c>
      <c r="T63" s="204" t="e">
        <f ca="1">_xll.qlInstrumentNPV(T87)*10000</f>
        <v>#VALUE!</v>
      </c>
      <c r="U63" s="204" t="e">
        <f ca="1">_xll.qlInstrumentNPV(U87)*10000</f>
        <v>#VALUE!</v>
      </c>
      <c r="V63" s="204" t="e">
        <f ca="1">_xll.qlInstrumentNPV(V87)*10000</f>
        <v>#VALUE!</v>
      </c>
      <c r="W63" s="204" t="e">
        <f ca="1">_xll.qlInstrumentNPV(W87)*10000</f>
        <v>#VALUE!</v>
      </c>
      <c r="X63" s="204" t="e">
        <f ca="1">_xll.qlInstrumentNPV(X87)*10000</f>
        <v>#VALUE!</v>
      </c>
      <c r="Z63" s="110" t="e">
        <f ca="1">_xll.qlCapFloorAtmRate(R87,"eonia")</f>
        <v>#VALUE!</v>
      </c>
      <c r="AB63" s="13"/>
      <c r="AD63" t="s">
        <v>284</v>
      </c>
      <c r="AE63" t="s">
        <v>157</v>
      </c>
      <c r="AF63" s="178" t="e">
        <f ca="1">_xll.qlMakeCapFloor(,$I$47,$AE63,"eo3mproj",AF$47,"0d",$AG$95)</f>
        <v>#VALUE!</v>
      </c>
      <c r="AG63" s="178" t="e">
        <f ca="1">_xll.qlMakeCapFloor(,$I$47,$AE63,"eo3mproj",AG$47,"0d",$AG$95)</f>
        <v>#VALUE!</v>
      </c>
      <c r="AH63" s="178" t="e">
        <f ca="1">_xll.qlMakeCapFloor(,$I$47,$AE63,"eo3mproj",AH$47,"0d",$AG$95)</f>
        <v>#VALUE!</v>
      </c>
      <c r="AI63" s="178" t="e">
        <f ca="1">_xll.qlMakeCapFloor(,$I$47,$AE63,"eo3mproj",AI$47,"0d",$AG$95)</f>
        <v>#VALUE!</v>
      </c>
      <c r="AJ63" s="178" t="e">
        <f ca="1">_xll.qlMakeCapFloor(,$I$47,$AE63,"eo3mproj",AJ$47,"0d",$AG$95)</f>
        <v>#VALUE!</v>
      </c>
      <c r="AK63" s="178" t="e">
        <f ca="1">_xll.qlMakeCapFloor(,$I$47,$AE63,"eo3mproj",AK$47,"0d",$AG$95)</f>
        <v>#VALUE!</v>
      </c>
      <c r="AL63" s="178" t="e">
        <f ca="1">_xll.qlMakeCapFloor(,$I$47,$AE63,"eo3mproj",AL$47,"0d",$AG$95)</f>
        <v>#VALUE!</v>
      </c>
      <c r="AM63" s="178" t="e">
        <f ca="1">_xll.qlMakeCapFloor(,$I$47,$AE63,"eo3mproj",AM$47,"0d",$AG$95)</f>
        <v>#VALUE!</v>
      </c>
      <c r="AN63" s="178" t="e">
        <f ca="1">_xll.qlMakeCapFloor(,$I$47,$AE63,"eo3mproj",AN$47,"0d",$AG$95)</f>
        <v>#VALUE!</v>
      </c>
      <c r="AO63" s="178" t="e">
        <f ca="1">_xll.qlMakeCapFloor(,$I$47,$AE63,"eo3mproj",AO$47,"0d",$AG$95)</f>
        <v>#VALUE!</v>
      </c>
      <c r="AP63" s="178" t="e">
        <f ca="1">_xll.qlMakeCapFloor(,$I$47,$AE63,"eo3mproj",AP$47,"0d",$AG$95)</f>
        <v>#VALUE!</v>
      </c>
      <c r="AQ63" s="178" t="e">
        <f ca="1">_xll.qlMakeCapFloor(,$I$47,$AE63,"eo3mproj",AQ$47,"0d",$AG$95)</f>
        <v>#VALUE!</v>
      </c>
      <c r="AR63" s="178" t="e">
        <f ca="1">_xll.qlMakeCapFloor(,$I$47,$AE63,"eo3mproj",AR$47,"0d",$AG$95)</f>
        <v>#VALUE!</v>
      </c>
      <c r="AX63" s="102"/>
      <c r="BD63" s="110"/>
    </row>
    <row r="64" spans="1:56" x14ac:dyDescent="0.2">
      <c r="AB64" s="13"/>
      <c r="AX64" s="102"/>
      <c r="BD64" s="110"/>
    </row>
    <row r="66" spans="8:56" x14ac:dyDescent="0.2">
      <c r="I66" s="105" t="s">
        <v>853</v>
      </c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AE66" t="s">
        <v>25</v>
      </c>
      <c r="AF66" s="2">
        <f ca="1">AF$47+$AT29/10000</f>
        <v>-9.2064919542523098E-3</v>
      </c>
      <c r="AG66" s="2">
        <f t="shared" ref="AG66:AR66" ca="1" si="39">AG$47+$AT29/10000</f>
        <v>-6.7064919542523102E-3</v>
      </c>
      <c r="AH66" s="2">
        <f t="shared" ca="1" si="39"/>
        <v>-4.2064919542523106E-3</v>
      </c>
      <c r="AI66" s="2">
        <f t="shared" ca="1" si="39"/>
        <v>-2.9564919542523103E-3</v>
      </c>
      <c r="AJ66" s="2">
        <f t="shared" ca="1" si="39"/>
        <v>-1.7064919542523101E-3</v>
      </c>
      <c r="AK66" s="2">
        <f t="shared" ca="1" si="39"/>
        <v>7.9350804574768998E-4</v>
      </c>
      <c r="AL66" s="2">
        <f t="shared" ca="1" si="39"/>
        <v>3.29350804574769E-3</v>
      </c>
      <c r="AM66" s="2">
        <f t="shared" ca="1" si="39"/>
        <v>8.2935080457476901E-3</v>
      </c>
      <c r="AN66" s="2">
        <f t="shared" ca="1" si="39"/>
        <v>1.3293508045747689E-2</v>
      </c>
      <c r="AO66" s="2">
        <f t="shared" ca="1" si="39"/>
        <v>1.829350804574769E-2</v>
      </c>
      <c r="AP66" s="2">
        <f t="shared" ca="1" si="39"/>
        <v>2.8293508045747689E-2</v>
      </c>
      <c r="AQ66" s="2">
        <f t="shared" ca="1" si="39"/>
        <v>4.8293508045747696E-2</v>
      </c>
      <c r="AR66" s="2">
        <f t="shared" ca="1" si="39"/>
        <v>9.8293508045747699E-2</v>
      </c>
    </row>
    <row r="67" spans="8:56" x14ac:dyDescent="0.2">
      <c r="L67" t="e">
        <f ca="1">_xll.qlBachelierCapFloorEngine(,"eonia",$B$41,)</f>
        <v>#VALUE!</v>
      </c>
      <c r="AE67" s="105" t="s">
        <v>1506</v>
      </c>
      <c r="AF67" s="2">
        <f t="shared" ref="AF67:AR68" ca="1" si="40">AF$47+$AT30/10000</f>
        <v>-8.8725731600982141E-3</v>
      </c>
      <c r="AG67" s="2">
        <f t="shared" ca="1" si="40"/>
        <v>-6.3725731600982145E-3</v>
      </c>
      <c r="AH67" s="2">
        <f t="shared" ca="1" si="40"/>
        <v>-3.872573160098214E-3</v>
      </c>
      <c r="AI67" s="2">
        <f t="shared" ca="1" si="40"/>
        <v>-2.6225731600982142E-3</v>
      </c>
      <c r="AJ67" s="2">
        <f t="shared" ca="1" si="40"/>
        <v>-1.3725731600982142E-3</v>
      </c>
      <c r="AK67" s="2">
        <f t="shared" ca="1" si="40"/>
        <v>1.1274268399017859E-3</v>
      </c>
      <c r="AL67" s="2">
        <f t="shared" ca="1" si="40"/>
        <v>3.6274268399017857E-3</v>
      </c>
      <c r="AM67" s="2">
        <f t="shared" ca="1" si="40"/>
        <v>8.6274268399017858E-3</v>
      </c>
      <c r="AN67" s="2">
        <f t="shared" ca="1" si="40"/>
        <v>1.3627426839901785E-2</v>
      </c>
      <c r="AO67" s="2">
        <f t="shared" ca="1" si="40"/>
        <v>1.8627426839901786E-2</v>
      </c>
      <c r="AP67" s="2">
        <f t="shared" ca="1" si="40"/>
        <v>2.8627426839901784E-2</v>
      </c>
      <c r="AQ67" s="2">
        <f t="shared" ca="1" si="40"/>
        <v>4.8627426839901788E-2</v>
      </c>
      <c r="AR67" s="2">
        <f t="shared" ca="1" si="40"/>
        <v>9.8627426839901791E-2</v>
      </c>
    </row>
    <row r="68" spans="8:56" x14ac:dyDescent="0.2">
      <c r="K68" s="105"/>
      <c r="L68" t="e">
        <f ca="1">_xll.qlBachelierCapFloorEngine(,"eonia",$F$41,)</f>
        <v>#VALUE!</v>
      </c>
      <c r="AE68" t="s">
        <v>157</v>
      </c>
      <c r="AF68" s="2">
        <f t="shared" ca="1" si="40"/>
        <v>-8.8421451307897515E-3</v>
      </c>
      <c r="AG68" s="2">
        <f t="shared" ca="1" si="40"/>
        <v>-6.3421451307897518E-3</v>
      </c>
      <c r="AH68" s="2">
        <f t="shared" ca="1" si="40"/>
        <v>-3.8421451307897514E-3</v>
      </c>
      <c r="AI68" s="2">
        <f t="shared" ca="1" si="40"/>
        <v>-2.5921451307897516E-3</v>
      </c>
      <c r="AJ68" s="2">
        <f t="shared" ca="1" si="40"/>
        <v>-1.3421451307897515E-3</v>
      </c>
      <c r="AK68" s="2">
        <f t="shared" ca="1" si="40"/>
        <v>1.1578548692102485E-3</v>
      </c>
      <c r="AL68" s="2">
        <f t="shared" ca="1" si="40"/>
        <v>3.6578548692102484E-3</v>
      </c>
      <c r="AM68" s="2">
        <f t="shared" ca="1" si="40"/>
        <v>8.6578548692102485E-3</v>
      </c>
      <c r="AN68" s="2">
        <f t="shared" ca="1" si="40"/>
        <v>1.3657854869210248E-2</v>
      </c>
      <c r="AO68" s="2">
        <f t="shared" ca="1" si="40"/>
        <v>1.865785486921025E-2</v>
      </c>
      <c r="AP68" s="2">
        <f t="shared" ca="1" si="40"/>
        <v>2.8657854869210249E-2</v>
      </c>
      <c r="AQ68" s="2">
        <f t="shared" ca="1" si="40"/>
        <v>4.8657854869210253E-2</v>
      </c>
      <c r="AR68" s="2">
        <f t="shared" ca="1" si="40"/>
        <v>9.8657854869210249E-2</v>
      </c>
    </row>
    <row r="69" spans="8:56" ht="12" thickBot="1" x14ac:dyDescent="0.25"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</row>
    <row r="70" spans="8:56" ht="12" thickBot="1" x14ac:dyDescent="0.25">
      <c r="L70" s="4" t="s">
        <v>45</v>
      </c>
      <c r="AD70" t="s">
        <v>25</v>
      </c>
      <c r="AE70" s="105" t="s">
        <v>38</v>
      </c>
      <c r="AF70" s="178" t="str">
        <f ca="1">_xll.qlMakeCapFloor(,$I$47,$AE70,"eo3mproj",AF66,"0d",AF95)</f>
        <v>obj_0028c#0023</v>
      </c>
      <c r="AG70" s="178" t="e">
        <f ca="1">_xll.qlMakeCapFloor(,$I$47,$AE70,"eo3mproj",AG66,"0d",$AG$95)</f>
        <v>#VALUE!</v>
      </c>
      <c r="AH70" s="178" t="e">
        <f ca="1">_xll.qlMakeCapFloor(,$I$47,$AE70,"eo3mproj",AH66,"0d",$AG$95)</f>
        <v>#VALUE!</v>
      </c>
      <c r="AI70" s="178" t="e">
        <f ca="1">_xll.qlMakeCapFloor(,$I$47,$AE70,"eo3mproj",AI66,"0d",$AG$95)</f>
        <v>#VALUE!</v>
      </c>
      <c r="AJ70" s="178" t="e">
        <f ca="1">_xll.qlMakeCapFloor(,$I$47,$AE70,"eo3mproj",AJ66,"0d",$AG$95)</f>
        <v>#VALUE!</v>
      </c>
      <c r="AK70" s="178" t="e">
        <f ca="1">_xll.qlMakeCapFloor(,$I$47,$AE70,"eo3mproj",AK66,"0d",$AG$95)</f>
        <v>#VALUE!</v>
      </c>
      <c r="AL70" s="178" t="e">
        <f ca="1">_xll.qlMakeCapFloor(,$I$47,$AE70,"eo3mproj",AL66,"0d",$AG$95)</f>
        <v>#VALUE!</v>
      </c>
      <c r="AM70" s="178" t="e">
        <f ca="1">_xll.qlMakeCapFloor(,$I$47,$AE70,"eo3mproj",AM66,"0d",$AG$95)</f>
        <v>#VALUE!</v>
      </c>
      <c r="AN70" s="178" t="e">
        <f ca="1">_xll.qlMakeCapFloor(,$I$47,$AE70,"eo3mproj",AN66,"0d",$AG$95)</f>
        <v>#VALUE!</v>
      </c>
      <c r="AO70" s="178" t="e">
        <f ca="1">_xll.qlMakeCapFloor(,$I$47,$AE70,"eo3mproj",AO66,"0d",$AG$95)</f>
        <v>#VALUE!</v>
      </c>
      <c r="AP70" s="178" t="e">
        <f ca="1">_xll.qlMakeCapFloor(,$I$47,$AE70,"eo3mproj",AP66,"0d",$AG$95)</f>
        <v>#VALUE!</v>
      </c>
      <c r="AQ70" s="178" t="e">
        <f ca="1">_xll.qlMakeCapFloor(,$I$47,$AE70,"eo3mproj",AQ66,"0d",$AG$95)</f>
        <v>#VALUE!</v>
      </c>
      <c r="AR70" s="178" t="e">
        <f ca="1">_xll.qlMakeCapFloor(,$I$47,$AE70,"eo3mproj",AR66,"0d",$AG$95)</f>
        <v>#VALUE!</v>
      </c>
      <c r="AV70" t="e">
        <f t="array" aca="1" ref="AV70:BD74" ca="1">_xll.qlCapFloorLegAnalysis(AK70)</f>
        <v>#VALUE!</v>
      </c>
      <c r="AW70" t="e">
        <f ca="1"/>
        <v>#VALUE!</v>
      </c>
      <c r="AX70" t="e">
        <f ca="1"/>
        <v>#VALUE!</v>
      </c>
      <c r="AY70" t="e">
        <f ca="1"/>
        <v>#VALUE!</v>
      </c>
      <c r="AZ70" t="e">
        <f ca="1"/>
        <v>#VALUE!</v>
      </c>
      <c r="BA70" t="e">
        <f ca="1"/>
        <v>#VALUE!</v>
      </c>
      <c r="BB70" t="e">
        <f ca="1"/>
        <v>#VALUE!</v>
      </c>
      <c r="BC70" t="e">
        <f ca="1"/>
        <v>#VALUE!</v>
      </c>
      <c r="BD70" t="e">
        <f ca="1"/>
        <v>#VALUE!</v>
      </c>
    </row>
    <row r="71" spans="8:56" ht="12" thickBot="1" x14ac:dyDescent="0.25">
      <c r="L71" s="13">
        <v>-7.4999999999999997E-3</v>
      </c>
      <c r="M71" s="13">
        <v>-5.0000000000000001E-3</v>
      </c>
      <c r="N71" s="13">
        <v>-2.5000000000000001E-3</v>
      </c>
      <c r="O71" s="13">
        <v>-1.25E-3</v>
      </c>
      <c r="P71" s="13">
        <v>0</v>
      </c>
      <c r="Q71" s="13">
        <v>2.5000000000000001E-3</v>
      </c>
      <c r="R71" s="13">
        <v>5.0000000000000001E-3</v>
      </c>
      <c r="S71" s="13">
        <v>0.01</v>
      </c>
      <c r="T71" s="13">
        <v>1.4999999999999999E-2</v>
      </c>
      <c r="U71" s="13">
        <v>0.02</v>
      </c>
      <c r="V71" s="13">
        <v>0.03</v>
      </c>
      <c r="W71" s="13">
        <v>0.05</v>
      </c>
      <c r="X71" s="13">
        <v>0.1</v>
      </c>
      <c r="AD71" s="105" t="s">
        <v>1506</v>
      </c>
      <c r="AE71" s="105" t="s">
        <v>25</v>
      </c>
      <c r="AF71" s="178" t="str">
        <f ca="1">_xll.qlMakeCapFloor(,$I$47,$AE71,"eo3mproj",AF67,"0d",AF96)</f>
        <v>obj_00292#0024</v>
      </c>
      <c r="AG71" s="178" t="e">
        <f ca="1">_xll.qlMakeCapFloor(,$I$47,$AE71,"eo3mproj",AG67,"0d",$AG$95)</f>
        <v>#VALUE!</v>
      </c>
      <c r="AH71" s="178" t="e">
        <f ca="1">_xll.qlMakeCapFloor(,$I$47,$AE71,"eo3mproj",AH67,"0d",$AG$95)</f>
        <v>#VALUE!</v>
      </c>
      <c r="AI71" s="178" t="e">
        <f ca="1">_xll.qlMakeCapFloor(,$I$47,$AE71,"eo3mproj",AI67,"0d",$AG$95)</f>
        <v>#VALUE!</v>
      </c>
      <c r="AJ71" s="178" t="e">
        <f ca="1">_xll.qlMakeCapFloor(,$I$47,$AE71,"eo3mproj",AJ67,"0d",$AG$95)</f>
        <v>#VALUE!</v>
      </c>
      <c r="AK71" s="178" t="e">
        <f ca="1">_xll.qlMakeCapFloor(,$I$47,$AE71,"eo3mproj",AK67,"0d",$AG$95)</f>
        <v>#VALUE!</v>
      </c>
      <c r="AL71" s="178" t="e">
        <f ca="1">_xll.qlMakeCapFloor(,$I$47,$AE71,"eo3mproj",AL67,"0d",$AG$95)</f>
        <v>#VALUE!</v>
      </c>
      <c r="AM71" s="178" t="e">
        <f ca="1">_xll.qlMakeCapFloor(,$I$47,$AE71,"eo3mproj",AM67,"0d",$AG$95)</f>
        <v>#VALUE!</v>
      </c>
      <c r="AN71" s="178" t="e">
        <f ca="1">_xll.qlMakeCapFloor(,$I$47,$AE71,"eo3mproj",AN67,"0d",$AG$95)</f>
        <v>#VALUE!</v>
      </c>
      <c r="AO71" s="178" t="e">
        <f ca="1">_xll.qlMakeCapFloor(,$I$47,$AE71,"eo3mproj",AO67,"0d",$AG$95)</f>
        <v>#VALUE!</v>
      </c>
      <c r="AP71" s="178" t="e">
        <f ca="1">_xll.qlMakeCapFloor(,$I$47,$AE71,"eo3mproj",AP67,"0d",$AG$95)</f>
        <v>#VALUE!</v>
      </c>
      <c r="AQ71" s="178" t="e">
        <f ca="1">_xll.qlMakeCapFloor(,$I$47,$AE71,"eo3mproj",AQ67,"0d",$AG$95)</f>
        <v>#VALUE!</v>
      </c>
      <c r="AR71" s="178" t="e">
        <f ca="1">_xll.qlMakeCapFloor(,$I$47,$AE71,"eo3mproj",AR67,"0d",$AG$95)</f>
        <v>#VALUE!</v>
      </c>
      <c r="AV71" s="205" t="e">
        <f ca="1"/>
        <v>#VALUE!</v>
      </c>
      <c r="AW71" t="e">
        <f ca="1"/>
        <v>#VALUE!</v>
      </c>
      <c r="AX71" t="e">
        <f ca="1"/>
        <v>#VALUE!</v>
      </c>
      <c r="AY71" s="205" t="e">
        <f ca="1"/>
        <v>#VALUE!</v>
      </c>
      <c r="AZ71" s="205" t="e">
        <f ca="1"/>
        <v>#VALUE!</v>
      </c>
      <c r="BA71" t="e">
        <f ca="1"/>
        <v>#VALUE!</v>
      </c>
      <c r="BB71" t="e">
        <f ca="1"/>
        <v>#VALUE!</v>
      </c>
      <c r="BC71" t="e">
        <f ca="1"/>
        <v>#VALUE!</v>
      </c>
      <c r="BD71" s="205" t="e">
        <f ca="1"/>
        <v>#VALUE!</v>
      </c>
    </row>
    <row r="72" spans="8:56" ht="12" thickBot="1" x14ac:dyDescent="0.25">
      <c r="L72" s="10" t="e">
        <f ca="1">_xll.qlMakeCapFloor(,$I$47,$K29,"eo6mproj",L$47,"0d",$L$68)</f>
        <v>#VALUE!</v>
      </c>
      <c r="M72" s="10" t="e">
        <f ca="1">_xll.qlMakeCapFloor(,$I$47,$K29,"eo6mproj",M$47,"0d",$L$68)</f>
        <v>#VALUE!</v>
      </c>
      <c r="N72" s="10" t="e">
        <f ca="1">_xll.qlMakeCapFloor(,$I$47,$K29,"eo6mproj",N$47,"0d",$L$68)</f>
        <v>#VALUE!</v>
      </c>
      <c r="O72" s="10" t="e">
        <f ca="1">_xll.qlMakeCapFloor(,$I$47,$K29,"eo6mproj",O$47,"0d",$L$68)</f>
        <v>#VALUE!</v>
      </c>
      <c r="P72" s="10" t="e">
        <f ca="1">_xll.qlMakeCapFloor(,$I$47,$K29,"eo6mproj",P$47,"0d",$L$68)</f>
        <v>#VALUE!</v>
      </c>
      <c r="Q72" s="10" t="e">
        <f ca="1">_xll.qlMakeCapFloor(,$I$47,$K29,"eo6mproj",Q$47,"0d",$L$68)</f>
        <v>#VALUE!</v>
      </c>
      <c r="R72" s="10" t="e">
        <f ca="1">_xll.qlMakeCapFloor(,$I$47,$K29,"eo6mproj",R$47,"0d",$L$68)</f>
        <v>#VALUE!</v>
      </c>
      <c r="S72" s="10" t="e">
        <f ca="1">_xll.qlMakeCapFloor(,$I$47,$K29,"eo6mproj",S$47,"0d",$L$68)</f>
        <v>#VALUE!</v>
      </c>
      <c r="T72" s="10" t="e">
        <f ca="1">_xll.qlMakeCapFloor(,$I$47,$K29,"eo6mproj",T$47,"0d",$L$68)</f>
        <v>#VALUE!</v>
      </c>
      <c r="U72" s="10" t="e">
        <f ca="1">_xll.qlMakeCapFloor(,$I$47,$K29,"eo6mproj",U$47,"0d",$L$68)</f>
        <v>#VALUE!</v>
      </c>
      <c r="V72" s="10" t="e">
        <f ca="1">_xll.qlMakeCapFloor(,$I$47,$K29,"eo6mproj",V$47,"0d",$L$68)</f>
        <v>#VALUE!</v>
      </c>
      <c r="W72" s="10" t="e">
        <f ca="1">_xll.qlMakeCapFloor(,$I$47,$K29,"eo6mproj",W$47,"0d",$L$68)</f>
        <v>#VALUE!</v>
      </c>
      <c r="X72" s="10" t="e">
        <f ca="1">_xll.qlMakeCapFloor(,$I$47,$K29,"eo6mproj",X$47,"0d",$L$68)</f>
        <v>#VALUE!</v>
      </c>
      <c r="AD72" t="s">
        <v>157</v>
      </c>
      <c r="AE72" s="105" t="s">
        <v>1506</v>
      </c>
      <c r="AF72" s="178" t="str">
        <f ca="1">_xll.qlMakeCapFloor(,$I$47,$AE72,"eo3mproj",AF68,"0d",AF97)</f>
        <v>obj_0028f#0025</v>
      </c>
      <c r="AG72" s="178" t="e">
        <f ca="1">_xll.qlMakeCapFloor(,$I$47,$AE72,"eo3mproj",AG68,"0d",$AG$95)</f>
        <v>#VALUE!</v>
      </c>
      <c r="AH72" s="178" t="e">
        <f ca="1">_xll.qlMakeCapFloor(,$I$47,$AE72,"eo3mproj",AH68,"0d",$AG$95)</f>
        <v>#VALUE!</v>
      </c>
      <c r="AI72" s="178" t="e">
        <f ca="1">_xll.qlMakeCapFloor(,$I$47,$AE72,"eo3mproj",AI68,"0d",$AG$95)</f>
        <v>#VALUE!</v>
      </c>
      <c r="AJ72" s="178" t="e">
        <f ca="1">_xll.qlMakeCapFloor(,$I$47,$AE72,"eo3mproj",AJ68,"0d",$AG$95)</f>
        <v>#VALUE!</v>
      </c>
      <c r="AK72" s="178" t="e">
        <f ca="1">_xll.qlMakeCapFloor(,$I$47,$AE72,"eo3mproj",AK68,"0d",$AG$95)</f>
        <v>#VALUE!</v>
      </c>
      <c r="AL72" s="178" t="e">
        <f ca="1">_xll.qlMakeCapFloor(,$I$47,$AE72,"eo3mproj",AL68,"0d",$AG$95)</f>
        <v>#VALUE!</v>
      </c>
      <c r="AM72" s="178" t="e">
        <f ca="1">_xll.qlMakeCapFloor(,$I$47,$AE72,"eo3mproj",AM68,"0d",$AG$95)</f>
        <v>#VALUE!</v>
      </c>
      <c r="AN72" s="178" t="e">
        <f ca="1">_xll.qlMakeCapFloor(,$I$47,$AE72,"eo3mproj",AN68,"0d",$AG$95)</f>
        <v>#VALUE!</v>
      </c>
      <c r="AO72" s="178" t="e">
        <f ca="1">_xll.qlMakeCapFloor(,$I$47,$AE72,"eo3mproj",AO68,"0d",$AG$95)</f>
        <v>#VALUE!</v>
      </c>
      <c r="AP72" s="178" t="e">
        <f ca="1">_xll.qlMakeCapFloor(,$I$47,$AE72,"eo3mproj",AP68,"0d",$AG$95)</f>
        <v>#VALUE!</v>
      </c>
      <c r="AQ72" s="178" t="e">
        <f ca="1">_xll.qlMakeCapFloor(,$I$47,$AE72,"eo3mproj",AQ68,"0d",$AG$95)</f>
        <v>#VALUE!</v>
      </c>
      <c r="AR72" s="178" t="e">
        <f ca="1">_xll.qlMakeCapFloor(,$I$47,$AE72,"eo3mproj",AR68,"0d",$AG$95)</f>
        <v>#VALUE!</v>
      </c>
      <c r="AV72" s="205" t="e">
        <f ca="1"/>
        <v>#VALUE!</v>
      </c>
      <c r="AW72" t="e">
        <f ca="1"/>
        <v>#VALUE!</v>
      </c>
      <c r="AX72" t="e">
        <f ca="1"/>
        <v>#VALUE!</v>
      </c>
      <c r="AY72" s="205" t="e">
        <f ca="1"/>
        <v>#VALUE!</v>
      </c>
      <c r="AZ72" s="205" t="e">
        <f ca="1"/>
        <v>#VALUE!</v>
      </c>
      <c r="BA72" t="e">
        <f ca="1"/>
        <v>#VALUE!</v>
      </c>
      <c r="BB72" t="e">
        <f ca="1"/>
        <v>#VALUE!</v>
      </c>
      <c r="BC72" t="e">
        <f ca="1"/>
        <v>#VALUE!</v>
      </c>
      <c r="BD72" s="205" t="e">
        <f ca="1"/>
        <v>#VALUE!</v>
      </c>
    </row>
    <row r="73" spans="8:56" ht="12" thickBot="1" x14ac:dyDescent="0.25">
      <c r="L73" s="10" t="e">
        <f ca="1">_xll.qlMakeCapFloor(,$I$47,$K30,"eo6mproj",L$47,"0d",$L$68)</f>
        <v>#VALUE!</v>
      </c>
      <c r="M73" s="10" t="e">
        <f ca="1">_xll.qlMakeCapFloor(,$I$47,$K30,"eo6mproj",M$47,"0d",$L$68)</f>
        <v>#VALUE!</v>
      </c>
      <c r="N73" s="10" t="e">
        <f ca="1">_xll.qlMakeCapFloor(,$I$47,$K30,"eo6mproj",N$47,"0d",$L$68)</f>
        <v>#VALUE!</v>
      </c>
      <c r="O73" s="10" t="e">
        <f ca="1">_xll.qlMakeCapFloor(,$I$47,$K30,"eo6mproj",O$47,"0d",$L$68)</f>
        <v>#VALUE!</v>
      </c>
      <c r="P73" s="10" t="e">
        <f ca="1">_xll.qlMakeCapFloor(,$I$47,$K30,"eo6mproj",P$47,"0d",$L$68)</f>
        <v>#VALUE!</v>
      </c>
      <c r="Q73" s="10" t="e">
        <f ca="1">_xll.qlMakeCapFloor(,$I$47,$K30,"eo6mproj",Q$47,"0d",$L$68)</f>
        <v>#VALUE!</v>
      </c>
      <c r="R73" s="10" t="e">
        <f ca="1">_xll.qlMakeCapFloor(,$I$47,$K30,"eo6mproj",R$47,"0d",$L$68)</f>
        <v>#VALUE!</v>
      </c>
      <c r="S73" s="10" t="e">
        <f ca="1">_xll.qlMakeCapFloor(,$I$47,$K30,"eo6mproj",S$47,"0d",$L$68)</f>
        <v>#VALUE!</v>
      </c>
      <c r="T73" s="10" t="e">
        <f ca="1">_xll.qlMakeCapFloor(,$I$47,$K30,"eo6mproj",T$47,"0d",$L$68)</f>
        <v>#VALUE!</v>
      </c>
      <c r="U73" s="10" t="e">
        <f ca="1">_xll.qlMakeCapFloor(,$I$47,$K30,"eo6mproj",U$47,"0d",$L$68)</f>
        <v>#VALUE!</v>
      </c>
      <c r="V73" s="10" t="e">
        <f ca="1">_xll.qlMakeCapFloor(,$I$47,$K30,"eo6mproj",V$47,"0d",$L$68)</f>
        <v>#VALUE!</v>
      </c>
      <c r="W73" s="10" t="e">
        <f ca="1">_xll.qlMakeCapFloor(,$I$47,$K30,"eo6mproj",W$47,"0d",$L$68)</f>
        <v>#VALUE!</v>
      </c>
      <c r="X73" s="10" t="e">
        <f ca="1">_xll.qlMakeCapFloor(,$I$47,$K30,"eo6mproj",X$47,"0d",$L$68)</f>
        <v>#VALUE!</v>
      </c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V73" t="e">
        <f ca="1"/>
        <v>#VALUE!</v>
      </c>
      <c r="AW73" t="e">
        <f ca="1"/>
        <v>#VALUE!</v>
      </c>
      <c r="AX73" t="e">
        <f ca="1"/>
        <v>#VALUE!</v>
      </c>
      <c r="AY73" t="e">
        <f ca="1"/>
        <v>#VALUE!</v>
      </c>
      <c r="AZ73" t="e">
        <f ca="1"/>
        <v>#VALUE!</v>
      </c>
      <c r="BA73" t="e">
        <f ca="1"/>
        <v>#VALUE!</v>
      </c>
      <c r="BB73" t="e">
        <f ca="1"/>
        <v>#VALUE!</v>
      </c>
      <c r="BC73" t="e">
        <f ca="1"/>
        <v>#VALUE!</v>
      </c>
      <c r="BD73" t="e">
        <f ca="1"/>
        <v>#VALUE!</v>
      </c>
    </row>
    <row r="74" spans="8:56" ht="12" thickBot="1" x14ac:dyDescent="0.25">
      <c r="H74" s="114"/>
      <c r="L74" s="10" t="e">
        <f ca="1">_xll.qlMakeCapFloor(,$I$47,$K31,"eo6mproj",L$47,"0d",$L$68)</f>
        <v>#VALUE!</v>
      </c>
      <c r="M74" s="10" t="e">
        <f ca="1">_xll.qlMakeCapFloor(,$I$47,$K31,"eo6mproj",M$47,"0d",$L$68)</f>
        <v>#VALUE!</v>
      </c>
      <c r="N74" s="10" t="e">
        <f ca="1">_xll.qlMakeCapFloor(,$I$47,$K31,"eo6mproj",N$47,"0d",$L$68)</f>
        <v>#VALUE!</v>
      </c>
      <c r="O74" s="10" t="e">
        <f ca="1">_xll.qlMakeCapFloor(,$I$47,$K31,"eo6mproj",O$47,"0d",$L$68)</f>
        <v>#VALUE!</v>
      </c>
      <c r="P74" s="10" t="e">
        <f ca="1">_xll.qlMakeCapFloor(,$I$47,$K31,"eo6mproj",P$47,"0d",$L$68)</f>
        <v>#VALUE!</v>
      </c>
      <c r="Q74" s="10" t="e">
        <f ca="1">_xll.qlMakeCapFloor(,$I$47,$K31,"eo6mproj",Q$47,"0d",$L$68)</f>
        <v>#VALUE!</v>
      </c>
      <c r="R74" s="10" t="e">
        <f ca="1">_xll.qlMakeCapFloor(,$I$47,$K31,"eo6mproj",R$47,"0d",$L$68)</f>
        <v>#VALUE!</v>
      </c>
      <c r="S74" s="10" t="e">
        <f ca="1">_xll.qlMakeCapFloor(,$I$47,$K31,"eo6mproj",S$47,"0d",$L$68)</f>
        <v>#VALUE!</v>
      </c>
      <c r="T74" s="10" t="e">
        <f ca="1">_xll.qlMakeCapFloor(,$I$47,$K31,"eo6mproj",T$47,"0d",$L$68)</f>
        <v>#VALUE!</v>
      </c>
      <c r="U74" s="10" t="e">
        <f ca="1">_xll.qlMakeCapFloor(,$I$47,$K31,"eo6mproj",U$47,"0d",$L$68)</f>
        <v>#VALUE!</v>
      </c>
      <c r="V74" s="10" t="e">
        <f ca="1">_xll.qlMakeCapFloor(,$I$47,$K31,"eo6mproj",V$47,"0d",$L$68)</f>
        <v>#VALUE!</v>
      </c>
      <c r="W74" s="10" t="e">
        <f ca="1">_xll.qlMakeCapFloor(,$I$47,$K31,"eo6mproj",W$47,"0d",$L$68)</f>
        <v>#VALUE!</v>
      </c>
      <c r="X74" s="10" t="e">
        <f ca="1">_xll.qlMakeCapFloor(,$I$47,$K31,"eo6mproj",X$47,"0d",$L$68)</f>
        <v>#VALUE!</v>
      </c>
      <c r="AV74" t="e">
        <f ca="1"/>
        <v>#VALUE!</v>
      </c>
      <c r="AW74" t="e">
        <f ca="1"/>
        <v>#VALUE!</v>
      </c>
      <c r="AX74" t="e">
        <f ca="1"/>
        <v>#VALUE!</v>
      </c>
      <c r="AY74" t="e">
        <f ca="1"/>
        <v>#VALUE!</v>
      </c>
      <c r="AZ74" t="e">
        <f ca="1"/>
        <v>#VALUE!</v>
      </c>
      <c r="BA74" t="e">
        <f ca="1"/>
        <v>#VALUE!</v>
      </c>
      <c r="BB74" t="e">
        <f ca="1"/>
        <v>#VALUE!</v>
      </c>
      <c r="BC74" t="e">
        <f ca="1"/>
        <v>#VALUE!</v>
      </c>
      <c r="BD74" t="e">
        <f ca="1"/>
        <v>#VALUE!</v>
      </c>
    </row>
    <row r="75" spans="8:56" ht="12" thickBot="1" x14ac:dyDescent="0.25">
      <c r="L75" s="10" t="e">
        <f ca="1">_xll.qlMakeCapFloor(,$I$47,$K32,"eo6mproj",L$47,"0d",$L$68)</f>
        <v>#VALUE!</v>
      </c>
      <c r="M75" s="10" t="e">
        <f ca="1">_xll.qlMakeCapFloor(,$I$47,$K32,"eo6mproj",M$47,"0d",$L$68)</f>
        <v>#VALUE!</v>
      </c>
      <c r="N75" s="10" t="e">
        <f ca="1">_xll.qlMakeCapFloor(,$I$47,$K32,"eo6mproj",N$47,"0d",$L$68)</f>
        <v>#VALUE!</v>
      </c>
      <c r="O75" s="10" t="e">
        <f ca="1">_xll.qlMakeCapFloor(,$I$47,$K32,"eo6mproj",O$47,"0d",$L$68)</f>
        <v>#VALUE!</v>
      </c>
      <c r="P75" s="10" t="e">
        <f ca="1">_xll.qlMakeCapFloor(,$I$47,$K32,"eo6mproj",P$47,"0d",$L$68)</f>
        <v>#VALUE!</v>
      </c>
      <c r="Q75" s="10" t="e">
        <f ca="1">_xll.qlMakeCapFloor(,$I$47,$K32,"eo6mproj",Q$47,"0d",$L$68)</f>
        <v>#VALUE!</v>
      </c>
      <c r="R75" s="10" t="e">
        <f ca="1">_xll.qlMakeCapFloor(,$I$47,$K32,"eo6mproj",R$47,"0d",$L$68)</f>
        <v>#VALUE!</v>
      </c>
      <c r="S75" s="10" t="e">
        <f ca="1">_xll.qlMakeCapFloor(,$I$47,$K32,"eo6mproj",S$47,"0d",$L$68)</f>
        <v>#VALUE!</v>
      </c>
      <c r="T75" s="10" t="e">
        <f ca="1">_xll.qlMakeCapFloor(,$I$47,$K32,"eo6mproj",T$47,"0d",$L$68)</f>
        <v>#VALUE!</v>
      </c>
      <c r="U75" s="10" t="e">
        <f ca="1">_xll.qlMakeCapFloor(,$I$47,$K32,"eo6mproj",U$47,"0d",$L$68)</f>
        <v>#VALUE!</v>
      </c>
      <c r="V75" s="10" t="e">
        <f ca="1">_xll.qlMakeCapFloor(,$I$47,$K32,"eo6mproj",V$47,"0d",$L$68)</f>
        <v>#VALUE!</v>
      </c>
      <c r="W75" s="10" t="e">
        <f ca="1">_xll.qlMakeCapFloor(,$I$47,$K32,"eo6mproj",W$47,"0d",$L$68)</f>
        <v>#VALUE!</v>
      </c>
      <c r="X75" s="10" t="e">
        <f ca="1">_xll.qlMakeCapFloor(,$I$47,$K32,"eo6mproj",X$47,"0d",$L$68)</f>
        <v>#VALUE!</v>
      </c>
    </row>
    <row r="76" spans="8:56" ht="12" thickBot="1" x14ac:dyDescent="0.25">
      <c r="L76" s="10" t="e">
        <f ca="1">_xll.qlMakeCapFloor(,$I$47,$K33,"eo6mproj",L$47,"0d",$L$68)</f>
        <v>#VALUE!</v>
      </c>
      <c r="M76" s="10" t="e">
        <f ca="1">_xll.qlMakeCapFloor(,$I$47,$K33,"eo6mproj",M$47,"0d",$L$68)</f>
        <v>#VALUE!</v>
      </c>
      <c r="N76" s="10" t="e">
        <f ca="1">_xll.qlMakeCapFloor(,$I$47,$K33,"eo6mproj",N$47,"0d",$L$68)</f>
        <v>#VALUE!</v>
      </c>
      <c r="O76" s="10" t="e">
        <f ca="1">_xll.qlMakeCapFloor(,$I$47,$K33,"eo6mproj",O$47,"0d",$L$68)</f>
        <v>#VALUE!</v>
      </c>
      <c r="P76" s="10" t="e">
        <f ca="1">_xll.qlMakeCapFloor(,$I$47,$K33,"eo6mproj",P$47,"0d",$L$68)</f>
        <v>#VALUE!</v>
      </c>
      <c r="Q76" s="10" t="e">
        <f ca="1">_xll.qlMakeCapFloor(,$I$47,$K33,"eo6mproj",Q$47,"0d",$L$68)</f>
        <v>#VALUE!</v>
      </c>
      <c r="R76" s="10" t="e">
        <f ca="1">_xll.qlMakeCapFloor(,$I$47,$K33,"eo6mproj",R$47,"0d",$L$68)</f>
        <v>#VALUE!</v>
      </c>
      <c r="S76" s="10" t="e">
        <f ca="1">_xll.qlMakeCapFloor(,$I$47,$K33,"eo6mproj",S$47,"0d",$L$68)</f>
        <v>#VALUE!</v>
      </c>
      <c r="T76" s="10" t="e">
        <f ca="1">_xll.qlMakeCapFloor(,$I$47,$K33,"eo6mproj",T$47,"0d",$L$68)</f>
        <v>#VALUE!</v>
      </c>
      <c r="U76" s="10" t="e">
        <f ca="1">_xll.qlMakeCapFloor(,$I$47,$K33,"eo6mproj",U$47,"0d",$L$68)</f>
        <v>#VALUE!</v>
      </c>
      <c r="V76" s="10" t="e">
        <f ca="1">_xll.qlMakeCapFloor(,$I$47,$K33,"eo6mproj",V$47,"0d",$L$68)</f>
        <v>#VALUE!</v>
      </c>
      <c r="W76" s="10" t="e">
        <f ca="1">_xll.qlMakeCapFloor(,$I$47,$K33,"eo6mproj",W$47,"0d",$L$68)</f>
        <v>#VALUE!</v>
      </c>
      <c r="X76" s="10" t="e">
        <f ca="1">_xll.qlMakeCapFloor(,$I$47,$K33,"eo6mproj",X$47,"0d",$L$68)</f>
        <v>#VALUE!</v>
      </c>
      <c r="AS76" s="11" t="str">
        <f>_xll.ohRangeRetrieveError(AR76)</f>
        <v/>
      </c>
    </row>
    <row r="77" spans="8:56" ht="12" thickBot="1" x14ac:dyDescent="0.25">
      <c r="L77" s="10" t="e">
        <f ca="1">_xll.qlMakeCapFloor(,$I$47,$K34,"eo6mproj",L$47,"0d",$L$68)</f>
        <v>#VALUE!</v>
      </c>
      <c r="M77" s="10" t="e">
        <f ca="1">_xll.qlMakeCapFloor(,$I$47,$K34,"eo6mproj",M$47,"0d",$L$68)</f>
        <v>#VALUE!</v>
      </c>
      <c r="N77" s="10" t="e">
        <f ca="1">_xll.qlMakeCapFloor(,$I$47,$K34,"eo6mproj",N$47,"0d",$L$68)</f>
        <v>#VALUE!</v>
      </c>
      <c r="O77" s="10" t="e">
        <f ca="1">_xll.qlMakeCapFloor(,$I$47,$K34,"eo6mproj",O$47,"0d",$L$68)</f>
        <v>#VALUE!</v>
      </c>
      <c r="P77" s="10" t="e">
        <f ca="1">_xll.qlMakeCapFloor(,$I$47,$K34,"eo6mproj",P$47,"0d",$L$68)</f>
        <v>#VALUE!</v>
      </c>
      <c r="Q77" s="10" t="e">
        <f ca="1">_xll.qlMakeCapFloor(,$I$47,$K34,"eo6mproj",Q$47,"0d",$L$68)</f>
        <v>#VALUE!</v>
      </c>
      <c r="R77" s="10" t="e">
        <f ca="1">_xll.qlMakeCapFloor(,$I$47,$K34,"eo6mproj",R$47,"0d",$L$68)</f>
        <v>#VALUE!</v>
      </c>
      <c r="S77" s="10" t="e">
        <f ca="1">_xll.qlMakeCapFloor(,$I$47,$K34,"eo6mproj",S$47,"0d",$L$68)</f>
        <v>#VALUE!</v>
      </c>
      <c r="T77" s="10" t="e">
        <f ca="1">_xll.qlMakeCapFloor(,$I$47,$K34,"eo6mproj",T$47,"0d",$L$68)</f>
        <v>#VALUE!</v>
      </c>
      <c r="U77" s="10" t="e">
        <f ca="1">_xll.qlMakeCapFloor(,$I$47,$K34,"eo6mproj",U$47,"0d",$L$68)</f>
        <v>#VALUE!</v>
      </c>
      <c r="V77" s="10" t="e">
        <f ca="1">_xll.qlMakeCapFloor(,$I$47,$K34,"eo6mproj",V$47,"0d",$L$68)</f>
        <v>#VALUE!</v>
      </c>
      <c r="W77" s="10" t="e">
        <f ca="1">_xll.qlMakeCapFloor(,$I$47,$K34,"eo6mproj",W$47,"0d",$L$68)</f>
        <v>#VALUE!</v>
      </c>
      <c r="X77" s="10" t="e">
        <f ca="1">_xll.qlMakeCapFloor(,$I$47,$K34,"eo6mproj",X$47,"0d",$L$68)</f>
        <v>#VALUE!</v>
      </c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</row>
    <row r="78" spans="8:56" ht="12" thickBot="1" x14ac:dyDescent="0.25">
      <c r="L78" s="10" t="e">
        <f ca="1">_xll.qlMakeCapFloor(,$I$47,$K35,"eo6mproj",L$47,"0d",$L$68)</f>
        <v>#VALUE!</v>
      </c>
      <c r="M78" s="10" t="e">
        <f ca="1">_xll.qlMakeCapFloor(,$I$47,$K35,"eo6mproj",M$47,"0d",$L$68)</f>
        <v>#VALUE!</v>
      </c>
      <c r="N78" s="10" t="e">
        <f ca="1">_xll.qlMakeCapFloor(,$I$47,$K35,"eo6mproj",N$47,"0d",$L$68)</f>
        <v>#VALUE!</v>
      </c>
      <c r="O78" s="10" t="e">
        <f ca="1">_xll.qlMakeCapFloor(,$I$47,$K35,"eo6mproj",O$47,"0d",$L$68)</f>
        <v>#VALUE!</v>
      </c>
      <c r="P78" s="10" t="e">
        <f ca="1">_xll.qlMakeCapFloor(,$I$47,$K35,"eo6mproj",P$47,"0d",$L$68)</f>
        <v>#VALUE!</v>
      </c>
      <c r="Q78" s="10" t="e">
        <f ca="1">_xll.qlMakeCapFloor(,$I$47,$K35,"eo6mproj",Q$47,"0d",$L$68)</f>
        <v>#VALUE!</v>
      </c>
      <c r="R78" s="10" t="e">
        <f ca="1">_xll.qlMakeCapFloor(,$I$47,$K35,"eo6mproj",R$47,"0d",$L$68)</f>
        <v>#VALUE!</v>
      </c>
      <c r="S78" s="10" t="e">
        <f ca="1">_xll.qlMakeCapFloor(,$I$47,$K35,"eo6mproj",S$47,"0d",$L$68)</f>
        <v>#VALUE!</v>
      </c>
      <c r="T78" s="10" t="e">
        <f ca="1">_xll.qlMakeCapFloor(,$I$47,$K35,"eo6mproj",T$47,"0d",$L$68)</f>
        <v>#VALUE!</v>
      </c>
      <c r="U78" s="10" t="e">
        <f ca="1">_xll.qlMakeCapFloor(,$I$47,$K35,"eo6mproj",U$47,"0d",$L$68)</f>
        <v>#VALUE!</v>
      </c>
      <c r="V78" s="10" t="e">
        <f ca="1">_xll.qlMakeCapFloor(,$I$47,$K35,"eo6mproj",V$47,"0d",$L$68)</f>
        <v>#VALUE!</v>
      </c>
      <c r="W78" s="10" t="e">
        <f ca="1">_xll.qlMakeCapFloor(,$I$47,$K35,"eo6mproj",W$47,"0d",$L$68)</f>
        <v>#VALUE!</v>
      </c>
      <c r="X78" s="10" t="e">
        <f ca="1">_xll.qlMakeCapFloor(,$I$47,$K35,"eo6mproj",X$47,"0d",$L$68)</f>
        <v>#VALUE!</v>
      </c>
      <c r="AF78" s="206">
        <f ca="1">_xll.qlInstrumentNPV(AF70)*10000</f>
        <v>0</v>
      </c>
      <c r="AG78" s="206" t="e">
        <f ca="1">_xll.qlInstrumentNPV(AG70)*10000</f>
        <v>#VALUE!</v>
      </c>
      <c r="AH78" s="206" t="e">
        <f ca="1">_xll.qlInstrumentNPV(AH70)*10000</f>
        <v>#VALUE!</v>
      </c>
      <c r="AI78" s="121" t="e">
        <f ca="1">_xll.qlInstrumentNPV(AI70)*10000</f>
        <v>#VALUE!</v>
      </c>
      <c r="AJ78" s="121" t="e">
        <f ca="1">_xll.qlInstrumentNPV(AJ70)*10000</f>
        <v>#VALUE!</v>
      </c>
      <c r="AK78" s="121" t="e">
        <f ca="1">_xll.qlInstrumentNPV(AK70)*10000</f>
        <v>#VALUE!</v>
      </c>
      <c r="AL78" s="121" t="e">
        <f ca="1">_xll.qlInstrumentNPV(AL70)*10000</f>
        <v>#VALUE!</v>
      </c>
      <c r="AM78" s="121" t="e">
        <f ca="1">_xll.qlInstrumentNPV(AM70)*10000</f>
        <v>#VALUE!</v>
      </c>
      <c r="AN78" s="121" t="e">
        <f ca="1">_xll.qlInstrumentNPV(AN70)*10000</f>
        <v>#VALUE!</v>
      </c>
      <c r="AO78" s="121" t="e">
        <f ca="1">_xll.qlInstrumentNPV(AO70)*10000</f>
        <v>#VALUE!</v>
      </c>
      <c r="AP78" s="121" t="e">
        <f ca="1">_xll.qlInstrumentNPV(AP70)*10000</f>
        <v>#VALUE!</v>
      </c>
      <c r="AQ78" s="121" t="e">
        <f ca="1">_xll.qlInstrumentNPV(AQ70)*10000</f>
        <v>#VALUE!</v>
      </c>
      <c r="AR78" s="121" t="e">
        <f ca="1">_xll.qlInstrumentNPV(AR70)*10000</f>
        <v>#VALUE!</v>
      </c>
    </row>
    <row r="79" spans="8:56" ht="12" thickBot="1" x14ac:dyDescent="0.25">
      <c r="L79" s="10" t="e">
        <f ca="1">_xll.qlMakeCapFloor(,$I$47,$K36,"eo6mproj",L$47,"0d",$L$68)</f>
        <v>#VALUE!</v>
      </c>
      <c r="M79" s="10" t="e">
        <f ca="1">_xll.qlMakeCapFloor(,$I$47,$K36,"eo6mproj",M$47,"0d",$L$68)</f>
        <v>#VALUE!</v>
      </c>
      <c r="N79" s="10" t="e">
        <f ca="1">_xll.qlMakeCapFloor(,$I$47,$K36,"eo6mproj",N$47,"0d",$L$68)</f>
        <v>#VALUE!</v>
      </c>
      <c r="O79" s="10" t="e">
        <f ca="1">_xll.qlMakeCapFloor(,$I$47,$K36,"eo6mproj",O$47,"0d",$L$68)</f>
        <v>#VALUE!</v>
      </c>
      <c r="P79" s="10" t="e">
        <f ca="1">_xll.qlMakeCapFloor(,$I$47,$K36,"eo6mproj",P$47,"0d",$L$68)</f>
        <v>#VALUE!</v>
      </c>
      <c r="Q79" s="10" t="e">
        <f ca="1">_xll.qlMakeCapFloor(,$I$47,$K36,"eo6mproj",Q$47,"0d",$L$68)</f>
        <v>#VALUE!</v>
      </c>
      <c r="R79" s="10" t="e">
        <f ca="1">_xll.qlMakeCapFloor(,$I$47,$K36,"eo6mproj",R$47,"0d",$L$68)</f>
        <v>#VALUE!</v>
      </c>
      <c r="S79" s="10" t="e">
        <f ca="1">_xll.qlMakeCapFloor(,$I$47,$K36,"eo6mproj",S$47,"0d",$L$68)</f>
        <v>#VALUE!</v>
      </c>
      <c r="T79" s="10" t="e">
        <f ca="1">_xll.qlMakeCapFloor(,$I$47,$K36,"eo6mproj",T$47,"0d",$L$68)</f>
        <v>#VALUE!</v>
      </c>
      <c r="U79" s="10" t="e">
        <f ca="1">_xll.qlMakeCapFloor(,$I$47,$K36,"eo6mproj",U$47,"0d",$L$68)</f>
        <v>#VALUE!</v>
      </c>
      <c r="V79" s="10" t="e">
        <f ca="1">_xll.qlMakeCapFloor(,$I$47,$K36,"eo6mproj",V$47,"0d",$L$68)</f>
        <v>#VALUE!</v>
      </c>
      <c r="W79" s="10" t="e">
        <f ca="1">_xll.qlMakeCapFloor(,$I$47,$K36,"eo6mproj",W$47,"0d",$L$68)</f>
        <v>#VALUE!</v>
      </c>
      <c r="X79" s="10" t="e">
        <f ca="1">_xll.qlMakeCapFloor(,$I$47,$K36,"eo6mproj",X$47,"0d",$L$68)</f>
        <v>#VALUE!</v>
      </c>
      <c r="AF79" s="121">
        <f ca="1">_xll.qlInstrumentNPV(AF71)*10000</f>
        <v>2.4510272691454759E-11</v>
      </c>
      <c r="AG79" s="121" t="e">
        <f ca="1">_xll.qlInstrumentNPV(AG71)*10000</f>
        <v>#VALUE!</v>
      </c>
      <c r="AH79" s="121" t="e">
        <f ca="1">_xll.qlInstrumentNPV(AH71)*10000</f>
        <v>#VALUE!</v>
      </c>
      <c r="AI79" s="121" t="e">
        <f ca="1">_xll.qlInstrumentNPV(AI71)*10000</f>
        <v>#VALUE!</v>
      </c>
      <c r="AJ79" s="121" t="e">
        <f ca="1">_xll.qlInstrumentNPV(AJ71)*10000</f>
        <v>#VALUE!</v>
      </c>
      <c r="AK79" s="121" t="e">
        <f ca="1">_xll.qlInstrumentNPV(AK71)*10000</f>
        <v>#VALUE!</v>
      </c>
      <c r="AL79" s="121" t="e">
        <f ca="1">_xll.qlInstrumentNPV(AL71)*10000</f>
        <v>#VALUE!</v>
      </c>
      <c r="AM79" s="121" t="e">
        <f ca="1">_xll.qlInstrumentNPV(AM71)*10000</f>
        <v>#VALUE!</v>
      </c>
      <c r="AN79" s="121" t="e">
        <f ca="1">_xll.qlInstrumentNPV(AN71)*10000</f>
        <v>#VALUE!</v>
      </c>
      <c r="AO79" s="121" t="e">
        <f ca="1">_xll.qlInstrumentNPV(AO71)*10000</f>
        <v>#VALUE!</v>
      </c>
      <c r="AP79" s="121" t="e">
        <f ca="1">_xll.qlInstrumentNPV(AP71)*10000</f>
        <v>#VALUE!</v>
      </c>
      <c r="AQ79" s="121" t="e">
        <f ca="1">_xll.qlInstrumentNPV(AQ71)*10000</f>
        <v>#VALUE!</v>
      </c>
      <c r="AR79" s="121" t="e">
        <f ca="1">_xll.qlInstrumentNPV(AR71)*10000</f>
        <v>#VALUE!</v>
      </c>
    </row>
    <row r="80" spans="8:56" ht="12" thickBot="1" x14ac:dyDescent="0.25">
      <c r="L80" s="10" t="e">
        <f ca="1">_xll.qlMakeCapFloor(,$I$47,$K37,"eo6mproj",L$47,"0d",$L$68)</f>
        <v>#VALUE!</v>
      </c>
      <c r="M80" s="10" t="e">
        <f ca="1">_xll.qlMakeCapFloor(,$I$47,$K37,"eo6mproj",M$47,"0d",$L$68)</f>
        <v>#VALUE!</v>
      </c>
      <c r="N80" s="10" t="e">
        <f ca="1">_xll.qlMakeCapFloor(,$I$47,$K37,"eo6mproj",N$47,"0d",$L$68)</f>
        <v>#VALUE!</v>
      </c>
      <c r="O80" s="10" t="e">
        <f ca="1">_xll.qlMakeCapFloor(,$I$47,$K37,"eo6mproj",O$47,"0d",$L$68)</f>
        <v>#VALUE!</v>
      </c>
      <c r="P80" s="10" t="e">
        <f ca="1">_xll.qlMakeCapFloor(,$I$47,$K37,"eo6mproj",P$47,"0d",$L$68)</f>
        <v>#VALUE!</v>
      </c>
      <c r="Q80" s="10" t="e">
        <f ca="1">_xll.qlMakeCapFloor(,$I$47,$K37,"eo6mproj",Q$47,"0d",$L$68)</f>
        <v>#VALUE!</v>
      </c>
      <c r="R80" s="10" t="e">
        <f ca="1">_xll.qlMakeCapFloor(,$I$47,$K37,"eo6mproj",R$47,"0d",$L$68)</f>
        <v>#VALUE!</v>
      </c>
      <c r="S80" s="10" t="e">
        <f ca="1">_xll.qlMakeCapFloor(,$I$47,$K37,"eo6mproj",S$47,"0d",$L$68)</f>
        <v>#VALUE!</v>
      </c>
      <c r="T80" s="10" t="e">
        <f ca="1">_xll.qlMakeCapFloor(,$I$47,$K37,"eo6mproj",T$47,"0d",$L$68)</f>
        <v>#VALUE!</v>
      </c>
      <c r="U80" s="10" t="e">
        <f ca="1">_xll.qlMakeCapFloor(,$I$47,$K37,"eo6mproj",U$47,"0d",$L$68)</f>
        <v>#VALUE!</v>
      </c>
      <c r="V80" s="10" t="e">
        <f ca="1">_xll.qlMakeCapFloor(,$I$47,$K37,"eo6mproj",V$47,"0d",$L$68)</f>
        <v>#VALUE!</v>
      </c>
      <c r="W80" s="10" t="e">
        <f ca="1">_xll.qlMakeCapFloor(,$I$47,$K37,"eo6mproj",W$47,"0d",$L$68)</f>
        <v>#VALUE!</v>
      </c>
      <c r="X80" s="10" t="e">
        <f ca="1">_xll.qlMakeCapFloor(,$I$47,$K37,"eo6mproj",X$47,"0d",$L$68)</f>
        <v>#VALUE!</v>
      </c>
      <c r="AF80" s="121">
        <f ca="1">_xll.qlInstrumentNPV(AF72)*10000</f>
        <v>1.5022755858066382E-3</v>
      </c>
      <c r="AG80" s="121" t="e">
        <f ca="1">_xll.qlInstrumentNPV(AG72)*10000</f>
        <v>#VALUE!</v>
      </c>
      <c r="AH80" s="121" t="e">
        <f ca="1">_xll.qlInstrumentNPV(AH72)*10000</f>
        <v>#VALUE!</v>
      </c>
      <c r="AI80" s="121" t="e">
        <f ca="1">_xll.qlInstrumentNPV(AI72)*10000</f>
        <v>#VALUE!</v>
      </c>
      <c r="AJ80" s="121" t="e">
        <f ca="1">_xll.qlInstrumentNPV(AJ72)*10000</f>
        <v>#VALUE!</v>
      </c>
      <c r="AK80" s="121" t="e">
        <f ca="1">_xll.qlInstrumentNPV(AK72)*10000</f>
        <v>#VALUE!</v>
      </c>
      <c r="AL80" s="121" t="e">
        <f ca="1">_xll.qlInstrumentNPV(AL72)*10000</f>
        <v>#VALUE!</v>
      </c>
      <c r="AM80" s="121" t="e">
        <f ca="1">_xll.qlInstrumentNPV(AM72)*10000</f>
        <v>#VALUE!</v>
      </c>
      <c r="AN80" s="121" t="e">
        <f ca="1">_xll.qlInstrumentNPV(AN72)*10000</f>
        <v>#VALUE!</v>
      </c>
      <c r="AO80" s="121" t="e">
        <f ca="1">_xll.qlInstrumentNPV(AO72)*10000</f>
        <v>#VALUE!</v>
      </c>
      <c r="AP80" s="121" t="e">
        <f ca="1">_xll.qlInstrumentNPV(AP72)*10000</f>
        <v>#VALUE!</v>
      </c>
      <c r="AQ80" s="121" t="e">
        <f ca="1">_xll.qlInstrumentNPV(AQ72)*10000</f>
        <v>#VALUE!</v>
      </c>
      <c r="AR80" s="121" t="e">
        <f ca="1">_xll.qlInstrumentNPV(AR72)*10000</f>
        <v>#VALUE!</v>
      </c>
      <c r="AS80" s="11" t="str">
        <f ca="1">_xll.ohRangeRetrieveError(AR80)</f>
        <v/>
      </c>
    </row>
    <row r="81" spans="12:48" ht="12" thickBot="1" x14ac:dyDescent="0.25">
      <c r="L81" s="10" t="e">
        <f ca="1">_xll.qlMakeCapFloor(,$I$47,$K38,"eo6mproj",L$47,"0d",$L$68)</f>
        <v>#VALUE!</v>
      </c>
      <c r="M81" s="10" t="e">
        <f ca="1">_xll.qlMakeCapFloor(,$I$47,$K38,"eo6mproj",M$47,"0d",$L$68)</f>
        <v>#VALUE!</v>
      </c>
      <c r="N81" s="10" t="e">
        <f ca="1">_xll.qlMakeCapFloor(,$I$47,$K38,"eo6mproj",N$47,"0d",$L$68)</f>
        <v>#VALUE!</v>
      </c>
      <c r="O81" s="10" t="e">
        <f ca="1">_xll.qlMakeCapFloor(,$I$47,$K38,"eo6mproj",O$47,"0d",$L$68)</f>
        <v>#VALUE!</v>
      </c>
      <c r="P81" s="10" t="e">
        <f ca="1">_xll.qlMakeCapFloor(,$I$47,$K38,"eo6mproj",P$47,"0d",$L$68)</f>
        <v>#VALUE!</v>
      </c>
      <c r="Q81" s="10" t="e">
        <f ca="1">_xll.qlMakeCapFloor(,$I$47,$K38,"eo6mproj",Q$47,"0d",$L$68)</f>
        <v>#VALUE!</v>
      </c>
      <c r="R81" s="10" t="e">
        <f ca="1">_xll.qlMakeCapFloor(,$I$47,$K38,"eo6mproj",R$47,"0d",$L$68)</f>
        <v>#VALUE!</v>
      </c>
      <c r="S81" s="10" t="e">
        <f ca="1">_xll.qlMakeCapFloor(,$I$47,$K38,"eo6mproj",S$47,"0d",$L$68)</f>
        <v>#VALUE!</v>
      </c>
      <c r="T81" s="10" t="e">
        <f ca="1">_xll.qlMakeCapFloor(,$I$47,$K38,"eo6mproj",T$47,"0d",$L$68)</f>
        <v>#VALUE!</v>
      </c>
      <c r="U81" s="10" t="e">
        <f ca="1">_xll.qlMakeCapFloor(,$I$47,$K38,"eo6mproj",U$47,"0d",$L$68)</f>
        <v>#VALUE!</v>
      </c>
      <c r="V81" s="10" t="e">
        <f ca="1">_xll.qlMakeCapFloor(,$I$47,$K38,"eo6mproj",V$47,"0d",$L$68)</f>
        <v>#VALUE!</v>
      </c>
      <c r="W81" s="10" t="e">
        <f ca="1">_xll.qlMakeCapFloor(,$I$47,$K38,"eo6mproj",W$47,"0d",$L$68)</f>
        <v>#VALUE!</v>
      </c>
      <c r="X81" s="10" t="e">
        <f ca="1">_xll.qlMakeCapFloor(,$I$47,$K38,"eo6mproj",X$47,"0d",$L$68)</f>
        <v>#VALUE!</v>
      </c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</row>
    <row r="82" spans="12:48" ht="12" thickBot="1" x14ac:dyDescent="0.25">
      <c r="L82" s="10" t="e">
        <f ca="1">_xll.qlMakeCapFloor(,$I$47,$K39,"eo6mproj",L$47,"0d",$L$68)</f>
        <v>#VALUE!</v>
      </c>
      <c r="M82" s="10" t="e">
        <f ca="1">_xll.qlMakeCapFloor(,$I$47,$K39,"eo6mproj",M$47,"0d",$L$68)</f>
        <v>#VALUE!</v>
      </c>
      <c r="N82" s="10" t="e">
        <f ca="1">_xll.qlMakeCapFloor(,$I$47,$K39,"eo6mproj",N$47,"0d",$L$68)</f>
        <v>#VALUE!</v>
      </c>
      <c r="O82" s="10" t="e">
        <f ca="1">_xll.qlMakeCapFloor(,$I$47,$K39,"eo6mproj",O$47,"0d",$L$68)</f>
        <v>#VALUE!</v>
      </c>
      <c r="P82" s="10" t="e">
        <f ca="1">_xll.qlMakeCapFloor(,$I$47,$K39,"eo6mproj",P$47,"0d",$L$68)</f>
        <v>#VALUE!</v>
      </c>
      <c r="Q82" s="10" t="e">
        <f ca="1">_xll.qlMakeCapFloor(,$I$47,$K39,"eo6mproj",Q$47,"0d",$L$68)</f>
        <v>#VALUE!</v>
      </c>
      <c r="R82" s="10" t="e">
        <f ca="1">_xll.qlMakeCapFloor(,$I$47,$K39,"eo6mproj",R$47,"0d",$L$68)</f>
        <v>#VALUE!</v>
      </c>
      <c r="S82" s="10" t="e">
        <f ca="1">_xll.qlMakeCapFloor(,$I$47,$K39,"eo6mproj",S$47,"0d",$L$68)</f>
        <v>#VALUE!</v>
      </c>
      <c r="T82" s="10" t="e">
        <f ca="1">_xll.qlMakeCapFloor(,$I$47,$K39,"eo6mproj",T$47,"0d",$L$68)</f>
        <v>#VALUE!</v>
      </c>
      <c r="U82" s="10" t="e">
        <f ca="1">_xll.qlMakeCapFloor(,$I$47,$K39,"eo6mproj",U$47,"0d",$L$68)</f>
        <v>#VALUE!</v>
      </c>
      <c r="V82" s="10" t="e">
        <f ca="1">_xll.qlMakeCapFloor(,$I$47,$K39,"eo6mproj",V$47,"0d",$L$68)</f>
        <v>#VALUE!</v>
      </c>
      <c r="W82" s="10" t="e">
        <f ca="1">_xll.qlMakeCapFloor(,$I$47,$K39,"eo6mproj",W$47,"0d",$L$68)</f>
        <v>#VALUE!</v>
      </c>
      <c r="X82" s="10" t="e">
        <f ca="1">_xll.qlMakeCapFloor(,$I$47,$K39,"eo6mproj",X$47,"0d",$L$68)</f>
        <v>#VALUE!</v>
      </c>
      <c r="AF82" s="110">
        <f ca="1">_xll.qlCapFloorImpliedVolatility(AF70,AF78/10000,"eonia",,,,,,"Normal")</f>
        <v>9.9999999999999995E-8</v>
      </c>
      <c r="AG82" s="110" t="e">
        <f ca="1">_xll.qlCapFloorImpliedVolatility(AG70,AG78/10000,"eonia",,,,,,"Normal")</f>
        <v>#VALUE!</v>
      </c>
      <c r="AH82" s="110" t="e">
        <f ca="1">_xll.qlCapFloorImpliedVolatility(AH70,AH78/10000,"eonia",,,,,,"Normal")</f>
        <v>#VALUE!</v>
      </c>
      <c r="AI82" s="110" t="e">
        <f ca="1">_xll.qlCapFloorImpliedVolatility(AI70,AI78/10000,"eonia",,,,,,"Normal")</f>
        <v>#VALUE!</v>
      </c>
      <c r="AJ82" s="110" t="e">
        <f ca="1">_xll.qlCapFloorImpliedVolatility(AJ70,AJ78/10000,"eonia",,,,,,"Normal")</f>
        <v>#VALUE!</v>
      </c>
      <c r="AK82" s="110" t="e">
        <f ca="1">_xll.qlCapFloorImpliedVolatility(AK70,AK78/10000,"eonia",,,,,,"Normal")</f>
        <v>#VALUE!</v>
      </c>
      <c r="AL82" s="110" t="e">
        <f ca="1">_xll.qlCapFloorImpliedVolatility(AL70,AL78/10000,"eonia",,,,,,"Normal")</f>
        <v>#VALUE!</v>
      </c>
      <c r="AM82" s="110" t="e">
        <f ca="1">_xll.qlCapFloorImpliedVolatility(AM70,AM78/10000,"eonia",,,,,,"Normal")</f>
        <v>#VALUE!</v>
      </c>
      <c r="AN82" s="110" t="e">
        <f ca="1">_xll.qlCapFloorImpliedVolatility(AN70,AN78/10000,"eonia",,,,,,"Normal")</f>
        <v>#VALUE!</v>
      </c>
      <c r="AO82" s="110" t="e">
        <f ca="1">_xll.qlCapFloorImpliedVolatility(AO70,AO78/10000,"eonia",,,,,,"Normal")</f>
        <v>#VALUE!</v>
      </c>
      <c r="AP82" s="110" t="e">
        <f ca="1">_xll.qlCapFloorImpliedVolatility(AP70,AP78/10000,"eonia",,,,,,"Normal")</f>
        <v>#VALUE!</v>
      </c>
      <c r="AQ82" s="110" t="e">
        <f ca="1">_xll.qlCapFloorImpliedVolatility(AQ70,AQ78/10000,"eonia",,,,,,"Normal")</f>
        <v>#VALUE!</v>
      </c>
      <c r="AR82" s="110" t="e">
        <f ca="1">_xll.qlCapFloorImpliedVolatility(AR70,AR78/10000,"eonia",,,,,,"Normal")</f>
        <v>#VALUE!</v>
      </c>
      <c r="AS82" s="179" t="str">
        <f ca="1">_xll.ohRangeRetrieveError(AR82)</f>
        <v/>
      </c>
    </row>
    <row r="83" spans="12:48" ht="12" thickBot="1" x14ac:dyDescent="0.25">
      <c r="L83" s="10" t="e">
        <f ca="1">_xll.qlMakeCapFloor(,$I$47,$K40,"eo6mproj",L$47,"0d",$L$68)</f>
        <v>#VALUE!</v>
      </c>
      <c r="M83" s="10" t="e">
        <f ca="1">_xll.qlMakeCapFloor(,$I$47,$K40,"eo6mproj",M$47,"0d",$L$68)</f>
        <v>#VALUE!</v>
      </c>
      <c r="N83" s="10" t="e">
        <f ca="1">_xll.qlMakeCapFloor(,$I$47,$K40,"eo6mproj",N$47,"0d",$L$68)</f>
        <v>#VALUE!</v>
      </c>
      <c r="O83" s="10" t="e">
        <f ca="1">_xll.qlMakeCapFloor(,$I$47,$K40,"eo6mproj",O$47,"0d",$L$68)</f>
        <v>#VALUE!</v>
      </c>
      <c r="P83" s="10" t="e">
        <f ca="1">_xll.qlMakeCapFloor(,$I$47,$K40,"eo6mproj",P$47,"0d",$L$68)</f>
        <v>#VALUE!</v>
      </c>
      <c r="Q83" s="10" t="e">
        <f ca="1">_xll.qlMakeCapFloor(,$I$47,$K40,"eo6mproj",Q$47,"0d",$L$68)</f>
        <v>#VALUE!</v>
      </c>
      <c r="R83" s="10" t="e">
        <f ca="1">_xll.qlMakeCapFloor(,$I$47,$K40,"eo6mproj",R$47,"0d",$L$68)</f>
        <v>#VALUE!</v>
      </c>
      <c r="S83" s="10" t="e">
        <f ca="1">_xll.qlMakeCapFloor(,$I$47,$K40,"eo6mproj",S$47,"0d",$L$68)</f>
        <v>#VALUE!</v>
      </c>
      <c r="T83" s="10" t="e">
        <f ca="1">_xll.qlMakeCapFloor(,$I$47,$K40,"eo6mproj",T$47,"0d",$L$68)</f>
        <v>#VALUE!</v>
      </c>
      <c r="U83" s="10" t="e">
        <f ca="1">_xll.qlMakeCapFloor(,$I$47,$K40,"eo6mproj",U$47,"0d",$L$68)</f>
        <v>#VALUE!</v>
      </c>
      <c r="V83" s="10" t="e">
        <f ca="1">_xll.qlMakeCapFloor(,$I$47,$K40,"eo6mproj",V$47,"0d",$L$68)</f>
        <v>#VALUE!</v>
      </c>
      <c r="W83" s="10" t="e">
        <f ca="1">_xll.qlMakeCapFloor(,$I$47,$K40,"eo6mproj",W$47,"0d",$L$68)</f>
        <v>#VALUE!</v>
      </c>
      <c r="X83" s="10" t="e">
        <f ca="1">_xll.qlMakeCapFloor(,$I$47,$K40,"eo6mproj",X$47,"0d",$L$68)</f>
        <v>#VALUE!</v>
      </c>
      <c r="AF83" s="110">
        <f ca="1">_xll.qlCapFloorImpliedVolatility(AF71,AF79/10000,"eonia",,,,,,"Normal")</f>
        <v>1.0918288332967007E-3</v>
      </c>
      <c r="AG83" s="110" t="e">
        <f ca="1">_xll.qlCapFloorImpliedVolatility(AG71,AG79/10000,"eonia",,,,,,"Normal")</f>
        <v>#VALUE!</v>
      </c>
      <c r="AH83" s="110" t="e">
        <f ca="1">_xll.qlCapFloorImpliedVolatility(AH71,AH79/10000,"eonia",,,,,,"Normal")</f>
        <v>#VALUE!</v>
      </c>
      <c r="AI83" s="110" t="e">
        <f ca="1">_xll.qlCapFloorImpliedVolatility(AI71,AI79/10000,"eonia",,,,,,"Normal")</f>
        <v>#VALUE!</v>
      </c>
      <c r="AJ83" s="110" t="e">
        <f ca="1">_xll.qlCapFloorImpliedVolatility(AJ71,AJ79/10000,"eonia",,,,,,"Normal")</f>
        <v>#VALUE!</v>
      </c>
      <c r="AK83" s="110" t="e">
        <f ca="1">_xll.qlCapFloorImpliedVolatility(AK71,AK79/10000,"eonia",,,,,,"Normal")</f>
        <v>#VALUE!</v>
      </c>
      <c r="AL83" s="110" t="e">
        <f ca="1">_xll.qlCapFloorImpliedVolatility(AL71,AL79/10000,"eonia",,,,,,"Normal")</f>
        <v>#VALUE!</v>
      </c>
      <c r="AM83" s="110" t="e">
        <f ca="1">_xll.qlCapFloorImpliedVolatility(AM71,AM79/10000,"eonia",,,,,,"Normal")</f>
        <v>#VALUE!</v>
      </c>
      <c r="AN83" s="110" t="e">
        <f ca="1">_xll.qlCapFloorImpliedVolatility(AN71,AN79/10000,"eonia",,,,,,"Normal")</f>
        <v>#VALUE!</v>
      </c>
      <c r="AO83" s="110" t="e">
        <f ca="1">_xll.qlCapFloorImpliedVolatility(AO71,AO79/10000,"eonia",,,,,,"Normal")</f>
        <v>#VALUE!</v>
      </c>
      <c r="AP83" s="110" t="e">
        <f ca="1">_xll.qlCapFloorImpliedVolatility(AP71,AP79/10000,"eonia",,,,,,"Normal")</f>
        <v>#VALUE!</v>
      </c>
      <c r="AQ83" s="110" t="e">
        <f ca="1">_xll.qlCapFloorImpliedVolatility(AQ71,AQ79/10000,"eonia",,,,,,"Normal")</f>
        <v>#VALUE!</v>
      </c>
      <c r="AR83" s="110" t="e">
        <f ca="1">_xll.qlCapFloorImpliedVolatility(AR71,AR79/10000,"eonia",,,,,,"Normal")</f>
        <v>#VALUE!</v>
      </c>
    </row>
    <row r="84" spans="12:48" ht="12" thickBot="1" x14ac:dyDescent="0.25">
      <c r="L84" s="10" t="e">
        <f ca="1">_xll.qlMakeCapFloor(,$I$47,$K41,"eo6mproj",L$47,"0d",$L$68)</f>
        <v>#VALUE!</v>
      </c>
      <c r="M84" s="10" t="e">
        <f ca="1">_xll.qlMakeCapFloor(,$I$47,$K41,"eo6mproj",M$47,"0d",$L$68)</f>
        <v>#VALUE!</v>
      </c>
      <c r="N84" s="10" t="e">
        <f ca="1">_xll.qlMakeCapFloor(,$I$47,$K41,"eo6mproj",N$47,"0d",$L$68)</f>
        <v>#VALUE!</v>
      </c>
      <c r="O84" s="10" t="e">
        <f ca="1">_xll.qlMakeCapFloor(,$I$47,$K41,"eo6mproj",O$47,"0d",$L$68)</f>
        <v>#VALUE!</v>
      </c>
      <c r="P84" s="10" t="e">
        <f ca="1">_xll.qlMakeCapFloor(,$I$47,$K41,"eo6mproj",P$47,"0d",$L$68)</f>
        <v>#VALUE!</v>
      </c>
      <c r="Q84" s="10" t="e">
        <f ca="1">_xll.qlMakeCapFloor(,$I$47,$K41,"eo6mproj",Q$47,"0d",$L$68)</f>
        <v>#VALUE!</v>
      </c>
      <c r="R84" s="10" t="e">
        <f ca="1">_xll.qlMakeCapFloor(,$I$47,$K41,"eo6mproj",R$47,"0d",$L$68)</f>
        <v>#VALUE!</v>
      </c>
      <c r="S84" s="10" t="e">
        <f ca="1">_xll.qlMakeCapFloor(,$I$47,$K41,"eo6mproj",S$47,"0d",$L$68)</f>
        <v>#VALUE!</v>
      </c>
      <c r="T84" s="10" t="e">
        <f ca="1">_xll.qlMakeCapFloor(,$I$47,$K41,"eo6mproj",T$47,"0d",$L$68)</f>
        <v>#VALUE!</v>
      </c>
      <c r="U84" s="10" t="e">
        <f ca="1">_xll.qlMakeCapFloor(,$I$47,$K41,"eo6mproj",U$47,"0d",$L$68)</f>
        <v>#VALUE!</v>
      </c>
      <c r="V84" s="10" t="e">
        <f ca="1">_xll.qlMakeCapFloor(,$I$47,$K41,"eo6mproj",V$47,"0d",$L$68)</f>
        <v>#VALUE!</v>
      </c>
      <c r="W84" s="10" t="e">
        <f ca="1">_xll.qlMakeCapFloor(,$I$47,$K41,"eo6mproj",W$47,"0d",$L$68)</f>
        <v>#VALUE!</v>
      </c>
      <c r="X84" s="10" t="e">
        <f ca="1">_xll.qlMakeCapFloor(,$I$47,$K41,"eo6mproj",X$47,"0d",$L$68)</f>
        <v>#VALUE!</v>
      </c>
      <c r="AF84" s="110">
        <f ca="1">_xll.qlCapFloorImpliedVolatility(AF72,AF80/10000,"eonia",,,,,,"Normal")</f>
        <v>1.8941226000284399E-3</v>
      </c>
      <c r="AG84" s="110" t="e">
        <f ca="1">_xll.qlCapFloorImpliedVolatility(AG72,AG80/10000,"eonia",,,,,,"Normal")</f>
        <v>#VALUE!</v>
      </c>
      <c r="AH84" s="110" t="e">
        <f ca="1">_xll.qlCapFloorImpliedVolatility(AH72,AH80/10000,"eonia",,,,,,"Normal")</f>
        <v>#VALUE!</v>
      </c>
      <c r="AI84" s="110" t="e">
        <f ca="1">_xll.qlCapFloorImpliedVolatility(AI72,AI80/10000,"eonia",,,,,,"Normal")</f>
        <v>#VALUE!</v>
      </c>
      <c r="AJ84" s="110" t="e">
        <f ca="1">_xll.qlCapFloorImpliedVolatility(AJ72,AJ80/10000,"eonia",,,,,,"Normal")</f>
        <v>#VALUE!</v>
      </c>
      <c r="AK84" s="110" t="e">
        <f ca="1">_xll.qlCapFloorImpliedVolatility(AK72,AK80/10000,"eonia",,,,,,"Normal")</f>
        <v>#VALUE!</v>
      </c>
      <c r="AL84" s="110" t="e">
        <f ca="1">_xll.qlCapFloorImpliedVolatility(AL72,AL80/10000,"eonia",,,,,,"Normal")</f>
        <v>#VALUE!</v>
      </c>
      <c r="AM84" s="110" t="e">
        <f ca="1">_xll.qlCapFloorImpliedVolatility(AM72,AM80/10000,"eonia",,,,,,"Normal")</f>
        <v>#VALUE!</v>
      </c>
      <c r="AN84" s="110" t="e">
        <f ca="1">_xll.qlCapFloorImpliedVolatility(AN72,AN80/10000,"eonia",,,,,,"Normal")</f>
        <v>#VALUE!</v>
      </c>
      <c r="AO84" s="110" t="e">
        <f ca="1">_xll.qlCapFloorImpliedVolatility(AO72,AO80/10000,"eonia",,,,,,"Normal")</f>
        <v>#VALUE!</v>
      </c>
      <c r="AP84" s="110" t="e">
        <f ca="1">_xll.qlCapFloorImpliedVolatility(AP72,AP80/10000,"eonia",,,,,,"Normal")</f>
        <v>#VALUE!</v>
      </c>
      <c r="AQ84" s="110" t="e">
        <f ca="1">_xll.qlCapFloorImpliedVolatility(AQ72,AQ80/10000,"eonia",,,,,,"Normal")</f>
        <v>#VALUE!</v>
      </c>
      <c r="AR84" s="110" t="e">
        <f ca="1">_xll.qlCapFloorImpliedVolatility(AR72,AR80/10000,"eonia",,,,,,"Normal")</f>
        <v>#VALUE!</v>
      </c>
    </row>
    <row r="85" spans="12:48" ht="12" thickBot="1" x14ac:dyDescent="0.25">
      <c r="L85" s="10" t="e">
        <f ca="1">_xll.qlMakeCapFloor(,$I$47,$K42,"eo6mproj",L$47,"0d",$L$68)</f>
        <v>#VALUE!</v>
      </c>
      <c r="M85" s="10" t="e">
        <f ca="1">_xll.qlMakeCapFloor(,$I$47,$K42,"eo6mproj",M$47,"0d",$L$68)</f>
        <v>#VALUE!</v>
      </c>
      <c r="N85" s="10" t="e">
        <f ca="1">_xll.qlMakeCapFloor(,$I$47,$K42,"eo6mproj",N$47,"0d",$L$68)</f>
        <v>#VALUE!</v>
      </c>
      <c r="O85" s="10" t="e">
        <f ca="1">_xll.qlMakeCapFloor(,$I$47,$K42,"eo6mproj",O$47,"0d",$L$68)</f>
        <v>#VALUE!</v>
      </c>
      <c r="P85" s="10" t="e">
        <f ca="1">_xll.qlMakeCapFloor(,$I$47,$K42,"eo6mproj",P$47,"0d",$L$68)</f>
        <v>#VALUE!</v>
      </c>
      <c r="Q85" s="10" t="e">
        <f ca="1">_xll.qlMakeCapFloor(,$I$47,$K42,"eo6mproj",Q$47,"0d",$L$68)</f>
        <v>#VALUE!</v>
      </c>
      <c r="R85" s="10" t="e">
        <f ca="1">_xll.qlMakeCapFloor(,$I$47,$K42,"eo6mproj",R$47,"0d",$L$68)</f>
        <v>#VALUE!</v>
      </c>
      <c r="S85" s="10" t="e">
        <f ca="1">_xll.qlMakeCapFloor(,$I$47,$K42,"eo6mproj",S$47,"0d",$L$68)</f>
        <v>#VALUE!</v>
      </c>
      <c r="T85" s="10" t="e">
        <f ca="1">_xll.qlMakeCapFloor(,$I$47,$K42,"eo6mproj",T$47,"0d",$L$68)</f>
        <v>#VALUE!</v>
      </c>
      <c r="U85" s="10" t="e">
        <f ca="1">_xll.qlMakeCapFloor(,$I$47,$K42,"eo6mproj",U$47,"0d",$L$68)</f>
        <v>#VALUE!</v>
      </c>
      <c r="V85" s="10" t="e">
        <f ca="1">_xll.qlMakeCapFloor(,$I$47,$K42,"eo6mproj",V$47,"0d",$L$68)</f>
        <v>#VALUE!</v>
      </c>
      <c r="W85" s="10" t="e">
        <f ca="1">_xll.qlMakeCapFloor(,$I$47,$K42,"eo6mproj",W$47,"0d",$L$68)</f>
        <v>#VALUE!</v>
      </c>
      <c r="X85" s="10" t="e">
        <f ca="1">_xll.qlMakeCapFloor(,$I$47,$K42,"eo6mproj",X$47,"0d",$L$68)</f>
        <v>#VALUE!</v>
      </c>
    </row>
    <row r="86" spans="12:48" ht="12" thickBot="1" x14ac:dyDescent="0.25">
      <c r="L86" s="10" t="e">
        <f ca="1">_xll.qlMakeCapFloor(,$I$47,$K43,"eo6mproj",L$47,"0d",$L$68)</f>
        <v>#VALUE!</v>
      </c>
      <c r="M86" s="10" t="e">
        <f ca="1">_xll.qlMakeCapFloor(,$I$47,$K43,"eo6mproj",M$47,"0d",$L$68)</f>
        <v>#VALUE!</v>
      </c>
      <c r="N86" s="10" t="e">
        <f ca="1">_xll.qlMakeCapFloor(,$I$47,$K43,"eo6mproj",N$47,"0d",$L$68)</f>
        <v>#VALUE!</v>
      </c>
      <c r="O86" s="10" t="e">
        <f ca="1">_xll.qlMakeCapFloor(,$I$47,$K43,"eo6mproj",O$47,"0d",$L$68)</f>
        <v>#VALUE!</v>
      </c>
      <c r="P86" s="10" t="e">
        <f ca="1">_xll.qlMakeCapFloor(,$I$47,$K43,"eo6mproj",P$47,"0d",$L$68)</f>
        <v>#VALUE!</v>
      </c>
      <c r="Q86" s="10" t="e">
        <f ca="1">_xll.qlMakeCapFloor(,$I$47,$K43,"eo6mproj",Q$47,"0d",$L$68)</f>
        <v>#VALUE!</v>
      </c>
      <c r="R86" s="10" t="e">
        <f ca="1">_xll.qlMakeCapFloor(,$I$47,$K43,"eo6mproj",R$47,"0d",$L$68)</f>
        <v>#VALUE!</v>
      </c>
      <c r="S86" s="10" t="e">
        <f ca="1">_xll.qlMakeCapFloor(,$I$47,$K43,"eo6mproj",S$47,"0d",$L$68)</f>
        <v>#VALUE!</v>
      </c>
      <c r="T86" s="10" t="e">
        <f ca="1">_xll.qlMakeCapFloor(,$I$47,$K43,"eo6mproj",T$47,"0d",$L$68)</f>
        <v>#VALUE!</v>
      </c>
      <c r="U86" s="10" t="e">
        <f ca="1">_xll.qlMakeCapFloor(,$I$47,$K43,"eo6mproj",U$47,"0d",$L$68)</f>
        <v>#VALUE!</v>
      </c>
      <c r="V86" s="10" t="e">
        <f ca="1">_xll.qlMakeCapFloor(,$I$47,$K43,"eo6mproj",V$47,"0d",$L$68)</f>
        <v>#VALUE!</v>
      </c>
      <c r="W86" s="10" t="e">
        <f ca="1">_xll.qlMakeCapFloor(,$I$47,$K43,"eo6mproj",W$47,"0d",$L$68)</f>
        <v>#VALUE!</v>
      </c>
      <c r="X86" s="10" t="e">
        <f ca="1">_xll.qlMakeCapFloor(,$I$47,$K43,"eo6mproj",X$47,"0d",$L$68)</f>
        <v>#VALUE!</v>
      </c>
      <c r="AE86" t="s">
        <v>25</v>
      </c>
      <c r="AF86" s="110">
        <f ca="1">_xll.qlCapFloorTermVTSVolatility2($D$9,$AE86,AF66,TRUE)</f>
        <v>1.5498733299136542E-4</v>
      </c>
      <c r="AG86" s="110">
        <f ca="1">_xll.qlCapFloorTermVTSVolatility2($D$9,$AE86,AG66,TRUE)</f>
        <v>7.3339431964268033E-4</v>
      </c>
      <c r="AH86" s="110">
        <f ca="1">_xll.qlCapFloorTermVTSVolatility2($D$9,$AE86,AH66,TRUE)</f>
        <v>1.320795096822926E-3</v>
      </c>
      <c r="AI86" s="110">
        <f ca="1">_xll.qlCapFloorTermVTSVolatility2($D$9,$AE86,AI66,TRUE)</f>
        <v>1.6882424913910593E-3</v>
      </c>
      <c r="AJ86" s="110">
        <f ca="1">_xll.qlCapFloorTermVTSVolatility2($D$9,$AE86,AJ66,TRUE)</f>
        <v>2.2132180938539904E-3</v>
      </c>
      <c r="AK86" s="110">
        <f ca="1">_xll.qlCapFloorTermVTSVolatility2($D$9,$AE86,AK66,TRUE)</f>
        <v>3.3363202145327998E-3</v>
      </c>
    </row>
    <row r="87" spans="12:48" ht="12" thickBot="1" x14ac:dyDescent="0.25">
      <c r="L87" s="10" t="e">
        <f ca="1">_xll.qlMakeCapFloor(,$I$47,$K44,"eo6mproj",L$47,"0d",$L$68)</f>
        <v>#VALUE!</v>
      </c>
      <c r="M87" s="10" t="e">
        <f ca="1">_xll.qlMakeCapFloor(,$I$47,$K44,"eo6mproj",M$47,"0d",$L$68)</f>
        <v>#VALUE!</v>
      </c>
      <c r="N87" s="10" t="e">
        <f ca="1">_xll.qlMakeCapFloor(,$I$47,$K44,"eo6mproj",N$47,"0d",$L$68)</f>
        <v>#VALUE!</v>
      </c>
      <c r="O87" s="10" t="e">
        <f ca="1">_xll.qlMakeCapFloor(,$I$47,$K44,"eo6mproj",O$47,"0d",$L$68)</f>
        <v>#VALUE!</v>
      </c>
      <c r="P87" s="10" t="e">
        <f ca="1">_xll.qlMakeCapFloor(,$I$47,$K44,"eo6mproj",P$47,"0d",$L$68)</f>
        <v>#VALUE!</v>
      </c>
      <c r="Q87" s="10" t="e">
        <f ca="1">_xll.qlMakeCapFloor(,$I$47,$K44,"eo6mproj",Q$47,"0d",$L$68)</f>
        <v>#VALUE!</v>
      </c>
      <c r="R87" s="10" t="e">
        <f ca="1">_xll.qlMakeCapFloor(,$I$47,$K44,"eo6mproj",R$47,"0d",$L$68)</f>
        <v>#VALUE!</v>
      </c>
      <c r="S87" s="10" t="e">
        <f ca="1">_xll.qlMakeCapFloor(,$I$47,$K44,"eo6mproj",S$47,"0d",$L$68)</f>
        <v>#VALUE!</v>
      </c>
      <c r="T87" s="10" t="e">
        <f ca="1">_xll.qlMakeCapFloor(,$I$47,$K44,"eo6mproj",T$47,"0d",$L$68)</f>
        <v>#VALUE!</v>
      </c>
      <c r="U87" s="10" t="e">
        <f ca="1">_xll.qlMakeCapFloor(,$I$47,$K44,"eo6mproj",U$47,"0d",$L$68)</f>
        <v>#VALUE!</v>
      </c>
      <c r="V87" s="10" t="e">
        <f ca="1">_xll.qlMakeCapFloor(,$I$47,$K44,"eo6mproj",V$47,"0d",$L$68)</f>
        <v>#VALUE!</v>
      </c>
      <c r="W87" s="10" t="e">
        <f ca="1">_xll.qlMakeCapFloor(,$I$47,$K44,"eo6mproj",W$47,"0d",$L$68)</f>
        <v>#VALUE!</v>
      </c>
      <c r="X87" s="10" t="e">
        <f ca="1">_xll.qlMakeCapFloor(,$I$47,$K44,"eo6mproj",X$47,"0d",$L$68)</f>
        <v>#VALUE!</v>
      </c>
      <c r="AE87" s="105" t="s">
        <v>1506</v>
      </c>
      <c r="AF87" s="110">
        <f ca="1">_xll.qlCapFloorTermVTSVolatility2($D$9,$AE87,AF67,TRUE)</f>
        <v>1.091828523939059E-3</v>
      </c>
      <c r="AG87" s="110">
        <f ca="1">_xll.qlCapFloorTermVTSVolatility2($D$9,$AE87,AG67,TRUE)</f>
        <v>1.3610668462889495E-3</v>
      </c>
      <c r="AH87" s="110">
        <f ca="1">_xll.qlCapFloorTermVTSVolatility2($D$9,$AE87,AH67,TRUE)</f>
        <v>1.6844639261076669E-3</v>
      </c>
      <c r="AI87" s="110">
        <f ca="1">_xll.qlCapFloorTermVTSVolatility2($D$9,$AE87,AI67,TRUE)</f>
        <v>2.0058363248087979E-3</v>
      </c>
      <c r="AJ87" s="110">
        <f ca="1">_xll.qlCapFloorTermVTSVolatility2($D$9,$AE87,AJ67,TRUE)</f>
        <v>2.5431402059052817E-3</v>
      </c>
      <c r="AK87" s="110">
        <f ca="1">_xll.qlCapFloorTermVTSVolatility2($D$9,$AE87,AK67,TRUE)</f>
        <v>3.6098165684510437E-3</v>
      </c>
    </row>
    <row r="88" spans="12:48" x14ac:dyDescent="0.2">
      <c r="L88" s="10"/>
      <c r="AE88" t="s">
        <v>157</v>
      </c>
      <c r="AF88" s="110">
        <f ca="1">_xll.qlCapFloorTermVTSVolatility2($D$9,$AE88,AF68,TRUE)</f>
        <v>1.8941219423445294E-3</v>
      </c>
      <c r="AG88" s="110">
        <f ca="1">_xll.qlCapFloorTermVTSVolatility2($D$9,$AE88,AG68,TRUE)</f>
        <v>1.8851164593037444E-3</v>
      </c>
      <c r="AH88" s="110">
        <f ca="1">_xll.qlCapFloorTermVTSVolatility2($D$9,$AE88,AH68,TRUE)</f>
        <v>1.9967531526767337E-3</v>
      </c>
      <c r="AI88" s="110">
        <f ca="1">_xll.qlCapFloorTermVTSVolatility2($D$9,$AE88,AI68,TRUE)</f>
        <v>2.2603137841990472E-3</v>
      </c>
      <c r="AJ88" s="110">
        <f ca="1">_xll.qlCapFloorTermVTSVolatility2($D$9,$AE88,AJ68,TRUE)</f>
        <v>2.7594636912129495E-3</v>
      </c>
      <c r="AK88" s="110">
        <f ca="1">_xll.qlCapFloorTermVTSVolatility2($D$9,$AE88,AK68,TRUE)</f>
        <v>3.7878362832197846E-3</v>
      </c>
    </row>
    <row r="90" spans="12:48" x14ac:dyDescent="0.2">
      <c r="AC90" t="s">
        <v>282</v>
      </c>
      <c r="AF90" s="13">
        <v>-7.4999999999999997E-3</v>
      </c>
      <c r="AG90" s="13">
        <v>-5.0000000000000001E-3</v>
      </c>
      <c r="AH90" s="13">
        <v>-2.5000000000000001E-3</v>
      </c>
      <c r="AI90" s="13">
        <v>-1.25E-3</v>
      </c>
      <c r="AJ90" s="13">
        <v>0</v>
      </c>
      <c r="AK90" s="13">
        <v>2.5000000000000001E-3</v>
      </c>
      <c r="AL90" s="13">
        <v>5.0000000000000001E-3</v>
      </c>
      <c r="AM90" s="13">
        <v>0.01</v>
      </c>
      <c r="AN90" s="13">
        <v>1.4999999999999999E-2</v>
      </c>
      <c r="AO90" s="13">
        <v>0.02</v>
      </c>
      <c r="AP90" s="13">
        <v>0.03</v>
      </c>
      <c r="AQ90" s="13">
        <v>0.05</v>
      </c>
      <c r="AR90" s="13">
        <v>0.1</v>
      </c>
    </row>
    <row r="91" spans="12:48" x14ac:dyDescent="0.2">
      <c r="AE91" t="s">
        <v>25</v>
      </c>
      <c r="AF91" s="13" t="str">
        <f ca="1">_xll.qlConstantOptionletVolatility(,0,"Target","f",AF86,"Actual/365","Normal")</f>
        <v>obj_0028a#0023</v>
      </c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</row>
    <row r="92" spans="12:48" x14ac:dyDescent="0.2">
      <c r="AE92" s="105" t="s">
        <v>1506</v>
      </c>
      <c r="AF92" s="13" t="str">
        <f ca="1">_xll.qlConstantOptionletVolatility(,0,"Target","f",AF87,"Actual/365","Normal")</f>
        <v>obj_00290#0024</v>
      </c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</row>
    <row r="93" spans="12:48" x14ac:dyDescent="0.2">
      <c r="AE93" t="s">
        <v>157</v>
      </c>
      <c r="AF93" s="13" t="str">
        <f ca="1">_xll.qlConstantOptionletVolatility(,0,"Target","f",AF88,"Actual/365","Normal")</f>
        <v>obj_0028d#0025</v>
      </c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</row>
    <row r="94" spans="12:48" x14ac:dyDescent="0.2"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V94">
        <f>AF94</f>
        <v>0</v>
      </c>
    </row>
    <row r="95" spans="12:48" x14ac:dyDescent="0.2">
      <c r="AC95" t="s">
        <v>280</v>
      </c>
      <c r="AE95" t="s">
        <v>25</v>
      </c>
      <c r="AF95" t="str">
        <f ca="1">_xll.qlBachelierCapFloorEngine(,"eonia",AF91)</f>
        <v>obj_0028b#0023</v>
      </c>
      <c r="AG95" t="e">
        <f ca="1">_xll.qlBachelierCapFloorEngine(,"eonia",$D$41)</f>
        <v>#VALUE!</v>
      </c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</row>
    <row r="96" spans="12:48" x14ac:dyDescent="0.2">
      <c r="AE96" s="105" t="s">
        <v>1506</v>
      </c>
      <c r="AF96" t="str">
        <f ca="1">_xll.qlBachelierCapFloorEngine(,"eonia",AF92)</f>
        <v>obj_00291#0024</v>
      </c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</row>
    <row r="97" spans="29:46" x14ac:dyDescent="0.2">
      <c r="AE97" t="s">
        <v>157</v>
      </c>
      <c r="AF97" t="str">
        <f ca="1">_xll.qlBachelierCapFloorEngine(,"eonia",AF93)</f>
        <v>obj_0028e#0025</v>
      </c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</row>
    <row r="98" spans="29:46" x14ac:dyDescent="0.2"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</row>
    <row r="99" spans="29:46" x14ac:dyDescent="0.2"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</row>
    <row r="100" spans="29:46" x14ac:dyDescent="0.2"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</row>
    <row r="101" spans="29:46" x14ac:dyDescent="0.2"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</row>
    <row r="102" spans="29:46" x14ac:dyDescent="0.2"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</row>
    <row r="103" spans="29:46" x14ac:dyDescent="0.2"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</row>
    <row r="104" spans="29:46" x14ac:dyDescent="0.2"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</row>
    <row r="105" spans="29:46" x14ac:dyDescent="0.2"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</row>
    <row r="109" spans="29:46" x14ac:dyDescent="0.2">
      <c r="AC109" s="105" t="s">
        <v>853</v>
      </c>
      <c r="AE109" t="s">
        <v>280</v>
      </c>
      <c r="AF109" s="13">
        <v>-7.4999999999999997E-3</v>
      </c>
      <c r="AG109" s="13">
        <v>-5.0000000000000001E-3</v>
      </c>
      <c r="AH109" s="13">
        <v>-2.5000000000000001E-3</v>
      </c>
      <c r="AI109" s="13">
        <v>-1.25E-3</v>
      </c>
      <c r="AJ109" s="13">
        <v>0</v>
      </c>
      <c r="AK109" s="13">
        <v>2.5000000000000001E-3</v>
      </c>
      <c r="AL109" s="13">
        <v>5.0000000000000001E-3</v>
      </c>
      <c r="AM109" s="13">
        <v>0.01</v>
      </c>
      <c r="AN109" s="13">
        <v>1.4999999999999999E-2</v>
      </c>
      <c r="AO109" s="13">
        <v>0.02</v>
      </c>
      <c r="AP109" s="13">
        <v>0.03</v>
      </c>
      <c r="AQ109" s="13">
        <v>0.05</v>
      </c>
      <c r="AR109" s="13">
        <v>0.1</v>
      </c>
    </row>
    <row r="110" spans="29:46" ht="12" thickBot="1" x14ac:dyDescent="0.25">
      <c r="AE110" t="s">
        <v>25</v>
      </c>
      <c r="AT110" s="5" t="s">
        <v>6</v>
      </c>
    </row>
    <row r="111" spans="29:46" ht="12" thickBot="1" x14ac:dyDescent="0.25">
      <c r="AE111" s="105" t="s">
        <v>1506</v>
      </c>
      <c r="AT111" s="9"/>
    </row>
    <row r="112" spans="29:46" ht="12" thickBot="1" x14ac:dyDescent="0.25">
      <c r="AE112" t="s">
        <v>157</v>
      </c>
      <c r="AT112" s="9"/>
    </row>
    <row r="113" spans="26:46" ht="12" thickBot="1" x14ac:dyDescent="0.25">
      <c r="AE113" t="s">
        <v>99</v>
      </c>
      <c r="AT113" s="9"/>
    </row>
    <row r="114" spans="26:46" ht="12" thickBot="1" x14ac:dyDescent="0.25">
      <c r="Z114" s="9"/>
      <c r="AE114" t="s">
        <v>101</v>
      </c>
      <c r="AT114" s="9"/>
    </row>
    <row r="115" spans="26:46" ht="12" thickBot="1" x14ac:dyDescent="0.25">
      <c r="Z115" s="9"/>
      <c r="AE115" t="s">
        <v>102</v>
      </c>
      <c r="AT115" s="9"/>
    </row>
    <row r="116" spans="26:46" ht="12" thickBot="1" x14ac:dyDescent="0.25">
      <c r="Z116" s="9"/>
      <c r="AE116" t="s">
        <v>103</v>
      </c>
      <c r="AT116" s="9"/>
    </row>
    <row r="117" spans="26:46" ht="12" thickBot="1" x14ac:dyDescent="0.25">
      <c r="Z117" s="9"/>
      <c r="AE117" t="s">
        <v>104</v>
      </c>
      <c r="AT117" s="9"/>
    </row>
    <row r="118" spans="26:46" ht="12" thickBot="1" x14ac:dyDescent="0.25">
      <c r="Z118" s="9"/>
      <c r="AE118" t="s">
        <v>105</v>
      </c>
      <c r="AT118" s="9"/>
    </row>
    <row r="119" spans="26:46" ht="12" thickBot="1" x14ac:dyDescent="0.25">
      <c r="Z119" s="9"/>
      <c r="AE119" t="s">
        <v>106</v>
      </c>
      <c r="AT119" s="9"/>
    </row>
    <row r="120" spans="26:46" ht="12" thickBot="1" x14ac:dyDescent="0.25">
      <c r="Z120" s="9"/>
      <c r="AE120" t="s">
        <v>79</v>
      </c>
      <c r="AT120" s="9"/>
    </row>
    <row r="121" spans="26:46" ht="12" thickBot="1" x14ac:dyDescent="0.25">
      <c r="Z121" s="9"/>
      <c r="AE121" t="s">
        <v>159</v>
      </c>
      <c r="AT121" s="9"/>
    </row>
    <row r="122" spans="26:46" ht="12" thickBot="1" x14ac:dyDescent="0.25">
      <c r="Z122" s="9"/>
      <c r="AE122" t="s">
        <v>107</v>
      </c>
      <c r="AT122" s="9"/>
    </row>
    <row r="123" spans="26:46" ht="12" thickBot="1" x14ac:dyDescent="0.25">
      <c r="Z123" s="9"/>
      <c r="AE123" t="s">
        <v>108</v>
      </c>
      <c r="AT123" s="9"/>
    </row>
    <row r="124" spans="26:46" ht="12" thickBot="1" x14ac:dyDescent="0.25">
      <c r="Z124" s="9"/>
      <c r="AE124" t="s">
        <v>109</v>
      </c>
      <c r="AT124" s="9"/>
    </row>
    <row r="125" spans="26:46" ht="12" thickBot="1" x14ac:dyDescent="0.25">
      <c r="Z125" s="9"/>
      <c r="AE125" t="s">
        <v>110</v>
      </c>
      <c r="AT125" s="9"/>
    </row>
    <row r="126" spans="26:46" ht="12" thickBot="1" x14ac:dyDescent="0.25">
      <c r="Z126" s="9"/>
      <c r="AT126" s="9"/>
    </row>
    <row r="127" spans="26:46" ht="12" thickBot="1" x14ac:dyDescent="0.25"/>
    <row r="128" spans="26:46" ht="12" thickBot="1" x14ac:dyDescent="0.25">
      <c r="AE128" s="3" t="s">
        <v>37</v>
      </c>
      <c r="AF128" s="5" t="s">
        <v>7</v>
      </c>
      <c r="AG128" s="3" t="s">
        <v>1</v>
      </c>
      <c r="AH128" s="4" t="s">
        <v>28</v>
      </c>
      <c r="AI128" s="4" t="s">
        <v>29</v>
      </c>
      <c r="AJ128" s="4" t="s">
        <v>30</v>
      </c>
      <c r="AK128" s="4" t="s">
        <v>3</v>
      </c>
      <c r="AL128" s="4" t="s">
        <v>31</v>
      </c>
      <c r="AM128" s="4" t="s">
        <v>32</v>
      </c>
      <c r="AN128" s="4" t="s">
        <v>33</v>
      </c>
      <c r="AO128" s="4" t="s">
        <v>34</v>
      </c>
      <c r="AP128" s="4" t="s">
        <v>35</v>
      </c>
      <c r="AQ128" s="4" t="s">
        <v>36</v>
      </c>
      <c r="AR128" s="4" t="s">
        <v>5</v>
      </c>
      <c r="AS128" s="5" t="s">
        <v>6</v>
      </c>
    </row>
    <row r="129" spans="31:45" ht="12" thickBot="1" x14ac:dyDescent="0.25">
      <c r="AE129" s="178" t="str">
        <f>_xll.qlSchedule(AG129,AH129,AI129,AJ129,AK129,AL129,AM129,AN129,AO129,AP129,AQ129,AR129,AS129)</f>
        <v>EUR_EO3M_CapSchedule1Y#0006</v>
      </c>
      <c r="AF129" s="11" t="str">
        <f>_xll.ohRangeRetrieveError(AE129)</f>
        <v/>
      </c>
      <c r="AG129" s="104" t="s">
        <v>1510</v>
      </c>
      <c r="AH129" s="203">
        <f>_xll.qlCalendarAdvance(Calendar,_xll.qlSettingsEvaluationDate(),"2D",)</f>
        <v>42761</v>
      </c>
      <c r="AI129" s="203">
        <f>_xll.qlCalendarAdvance(Calendar,AH129,AE110,)</f>
        <v>43126</v>
      </c>
      <c r="AJ129" s="103" t="s">
        <v>97</v>
      </c>
      <c r="AK129" s="103" t="s">
        <v>10</v>
      </c>
      <c r="AL129" s="103" t="s">
        <v>39</v>
      </c>
      <c r="AM129" s="103" t="s">
        <v>39</v>
      </c>
      <c r="AN129" s="103" t="s">
        <v>289</v>
      </c>
      <c r="AO129" s="103"/>
      <c r="AP129" s="124"/>
      <c r="AQ129" s="124"/>
      <c r="AR129" s="103"/>
      <c r="AS129" s="182"/>
    </row>
    <row r="130" spans="31:45" ht="12" thickBot="1" x14ac:dyDescent="0.25">
      <c r="AE130" s="178" t="str">
        <f>_xll.qlSchedule(AG130,AH130,AI130,AJ130,AK130,AL130,AM130,AN130,AO130,AP130,AQ130,AR130,AS130)</f>
        <v>EUR_EO3M_CapSchedule1Y6M#0006</v>
      </c>
      <c r="AF130" s="11" t="str">
        <f>_xll.ohRangeRetrieveError(AE130)</f>
        <v/>
      </c>
      <c r="AG130" s="104" t="s">
        <v>1511</v>
      </c>
      <c r="AH130" s="203">
        <f>_xll.qlCalendarAdvance(Calendar,_xll.qlSettingsEvaluationDate(),"2D",)</f>
        <v>42761</v>
      </c>
      <c r="AI130" s="203">
        <f>_xll.qlCalendarAdvance(Calendar,AH130,AE111,)</f>
        <v>43307</v>
      </c>
      <c r="AJ130" s="103" t="s">
        <v>97</v>
      </c>
      <c r="AK130" s="103" t="s">
        <v>10</v>
      </c>
      <c r="AL130" s="103" t="s">
        <v>39</v>
      </c>
      <c r="AM130" s="103" t="s">
        <v>39</v>
      </c>
      <c r="AN130" s="103" t="s">
        <v>289</v>
      </c>
      <c r="AO130" s="103"/>
      <c r="AP130" s="124"/>
      <c r="AQ130" s="124"/>
      <c r="AR130" s="103"/>
      <c r="AS130" s="182"/>
    </row>
    <row r="131" spans="31:45" ht="12" thickBot="1" x14ac:dyDescent="0.25">
      <c r="AE131" s="178" t="str">
        <f>_xll.qlSchedule(AG131,AH131,AI131,AJ131,AK131,AL131,AM131,AN131,AO131,AP131,AQ131,AR131,AS131)</f>
        <v>EUR_EO3M_CapSchedule2Y#0006</v>
      </c>
      <c r="AF131" s="11" t="str">
        <f>_xll.ohRangeRetrieveError(AE131)</f>
        <v/>
      </c>
      <c r="AG131" s="104" t="s">
        <v>1512</v>
      </c>
      <c r="AH131" s="203">
        <f>_xll.qlCalendarAdvance(Calendar,_xll.qlSettingsEvaluationDate(),"2D",)</f>
        <v>42761</v>
      </c>
      <c r="AI131" s="203">
        <f>_xll.qlCalendarAdvance(Calendar,AH131,AE112,)</f>
        <v>43493</v>
      </c>
      <c r="AJ131" s="103" t="s">
        <v>97</v>
      </c>
      <c r="AK131" s="103" t="s">
        <v>10</v>
      </c>
      <c r="AL131" s="103" t="s">
        <v>39</v>
      </c>
      <c r="AM131" s="103" t="s">
        <v>39</v>
      </c>
      <c r="AN131" s="103" t="s">
        <v>289</v>
      </c>
      <c r="AO131" s="103"/>
      <c r="AP131" s="124"/>
      <c r="AQ131" s="124"/>
      <c r="AR131" s="103"/>
      <c r="AS131" s="182"/>
    </row>
    <row r="132" spans="31:45" ht="12" thickBot="1" x14ac:dyDescent="0.25">
      <c r="AE132" s="178"/>
      <c r="AF132" s="11"/>
      <c r="AG132" s="104"/>
      <c r="AH132" s="203"/>
      <c r="AI132" s="203"/>
      <c r="AJ132" s="103"/>
      <c r="AK132" s="103"/>
      <c r="AL132" s="103"/>
      <c r="AM132" s="103"/>
      <c r="AN132" s="103"/>
      <c r="AO132" s="103"/>
      <c r="AP132" s="124"/>
      <c r="AQ132" s="124"/>
      <c r="AR132" s="103"/>
      <c r="AS132" s="182"/>
    </row>
    <row r="133" spans="31:45" ht="12" thickBot="1" x14ac:dyDescent="0.25">
      <c r="AE133" s="178"/>
      <c r="AF133" s="11"/>
      <c r="AG133" s="104"/>
      <c r="AH133" s="203"/>
      <c r="AI133" s="203"/>
      <c r="AJ133" s="103"/>
      <c r="AK133" s="103"/>
      <c r="AL133" s="103"/>
      <c r="AM133" s="103"/>
      <c r="AN133" s="103"/>
      <c r="AO133" s="103"/>
      <c r="AP133" s="124"/>
      <c r="AQ133" s="124"/>
      <c r="AR133" s="103"/>
      <c r="AS133" s="182"/>
    </row>
    <row r="134" spans="31:45" ht="12" thickBot="1" x14ac:dyDescent="0.25">
      <c r="AE134" s="178"/>
      <c r="AF134" s="11"/>
      <c r="AG134" s="104"/>
      <c r="AH134" s="203"/>
      <c r="AI134" s="203"/>
      <c r="AJ134" s="103"/>
      <c r="AK134" s="103"/>
      <c r="AL134" s="103"/>
      <c r="AM134" s="103"/>
      <c r="AN134" s="103"/>
      <c r="AO134" s="103"/>
      <c r="AP134" s="124"/>
      <c r="AQ134" s="124"/>
      <c r="AR134" s="103"/>
      <c r="AS134" s="182"/>
    </row>
    <row r="135" spans="31:45" ht="12" thickBot="1" x14ac:dyDescent="0.25">
      <c r="AE135" s="178"/>
      <c r="AF135" s="11"/>
      <c r="AG135" s="104"/>
      <c r="AH135" s="203"/>
      <c r="AI135" s="203"/>
      <c r="AJ135" s="103"/>
      <c r="AK135" s="103"/>
      <c r="AL135" s="103"/>
      <c r="AM135" s="103"/>
      <c r="AN135" s="103"/>
      <c r="AO135" s="103"/>
      <c r="AP135" s="124"/>
      <c r="AQ135" s="124"/>
      <c r="AR135" s="103"/>
      <c r="AS135" s="182"/>
    </row>
    <row r="136" spans="31:45" ht="12" thickBot="1" x14ac:dyDescent="0.25">
      <c r="AE136" s="178"/>
      <c r="AF136" s="11"/>
      <c r="AG136" s="104"/>
      <c r="AH136" s="203"/>
      <c r="AI136" s="203"/>
      <c r="AJ136" s="103"/>
      <c r="AK136" s="103"/>
      <c r="AL136" s="103"/>
      <c r="AM136" s="103"/>
      <c r="AN136" s="103"/>
      <c r="AO136" s="103"/>
      <c r="AP136" s="124"/>
      <c r="AQ136" s="124"/>
      <c r="AR136" s="103"/>
      <c r="AS136" s="182"/>
    </row>
    <row r="137" spans="31:45" ht="12" thickBot="1" x14ac:dyDescent="0.25">
      <c r="AE137" s="178"/>
      <c r="AF137" s="11"/>
      <c r="AG137" s="104"/>
      <c r="AH137" s="203"/>
      <c r="AI137" s="203"/>
      <c r="AJ137" s="103"/>
      <c r="AK137" s="103"/>
      <c r="AL137" s="103"/>
      <c r="AM137" s="103"/>
      <c r="AN137" s="103"/>
      <c r="AO137" s="103"/>
      <c r="AP137" s="124"/>
      <c r="AQ137" s="124"/>
      <c r="AR137" s="103"/>
      <c r="AS137" s="182"/>
    </row>
    <row r="138" spans="31:45" ht="12" thickBot="1" x14ac:dyDescent="0.25">
      <c r="AE138" s="178"/>
      <c r="AF138" s="11"/>
      <c r="AG138" s="104"/>
      <c r="AH138" s="203"/>
      <c r="AI138" s="203"/>
      <c r="AJ138" s="103"/>
      <c r="AK138" s="103"/>
      <c r="AL138" s="103"/>
      <c r="AM138" s="103"/>
      <c r="AN138" s="103"/>
      <c r="AO138" s="103"/>
      <c r="AP138" s="124"/>
      <c r="AQ138" s="124"/>
      <c r="AR138" s="103"/>
      <c r="AS138" s="182"/>
    </row>
    <row r="139" spans="31:45" ht="12" thickBot="1" x14ac:dyDescent="0.25">
      <c r="AE139" s="178"/>
      <c r="AF139" s="11"/>
      <c r="AG139" s="104"/>
      <c r="AH139" s="203"/>
      <c r="AI139" s="203"/>
      <c r="AJ139" s="103"/>
      <c r="AK139" s="103"/>
      <c r="AL139" s="103"/>
      <c r="AM139" s="103"/>
      <c r="AN139" s="103"/>
      <c r="AO139" s="103"/>
      <c r="AP139" s="124"/>
      <c r="AQ139" s="124"/>
      <c r="AR139" s="103"/>
      <c r="AS139" s="182"/>
    </row>
    <row r="140" spans="31:45" ht="12" thickBot="1" x14ac:dyDescent="0.25">
      <c r="AE140" s="178"/>
      <c r="AF140" s="11"/>
      <c r="AG140" s="104"/>
      <c r="AH140" s="203"/>
      <c r="AI140" s="203"/>
      <c r="AJ140" s="103"/>
      <c r="AK140" s="103"/>
      <c r="AL140" s="103"/>
      <c r="AM140" s="103"/>
      <c r="AN140" s="103"/>
      <c r="AO140" s="103"/>
      <c r="AP140" s="124"/>
      <c r="AQ140" s="124"/>
      <c r="AR140" s="103"/>
      <c r="AS140" s="182"/>
    </row>
    <row r="141" spans="31:45" ht="12" thickBot="1" x14ac:dyDescent="0.25">
      <c r="AE141" s="178"/>
      <c r="AF141" s="11"/>
      <c r="AG141" s="104"/>
      <c r="AH141" s="203"/>
      <c r="AI141" s="203"/>
      <c r="AJ141" s="103"/>
      <c r="AK141" s="103"/>
      <c r="AL141" s="103"/>
      <c r="AM141" s="103"/>
      <c r="AN141" s="103"/>
      <c r="AO141" s="103"/>
      <c r="AP141" s="124"/>
      <c r="AQ141" s="124"/>
      <c r="AR141" s="103"/>
      <c r="AS141" s="182"/>
    </row>
    <row r="142" spans="31:45" ht="12" thickBot="1" x14ac:dyDescent="0.25">
      <c r="AE142" s="178"/>
      <c r="AF142" s="11"/>
      <c r="AG142" s="104"/>
      <c r="AH142" s="203"/>
      <c r="AI142" s="203"/>
      <c r="AJ142" s="103"/>
      <c r="AK142" s="103"/>
      <c r="AL142" s="103"/>
      <c r="AM142" s="103"/>
      <c r="AN142" s="103"/>
      <c r="AO142" s="103"/>
      <c r="AP142" s="124"/>
      <c r="AQ142" s="124"/>
      <c r="AR142" s="103"/>
      <c r="AS142" s="182"/>
    </row>
    <row r="143" spans="31:45" ht="12" thickBot="1" x14ac:dyDescent="0.25">
      <c r="AE143" s="178"/>
      <c r="AF143" s="11"/>
      <c r="AG143" s="104"/>
      <c r="AH143" s="203"/>
      <c r="AI143" s="203"/>
      <c r="AJ143" s="103"/>
      <c r="AK143" s="103"/>
      <c r="AL143" s="103"/>
      <c r="AM143" s="103"/>
      <c r="AN143" s="103"/>
      <c r="AO143" s="103"/>
      <c r="AP143" s="124"/>
      <c r="AQ143" s="124"/>
      <c r="AR143" s="103"/>
      <c r="AS143" s="182"/>
    </row>
    <row r="144" spans="31:45" ht="12" thickBot="1" x14ac:dyDescent="0.25">
      <c r="AE144" s="178"/>
      <c r="AF144" s="11"/>
      <c r="AG144" s="104"/>
      <c r="AH144" s="203"/>
      <c r="AI144" s="203"/>
      <c r="AJ144" s="103"/>
      <c r="AK144" s="103"/>
      <c r="AL144" s="103"/>
      <c r="AM144" s="103"/>
      <c r="AN144" s="103"/>
      <c r="AO144" s="103"/>
      <c r="AP144" s="124"/>
      <c r="AQ144" s="124"/>
      <c r="AR144" s="103"/>
      <c r="AS144" s="182"/>
    </row>
    <row r="145" spans="31:45" ht="12" thickBot="1" x14ac:dyDescent="0.25">
      <c r="AE145" s="178"/>
      <c r="AF145" s="11"/>
      <c r="AG145" s="104"/>
      <c r="AH145" s="203"/>
      <c r="AI145" s="203"/>
      <c r="AJ145" s="103"/>
      <c r="AK145" s="103"/>
      <c r="AL145" s="103"/>
      <c r="AM145" s="103"/>
      <c r="AN145" s="103"/>
      <c r="AO145" s="103"/>
      <c r="AP145" s="124"/>
      <c r="AQ145" s="124"/>
      <c r="AR145" s="103"/>
      <c r="AS145" s="182"/>
    </row>
    <row r="146" spans="31:45" ht="12" thickBot="1" x14ac:dyDescent="0.25">
      <c r="AE146" s="178"/>
      <c r="AF146" s="11"/>
      <c r="AG146" s="104"/>
      <c r="AH146" s="203"/>
      <c r="AI146" s="203"/>
      <c r="AJ146" s="103"/>
      <c r="AK146" s="103"/>
      <c r="AL146" s="103"/>
      <c r="AM146" s="103"/>
      <c r="AN146" s="103"/>
      <c r="AO146" s="103"/>
      <c r="AP146" s="124"/>
      <c r="AQ146" s="124"/>
      <c r="AR146" s="103"/>
      <c r="AS146" s="182"/>
    </row>
    <row r="147" spans="31:45" ht="12" thickBot="1" x14ac:dyDescent="0.25"/>
    <row r="148" spans="31:45" ht="12" thickBot="1" x14ac:dyDescent="0.25">
      <c r="AE148" s="3" t="s">
        <v>55</v>
      </c>
      <c r="AF148" s="5" t="s">
        <v>7</v>
      </c>
      <c r="AG148" s="3" t="s">
        <v>1</v>
      </c>
      <c r="AH148" s="4" t="s">
        <v>47</v>
      </c>
      <c r="AI148" s="4" t="s">
        <v>48</v>
      </c>
      <c r="AJ148" s="4" t="s">
        <v>12</v>
      </c>
      <c r="AK148" s="4" t="s">
        <v>49</v>
      </c>
      <c r="AL148" s="4" t="s">
        <v>50</v>
      </c>
      <c r="AM148" s="4" t="s">
        <v>4</v>
      </c>
      <c r="AN148" s="4" t="s">
        <v>51</v>
      </c>
      <c r="AO148" s="4" t="s">
        <v>52</v>
      </c>
      <c r="AP148" s="4" t="s">
        <v>21</v>
      </c>
      <c r="AQ148" s="4" t="s">
        <v>53</v>
      </c>
      <c r="AR148" s="4" t="s">
        <v>54</v>
      </c>
      <c r="AS148" s="4" t="s">
        <v>5</v>
      </c>
    </row>
    <row r="149" spans="31:45" ht="12" thickBot="1" x14ac:dyDescent="0.25">
      <c r="AE149" s="178" t="str">
        <f>_xll.qlIborLeg(AG149,AH149,AI149,AJ149,AK149,AL149,AM149,AN149,AO149,AP149,AQ149,AR149,AS149,AT166)</f>
        <v>obj_001ed#0005</v>
      </c>
      <c r="AF149" s="11" t="str">
        <f>_xll.ohRangeRetrieveError(AE149)</f>
        <v/>
      </c>
      <c r="AG149" s="104"/>
      <c r="AH149" s="103" t="s">
        <v>26</v>
      </c>
      <c r="AI149" s="189">
        <v>1000000</v>
      </c>
      <c r="AJ149" s="103" t="str">
        <f>AG129</f>
        <v>EUR_EO3M_CapSchedule1Y</v>
      </c>
      <c r="AK149" s="103"/>
      <c r="AL149" s="103"/>
      <c r="AM149" s="103" t="s">
        <v>14</v>
      </c>
      <c r="AN149" s="181"/>
      <c r="AO149" s="103"/>
      <c r="AP149" s="103" t="s">
        <v>993</v>
      </c>
      <c r="AQ149" s="181"/>
      <c r="AR149" s="181"/>
      <c r="AS149" s="103"/>
    </row>
    <row r="150" spans="31:45" ht="12" thickBot="1" x14ac:dyDescent="0.25">
      <c r="AE150" s="178" t="str">
        <f>_xll.qlIborLeg(AG150,AH150,AI150,AJ150,AK150,AL150,AM150,AN150,AO150,AP150,AQ150,AR150,AS150,AT167)</f>
        <v>obj_001ec#0005</v>
      </c>
      <c r="AF150" s="11" t="str">
        <f>_xll.ohRangeRetrieveError(AE150)</f>
        <v/>
      </c>
      <c r="AG150" s="104"/>
      <c r="AH150" s="103" t="s">
        <v>26</v>
      </c>
      <c r="AI150" s="189">
        <v>1000000</v>
      </c>
      <c r="AJ150" s="103" t="str">
        <f>AG130</f>
        <v>EUR_EO3M_CapSchedule1Y6M</v>
      </c>
      <c r="AK150" s="103"/>
      <c r="AL150" s="103"/>
      <c r="AM150" s="103" t="s">
        <v>14</v>
      </c>
      <c r="AN150" s="181"/>
      <c r="AO150" s="103"/>
      <c r="AP150" s="103" t="s">
        <v>993</v>
      </c>
      <c r="AQ150" s="181"/>
      <c r="AR150" s="181"/>
      <c r="AS150" s="103"/>
    </row>
    <row r="151" spans="31:45" ht="12" thickBot="1" x14ac:dyDescent="0.25">
      <c r="AE151" s="178" t="str">
        <f>_xll.qlIborLeg(AG151,AH151,AI151,AJ151,AK151,AL151,AM151,AN151,AO151,AP151,AQ151,AR151,AS151,AT168)</f>
        <v>obj_001ef#0005</v>
      </c>
      <c r="AF151" s="11" t="str">
        <f>_xll.ohRangeRetrieveError(AE151)</f>
        <v/>
      </c>
      <c r="AG151" s="104"/>
      <c r="AH151" s="103" t="s">
        <v>26</v>
      </c>
      <c r="AI151" s="189">
        <v>1000000</v>
      </c>
      <c r="AJ151" s="103" t="str">
        <f t="shared" ref="AJ151" si="41">AG131</f>
        <v>EUR_EO3M_CapSchedule2Y</v>
      </c>
      <c r="AK151" s="103"/>
      <c r="AL151" s="103"/>
      <c r="AM151" s="103" t="s">
        <v>14</v>
      </c>
      <c r="AN151" s="181"/>
      <c r="AO151" s="103"/>
      <c r="AP151" s="103" t="s">
        <v>993</v>
      </c>
      <c r="AQ151" s="181"/>
      <c r="AR151" s="181"/>
      <c r="AS151" s="103"/>
    </row>
    <row r="152" spans="31:45" ht="12" thickBot="1" x14ac:dyDescent="0.25">
      <c r="AE152" s="178"/>
      <c r="AF152" s="11"/>
      <c r="AG152" s="104"/>
      <c r="AH152" s="103"/>
      <c r="AI152" s="189"/>
      <c r="AJ152" s="103"/>
      <c r="AK152" s="103"/>
      <c r="AL152" s="103"/>
      <c r="AM152" s="103"/>
      <c r="AN152" s="181"/>
      <c r="AO152" s="103"/>
      <c r="AP152" s="103"/>
      <c r="AQ152" s="181"/>
      <c r="AR152" s="181"/>
      <c r="AS152" s="103"/>
    </row>
    <row r="153" spans="31:45" ht="12" thickBot="1" x14ac:dyDescent="0.25">
      <c r="AE153" s="178"/>
      <c r="AF153" s="11"/>
      <c r="AG153" s="104"/>
      <c r="AH153" s="103"/>
      <c r="AI153" s="189"/>
      <c r="AJ153" s="103"/>
      <c r="AK153" s="103"/>
      <c r="AL153" s="103"/>
      <c r="AM153" s="103"/>
      <c r="AN153" s="181"/>
      <c r="AO153" s="103"/>
      <c r="AP153" s="103"/>
      <c r="AQ153" s="181"/>
      <c r="AR153" s="181"/>
      <c r="AS153" s="103"/>
    </row>
    <row r="154" spans="31:45" ht="12" thickBot="1" x14ac:dyDescent="0.25">
      <c r="AE154" s="178"/>
      <c r="AF154" s="11"/>
      <c r="AG154" s="104"/>
      <c r="AH154" s="103"/>
      <c r="AI154" s="189"/>
      <c r="AJ154" s="103"/>
      <c r="AK154" s="103"/>
      <c r="AL154" s="103"/>
      <c r="AM154" s="103"/>
      <c r="AN154" s="181"/>
      <c r="AO154" s="103"/>
      <c r="AP154" s="103"/>
      <c r="AQ154" s="181"/>
      <c r="AR154" s="181"/>
      <c r="AS154" s="103"/>
    </row>
    <row r="155" spans="31:45" ht="12" thickBot="1" x14ac:dyDescent="0.25">
      <c r="AE155" s="178"/>
      <c r="AF155" s="11"/>
      <c r="AG155" s="104"/>
      <c r="AH155" s="103"/>
      <c r="AI155" s="189"/>
      <c r="AJ155" s="103"/>
      <c r="AK155" s="103"/>
      <c r="AL155" s="103"/>
      <c r="AM155" s="103"/>
      <c r="AN155" s="181"/>
      <c r="AO155" s="103"/>
      <c r="AP155" s="103"/>
      <c r="AQ155" s="181"/>
      <c r="AR155" s="181"/>
      <c r="AS155" s="103"/>
    </row>
    <row r="156" spans="31:45" ht="12" thickBot="1" x14ac:dyDescent="0.25">
      <c r="AE156" s="178"/>
      <c r="AF156" s="11"/>
      <c r="AG156" s="104"/>
      <c r="AH156" s="103"/>
      <c r="AI156" s="189"/>
      <c r="AJ156" s="103"/>
      <c r="AK156" s="103"/>
      <c r="AL156" s="103"/>
      <c r="AM156" s="103"/>
      <c r="AN156" s="181"/>
      <c r="AO156" s="103"/>
      <c r="AP156" s="103"/>
      <c r="AQ156" s="181"/>
      <c r="AR156" s="181"/>
      <c r="AS156" s="103"/>
    </row>
    <row r="157" spans="31:45" ht="12" thickBot="1" x14ac:dyDescent="0.25">
      <c r="AE157" s="178"/>
      <c r="AF157" s="11"/>
      <c r="AG157" s="104"/>
      <c r="AH157" s="103"/>
      <c r="AI157" s="189"/>
      <c r="AJ157" s="103"/>
      <c r="AK157" s="103"/>
      <c r="AL157" s="103"/>
      <c r="AM157" s="103"/>
      <c r="AN157" s="181"/>
      <c r="AO157" s="103"/>
      <c r="AP157" s="103"/>
      <c r="AQ157" s="181"/>
      <c r="AR157" s="181"/>
      <c r="AS157" s="103"/>
    </row>
    <row r="158" spans="31:45" ht="12" thickBot="1" x14ac:dyDescent="0.25">
      <c r="AE158" s="178"/>
      <c r="AF158" s="11"/>
      <c r="AG158" s="104"/>
      <c r="AH158" s="103"/>
      <c r="AI158" s="189"/>
      <c r="AJ158" s="103"/>
      <c r="AK158" s="103"/>
      <c r="AL158" s="103"/>
      <c r="AM158" s="103"/>
      <c r="AN158" s="181"/>
      <c r="AO158" s="103"/>
      <c r="AP158" s="103"/>
      <c r="AQ158" s="181"/>
      <c r="AR158" s="181"/>
      <c r="AS158" s="103"/>
    </row>
    <row r="159" spans="31:45" ht="12" thickBot="1" x14ac:dyDescent="0.25">
      <c r="AE159" s="178"/>
      <c r="AF159" s="11"/>
      <c r="AG159" s="104"/>
      <c r="AH159" s="103"/>
      <c r="AI159" s="189"/>
      <c r="AJ159" s="103"/>
      <c r="AK159" s="103"/>
      <c r="AL159" s="103"/>
      <c r="AM159" s="103"/>
      <c r="AN159" s="181"/>
      <c r="AO159" s="103"/>
      <c r="AP159" s="103"/>
      <c r="AQ159" s="181"/>
      <c r="AR159" s="181"/>
      <c r="AS159" s="103"/>
    </row>
    <row r="160" spans="31:45" ht="12" thickBot="1" x14ac:dyDescent="0.25">
      <c r="AE160" s="178"/>
      <c r="AF160" s="11"/>
      <c r="AG160" s="104"/>
      <c r="AH160" s="103"/>
      <c r="AI160" s="189"/>
      <c r="AJ160" s="103"/>
      <c r="AK160" s="103"/>
      <c r="AL160" s="103"/>
      <c r="AM160" s="103"/>
      <c r="AN160" s="181"/>
      <c r="AO160" s="103"/>
      <c r="AP160" s="103"/>
      <c r="AQ160" s="181"/>
      <c r="AR160" s="181"/>
      <c r="AS160" s="103"/>
    </row>
    <row r="161" spans="30:45" ht="12" thickBot="1" x14ac:dyDescent="0.25">
      <c r="AE161" s="178"/>
      <c r="AF161" s="11"/>
      <c r="AG161" s="104"/>
      <c r="AH161" s="103"/>
      <c r="AI161" s="189"/>
      <c r="AJ161" s="103"/>
      <c r="AK161" s="103"/>
      <c r="AL161" s="103"/>
      <c r="AM161" s="103"/>
      <c r="AN161" s="181"/>
      <c r="AO161" s="103"/>
      <c r="AP161" s="103"/>
      <c r="AQ161" s="181"/>
      <c r="AR161" s="181"/>
      <c r="AS161" s="103"/>
    </row>
    <row r="162" spans="30:45" ht="12" thickBot="1" x14ac:dyDescent="0.25">
      <c r="AE162" s="178"/>
      <c r="AF162" s="11"/>
      <c r="AG162" s="104"/>
      <c r="AH162" s="103"/>
      <c r="AI162" s="189"/>
      <c r="AJ162" s="103"/>
      <c r="AK162" s="103"/>
      <c r="AL162" s="103"/>
      <c r="AM162" s="103"/>
      <c r="AN162" s="181"/>
      <c r="AO162" s="103"/>
      <c r="AP162" s="103"/>
      <c r="AQ162" s="181"/>
      <c r="AR162" s="181"/>
      <c r="AS162" s="103"/>
    </row>
    <row r="163" spans="30:45" ht="12" thickBot="1" x14ac:dyDescent="0.25">
      <c r="AE163" s="178"/>
      <c r="AF163" s="11"/>
      <c r="AG163" s="104"/>
      <c r="AH163" s="103"/>
      <c r="AI163" s="189"/>
      <c r="AJ163" s="103"/>
      <c r="AK163" s="103"/>
      <c r="AL163" s="103"/>
      <c r="AM163" s="103"/>
      <c r="AN163" s="181"/>
      <c r="AO163" s="103"/>
      <c r="AP163" s="103"/>
      <c r="AQ163" s="181"/>
      <c r="AR163" s="181"/>
      <c r="AS163" s="103"/>
    </row>
    <row r="164" spans="30:45" ht="12" thickBot="1" x14ac:dyDescent="0.25">
      <c r="AE164" s="178"/>
      <c r="AF164" s="11"/>
      <c r="AG164" s="104"/>
      <c r="AH164" s="103"/>
      <c r="AI164" s="189"/>
      <c r="AJ164" s="103"/>
      <c r="AK164" s="103"/>
      <c r="AL164" s="103"/>
      <c r="AM164" s="103"/>
      <c r="AN164" s="181"/>
      <c r="AO164" s="103"/>
      <c r="AP164" s="103"/>
      <c r="AQ164" s="181"/>
      <c r="AR164" s="181"/>
      <c r="AS164" s="103"/>
    </row>
    <row r="165" spans="30:45" ht="12" thickBot="1" x14ac:dyDescent="0.25"/>
    <row r="166" spans="30:45" x14ac:dyDescent="0.2">
      <c r="AF166" s="3" t="s">
        <v>46</v>
      </c>
    </row>
    <row r="167" spans="30:45" ht="12" thickBot="1" x14ac:dyDescent="0.25">
      <c r="AF167" s="5" t="s">
        <v>7</v>
      </c>
      <c r="AG167" s="11" t="str">
        <f>_xll.ohRangeRetrieveError(AF172)</f>
        <v/>
      </c>
    </row>
    <row r="170" spans="30:45" x14ac:dyDescent="0.2">
      <c r="AF170" s="4" t="s">
        <v>45</v>
      </c>
    </row>
    <row r="171" spans="30:45" ht="12" thickBot="1" x14ac:dyDescent="0.25">
      <c r="AF171" s="13">
        <v>-7.4999999999999997E-3</v>
      </c>
      <c r="AG171" s="13">
        <v>-5.0000000000000001E-3</v>
      </c>
      <c r="AH171" s="13">
        <v>-2.5000000000000001E-3</v>
      </c>
      <c r="AI171" s="13">
        <v>-1.25E-3</v>
      </c>
      <c r="AJ171" s="13">
        <v>0</v>
      </c>
      <c r="AK171" s="13">
        <v>2.5000000000000001E-3</v>
      </c>
      <c r="AL171" s="13">
        <v>5.0000000000000001E-3</v>
      </c>
      <c r="AM171" s="13">
        <v>0.01</v>
      </c>
      <c r="AN171" s="13">
        <v>1.4999999999999999E-2</v>
      </c>
      <c r="AO171" s="13">
        <v>0.02</v>
      </c>
      <c r="AP171" s="13">
        <v>0.03</v>
      </c>
      <c r="AQ171" s="13">
        <v>0.05</v>
      </c>
      <c r="AR171" s="13">
        <v>0.1</v>
      </c>
    </row>
    <row r="172" spans="30:45" ht="12" thickBot="1" x14ac:dyDescent="0.25">
      <c r="AD172" s="4" t="s">
        <v>44</v>
      </c>
      <c r="AE172" s="103" t="str">
        <f>AE149</f>
        <v>obj_001ed#0005</v>
      </c>
      <c r="AF172" s="178" t="str">
        <f>_xll.qlCapFloor(,$AC$47,$AE172,AF$171,,)</f>
        <v>obj_00209#0005</v>
      </c>
      <c r="AG172" s="178" t="str">
        <f>_xll.qlCapFloor(,$I$47,$AE172,AG$171,,)</f>
        <v>obj_001fe#0005</v>
      </c>
      <c r="AH172" s="178" t="str">
        <f>_xll.qlCapFloor(,$I$47,$AE172,AH$171,,)</f>
        <v>obj_00211#0005</v>
      </c>
      <c r="AI172" s="178" t="str">
        <f>_xll.qlCapFloor(,$I$47,$AE172,AI$171,,)</f>
        <v>obj_001f5#0005</v>
      </c>
      <c r="AJ172" s="178" t="str">
        <f>_xll.qlCapFloor(,$I$47,$AE172,AJ$171,,)</f>
        <v>obj_001f9#0005</v>
      </c>
      <c r="AK172" s="178" t="str">
        <f>_xll.qlCapFloor(,$I$47,$AE172,AK$171,,)</f>
        <v>obj_00212#0005</v>
      </c>
      <c r="AL172" s="178" t="str">
        <f>_xll.qlCapFloor(,$I$47,$AE172,AL$171,,)</f>
        <v>obj_00215#0005</v>
      </c>
      <c r="AM172" s="178" t="str">
        <f>_xll.qlCapFloor(,$I$47,$AE172,AM$171,,)</f>
        <v>obj_00217#0005</v>
      </c>
      <c r="AN172" s="178" t="str">
        <f>_xll.qlCapFloor(,$I$47,$AE172,AN$171,,)</f>
        <v>obj_00202#0005</v>
      </c>
      <c r="AO172" s="178" t="str">
        <f>_xll.qlCapFloor(,$I$47,$AE172,AO$171,,)</f>
        <v>obj_001ff#0005</v>
      </c>
      <c r="AP172" s="178" t="str">
        <f>_xll.qlCapFloor(,$I$47,$AE172,AP$171,,)</f>
        <v>obj_001f7#0005</v>
      </c>
      <c r="AQ172" s="178" t="str">
        <f>_xll.qlCapFloor(,$I$47,$AE172,AQ$171,,)</f>
        <v>obj_00210#0005</v>
      </c>
      <c r="AR172" s="178" t="str">
        <f>_xll.qlCapFloor(,$I$47,$AE172,AR$171,,)</f>
        <v>obj_0020e#0005</v>
      </c>
    </row>
    <row r="173" spans="30:45" ht="12" thickBot="1" x14ac:dyDescent="0.25">
      <c r="AD173" s="4" t="s">
        <v>44</v>
      </c>
      <c r="AE173" s="103" t="str">
        <f t="shared" ref="AE173:AE186" si="42">AE150</f>
        <v>obj_001ec#0005</v>
      </c>
      <c r="AF173" s="178" t="str">
        <f>_xll.qlCapFloor(,$I$47,$AE173,AF$171,,)</f>
        <v>obj_0020a#0005</v>
      </c>
      <c r="AG173" s="178" t="str">
        <f>_xll.qlCapFloor(,$I$47,$AE173,AG$171,,)</f>
        <v>obj_001fb#0005</v>
      </c>
      <c r="AH173" s="178" t="str">
        <f>_xll.qlCapFloor(,$I$47,$AE173,AH$171,,)</f>
        <v>obj_00205#0005</v>
      </c>
      <c r="AI173" s="178" t="str">
        <f>_xll.qlCapFloor(,$I$47,$AE173,AI$171,,)</f>
        <v>obj_00207#0005</v>
      </c>
      <c r="AJ173" s="178" t="str">
        <f>_xll.qlCapFloor(,$I$47,$AE173,AJ$171,,)</f>
        <v>obj_0020b#0005</v>
      </c>
      <c r="AK173" s="178" t="str">
        <f>_xll.qlCapFloor(,$I$47,$AE173,AK$171,,)</f>
        <v>obj_001fd#0005</v>
      </c>
      <c r="AL173" s="178" t="str">
        <f>_xll.qlCapFloor(,$I$47,$AE173,AL$171,,)</f>
        <v>obj_00213#0005</v>
      </c>
      <c r="AM173" s="178" t="str">
        <f>_xll.qlCapFloor(,$I$47,$AE173,AM$171,,)</f>
        <v>obj_00206#0005</v>
      </c>
      <c r="AN173" s="178" t="str">
        <f>_xll.qlCapFloor(,$I$47,$AE173,AN$171,,)</f>
        <v>obj_001f3#0005</v>
      </c>
      <c r="AO173" s="178" t="str">
        <f>_xll.qlCapFloor(,$I$47,$AE173,AO$171,,)</f>
        <v>obj_001f6#0005</v>
      </c>
      <c r="AP173" s="178" t="str">
        <f>_xll.qlCapFloor(,$I$47,$AE173,AP$171,,)</f>
        <v>obj_0020f#0005</v>
      </c>
      <c r="AQ173" s="178" t="str">
        <f>_xll.qlCapFloor(,$I$47,$AE173,AQ$171,,)</f>
        <v>obj_001f4#0005</v>
      </c>
      <c r="AR173" s="178" t="str">
        <f>_xll.qlCapFloor(,$I$47,$AE173,AR$171,,)</f>
        <v>obj_00214#0005</v>
      </c>
    </row>
    <row r="174" spans="30:45" ht="12" thickBot="1" x14ac:dyDescent="0.25">
      <c r="AD174" s="4" t="s">
        <v>44</v>
      </c>
      <c r="AE174" s="103" t="str">
        <f t="shared" si="42"/>
        <v>obj_001ef#0005</v>
      </c>
      <c r="AF174" s="178" t="str">
        <f>_xll.qlCapFloor(,$I$47,$AE174,AF$171,,)</f>
        <v>obj_00208#0005</v>
      </c>
      <c r="AG174" s="178" t="str">
        <f>_xll.qlCapFloor(,$I$47,$AE174,AG$171,,)</f>
        <v>obj_00218#0005</v>
      </c>
      <c r="AH174" s="178" t="str">
        <f>_xll.qlCapFloor(,$I$47,$AE174,AH$171,,)</f>
        <v>obj_00201#0005</v>
      </c>
      <c r="AI174" s="178" t="str">
        <f>_xll.qlCapFloor(,$I$47,$AE174,AI$171,,)</f>
        <v>obj_00216#0005</v>
      </c>
      <c r="AJ174" s="178" t="str">
        <f>_xll.qlCapFloor(,$I$47,$AE174,AJ$171,,)</f>
        <v>obj_00203#0005</v>
      </c>
      <c r="AK174" s="178" t="str">
        <f>_xll.qlCapFloor(,$I$47,$AE174,AK$171,,)</f>
        <v>obj_00200#0005</v>
      </c>
      <c r="AL174" s="178" t="str">
        <f>_xll.qlCapFloor(,$I$47,$AE174,AL$171,,)</f>
        <v>obj_001f2#0005</v>
      </c>
      <c r="AM174" s="178" t="str">
        <f>_xll.qlCapFloor(,$I$47,$AE174,AM$171,,)</f>
        <v>obj_0020c#0005</v>
      </c>
      <c r="AN174" s="178" t="str">
        <f>_xll.qlCapFloor(,$I$47,$AE174,AN$171,,)</f>
        <v>obj_001f8#0005</v>
      </c>
      <c r="AO174" s="178" t="str">
        <f>_xll.qlCapFloor(,$I$47,$AE174,AO$171,,)</f>
        <v>obj_00204#0005</v>
      </c>
      <c r="AP174" s="178" t="str">
        <f>_xll.qlCapFloor(,$I$47,$AE174,AP$171,,)</f>
        <v>obj_001fa#0005</v>
      </c>
      <c r="AQ174" s="178" t="str">
        <f>_xll.qlCapFloor(,$I$47,$AE174,AQ$171,,)</f>
        <v>obj_0020d#0005</v>
      </c>
      <c r="AR174" s="178" t="str">
        <f>_xll.qlCapFloor(,$I$47,$AE174,AR$171,,)</f>
        <v>obj_001fc#0005</v>
      </c>
    </row>
    <row r="175" spans="30:45" ht="12" thickBot="1" x14ac:dyDescent="0.25">
      <c r="AD175" s="4" t="s">
        <v>44</v>
      </c>
      <c r="AE175" s="103">
        <f t="shared" si="42"/>
        <v>0</v>
      </c>
      <c r="AF175" s="178"/>
      <c r="AG175" s="178"/>
      <c r="AH175" s="178"/>
      <c r="AI175" s="178"/>
      <c r="AJ175" s="178"/>
      <c r="AK175" s="178"/>
      <c r="AL175" s="178"/>
      <c r="AM175" s="178"/>
      <c r="AN175" s="178"/>
      <c r="AO175" s="178"/>
      <c r="AP175" s="178"/>
      <c r="AQ175" s="178"/>
      <c r="AR175" s="178"/>
    </row>
    <row r="176" spans="30:45" ht="12" thickBot="1" x14ac:dyDescent="0.25">
      <c r="AD176" s="4" t="s">
        <v>44</v>
      </c>
      <c r="AE176" s="103">
        <f t="shared" si="42"/>
        <v>0</v>
      </c>
      <c r="AF176" s="178"/>
      <c r="AG176" s="178"/>
      <c r="AH176" s="178"/>
      <c r="AI176" s="178"/>
      <c r="AJ176" s="178"/>
      <c r="AK176" s="178"/>
      <c r="AL176" s="178"/>
      <c r="AM176" s="178"/>
      <c r="AN176" s="178"/>
      <c r="AO176" s="178"/>
      <c r="AP176" s="178"/>
      <c r="AQ176" s="178"/>
      <c r="AR176" s="178"/>
    </row>
    <row r="177" spans="30:44" ht="12" thickBot="1" x14ac:dyDescent="0.25">
      <c r="AD177" s="4" t="s">
        <v>44</v>
      </c>
      <c r="AE177" s="103">
        <f t="shared" si="42"/>
        <v>0</v>
      </c>
      <c r="AF177" s="178"/>
      <c r="AG177" s="178"/>
      <c r="AH177" s="178"/>
      <c r="AI177" s="178"/>
      <c r="AJ177" s="178"/>
      <c r="AK177" s="178"/>
      <c r="AL177" s="178"/>
      <c r="AM177" s="178"/>
      <c r="AN177" s="178"/>
      <c r="AO177" s="178"/>
      <c r="AP177" s="178"/>
      <c r="AQ177" s="178"/>
      <c r="AR177" s="178"/>
    </row>
    <row r="178" spans="30:44" ht="12" thickBot="1" x14ac:dyDescent="0.25">
      <c r="AD178" s="4" t="s">
        <v>44</v>
      </c>
      <c r="AE178" s="103">
        <f t="shared" si="42"/>
        <v>0</v>
      </c>
      <c r="AF178" s="178"/>
      <c r="AG178" s="178"/>
      <c r="AH178" s="178"/>
      <c r="AI178" s="178"/>
      <c r="AJ178" s="178"/>
      <c r="AK178" s="178"/>
      <c r="AL178" s="178"/>
      <c r="AM178" s="178"/>
      <c r="AN178" s="178"/>
      <c r="AO178" s="178"/>
      <c r="AP178" s="178"/>
      <c r="AQ178" s="178"/>
      <c r="AR178" s="178"/>
    </row>
    <row r="179" spans="30:44" ht="12" thickBot="1" x14ac:dyDescent="0.25">
      <c r="AD179" s="4" t="s">
        <v>44</v>
      </c>
      <c r="AE179" s="103">
        <f t="shared" si="42"/>
        <v>0</v>
      </c>
      <c r="AF179" s="178"/>
      <c r="AG179" s="178"/>
      <c r="AH179" s="178"/>
      <c r="AI179" s="178"/>
      <c r="AJ179" s="178"/>
      <c r="AK179" s="178"/>
      <c r="AL179" s="178"/>
      <c r="AM179" s="178"/>
      <c r="AN179" s="178"/>
      <c r="AO179" s="178"/>
      <c r="AP179" s="178"/>
      <c r="AQ179" s="178"/>
      <c r="AR179" s="178"/>
    </row>
    <row r="180" spans="30:44" ht="12" thickBot="1" x14ac:dyDescent="0.25">
      <c r="AD180" s="4" t="s">
        <v>44</v>
      </c>
      <c r="AE180" s="103">
        <f t="shared" si="42"/>
        <v>0</v>
      </c>
      <c r="AF180" s="178"/>
      <c r="AG180" s="178"/>
      <c r="AH180" s="178"/>
      <c r="AI180" s="178"/>
      <c r="AJ180" s="178"/>
      <c r="AK180" s="178"/>
      <c r="AL180" s="178"/>
      <c r="AM180" s="178"/>
      <c r="AN180" s="178"/>
      <c r="AO180" s="178"/>
      <c r="AP180" s="178"/>
      <c r="AQ180" s="178"/>
      <c r="AR180" s="178"/>
    </row>
    <row r="181" spans="30:44" ht="12" thickBot="1" x14ac:dyDescent="0.25">
      <c r="AD181" s="4" t="s">
        <v>44</v>
      </c>
      <c r="AE181" s="103">
        <f t="shared" si="42"/>
        <v>0</v>
      </c>
      <c r="AF181" s="178"/>
      <c r="AG181" s="178"/>
      <c r="AH181" s="178"/>
      <c r="AI181" s="178"/>
      <c r="AJ181" s="178"/>
      <c r="AK181" s="178"/>
      <c r="AL181" s="178"/>
      <c r="AM181" s="178"/>
      <c r="AN181" s="178"/>
      <c r="AO181" s="178"/>
      <c r="AP181" s="178"/>
      <c r="AQ181" s="178"/>
      <c r="AR181" s="178"/>
    </row>
    <row r="182" spans="30:44" ht="12" thickBot="1" x14ac:dyDescent="0.25">
      <c r="AD182" s="4" t="s">
        <v>44</v>
      </c>
      <c r="AE182" s="103">
        <f t="shared" si="42"/>
        <v>0</v>
      </c>
      <c r="AF182" s="178"/>
      <c r="AG182" s="178"/>
      <c r="AH182" s="178"/>
      <c r="AI182" s="178"/>
      <c r="AJ182" s="178"/>
      <c r="AK182" s="178"/>
      <c r="AL182" s="178"/>
      <c r="AM182" s="178"/>
      <c r="AN182" s="178"/>
      <c r="AO182" s="178"/>
      <c r="AP182" s="178"/>
      <c r="AQ182" s="178"/>
      <c r="AR182" s="178"/>
    </row>
    <row r="183" spans="30:44" ht="12" thickBot="1" x14ac:dyDescent="0.25">
      <c r="AD183" s="4" t="s">
        <v>44</v>
      </c>
      <c r="AE183" s="103">
        <f t="shared" si="42"/>
        <v>0</v>
      </c>
      <c r="AF183" s="178"/>
      <c r="AG183" s="178"/>
      <c r="AH183" s="178"/>
      <c r="AI183" s="178"/>
      <c r="AJ183" s="178"/>
      <c r="AK183" s="178"/>
      <c r="AL183" s="178"/>
      <c r="AM183" s="178"/>
      <c r="AN183" s="178"/>
      <c r="AO183" s="178"/>
      <c r="AP183" s="178"/>
      <c r="AQ183" s="178"/>
      <c r="AR183" s="178"/>
    </row>
    <row r="184" spans="30:44" ht="12" thickBot="1" x14ac:dyDescent="0.25">
      <c r="AD184" s="4" t="s">
        <v>44</v>
      </c>
      <c r="AE184" s="103">
        <f t="shared" si="42"/>
        <v>0</v>
      </c>
      <c r="AF184" s="178"/>
      <c r="AG184" s="178"/>
      <c r="AH184" s="178"/>
      <c r="AI184" s="178"/>
      <c r="AJ184" s="178"/>
      <c r="AK184" s="178"/>
      <c r="AL184" s="178"/>
      <c r="AM184" s="178"/>
      <c r="AN184" s="178"/>
      <c r="AO184" s="178"/>
      <c r="AP184" s="178"/>
      <c r="AQ184" s="178"/>
      <c r="AR184" s="178"/>
    </row>
    <row r="185" spans="30:44" ht="12" thickBot="1" x14ac:dyDescent="0.25">
      <c r="AD185" s="4" t="s">
        <v>44</v>
      </c>
      <c r="AE185" s="103">
        <f t="shared" si="42"/>
        <v>0</v>
      </c>
      <c r="AF185" s="178"/>
      <c r="AG185" s="178"/>
      <c r="AH185" s="178"/>
      <c r="AI185" s="178"/>
      <c r="AJ185" s="178"/>
      <c r="AK185" s="178"/>
      <c r="AL185" s="178"/>
      <c r="AM185" s="178"/>
      <c r="AN185" s="178"/>
      <c r="AO185" s="178"/>
      <c r="AP185" s="178"/>
      <c r="AQ185" s="178"/>
      <c r="AR185" s="178"/>
    </row>
    <row r="186" spans="30:44" ht="12" thickBot="1" x14ac:dyDescent="0.25">
      <c r="AD186" s="4" t="s">
        <v>44</v>
      </c>
      <c r="AE186" s="103">
        <f t="shared" si="42"/>
        <v>0</v>
      </c>
      <c r="AF186" s="178"/>
      <c r="AG186" s="178"/>
      <c r="AH186" s="178"/>
      <c r="AI186" s="178"/>
      <c r="AJ186" s="178"/>
      <c r="AK186" s="178"/>
      <c r="AL186" s="178"/>
      <c r="AM186" s="178"/>
      <c r="AN186" s="178"/>
      <c r="AO186" s="178"/>
      <c r="AP186" s="178"/>
      <c r="AQ186" s="178"/>
      <c r="AR186" s="178"/>
    </row>
    <row r="187" spans="30:44" ht="12" thickBot="1" x14ac:dyDescent="0.25">
      <c r="AD187" s="4"/>
      <c r="AE187" s="103"/>
      <c r="AF187" s="178"/>
    </row>
    <row r="188" spans="30:44" x14ac:dyDescent="0.2">
      <c r="AD188" s="4"/>
      <c r="AE188" s="103"/>
      <c r="AF188" s="178"/>
    </row>
    <row r="190" spans="30:44" x14ac:dyDescent="0.2">
      <c r="AD190" t="s">
        <v>68</v>
      </c>
      <c r="AF190" t="e">
        <f ca="1">_xll.qlInstrumentSetPricingEngine(AF172,$AG$95)</f>
        <v>#VALUE!</v>
      </c>
      <c r="AG190" t="e">
        <f ca="1">_xll.qlInstrumentSetPricingEngine(AG172,$AG$95)</f>
        <v>#VALUE!</v>
      </c>
      <c r="AH190" t="e">
        <f ca="1">_xll.qlInstrumentSetPricingEngine(AH172,$AG$95)</f>
        <v>#VALUE!</v>
      </c>
      <c r="AI190" t="e">
        <f ca="1">_xll.qlInstrumentSetPricingEngine(AI172,$AG$95)</f>
        <v>#VALUE!</v>
      </c>
      <c r="AJ190" t="e">
        <f ca="1">_xll.qlInstrumentSetPricingEngine(AJ172,$AG$95)</f>
        <v>#VALUE!</v>
      </c>
      <c r="AK190" t="e">
        <f ca="1">_xll.qlInstrumentSetPricingEngine(AK172,$AG$95)</f>
        <v>#VALUE!</v>
      </c>
      <c r="AL190" t="e">
        <f ca="1">_xll.qlInstrumentSetPricingEngine(AL172,$AG$95)</f>
        <v>#VALUE!</v>
      </c>
      <c r="AM190" t="e">
        <f ca="1">_xll.qlInstrumentSetPricingEngine(AM172,$AG$95)</f>
        <v>#VALUE!</v>
      </c>
      <c r="AN190" t="e">
        <f ca="1">_xll.qlInstrumentSetPricingEngine(AN172,$AG$95)</f>
        <v>#VALUE!</v>
      </c>
      <c r="AO190" t="e">
        <f ca="1">_xll.qlInstrumentSetPricingEngine(AO172,$AG$95)</f>
        <v>#VALUE!</v>
      </c>
      <c r="AP190" t="e">
        <f ca="1">_xll.qlInstrumentSetPricingEngine(AP172,$AG$95)</f>
        <v>#VALUE!</v>
      </c>
      <c r="AQ190" t="e">
        <f ca="1">_xll.qlInstrumentSetPricingEngine(AQ172,$AG$95)</f>
        <v>#VALUE!</v>
      </c>
      <c r="AR190" t="e">
        <f ca="1">_xll.qlInstrumentSetPricingEngine(AR172,$AG$95)</f>
        <v>#VALUE!</v>
      </c>
    </row>
    <row r="191" spans="30:44" x14ac:dyDescent="0.2">
      <c r="AF191" t="e">
        <f ca="1">_xll.qlInstrumentSetPricingEngine(AF173,$AG$95)</f>
        <v>#VALUE!</v>
      </c>
      <c r="AG191" t="e">
        <f ca="1">_xll.qlInstrumentSetPricingEngine(AG173,$AG$95)</f>
        <v>#VALUE!</v>
      </c>
      <c r="AH191" t="e">
        <f ca="1">_xll.qlInstrumentSetPricingEngine(AH173,$AG$95)</f>
        <v>#VALUE!</v>
      </c>
      <c r="AI191" t="e">
        <f ca="1">_xll.qlInstrumentSetPricingEngine(AI173,$AG$95)</f>
        <v>#VALUE!</v>
      </c>
      <c r="AJ191" t="e">
        <f ca="1">_xll.qlInstrumentSetPricingEngine(AJ173,$AG$95)</f>
        <v>#VALUE!</v>
      </c>
      <c r="AK191" t="e">
        <f ca="1">_xll.qlInstrumentSetPricingEngine(AK173,$AG$95)</f>
        <v>#VALUE!</v>
      </c>
      <c r="AL191" t="e">
        <f ca="1">_xll.qlInstrumentSetPricingEngine(AL173,$AG$95)</f>
        <v>#VALUE!</v>
      </c>
      <c r="AM191" t="e">
        <f ca="1">_xll.qlInstrumentSetPricingEngine(AM173,$AG$95)</f>
        <v>#VALUE!</v>
      </c>
      <c r="AN191" t="e">
        <f ca="1">_xll.qlInstrumentSetPricingEngine(AN173,$AG$95)</f>
        <v>#VALUE!</v>
      </c>
      <c r="AO191" t="e">
        <f ca="1">_xll.qlInstrumentSetPricingEngine(AO173,$AG$95)</f>
        <v>#VALUE!</v>
      </c>
      <c r="AP191" t="e">
        <f ca="1">_xll.qlInstrumentSetPricingEngine(AP173,$AG$95)</f>
        <v>#VALUE!</v>
      </c>
      <c r="AQ191" t="e">
        <f ca="1">_xll.qlInstrumentSetPricingEngine(AQ173,$AG$95)</f>
        <v>#VALUE!</v>
      </c>
      <c r="AR191" t="e">
        <f ca="1">_xll.qlInstrumentSetPricingEngine(AR173,$AG$95)</f>
        <v>#VALUE!</v>
      </c>
    </row>
    <row r="192" spans="30:44" x14ac:dyDescent="0.2">
      <c r="AF192" t="e">
        <f ca="1">_xll.qlInstrumentSetPricingEngine(AF174,$AG$95)</f>
        <v>#VALUE!</v>
      </c>
      <c r="AG192" t="e">
        <f ca="1">_xll.qlInstrumentSetPricingEngine(AG174,$AG$95)</f>
        <v>#VALUE!</v>
      </c>
      <c r="AH192" t="e">
        <f ca="1">_xll.qlInstrumentSetPricingEngine(AH174,$AG$95)</f>
        <v>#VALUE!</v>
      </c>
      <c r="AI192" t="e">
        <f ca="1">_xll.qlInstrumentSetPricingEngine(AI174,$AG$95)</f>
        <v>#VALUE!</v>
      </c>
      <c r="AJ192" t="e">
        <f ca="1">_xll.qlInstrumentSetPricingEngine(AJ174,$AG$95)</f>
        <v>#VALUE!</v>
      </c>
      <c r="AK192" t="e">
        <f ca="1">_xll.qlInstrumentSetPricingEngine(AK174,$AG$95)</f>
        <v>#VALUE!</v>
      </c>
      <c r="AL192" t="e">
        <f ca="1">_xll.qlInstrumentSetPricingEngine(AL174,$AG$95)</f>
        <v>#VALUE!</v>
      </c>
      <c r="AM192" t="e">
        <f ca="1">_xll.qlInstrumentSetPricingEngine(AM174,$AG$95)</f>
        <v>#VALUE!</v>
      </c>
      <c r="AN192" t="e">
        <f ca="1">_xll.qlInstrumentSetPricingEngine(AN174,$AG$95)</f>
        <v>#VALUE!</v>
      </c>
      <c r="AO192" t="e">
        <f ca="1">_xll.qlInstrumentSetPricingEngine(AO174,$AG$95)</f>
        <v>#VALUE!</v>
      </c>
      <c r="AP192" t="e">
        <f ca="1">_xll.qlInstrumentSetPricingEngine(AP174,$AG$95)</f>
        <v>#VALUE!</v>
      </c>
      <c r="AQ192" t="e">
        <f ca="1">_xll.qlInstrumentSetPricingEngine(AQ174,$AG$95)</f>
        <v>#VALUE!</v>
      </c>
      <c r="AR192" t="e">
        <f ca="1">_xll.qlInstrumentSetPricingEngine(AR174,$AG$95)</f>
        <v>#VALUE!</v>
      </c>
    </row>
    <row r="195" spans="34:34" x14ac:dyDescent="0.2">
      <c r="AH195" t="e">
        <f ca="1">_xll.qlCapFloorImpliedVolatility(AH174,AH50*100,"eonia",,,,,,,"Normal")</f>
        <v>#VALUE!</v>
      </c>
    </row>
    <row r="196" spans="34:34" ht="12" thickBot="1" x14ac:dyDescent="0.25">
      <c r="AH196" s="11" t="str">
        <f ca="1">_xll.ohRangeRetrieveError(AH195)</f>
        <v/>
      </c>
    </row>
  </sheetData>
  <phoneticPr fontId="0" type="noConversion"/>
  <dataValidations disablePrompts="1" count="4">
    <dataValidation type="list" allowBlank="1" showInputMessage="1" showErrorMessage="1" sqref="BZ35:BZ37 BI35:BI37 AK129:AK146" xr:uid="{00000000-0002-0000-0100-000000000000}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CB29:CB31 BK29:BK31 AM149:AM164" xr:uid="{00000000-0002-0000-0100-000001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BF29:BF31 BW29:BW31 CA35:CB37 BJ35:BK37 AL129:AM146 AH149:AH164" xr:uid="{00000000-0002-0000-0100-000002000000}">
      <formula1>"Following,Modified Following,Preceding,Modified Preceding,Unadjusted"</formula1>
    </dataValidation>
    <dataValidation type="list" allowBlank="1" showInputMessage="1" showErrorMessage="1" sqref="I47 AC47" xr:uid="{00000000-0002-0000-0100-000003000000}">
      <formula1>"Cap,Floor"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8431" r:id="rId4" name="Button 1551">
              <controlPr defaultSize="0" print="0" autoFill="0" autoPict="0" macro="[0]!Update_Once" altText="TempXBS">
                <anchor moveWithCells="1" sizeWithCells="1">
                  <from>
                    <xdr:col>1</xdr:col>
                    <xdr:colOff>152400</xdr:colOff>
                    <xdr:row>2</xdr:row>
                    <xdr:rowOff>123825</xdr:rowOff>
                  </from>
                  <to>
                    <xdr:col>3</xdr:col>
                    <xdr:colOff>1047750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3" r:id="rId5" name="Button 1553">
              <controlPr defaultSize="0" print="0" autoFill="0" autoPict="0" macro="[0]!Update_Workbook" altText="TempXBS">
                <anchor moveWithCells="1" sizeWithCells="1">
                  <from>
                    <xdr:col>5</xdr:col>
                    <xdr:colOff>152400</xdr:colOff>
                    <xdr:row>0</xdr:row>
                    <xdr:rowOff>123825</xdr:rowOff>
                  </from>
                  <to>
                    <xdr:col>6</xdr:col>
                    <xdr:colOff>400050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AY52"/>
  <sheetViews>
    <sheetView topLeftCell="H1" workbookViewId="0">
      <selection activeCell="AH15" sqref="AH15"/>
    </sheetView>
  </sheetViews>
  <sheetFormatPr defaultRowHeight="11.25" x14ac:dyDescent="0.2"/>
  <cols>
    <col min="1" max="1" width="12.33203125" customWidth="1"/>
    <col min="2" max="2" width="27.83203125" customWidth="1"/>
    <col min="4" max="4" width="22.83203125" customWidth="1"/>
    <col min="5" max="5" width="18.5" customWidth="1"/>
    <col min="6" max="6" width="10.83203125" customWidth="1"/>
    <col min="7" max="7" width="22.83203125" customWidth="1"/>
    <col min="8" max="8" width="18.5" customWidth="1"/>
    <col min="9" max="9" width="14.6640625" bestFit="1" customWidth="1"/>
    <col min="10" max="10" width="4.1640625" customWidth="1"/>
    <col min="11" max="11" width="14.6640625" bestFit="1" customWidth="1"/>
    <col min="12" max="12" width="12.1640625" bestFit="1" customWidth="1"/>
    <col min="18" max="18" width="14.5" bestFit="1" customWidth="1"/>
    <col min="19" max="19" width="9.5" bestFit="1" customWidth="1"/>
    <col min="20" max="20" width="10.33203125" bestFit="1" customWidth="1"/>
    <col min="21" max="23" width="9.5" bestFit="1" customWidth="1"/>
    <col min="24" max="24" width="12.5" customWidth="1"/>
    <col min="25" max="28" width="9.5" bestFit="1" customWidth="1"/>
    <col min="29" max="29" width="10.33203125" bestFit="1" customWidth="1"/>
    <col min="30" max="31" width="9.5" bestFit="1" customWidth="1"/>
    <col min="32" max="32" width="10.33203125" bestFit="1" customWidth="1"/>
    <col min="33" max="33" width="9.5" bestFit="1" customWidth="1"/>
    <col min="34" max="34" width="15" customWidth="1"/>
    <col min="35" max="36" width="9.5" bestFit="1" customWidth="1"/>
    <col min="37" max="37" width="15.6640625" customWidth="1"/>
    <col min="38" max="46" width="9.5" bestFit="1" customWidth="1"/>
  </cols>
  <sheetData>
    <row r="1" spans="1:51" x14ac:dyDescent="0.2">
      <c r="A1" s="3" t="s">
        <v>3</v>
      </c>
      <c r="B1" s="6" t="s">
        <v>10</v>
      </c>
      <c r="D1" t="s">
        <v>68</v>
      </c>
      <c r="E1" t="b">
        <f>_xll.qlInstrumentSetPricingEngine(E8,"eoniapricing")</f>
        <v>1</v>
      </c>
      <c r="G1" t="s">
        <v>68</v>
      </c>
      <c r="H1" t="b">
        <f>_xll.qlInstrumentSetPricingEngine(H8,"eoniapricing")</f>
        <v>1</v>
      </c>
      <c r="M1" t="s">
        <v>68</v>
      </c>
      <c r="N1" t="e">
        <f>_xll.qlInstrumentSetPricingEngine(N8,PricingEngines!$B$1)</f>
        <v>#VALUE!</v>
      </c>
    </row>
    <row r="2" spans="1:51" x14ac:dyDescent="0.2">
      <c r="A2" s="4" t="s">
        <v>28</v>
      </c>
      <c r="B2" s="14">
        <f>_xll.qlCalendarAdvance(B1,_xll.qlCalendarAdvance(B1,_xll.qlSettingsEvaluationDate(),"2d"),"10y")</f>
        <v>46413</v>
      </c>
      <c r="D2" t="s">
        <v>63</v>
      </c>
      <c r="E2" s="26">
        <f>_xll.qlInstrumentNPV(E8,E1)</f>
        <v>175932.51221270167</v>
      </c>
      <c r="G2" t="s">
        <v>63</v>
      </c>
      <c r="H2" s="26">
        <f>_xll.qlInstrumentNPV(H8,H1)</f>
        <v>-174315.25736860326</v>
      </c>
      <c r="M2" t="s">
        <v>63</v>
      </c>
      <c r="N2" s="26" t="e">
        <f>_xll.qlInstrumentNPV(N8,N1)</f>
        <v>#VALUE!</v>
      </c>
    </row>
    <row r="3" spans="1:51" ht="12" thickBot="1" x14ac:dyDescent="0.25">
      <c r="A3" s="5" t="s">
        <v>29</v>
      </c>
      <c r="B3" s="28">
        <f>_xll.qlCalendarAdvance(B1,B2,"10Y")</f>
        <v>50066</v>
      </c>
      <c r="D3" t="s">
        <v>70</v>
      </c>
      <c r="E3" s="27">
        <f>_xll.qlVanillaSwapFairRate($E$8,$E$1)</f>
        <v>1.9465878136710836E-2</v>
      </c>
      <c r="G3" t="s">
        <v>70</v>
      </c>
      <c r="H3" s="27">
        <f>_xll.qlVanillaSwapFairRate($H$8,$H$1)</f>
        <v>1.9558172840425329E-2</v>
      </c>
    </row>
    <row r="4" spans="1:51" ht="12" thickBot="1" x14ac:dyDescent="0.25">
      <c r="D4" t="s">
        <v>88</v>
      </c>
      <c r="E4" s="27">
        <f>_xll.qlVanillaSwapFairSpread($H$8,$H$1)</f>
        <v>2.0051031467012759E-2</v>
      </c>
      <c r="G4" t="s">
        <v>88</v>
      </c>
      <c r="H4" s="27">
        <f>_xll.qlVanillaSwapFairSpread($H$8,$H$1)</f>
        <v>2.0051031467012759E-2</v>
      </c>
    </row>
    <row r="5" spans="1:51" x14ac:dyDescent="0.2">
      <c r="A5" s="3" t="s">
        <v>37</v>
      </c>
      <c r="B5" s="10" t="str">
        <f>_xll.qlSchedule(B7,B8,B9,B10,B11,B12,B13,B14,B15,B16,B17,B18,B19)</f>
        <v>obj_0002d#0006</v>
      </c>
    </row>
    <row r="6" spans="1:51" ht="12" thickBot="1" x14ac:dyDescent="0.25">
      <c r="A6" s="5" t="s">
        <v>7</v>
      </c>
      <c r="B6" s="11" t="str">
        <f>_xll.ohRangeRetrieveError(B5)</f>
        <v/>
      </c>
      <c r="E6" s="11" t="str">
        <f>_xll.ohRangeRetrieveError(E2)</f>
        <v/>
      </c>
      <c r="H6" s="11" t="str">
        <f>_xll.ohRangeRetrieveError(H2)</f>
        <v/>
      </c>
    </row>
    <row r="7" spans="1:51" ht="12" thickBot="1" x14ac:dyDescent="0.25">
      <c r="A7" s="3" t="s">
        <v>1</v>
      </c>
      <c r="B7" s="104"/>
    </row>
    <row r="8" spans="1:51" x14ac:dyDescent="0.2">
      <c r="A8" s="4" t="s">
        <v>28</v>
      </c>
      <c r="B8" s="14">
        <f>B2</f>
        <v>46413</v>
      </c>
      <c r="D8" s="3" t="s">
        <v>24</v>
      </c>
      <c r="E8" s="10" t="str">
        <f>_xll.qlVanillaSwap(E10,E11,E12,E13,E14,E15,E16,E17,E18,E19,E20,E21)</f>
        <v>obj_00219#0005</v>
      </c>
      <c r="G8" s="3" t="s">
        <v>24</v>
      </c>
      <c r="H8" s="10" t="str">
        <f>_xll.qlVanillaSwap(H10,H11,H12,H13,H14,H15,H16,H17,H18,H19,H20,H21)</f>
        <v>obj_00279#0004</v>
      </c>
      <c r="M8" s="3" t="s">
        <v>60</v>
      </c>
      <c r="N8" s="10" t="e">
        <f>_xll.qlSwap(N10,H19:I19,H20:I20,N13,N14)</f>
        <v>#NUM!</v>
      </c>
      <c r="W8" t="str">
        <f t="array" ref="W8:AY30">_xll.qlSwapLegAnalysis(E8,1)</f>
        <v>Payment Date</v>
      </c>
      <c r="X8" t="str">
        <v>Amount</v>
      </c>
      <c r="Y8" t="str">
        <v>Nominal</v>
      </c>
      <c r="Z8" t="str">
        <v>Accrual Start Date</v>
      </c>
      <c r="AA8" t="str">
        <v>Accrual End Date</v>
      </c>
      <c r="AB8" t="str">
        <v>Accrual Days</v>
      </c>
      <c r="AC8" t="str">
        <v>Index</v>
      </c>
      <c r="AD8" t="str">
        <v>Fixing Days</v>
      </c>
      <c r="AE8" t="str">
        <v>Fixing Dates</v>
      </c>
      <c r="AF8" t="str">
        <v>Day Counter</v>
      </c>
      <c r="AG8" t="str">
        <v>Accrual Period</v>
      </c>
      <c r="AH8" t="str">
        <v>Effective Rate</v>
      </c>
      <c r="AI8" t="str">
        <v>Floor</v>
      </c>
      <c r="AJ8" t="str">
        <v>Gearing</v>
      </c>
      <c r="AK8" t="str">
        <v>Index Fixing</v>
      </c>
      <c r="AL8" t="str">
        <v>Conv. Adj.</v>
      </c>
      <c r="AM8" t="str">
        <v>Spread</v>
      </c>
      <c r="AN8" t="str">
        <v>Cap</v>
      </c>
      <c r="AO8" t="str">
        <v>Call Digital Payoff</v>
      </c>
      <c r="AP8" t="str">
        <v>Put Digital Payoff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</row>
    <row r="9" spans="1:51" ht="12" thickBot="1" x14ac:dyDescent="0.25">
      <c r="A9" s="4" t="s">
        <v>29</v>
      </c>
      <c r="B9" s="14">
        <f>B3</f>
        <v>50066</v>
      </c>
      <c r="D9" s="5" t="s">
        <v>7</v>
      </c>
      <c r="E9" s="11" t="str">
        <f>_xll.ohRangeRetrieveError(E8)</f>
        <v/>
      </c>
      <c r="G9" s="5" t="s">
        <v>7</v>
      </c>
      <c r="H9" s="11" t="str">
        <f>_xll.ohRangeRetrieveError(H8)</f>
        <v/>
      </c>
      <c r="M9" s="5" t="s">
        <v>7</v>
      </c>
      <c r="N9" s="11" t="str">
        <f ca="1">_xll.ohRangeRetrieveError(N8)</f>
        <v>qlSwap - ObjectHandler error: attempt to retrieve object with unknown ID 'Actual/360'</v>
      </c>
      <c r="R9" s="109">
        <f>360/(AA9-Z9)*(_xll.qlYieldTSDiscount("EO6M",Z9)/_xll.qlYieldTSDiscount("EO6M",AA9)-1)</f>
        <v>1.9023573809344302E-2</v>
      </c>
      <c r="T9" s="109">
        <f>_xll.qlIndexFixing(E$17,AE9)</f>
        <v>1.9023573809344302E-2</v>
      </c>
      <c r="W9" s="308">
        <v>46594</v>
      </c>
      <c r="X9">
        <v>9564.6301652536622</v>
      </c>
      <c r="Y9">
        <v>1000000</v>
      </c>
      <c r="Z9" s="102">
        <v>46413</v>
      </c>
      <c r="AA9" s="102">
        <v>46594</v>
      </c>
      <c r="AB9">
        <v>181</v>
      </c>
      <c r="AC9" t="str">
        <v>Euribor6M Actual/360</v>
      </c>
      <c r="AD9">
        <v>2</v>
      </c>
      <c r="AE9" s="102">
        <v>46409</v>
      </c>
      <c r="AF9" t="str">
        <v>Actual/360</v>
      </c>
      <c r="AG9">
        <v>0.50277777777777777</v>
      </c>
      <c r="AH9" s="109">
        <v>1.9023573809344302E-2</v>
      </c>
      <c r="AI9" t="str">
        <v>#N/A</v>
      </c>
      <c r="AJ9">
        <v>1</v>
      </c>
      <c r="AK9" s="109">
        <v>1.9023573809344302E-2</v>
      </c>
      <c r="AL9">
        <v>0</v>
      </c>
      <c r="AM9">
        <v>0</v>
      </c>
      <c r="AN9" t="str">
        <v>#N/A</v>
      </c>
      <c r="AO9" t="str">
        <v>#N/A</v>
      </c>
      <c r="AP9" t="str">
        <v>#N/A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</row>
    <row r="10" spans="1:51" x14ac:dyDescent="0.2">
      <c r="A10" s="4" t="s">
        <v>30</v>
      </c>
      <c r="B10" s="7" t="s">
        <v>25</v>
      </c>
      <c r="D10" s="3" t="s">
        <v>1</v>
      </c>
      <c r="E10" s="6"/>
      <c r="G10" s="3" t="s">
        <v>1</v>
      </c>
      <c r="H10" s="6"/>
      <c r="M10" s="22" t="s">
        <v>1</v>
      </c>
      <c r="N10" s="19"/>
      <c r="O10" s="17" t="str">
        <f>N17</f>
        <v>obj_0027a#0004</v>
      </c>
      <c r="R10" s="109">
        <f>360/(AA10-Z10)*(_xll.qlYieldTSDiscount("EO6M",Z10)/_xll.qlYieldTSDiscount("EO6M",AA10)-1)</f>
        <v>1.9025077005317293E-2</v>
      </c>
      <c r="T10" s="109">
        <f>_xll.qlIndexFixing(E$17,AE10)</f>
        <v>1.9025077005317297E-2</v>
      </c>
      <c r="W10" s="102">
        <v>46778</v>
      </c>
      <c r="X10">
        <v>9723.9282471621718</v>
      </c>
      <c r="Y10">
        <v>1000000</v>
      </c>
      <c r="Z10" s="102">
        <v>46594</v>
      </c>
      <c r="AA10" s="102">
        <v>46778</v>
      </c>
      <c r="AB10">
        <v>184</v>
      </c>
      <c r="AC10" t="str">
        <v>Euribor6M Actual/360</v>
      </c>
      <c r="AD10">
        <v>2</v>
      </c>
      <c r="AE10" s="102">
        <v>46590</v>
      </c>
      <c r="AF10" t="str">
        <v>Actual/360</v>
      </c>
      <c r="AG10">
        <v>0.51111111111111107</v>
      </c>
      <c r="AH10" s="109">
        <v>1.9025077005317297E-2</v>
      </c>
      <c r="AI10" t="str">
        <v>#N/A</v>
      </c>
      <c r="AJ10">
        <v>1</v>
      </c>
      <c r="AK10" s="109">
        <v>1.9025077005317297E-2</v>
      </c>
      <c r="AL10">
        <v>0</v>
      </c>
      <c r="AM10">
        <v>0</v>
      </c>
      <c r="AN10" t="str">
        <v>#N/A</v>
      </c>
      <c r="AO10" t="str">
        <v>#N/A</v>
      </c>
      <c r="AP10" t="str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</row>
    <row r="11" spans="1:51" ht="12" thickBot="1" x14ac:dyDescent="0.25">
      <c r="A11" s="4" t="s">
        <v>3</v>
      </c>
      <c r="B11" s="7" t="s">
        <v>10</v>
      </c>
      <c r="D11" s="4" t="s">
        <v>15</v>
      </c>
      <c r="E11" s="7" t="s">
        <v>1074</v>
      </c>
      <c r="G11" s="4" t="s">
        <v>15</v>
      </c>
      <c r="H11" s="7" t="s">
        <v>11</v>
      </c>
      <c r="M11" s="23" t="s">
        <v>59</v>
      </c>
      <c r="N11" s="16" t="str">
        <f>N34</f>
        <v>obj_0016d#0005</v>
      </c>
      <c r="O11" s="18" t="b">
        <v>0</v>
      </c>
      <c r="R11" s="109">
        <f>360/(AA11-Z11)*(_xll.qlYieldTSDiscount("EO6M",Z11)/_xll.qlYieldTSDiscount("EO6M",AA11)-1)</f>
        <v>1.9650962914253212E-2</v>
      </c>
      <c r="T11" s="109">
        <f>_xll.qlIndexFixing(E$17,AE11)</f>
        <v>1.9650962914253212E-2</v>
      </c>
      <c r="W11" s="102">
        <v>46960</v>
      </c>
      <c r="X11">
        <v>9934.653473316901</v>
      </c>
      <c r="Y11">
        <v>1000000</v>
      </c>
      <c r="Z11" s="102">
        <v>46778</v>
      </c>
      <c r="AA11" s="102">
        <v>46960</v>
      </c>
      <c r="AB11">
        <v>182</v>
      </c>
      <c r="AC11" t="str">
        <v>Euribor6M Actual/360</v>
      </c>
      <c r="AD11">
        <v>2</v>
      </c>
      <c r="AE11" s="102">
        <v>46776</v>
      </c>
      <c r="AF11" t="str">
        <v>Actual/360</v>
      </c>
      <c r="AG11">
        <v>0.50555555555555554</v>
      </c>
      <c r="AH11" s="109">
        <v>1.9650962914253212E-2</v>
      </c>
      <c r="AI11" t="str">
        <v>#N/A</v>
      </c>
      <c r="AJ11">
        <v>1</v>
      </c>
      <c r="AK11" s="109">
        <v>1.9650962914253212E-2</v>
      </c>
      <c r="AL11">
        <v>0</v>
      </c>
      <c r="AM11">
        <v>0</v>
      </c>
      <c r="AN11" t="str">
        <v>#N/A</v>
      </c>
      <c r="AO11" t="str">
        <v>#N/A</v>
      </c>
      <c r="AP11" t="str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</row>
    <row r="12" spans="1:51" x14ac:dyDescent="0.2">
      <c r="A12" s="4" t="s">
        <v>31</v>
      </c>
      <c r="B12" s="7" t="s">
        <v>39</v>
      </c>
      <c r="D12" s="4" t="s">
        <v>16</v>
      </c>
      <c r="E12" s="25">
        <f>Nominal</f>
        <v>1000000</v>
      </c>
      <c r="G12" s="4" t="s">
        <v>16</v>
      </c>
      <c r="H12" s="25">
        <f>Nominal</f>
        <v>1000000</v>
      </c>
      <c r="M12" s="23" t="s">
        <v>11</v>
      </c>
      <c r="N12" s="16" t="b">
        <v>1</v>
      </c>
      <c r="R12" s="109">
        <f>360/(AA12-Z12)*(_xll.qlYieldTSDiscount("EO6M",Z12)/_xll.qlYieldTSDiscount("EO6M",AA12)-1)</f>
        <v>1.9652032085967896E-2</v>
      </c>
      <c r="T12" s="109">
        <f>_xll.qlIndexFixing(E$17,AE12)</f>
        <v>1.9652032085967896E-2</v>
      </c>
      <c r="W12" s="102">
        <v>47144</v>
      </c>
      <c r="X12">
        <v>10044.371955050257</v>
      </c>
      <c r="Y12">
        <v>1000000</v>
      </c>
      <c r="Z12" s="102">
        <v>46960</v>
      </c>
      <c r="AA12" s="102">
        <v>47144</v>
      </c>
      <c r="AB12">
        <v>184</v>
      </c>
      <c r="AC12" t="str">
        <v>Euribor6M Actual/360</v>
      </c>
      <c r="AD12">
        <v>2</v>
      </c>
      <c r="AE12" s="102">
        <v>46958</v>
      </c>
      <c r="AF12" t="str">
        <v>Actual/360</v>
      </c>
      <c r="AG12">
        <v>0.51111111111111107</v>
      </c>
      <c r="AH12" s="109">
        <v>1.9652032085967896E-2</v>
      </c>
      <c r="AI12" t="str">
        <v>#N/A</v>
      </c>
      <c r="AJ12">
        <v>1</v>
      </c>
      <c r="AK12" s="109">
        <v>1.9652032085967896E-2</v>
      </c>
      <c r="AL12">
        <v>0</v>
      </c>
      <c r="AM12">
        <v>0</v>
      </c>
      <c r="AN12" t="str">
        <v>#N/A</v>
      </c>
      <c r="AO12" t="str">
        <v>#N/A</v>
      </c>
      <c r="AP12" t="str">
        <v>#N/A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</row>
    <row r="13" spans="1:51" x14ac:dyDescent="0.2">
      <c r="A13" s="4" t="s">
        <v>32</v>
      </c>
      <c r="B13" s="7" t="s">
        <v>39</v>
      </c>
      <c r="D13" s="4" t="s">
        <v>17</v>
      </c>
      <c r="E13" s="7" t="str">
        <f>B21</f>
        <v>obj_0002e#0006</v>
      </c>
      <c r="G13" s="4" t="s">
        <v>17</v>
      </c>
      <c r="H13" s="7" t="str">
        <f>B5</f>
        <v>obj_0002d#0006</v>
      </c>
      <c r="M13" s="23" t="s">
        <v>5</v>
      </c>
      <c r="N13" s="20"/>
      <c r="R13" s="109">
        <f>360/(AA13-Z13)*(_xll.qlYieldTSDiscount("EO6M",Z13)/_xll.qlYieldTSDiscount("EO6M",AA13)-1)</f>
        <v>1.9812011635461615E-2</v>
      </c>
      <c r="T13" s="109">
        <f>_xll.qlIndexFixing(E$17,AE13)</f>
        <v>1.9812011635461615E-2</v>
      </c>
      <c r="W13" s="102">
        <v>47325</v>
      </c>
      <c r="X13">
        <v>9961.039183384868</v>
      </c>
      <c r="Y13">
        <v>1000000</v>
      </c>
      <c r="Z13" s="102">
        <v>47144</v>
      </c>
      <c r="AA13" s="102">
        <v>47325</v>
      </c>
      <c r="AB13">
        <v>181</v>
      </c>
      <c r="AC13" t="str">
        <v>Euribor6M Actual/360</v>
      </c>
      <c r="AD13">
        <v>2</v>
      </c>
      <c r="AE13" s="102">
        <v>47142</v>
      </c>
      <c r="AF13" t="str">
        <v>Actual/360</v>
      </c>
      <c r="AG13">
        <v>0.50277777777777777</v>
      </c>
      <c r="AH13" s="109">
        <v>1.9812011635461615E-2</v>
      </c>
      <c r="AI13" t="str">
        <v>#N/A</v>
      </c>
      <c r="AJ13">
        <v>1</v>
      </c>
      <c r="AK13" s="109">
        <v>1.9812011635461615E-2</v>
      </c>
      <c r="AL13">
        <v>0</v>
      </c>
      <c r="AM13">
        <v>0</v>
      </c>
      <c r="AN13" t="str">
        <v>#N/A</v>
      </c>
      <c r="AO13" t="str">
        <v>#N/A</v>
      </c>
      <c r="AP13" t="str">
        <v>#N/A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</row>
    <row r="14" spans="1:51" ht="12" thickBot="1" x14ac:dyDescent="0.25">
      <c r="A14" s="4" t="s">
        <v>33</v>
      </c>
      <c r="B14" s="7" t="s">
        <v>27</v>
      </c>
      <c r="D14" s="4" t="s">
        <v>18</v>
      </c>
      <c r="E14" s="8">
        <v>0.04</v>
      </c>
      <c r="G14" s="4" t="s">
        <v>18</v>
      </c>
      <c r="H14" s="8">
        <v>0.04</v>
      </c>
      <c r="M14" s="24" t="s">
        <v>6</v>
      </c>
      <c r="N14" s="21"/>
      <c r="R14" s="109">
        <f>360/(AA14-Z14)*(_xll.qlYieldTSDiscount("EO6M",Z14)/_xll.qlYieldTSDiscount("EO6M",AA14)-1)</f>
        <v>1.9814728682037798E-2</v>
      </c>
      <c r="T14" s="109">
        <f>_xll.qlIndexFixing(E$17,AE14)</f>
        <v>1.9814728682037794E-2</v>
      </c>
      <c r="W14" s="102">
        <v>47511</v>
      </c>
      <c r="X14">
        <v>10237.609819052863</v>
      </c>
      <c r="Y14">
        <v>1000000</v>
      </c>
      <c r="Z14" s="102">
        <v>47325</v>
      </c>
      <c r="AA14" s="102">
        <v>47511</v>
      </c>
      <c r="AB14">
        <v>186</v>
      </c>
      <c r="AC14" t="str">
        <v>Euribor6M Actual/360</v>
      </c>
      <c r="AD14">
        <v>2</v>
      </c>
      <c r="AE14" s="102">
        <v>47323</v>
      </c>
      <c r="AF14" t="str">
        <v>Actual/360</v>
      </c>
      <c r="AG14">
        <v>0.51666666666666672</v>
      </c>
      <c r="AH14" s="109">
        <v>1.9814728682037794E-2</v>
      </c>
      <c r="AI14" t="str">
        <v>#N/A</v>
      </c>
      <c r="AJ14">
        <v>1</v>
      </c>
      <c r="AK14" s="109">
        <v>1.9814728682037794E-2</v>
      </c>
      <c r="AL14">
        <v>0</v>
      </c>
      <c r="AM14">
        <v>0</v>
      </c>
      <c r="AN14" t="str">
        <v>#N/A</v>
      </c>
      <c r="AO14" t="str">
        <v>#N/A</v>
      </c>
      <c r="AP14" t="str">
        <v>#N/A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</row>
    <row r="15" spans="1:51" x14ac:dyDescent="0.2">
      <c r="A15" s="4" t="s">
        <v>34</v>
      </c>
      <c r="B15" s="7"/>
      <c r="D15" s="4" t="s">
        <v>19</v>
      </c>
      <c r="E15" s="7" t="s">
        <v>13</v>
      </c>
      <c r="G15" s="4" t="s">
        <v>19</v>
      </c>
      <c r="H15" s="7" t="s">
        <v>13</v>
      </c>
      <c r="R15" s="109">
        <f>360/(AA15-Z15)*(_xll.qlYieldTSDiscount("EO6M",Z15)/_xll.qlYieldTSDiscount("EO6M",AA15)-1)</f>
        <v>2.0078446012630279E-2</v>
      </c>
      <c r="T15" s="109">
        <f>_xll.qlIndexFixing(E$17,AE15)</f>
        <v>2.0080120310049444E-2</v>
      </c>
      <c r="W15" s="102">
        <v>47690</v>
      </c>
      <c r="X15">
        <v>9983.4495451689436</v>
      </c>
      <c r="Y15">
        <v>1000000</v>
      </c>
      <c r="Z15" s="102">
        <v>47511</v>
      </c>
      <c r="AA15" s="102">
        <v>47690</v>
      </c>
      <c r="AB15">
        <v>179</v>
      </c>
      <c r="AC15" t="str">
        <v>Euribor6M Actual/360</v>
      </c>
      <c r="AD15">
        <v>2</v>
      </c>
      <c r="AE15" s="102">
        <v>47507</v>
      </c>
      <c r="AF15" t="str">
        <v>Actual/360</v>
      </c>
      <c r="AG15">
        <v>0.49722222222222223</v>
      </c>
      <c r="AH15" s="109">
        <v>2.0078446012630275E-2</v>
      </c>
      <c r="AI15" t="str">
        <v>#N/A</v>
      </c>
      <c r="AJ15">
        <v>1</v>
      </c>
      <c r="AK15" s="109">
        <v>2.0078446012630275E-2</v>
      </c>
      <c r="AL15">
        <v>0</v>
      </c>
      <c r="AM15">
        <v>0</v>
      </c>
      <c r="AN15" t="str">
        <v>#N/A</v>
      </c>
      <c r="AO15" t="str">
        <v>#N/A</v>
      </c>
      <c r="AP15" t="str">
        <v>#N/A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</row>
    <row r="16" spans="1:51" ht="12" thickBot="1" x14ac:dyDescent="0.25">
      <c r="A16" s="4" t="s">
        <v>35</v>
      </c>
      <c r="B16" s="14"/>
      <c r="D16" s="4" t="s">
        <v>20</v>
      </c>
      <c r="E16" s="7" t="str">
        <f>B21</f>
        <v>obj_0002e#0006</v>
      </c>
      <c r="G16" s="4" t="s">
        <v>20</v>
      </c>
      <c r="H16" s="7" t="str">
        <f>B21</f>
        <v>obj_0002e#0006</v>
      </c>
      <c r="R16" s="109">
        <f>360/(AA16-Z16)*(_xll.qlYieldTSDiscount("EO6M",Z16)/_xll.qlYieldTSDiscount("EO6M",AA16)-1)</f>
        <v>2.008179479347166E-2</v>
      </c>
      <c r="T16" s="109">
        <f>_xll.qlIndexFixing(E$17,AE16)</f>
        <v>2.008179479347166E-2</v>
      </c>
      <c r="W16" s="102">
        <v>47875</v>
      </c>
      <c r="X16">
        <v>10319.811213311825</v>
      </c>
      <c r="Y16">
        <v>1000000</v>
      </c>
      <c r="Z16" s="102">
        <v>47690</v>
      </c>
      <c r="AA16" s="102">
        <v>47875</v>
      </c>
      <c r="AB16">
        <v>185</v>
      </c>
      <c r="AC16" t="str">
        <v>Euribor6M Actual/360</v>
      </c>
      <c r="AD16">
        <v>2</v>
      </c>
      <c r="AE16" s="102">
        <v>47688</v>
      </c>
      <c r="AF16" t="str">
        <v>Actual/360</v>
      </c>
      <c r="AG16">
        <v>0.51388888888888884</v>
      </c>
      <c r="AH16" s="109">
        <v>2.008179479347166E-2</v>
      </c>
      <c r="AI16" t="str">
        <v>#N/A</v>
      </c>
      <c r="AJ16">
        <v>1</v>
      </c>
      <c r="AK16" s="109">
        <v>2.008179479347166E-2</v>
      </c>
      <c r="AL16">
        <v>0</v>
      </c>
      <c r="AM16">
        <v>0</v>
      </c>
      <c r="AN16" t="str">
        <v>#N/A</v>
      </c>
      <c r="AO16" t="str">
        <v>#N/A</v>
      </c>
      <c r="AP16" t="str">
        <v>#N/A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</row>
    <row r="17" spans="1:51" x14ac:dyDescent="0.2">
      <c r="A17" s="4" t="s">
        <v>36</v>
      </c>
      <c r="B17" s="14"/>
      <c r="D17" s="4" t="s">
        <v>21</v>
      </c>
      <c r="E17" s="103" t="s">
        <v>992</v>
      </c>
      <c r="G17" s="4" t="s">
        <v>21</v>
      </c>
      <c r="H17" s="103" t="s">
        <v>992</v>
      </c>
      <c r="M17" s="3" t="s">
        <v>55</v>
      </c>
      <c r="N17" s="10" t="str">
        <f>_xll.qlIborLeg(N19,N20,N21,N22,N23,N24,N25,N26,N27,N28,N29,N30,N31,N32)</f>
        <v>obj_0027a#0004</v>
      </c>
      <c r="R17" s="109">
        <f>360/(AA17-Z17)*(_xll.qlYieldTSDiscount("EO6M",Z17)/_xll.qlYieldTSDiscount("EO6M",AA17)-1)</f>
        <v>1.9925461600839509E-2</v>
      </c>
      <c r="T17" s="109">
        <f>_xll.qlIndexFixing(E$17,AE17)</f>
        <v>1.9925461600839509E-2</v>
      </c>
      <c r="W17" s="102">
        <v>48057</v>
      </c>
      <c r="X17">
        <v>10073.427809313307</v>
      </c>
      <c r="Y17">
        <v>1000000</v>
      </c>
      <c r="Z17" s="102">
        <v>47875</v>
      </c>
      <c r="AA17" s="102">
        <v>48057</v>
      </c>
      <c r="AB17">
        <v>182</v>
      </c>
      <c r="AC17" t="str">
        <v>Euribor6M Actual/360</v>
      </c>
      <c r="AD17">
        <v>2</v>
      </c>
      <c r="AE17" s="102">
        <v>47871</v>
      </c>
      <c r="AF17" t="str">
        <v>Actual/360</v>
      </c>
      <c r="AG17">
        <v>0.50555555555555554</v>
      </c>
      <c r="AH17" s="109">
        <v>1.9925461600839509E-2</v>
      </c>
      <c r="AI17" t="str">
        <v>#N/A</v>
      </c>
      <c r="AJ17">
        <v>1</v>
      </c>
      <c r="AK17" s="109">
        <v>1.9925461600839509E-2</v>
      </c>
      <c r="AL17">
        <v>0</v>
      </c>
      <c r="AM17">
        <v>0</v>
      </c>
      <c r="AN17" t="str">
        <v>#N/A</v>
      </c>
      <c r="AO17" t="str">
        <v>#N/A</v>
      </c>
      <c r="AP17" t="str">
        <v>#N/A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</row>
    <row r="18" spans="1:51" ht="12" thickBot="1" x14ac:dyDescent="0.25">
      <c r="A18" s="4" t="s">
        <v>5</v>
      </c>
      <c r="B18" s="7"/>
      <c r="D18" s="4" t="s">
        <v>22</v>
      </c>
      <c r="E18" s="8">
        <f>K29</f>
        <v>0</v>
      </c>
      <c r="G18" s="4" t="s">
        <v>22</v>
      </c>
      <c r="H18" s="8">
        <f>N29</f>
        <v>0</v>
      </c>
      <c r="M18" s="5" t="s">
        <v>7</v>
      </c>
      <c r="N18" s="11" t="str">
        <f>_xll.ohRangeRetrieveError(N17)</f>
        <v/>
      </c>
      <c r="R18" s="109">
        <f>360/(AA18-Z18)*(_xll.qlYieldTSDiscount("EO6M",Z18)/_xll.qlYieldTSDiscount("EO6M",AA18)-1)</f>
        <v>1.9925461600839509E-2</v>
      </c>
      <c r="T18" s="109">
        <f>_xll.qlIndexFixing(E$17,AE18)</f>
        <v>1.9922243319331252E-2</v>
      </c>
      <c r="W18" s="102">
        <v>48239</v>
      </c>
      <c r="X18">
        <v>10073.427809313307</v>
      </c>
      <c r="Y18">
        <v>1000000</v>
      </c>
      <c r="Z18" s="102">
        <v>48057</v>
      </c>
      <c r="AA18" s="102">
        <v>48239</v>
      </c>
      <c r="AB18">
        <v>182</v>
      </c>
      <c r="AC18" t="str">
        <v>Euribor6M Actual/360</v>
      </c>
      <c r="AD18">
        <v>2</v>
      </c>
      <c r="AE18" s="102">
        <v>48053</v>
      </c>
      <c r="AF18" t="str">
        <v>Actual/360</v>
      </c>
      <c r="AG18">
        <v>0.50555555555555554</v>
      </c>
      <c r="AH18" s="109">
        <v>1.9925461600839509E-2</v>
      </c>
      <c r="AI18" t="str">
        <v>#N/A</v>
      </c>
      <c r="AJ18">
        <v>1</v>
      </c>
      <c r="AK18" s="109">
        <v>1.9925461600839509E-2</v>
      </c>
      <c r="AL18">
        <v>0</v>
      </c>
      <c r="AM18">
        <v>0</v>
      </c>
      <c r="AN18" t="str">
        <v>#N/A</v>
      </c>
      <c r="AO18" t="str">
        <v>#N/A</v>
      </c>
      <c r="AP18" t="str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</row>
    <row r="19" spans="1:51" ht="12" thickBot="1" x14ac:dyDescent="0.25">
      <c r="A19" s="5" t="s">
        <v>6</v>
      </c>
      <c r="B19" s="9"/>
      <c r="D19" s="4" t="s">
        <v>23</v>
      </c>
      <c r="E19" s="7" t="s">
        <v>14</v>
      </c>
      <c r="G19" s="4" t="s">
        <v>23</v>
      </c>
      <c r="H19" s="7" t="s">
        <v>14</v>
      </c>
      <c r="M19" s="3" t="s">
        <v>1</v>
      </c>
      <c r="N19" s="6"/>
      <c r="R19" s="109">
        <f>360/(AA19-Z19)*(_xll.qlYieldTSDiscount("EO6M",Z19)/_xll.qlYieldTSDiscount("EO6M",AA19)-1)</f>
        <v>1.9528336062047923E-2</v>
      </c>
      <c r="T19" s="109">
        <f>_xll.qlIndexFixing(E$17,AE19)</f>
        <v>1.9528336062047923E-2</v>
      </c>
      <c r="W19" s="102">
        <v>48421</v>
      </c>
      <c r="X19">
        <v>9872.6587869242267</v>
      </c>
      <c r="Y19">
        <v>1000000</v>
      </c>
      <c r="Z19" s="102">
        <v>48239</v>
      </c>
      <c r="AA19" s="102">
        <v>48421</v>
      </c>
      <c r="AB19">
        <v>182</v>
      </c>
      <c r="AC19" t="str">
        <v>Euribor6M Actual/360</v>
      </c>
      <c r="AD19">
        <v>2</v>
      </c>
      <c r="AE19" s="102">
        <v>48235</v>
      </c>
      <c r="AF19" t="str">
        <v>Actual/360</v>
      </c>
      <c r="AG19">
        <v>0.50555555555555554</v>
      </c>
      <c r="AH19" s="109">
        <v>1.9528336062047923E-2</v>
      </c>
      <c r="AI19" t="str">
        <v>#N/A</v>
      </c>
      <c r="AJ19">
        <v>1</v>
      </c>
      <c r="AK19" s="109">
        <v>1.9528336062047923E-2</v>
      </c>
      <c r="AL19">
        <v>0</v>
      </c>
      <c r="AM19">
        <v>0</v>
      </c>
      <c r="AN19" t="str">
        <v>#N/A</v>
      </c>
      <c r="AO19" t="str">
        <v>#N/A</v>
      </c>
      <c r="AP19" t="str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</row>
    <row r="20" spans="1:51" ht="12" thickBot="1" x14ac:dyDescent="0.25">
      <c r="D20" s="4" t="s">
        <v>5</v>
      </c>
      <c r="E20" s="7"/>
      <c r="G20" s="4" t="s">
        <v>5</v>
      </c>
      <c r="H20" s="7"/>
      <c r="M20" s="4" t="s">
        <v>47</v>
      </c>
      <c r="N20" s="7" t="s">
        <v>26</v>
      </c>
      <c r="R20" s="109">
        <f>360/(AA20-Z20)*(_xll.qlYieldTSDiscount("EO6M",Z20)/_xll.qlYieldTSDiscount("EO6M",AA20)-1)</f>
        <v>1.9529391953045348E-2</v>
      </c>
      <c r="T20" s="109">
        <f>_xll.qlIndexFixing(E$17,AE20)</f>
        <v>1.9529391953045348E-2</v>
      </c>
      <c r="W20" s="102">
        <v>48605</v>
      </c>
      <c r="X20">
        <v>9981.6892204453998</v>
      </c>
      <c r="Y20">
        <v>1000000</v>
      </c>
      <c r="Z20" s="102">
        <v>48421</v>
      </c>
      <c r="AA20" s="102">
        <v>48605</v>
      </c>
      <c r="AB20">
        <v>184</v>
      </c>
      <c r="AC20" t="str">
        <v>Euribor6M Actual/360</v>
      </c>
      <c r="AD20">
        <v>2</v>
      </c>
      <c r="AE20" s="102">
        <v>48417</v>
      </c>
      <c r="AF20" t="str">
        <v>Actual/360</v>
      </c>
      <c r="AG20">
        <v>0.51111111111111107</v>
      </c>
      <c r="AH20" s="109">
        <v>1.9529391953045348E-2</v>
      </c>
      <c r="AI20" t="str">
        <v>#N/A</v>
      </c>
      <c r="AJ20">
        <v>1</v>
      </c>
      <c r="AK20" s="109">
        <v>1.9529391953045348E-2</v>
      </c>
      <c r="AL20">
        <v>0</v>
      </c>
      <c r="AM20">
        <v>0</v>
      </c>
      <c r="AN20" t="str">
        <v>#N/A</v>
      </c>
      <c r="AO20" t="str">
        <v>#N/A</v>
      </c>
      <c r="AP20" t="str">
        <v>#N/A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</row>
    <row r="21" spans="1:51" ht="12" thickBot="1" x14ac:dyDescent="0.25">
      <c r="A21" s="3" t="s">
        <v>37</v>
      </c>
      <c r="B21" s="10" t="str">
        <f>_xll.qlSchedule(B23,B24,B25,B26,B27,B28,B29,B30,B31,B32,B33,B34,B35)</f>
        <v>obj_0002e#0006</v>
      </c>
      <c r="D21" s="5" t="s">
        <v>6</v>
      </c>
      <c r="E21" s="9"/>
      <c r="G21" s="5" t="s">
        <v>6</v>
      </c>
      <c r="H21" s="9"/>
      <c r="M21" s="4" t="s">
        <v>48</v>
      </c>
      <c r="N21" s="25">
        <v>1000000</v>
      </c>
      <c r="R21" s="109">
        <f>360/(AA21-Z21)*(_xll.qlYieldTSDiscount("EO6M",Z21)/_xll.qlYieldTSDiscount("EO6M",AA21)-1)</f>
        <v>1.9137958435461722E-2</v>
      </c>
      <c r="T21" s="109">
        <f>_xll.qlIndexFixing(E$17,AE21)</f>
        <v>1.9137958435461722E-2</v>
      </c>
      <c r="W21" s="102">
        <v>48786</v>
      </c>
      <c r="X21">
        <v>9622.1402133849224</v>
      </c>
      <c r="Y21">
        <v>1000000</v>
      </c>
      <c r="Z21" s="102">
        <v>48605</v>
      </c>
      <c r="AA21" s="102">
        <v>48786</v>
      </c>
      <c r="AB21">
        <v>181</v>
      </c>
      <c r="AC21" t="str">
        <v>Euribor6M Actual/360</v>
      </c>
      <c r="AD21">
        <v>2</v>
      </c>
      <c r="AE21" s="102">
        <v>48603</v>
      </c>
      <c r="AF21" t="str">
        <v>Actual/360</v>
      </c>
      <c r="AG21">
        <v>0.50277777777777777</v>
      </c>
      <c r="AH21" s="109">
        <v>1.9137958435461722E-2</v>
      </c>
      <c r="AI21" t="str">
        <v>#N/A</v>
      </c>
      <c r="AJ21">
        <v>1</v>
      </c>
      <c r="AK21" s="109">
        <v>1.9137958435461722E-2</v>
      </c>
      <c r="AL21">
        <v>0</v>
      </c>
      <c r="AM21">
        <v>0</v>
      </c>
      <c r="AN21" t="str">
        <v>#N/A</v>
      </c>
      <c r="AO21" t="str">
        <v>#N/A</v>
      </c>
      <c r="AP21" t="str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</row>
    <row r="22" spans="1:51" ht="12" thickBot="1" x14ac:dyDescent="0.25">
      <c r="A22" s="5" t="s">
        <v>7</v>
      </c>
      <c r="B22" s="11" t="str">
        <f>_xll.ohRangeRetrieveError(B21)</f>
        <v/>
      </c>
      <c r="M22" s="4" t="s">
        <v>12</v>
      </c>
      <c r="N22" s="7" t="str">
        <f>B21</f>
        <v>obj_0002e#0006</v>
      </c>
      <c r="R22" s="109">
        <f>360/(AA22-Z22)*(_xll.qlYieldTSDiscount("EO6M",Z22)/_xll.qlYieldTSDiscount("EO6M",AA22)-1)</f>
        <v>1.9139479734064983E-2</v>
      </c>
      <c r="T22" s="109">
        <f>_xll.qlIndexFixing(E$17,AE22)</f>
        <v>1.9139479734064983E-2</v>
      </c>
      <c r="W22" s="102">
        <v>48970</v>
      </c>
      <c r="X22">
        <v>9782.4007529665469</v>
      </c>
      <c r="Y22">
        <v>1000000</v>
      </c>
      <c r="Z22" s="102">
        <v>48786</v>
      </c>
      <c r="AA22" s="102">
        <v>48970</v>
      </c>
      <c r="AB22">
        <v>184</v>
      </c>
      <c r="AC22" t="str">
        <v>Euribor6M Actual/360</v>
      </c>
      <c r="AD22">
        <v>2</v>
      </c>
      <c r="AE22" s="102">
        <v>48782</v>
      </c>
      <c r="AF22" t="str">
        <v>Actual/360</v>
      </c>
      <c r="AG22">
        <v>0.51111111111111107</v>
      </c>
      <c r="AH22" s="109">
        <v>1.9139479734064983E-2</v>
      </c>
      <c r="AI22" t="str">
        <v>#N/A</v>
      </c>
      <c r="AJ22">
        <v>1</v>
      </c>
      <c r="AK22" s="109">
        <v>1.9139479734064983E-2</v>
      </c>
      <c r="AL22">
        <v>0</v>
      </c>
      <c r="AM22">
        <v>0</v>
      </c>
      <c r="AN22" t="str">
        <v>#N/A</v>
      </c>
      <c r="AO22" t="str">
        <v>#N/A</v>
      </c>
      <c r="AP22" t="str">
        <v>#N/A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</row>
    <row r="23" spans="1:51" x14ac:dyDescent="0.2">
      <c r="A23" s="3" t="s">
        <v>1</v>
      </c>
      <c r="B23" s="104"/>
      <c r="M23" s="4" t="s">
        <v>49</v>
      </c>
      <c r="N23" s="7"/>
      <c r="R23" s="109">
        <f>360/(AA23-Z23)*(_xll.qlYieldTSDiscount("EO6M",Z23)/_xll.qlYieldTSDiscount("EO6M",AA23)-1)</f>
        <v>1.8616921662770194E-2</v>
      </c>
      <c r="T23" s="109">
        <f>_xll.qlIndexFixing(E$17,AE23)</f>
        <v>1.8616921662770198E-2</v>
      </c>
      <c r="W23" s="102">
        <v>49151</v>
      </c>
      <c r="X23">
        <v>9360.1745026705703</v>
      </c>
      <c r="Y23">
        <v>1000000</v>
      </c>
      <c r="Z23" s="102">
        <v>48970</v>
      </c>
      <c r="AA23" s="102">
        <v>49151</v>
      </c>
      <c r="AB23">
        <v>181</v>
      </c>
      <c r="AC23" t="str">
        <v>Euribor6M Actual/360</v>
      </c>
      <c r="AD23">
        <v>2</v>
      </c>
      <c r="AE23" s="102">
        <v>48968</v>
      </c>
      <c r="AF23" t="str">
        <v>Actual/360</v>
      </c>
      <c r="AG23">
        <v>0.50277777777777777</v>
      </c>
      <c r="AH23" s="109">
        <v>1.8616921662770198E-2</v>
      </c>
      <c r="AI23" t="str">
        <v>#N/A</v>
      </c>
      <c r="AJ23">
        <v>1</v>
      </c>
      <c r="AK23" s="109">
        <v>1.8616921662770198E-2</v>
      </c>
      <c r="AL23">
        <v>0</v>
      </c>
      <c r="AM23">
        <v>0</v>
      </c>
      <c r="AN23" t="str">
        <v>#N/A</v>
      </c>
      <c r="AO23" t="str">
        <v>#N/A</v>
      </c>
      <c r="AP23" t="str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</row>
    <row r="24" spans="1:51" x14ac:dyDescent="0.2">
      <c r="A24" s="4" t="s">
        <v>28</v>
      </c>
      <c r="B24" s="14">
        <f>B2</f>
        <v>46413</v>
      </c>
      <c r="M24" s="4" t="s">
        <v>50</v>
      </c>
      <c r="N24" s="7"/>
      <c r="R24" s="109">
        <f>360/(AA24-Z24)*(_xll.qlYieldTSDiscount("EO6M",Z24)/_xll.qlYieldTSDiscount("EO6M",AA24)-1)</f>
        <v>1.8618361376203169E-2</v>
      </c>
      <c r="T24" s="109">
        <f>_xll.qlIndexFixing(E$17,AE24)</f>
        <v>1.8618361376203169E-2</v>
      </c>
      <c r="W24" s="102">
        <v>49335</v>
      </c>
      <c r="X24">
        <v>9516.0513700593965</v>
      </c>
      <c r="Y24">
        <v>1000000</v>
      </c>
      <c r="Z24" s="102">
        <v>49151</v>
      </c>
      <c r="AA24" s="102">
        <v>49335</v>
      </c>
      <c r="AB24">
        <v>184</v>
      </c>
      <c r="AC24" t="str">
        <v>Euribor6M Actual/360</v>
      </c>
      <c r="AD24">
        <v>2</v>
      </c>
      <c r="AE24" s="102">
        <v>49149</v>
      </c>
      <c r="AF24" t="str">
        <v>Actual/360</v>
      </c>
      <c r="AG24">
        <v>0.51111111111111107</v>
      </c>
      <c r="AH24" s="109">
        <v>1.8618361376203169E-2</v>
      </c>
      <c r="AI24" t="str">
        <v>#N/A</v>
      </c>
      <c r="AJ24">
        <v>1</v>
      </c>
      <c r="AK24" s="109">
        <v>1.8618361376203169E-2</v>
      </c>
      <c r="AL24">
        <v>0</v>
      </c>
      <c r="AM24">
        <v>0</v>
      </c>
      <c r="AN24" t="str">
        <v>#N/A</v>
      </c>
      <c r="AO24" t="str">
        <v>#N/A</v>
      </c>
      <c r="AP24" t="str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</row>
    <row r="25" spans="1:51" x14ac:dyDescent="0.2">
      <c r="A25" s="4" t="s">
        <v>29</v>
      </c>
      <c r="B25" s="14">
        <f>B3</f>
        <v>50066</v>
      </c>
      <c r="M25" s="4" t="s">
        <v>4</v>
      </c>
      <c r="N25" s="7" t="s">
        <v>14</v>
      </c>
      <c r="R25" s="109">
        <f>360/(AA25-Z25)*(_xll.qlYieldTSDiscount("EO6M",Z25)/_xll.qlYieldTSDiscount("EO6M",AA25)-1)</f>
        <v>1.8250773396962593E-2</v>
      </c>
      <c r="T25" s="109">
        <f>_xll.qlIndexFixing(E$17,AE25)</f>
        <v>1.8250773396962593E-2</v>
      </c>
      <c r="W25" s="102">
        <v>49516</v>
      </c>
      <c r="X25">
        <v>9176.0832912506357</v>
      </c>
      <c r="Y25">
        <v>1000000</v>
      </c>
      <c r="Z25" s="102">
        <v>49335</v>
      </c>
      <c r="AA25" s="102">
        <v>49516</v>
      </c>
      <c r="AB25">
        <v>181</v>
      </c>
      <c r="AC25" t="str">
        <v>Euribor6M Actual/360</v>
      </c>
      <c r="AD25">
        <v>2</v>
      </c>
      <c r="AE25" s="102">
        <v>49333</v>
      </c>
      <c r="AF25" t="str">
        <v>Actual/360</v>
      </c>
      <c r="AG25">
        <v>0.50277777777777777</v>
      </c>
      <c r="AH25" s="109">
        <v>1.8250773396962593E-2</v>
      </c>
      <c r="AI25" t="str">
        <v>#N/A</v>
      </c>
      <c r="AJ25">
        <v>1</v>
      </c>
      <c r="AK25" s="109">
        <v>1.8250773396962593E-2</v>
      </c>
      <c r="AL25">
        <v>0</v>
      </c>
      <c r="AM25">
        <v>0</v>
      </c>
      <c r="AN25" t="str">
        <v>#N/A</v>
      </c>
      <c r="AO25" t="str">
        <v>#N/A</v>
      </c>
      <c r="AP25" t="str">
        <v>#N/A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</row>
    <row r="26" spans="1:51" x14ac:dyDescent="0.2">
      <c r="A26" s="4" t="s">
        <v>30</v>
      </c>
      <c r="B26" s="7" t="s">
        <v>38</v>
      </c>
      <c r="M26" s="4" t="s">
        <v>51</v>
      </c>
      <c r="N26" s="8"/>
      <c r="R26" s="109">
        <f>360/(AA26-Z26)*(_xll.qlYieldTSDiscount("EO6M",Z26)/_xll.qlYieldTSDiscount("EO6M",AA26)-1)</f>
        <v>1.8253079678277429E-2</v>
      </c>
      <c r="T26" s="109">
        <f>_xll.qlIndexFixing(E$17,AE26)</f>
        <v>1.8253079678277426E-2</v>
      </c>
      <c r="W26" s="102">
        <v>49702</v>
      </c>
      <c r="X26">
        <v>9430.7578337766699</v>
      </c>
      <c r="Y26">
        <v>1000000</v>
      </c>
      <c r="Z26" s="102">
        <v>49516</v>
      </c>
      <c r="AA26" s="102">
        <v>49702</v>
      </c>
      <c r="AB26">
        <v>186</v>
      </c>
      <c r="AC26" t="str">
        <v>Euribor6M Actual/360</v>
      </c>
      <c r="AD26">
        <v>2</v>
      </c>
      <c r="AE26" s="102">
        <v>49514</v>
      </c>
      <c r="AF26" t="str">
        <v>Actual/360</v>
      </c>
      <c r="AG26">
        <v>0.51666666666666672</v>
      </c>
      <c r="AH26" s="109">
        <v>1.8253079678277426E-2</v>
      </c>
      <c r="AI26" t="str">
        <v>#N/A</v>
      </c>
      <c r="AJ26">
        <v>1</v>
      </c>
      <c r="AK26" s="109">
        <v>1.8253079678277426E-2</v>
      </c>
      <c r="AL26">
        <v>0</v>
      </c>
      <c r="AM26">
        <v>0</v>
      </c>
      <c r="AN26" t="str">
        <v>#N/A</v>
      </c>
      <c r="AO26" t="str">
        <v>#N/A</v>
      </c>
      <c r="AP26" t="str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</row>
    <row r="27" spans="1:51" x14ac:dyDescent="0.2">
      <c r="A27" s="4" t="s">
        <v>3</v>
      </c>
      <c r="B27" s="7" t="s">
        <v>10</v>
      </c>
      <c r="M27" s="4" t="s">
        <v>52</v>
      </c>
      <c r="N27" s="7"/>
      <c r="R27" s="109">
        <f>360/(AA27-Z27)*(_xll.qlYieldTSDiscount("EO6M",Z27)/_xll.qlYieldTSDiscount("EO6M",AA27)-1)</f>
        <v>1.7512588562325754E-2</v>
      </c>
      <c r="T27" s="109">
        <f>_xll.qlIndexFixing(E$17,AE27)</f>
        <v>1.7512588562325754E-2</v>
      </c>
      <c r="W27" s="102">
        <v>49884</v>
      </c>
      <c r="X27">
        <v>8853.5864398424637</v>
      </c>
      <c r="Y27">
        <v>1000000</v>
      </c>
      <c r="Z27" s="102">
        <v>49702</v>
      </c>
      <c r="AA27" s="102">
        <v>49884</v>
      </c>
      <c r="AB27">
        <v>182</v>
      </c>
      <c r="AC27" t="str">
        <v>Euribor6M Actual/360</v>
      </c>
      <c r="AD27">
        <v>2</v>
      </c>
      <c r="AE27" s="102">
        <v>49698</v>
      </c>
      <c r="AF27" t="str">
        <v>Actual/360</v>
      </c>
      <c r="AG27">
        <v>0.50555555555555554</v>
      </c>
      <c r="AH27" s="109">
        <v>1.7512588562325754E-2</v>
      </c>
      <c r="AI27" t="str">
        <v>#N/A</v>
      </c>
      <c r="AJ27">
        <v>1</v>
      </c>
      <c r="AK27" s="109">
        <v>1.7512588562325754E-2</v>
      </c>
      <c r="AL27">
        <v>0</v>
      </c>
      <c r="AM27">
        <v>0</v>
      </c>
      <c r="AN27" t="str">
        <v>#N/A</v>
      </c>
      <c r="AO27" t="str">
        <v>#N/A</v>
      </c>
      <c r="AP27" t="str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</row>
    <row r="28" spans="1:51" x14ac:dyDescent="0.2">
      <c r="A28" s="4" t="s">
        <v>31</v>
      </c>
      <c r="B28" s="7" t="s">
        <v>39</v>
      </c>
      <c r="M28" s="4" t="s">
        <v>21</v>
      </c>
      <c r="N28" s="103" t="s">
        <v>992</v>
      </c>
      <c r="R28" s="109">
        <f>360/(AA28-Z28)*(_xll.qlYieldTSDiscount("EO6M",Z28)/_xll.qlYieldTSDiscount("EO6M",AA28)-1)</f>
        <v>1.7512588562325754E-2</v>
      </c>
      <c r="T28" s="109">
        <f>_xll.qlIndexFixing(E$17,AE28)</f>
        <v>1.7511149265198856E-2</v>
      </c>
      <c r="W28" s="102">
        <v>50066</v>
      </c>
      <c r="X28">
        <v>8853.5864398424637</v>
      </c>
      <c r="Y28">
        <v>1000000</v>
      </c>
      <c r="Z28" s="102">
        <v>49884</v>
      </c>
      <c r="AA28" s="102">
        <v>50066</v>
      </c>
      <c r="AB28">
        <v>182</v>
      </c>
      <c r="AC28" t="str">
        <v>Euribor6M Actual/360</v>
      </c>
      <c r="AD28">
        <v>2</v>
      </c>
      <c r="AE28" s="102">
        <v>49880</v>
      </c>
      <c r="AF28" t="str">
        <v>Actual/360</v>
      </c>
      <c r="AG28">
        <v>0.50555555555555554</v>
      </c>
      <c r="AH28" s="109">
        <v>1.7512588562325754E-2</v>
      </c>
      <c r="AI28" t="str">
        <v>#N/A</v>
      </c>
      <c r="AJ28">
        <v>1</v>
      </c>
      <c r="AK28" s="109">
        <v>1.7512588562325754E-2</v>
      </c>
      <c r="AL28">
        <v>0</v>
      </c>
      <c r="AM28">
        <v>0</v>
      </c>
      <c r="AN28" t="str">
        <v>#N/A</v>
      </c>
      <c r="AO28" t="str">
        <v>#N/A</v>
      </c>
      <c r="AP28" t="str">
        <v>#N/A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</row>
    <row r="29" spans="1:51" x14ac:dyDescent="0.2">
      <c r="A29" s="4" t="s">
        <v>32</v>
      </c>
      <c r="B29" s="7" t="s">
        <v>39</v>
      </c>
      <c r="M29" s="4" t="s">
        <v>53</v>
      </c>
      <c r="N29" s="8"/>
      <c r="T29" s="109" t="e">
        <f>_xll.qlIndexFixing(E$17,AE29)</f>
        <v>#NUM!</v>
      </c>
      <c r="W29" s="102" t="e">
        <v>#N/A</v>
      </c>
      <c r="X29" t="e">
        <v>#N/A</v>
      </c>
      <c r="Y29" t="e">
        <v>#N/A</v>
      </c>
      <c r="Z29" s="102" t="e">
        <v>#N/A</v>
      </c>
      <c r="AA29" s="102" t="e">
        <v>#N/A</v>
      </c>
      <c r="AB29" t="e">
        <v>#N/A</v>
      </c>
      <c r="AC29" t="e">
        <v>#N/A</v>
      </c>
      <c r="AD29" t="e">
        <v>#N/A</v>
      </c>
      <c r="AE29" s="102" t="e">
        <v>#N/A</v>
      </c>
      <c r="AF29" t="e">
        <v>#N/A</v>
      </c>
      <c r="AG29" t="e">
        <v>#N/A</v>
      </c>
      <c r="AH29" s="109" t="e">
        <v>#N/A</v>
      </c>
      <c r="AI29" t="e">
        <v>#N/A</v>
      </c>
      <c r="AJ29" t="e">
        <v>#N/A</v>
      </c>
      <c r="AK29" s="10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</row>
    <row r="30" spans="1:51" x14ac:dyDescent="0.2">
      <c r="A30" s="4" t="s">
        <v>33</v>
      </c>
      <c r="B30" s="7" t="s">
        <v>27</v>
      </c>
      <c r="M30" s="4" t="s">
        <v>54</v>
      </c>
      <c r="N30" s="8"/>
      <c r="T30" s="109" t="e">
        <f>_xll.qlIndexFixing(E$17,AE30)</f>
        <v>#NUM!</v>
      </c>
      <c r="W30" s="102" t="e">
        <v>#N/A</v>
      </c>
      <c r="X30" t="e">
        <v>#N/A</v>
      </c>
      <c r="Y30" t="e">
        <v>#N/A</v>
      </c>
      <c r="Z30" s="102" t="e">
        <v>#N/A</v>
      </c>
      <c r="AA30" s="102" t="e">
        <v>#N/A</v>
      </c>
      <c r="AB30" t="e">
        <v>#N/A</v>
      </c>
      <c r="AC30" t="e">
        <v>#N/A</v>
      </c>
      <c r="AD30" t="e">
        <v>#N/A</v>
      </c>
      <c r="AE30" s="102" t="e">
        <v>#N/A</v>
      </c>
      <c r="AF30" t="e">
        <v>#N/A</v>
      </c>
      <c r="AG30" t="e">
        <v>#N/A</v>
      </c>
      <c r="AH30" s="109" t="e">
        <v>#N/A</v>
      </c>
      <c r="AI30" t="e">
        <v>#N/A</v>
      </c>
      <c r="AJ30" t="e">
        <v>#N/A</v>
      </c>
      <c r="AK30" s="109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</row>
    <row r="31" spans="1:51" x14ac:dyDescent="0.2">
      <c r="A31" s="4" t="s">
        <v>34</v>
      </c>
      <c r="B31" s="7"/>
      <c r="M31" s="4" t="s">
        <v>5</v>
      </c>
      <c r="N31" s="7"/>
    </row>
    <row r="32" spans="1:51" ht="12" thickBot="1" x14ac:dyDescent="0.25">
      <c r="A32" s="4" t="s">
        <v>35</v>
      </c>
      <c r="B32" s="14"/>
      <c r="M32" s="5" t="s">
        <v>6</v>
      </c>
      <c r="N32" s="9"/>
    </row>
    <row r="33" spans="1:14" ht="12" thickBot="1" x14ac:dyDescent="0.25">
      <c r="A33" s="4" t="s">
        <v>36</v>
      </c>
      <c r="B33" s="14"/>
    </row>
    <row r="34" spans="1:14" x14ac:dyDescent="0.2">
      <c r="A34" s="4" t="s">
        <v>5</v>
      </c>
      <c r="B34" s="7"/>
      <c r="M34" s="3" t="s">
        <v>58</v>
      </c>
      <c r="N34" s="10" t="str">
        <f>_xll.qlFixedRateLeg(N36,N37,N38,N39,N40,N41,N42,N43)</f>
        <v>obj_0016d#0005</v>
      </c>
    </row>
    <row r="35" spans="1:14" ht="12" thickBot="1" x14ac:dyDescent="0.25">
      <c r="A35" s="5" t="s">
        <v>6</v>
      </c>
      <c r="B35" s="9"/>
      <c r="M35" s="5" t="s">
        <v>7</v>
      </c>
      <c r="N35" s="11" t="str">
        <f>_xll.ohRangeRetrieveError(N34)</f>
        <v/>
      </c>
    </row>
    <row r="36" spans="1:14" x14ac:dyDescent="0.2">
      <c r="M36" s="3" t="s">
        <v>1</v>
      </c>
      <c r="N36" s="6"/>
    </row>
    <row r="37" spans="1:14" ht="12" thickBot="1" x14ac:dyDescent="0.25">
      <c r="M37" s="4" t="s">
        <v>47</v>
      </c>
      <c r="N37" s="7" t="s">
        <v>26</v>
      </c>
    </row>
    <row r="38" spans="1:14" x14ac:dyDescent="0.2">
      <c r="A38" s="3" t="s">
        <v>37</v>
      </c>
      <c r="B38" s="10" t="e">
        <f>_xll.qlSchedule(B40,B41,B42,B43,B44,B45,B46,B47,B48,B49,B50,B51,B52)</f>
        <v>#NUM!</v>
      </c>
      <c r="M38" s="4" t="s">
        <v>48</v>
      </c>
      <c r="N38" s="25">
        <f>Nominal</f>
        <v>1000000</v>
      </c>
    </row>
    <row r="39" spans="1:14" ht="12" thickBot="1" x14ac:dyDescent="0.25">
      <c r="A39" s="5" t="s">
        <v>7</v>
      </c>
      <c r="B39" s="11" t="str">
        <f ca="1">_xll.ohRangeRetrieveError(B38)</f>
        <v>qlSchedule - Error converting parameter 'EffectiveDate' : 'unable to convert type 'struct ObjectHandler::empty_property_tag' to type 'QuantLib::Date'</v>
      </c>
      <c r="M39" s="4" t="s">
        <v>12</v>
      </c>
      <c r="N39" s="7" t="str">
        <f>B21</f>
        <v>obj_0002e#0006</v>
      </c>
    </row>
    <row r="40" spans="1:14" x14ac:dyDescent="0.2">
      <c r="A40" s="3" t="s">
        <v>1</v>
      </c>
      <c r="B40" s="104" t="s">
        <v>219</v>
      </c>
      <c r="M40" s="4" t="s">
        <v>57</v>
      </c>
      <c r="N40" s="8">
        <v>0.04</v>
      </c>
    </row>
    <row r="41" spans="1:14" x14ac:dyDescent="0.2">
      <c r="A41" s="4" t="s">
        <v>28</v>
      </c>
      <c r="B41" s="14" t="e">
        <f>EffectiveDate</f>
        <v>#NUM!</v>
      </c>
      <c r="M41" s="4" t="s">
        <v>4</v>
      </c>
      <c r="N41" s="7" t="s">
        <v>14</v>
      </c>
    </row>
    <row r="42" spans="1:14" x14ac:dyDescent="0.2">
      <c r="A42" s="4" t="s">
        <v>29</v>
      </c>
      <c r="B42" s="14">
        <f>TerminationDate</f>
        <v>50115</v>
      </c>
      <c r="M42" s="4" t="s">
        <v>5</v>
      </c>
      <c r="N42" s="7"/>
    </row>
    <row r="43" spans="1:14" ht="12" thickBot="1" x14ac:dyDescent="0.25">
      <c r="A43" s="4" t="s">
        <v>30</v>
      </c>
      <c r="B43" s="103" t="s">
        <v>97</v>
      </c>
      <c r="M43" s="5" t="s">
        <v>6</v>
      </c>
      <c r="N43" s="9"/>
    </row>
    <row r="44" spans="1:14" x14ac:dyDescent="0.2">
      <c r="A44" s="4" t="s">
        <v>3</v>
      </c>
      <c r="B44" s="7" t="s">
        <v>10</v>
      </c>
    </row>
    <row r="45" spans="1:14" x14ac:dyDescent="0.2">
      <c r="A45" s="4" t="s">
        <v>31</v>
      </c>
      <c r="B45" s="7" t="s">
        <v>39</v>
      </c>
    </row>
    <row r="46" spans="1:14" x14ac:dyDescent="0.2">
      <c r="A46" s="4" t="s">
        <v>32</v>
      </c>
      <c r="B46" s="7" t="s">
        <v>39</v>
      </c>
    </row>
    <row r="47" spans="1:14" x14ac:dyDescent="0.2">
      <c r="A47" s="4" t="s">
        <v>33</v>
      </c>
      <c r="B47" s="7" t="s">
        <v>27</v>
      </c>
    </row>
    <row r="48" spans="1:14" x14ac:dyDescent="0.2">
      <c r="A48" s="4" t="s">
        <v>34</v>
      </c>
      <c r="B48" s="7"/>
    </row>
    <row r="49" spans="1:2" x14ac:dyDescent="0.2">
      <c r="A49" s="4" t="s">
        <v>35</v>
      </c>
      <c r="B49" s="14"/>
    </row>
    <row r="50" spans="1:2" x14ac:dyDescent="0.2">
      <c r="A50" s="4" t="s">
        <v>36</v>
      </c>
      <c r="B50" s="14"/>
    </row>
    <row r="51" spans="1:2" x14ac:dyDescent="0.2">
      <c r="A51" s="4" t="s">
        <v>5</v>
      </c>
      <c r="B51" s="7"/>
    </row>
    <row r="52" spans="1:2" ht="12" thickBot="1" x14ac:dyDescent="0.25">
      <c r="A52" s="5" t="s">
        <v>6</v>
      </c>
      <c r="B52" s="9"/>
    </row>
  </sheetData>
  <dataValidations count="4">
    <dataValidation type="list" allowBlank="1" showInputMessage="1" showErrorMessage="1" sqref="N37 N20 B12:B13 B28:B29 B45:B46" xr:uid="{00000000-0002-0000-0200-000000000000}">
      <formula1>"Following,Modified Following,Preceding,Modified Preceding,Unadjusted"</formula1>
    </dataValidation>
    <dataValidation type="list" allowBlank="1" showInputMessage="1" showErrorMessage="1" sqref="H15 H19 N41 N25 E15 E19" xr:uid="{00000000-0002-0000-0200-000001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H11 E11" xr:uid="{00000000-0002-0000-0200-000002000000}">
      <formula1>"Payer,Receiver"</formula1>
    </dataValidation>
    <dataValidation type="list" allowBlank="1" showInputMessage="1" showErrorMessage="1" sqref="B11 B27 B1 B44" xr:uid="{00000000-0002-0000-0200-000003000000}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1"/>
  <dimension ref="A2:AD175"/>
  <sheetViews>
    <sheetView workbookViewId="0">
      <selection activeCell="S4" sqref="S4"/>
    </sheetView>
  </sheetViews>
  <sheetFormatPr defaultRowHeight="11.25" x14ac:dyDescent="0.2"/>
  <cols>
    <col min="18" max="18" width="20.33203125" customWidth="1"/>
  </cols>
  <sheetData>
    <row r="2" spans="1:30" x14ac:dyDescent="0.2">
      <c r="C2" s="105" t="s">
        <v>854</v>
      </c>
      <c r="D2" s="105" t="s">
        <v>855</v>
      </c>
      <c r="E2" s="105" t="s">
        <v>856</v>
      </c>
      <c r="F2" s="105" t="s">
        <v>857</v>
      </c>
      <c r="G2" s="105" t="s">
        <v>858</v>
      </c>
      <c r="H2" s="105" t="s">
        <v>859</v>
      </c>
      <c r="I2" s="105" t="s">
        <v>860</v>
      </c>
      <c r="J2" s="105" t="s">
        <v>861</v>
      </c>
      <c r="K2" s="105" t="s">
        <v>862</v>
      </c>
      <c r="L2" s="105" t="s">
        <v>863</v>
      </c>
      <c r="M2" s="105" t="s">
        <v>865</v>
      </c>
      <c r="N2" s="105" t="s">
        <v>864</v>
      </c>
    </row>
    <row r="3" spans="1:30" x14ac:dyDescent="0.2">
      <c r="C3" s="111">
        <v>-0.5</v>
      </c>
      <c r="D3" s="111">
        <f>C3+0.25</f>
        <v>-0.25</v>
      </c>
      <c r="E3" s="111">
        <f t="shared" ref="E3:I3" si="0">D3+0.25</f>
        <v>0</v>
      </c>
      <c r="F3" s="111">
        <f t="shared" si="0"/>
        <v>0.25</v>
      </c>
      <c r="G3" s="111">
        <f t="shared" si="0"/>
        <v>0.5</v>
      </c>
      <c r="H3" s="111">
        <f t="shared" si="0"/>
        <v>0.75</v>
      </c>
      <c r="I3" s="111">
        <f t="shared" si="0"/>
        <v>1</v>
      </c>
      <c r="J3" s="111">
        <v>1.5</v>
      </c>
      <c r="K3" s="162">
        <v>2</v>
      </c>
      <c r="L3" s="162">
        <v>2.5</v>
      </c>
      <c r="M3" s="162">
        <v>3</v>
      </c>
      <c r="N3" s="162">
        <v>4</v>
      </c>
      <c r="R3" t="s">
        <v>866</v>
      </c>
      <c r="S3" s="106">
        <v>-0.5</v>
      </c>
      <c r="T3" s="106">
        <v>-0.25</v>
      </c>
      <c r="U3" s="106">
        <v>0</v>
      </c>
      <c r="V3" s="106">
        <v>0.25</v>
      </c>
      <c r="W3" s="106">
        <v>0.5</v>
      </c>
      <c r="X3" s="106">
        <v>0.75</v>
      </c>
      <c r="Y3" s="106">
        <v>1</v>
      </c>
      <c r="Z3" s="106">
        <v>1.5</v>
      </c>
      <c r="AA3" s="106">
        <v>2</v>
      </c>
      <c r="AB3" s="106">
        <v>2.5</v>
      </c>
      <c r="AC3" s="106">
        <v>3</v>
      </c>
      <c r="AD3" s="106">
        <v>4</v>
      </c>
    </row>
    <row r="4" spans="1:30" x14ac:dyDescent="0.2">
      <c r="A4" t="str">
        <f>"01"</f>
        <v>01</v>
      </c>
      <c r="B4" s="105" t="s">
        <v>25</v>
      </c>
      <c r="C4" t="str">
        <f>C$2&amp;$A4</f>
        <v>USON5001</v>
      </c>
      <c r="D4" t="str">
        <f t="shared" ref="D4:H16" si="1">D$2&amp;$A4</f>
        <v>USON2501</v>
      </c>
      <c r="E4" t="str">
        <f t="shared" si="1"/>
        <v>USON001</v>
      </c>
      <c r="F4" t="str">
        <f t="shared" si="1"/>
        <v>USONX01</v>
      </c>
      <c r="G4" t="str">
        <f t="shared" si="1"/>
        <v>USONY01</v>
      </c>
      <c r="H4" t="str">
        <f t="shared" si="1"/>
        <v>USONZ01</v>
      </c>
      <c r="I4" t="str">
        <f>I$2&amp;$O4</f>
        <v>USONA1</v>
      </c>
      <c r="J4" t="str">
        <f t="shared" ref="J4:N16" si="2">J$2&amp;$O4</f>
        <v>USONB1</v>
      </c>
      <c r="K4" t="str">
        <f t="shared" si="2"/>
        <v>USONC1</v>
      </c>
      <c r="L4" t="str">
        <f t="shared" si="2"/>
        <v>USOND1</v>
      </c>
      <c r="M4" t="str">
        <f t="shared" si="2"/>
        <v>USONE1</v>
      </c>
      <c r="N4" t="str">
        <f t="shared" si="2"/>
        <v>USONH1</v>
      </c>
      <c r="O4">
        <v>1</v>
      </c>
      <c r="R4" s="106" t="s">
        <v>25</v>
      </c>
      <c r="S4">
        <v>35.299999999999997</v>
      </c>
      <c r="T4">
        <v>35.799999999999997</v>
      </c>
      <c r="U4">
        <v>36.299999999999997</v>
      </c>
      <c r="V4">
        <v>36.200000000000003</v>
      </c>
      <c r="W4">
        <v>34.700000000000003</v>
      </c>
      <c r="X4">
        <v>33.200000000000003</v>
      </c>
      <c r="Y4">
        <v>40.1</v>
      </c>
      <c r="Z4">
        <v>53.4</v>
      </c>
      <c r="AA4">
        <v>66.599999999999994</v>
      </c>
      <c r="AB4">
        <v>79.8</v>
      </c>
      <c r="AC4">
        <v>93.8</v>
      </c>
      <c r="AD4">
        <v>120.9</v>
      </c>
    </row>
    <row r="5" spans="1:30" x14ac:dyDescent="0.2">
      <c r="A5" t="str">
        <f>"02"</f>
        <v>02</v>
      </c>
      <c r="B5" s="105" t="s">
        <v>157</v>
      </c>
      <c r="C5" t="str">
        <f t="shared" ref="C5:C16" si="3">C$2&amp;$A5</f>
        <v>USON5002</v>
      </c>
      <c r="D5" t="str">
        <f t="shared" si="1"/>
        <v>USON2502</v>
      </c>
      <c r="E5" t="str">
        <f t="shared" si="1"/>
        <v>USON002</v>
      </c>
      <c r="F5" t="str">
        <f t="shared" si="1"/>
        <v>USONX02</v>
      </c>
      <c r="G5" t="str">
        <f t="shared" si="1"/>
        <v>USONY02</v>
      </c>
      <c r="H5" t="str">
        <f t="shared" si="1"/>
        <v>USONZ02</v>
      </c>
      <c r="I5" t="str">
        <f t="shared" ref="I5:I16" si="4">I$2&amp;$O5</f>
        <v>USONA2</v>
      </c>
      <c r="J5" t="str">
        <f t="shared" si="2"/>
        <v>USONB2</v>
      </c>
      <c r="K5" t="str">
        <f t="shared" si="2"/>
        <v>USONC2</v>
      </c>
      <c r="L5" t="str">
        <f t="shared" si="2"/>
        <v>USOND2</v>
      </c>
      <c r="M5" t="str">
        <f t="shared" si="2"/>
        <v>USONE2</v>
      </c>
      <c r="N5" t="str">
        <f t="shared" si="2"/>
        <v>USONH2</v>
      </c>
      <c r="O5">
        <v>2</v>
      </c>
      <c r="R5" s="106" t="s">
        <v>157</v>
      </c>
      <c r="S5">
        <v>35.1</v>
      </c>
      <c r="T5">
        <v>35.299999999999997</v>
      </c>
      <c r="U5">
        <v>35.4</v>
      </c>
      <c r="V5">
        <v>40.299999999999997</v>
      </c>
      <c r="W5">
        <v>43.4</v>
      </c>
      <c r="X5">
        <v>44.7</v>
      </c>
      <c r="Y5">
        <v>49</v>
      </c>
      <c r="Z5">
        <v>55.5</v>
      </c>
      <c r="AA5">
        <v>62.3</v>
      </c>
      <c r="AB5">
        <v>68.5</v>
      </c>
      <c r="AC5">
        <v>74.599999999999994</v>
      </c>
      <c r="AD5">
        <v>87.8</v>
      </c>
    </row>
    <row r="6" spans="1:30" x14ac:dyDescent="0.2">
      <c r="A6" t="str">
        <f>"03"</f>
        <v>03</v>
      </c>
      <c r="B6" s="105" t="s">
        <v>99</v>
      </c>
      <c r="C6" t="str">
        <f t="shared" si="3"/>
        <v>USON5003</v>
      </c>
      <c r="D6" t="str">
        <f t="shared" si="1"/>
        <v>USON2503</v>
      </c>
      <c r="E6" t="str">
        <f t="shared" si="1"/>
        <v>USON003</v>
      </c>
      <c r="F6" t="str">
        <f t="shared" si="1"/>
        <v>USONX03</v>
      </c>
      <c r="G6" t="str">
        <f t="shared" si="1"/>
        <v>USONY03</v>
      </c>
      <c r="H6" t="str">
        <f t="shared" si="1"/>
        <v>USONZ03</v>
      </c>
      <c r="I6" t="str">
        <f t="shared" si="4"/>
        <v>USONA3</v>
      </c>
      <c r="J6" t="str">
        <f t="shared" si="2"/>
        <v>USONB3</v>
      </c>
      <c r="K6" t="str">
        <f t="shared" si="2"/>
        <v>USONC3</v>
      </c>
      <c r="L6" t="str">
        <f t="shared" si="2"/>
        <v>USOND3</v>
      </c>
      <c r="M6" t="str">
        <f t="shared" si="2"/>
        <v>USONE3</v>
      </c>
      <c r="N6" t="str">
        <f t="shared" si="2"/>
        <v>USONH3</v>
      </c>
      <c r="O6">
        <v>3</v>
      </c>
      <c r="R6" s="106" t="s">
        <v>99</v>
      </c>
      <c r="S6">
        <v>62.5</v>
      </c>
      <c r="T6">
        <v>60.3</v>
      </c>
      <c r="U6">
        <v>57.6</v>
      </c>
      <c r="V6">
        <v>55.4</v>
      </c>
      <c r="W6">
        <v>54.4</v>
      </c>
      <c r="X6">
        <v>54.3</v>
      </c>
      <c r="Y6">
        <v>56.9</v>
      </c>
      <c r="Z6">
        <v>61.5</v>
      </c>
      <c r="AA6">
        <v>65.900000000000006</v>
      </c>
      <c r="AB6">
        <v>70.099999999999994</v>
      </c>
      <c r="AC6">
        <v>74.900000000000006</v>
      </c>
      <c r="AD6">
        <v>86.8</v>
      </c>
    </row>
    <row r="7" spans="1:30" x14ac:dyDescent="0.2">
      <c r="A7" t="str">
        <f>"04"</f>
        <v>04</v>
      </c>
      <c r="B7" s="105" t="s">
        <v>101</v>
      </c>
      <c r="C7" t="str">
        <f t="shared" si="3"/>
        <v>USON5004</v>
      </c>
      <c r="D7" t="str">
        <f t="shared" si="1"/>
        <v>USON2504</v>
      </c>
      <c r="E7" t="str">
        <f t="shared" si="1"/>
        <v>USON004</v>
      </c>
      <c r="F7" t="str">
        <f t="shared" si="1"/>
        <v>USONX04</v>
      </c>
      <c r="G7" t="str">
        <f t="shared" si="1"/>
        <v>USONY04</v>
      </c>
      <c r="H7" t="str">
        <f t="shared" si="1"/>
        <v>USONZ04</v>
      </c>
      <c r="I7" t="str">
        <f t="shared" si="4"/>
        <v>USONA4</v>
      </c>
      <c r="J7" t="str">
        <f t="shared" si="2"/>
        <v>USONB4</v>
      </c>
      <c r="K7" t="str">
        <f t="shared" si="2"/>
        <v>USONC4</v>
      </c>
      <c r="L7" t="str">
        <f t="shared" si="2"/>
        <v>USOND4</v>
      </c>
      <c r="M7" t="str">
        <f t="shared" si="2"/>
        <v>USONE4</v>
      </c>
      <c r="N7" t="str">
        <f t="shared" si="2"/>
        <v>USONH4</v>
      </c>
      <c r="O7">
        <v>4</v>
      </c>
      <c r="R7" s="106" t="s">
        <v>101</v>
      </c>
      <c r="S7">
        <v>70.3</v>
      </c>
      <c r="T7">
        <v>68.5</v>
      </c>
      <c r="U7">
        <v>66.3</v>
      </c>
      <c r="V7">
        <v>64</v>
      </c>
      <c r="W7">
        <v>62.5</v>
      </c>
      <c r="X7">
        <v>61.9</v>
      </c>
      <c r="Y7">
        <v>63.6</v>
      </c>
      <c r="Z7">
        <v>67.3</v>
      </c>
      <c r="AA7">
        <v>71.2</v>
      </c>
      <c r="AB7">
        <v>75</v>
      </c>
      <c r="AC7">
        <v>79.400000000000006</v>
      </c>
      <c r="AD7">
        <v>90.3</v>
      </c>
    </row>
    <row r="8" spans="1:30" x14ac:dyDescent="0.2">
      <c r="A8" t="str">
        <f>"05"</f>
        <v>05</v>
      </c>
      <c r="B8" s="105" t="s">
        <v>102</v>
      </c>
      <c r="C8" t="str">
        <f t="shared" si="3"/>
        <v>USON5005</v>
      </c>
      <c r="D8" t="str">
        <f t="shared" si="1"/>
        <v>USON2505</v>
      </c>
      <c r="E8" t="str">
        <f t="shared" si="1"/>
        <v>USON005</v>
      </c>
      <c r="F8" t="str">
        <f t="shared" si="1"/>
        <v>USONX05</v>
      </c>
      <c r="G8" t="str">
        <f t="shared" si="1"/>
        <v>USONY05</v>
      </c>
      <c r="H8" t="str">
        <f t="shared" si="1"/>
        <v>USONZ05</v>
      </c>
      <c r="I8" t="str">
        <f t="shared" si="4"/>
        <v>USONA5</v>
      </c>
      <c r="J8" t="str">
        <f t="shared" si="2"/>
        <v>USONB5</v>
      </c>
      <c r="K8" t="str">
        <f t="shared" si="2"/>
        <v>USONC5</v>
      </c>
      <c r="L8" t="str">
        <f t="shared" si="2"/>
        <v>USOND5</v>
      </c>
      <c r="M8" t="str">
        <f t="shared" si="2"/>
        <v>USONE5</v>
      </c>
      <c r="N8" t="str">
        <f t="shared" si="2"/>
        <v>USONH5</v>
      </c>
      <c r="O8">
        <v>5</v>
      </c>
      <c r="R8" s="106" t="s">
        <v>102</v>
      </c>
      <c r="S8">
        <v>75</v>
      </c>
      <c r="T8">
        <v>73.599999999999994</v>
      </c>
      <c r="U8">
        <v>71.7</v>
      </c>
      <c r="V8">
        <v>69.599999999999994</v>
      </c>
      <c r="W8">
        <v>68.099999999999994</v>
      </c>
      <c r="X8">
        <v>67.3</v>
      </c>
      <c r="Y8">
        <v>68.5</v>
      </c>
      <c r="Z8">
        <v>71.5</v>
      </c>
      <c r="AA8">
        <v>74.900000000000006</v>
      </c>
      <c r="AB8">
        <v>78.3</v>
      </c>
      <c r="AC8">
        <v>82.1</v>
      </c>
      <c r="AD8">
        <v>91.6</v>
      </c>
    </row>
    <row r="9" spans="1:30" x14ac:dyDescent="0.2">
      <c r="A9" t="str">
        <f>"06"</f>
        <v>06</v>
      </c>
      <c r="B9" s="105" t="s">
        <v>103</v>
      </c>
      <c r="C9" t="str">
        <f t="shared" si="3"/>
        <v>USON5006</v>
      </c>
      <c r="D9" t="str">
        <f t="shared" si="1"/>
        <v>USON2506</v>
      </c>
      <c r="E9" t="str">
        <f t="shared" si="1"/>
        <v>USON006</v>
      </c>
      <c r="F9" t="str">
        <f t="shared" si="1"/>
        <v>USONX06</v>
      </c>
      <c r="G9" t="str">
        <f t="shared" si="1"/>
        <v>USONY06</v>
      </c>
      <c r="H9" t="str">
        <f t="shared" si="1"/>
        <v>USONZ06</v>
      </c>
      <c r="I9" t="str">
        <f t="shared" si="4"/>
        <v>USONA6</v>
      </c>
      <c r="J9" t="str">
        <f t="shared" si="2"/>
        <v>USONB6</v>
      </c>
      <c r="K9" t="str">
        <f t="shared" si="2"/>
        <v>USONC6</v>
      </c>
      <c r="L9" t="str">
        <f t="shared" si="2"/>
        <v>USOND6</v>
      </c>
      <c r="M9" t="str">
        <f t="shared" si="2"/>
        <v>USONE6</v>
      </c>
      <c r="N9" t="str">
        <f t="shared" si="2"/>
        <v>USONH6</v>
      </c>
      <c r="O9">
        <v>6</v>
      </c>
      <c r="R9" s="106" t="s">
        <v>103</v>
      </c>
      <c r="S9">
        <v>78.5</v>
      </c>
      <c r="T9">
        <v>77.2</v>
      </c>
      <c r="U9">
        <v>75.7</v>
      </c>
      <c r="V9">
        <v>73.7</v>
      </c>
      <c r="W9">
        <v>72.3</v>
      </c>
      <c r="X9">
        <v>71.5</v>
      </c>
      <c r="Y9">
        <v>72.3</v>
      </c>
      <c r="Z9">
        <v>74.8</v>
      </c>
      <c r="AA9">
        <v>77.7</v>
      </c>
      <c r="AB9">
        <v>80.7</v>
      </c>
      <c r="AC9">
        <v>84</v>
      </c>
      <c r="AD9">
        <v>92</v>
      </c>
    </row>
    <row r="10" spans="1:30" x14ac:dyDescent="0.2">
      <c r="A10" t="str">
        <f>"07"</f>
        <v>07</v>
      </c>
      <c r="B10" s="105" t="s">
        <v>104</v>
      </c>
      <c r="C10" t="str">
        <f t="shared" si="3"/>
        <v>USON5007</v>
      </c>
      <c r="D10" t="str">
        <f t="shared" si="1"/>
        <v>USON2507</v>
      </c>
      <c r="E10" t="str">
        <f t="shared" si="1"/>
        <v>USON007</v>
      </c>
      <c r="F10" t="str">
        <f t="shared" si="1"/>
        <v>USONX07</v>
      </c>
      <c r="G10" t="str">
        <f t="shared" si="1"/>
        <v>USONY07</v>
      </c>
      <c r="H10" t="str">
        <f t="shared" si="1"/>
        <v>USONZ07</v>
      </c>
      <c r="I10" t="str">
        <f t="shared" si="4"/>
        <v>USONA7</v>
      </c>
      <c r="J10" t="str">
        <f t="shared" si="2"/>
        <v>USONB7</v>
      </c>
      <c r="K10" t="str">
        <f t="shared" si="2"/>
        <v>USONC7</v>
      </c>
      <c r="L10" t="str">
        <f t="shared" si="2"/>
        <v>USOND7</v>
      </c>
      <c r="M10" t="str">
        <f t="shared" si="2"/>
        <v>USONE7</v>
      </c>
      <c r="N10" t="str">
        <f t="shared" si="2"/>
        <v>USONH7</v>
      </c>
      <c r="O10">
        <v>7</v>
      </c>
      <c r="R10" s="106" t="s">
        <v>104</v>
      </c>
      <c r="S10">
        <v>80.599999999999994</v>
      </c>
      <c r="T10">
        <v>79.5</v>
      </c>
      <c r="U10">
        <v>78.099999999999994</v>
      </c>
      <c r="V10">
        <v>76.400000000000006</v>
      </c>
      <c r="W10">
        <v>75</v>
      </c>
      <c r="X10">
        <v>74.2</v>
      </c>
      <c r="Y10">
        <v>74.900000000000006</v>
      </c>
      <c r="Z10">
        <v>76.8</v>
      </c>
      <c r="AA10">
        <v>79.2</v>
      </c>
      <c r="AB10">
        <v>81.8</v>
      </c>
      <c r="AC10">
        <v>84.6</v>
      </c>
      <c r="AD10">
        <v>91.4</v>
      </c>
    </row>
    <row r="11" spans="1:30" x14ac:dyDescent="0.2">
      <c r="A11" t="str">
        <f>"08"</f>
        <v>08</v>
      </c>
      <c r="B11" s="105" t="s">
        <v>105</v>
      </c>
      <c r="C11" t="str">
        <f t="shared" si="3"/>
        <v>USON5008</v>
      </c>
      <c r="D11" t="str">
        <f t="shared" si="1"/>
        <v>USON2508</v>
      </c>
      <c r="E11" t="str">
        <f t="shared" si="1"/>
        <v>USON008</v>
      </c>
      <c r="F11" t="str">
        <f t="shared" si="1"/>
        <v>USONX08</v>
      </c>
      <c r="G11" t="str">
        <f t="shared" si="1"/>
        <v>USONY08</v>
      </c>
      <c r="H11" t="str">
        <f t="shared" si="1"/>
        <v>USONZ08</v>
      </c>
      <c r="I11" t="str">
        <f t="shared" si="4"/>
        <v>USONA8</v>
      </c>
      <c r="J11" t="str">
        <f t="shared" si="2"/>
        <v>USONB8</v>
      </c>
      <c r="K11" t="str">
        <f t="shared" si="2"/>
        <v>USONC8</v>
      </c>
      <c r="L11" t="str">
        <f t="shared" si="2"/>
        <v>USOND8</v>
      </c>
      <c r="M11" t="str">
        <f t="shared" si="2"/>
        <v>USONE8</v>
      </c>
      <c r="N11" t="str">
        <f t="shared" si="2"/>
        <v>USONH8</v>
      </c>
      <c r="O11">
        <v>8</v>
      </c>
      <c r="R11" s="106" t="s">
        <v>105</v>
      </c>
      <c r="S11">
        <v>82</v>
      </c>
      <c r="T11">
        <v>81</v>
      </c>
      <c r="U11">
        <v>79.900000000000006</v>
      </c>
      <c r="V11">
        <v>78.2</v>
      </c>
      <c r="W11">
        <v>76.900000000000006</v>
      </c>
      <c r="X11">
        <v>76.2</v>
      </c>
      <c r="Y11">
        <v>76.599999999999994</v>
      </c>
      <c r="Z11">
        <v>78.099999999999994</v>
      </c>
      <c r="AA11">
        <v>80.099999999999994</v>
      </c>
      <c r="AB11">
        <v>82.4</v>
      </c>
      <c r="AC11">
        <v>84.8</v>
      </c>
      <c r="AD11">
        <v>90.6</v>
      </c>
    </row>
    <row r="12" spans="1:30" x14ac:dyDescent="0.2">
      <c r="A12" t="str">
        <f>"09"</f>
        <v>09</v>
      </c>
      <c r="B12" s="105" t="s">
        <v>106</v>
      </c>
      <c r="C12" t="str">
        <f t="shared" si="3"/>
        <v>USON5009</v>
      </c>
      <c r="D12" t="str">
        <f t="shared" si="1"/>
        <v>USON2509</v>
      </c>
      <c r="E12" t="str">
        <f t="shared" si="1"/>
        <v>USON009</v>
      </c>
      <c r="F12" t="str">
        <f t="shared" si="1"/>
        <v>USONX09</v>
      </c>
      <c r="G12" t="str">
        <f t="shared" si="1"/>
        <v>USONY09</v>
      </c>
      <c r="H12" t="str">
        <f t="shared" si="1"/>
        <v>USONZ09</v>
      </c>
      <c r="I12" t="str">
        <f t="shared" si="4"/>
        <v>USONA9</v>
      </c>
      <c r="J12" t="str">
        <f t="shared" si="2"/>
        <v>USONB9</v>
      </c>
      <c r="K12" t="str">
        <f t="shared" si="2"/>
        <v>USONC9</v>
      </c>
      <c r="L12" t="str">
        <f t="shared" si="2"/>
        <v>USOND9</v>
      </c>
      <c r="M12" t="str">
        <f t="shared" si="2"/>
        <v>USONE9</v>
      </c>
      <c r="N12" t="str">
        <f t="shared" si="2"/>
        <v>USONH9</v>
      </c>
      <c r="O12">
        <v>9</v>
      </c>
      <c r="R12" s="106" t="s">
        <v>106</v>
      </c>
      <c r="S12">
        <v>82.9</v>
      </c>
      <c r="T12">
        <v>82.1</v>
      </c>
      <c r="U12">
        <v>81</v>
      </c>
      <c r="V12">
        <v>79.400000000000006</v>
      </c>
      <c r="W12">
        <v>78.2</v>
      </c>
      <c r="X12">
        <v>77.5</v>
      </c>
      <c r="Y12">
        <v>77.8</v>
      </c>
      <c r="Z12">
        <v>79</v>
      </c>
      <c r="AA12">
        <v>80.599999999999994</v>
      </c>
      <c r="AB12">
        <v>82.6</v>
      </c>
      <c r="AC12">
        <v>84.7</v>
      </c>
      <c r="AD12">
        <v>89.6</v>
      </c>
    </row>
    <row r="13" spans="1:30" x14ac:dyDescent="0.2">
      <c r="A13" t="str">
        <f>"10"</f>
        <v>10</v>
      </c>
      <c r="B13" s="105" t="s">
        <v>79</v>
      </c>
      <c r="C13" t="str">
        <f t="shared" si="3"/>
        <v>USON5010</v>
      </c>
      <c r="D13" t="str">
        <f t="shared" si="1"/>
        <v>USON2510</v>
      </c>
      <c r="E13" t="str">
        <f t="shared" si="1"/>
        <v>USON010</v>
      </c>
      <c r="F13" t="str">
        <f t="shared" si="1"/>
        <v>USONX10</v>
      </c>
      <c r="G13" t="str">
        <f t="shared" si="1"/>
        <v>USONY10</v>
      </c>
      <c r="H13" t="str">
        <f t="shared" si="1"/>
        <v>USONZ10</v>
      </c>
      <c r="I13" t="str">
        <f t="shared" si="4"/>
        <v>USONA10</v>
      </c>
      <c r="J13" t="str">
        <f t="shared" si="2"/>
        <v>USONB10</v>
      </c>
      <c r="K13" t="str">
        <f t="shared" si="2"/>
        <v>USONC10</v>
      </c>
      <c r="L13" t="str">
        <f t="shared" si="2"/>
        <v>USOND10</v>
      </c>
      <c r="M13" t="str">
        <f t="shared" si="2"/>
        <v>USONE10</v>
      </c>
      <c r="N13" t="str">
        <f t="shared" si="2"/>
        <v>USONH10</v>
      </c>
      <c r="O13">
        <v>10</v>
      </c>
      <c r="R13" s="106" t="s">
        <v>79</v>
      </c>
      <c r="S13">
        <v>83.5</v>
      </c>
      <c r="T13">
        <v>82.8</v>
      </c>
      <c r="U13">
        <v>81.900000000000006</v>
      </c>
      <c r="V13">
        <v>80.400000000000006</v>
      </c>
      <c r="W13">
        <v>79.2</v>
      </c>
      <c r="X13">
        <v>78.5</v>
      </c>
      <c r="Y13">
        <v>78.7</v>
      </c>
      <c r="Z13">
        <v>79.7</v>
      </c>
      <c r="AA13">
        <v>80.900000000000006</v>
      </c>
      <c r="AB13">
        <v>82.7</v>
      </c>
      <c r="AC13">
        <v>84.5</v>
      </c>
      <c r="AD13">
        <v>88.7</v>
      </c>
    </row>
    <row r="14" spans="1:30" x14ac:dyDescent="0.2">
      <c r="A14" t="str">
        <f>"12"</f>
        <v>12</v>
      </c>
      <c r="B14" s="105" t="s">
        <v>159</v>
      </c>
      <c r="C14" t="str">
        <f t="shared" si="3"/>
        <v>USON5012</v>
      </c>
      <c r="D14" t="str">
        <f t="shared" si="1"/>
        <v>USON2512</v>
      </c>
      <c r="E14" t="str">
        <f t="shared" si="1"/>
        <v>USON012</v>
      </c>
      <c r="F14" t="str">
        <f t="shared" si="1"/>
        <v>USONX12</v>
      </c>
      <c r="G14" t="str">
        <f t="shared" si="1"/>
        <v>USONY12</v>
      </c>
      <c r="H14" t="str">
        <f t="shared" si="1"/>
        <v>USONZ12</v>
      </c>
      <c r="I14" t="str">
        <f t="shared" si="4"/>
        <v>USONA12</v>
      </c>
      <c r="J14" t="str">
        <f t="shared" si="2"/>
        <v>USONB12</v>
      </c>
      <c r="K14" t="str">
        <f t="shared" si="2"/>
        <v>USONC12</v>
      </c>
      <c r="L14" t="str">
        <f t="shared" si="2"/>
        <v>USOND12</v>
      </c>
      <c r="M14" t="str">
        <f t="shared" si="2"/>
        <v>USONE12</v>
      </c>
      <c r="N14" t="str">
        <f t="shared" si="2"/>
        <v>USONH12</v>
      </c>
      <c r="O14">
        <v>12</v>
      </c>
      <c r="R14" s="106" t="s">
        <v>159</v>
      </c>
      <c r="S14">
        <v>83.9</v>
      </c>
      <c r="T14">
        <v>83.3</v>
      </c>
      <c r="U14">
        <v>82.6</v>
      </c>
      <c r="V14">
        <v>81.3</v>
      </c>
      <c r="W14">
        <v>80.2</v>
      </c>
      <c r="X14">
        <v>79.7</v>
      </c>
      <c r="Y14">
        <v>79.7</v>
      </c>
      <c r="Z14">
        <v>80.400000000000006</v>
      </c>
      <c r="AA14">
        <v>81.2</v>
      </c>
      <c r="AB14">
        <v>82.5</v>
      </c>
      <c r="AC14">
        <v>83.9</v>
      </c>
      <c r="AD14">
        <v>88.2</v>
      </c>
    </row>
    <row r="15" spans="1:30" x14ac:dyDescent="0.2">
      <c r="A15" t="str">
        <f>"15"</f>
        <v>15</v>
      </c>
      <c r="B15" s="105" t="s">
        <v>107</v>
      </c>
      <c r="C15" t="str">
        <f t="shared" si="3"/>
        <v>USON5015</v>
      </c>
      <c r="D15" t="str">
        <f t="shared" si="1"/>
        <v>USON2515</v>
      </c>
      <c r="E15" t="str">
        <f t="shared" si="1"/>
        <v>USON015</v>
      </c>
      <c r="F15" t="str">
        <f t="shared" si="1"/>
        <v>USONX15</v>
      </c>
      <c r="G15" t="str">
        <f t="shared" si="1"/>
        <v>USONY15</v>
      </c>
      <c r="H15" t="str">
        <f t="shared" si="1"/>
        <v>USONZ15</v>
      </c>
      <c r="I15" t="str">
        <f t="shared" si="4"/>
        <v>USONA15</v>
      </c>
      <c r="J15" t="str">
        <f t="shared" si="2"/>
        <v>USONB15</v>
      </c>
      <c r="K15" t="str">
        <f t="shared" si="2"/>
        <v>USONC15</v>
      </c>
      <c r="L15" t="str">
        <f t="shared" si="2"/>
        <v>USOND15</v>
      </c>
      <c r="M15" t="str">
        <f t="shared" si="2"/>
        <v>USONE15</v>
      </c>
      <c r="N15" t="str">
        <f t="shared" si="2"/>
        <v>USONH15</v>
      </c>
      <c r="O15">
        <v>15</v>
      </c>
      <c r="R15" s="106" t="s">
        <v>107</v>
      </c>
      <c r="S15">
        <v>83.5</v>
      </c>
      <c r="T15">
        <v>83.1</v>
      </c>
      <c r="U15">
        <v>82.6</v>
      </c>
      <c r="V15">
        <v>81.5</v>
      </c>
      <c r="W15">
        <v>80.5</v>
      </c>
      <c r="X15">
        <v>80</v>
      </c>
      <c r="Y15">
        <v>79.900000000000006</v>
      </c>
      <c r="Z15">
        <v>80.2</v>
      </c>
      <c r="AA15">
        <v>80.5</v>
      </c>
      <c r="AB15">
        <v>81.400000000000006</v>
      </c>
      <c r="AC15">
        <v>82.6</v>
      </c>
      <c r="AD15">
        <v>86.5</v>
      </c>
    </row>
    <row r="16" spans="1:30" x14ac:dyDescent="0.2">
      <c r="A16" t="str">
        <f>"20"</f>
        <v>20</v>
      </c>
      <c r="B16" s="105" t="s">
        <v>108</v>
      </c>
      <c r="C16" t="str">
        <f t="shared" si="3"/>
        <v>USON5020</v>
      </c>
      <c r="D16" t="str">
        <f t="shared" si="1"/>
        <v>USON2520</v>
      </c>
      <c r="E16" t="str">
        <f t="shared" si="1"/>
        <v>USON020</v>
      </c>
      <c r="F16" t="str">
        <f t="shared" si="1"/>
        <v>USONX20</v>
      </c>
      <c r="G16" t="str">
        <f t="shared" si="1"/>
        <v>USONY20</v>
      </c>
      <c r="H16" t="str">
        <f t="shared" si="1"/>
        <v>USONZ20</v>
      </c>
      <c r="I16" t="str">
        <f t="shared" si="4"/>
        <v>USONA20</v>
      </c>
      <c r="J16" t="str">
        <f t="shared" si="2"/>
        <v>USONB20</v>
      </c>
      <c r="K16" t="str">
        <f t="shared" si="2"/>
        <v>USONC20</v>
      </c>
      <c r="L16" t="str">
        <f t="shared" si="2"/>
        <v>USOND20</v>
      </c>
      <c r="M16" t="str">
        <f t="shared" si="2"/>
        <v>USONE20</v>
      </c>
      <c r="N16" t="str">
        <f t="shared" si="2"/>
        <v>USONH20</v>
      </c>
      <c r="O16">
        <v>20</v>
      </c>
      <c r="R16" s="106" t="s">
        <v>108</v>
      </c>
      <c r="S16">
        <v>81.900000000000006</v>
      </c>
      <c r="T16">
        <v>81.7</v>
      </c>
      <c r="U16">
        <v>81.400000000000006</v>
      </c>
      <c r="V16">
        <v>80.400000000000006</v>
      </c>
      <c r="W16">
        <v>79.599999999999994</v>
      </c>
      <c r="X16">
        <v>79</v>
      </c>
      <c r="Y16">
        <v>78.8</v>
      </c>
      <c r="Z16">
        <v>78.599999999999994</v>
      </c>
      <c r="AA16">
        <v>78.3</v>
      </c>
      <c r="AB16">
        <v>78.8</v>
      </c>
      <c r="AC16">
        <v>79.8</v>
      </c>
      <c r="AD16">
        <v>83.4</v>
      </c>
    </row>
    <row r="20" spans="3:20" x14ac:dyDescent="0.2">
      <c r="C20" t="str">
        <f>C4&amp;" ICPL Index"</f>
        <v>USON5001 ICPL Index</v>
      </c>
    </row>
    <row r="21" spans="3:20" x14ac:dyDescent="0.2">
      <c r="C21" t="str">
        <f t="shared" ref="C21" si="5">C5&amp;" ICPL Index"</f>
        <v>USON5002 ICPL Index</v>
      </c>
    </row>
    <row r="22" spans="3:20" x14ac:dyDescent="0.2">
      <c r="C22" t="str">
        <f t="shared" ref="C22" si="6">C6&amp;" ICPL Index"</f>
        <v>USON5003 ICPL Index</v>
      </c>
      <c r="R22" s="105" t="s">
        <v>867</v>
      </c>
      <c r="T22" t="str">
        <f>R22&amp;" = "&amp;S4/10000&amp;";"</f>
        <v>(*vs.USD_M0h_1yVol) = 0.00353;</v>
      </c>
    </row>
    <row r="23" spans="3:20" x14ac:dyDescent="0.2">
      <c r="C23" t="str">
        <f t="shared" ref="C23" si="7">C7&amp;" ICPL Index"</f>
        <v>USON5004 ICPL Index</v>
      </c>
      <c r="R23" s="105" t="s">
        <v>868</v>
      </c>
      <c r="T23" t="str">
        <f t="shared" ref="T23:T34" si="8">R23&amp;" = "&amp;S5/10000&amp;";"</f>
        <v>(*vs.USD_M0h_2yVol) = 0.00351;</v>
      </c>
    </row>
    <row r="24" spans="3:20" x14ac:dyDescent="0.2">
      <c r="C24" t="str">
        <f t="shared" ref="C24" si="9">C8&amp;" ICPL Index"</f>
        <v>USON5005 ICPL Index</v>
      </c>
      <c r="R24" s="105" t="s">
        <v>869</v>
      </c>
      <c r="T24" t="str">
        <f t="shared" si="8"/>
        <v>(*vs.USD_M0h_3yVol) = 0.00625;</v>
      </c>
    </row>
    <row r="25" spans="3:20" x14ac:dyDescent="0.2">
      <c r="C25" t="str">
        <f t="shared" ref="C25" si="10">C9&amp;" ICPL Index"</f>
        <v>USON5006 ICPL Index</v>
      </c>
      <c r="R25" s="105" t="s">
        <v>870</v>
      </c>
      <c r="T25" t="str">
        <f t="shared" si="8"/>
        <v>(*vs.USD_M0h_4yVol) = 0.00703;</v>
      </c>
    </row>
    <row r="26" spans="3:20" x14ac:dyDescent="0.2">
      <c r="C26" t="str">
        <f t="shared" ref="C26" si="11">C10&amp;" ICPL Index"</f>
        <v>USON5007 ICPL Index</v>
      </c>
      <c r="R26" s="105" t="s">
        <v>871</v>
      </c>
      <c r="T26" t="str">
        <f t="shared" si="8"/>
        <v>(*vs.USD_M0h_5yVol) = 0.0075;</v>
      </c>
    </row>
    <row r="27" spans="3:20" x14ac:dyDescent="0.2">
      <c r="C27" t="str">
        <f t="shared" ref="C27" si="12">C11&amp;" ICPL Index"</f>
        <v>USON5008 ICPL Index</v>
      </c>
      <c r="R27" s="105" t="s">
        <v>872</v>
      </c>
      <c r="T27" t="str">
        <f t="shared" si="8"/>
        <v>(*vs.USD_M0h_6yVol) = 0.00785;</v>
      </c>
    </row>
    <row r="28" spans="3:20" x14ac:dyDescent="0.2">
      <c r="C28" t="str">
        <f t="shared" ref="C28" si="13">C12&amp;" ICPL Index"</f>
        <v>USON5009 ICPL Index</v>
      </c>
      <c r="R28" s="105" t="s">
        <v>873</v>
      </c>
      <c r="T28" t="str">
        <f t="shared" si="8"/>
        <v>(*vs.USD_M0h_7yVol) = 0.00806;</v>
      </c>
    </row>
    <row r="29" spans="3:20" x14ac:dyDescent="0.2">
      <c r="C29" t="str">
        <f t="shared" ref="C29" si="14">C13&amp;" ICPL Index"</f>
        <v>USON5010 ICPL Index</v>
      </c>
      <c r="R29" s="105" t="s">
        <v>874</v>
      </c>
      <c r="T29" t="str">
        <f t="shared" si="8"/>
        <v>(*vs.USD_M0h_8yVol) = 0.0082;</v>
      </c>
    </row>
    <row r="30" spans="3:20" x14ac:dyDescent="0.2">
      <c r="C30" t="str">
        <f t="shared" ref="C30" si="15">C14&amp;" ICPL Index"</f>
        <v>USON5012 ICPL Index</v>
      </c>
      <c r="R30" s="105" t="s">
        <v>875</v>
      </c>
      <c r="T30" t="str">
        <f t="shared" si="8"/>
        <v>(*vs.USD_M0h_9yVol) = 0.00829;</v>
      </c>
    </row>
    <row r="31" spans="3:20" x14ac:dyDescent="0.2">
      <c r="C31" t="str">
        <f t="shared" ref="C31" si="16">C15&amp;" ICPL Index"</f>
        <v>USON5015 ICPL Index</v>
      </c>
      <c r="R31" s="105" t="s">
        <v>876</v>
      </c>
      <c r="T31" t="str">
        <f t="shared" si="8"/>
        <v>(*vs.USD_M0h_10yVol) = 0.00835;</v>
      </c>
    </row>
    <row r="32" spans="3:20" x14ac:dyDescent="0.2">
      <c r="C32" t="str">
        <f t="shared" ref="C32" si="17">C16&amp;" ICPL Index"</f>
        <v>USON5020 ICPL Index</v>
      </c>
      <c r="R32" s="105" t="s">
        <v>877</v>
      </c>
      <c r="T32" t="str">
        <f t="shared" si="8"/>
        <v>(*vs.USD_M0h_12yVol) = 0.00839;</v>
      </c>
    </row>
    <row r="33" spans="3:20" x14ac:dyDescent="0.2">
      <c r="C33" t="str">
        <f t="shared" ref="C33:C45" si="18">D4&amp;" ICPL Index"</f>
        <v>USON2501 ICPL Index</v>
      </c>
      <c r="R33" s="105" t="s">
        <v>878</v>
      </c>
      <c r="T33" t="str">
        <f t="shared" si="8"/>
        <v>(*vs.USD_M0h_15yVol) = 0.00835;</v>
      </c>
    </row>
    <row r="34" spans="3:20" x14ac:dyDescent="0.2">
      <c r="C34" t="str">
        <f t="shared" si="18"/>
        <v>USON2502 ICPL Index</v>
      </c>
      <c r="R34" s="105" t="s">
        <v>879</v>
      </c>
      <c r="T34" t="str">
        <f t="shared" si="8"/>
        <v>(*vs.USD_M0h_20yVol) = 0.00819;</v>
      </c>
    </row>
    <row r="35" spans="3:20" x14ac:dyDescent="0.2">
      <c r="C35" t="str">
        <f t="shared" si="18"/>
        <v>USON2503 ICPL Index</v>
      </c>
      <c r="R35" s="105"/>
    </row>
    <row r="36" spans="3:20" x14ac:dyDescent="0.2">
      <c r="C36" t="str">
        <f t="shared" si="18"/>
        <v>USON2504 ICPL Index</v>
      </c>
      <c r="R36" s="105"/>
    </row>
    <row r="37" spans="3:20" x14ac:dyDescent="0.2">
      <c r="C37" t="str">
        <f t="shared" si="18"/>
        <v>USON2505 ICPL Index</v>
      </c>
    </row>
    <row r="38" spans="3:20" x14ac:dyDescent="0.2">
      <c r="C38" t="str">
        <f t="shared" si="18"/>
        <v>USON2506 ICPL Index</v>
      </c>
      <c r="R38" s="105" t="s">
        <v>880</v>
      </c>
      <c r="T38" t="str">
        <f>R38&amp;" = "&amp;T4/10000&amp;";"</f>
        <v>(*vs.USD_M0q_1yVol) = 0.00358;</v>
      </c>
    </row>
    <row r="39" spans="3:20" x14ac:dyDescent="0.2">
      <c r="C39" t="str">
        <f t="shared" si="18"/>
        <v>USON2507 ICPL Index</v>
      </c>
      <c r="R39" s="105" t="s">
        <v>881</v>
      </c>
      <c r="T39" t="str">
        <f t="shared" ref="T39:T50" si="19">R39&amp;" = "&amp;T5/10000&amp;";"</f>
        <v>(*vs.USD_M0q_2yVol) = 0.00353;</v>
      </c>
    </row>
    <row r="40" spans="3:20" x14ac:dyDescent="0.2">
      <c r="C40" t="str">
        <f t="shared" si="18"/>
        <v>USON2508 ICPL Index</v>
      </c>
      <c r="R40" s="105" t="s">
        <v>882</v>
      </c>
      <c r="T40" t="str">
        <f t="shared" si="19"/>
        <v>(*vs.USD_M0q_3yVol) = 0.00603;</v>
      </c>
    </row>
    <row r="41" spans="3:20" x14ac:dyDescent="0.2">
      <c r="C41" t="str">
        <f t="shared" si="18"/>
        <v>USON2509 ICPL Index</v>
      </c>
      <c r="R41" s="105" t="s">
        <v>883</v>
      </c>
      <c r="T41" t="str">
        <f t="shared" si="19"/>
        <v>(*vs.USD_M0q_4yVol) = 0.00685;</v>
      </c>
    </row>
    <row r="42" spans="3:20" x14ac:dyDescent="0.2">
      <c r="C42" t="str">
        <f t="shared" si="18"/>
        <v>USON2510 ICPL Index</v>
      </c>
      <c r="R42" s="105" t="s">
        <v>884</v>
      </c>
      <c r="T42" t="str">
        <f t="shared" si="19"/>
        <v>(*vs.USD_M0q_5yVol) = 0.00736;</v>
      </c>
    </row>
    <row r="43" spans="3:20" x14ac:dyDescent="0.2">
      <c r="C43" t="str">
        <f t="shared" si="18"/>
        <v>USON2512 ICPL Index</v>
      </c>
      <c r="R43" s="105" t="s">
        <v>885</v>
      </c>
      <c r="T43" t="str">
        <f t="shared" si="19"/>
        <v>(*vs.USD_M0q_6yVol) = 0.00772;</v>
      </c>
    </row>
    <row r="44" spans="3:20" x14ac:dyDescent="0.2">
      <c r="C44" t="str">
        <f t="shared" si="18"/>
        <v>USON2515 ICPL Index</v>
      </c>
      <c r="R44" s="105" t="s">
        <v>886</v>
      </c>
      <c r="T44" t="str">
        <f t="shared" si="19"/>
        <v>(*vs.USD_M0q_7yVol) = 0.00795;</v>
      </c>
    </row>
    <row r="45" spans="3:20" x14ac:dyDescent="0.2">
      <c r="C45" t="str">
        <f t="shared" si="18"/>
        <v>USON2520 ICPL Index</v>
      </c>
      <c r="R45" s="105" t="s">
        <v>887</v>
      </c>
      <c r="T45" t="str">
        <f t="shared" si="19"/>
        <v>(*vs.USD_M0q_8yVol) = 0.0081;</v>
      </c>
    </row>
    <row r="46" spans="3:20" x14ac:dyDescent="0.2">
      <c r="C46" t="str">
        <f t="shared" ref="C46:C58" si="20">E4&amp;" ICPL Index"</f>
        <v>USON001 ICPL Index</v>
      </c>
      <c r="R46" s="105" t="s">
        <v>888</v>
      </c>
      <c r="T46" t="str">
        <f t="shared" si="19"/>
        <v>(*vs.USD_M0q_9yVol) = 0.00821;</v>
      </c>
    </row>
    <row r="47" spans="3:20" x14ac:dyDescent="0.2">
      <c r="C47" t="str">
        <f t="shared" si="20"/>
        <v>USON002 ICPL Index</v>
      </c>
      <c r="R47" s="105" t="s">
        <v>889</v>
      </c>
      <c r="T47" t="str">
        <f t="shared" si="19"/>
        <v>(*vs.USD_M0q_10yVol) = 0.00828;</v>
      </c>
    </row>
    <row r="48" spans="3:20" x14ac:dyDescent="0.2">
      <c r="C48" t="str">
        <f t="shared" si="20"/>
        <v>USON003 ICPL Index</v>
      </c>
      <c r="R48" s="105" t="s">
        <v>890</v>
      </c>
      <c r="T48" t="str">
        <f t="shared" si="19"/>
        <v>(*vs.USD_M0q_12yVol) = 0.00833;</v>
      </c>
    </row>
    <row r="49" spans="3:20" x14ac:dyDescent="0.2">
      <c r="C49" t="str">
        <f t="shared" si="20"/>
        <v>USON004 ICPL Index</v>
      </c>
      <c r="R49" s="105" t="s">
        <v>891</v>
      </c>
      <c r="T49" t="str">
        <f t="shared" si="19"/>
        <v>(*vs.USD_M0q_15yVol) = 0.00831;</v>
      </c>
    </row>
    <row r="50" spans="3:20" x14ac:dyDescent="0.2">
      <c r="C50" t="str">
        <f t="shared" si="20"/>
        <v>USON005 ICPL Index</v>
      </c>
      <c r="R50" s="105" t="s">
        <v>892</v>
      </c>
      <c r="T50" t="str">
        <f t="shared" si="19"/>
        <v>(*vs.USD_M0q_20yVol) = 0.00817;</v>
      </c>
    </row>
    <row r="51" spans="3:20" x14ac:dyDescent="0.2">
      <c r="C51" t="str">
        <f t="shared" si="20"/>
        <v>USON006 ICPL Index</v>
      </c>
      <c r="R51" s="105"/>
    </row>
    <row r="52" spans="3:20" x14ac:dyDescent="0.2">
      <c r="C52" t="str">
        <f t="shared" si="20"/>
        <v>USON007 ICPL Index</v>
      </c>
      <c r="R52" s="105"/>
    </row>
    <row r="53" spans="3:20" x14ac:dyDescent="0.2">
      <c r="C53" t="str">
        <f t="shared" si="20"/>
        <v>USON008 ICPL Index</v>
      </c>
    </row>
    <row r="54" spans="3:20" x14ac:dyDescent="0.2">
      <c r="C54" t="str">
        <f t="shared" si="20"/>
        <v>USON009 ICPL Index</v>
      </c>
      <c r="R54" s="105" t="s">
        <v>893</v>
      </c>
      <c r="T54" t="str">
        <f>R54&amp;" = "&amp;U4/10000&amp;";"</f>
        <v>(*vs.USD_0_1yVol) = 0.00363;</v>
      </c>
    </row>
    <row r="55" spans="3:20" x14ac:dyDescent="0.2">
      <c r="C55" t="str">
        <f t="shared" si="20"/>
        <v>USON010 ICPL Index</v>
      </c>
      <c r="R55" s="105" t="s">
        <v>894</v>
      </c>
      <c r="T55" t="str">
        <f t="shared" ref="T55:T66" si="21">R55&amp;" = "&amp;U5/10000&amp;";"</f>
        <v>(*vs.USD_0_2yVol) = 0.00354;</v>
      </c>
    </row>
    <row r="56" spans="3:20" x14ac:dyDescent="0.2">
      <c r="C56" t="str">
        <f t="shared" si="20"/>
        <v>USON012 ICPL Index</v>
      </c>
      <c r="R56" s="105" t="s">
        <v>895</v>
      </c>
      <c r="T56" t="str">
        <f t="shared" si="21"/>
        <v>(*vs.USD_0_3yVol) = 0.00576;</v>
      </c>
    </row>
    <row r="57" spans="3:20" x14ac:dyDescent="0.2">
      <c r="C57" t="str">
        <f t="shared" si="20"/>
        <v>USON015 ICPL Index</v>
      </c>
      <c r="R57" s="105" t="s">
        <v>896</v>
      </c>
      <c r="T57" t="str">
        <f t="shared" si="21"/>
        <v>(*vs.USD_0_4yVol) = 0.00663;</v>
      </c>
    </row>
    <row r="58" spans="3:20" x14ac:dyDescent="0.2">
      <c r="C58" t="str">
        <f t="shared" si="20"/>
        <v>USON020 ICPL Index</v>
      </c>
      <c r="R58" s="105" t="s">
        <v>897</v>
      </c>
      <c r="T58" t="str">
        <f t="shared" si="21"/>
        <v>(*vs.USD_0_5yVol) = 0.00717;</v>
      </c>
    </row>
    <row r="59" spans="3:20" x14ac:dyDescent="0.2">
      <c r="C59" t="str">
        <f t="shared" ref="C59:C71" si="22">F4&amp;" ICPL Index"</f>
        <v>USONX01 ICPL Index</v>
      </c>
      <c r="R59" s="105" t="s">
        <v>898</v>
      </c>
      <c r="T59" t="str">
        <f t="shared" si="21"/>
        <v>(*vs.USD_0_6yVol) = 0.00757;</v>
      </c>
    </row>
    <row r="60" spans="3:20" x14ac:dyDescent="0.2">
      <c r="C60" t="str">
        <f t="shared" si="22"/>
        <v>USONX02 ICPL Index</v>
      </c>
      <c r="R60" s="105" t="s">
        <v>899</v>
      </c>
      <c r="T60" t="str">
        <f t="shared" si="21"/>
        <v>(*vs.USD_0_7yVol) = 0.00781;</v>
      </c>
    </row>
    <row r="61" spans="3:20" x14ac:dyDescent="0.2">
      <c r="C61" t="str">
        <f t="shared" si="22"/>
        <v>USONX03 ICPL Index</v>
      </c>
      <c r="R61" s="105" t="s">
        <v>900</v>
      </c>
      <c r="T61" t="str">
        <f t="shared" si="21"/>
        <v>(*vs.USD_0_8yVol) = 0.00799;</v>
      </c>
    </row>
    <row r="62" spans="3:20" x14ac:dyDescent="0.2">
      <c r="C62" t="str">
        <f t="shared" si="22"/>
        <v>USONX04 ICPL Index</v>
      </c>
      <c r="R62" s="105" t="s">
        <v>901</v>
      </c>
      <c r="T62" t="str">
        <f t="shared" si="21"/>
        <v>(*vs.USD_0_9yVol) = 0.0081;</v>
      </c>
    </row>
    <row r="63" spans="3:20" x14ac:dyDescent="0.2">
      <c r="C63" t="str">
        <f t="shared" si="22"/>
        <v>USONX05 ICPL Index</v>
      </c>
      <c r="R63" s="105" t="s">
        <v>902</v>
      </c>
      <c r="T63" t="str">
        <f t="shared" si="21"/>
        <v>(*vs.USD_0_10yVol) = 0.00819;</v>
      </c>
    </row>
    <row r="64" spans="3:20" x14ac:dyDescent="0.2">
      <c r="C64" t="str">
        <f t="shared" si="22"/>
        <v>USONX06 ICPL Index</v>
      </c>
      <c r="R64" s="105" t="s">
        <v>903</v>
      </c>
      <c r="T64" t="str">
        <f t="shared" si="21"/>
        <v>(*vs.USD_0_12yVol) = 0.00826;</v>
      </c>
    </row>
    <row r="65" spans="3:20" x14ac:dyDescent="0.2">
      <c r="C65" t="str">
        <f t="shared" si="22"/>
        <v>USONX07 ICPL Index</v>
      </c>
      <c r="R65" s="105" t="s">
        <v>904</v>
      </c>
      <c r="T65" t="str">
        <f t="shared" si="21"/>
        <v>(*vs.USD_0_15yVol) = 0.00826;</v>
      </c>
    </row>
    <row r="66" spans="3:20" x14ac:dyDescent="0.2">
      <c r="C66" t="str">
        <f t="shared" si="22"/>
        <v>USONX08 ICPL Index</v>
      </c>
      <c r="R66" s="105" t="s">
        <v>905</v>
      </c>
      <c r="T66" t="str">
        <f t="shared" si="21"/>
        <v>(*vs.USD_0_20yVol) = 0.00814;</v>
      </c>
    </row>
    <row r="67" spans="3:20" x14ac:dyDescent="0.2">
      <c r="C67" t="str">
        <f t="shared" si="22"/>
        <v>USONX09 ICPL Index</v>
      </c>
      <c r="R67" s="105"/>
    </row>
    <row r="68" spans="3:20" x14ac:dyDescent="0.2">
      <c r="C68" t="str">
        <f t="shared" si="22"/>
        <v>USONX10 ICPL Index</v>
      </c>
      <c r="R68" s="105"/>
    </row>
    <row r="69" spans="3:20" x14ac:dyDescent="0.2">
      <c r="C69" t="str">
        <f t="shared" si="22"/>
        <v>USONX12 ICPL Index</v>
      </c>
    </row>
    <row r="70" spans="3:20" x14ac:dyDescent="0.2">
      <c r="C70" t="str">
        <f t="shared" si="22"/>
        <v>USONX15 ICPL Index</v>
      </c>
      <c r="R70" s="105" t="s">
        <v>906</v>
      </c>
      <c r="T70" t="str">
        <f>R70&amp;" = "&amp;V4/10000&amp;";"</f>
        <v>(*vs.USD_0q_1yVol) = 0.00362;</v>
      </c>
    </row>
    <row r="71" spans="3:20" x14ac:dyDescent="0.2">
      <c r="C71" t="str">
        <f t="shared" si="22"/>
        <v>USONX20 ICPL Index</v>
      </c>
      <c r="R71" s="105" t="s">
        <v>907</v>
      </c>
      <c r="T71" t="str">
        <f t="shared" ref="T71:T82" si="23">R71&amp;" = "&amp;V5/10000&amp;";"</f>
        <v>(*vs.USD_0q_2yVol) = 0.00403;</v>
      </c>
    </row>
    <row r="72" spans="3:20" x14ac:dyDescent="0.2">
      <c r="C72" t="str">
        <f t="shared" ref="C72:C84" si="24">G4&amp;" ICPL Index"</f>
        <v>USONY01 ICPL Index</v>
      </c>
      <c r="R72" s="105" t="s">
        <v>908</v>
      </c>
      <c r="T72" t="str">
        <f t="shared" si="23"/>
        <v>(*vs.USD_0q_3yVol) = 0.00554;</v>
      </c>
    </row>
    <row r="73" spans="3:20" x14ac:dyDescent="0.2">
      <c r="C73" t="str">
        <f t="shared" si="24"/>
        <v>USONY02 ICPL Index</v>
      </c>
      <c r="R73" s="105" t="s">
        <v>909</v>
      </c>
      <c r="T73" t="str">
        <f t="shared" si="23"/>
        <v>(*vs.USD_0q_4yVol) = 0.0064;</v>
      </c>
    </row>
    <row r="74" spans="3:20" x14ac:dyDescent="0.2">
      <c r="C74" t="str">
        <f t="shared" si="24"/>
        <v>USONY03 ICPL Index</v>
      </c>
      <c r="R74" s="105" t="s">
        <v>910</v>
      </c>
      <c r="T74" t="str">
        <f t="shared" si="23"/>
        <v>(*vs.USD_0q_5yVol) = 0.00696;</v>
      </c>
    </row>
    <row r="75" spans="3:20" x14ac:dyDescent="0.2">
      <c r="C75" t="str">
        <f t="shared" si="24"/>
        <v>USONY04 ICPL Index</v>
      </c>
      <c r="R75" s="105" t="s">
        <v>911</v>
      </c>
      <c r="T75" t="str">
        <f t="shared" si="23"/>
        <v>(*vs.USD_0q_6yVol) = 0.00737;</v>
      </c>
    </row>
    <row r="76" spans="3:20" x14ac:dyDescent="0.2">
      <c r="C76" t="str">
        <f t="shared" si="24"/>
        <v>USONY05 ICPL Index</v>
      </c>
      <c r="R76" s="105" t="s">
        <v>912</v>
      </c>
      <c r="T76" t="str">
        <f t="shared" si="23"/>
        <v>(*vs.USD_0q_7yVol) = 0.00764;</v>
      </c>
    </row>
    <row r="77" spans="3:20" x14ac:dyDescent="0.2">
      <c r="C77" t="str">
        <f t="shared" si="24"/>
        <v>USONY06 ICPL Index</v>
      </c>
      <c r="R77" s="105" t="s">
        <v>913</v>
      </c>
      <c r="T77" t="str">
        <f t="shared" si="23"/>
        <v>(*vs.USD_0q_8yVol) = 0.00782;</v>
      </c>
    </row>
    <row r="78" spans="3:20" x14ac:dyDescent="0.2">
      <c r="C78" t="str">
        <f t="shared" si="24"/>
        <v>USONY07 ICPL Index</v>
      </c>
      <c r="R78" s="105" t="s">
        <v>914</v>
      </c>
      <c r="T78" t="str">
        <f t="shared" si="23"/>
        <v>(*vs.USD_0q_9yVol) = 0.00794;</v>
      </c>
    </row>
    <row r="79" spans="3:20" x14ac:dyDescent="0.2">
      <c r="C79" t="str">
        <f t="shared" si="24"/>
        <v>USONY08 ICPL Index</v>
      </c>
      <c r="R79" s="105" t="s">
        <v>915</v>
      </c>
      <c r="T79" t="str">
        <f t="shared" si="23"/>
        <v>(*vs.USD_0q_10yVol) = 0.00804;</v>
      </c>
    </row>
    <row r="80" spans="3:20" x14ac:dyDescent="0.2">
      <c r="C80" t="str">
        <f t="shared" si="24"/>
        <v>USONY09 ICPL Index</v>
      </c>
      <c r="R80" s="105" t="s">
        <v>916</v>
      </c>
      <c r="T80" t="str">
        <f t="shared" si="23"/>
        <v>(*vs.USD_0q_12yVol) = 0.00813;</v>
      </c>
    </row>
    <row r="81" spans="3:20" x14ac:dyDescent="0.2">
      <c r="C81" t="str">
        <f t="shared" si="24"/>
        <v>USONY10 ICPL Index</v>
      </c>
      <c r="R81" s="105" t="s">
        <v>917</v>
      </c>
      <c r="T81" t="str">
        <f t="shared" si="23"/>
        <v>(*vs.USD_0q_15yVol) = 0.00815;</v>
      </c>
    </row>
    <row r="82" spans="3:20" x14ac:dyDescent="0.2">
      <c r="C82" t="str">
        <f t="shared" si="24"/>
        <v>USONY12 ICPL Index</v>
      </c>
      <c r="R82" s="105" t="s">
        <v>918</v>
      </c>
      <c r="T82" t="str">
        <f t="shared" si="23"/>
        <v>(*vs.USD_0q_20yVol) = 0.00804;</v>
      </c>
    </row>
    <row r="83" spans="3:20" x14ac:dyDescent="0.2">
      <c r="C83" t="str">
        <f t="shared" si="24"/>
        <v>USONY15 ICPL Index</v>
      </c>
      <c r="R83" s="105" t="s">
        <v>919</v>
      </c>
    </row>
    <row r="84" spans="3:20" x14ac:dyDescent="0.2">
      <c r="C84" t="str">
        <f t="shared" si="24"/>
        <v>USONY20 ICPL Index</v>
      </c>
      <c r="R84" s="105" t="s">
        <v>920</v>
      </c>
    </row>
    <row r="85" spans="3:20" x14ac:dyDescent="0.2">
      <c r="C85" t="str">
        <f t="shared" ref="C85:C97" si="25">H4&amp;" ICPL Index"</f>
        <v>USONZ01 ICPL Index</v>
      </c>
    </row>
    <row r="86" spans="3:20" x14ac:dyDescent="0.2">
      <c r="C86" t="str">
        <f t="shared" si="25"/>
        <v>USONZ02 ICPL Index</v>
      </c>
      <c r="R86" s="105" t="s">
        <v>921</v>
      </c>
      <c r="T86" t="str">
        <f>R86&amp;" = "&amp;W4/10000&amp;";"</f>
        <v>(*vs.USD_0h_1yVol) = 0.00347;</v>
      </c>
    </row>
    <row r="87" spans="3:20" x14ac:dyDescent="0.2">
      <c r="C87" t="str">
        <f t="shared" si="25"/>
        <v>USONZ03 ICPL Index</v>
      </c>
      <c r="R87" s="105" t="s">
        <v>922</v>
      </c>
      <c r="T87" t="str">
        <f t="shared" ref="T87:T98" si="26">R87&amp;" = "&amp;W5/10000&amp;";"</f>
        <v>(*vs.USD_0h_2yVol) = 0.00434;</v>
      </c>
    </row>
    <row r="88" spans="3:20" x14ac:dyDescent="0.2">
      <c r="C88" t="str">
        <f t="shared" si="25"/>
        <v>USONZ04 ICPL Index</v>
      </c>
      <c r="R88" s="105" t="s">
        <v>923</v>
      </c>
      <c r="T88" t="str">
        <f t="shared" si="26"/>
        <v>(*vs.USD_0h_3yVol) = 0.00544;</v>
      </c>
    </row>
    <row r="89" spans="3:20" x14ac:dyDescent="0.2">
      <c r="C89" t="str">
        <f t="shared" si="25"/>
        <v>USONZ05 ICPL Index</v>
      </c>
      <c r="R89" s="105" t="s">
        <v>924</v>
      </c>
      <c r="T89" t="str">
        <f t="shared" si="26"/>
        <v>(*vs.USD_0h_4yVol) = 0.00625;</v>
      </c>
    </row>
    <row r="90" spans="3:20" x14ac:dyDescent="0.2">
      <c r="C90" t="str">
        <f t="shared" si="25"/>
        <v>USONZ06 ICPL Index</v>
      </c>
      <c r="R90" s="105" t="s">
        <v>925</v>
      </c>
      <c r="T90" t="str">
        <f t="shared" si="26"/>
        <v>(*vs.USD_0h_5yVol) = 0.00681;</v>
      </c>
    </row>
    <row r="91" spans="3:20" x14ac:dyDescent="0.2">
      <c r="C91" t="str">
        <f t="shared" si="25"/>
        <v>USONZ07 ICPL Index</v>
      </c>
      <c r="R91" s="105" t="s">
        <v>926</v>
      </c>
      <c r="T91" t="str">
        <f t="shared" si="26"/>
        <v>(*vs.USD_0h_6yVol) = 0.00723;</v>
      </c>
    </row>
    <row r="92" spans="3:20" x14ac:dyDescent="0.2">
      <c r="C92" t="str">
        <f t="shared" si="25"/>
        <v>USONZ08 ICPL Index</v>
      </c>
      <c r="R92" s="105" t="s">
        <v>927</v>
      </c>
      <c r="T92" t="str">
        <f t="shared" si="26"/>
        <v>(*vs.USD_0h_7yVol) = 0.0075;</v>
      </c>
    </row>
    <row r="93" spans="3:20" x14ac:dyDescent="0.2">
      <c r="C93" t="str">
        <f t="shared" si="25"/>
        <v>USONZ09 ICPL Index</v>
      </c>
      <c r="R93" s="105" t="s">
        <v>928</v>
      </c>
      <c r="T93" t="str">
        <f t="shared" si="26"/>
        <v>(*vs.USD_0h_8yVol) = 0.00769;</v>
      </c>
    </row>
    <row r="94" spans="3:20" x14ac:dyDescent="0.2">
      <c r="C94" t="str">
        <f t="shared" si="25"/>
        <v>USONZ10 ICPL Index</v>
      </c>
      <c r="R94" s="105" t="s">
        <v>929</v>
      </c>
      <c r="T94" t="str">
        <f t="shared" si="26"/>
        <v>(*vs.USD_0h_9yVol) = 0.00782;</v>
      </c>
    </row>
    <row r="95" spans="3:20" x14ac:dyDescent="0.2">
      <c r="C95" t="str">
        <f t="shared" si="25"/>
        <v>USONZ12 ICPL Index</v>
      </c>
      <c r="R95" s="105" t="s">
        <v>930</v>
      </c>
      <c r="T95" t="str">
        <f t="shared" si="26"/>
        <v>(*vs.USD_0h_10yVol) = 0.00792;</v>
      </c>
    </row>
    <row r="96" spans="3:20" x14ac:dyDescent="0.2">
      <c r="C96" t="str">
        <f t="shared" si="25"/>
        <v>USONZ15 ICPL Index</v>
      </c>
      <c r="R96" s="105" t="s">
        <v>931</v>
      </c>
      <c r="T96" t="str">
        <f t="shared" si="26"/>
        <v>(*vs.USD_0h_12yVol) = 0.00802;</v>
      </c>
    </row>
    <row r="97" spans="3:20" x14ac:dyDescent="0.2">
      <c r="C97" t="str">
        <f t="shared" si="25"/>
        <v>USONZ20 ICPL Index</v>
      </c>
      <c r="R97" s="105" t="s">
        <v>932</v>
      </c>
      <c r="T97" t="str">
        <f t="shared" si="26"/>
        <v>(*vs.USD_0h_15yVol) = 0.00805;</v>
      </c>
    </row>
    <row r="98" spans="3:20" x14ac:dyDescent="0.2">
      <c r="C98" t="str">
        <f t="shared" ref="C98:C110" si="27">I4&amp;" ICPL Index"</f>
        <v>USONA1 ICPL Index</v>
      </c>
      <c r="R98" s="105" t="s">
        <v>933</v>
      </c>
      <c r="T98" t="str">
        <f t="shared" si="26"/>
        <v>(*vs.USD_0h_20yVol) = 0.00796;</v>
      </c>
    </row>
    <row r="99" spans="3:20" x14ac:dyDescent="0.2">
      <c r="C99" t="str">
        <f t="shared" si="27"/>
        <v>USONA2 ICPL Index</v>
      </c>
      <c r="R99" s="105" t="s">
        <v>934</v>
      </c>
    </row>
    <row r="100" spans="3:20" x14ac:dyDescent="0.2">
      <c r="C100" t="str">
        <f t="shared" si="27"/>
        <v>USONA3 ICPL Index</v>
      </c>
      <c r="R100" s="105" t="s">
        <v>935</v>
      </c>
    </row>
    <row r="101" spans="3:20" x14ac:dyDescent="0.2">
      <c r="C101" t="str">
        <f t="shared" si="27"/>
        <v>USONA4 ICPL Index</v>
      </c>
    </row>
    <row r="102" spans="3:20" x14ac:dyDescent="0.2">
      <c r="C102" t="str">
        <f t="shared" si="27"/>
        <v>USONA5 ICPL Index</v>
      </c>
    </row>
    <row r="103" spans="3:20" x14ac:dyDescent="0.2">
      <c r="C103" t="str">
        <f t="shared" si="27"/>
        <v>USONA6 ICPL Index</v>
      </c>
    </row>
    <row r="104" spans="3:20" x14ac:dyDescent="0.2">
      <c r="C104" t="str">
        <f t="shared" si="27"/>
        <v>USONA7 ICPL Index</v>
      </c>
    </row>
    <row r="105" spans="3:20" x14ac:dyDescent="0.2">
      <c r="C105" t="str">
        <f t="shared" si="27"/>
        <v>USONA8 ICPL Index</v>
      </c>
    </row>
    <row r="106" spans="3:20" x14ac:dyDescent="0.2">
      <c r="C106" t="str">
        <f t="shared" si="27"/>
        <v>USONA9 ICPL Index</v>
      </c>
    </row>
    <row r="107" spans="3:20" x14ac:dyDescent="0.2">
      <c r="C107" t="str">
        <f t="shared" si="27"/>
        <v>USONA10 ICPL Index</v>
      </c>
    </row>
    <row r="108" spans="3:20" x14ac:dyDescent="0.2">
      <c r="C108" t="str">
        <f t="shared" si="27"/>
        <v>USONA12 ICPL Index</v>
      </c>
    </row>
    <row r="109" spans="3:20" x14ac:dyDescent="0.2">
      <c r="C109" t="str">
        <f t="shared" si="27"/>
        <v>USONA15 ICPL Index</v>
      </c>
    </row>
    <row r="110" spans="3:20" x14ac:dyDescent="0.2">
      <c r="C110" t="str">
        <f t="shared" si="27"/>
        <v>USONA20 ICPL Index</v>
      </c>
    </row>
    <row r="111" spans="3:20" x14ac:dyDescent="0.2">
      <c r="C111" t="str">
        <f t="shared" ref="C111:C123" si="28">J4&amp;" ICPL Index"</f>
        <v>USONB1 ICPL Index</v>
      </c>
    </row>
    <row r="112" spans="3:20" x14ac:dyDescent="0.2">
      <c r="C112" t="str">
        <f t="shared" si="28"/>
        <v>USONB2 ICPL Index</v>
      </c>
    </row>
    <row r="113" spans="3:3" x14ac:dyDescent="0.2">
      <c r="C113" t="str">
        <f t="shared" si="28"/>
        <v>USONB3 ICPL Index</v>
      </c>
    </row>
    <row r="114" spans="3:3" x14ac:dyDescent="0.2">
      <c r="C114" t="str">
        <f t="shared" si="28"/>
        <v>USONB4 ICPL Index</v>
      </c>
    </row>
    <row r="115" spans="3:3" x14ac:dyDescent="0.2">
      <c r="C115" t="str">
        <f t="shared" si="28"/>
        <v>USONB5 ICPL Index</v>
      </c>
    </row>
    <row r="116" spans="3:3" x14ac:dyDescent="0.2">
      <c r="C116" t="str">
        <f t="shared" si="28"/>
        <v>USONB6 ICPL Index</v>
      </c>
    </row>
    <row r="117" spans="3:3" x14ac:dyDescent="0.2">
      <c r="C117" t="str">
        <f t="shared" si="28"/>
        <v>USONB7 ICPL Index</v>
      </c>
    </row>
    <row r="118" spans="3:3" x14ac:dyDescent="0.2">
      <c r="C118" t="str">
        <f t="shared" si="28"/>
        <v>USONB8 ICPL Index</v>
      </c>
    </row>
    <row r="119" spans="3:3" x14ac:dyDescent="0.2">
      <c r="C119" t="str">
        <f t="shared" si="28"/>
        <v>USONB9 ICPL Index</v>
      </c>
    </row>
    <row r="120" spans="3:3" x14ac:dyDescent="0.2">
      <c r="C120" t="str">
        <f t="shared" si="28"/>
        <v>USONB10 ICPL Index</v>
      </c>
    </row>
    <row r="121" spans="3:3" x14ac:dyDescent="0.2">
      <c r="C121" t="str">
        <f t="shared" si="28"/>
        <v>USONB12 ICPL Index</v>
      </c>
    </row>
    <row r="122" spans="3:3" x14ac:dyDescent="0.2">
      <c r="C122" t="str">
        <f t="shared" si="28"/>
        <v>USONB15 ICPL Index</v>
      </c>
    </row>
    <row r="123" spans="3:3" x14ac:dyDescent="0.2">
      <c r="C123" t="str">
        <f t="shared" si="28"/>
        <v>USONB20 ICPL Index</v>
      </c>
    </row>
    <row r="124" spans="3:3" x14ac:dyDescent="0.2">
      <c r="C124" t="str">
        <f t="shared" ref="C124:C136" si="29">K4&amp;" ICPL Index"</f>
        <v>USONC1 ICPL Index</v>
      </c>
    </row>
    <row r="125" spans="3:3" x14ac:dyDescent="0.2">
      <c r="C125" t="str">
        <f t="shared" si="29"/>
        <v>USONC2 ICPL Index</v>
      </c>
    </row>
    <row r="126" spans="3:3" x14ac:dyDescent="0.2">
      <c r="C126" t="str">
        <f t="shared" si="29"/>
        <v>USONC3 ICPL Index</v>
      </c>
    </row>
    <row r="127" spans="3:3" x14ac:dyDescent="0.2">
      <c r="C127" t="str">
        <f t="shared" si="29"/>
        <v>USONC4 ICPL Index</v>
      </c>
    </row>
    <row r="128" spans="3:3" x14ac:dyDescent="0.2">
      <c r="C128" t="str">
        <f t="shared" si="29"/>
        <v>USONC5 ICPL Index</v>
      </c>
    </row>
    <row r="129" spans="3:3" x14ac:dyDescent="0.2">
      <c r="C129" t="str">
        <f t="shared" si="29"/>
        <v>USONC6 ICPL Index</v>
      </c>
    </row>
    <row r="130" spans="3:3" x14ac:dyDescent="0.2">
      <c r="C130" t="str">
        <f t="shared" si="29"/>
        <v>USONC7 ICPL Index</v>
      </c>
    </row>
    <row r="131" spans="3:3" x14ac:dyDescent="0.2">
      <c r="C131" t="str">
        <f t="shared" si="29"/>
        <v>USONC8 ICPL Index</v>
      </c>
    </row>
    <row r="132" spans="3:3" x14ac:dyDescent="0.2">
      <c r="C132" t="str">
        <f t="shared" si="29"/>
        <v>USONC9 ICPL Index</v>
      </c>
    </row>
    <row r="133" spans="3:3" x14ac:dyDescent="0.2">
      <c r="C133" t="str">
        <f t="shared" si="29"/>
        <v>USONC10 ICPL Index</v>
      </c>
    </row>
    <row r="134" spans="3:3" x14ac:dyDescent="0.2">
      <c r="C134" t="str">
        <f t="shared" si="29"/>
        <v>USONC12 ICPL Index</v>
      </c>
    </row>
    <row r="135" spans="3:3" x14ac:dyDescent="0.2">
      <c r="C135" t="str">
        <f t="shared" si="29"/>
        <v>USONC15 ICPL Index</v>
      </c>
    </row>
    <row r="136" spans="3:3" x14ac:dyDescent="0.2">
      <c r="C136" t="str">
        <f t="shared" si="29"/>
        <v>USONC20 ICPL Index</v>
      </c>
    </row>
    <row r="137" spans="3:3" x14ac:dyDescent="0.2">
      <c r="C137" t="str">
        <f t="shared" ref="C137:C149" si="30">L4&amp;" ICPL Index"</f>
        <v>USOND1 ICPL Index</v>
      </c>
    </row>
    <row r="138" spans="3:3" x14ac:dyDescent="0.2">
      <c r="C138" t="str">
        <f t="shared" si="30"/>
        <v>USOND2 ICPL Index</v>
      </c>
    </row>
    <row r="139" spans="3:3" x14ac:dyDescent="0.2">
      <c r="C139" t="str">
        <f t="shared" si="30"/>
        <v>USOND3 ICPL Index</v>
      </c>
    </row>
    <row r="140" spans="3:3" x14ac:dyDescent="0.2">
      <c r="C140" t="str">
        <f t="shared" si="30"/>
        <v>USOND4 ICPL Index</v>
      </c>
    </row>
    <row r="141" spans="3:3" x14ac:dyDescent="0.2">
      <c r="C141" t="str">
        <f t="shared" si="30"/>
        <v>USOND5 ICPL Index</v>
      </c>
    </row>
    <row r="142" spans="3:3" x14ac:dyDescent="0.2">
      <c r="C142" t="str">
        <f t="shared" si="30"/>
        <v>USOND6 ICPL Index</v>
      </c>
    </row>
    <row r="143" spans="3:3" x14ac:dyDescent="0.2">
      <c r="C143" t="str">
        <f t="shared" si="30"/>
        <v>USOND7 ICPL Index</v>
      </c>
    </row>
    <row r="144" spans="3:3" x14ac:dyDescent="0.2">
      <c r="C144" t="str">
        <f t="shared" si="30"/>
        <v>USOND8 ICPL Index</v>
      </c>
    </row>
    <row r="145" spans="3:3" x14ac:dyDescent="0.2">
      <c r="C145" t="str">
        <f t="shared" si="30"/>
        <v>USOND9 ICPL Index</v>
      </c>
    </row>
    <row r="146" spans="3:3" x14ac:dyDescent="0.2">
      <c r="C146" t="str">
        <f t="shared" si="30"/>
        <v>USOND10 ICPL Index</v>
      </c>
    </row>
    <row r="147" spans="3:3" x14ac:dyDescent="0.2">
      <c r="C147" t="str">
        <f t="shared" si="30"/>
        <v>USOND12 ICPL Index</v>
      </c>
    </row>
    <row r="148" spans="3:3" x14ac:dyDescent="0.2">
      <c r="C148" t="str">
        <f t="shared" si="30"/>
        <v>USOND15 ICPL Index</v>
      </c>
    </row>
    <row r="149" spans="3:3" x14ac:dyDescent="0.2">
      <c r="C149" t="str">
        <f t="shared" si="30"/>
        <v>USOND20 ICPL Index</v>
      </c>
    </row>
    <row r="150" spans="3:3" x14ac:dyDescent="0.2">
      <c r="C150" t="str">
        <f t="shared" ref="C150:C162" si="31">M4&amp;" ICPL Index"</f>
        <v>USONE1 ICPL Index</v>
      </c>
    </row>
    <row r="151" spans="3:3" x14ac:dyDescent="0.2">
      <c r="C151" t="str">
        <f t="shared" si="31"/>
        <v>USONE2 ICPL Index</v>
      </c>
    </row>
    <row r="152" spans="3:3" x14ac:dyDescent="0.2">
      <c r="C152" t="str">
        <f t="shared" si="31"/>
        <v>USONE3 ICPL Index</v>
      </c>
    </row>
    <row r="153" spans="3:3" x14ac:dyDescent="0.2">
      <c r="C153" t="str">
        <f t="shared" si="31"/>
        <v>USONE4 ICPL Index</v>
      </c>
    </row>
    <row r="154" spans="3:3" x14ac:dyDescent="0.2">
      <c r="C154" t="str">
        <f t="shared" si="31"/>
        <v>USONE5 ICPL Index</v>
      </c>
    </row>
    <row r="155" spans="3:3" x14ac:dyDescent="0.2">
      <c r="C155" t="str">
        <f t="shared" si="31"/>
        <v>USONE6 ICPL Index</v>
      </c>
    </row>
    <row r="156" spans="3:3" x14ac:dyDescent="0.2">
      <c r="C156" t="str">
        <f t="shared" si="31"/>
        <v>USONE7 ICPL Index</v>
      </c>
    </row>
    <row r="157" spans="3:3" x14ac:dyDescent="0.2">
      <c r="C157" t="str">
        <f t="shared" si="31"/>
        <v>USONE8 ICPL Index</v>
      </c>
    </row>
    <row r="158" spans="3:3" x14ac:dyDescent="0.2">
      <c r="C158" t="str">
        <f t="shared" si="31"/>
        <v>USONE9 ICPL Index</v>
      </c>
    </row>
    <row r="159" spans="3:3" x14ac:dyDescent="0.2">
      <c r="C159" t="str">
        <f t="shared" si="31"/>
        <v>USONE10 ICPL Index</v>
      </c>
    </row>
    <row r="160" spans="3:3" x14ac:dyDescent="0.2">
      <c r="C160" t="str">
        <f t="shared" si="31"/>
        <v>USONE12 ICPL Index</v>
      </c>
    </row>
    <row r="161" spans="3:3" x14ac:dyDescent="0.2">
      <c r="C161" t="str">
        <f t="shared" si="31"/>
        <v>USONE15 ICPL Index</v>
      </c>
    </row>
    <row r="162" spans="3:3" x14ac:dyDescent="0.2">
      <c r="C162" t="str">
        <f t="shared" si="31"/>
        <v>USONE20 ICPL Index</v>
      </c>
    </row>
    <row r="163" spans="3:3" x14ac:dyDescent="0.2">
      <c r="C163" t="str">
        <f t="shared" ref="C163:C175" si="32">N4&amp;" ICPL Index"</f>
        <v>USONH1 ICPL Index</v>
      </c>
    </row>
    <row r="164" spans="3:3" x14ac:dyDescent="0.2">
      <c r="C164" t="str">
        <f t="shared" si="32"/>
        <v>USONH2 ICPL Index</v>
      </c>
    </row>
    <row r="165" spans="3:3" x14ac:dyDescent="0.2">
      <c r="C165" t="str">
        <f t="shared" si="32"/>
        <v>USONH3 ICPL Index</v>
      </c>
    </row>
    <row r="166" spans="3:3" x14ac:dyDescent="0.2">
      <c r="C166" t="str">
        <f t="shared" si="32"/>
        <v>USONH4 ICPL Index</v>
      </c>
    </row>
    <row r="167" spans="3:3" x14ac:dyDescent="0.2">
      <c r="C167" t="str">
        <f t="shared" si="32"/>
        <v>USONH5 ICPL Index</v>
      </c>
    </row>
    <row r="168" spans="3:3" x14ac:dyDescent="0.2">
      <c r="C168" t="str">
        <f t="shared" si="32"/>
        <v>USONH6 ICPL Index</v>
      </c>
    </row>
    <row r="169" spans="3:3" x14ac:dyDescent="0.2">
      <c r="C169" t="str">
        <f t="shared" si="32"/>
        <v>USONH7 ICPL Index</v>
      </c>
    </row>
    <row r="170" spans="3:3" x14ac:dyDescent="0.2">
      <c r="C170" t="str">
        <f t="shared" si="32"/>
        <v>USONH8 ICPL Index</v>
      </c>
    </row>
    <row r="171" spans="3:3" x14ac:dyDescent="0.2">
      <c r="C171" t="str">
        <f t="shared" si="32"/>
        <v>USONH9 ICPL Index</v>
      </c>
    </row>
    <row r="172" spans="3:3" x14ac:dyDescent="0.2">
      <c r="C172" t="str">
        <f t="shared" si="32"/>
        <v>USONH10 ICPL Index</v>
      </c>
    </row>
    <row r="173" spans="3:3" x14ac:dyDescent="0.2">
      <c r="C173" t="str">
        <f t="shared" si="32"/>
        <v>USONH12 ICPL Index</v>
      </c>
    </row>
    <row r="174" spans="3:3" x14ac:dyDescent="0.2">
      <c r="C174" t="str">
        <f t="shared" si="32"/>
        <v>USONH15 ICPL Index</v>
      </c>
    </row>
    <row r="175" spans="3:3" x14ac:dyDescent="0.2">
      <c r="C175" t="str">
        <f t="shared" si="32"/>
        <v>USONH20 ICPL Index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2"/>
  <dimension ref="A1:AQ314"/>
  <sheetViews>
    <sheetView workbookViewId="0">
      <selection activeCell="D15" sqref="D15"/>
    </sheetView>
  </sheetViews>
  <sheetFormatPr defaultRowHeight="11.25" x14ac:dyDescent="0.2"/>
  <cols>
    <col min="1" max="1" width="28.83203125" customWidth="1"/>
    <col min="5" max="5" width="26.6640625" customWidth="1"/>
    <col min="11" max="11" width="10.1640625" customWidth="1"/>
    <col min="31" max="32" width="14.33203125" customWidth="1"/>
    <col min="33" max="33" width="5" customWidth="1"/>
    <col min="34" max="36" width="14.33203125" customWidth="1"/>
    <col min="41" max="41" width="13.33203125" customWidth="1"/>
  </cols>
  <sheetData>
    <row r="1" spans="1:28" x14ac:dyDescent="0.2">
      <c r="K1" s="145">
        <v>42516</v>
      </c>
    </row>
    <row r="2" spans="1:28" x14ac:dyDescent="0.2">
      <c r="A2" t="s">
        <v>392</v>
      </c>
      <c r="I2" t="s">
        <v>92</v>
      </c>
      <c r="K2">
        <v>-0.38750000000000001</v>
      </c>
      <c r="P2">
        <v>-0.5</v>
      </c>
      <c r="Q2">
        <v>-0.25</v>
      </c>
      <c r="R2">
        <v>-0.13</v>
      </c>
      <c r="S2">
        <v>0</v>
      </c>
      <c r="T2">
        <v>0.125</v>
      </c>
      <c r="U2" s="126">
        <v>0.25</v>
      </c>
      <c r="V2" s="126">
        <v>0.5</v>
      </c>
      <c r="W2" s="126">
        <v>1</v>
      </c>
      <c r="X2" s="126">
        <v>1.5</v>
      </c>
      <c r="Y2" s="126">
        <v>2</v>
      </c>
      <c r="Z2" s="126">
        <v>3</v>
      </c>
      <c r="AA2" s="126">
        <v>5</v>
      </c>
      <c r="AB2" s="126">
        <v>10</v>
      </c>
    </row>
    <row r="3" spans="1:28" ht="12.75" x14ac:dyDescent="0.2">
      <c r="A3" t="s">
        <v>393</v>
      </c>
      <c r="I3" t="s">
        <v>150</v>
      </c>
      <c r="K3">
        <v>-0.39500000000000002</v>
      </c>
      <c r="O3" t="s">
        <v>25</v>
      </c>
      <c r="P3" s="150">
        <v>8.9</v>
      </c>
      <c r="Q3" s="150">
        <v>6.5</v>
      </c>
      <c r="R3" s="150">
        <v>7.3</v>
      </c>
      <c r="S3" s="150">
        <v>8.8000000000000007</v>
      </c>
      <c r="T3" s="126">
        <f t="shared" ref="T3:T17" si="0">(S3+U3)/2</f>
        <v>10.25</v>
      </c>
      <c r="U3" s="150">
        <v>11.7</v>
      </c>
      <c r="V3" s="150">
        <v>14.2</v>
      </c>
      <c r="W3" s="150">
        <v>18.5</v>
      </c>
      <c r="X3" s="150">
        <v>22</v>
      </c>
      <c r="Y3" s="150">
        <v>25.1</v>
      </c>
      <c r="Z3" s="150">
        <v>30.1</v>
      </c>
      <c r="AA3" s="150">
        <v>37.5</v>
      </c>
      <c r="AB3" s="150">
        <v>49</v>
      </c>
    </row>
    <row r="4" spans="1:28" ht="12.75" x14ac:dyDescent="0.2">
      <c r="A4" t="str">
        <f>E4&amp;"="&amp;P3/100&amp;";"</f>
        <v>(*vs.EUR_M0h_1yVol) =0.089;</v>
      </c>
      <c r="E4" t="s">
        <v>317</v>
      </c>
      <c r="I4" t="s">
        <v>93</v>
      </c>
      <c r="K4">
        <v>-0.36099999999999999</v>
      </c>
      <c r="O4" t="s">
        <v>157</v>
      </c>
      <c r="P4" s="150">
        <v>11.2</v>
      </c>
      <c r="Q4" s="150">
        <v>8.9</v>
      </c>
      <c r="R4" s="150">
        <v>9.6999999999999993</v>
      </c>
      <c r="S4" s="150">
        <v>11</v>
      </c>
      <c r="T4" s="126">
        <f t="shared" si="0"/>
        <v>12.3</v>
      </c>
      <c r="U4" s="150">
        <v>13.6</v>
      </c>
      <c r="V4" s="150">
        <v>15.9</v>
      </c>
      <c r="W4" s="150">
        <v>19.8</v>
      </c>
      <c r="X4" s="150">
        <v>23.1</v>
      </c>
      <c r="Y4" s="150">
        <v>25.8</v>
      </c>
      <c r="Z4" s="150">
        <v>30.3</v>
      </c>
      <c r="AA4" s="150">
        <v>36.799999999999997</v>
      </c>
      <c r="AB4" s="150">
        <v>46.4</v>
      </c>
    </row>
    <row r="5" spans="1:28" ht="12.75" x14ac:dyDescent="0.2">
      <c r="A5" t="str">
        <f t="shared" ref="A5:A18" si="1">E5&amp;"="&amp;P4/100&amp;";"</f>
        <v>(*vs.EUR_M0h_2yVol) =0.112;</v>
      </c>
      <c r="E5" t="s">
        <v>318</v>
      </c>
      <c r="I5" t="s">
        <v>94</v>
      </c>
      <c r="K5">
        <v>-0.35899999999999999</v>
      </c>
      <c r="O5" t="s">
        <v>99</v>
      </c>
      <c r="P5" s="150">
        <v>13.9</v>
      </c>
      <c r="Q5" s="150">
        <v>11.6</v>
      </c>
      <c r="R5" s="150">
        <v>11.2</v>
      </c>
      <c r="S5" s="150">
        <v>11.5</v>
      </c>
      <c r="T5" s="126">
        <f t="shared" si="0"/>
        <v>12.1</v>
      </c>
      <c r="U5" s="150">
        <v>12.7</v>
      </c>
      <c r="V5" s="150">
        <v>13.9</v>
      </c>
      <c r="W5" s="150">
        <v>16.100000000000001</v>
      </c>
      <c r="X5" s="150">
        <v>18.100000000000001</v>
      </c>
      <c r="Y5" s="150">
        <v>19.8</v>
      </c>
      <c r="Z5" s="150">
        <v>22.6</v>
      </c>
      <c r="AA5" s="150">
        <v>26.9</v>
      </c>
      <c r="AB5" s="150">
        <v>33.700000000000003</v>
      </c>
    </row>
    <row r="6" spans="1:28" ht="12.75" x14ac:dyDescent="0.2">
      <c r="A6" t="str">
        <f t="shared" si="1"/>
        <v>(*vs.EUR_M0h_3yVol) =0.139;</v>
      </c>
      <c r="E6" t="s">
        <v>319</v>
      </c>
      <c r="I6" t="s">
        <v>95</v>
      </c>
      <c r="K6">
        <v>-0.34799999999999998</v>
      </c>
      <c r="O6" t="s">
        <v>101</v>
      </c>
      <c r="P6" s="150">
        <v>15.9</v>
      </c>
      <c r="Q6" s="150">
        <v>13.8</v>
      </c>
      <c r="R6" s="150">
        <v>13.4</v>
      </c>
      <c r="S6" s="150">
        <v>13.6</v>
      </c>
      <c r="T6" s="126">
        <f t="shared" si="0"/>
        <v>14</v>
      </c>
      <c r="U6" s="150">
        <v>14.4</v>
      </c>
      <c r="V6" s="150">
        <v>15.2</v>
      </c>
      <c r="W6" s="150">
        <v>16.7</v>
      </c>
      <c r="X6" s="150">
        <v>18.100000000000001</v>
      </c>
      <c r="Y6" s="150">
        <v>19.399999999999999</v>
      </c>
      <c r="Z6" s="150">
        <v>21.5</v>
      </c>
      <c r="AA6" s="150">
        <v>24.6</v>
      </c>
      <c r="AB6" s="150">
        <v>29.3</v>
      </c>
    </row>
    <row r="7" spans="1:28" ht="12.75" x14ac:dyDescent="0.2">
      <c r="A7" t="str">
        <f t="shared" si="1"/>
        <v>(*vs.EUR_M0h_4yVol) =0.159;</v>
      </c>
      <c r="E7" t="s">
        <v>320</v>
      </c>
      <c r="I7" t="s">
        <v>96</v>
      </c>
      <c r="K7">
        <v>-0.29799999999999999</v>
      </c>
      <c r="O7" t="s">
        <v>102</v>
      </c>
      <c r="P7" s="150">
        <v>17.600000000000001</v>
      </c>
      <c r="Q7" s="150">
        <v>15.7</v>
      </c>
      <c r="R7" s="150">
        <v>15.2</v>
      </c>
      <c r="S7" s="150">
        <v>15.3</v>
      </c>
      <c r="T7" s="126">
        <f t="shared" si="0"/>
        <v>15.55</v>
      </c>
      <c r="U7" s="150">
        <v>15.8</v>
      </c>
      <c r="V7" s="150">
        <v>16.399999999999999</v>
      </c>
      <c r="W7" s="150">
        <v>17.5</v>
      </c>
      <c r="X7" s="150">
        <v>18.600000000000001</v>
      </c>
      <c r="Y7" s="150">
        <v>19.7</v>
      </c>
      <c r="Z7" s="150">
        <v>21.6</v>
      </c>
      <c r="AA7" s="150">
        <v>24.5</v>
      </c>
      <c r="AB7" s="150">
        <v>28.7</v>
      </c>
    </row>
    <row r="8" spans="1:28" ht="12.75" x14ac:dyDescent="0.2">
      <c r="A8" t="str">
        <f t="shared" si="1"/>
        <v>(*vs.EUR_M0h_5yVol) =0.176;</v>
      </c>
      <c r="E8" t="s">
        <v>321</v>
      </c>
      <c r="I8" t="s">
        <v>97</v>
      </c>
      <c r="K8">
        <v>-0.25800000000000001</v>
      </c>
      <c r="O8" t="s">
        <v>103</v>
      </c>
      <c r="P8" s="150">
        <v>18.899999999999999</v>
      </c>
      <c r="Q8" s="150">
        <v>17.100000000000001</v>
      </c>
      <c r="R8" s="150">
        <v>16.600000000000001</v>
      </c>
      <c r="S8" s="150">
        <v>16.5</v>
      </c>
      <c r="T8" s="126">
        <f t="shared" si="0"/>
        <v>16.649999999999999</v>
      </c>
      <c r="U8" s="150">
        <v>16.8</v>
      </c>
      <c r="V8" s="150">
        <v>17.100000000000001</v>
      </c>
      <c r="W8" s="150">
        <v>17.8</v>
      </c>
      <c r="X8" s="150">
        <v>18.600000000000001</v>
      </c>
      <c r="Y8" s="150">
        <v>19.399999999999999</v>
      </c>
      <c r="Z8" s="150">
        <v>21</v>
      </c>
      <c r="AA8" s="150">
        <v>23.5</v>
      </c>
      <c r="AB8" s="150">
        <v>27.3</v>
      </c>
    </row>
    <row r="9" spans="1:28" ht="12.75" x14ac:dyDescent="0.2">
      <c r="A9" t="str">
        <f t="shared" si="1"/>
        <v>(*vs.EUR_M0h_6yVol) =0.189;</v>
      </c>
      <c r="E9" t="s">
        <v>322</v>
      </c>
      <c r="I9" t="s">
        <v>38</v>
      </c>
      <c r="K9">
        <v>-0.14599999999999999</v>
      </c>
      <c r="O9" t="s">
        <v>104</v>
      </c>
      <c r="P9" s="150">
        <v>19.899999999999999</v>
      </c>
      <c r="Q9" s="150">
        <v>18.100000000000001</v>
      </c>
      <c r="R9" s="150">
        <v>17.600000000000001</v>
      </c>
      <c r="S9" s="150">
        <v>17.5</v>
      </c>
      <c r="T9" s="126">
        <f t="shared" si="0"/>
        <v>17.5</v>
      </c>
      <c r="U9" s="150">
        <v>17.5</v>
      </c>
      <c r="V9" s="150">
        <v>17.600000000000001</v>
      </c>
      <c r="W9" s="150">
        <v>17.899999999999999</v>
      </c>
      <c r="X9" s="150">
        <v>18.3</v>
      </c>
      <c r="Y9" s="150">
        <v>18.899999999999999</v>
      </c>
      <c r="Z9" s="150">
        <v>20</v>
      </c>
      <c r="AA9" s="150">
        <v>22.1</v>
      </c>
      <c r="AB9" s="150">
        <v>25.5</v>
      </c>
    </row>
    <row r="10" spans="1:28" ht="12.75" x14ac:dyDescent="0.2">
      <c r="A10" t="str">
        <f t="shared" si="1"/>
        <v>(*vs.EUR_M0h_7yVol) =0.199;</v>
      </c>
      <c r="E10" t="s">
        <v>323</v>
      </c>
      <c r="I10" t="s">
        <v>95</v>
      </c>
      <c r="J10" t="s">
        <v>151</v>
      </c>
      <c r="K10" s="135">
        <v>-0.14699999999999999</v>
      </c>
      <c r="O10" t="s">
        <v>105</v>
      </c>
      <c r="P10" s="150">
        <v>20.6</v>
      </c>
      <c r="Q10" s="150">
        <v>18.899999999999999</v>
      </c>
      <c r="R10" s="150">
        <v>18.399999999999999</v>
      </c>
      <c r="S10" s="150">
        <v>18.100000000000001</v>
      </c>
      <c r="T10" s="126">
        <f t="shared" si="0"/>
        <v>18.05</v>
      </c>
      <c r="U10" s="150">
        <v>18</v>
      </c>
      <c r="V10" s="150">
        <v>18</v>
      </c>
      <c r="W10" s="150">
        <v>18</v>
      </c>
      <c r="X10" s="150">
        <v>18.100000000000001</v>
      </c>
      <c r="Y10" s="150">
        <v>18.3</v>
      </c>
      <c r="Z10" s="150">
        <v>19.100000000000001</v>
      </c>
      <c r="AA10" s="150">
        <v>20.7</v>
      </c>
      <c r="AB10" s="150">
        <v>23.6</v>
      </c>
    </row>
    <row r="11" spans="1:28" ht="12.75" x14ac:dyDescent="0.2">
      <c r="A11" t="str">
        <f t="shared" si="1"/>
        <v>(*vs.EUR_M0h_8yVol) =0.206;</v>
      </c>
      <c r="E11" t="s">
        <v>324</v>
      </c>
      <c r="I11" t="s">
        <v>96</v>
      </c>
      <c r="J11" t="s">
        <v>136</v>
      </c>
      <c r="K11" s="135">
        <v>-0.15</v>
      </c>
      <c r="O11" t="s">
        <v>106</v>
      </c>
      <c r="P11" s="150">
        <v>21</v>
      </c>
      <c r="Q11" s="150">
        <v>19.3</v>
      </c>
      <c r="R11" s="150">
        <v>18.8</v>
      </c>
      <c r="S11" s="150">
        <v>18.600000000000001</v>
      </c>
      <c r="T11" s="126">
        <f t="shared" si="0"/>
        <v>18.450000000000003</v>
      </c>
      <c r="U11" s="150">
        <v>18.3</v>
      </c>
      <c r="V11" s="150">
        <v>18.2</v>
      </c>
      <c r="W11" s="150">
        <v>17.899999999999999</v>
      </c>
      <c r="X11" s="150">
        <v>17.899999999999999</v>
      </c>
      <c r="Y11" s="150">
        <v>17.899999999999999</v>
      </c>
      <c r="Z11" s="150">
        <v>18.399999999999999</v>
      </c>
      <c r="AA11" s="150">
        <v>19.7</v>
      </c>
      <c r="AB11" s="150">
        <v>22.1</v>
      </c>
    </row>
    <row r="12" spans="1:28" ht="12.75" x14ac:dyDescent="0.2">
      <c r="A12" t="str">
        <f t="shared" si="1"/>
        <v>(*vs.EUR_M0h_9yVol) =0.21;</v>
      </c>
      <c r="E12" t="s">
        <v>325</v>
      </c>
      <c r="I12" t="s">
        <v>97</v>
      </c>
      <c r="J12" t="s">
        <v>152</v>
      </c>
      <c r="K12" s="135">
        <v>-0.154</v>
      </c>
      <c r="O12" t="s">
        <v>79</v>
      </c>
      <c r="P12" s="150">
        <v>21.2</v>
      </c>
      <c r="Q12" s="150">
        <v>19.600000000000001</v>
      </c>
      <c r="R12" s="150">
        <v>19.100000000000001</v>
      </c>
      <c r="S12" s="150">
        <v>18.8</v>
      </c>
      <c r="T12" s="126">
        <f t="shared" si="0"/>
        <v>18.649999999999999</v>
      </c>
      <c r="U12" s="150">
        <v>18.5</v>
      </c>
      <c r="V12" s="150">
        <v>18.3</v>
      </c>
      <c r="W12" s="150">
        <v>17.899999999999999</v>
      </c>
      <c r="X12" s="150">
        <v>17.7</v>
      </c>
      <c r="Y12" s="150">
        <v>17.600000000000001</v>
      </c>
      <c r="Z12" s="150">
        <v>17.8</v>
      </c>
      <c r="AA12" s="150">
        <v>18.7</v>
      </c>
      <c r="AB12" s="150">
        <v>20.9</v>
      </c>
    </row>
    <row r="13" spans="1:28" ht="12.75" x14ac:dyDescent="0.2">
      <c r="A13" t="str">
        <f t="shared" si="1"/>
        <v>(*vs.EUR_M0h_10yVol) =0.212;</v>
      </c>
      <c r="E13" t="s">
        <v>326</v>
      </c>
      <c r="I13" t="s">
        <v>153</v>
      </c>
      <c r="J13" t="s">
        <v>154</v>
      </c>
      <c r="K13" s="135">
        <v>-0.158</v>
      </c>
      <c r="O13" t="s">
        <v>159</v>
      </c>
      <c r="P13" s="150">
        <v>21.2</v>
      </c>
      <c r="Q13" s="150">
        <v>19.8</v>
      </c>
      <c r="R13" s="150">
        <v>19.3</v>
      </c>
      <c r="S13" s="150">
        <v>19</v>
      </c>
      <c r="T13" s="126">
        <f t="shared" si="0"/>
        <v>18.8</v>
      </c>
      <c r="U13" s="150">
        <v>18.600000000000001</v>
      </c>
      <c r="V13" s="150">
        <v>18.2</v>
      </c>
      <c r="W13" s="150">
        <v>17.600000000000001</v>
      </c>
      <c r="X13" s="150">
        <v>17.2</v>
      </c>
      <c r="Y13" s="150">
        <v>17</v>
      </c>
      <c r="Z13" s="150">
        <v>16.8</v>
      </c>
      <c r="AA13" s="150">
        <v>17.2</v>
      </c>
      <c r="AB13" s="150">
        <v>18.5</v>
      </c>
    </row>
    <row r="14" spans="1:28" ht="12.75" x14ac:dyDescent="0.2">
      <c r="A14" t="str">
        <f t="shared" si="1"/>
        <v>(*vs.EUR_M0h_12yVol) =0.212;</v>
      </c>
      <c r="E14" t="s">
        <v>327</v>
      </c>
      <c r="I14" t="s">
        <v>135</v>
      </c>
      <c r="J14" t="s">
        <v>137</v>
      </c>
      <c r="K14" s="135">
        <v>-0.159</v>
      </c>
      <c r="O14" t="s">
        <v>107</v>
      </c>
      <c r="P14" s="150">
        <v>20.9</v>
      </c>
      <c r="Q14" s="150">
        <v>19.7</v>
      </c>
      <c r="R14" s="150">
        <v>19.2</v>
      </c>
      <c r="S14" s="150">
        <v>18.899999999999999</v>
      </c>
      <c r="T14" s="126">
        <f t="shared" si="0"/>
        <v>18.649999999999999</v>
      </c>
      <c r="U14" s="141">
        <v>18.399999999999999</v>
      </c>
      <c r="V14" s="150">
        <v>18</v>
      </c>
      <c r="W14" s="150">
        <v>17.3</v>
      </c>
      <c r="X14" s="150">
        <v>16.8</v>
      </c>
      <c r="Y14" s="150">
        <v>16.399999999999999</v>
      </c>
      <c r="Z14" s="150">
        <v>15.9</v>
      </c>
      <c r="AA14" s="150">
        <v>15.7</v>
      </c>
      <c r="AB14" s="141">
        <v>16.3</v>
      </c>
    </row>
    <row r="15" spans="1:28" ht="12.75" x14ac:dyDescent="0.2">
      <c r="A15" t="str">
        <f t="shared" si="1"/>
        <v>(*vs.EUR_M0h_15yVol) =0.209;</v>
      </c>
      <c r="E15" t="s">
        <v>328</v>
      </c>
      <c r="I15" t="s">
        <v>38</v>
      </c>
      <c r="J15" t="s">
        <v>155</v>
      </c>
      <c r="K15" s="135">
        <v>-0.16200000000000001</v>
      </c>
      <c r="O15" t="s">
        <v>108</v>
      </c>
      <c r="P15" s="150">
        <v>20.399999999999999</v>
      </c>
      <c r="Q15" s="150">
        <v>19.399999999999999</v>
      </c>
      <c r="R15" s="150">
        <v>19</v>
      </c>
      <c r="S15" s="150">
        <v>18.600000000000001</v>
      </c>
      <c r="T15" s="126">
        <f t="shared" si="0"/>
        <v>18.350000000000001</v>
      </c>
      <c r="U15" s="150">
        <v>18.100000000000001</v>
      </c>
      <c r="V15" s="150">
        <v>17.7</v>
      </c>
      <c r="W15" s="150">
        <v>16.899999999999999</v>
      </c>
      <c r="X15" s="150">
        <v>16.3</v>
      </c>
      <c r="Y15" s="150">
        <v>15.9</v>
      </c>
      <c r="Z15" s="150">
        <v>15.3</v>
      </c>
      <c r="AA15" s="150">
        <v>14.7</v>
      </c>
      <c r="AB15" s="141">
        <v>13.8</v>
      </c>
    </row>
    <row r="16" spans="1:28" ht="12.75" x14ac:dyDescent="0.2">
      <c r="A16" t="str">
        <f t="shared" si="1"/>
        <v>(*vs.EUR_M0h_20yVol) =0.204;</v>
      </c>
      <c r="E16" t="s">
        <v>329</v>
      </c>
      <c r="I16" t="s">
        <v>155</v>
      </c>
      <c r="J16" t="s">
        <v>156</v>
      </c>
      <c r="K16" s="135">
        <v>-0.16500000000000001</v>
      </c>
      <c r="O16" t="s">
        <v>109</v>
      </c>
      <c r="P16" s="150">
        <v>20.2</v>
      </c>
      <c r="Q16" s="150">
        <v>19.2</v>
      </c>
      <c r="R16" s="150">
        <v>18.8</v>
      </c>
      <c r="S16" s="150">
        <v>18.5</v>
      </c>
      <c r="T16" s="126">
        <f t="shared" si="0"/>
        <v>18.25</v>
      </c>
      <c r="U16" s="141">
        <v>18</v>
      </c>
      <c r="V16" s="150">
        <v>17.600000000000001</v>
      </c>
      <c r="W16" s="141">
        <v>16.8</v>
      </c>
      <c r="X16" s="150">
        <v>16.2</v>
      </c>
      <c r="Y16" s="141">
        <v>15.7</v>
      </c>
      <c r="Z16" s="150">
        <v>15</v>
      </c>
      <c r="AA16" s="150">
        <v>14.3</v>
      </c>
      <c r="AB16" s="150">
        <v>13.8</v>
      </c>
    </row>
    <row r="17" spans="1:43" ht="12.75" x14ac:dyDescent="0.2">
      <c r="A17" t="str">
        <f t="shared" si="1"/>
        <v>(*vs.EUR_M0h_25yVol) =0.202;</v>
      </c>
      <c r="E17" t="s">
        <v>330</v>
      </c>
      <c r="I17" t="s">
        <v>157</v>
      </c>
      <c r="K17" s="135">
        <v>-0.157</v>
      </c>
      <c r="O17" t="s">
        <v>110</v>
      </c>
      <c r="P17" s="150">
        <v>20</v>
      </c>
      <c r="Q17" s="150">
        <v>19</v>
      </c>
      <c r="R17" s="141">
        <v>18.7</v>
      </c>
      <c r="S17" s="150">
        <v>18.399999999999999</v>
      </c>
      <c r="T17" s="126">
        <f t="shared" si="0"/>
        <v>18.149999999999999</v>
      </c>
      <c r="U17" s="150">
        <v>17.899999999999999</v>
      </c>
      <c r="V17" s="150">
        <v>17.399999999999999</v>
      </c>
      <c r="W17" s="150">
        <v>16.7</v>
      </c>
      <c r="X17" s="150">
        <v>16</v>
      </c>
      <c r="Y17" s="150">
        <v>15.6</v>
      </c>
      <c r="Z17" s="150">
        <v>14.8</v>
      </c>
      <c r="AA17" s="150">
        <v>14</v>
      </c>
      <c r="AB17" s="150">
        <v>13.3</v>
      </c>
    </row>
    <row r="18" spans="1:43" ht="12.75" x14ac:dyDescent="0.2">
      <c r="A18" t="str">
        <f t="shared" si="1"/>
        <v>(*vs.EUR_M0h_30yVol) =0.2;</v>
      </c>
      <c r="E18" t="s">
        <v>331</v>
      </c>
      <c r="I18" t="s">
        <v>99</v>
      </c>
      <c r="K18" s="135">
        <v>-0.128</v>
      </c>
    </row>
    <row r="19" spans="1:43" ht="12.75" x14ac:dyDescent="0.2">
      <c r="I19" t="s">
        <v>101</v>
      </c>
      <c r="K19" s="135">
        <v>-7.1999999999999995E-2</v>
      </c>
    </row>
    <row r="20" spans="1:43" ht="12.75" x14ac:dyDescent="0.2">
      <c r="A20" t="str">
        <f>E20&amp;"="&amp;Q3/100&amp;";"</f>
        <v>(*vs.EUR_M0q_1yVol) =0.065;</v>
      </c>
      <c r="E20" t="s">
        <v>332</v>
      </c>
      <c r="I20" t="s">
        <v>102</v>
      </c>
      <c r="K20" s="135">
        <v>0.01</v>
      </c>
      <c r="AP20" s="105" t="s">
        <v>255</v>
      </c>
      <c r="AQ20" s="105" t="s">
        <v>851</v>
      </c>
    </row>
    <row r="21" spans="1:43" ht="12.75" x14ac:dyDescent="0.2">
      <c r="A21" t="str">
        <f t="shared" ref="A21:A34" si="2">E21&amp;"="&amp;Q4/100&amp;";"</f>
        <v>(*vs.EUR_M0q_2yVol) =0.089;</v>
      </c>
      <c r="E21" t="s">
        <v>333</v>
      </c>
      <c r="I21" t="s">
        <v>103</v>
      </c>
      <c r="K21" s="135">
        <v>0.106</v>
      </c>
      <c r="P21" s="120">
        <v>2.3161339003938595E-3</v>
      </c>
      <c r="Q21" s="120">
        <v>1.7626236756973857E-3</v>
      </c>
      <c r="R21" s="120">
        <v>2.0378584443347318E-3</v>
      </c>
      <c r="S21" s="120">
        <v>2.5090325766239578E-3</v>
      </c>
      <c r="T21" s="120">
        <v>2.9831127431167274E-3</v>
      </c>
      <c r="U21" s="120">
        <v>3.4735481083971891E-3</v>
      </c>
      <c r="V21" s="120">
        <v>4.3801361625567439E-3</v>
      </c>
      <c r="W21" s="120">
        <v>6.1252349595444268E-3</v>
      </c>
      <c r="X21" s="120">
        <v>7.7694297673562901E-3</v>
      </c>
      <c r="Y21" s="120">
        <v>9.3988235131580306E-3</v>
      </c>
      <c r="Z21" s="120">
        <v>1.2516015500021434E-2</v>
      </c>
      <c r="AA21" s="120">
        <v>1.8483795615231082E-2</v>
      </c>
      <c r="AB21" s="120">
        <v>3.2603645218125053E-2</v>
      </c>
      <c r="AN21" t="str">
        <f>TRIM(AO21)</f>
        <v>Fwd Vol[1][0]</v>
      </c>
      <c r="AO21" t="s">
        <v>467</v>
      </c>
      <c r="AP21">
        <v>0.102844</v>
      </c>
      <c r="AQ21" s="105" t="s">
        <v>285</v>
      </c>
    </row>
    <row r="22" spans="1:43" ht="12.75" x14ac:dyDescent="0.2">
      <c r="A22" t="str">
        <f t="shared" si="2"/>
        <v>(*vs.EUR_M0q_3yVol) =0.116;</v>
      </c>
      <c r="E22" t="s">
        <v>334</v>
      </c>
      <c r="I22" t="s">
        <v>104</v>
      </c>
      <c r="K22" s="135">
        <v>0.214</v>
      </c>
      <c r="P22" s="120">
        <v>3.4501293248590565E-3</v>
      </c>
      <c r="Q22" s="120">
        <v>3.2105693624528901E-3</v>
      </c>
      <c r="R22" s="120">
        <v>3.3511000200407842E-3</v>
      </c>
      <c r="S22" s="120">
        <v>3.6254565814260427E-3</v>
      </c>
      <c r="T22" s="120">
        <v>3.978469279498899E-3</v>
      </c>
      <c r="U22" s="120">
        <v>4.3753001842996566E-3</v>
      </c>
      <c r="V22" s="120">
        <v>5.1683889280843267E-3</v>
      </c>
      <c r="W22" s="120">
        <v>6.7184959103702337E-3</v>
      </c>
      <c r="X22" s="120">
        <v>8.2566237158149067E-3</v>
      </c>
      <c r="Y22" s="120">
        <v>9.6735893210569118E-3</v>
      </c>
      <c r="Z22" s="120">
        <v>1.2450563391769372E-2</v>
      </c>
      <c r="AA22" s="120">
        <v>1.7646389440667518E-2</v>
      </c>
      <c r="AB22" s="120">
        <v>2.9429665645467531E-2</v>
      </c>
      <c r="AN22" t="str">
        <f t="shared" ref="AN22:AN85" si="3">TRIM(AO22)</f>
        <v>Fwd Vol[2][0]</v>
      </c>
      <c r="AO22" t="s">
        <v>468</v>
      </c>
      <c r="AP22">
        <v>0.12189700000000001</v>
      </c>
    </row>
    <row r="23" spans="1:43" ht="12.75" x14ac:dyDescent="0.2">
      <c r="A23" t="str">
        <f t="shared" si="2"/>
        <v>(*vs.EUR_M0q_4yVol) =0.138;</v>
      </c>
      <c r="E23" t="s">
        <v>335</v>
      </c>
      <c r="I23" t="s">
        <v>105</v>
      </c>
      <c r="K23" s="135">
        <v>0.32800000000000001</v>
      </c>
      <c r="P23" s="120">
        <v>3.7347947114214721E-3</v>
      </c>
      <c r="Q23" s="120">
        <v>3.2656302785282966E-3</v>
      </c>
      <c r="R23" s="120">
        <v>3.2203963689523378E-3</v>
      </c>
      <c r="S23" s="120">
        <v>3.3830713580277828E-3</v>
      </c>
      <c r="T23" s="120">
        <v>3.6353263832532567E-3</v>
      </c>
      <c r="U23" s="120">
        <v>3.8940771967052703E-3</v>
      </c>
      <c r="V23" s="120">
        <v>4.4302757806835603E-3</v>
      </c>
      <c r="W23" s="120">
        <v>5.5046680548655417E-3</v>
      </c>
      <c r="X23" s="120">
        <v>6.5885372695082519E-3</v>
      </c>
      <c r="Y23" s="120">
        <v>7.6283162255246974E-3</v>
      </c>
      <c r="Z23" s="120">
        <v>9.6227670533706282E-3</v>
      </c>
      <c r="AA23" s="120">
        <v>1.3477385405956277E-2</v>
      </c>
      <c r="AB23" s="120">
        <v>2.2534293764246319E-2</v>
      </c>
      <c r="AN23" t="str">
        <f t="shared" si="3"/>
        <v>Fwd Vol[3][0]</v>
      </c>
      <c r="AO23" t="s">
        <v>469</v>
      </c>
      <c r="AP23">
        <v>0.147207</v>
      </c>
    </row>
    <row r="24" spans="1:43" ht="12.75" x14ac:dyDescent="0.2">
      <c r="A24" t="str">
        <f t="shared" si="2"/>
        <v>(*vs.EUR_M0q_5yVol) =0.157;</v>
      </c>
      <c r="E24" t="s">
        <v>336</v>
      </c>
      <c r="I24" t="s">
        <v>106</v>
      </c>
      <c r="K24" s="135">
        <v>0.438</v>
      </c>
      <c r="P24" s="120">
        <v>5.8597895398177016E-3</v>
      </c>
      <c r="Q24" s="120">
        <v>5.7738120493652104E-3</v>
      </c>
      <c r="R24" s="120">
        <v>5.751923586798921E-3</v>
      </c>
      <c r="S24" s="120">
        <v>5.743214199316833E-3</v>
      </c>
      <c r="T24" s="120">
        <v>5.7039754480558962E-3</v>
      </c>
      <c r="U24" s="120">
        <v>5.6882424482651885E-3</v>
      </c>
      <c r="V24" s="120">
        <v>5.7622240216561151E-3</v>
      </c>
      <c r="W24" s="120">
        <v>6.2174940819638182E-3</v>
      </c>
      <c r="X24" s="120">
        <v>6.8619311109204082E-3</v>
      </c>
      <c r="Y24" s="120">
        <v>7.6255108897142418E-3</v>
      </c>
      <c r="Z24" s="120">
        <v>9.1155655930103534E-3</v>
      </c>
      <c r="AA24" s="120">
        <v>1.192728021852665E-2</v>
      </c>
      <c r="AB24" s="120">
        <v>1.8121693507140376E-2</v>
      </c>
      <c r="AN24" t="str">
        <f t="shared" si="3"/>
        <v>Fwd Vol[4][0]</v>
      </c>
      <c r="AO24" t="s">
        <v>470</v>
      </c>
      <c r="AP24">
        <v>0.16819200000000001</v>
      </c>
    </row>
    <row r="25" spans="1:43" ht="12.75" x14ac:dyDescent="0.2">
      <c r="A25" t="str">
        <f t="shared" si="2"/>
        <v>(*vs.EUR_M0q_6yVol) =0.171;</v>
      </c>
      <c r="E25" t="s">
        <v>337</v>
      </c>
      <c r="I25" t="s">
        <v>79</v>
      </c>
      <c r="K25" s="135">
        <v>0.54100000000000004</v>
      </c>
      <c r="P25" s="120">
        <v>6.0670498474648419E-3</v>
      </c>
      <c r="Q25" s="120">
        <v>6.0711633611859042E-3</v>
      </c>
      <c r="R25" s="120">
        <v>5.9584451577516205E-3</v>
      </c>
      <c r="S25" s="120">
        <v>6.0035129052526627E-3</v>
      </c>
      <c r="T25" s="120">
        <v>6.0466758264752013E-3</v>
      </c>
      <c r="U25" s="120">
        <v>6.087025202478594E-3</v>
      </c>
      <c r="V25" s="120">
        <v>6.3112055671458124E-3</v>
      </c>
      <c r="W25" s="120">
        <v>6.8195323181694609E-3</v>
      </c>
      <c r="X25" s="120">
        <v>7.4938509367610401E-3</v>
      </c>
      <c r="Y25" s="120">
        <v>8.2688797598788697E-3</v>
      </c>
      <c r="Z25" s="120">
        <v>9.90710880761911E-3</v>
      </c>
      <c r="AA25" s="120">
        <v>1.3135858882279486E-2</v>
      </c>
      <c r="AB25" s="120">
        <v>2.0353041546394484E-2</v>
      </c>
      <c r="AN25" t="str">
        <f t="shared" si="3"/>
        <v>Fwd Vol[5][0]</v>
      </c>
      <c r="AO25" t="s">
        <v>471</v>
      </c>
      <c r="AP25">
        <v>0.183257</v>
      </c>
    </row>
    <row r="26" spans="1:43" ht="12.75" x14ac:dyDescent="0.2">
      <c r="A26" t="str">
        <f t="shared" si="2"/>
        <v>(*vs.EUR_M0q_7yVol) =0.181;</v>
      </c>
      <c r="E26" t="s">
        <v>338</v>
      </c>
      <c r="I26" t="s">
        <v>158</v>
      </c>
      <c r="K26" s="135">
        <v>0.63500000000000001</v>
      </c>
      <c r="P26" s="120">
        <v>6.9870603281180924E-3</v>
      </c>
      <c r="Q26" s="120">
        <v>6.8782410797598526E-3</v>
      </c>
      <c r="R26" s="120">
        <v>6.884362914749983E-3</v>
      </c>
      <c r="S26" s="120">
        <v>6.6994929680103399E-3</v>
      </c>
      <c r="T26" s="120">
        <v>6.7198422521673453E-3</v>
      </c>
      <c r="U26" s="120">
        <v>6.7387282692193979E-3</v>
      </c>
      <c r="V26" s="120">
        <v>6.655369842671799E-3</v>
      </c>
      <c r="W26" s="120">
        <v>6.9129823743519685E-3</v>
      </c>
      <c r="X26" s="120">
        <v>7.4023767205314978E-3</v>
      </c>
      <c r="Y26" s="120">
        <v>7.938204075146801E-3</v>
      </c>
      <c r="Z26" s="120">
        <v>9.3151145726576515E-3</v>
      </c>
      <c r="AA26" s="120">
        <v>1.2057650550366636E-2</v>
      </c>
      <c r="AB26" s="120">
        <v>1.8601389097203744E-2</v>
      </c>
      <c r="AN26" t="str">
        <f t="shared" si="3"/>
        <v>Fwd Vol[6][0]</v>
      </c>
      <c r="AO26" t="s">
        <v>472</v>
      </c>
      <c r="AP26">
        <v>0.19280900000000001</v>
      </c>
    </row>
    <row r="27" spans="1:43" ht="12.75" x14ac:dyDescent="0.2">
      <c r="A27" t="str">
        <f t="shared" si="2"/>
        <v>(*vs.EUR_M0q_8yVol) =0.189;</v>
      </c>
      <c r="E27" t="s">
        <v>339</v>
      </c>
      <c r="I27" t="s">
        <v>159</v>
      </c>
      <c r="K27" s="135">
        <v>0.71899999999999997</v>
      </c>
      <c r="P27" s="120">
        <v>7.3685623681254784E-3</v>
      </c>
      <c r="Q27" s="120">
        <v>7.1572488341893553E-3</v>
      </c>
      <c r="R27" s="120">
        <v>7.1302729852779105E-3</v>
      </c>
      <c r="S27" s="120">
        <v>7.2940234080124122E-3</v>
      </c>
      <c r="T27" s="120">
        <v>7.1715878582802621E-3</v>
      </c>
      <c r="U27" s="120">
        <v>7.0449791612990286E-3</v>
      </c>
      <c r="V27" s="120">
        <v>7.0524517962063773E-3</v>
      </c>
      <c r="W27" s="120">
        <v>7.1107152059398313E-3</v>
      </c>
      <c r="X27" s="120">
        <v>7.2895430248694276E-3</v>
      </c>
      <c r="Y27" s="120">
        <v>7.845869959821887E-3</v>
      </c>
      <c r="Z27" s="120">
        <v>8.7771140847220964E-3</v>
      </c>
      <c r="AA27" s="120">
        <v>1.1282953028391638E-2</v>
      </c>
      <c r="AB27" s="120">
        <v>1.7349227324865022E-2</v>
      </c>
      <c r="AN27" t="str">
        <f t="shared" si="3"/>
        <v>Fwd Vol[7][0]</v>
      </c>
      <c r="AO27" t="s">
        <v>473</v>
      </c>
      <c r="AP27">
        <v>0.20868100000000001</v>
      </c>
    </row>
    <row r="28" spans="1:43" ht="12.75" x14ac:dyDescent="0.2">
      <c r="A28" t="str">
        <f t="shared" si="2"/>
        <v>(*vs.EUR_M0q_9yVol) =0.193;</v>
      </c>
      <c r="E28" t="s">
        <v>340</v>
      </c>
      <c r="I28" t="s">
        <v>160</v>
      </c>
      <c r="K28" s="135">
        <v>0.79300000000000004</v>
      </c>
      <c r="P28" s="120">
        <v>7.6174019145824091E-3</v>
      </c>
      <c r="Q28" s="120">
        <v>7.6436296859167946E-3</v>
      </c>
      <c r="R28" s="120">
        <v>7.6362243012766612E-3</v>
      </c>
      <c r="S28" s="120">
        <v>7.224686217410319E-3</v>
      </c>
      <c r="T28" s="120">
        <v>7.2896557898563859E-3</v>
      </c>
      <c r="U28" s="120">
        <v>7.3473996118688361E-3</v>
      </c>
      <c r="V28" s="120">
        <v>7.4206124056547329E-3</v>
      </c>
      <c r="W28" s="120">
        <v>7.436424758922199E-3</v>
      </c>
      <c r="X28" s="120">
        <v>7.5693855550933364E-3</v>
      </c>
      <c r="Y28" s="120">
        <v>7.5645744533298928E-3</v>
      </c>
      <c r="Z28" s="120">
        <v>8.584400839098354E-3</v>
      </c>
      <c r="AA28" s="120">
        <v>1.0546165446598298E-2</v>
      </c>
      <c r="AB28" s="120">
        <v>1.573031741874089E-2</v>
      </c>
      <c r="AN28" t="str">
        <f t="shared" si="3"/>
        <v>Fwd Vol[8][0]</v>
      </c>
      <c r="AO28" t="s">
        <v>474</v>
      </c>
      <c r="AP28">
        <v>0.217914</v>
      </c>
    </row>
    <row r="29" spans="1:43" ht="12.75" x14ac:dyDescent="0.2">
      <c r="A29" t="str">
        <f t="shared" si="2"/>
        <v>(*vs.EUR_M0q_10yVol) =0.196;</v>
      </c>
      <c r="E29" t="s">
        <v>341</v>
      </c>
      <c r="I29" t="s">
        <v>161</v>
      </c>
      <c r="K29" s="135">
        <v>0.85499999999999998</v>
      </c>
      <c r="P29" s="120">
        <v>7.5127203986421276E-3</v>
      </c>
      <c r="Q29" s="120">
        <v>7.2309298381873152E-3</v>
      </c>
      <c r="R29" s="120">
        <v>7.2076332993231528E-3</v>
      </c>
      <c r="S29" s="120">
        <v>7.6709133959455538E-3</v>
      </c>
      <c r="T29" s="120">
        <v>7.5062215563757228E-3</v>
      </c>
      <c r="U29" s="120">
        <v>7.3328151183124773E-3</v>
      </c>
      <c r="V29" s="120">
        <v>7.327214368338779E-3</v>
      </c>
      <c r="W29" s="120">
        <v>7.1256790386059667E-3</v>
      </c>
      <c r="X29" s="120">
        <v>7.5089153915066931E-3</v>
      </c>
      <c r="Y29" s="120">
        <v>7.7689906058743116E-3</v>
      </c>
      <c r="Z29" s="120">
        <v>8.442716349164079E-3</v>
      </c>
      <c r="AA29" s="120">
        <v>1.0487401957667591E-2</v>
      </c>
      <c r="AB29" s="120">
        <v>1.5173107798526261E-2</v>
      </c>
      <c r="AN29" t="str">
        <f t="shared" si="3"/>
        <v>Fwd Vol[9][0]</v>
      </c>
      <c r="AO29" t="s">
        <v>475</v>
      </c>
      <c r="AP29">
        <v>0.22572200000000001</v>
      </c>
    </row>
    <row r="30" spans="1:43" ht="12.75" x14ac:dyDescent="0.2">
      <c r="A30" t="str">
        <f t="shared" si="2"/>
        <v>(*vs.EUR_M0q_12yVol) =0.198;</v>
      </c>
      <c r="E30" t="s">
        <v>342</v>
      </c>
      <c r="I30" t="s">
        <v>107</v>
      </c>
      <c r="K30" s="135">
        <v>0.90700000000000003</v>
      </c>
      <c r="P30" s="120">
        <v>7.7352981252976228E-3</v>
      </c>
      <c r="Q30" s="120">
        <v>7.7869356837558974E-3</v>
      </c>
      <c r="R30" s="120">
        <v>7.7500317679607082E-3</v>
      </c>
      <c r="S30" s="120">
        <v>7.3442684750197988E-3</v>
      </c>
      <c r="T30" s="120">
        <v>7.4859208337496701E-3</v>
      </c>
      <c r="U30" s="120">
        <v>7.623774568409865E-3</v>
      </c>
      <c r="V30" s="120">
        <v>7.546095160962934E-3</v>
      </c>
      <c r="W30" s="120">
        <v>7.7291703909790968E-3</v>
      </c>
      <c r="X30" s="120">
        <v>7.5947672785438335E-3</v>
      </c>
      <c r="Y30" s="120">
        <v>7.8196344003842108E-3</v>
      </c>
      <c r="Z30" s="120">
        <v>8.2614816218897213E-3</v>
      </c>
      <c r="AA30" s="120">
        <v>9.5922226668193767E-3</v>
      </c>
      <c r="AB30" s="120">
        <v>1.4524891063051628E-2</v>
      </c>
      <c r="AN30" t="str">
        <f t="shared" si="3"/>
        <v>Fwd Vol[10][0]</v>
      </c>
      <c r="AO30" t="s">
        <v>476</v>
      </c>
      <c r="AP30">
        <v>0.22877800000000001</v>
      </c>
    </row>
    <row r="31" spans="1:43" ht="12.75" x14ac:dyDescent="0.2">
      <c r="A31" t="str">
        <f t="shared" si="2"/>
        <v>(*vs.EUR_M0q_15yVol) =0.197;</v>
      </c>
      <c r="E31" t="s">
        <v>343</v>
      </c>
      <c r="I31" t="s">
        <v>162</v>
      </c>
      <c r="K31" s="135">
        <v>0.95099999999999996</v>
      </c>
      <c r="P31" s="120">
        <v>6.6682856045795075E-3</v>
      </c>
      <c r="Q31" s="120">
        <v>6.7760594320431227E-3</v>
      </c>
      <c r="R31" s="120">
        <v>6.7712895891400325E-3</v>
      </c>
      <c r="S31" s="120">
        <v>7.0823298270483136E-3</v>
      </c>
      <c r="T31" s="120">
        <v>7.013194851643749E-3</v>
      </c>
      <c r="U31" s="120">
        <v>6.9353273912382144E-3</v>
      </c>
      <c r="V31" s="120">
        <v>6.7822430647630685E-3</v>
      </c>
      <c r="W31" s="120">
        <v>6.730385569058495E-3</v>
      </c>
      <c r="X31" s="120">
        <v>6.9677244608113151E-3</v>
      </c>
      <c r="Y31" s="120">
        <v>7.2651069738793317E-3</v>
      </c>
      <c r="Z31" s="120">
        <v>7.6437681558882585E-3</v>
      </c>
      <c r="AA31" s="120">
        <v>8.9977557110732034E-3</v>
      </c>
      <c r="AB31" s="120">
        <v>1.1105010175353751E-2</v>
      </c>
      <c r="AN31" t="str">
        <f t="shared" si="3"/>
        <v>Fwd Vol[11][0]</v>
      </c>
      <c r="AO31" t="s">
        <v>477</v>
      </c>
      <c r="AP31">
        <v>0.23508999999999999</v>
      </c>
    </row>
    <row r="32" spans="1:43" ht="12.75" x14ac:dyDescent="0.2">
      <c r="A32" t="str">
        <f t="shared" si="2"/>
        <v>(*vs.EUR_M0q_20yVol) =0.194;</v>
      </c>
      <c r="E32" t="s">
        <v>344</v>
      </c>
      <c r="I32" t="s">
        <v>163</v>
      </c>
      <c r="K32" s="135">
        <v>0.98699999999999999</v>
      </c>
      <c r="P32" s="120">
        <v>6.9830801963095129E-3</v>
      </c>
      <c r="Q32" s="120">
        <v>7.0219070684865801E-3</v>
      </c>
      <c r="R32" s="120">
        <v>6.9701967552977398E-3</v>
      </c>
      <c r="S32" s="120">
        <v>6.8060354362854056E-3</v>
      </c>
      <c r="T32" s="120">
        <v>6.8439856846757158E-3</v>
      </c>
      <c r="U32" s="120">
        <v>6.8787158529640688E-3</v>
      </c>
      <c r="V32" s="120">
        <v>7.1523726074995079E-3</v>
      </c>
      <c r="W32" s="120">
        <v>7.3573991191311847E-3</v>
      </c>
      <c r="X32" s="120">
        <v>7.4290143801764939E-3</v>
      </c>
      <c r="Y32" s="120">
        <v>7.3297513717415419E-3</v>
      </c>
      <c r="Z32" s="120">
        <v>7.575288986320013E-3</v>
      </c>
      <c r="AA32" s="120">
        <v>8.0385356874095315E-3</v>
      </c>
      <c r="AB32" s="120">
        <v>1.1154933747103741E-2</v>
      </c>
      <c r="AN32" t="str">
        <f t="shared" si="3"/>
        <v>Fwd Vol[12][0]</v>
      </c>
      <c r="AO32" t="s">
        <v>478</v>
      </c>
      <c r="AP32">
        <v>0.23671800000000001</v>
      </c>
    </row>
    <row r="33" spans="1:42" ht="12.75" x14ac:dyDescent="0.2">
      <c r="A33" t="str">
        <f t="shared" si="2"/>
        <v>(*vs.EUR_M0q_25yVol) =0.192;</v>
      </c>
      <c r="E33" t="s">
        <v>345</v>
      </c>
      <c r="I33" t="s">
        <v>164</v>
      </c>
      <c r="K33" s="135">
        <v>1.016</v>
      </c>
      <c r="P33" s="120">
        <v>6.075394093086316E-3</v>
      </c>
      <c r="Q33" s="120">
        <v>6.1740840102587355E-3</v>
      </c>
      <c r="R33" s="120">
        <v>6.3277062946676867E-3</v>
      </c>
      <c r="S33" s="120">
        <v>6.3217473102065089E-3</v>
      </c>
      <c r="T33" s="120">
        <v>6.3579874057603505E-3</v>
      </c>
      <c r="U33" s="120">
        <v>6.3889140587457269E-3</v>
      </c>
      <c r="V33" s="120">
        <v>6.332766850393595E-3</v>
      </c>
      <c r="W33" s="120">
        <v>6.2775264600271122E-3</v>
      </c>
      <c r="X33" s="120">
        <v>6.3797326726116703E-3</v>
      </c>
      <c r="Y33" s="120">
        <v>6.8447574914463844E-3</v>
      </c>
      <c r="Z33" s="120">
        <v>7.3126898192260939E-3</v>
      </c>
      <c r="AA33" s="120">
        <v>8.1844755492999164E-3</v>
      </c>
      <c r="AB33" s="120">
        <v>2.2177137961429155E-3</v>
      </c>
      <c r="AN33" t="str">
        <f t="shared" si="3"/>
        <v>Fwd Vol[13][0]</v>
      </c>
      <c r="AO33" t="s">
        <v>479</v>
      </c>
      <c r="AP33">
        <v>0.23817099999999999</v>
      </c>
    </row>
    <row r="34" spans="1:42" ht="12.75" x14ac:dyDescent="0.2">
      <c r="A34" t="str">
        <f t="shared" si="2"/>
        <v>(*vs.EUR_M0q_30yVol) =0.19;</v>
      </c>
      <c r="E34" t="s">
        <v>346</v>
      </c>
      <c r="I34" t="s">
        <v>165</v>
      </c>
      <c r="K34" s="135">
        <v>1.038</v>
      </c>
      <c r="P34" s="120">
        <v>6.4205083509390783E-3</v>
      </c>
      <c r="Q34" s="120">
        <v>6.2785287016460809E-3</v>
      </c>
      <c r="R34" s="120">
        <v>6.1569259005782263E-3</v>
      </c>
      <c r="S34" s="120">
        <v>6.3683321379138392E-3</v>
      </c>
      <c r="T34" s="120">
        <v>6.4102456211176497E-3</v>
      </c>
      <c r="U34" s="120">
        <v>6.4477693068850477E-3</v>
      </c>
      <c r="V34" s="120">
        <v>6.6557202822610196E-3</v>
      </c>
      <c r="W34" s="120">
        <v>6.9464733712283136E-3</v>
      </c>
      <c r="X34" s="120">
        <v>7.1570650800327805E-3</v>
      </c>
      <c r="Y34" s="120">
        <v>6.8692120610454339E-3</v>
      </c>
      <c r="Z34" s="120">
        <v>6.9388694682408613E-3</v>
      </c>
      <c r="AA34" s="120">
        <v>7.5787673995896167E-3</v>
      </c>
      <c r="AB34" s="120">
        <v>1.3984809915879064E-2</v>
      </c>
      <c r="AN34" t="str">
        <f t="shared" si="3"/>
        <v>Fwd Vol[14][0]</v>
      </c>
      <c r="AO34" t="s">
        <v>480</v>
      </c>
      <c r="AP34">
        <v>0.23563799999999999</v>
      </c>
    </row>
    <row r="35" spans="1:42" ht="12.75" x14ac:dyDescent="0.2">
      <c r="I35" t="s">
        <v>108</v>
      </c>
      <c r="K35" s="135">
        <v>1.056</v>
      </c>
      <c r="P35" s="120">
        <v>5.6659015016112578E-3</v>
      </c>
      <c r="Q35" s="120">
        <v>5.7135225690484546E-3</v>
      </c>
      <c r="R35" s="120">
        <v>6.0633409837263308E-3</v>
      </c>
      <c r="S35" s="120">
        <v>5.9431107085803642E-3</v>
      </c>
      <c r="T35" s="120">
        <v>5.9785365390206489E-3</v>
      </c>
      <c r="U35" s="120">
        <v>6.0090077504422242E-3</v>
      </c>
      <c r="V35" s="120">
        <v>5.7067101454927292E-3</v>
      </c>
      <c r="W35" s="120">
        <v>6.0026965897712822E-3</v>
      </c>
      <c r="X35" s="120">
        <v>5.7795897377556811E-3</v>
      </c>
      <c r="Y35" s="120">
        <v>6.6364901739217825E-3</v>
      </c>
      <c r="Z35" s="120">
        <v>6.8615521756017674E-3</v>
      </c>
      <c r="AA35" s="120">
        <v>7.4607126019374083E-3</v>
      </c>
      <c r="AB35" s="120">
        <v>2.3402593441895522E-3</v>
      </c>
      <c r="AN35" t="str">
        <f t="shared" si="3"/>
        <v>Fwd Vol[15][0]</v>
      </c>
      <c r="AO35" t="s">
        <v>481</v>
      </c>
      <c r="AP35">
        <v>0.23278699999999999</v>
      </c>
    </row>
    <row r="36" spans="1:42" ht="12.75" x14ac:dyDescent="0.2">
      <c r="A36" t="str">
        <f>E36&amp;"="&amp;S3/100&amp;";"</f>
        <v>(*vs.EUR_0_1yVol) =0.088;</v>
      </c>
      <c r="E36" t="s">
        <v>347</v>
      </c>
      <c r="I36" t="s">
        <v>166</v>
      </c>
      <c r="K36" s="135">
        <v>1.069</v>
      </c>
      <c r="AN36" t="str">
        <f t="shared" si="3"/>
        <v>Fwd Vol[16][0]</v>
      </c>
      <c r="AO36" t="s">
        <v>482</v>
      </c>
      <c r="AP36">
        <v>0.228852</v>
      </c>
    </row>
    <row r="37" spans="1:42" ht="12.75" x14ac:dyDescent="0.2">
      <c r="A37" t="str">
        <f t="shared" ref="A37:A50" si="4">E37&amp;"="&amp;S4/100&amp;";"</f>
        <v>(*vs.EUR_0_2yVol) =0.11;</v>
      </c>
      <c r="E37" t="s">
        <v>348</v>
      </c>
      <c r="I37" t="s">
        <v>167</v>
      </c>
      <c r="K37" s="135">
        <v>1.08</v>
      </c>
      <c r="AE37" t="str">
        <f>"Fwd Vol["&amp;$AD37&amp;"]["&amp;AE$38&amp;"]"</f>
        <v>Fwd Vol[][0]</v>
      </c>
      <c r="AN37" t="str">
        <f t="shared" si="3"/>
        <v>Fwd Vol[17][0]</v>
      </c>
      <c r="AO37" t="s">
        <v>483</v>
      </c>
      <c r="AP37">
        <v>0.225739</v>
      </c>
    </row>
    <row r="38" spans="1:42" ht="12.75" x14ac:dyDescent="0.2">
      <c r="A38" t="str">
        <f t="shared" si="4"/>
        <v>(*vs.EUR_0_3yVol) =0.115;</v>
      </c>
      <c r="E38" t="s">
        <v>349</v>
      </c>
      <c r="I38" t="s">
        <v>168</v>
      </c>
      <c r="K38" s="135">
        <v>1.087</v>
      </c>
      <c r="AE38">
        <v>0</v>
      </c>
      <c r="AF38">
        <v>1</v>
      </c>
      <c r="AH38">
        <v>2</v>
      </c>
      <c r="AI38">
        <v>3</v>
      </c>
      <c r="AJ38">
        <v>4</v>
      </c>
      <c r="AN38" t="str">
        <f t="shared" si="3"/>
        <v>Fwd Vol[18][0]</v>
      </c>
      <c r="AO38" t="s">
        <v>484</v>
      </c>
      <c r="AP38">
        <v>0.22186400000000001</v>
      </c>
    </row>
    <row r="39" spans="1:42" ht="12.75" x14ac:dyDescent="0.2">
      <c r="A39" t="str">
        <f t="shared" si="4"/>
        <v>(*vs.EUR_0_4yVol) =0.136;</v>
      </c>
      <c r="E39" t="s">
        <v>350</v>
      </c>
      <c r="I39" t="s">
        <v>169</v>
      </c>
      <c r="K39" s="135">
        <v>1.0920000000000001</v>
      </c>
      <c r="O39" t="s">
        <v>25</v>
      </c>
      <c r="P39" s="120">
        <v>8.9001540898886525E-2</v>
      </c>
      <c r="Q39" s="120">
        <v>6.4536954975704608E-2</v>
      </c>
      <c r="R39" s="120">
        <v>7.3000209392478074E-2</v>
      </c>
      <c r="S39" s="120">
        <v>8.8034028193992628E-2</v>
      </c>
      <c r="T39" s="120">
        <v>0.10258151598586034</v>
      </c>
      <c r="U39" s="120">
        <v>0.11704841015658957</v>
      </c>
      <c r="V39" s="120">
        <v>0.14200768657576282</v>
      </c>
      <c r="W39" s="120">
        <v>0.18507883257036517</v>
      </c>
      <c r="X39" s="120">
        <v>0.22027297260558359</v>
      </c>
      <c r="Y39" s="120">
        <v>0.25150574069400844</v>
      </c>
      <c r="Z39" s="120">
        <v>0.30225942142567225</v>
      </c>
      <c r="AA39" s="120">
        <v>0.37790880518086806</v>
      </c>
      <c r="AB39" s="120">
        <v>0.49671372861711605</v>
      </c>
      <c r="AD39" s="160" t="s">
        <v>761</v>
      </c>
      <c r="AE39" t="s">
        <v>776</v>
      </c>
      <c r="AF39" t="s">
        <v>777</v>
      </c>
      <c r="AH39" t="s">
        <v>778</v>
      </c>
      <c r="AI39" t="s">
        <v>779</v>
      </c>
      <c r="AJ39" t="s">
        <v>780</v>
      </c>
      <c r="AN39" t="str">
        <f t="shared" si="3"/>
        <v>Fwd Vol[19][0]</v>
      </c>
      <c r="AO39" t="s">
        <v>485</v>
      </c>
      <c r="AP39">
        <v>0.21771599999999999</v>
      </c>
    </row>
    <row r="40" spans="1:42" ht="12.75" x14ac:dyDescent="0.2">
      <c r="A40" t="str">
        <f t="shared" si="4"/>
        <v>(*vs.EUR_0_5yVol) =0.153;</v>
      </c>
      <c r="E40" t="s">
        <v>351</v>
      </c>
      <c r="I40" t="s">
        <v>109</v>
      </c>
      <c r="K40" s="135">
        <v>1.095</v>
      </c>
      <c r="O40" t="s">
        <v>157</v>
      </c>
      <c r="P40" s="120">
        <v>0.13273674386388259</v>
      </c>
      <c r="Q40" s="120">
        <v>0.11779460627173277</v>
      </c>
      <c r="R40" s="120">
        <v>0.12022752221555214</v>
      </c>
      <c r="S40" s="120">
        <v>0.12726030922886913</v>
      </c>
      <c r="T40" s="120">
        <v>0.13677484024809666</v>
      </c>
      <c r="U40" s="120">
        <v>0.14746988113947976</v>
      </c>
      <c r="V40" s="120">
        <v>0.16774851490891909</v>
      </c>
      <c r="W40" s="120">
        <v>0.20346321474671109</v>
      </c>
      <c r="X40" s="120">
        <v>0.23502896515062247</v>
      </c>
      <c r="Y40" s="120">
        <v>0.26024742695527875</v>
      </c>
      <c r="Z40" s="120">
        <v>0.303228867482357</v>
      </c>
      <c r="AA40" s="120">
        <v>0.36533603682477028</v>
      </c>
      <c r="AB40" s="120">
        <v>0.45627823261542277</v>
      </c>
      <c r="AD40" s="160" t="s">
        <v>762</v>
      </c>
      <c r="AE40" t="s">
        <v>781</v>
      </c>
      <c r="AF40" t="s">
        <v>782</v>
      </c>
      <c r="AH40" t="s">
        <v>783</v>
      </c>
      <c r="AI40" t="s">
        <v>784</v>
      </c>
      <c r="AJ40" t="s">
        <v>785</v>
      </c>
      <c r="AN40" t="str">
        <f t="shared" si="3"/>
        <v>Fwd Vol[20][0]</v>
      </c>
      <c r="AO40" t="s">
        <v>486</v>
      </c>
      <c r="AP40">
        <v>0.213583</v>
      </c>
    </row>
    <row r="41" spans="1:42" ht="12.75" x14ac:dyDescent="0.2">
      <c r="A41" t="str">
        <f t="shared" si="4"/>
        <v>(*vs.EUR_0_6yVol) =0.165;</v>
      </c>
      <c r="E41" t="s">
        <v>352</v>
      </c>
      <c r="I41" t="s">
        <v>170</v>
      </c>
      <c r="K41" s="135">
        <v>1.097</v>
      </c>
      <c r="O41" t="s">
        <v>99</v>
      </c>
      <c r="P41" s="120">
        <v>0.13900006619819222</v>
      </c>
      <c r="Q41" s="120">
        <v>0.11600008206980228</v>
      </c>
      <c r="R41" s="120">
        <v>0.11187477690380791</v>
      </c>
      <c r="S41" s="120">
        <v>0.11499999467351953</v>
      </c>
      <c r="T41" s="120">
        <v>0.1209995014680107</v>
      </c>
      <c r="U41" s="120">
        <v>0.12699999200712944</v>
      </c>
      <c r="V41" s="120">
        <v>0.13899989067036039</v>
      </c>
      <c r="W41" s="120">
        <v>0.16099725446576521</v>
      </c>
      <c r="X41" s="120">
        <v>0.18100108342138505</v>
      </c>
      <c r="Y41" s="120">
        <v>0.19800012156061167</v>
      </c>
      <c r="Z41" s="120">
        <v>0.22601530241065212</v>
      </c>
      <c r="AA41" s="120">
        <v>0.26900390425472909</v>
      </c>
      <c r="AB41" s="120">
        <v>0.33703525606532964</v>
      </c>
      <c r="AD41" s="160" t="s">
        <v>763</v>
      </c>
      <c r="AE41" t="s">
        <v>786</v>
      </c>
      <c r="AF41" t="s">
        <v>787</v>
      </c>
      <c r="AH41" t="s">
        <v>788</v>
      </c>
      <c r="AI41" t="s">
        <v>789</v>
      </c>
      <c r="AJ41" t="s">
        <v>790</v>
      </c>
      <c r="AN41" t="str">
        <f t="shared" si="3"/>
        <v>Fwd Vol[21][0]</v>
      </c>
      <c r="AO41" t="s">
        <v>487</v>
      </c>
      <c r="AP41">
        <v>0.210035</v>
      </c>
    </row>
    <row r="42" spans="1:42" ht="12.75" x14ac:dyDescent="0.2">
      <c r="A42" t="str">
        <f t="shared" si="4"/>
        <v>(*vs.EUR_0_7yVol) =0.175;</v>
      </c>
      <c r="E42" t="s">
        <v>353</v>
      </c>
      <c r="I42" t="s">
        <v>171</v>
      </c>
      <c r="K42" s="135">
        <v>1.099</v>
      </c>
      <c r="O42" t="s">
        <v>101</v>
      </c>
      <c r="P42" s="120">
        <v>0.21011611986722975</v>
      </c>
      <c r="Q42" s="120">
        <v>0.19758098610944658</v>
      </c>
      <c r="R42" s="120">
        <v>0.19252562831354</v>
      </c>
      <c r="S42" s="120">
        <v>0.18812912249405733</v>
      </c>
      <c r="T42" s="120">
        <v>0.18297783913439886</v>
      </c>
      <c r="U42" s="120">
        <v>0.17882858634305318</v>
      </c>
      <c r="V42" s="120">
        <v>0.17438588937906549</v>
      </c>
      <c r="W42" s="120">
        <v>0.17562574199790662</v>
      </c>
      <c r="X42" s="120">
        <v>0.18223436451924943</v>
      </c>
      <c r="Y42" s="120">
        <v>0.19151332421022912</v>
      </c>
      <c r="Z42" s="120">
        <v>0.20737321828372215</v>
      </c>
      <c r="AA42" s="120">
        <v>0.23078608026608516</v>
      </c>
      <c r="AB42" s="120">
        <v>0.26263166415185413</v>
      </c>
      <c r="AD42" s="160" t="s">
        <v>764</v>
      </c>
      <c r="AE42" t="s">
        <v>791</v>
      </c>
      <c r="AF42" t="s">
        <v>792</v>
      </c>
      <c r="AH42" t="s">
        <v>793</v>
      </c>
      <c r="AI42" t="s">
        <v>794</v>
      </c>
      <c r="AJ42" t="s">
        <v>795</v>
      </c>
      <c r="AN42" t="str">
        <f t="shared" si="3"/>
        <v>Fwd Vol[22][0]</v>
      </c>
      <c r="AO42" t="s">
        <v>488</v>
      </c>
      <c r="AP42">
        <v>0.20729800000000001</v>
      </c>
    </row>
    <row r="43" spans="1:42" ht="12.75" x14ac:dyDescent="0.2">
      <c r="A43" t="str">
        <f t="shared" si="4"/>
        <v>(*vs.EUR_0_8yVol) =0.181;</v>
      </c>
      <c r="E43" t="s">
        <v>354</v>
      </c>
      <c r="I43" t="s">
        <v>172</v>
      </c>
      <c r="K43" s="135">
        <v>1.1000000000000001</v>
      </c>
      <c r="O43" t="s">
        <v>102</v>
      </c>
      <c r="P43" s="120">
        <v>0.20919247219060882</v>
      </c>
      <c r="Q43" s="120">
        <v>0.19985780913677861</v>
      </c>
      <c r="R43" s="120">
        <v>0.19181867406552977</v>
      </c>
      <c r="S43" s="120">
        <v>0.18930369525329185</v>
      </c>
      <c r="T43" s="120">
        <v>0.18687463899218465</v>
      </c>
      <c r="U43" s="120">
        <v>0.1845047508999913</v>
      </c>
      <c r="V43" s="120">
        <v>0.18440704850767001</v>
      </c>
      <c r="W43" s="120">
        <v>0.18625186070837946</v>
      </c>
      <c r="X43" s="120">
        <v>0.19266767990747988</v>
      </c>
      <c r="Y43" s="120">
        <v>0.20124787834590246</v>
      </c>
      <c r="Z43" s="120">
        <v>0.218912655391238</v>
      </c>
      <c r="AA43" s="120">
        <v>0.24797350256381068</v>
      </c>
      <c r="AB43" s="120">
        <v>0.29007872043681887</v>
      </c>
      <c r="AD43" s="160" t="s">
        <v>765</v>
      </c>
      <c r="AE43" t="s">
        <v>796</v>
      </c>
      <c r="AF43" t="s">
        <v>797</v>
      </c>
      <c r="AH43" t="s">
        <v>798</v>
      </c>
      <c r="AI43" t="s">
        <v>799</v>
      </c>
      <c r="AJ43" t="s">
        <v>800</v>
      </c>
      <c r="AN43" t="str">
        <f t="shared" si="3"/>
        <v>Fwd Vol[23][0]</v>
      </c>
      <c r="AO43" t="s">
        <v>489</v>
      </c>
      <c r="AP43">
        <v>0.20536799999999999</v>
      </c>
    </row>
    <row r="44" spans="1:42" ht="12.75" x14ac:dyDescent="0.2">
      <c r="A44" t="str">
        <f t="shared" si="4"/>
        <v>(*vs.EUR_0_9yVol) =0.186;</v>
      </c>
      <c r="E44" t="s">
        <v>355</v>
      </c>
      <c r="I44" t="s">
        <v>173</v>
      </c>
      <c r="K44" s="135">
        <v>1.1000000000000001</v>
      </c>
      <c r="O44" t="s">
        <v>103</v>
      </c>
      <c r="P44" s="120">
        <v>0.23335972032521912</v>
      </c>
      <c r="Q44" s="120">
        <v>0.21923870390292532</v>
      </c>
      <c r="R44" s="120">
        <v>0.21475137640093783</v>
      </c>
      <c r="S44" s="120">
        <v>0.20446965279839052</v>
      </c>
      <c r="T44" s="120">
        <v>0.2009854822397544</v>
      </c>
      <c r="U44" s="120">
        <v>0.19764263332683943</v>
      </c>
      <c r="V44" s="120">
        <v>0.18793066793164995</v>
      </c>
      <c r="W44" s="120">
        <v>0.18239243014346229</v>
      </c>
      <c r="X44" s="120">
        <v>0.18383389474531348</v>
      </c>
      <c r="Y44" s="120">
        <v>0.18658428369354818</v>
      </c>
      <c r="Z44" s="120">
        <v>0.19879664010448148</v>
      </c>
      <c r="AA44" s="120">
        <v>0.21974891424520723</v>
      </c>
      <c r="AB44" s="120">
        <v>0.25612157091169319</v>
      </c>
      <c r="AD44" s="160" t="s">
        <v>766</v>
      </c>
      <c r="AE44" t="s">
        <v>801</v>
      </c>
      <c r="AF44" t="s">
        <v>802</v>
      </c>
      <c r="AH44" t="s">
        <v>803</v>
      </c>
      <c r="AI44" t="s">
        <v>804</v>
      </c>
      <c r="AJ44" t="s">
        <v>805</v>
      </c>
      <c r="AN44" t="str">
        <f t="shared" si="3"/>
        <v>Fwd Vol[24][0]</v>
      </c>
      <c r="AO44" t="s">
        <v>490</v>
      </c>
      <c r="AP44">
        <v>0.20369100000000001</v>
      </c>
    </row>
    <row r="45" spans="1:42" ht="12.75" x14ac:dyDescent="0.2">
      <c r="A45" t="str">
        <f t="shared" si="4"/>
        <v>(*vs.EUR_0_10yVol) =0.188;</v>
      </c>
      <c r="E45" t="s">
        <v>356</v>
      </c>
      <c r="I45" t="s">
        <v>110</v>
      </c>
      <c r="K45" s="135">
        <v>1.1000000000000001</v>
      </c>
      <c r="O45" t="s">
        <v>104</v>
      </c>
      <c r="P45" s="120">
        <v>0.23680856632006159</v>
      </c>
      <c r="Q45" s="120">
        <v>0.21952716951338094</v>
      </c>
      <c r="R45" s="120">
        <v>0.21399653123443943</v>
      </c>
      <c r="S45" s="120">
        <v>0.21465427972579973</v>
      </c>
      <c r="T45" s="120">
        <v>0.20673904188784797</v>
      </c>
      <c r="U45" s="120">
        <v>0.19908338072881754</v>
      </c>
      <c r="V45" s="120">
        <v>0.19213609408057489</v>
      </c>
      <c r="W45" s="120">
        <v>0.18107572116961645</v>
      </c>
      <c r="X45" s="120">
        <v>0.17472612606874646</v>
      </c>
      <c r="Y45" s="120">
        <v>0.17820207538528959</v>
      </c>
      <c r="Z45" s="120">
        <v>0.18104690032160312</v>
      </c>
      <c r="AA45" s="120">
        <v>0.19925664350708633</v>
      </c>
      <c r="AB45" s="120">
        <v>0.23229593900274376</v>
      </c>
      <c r="AD45" s="160" t="s">
        <v>767</v>
      </c>
      <c r="AE45" t="s">
        <v>806</v>
      </c>
      <c r="AF45" t="s">
        <v>807</v>
      </c>
      <c r="AH45" t="s">
        <v>808</v>
      </c>
      <c r="AI45" t="s">
        <v>809</v>
      </c>
      <c r="AJ45" t="s">
        <v>810</v>
      </c>
      <c r="AN45" t="str">
        <f t="shared" si="3"/>
        <v>Fwd Vol[25][0]</v>
      </c>
      <c r="AO45" t="s">
        <v>491</v>
      </c>
      <c r="AP45">
        <v>0.202098</v>
      </c>
    </row>
    <row r="46" spans="1:42" ht="12.75" x14ac:dyDescent="0.2">
      <c r="A46" t="str">
        <f t="shared" si="4"/>
        <v>(*vs.EUR_0_12yVol) =0.19;</v>
      </c>
      <c r="E46" t="s">
        <v>357</v>
      </c>
      <c r="I46" t="s">
        <v>174</v>
      </c>
      <c r="K46" s="135">
        <v>1.0880000000000001</v>
      </c>
      <c r="O46" t="s">
        <v>105</v>
      </c>
      <c r="P46" s="120">
        <v>0.23716817787481262</v>
      </c>
      <c r="Q46" s="120">
        <v>0.22749276371367838</v>
      </c>
      <c r="R46" s="120">
        <v>0.222454583417247</v>
      </c>
      <c r="S46" s="120">
        <v>0.20566193207276784</v>
      </c>
      <c r="T46" s="120">
        <v>0.20353873773392092</v>
      </c>
      <c r="U46" s="120">
        <v>0.20133962990434306</v>
      </c>
      <c r="V46" s="120">
        <v>0.19607543735096392</v>
      </c>
      <c r="W46" s="120">
        <v>0.18376122189778102</v>
      </c>
      <c r="X46" s="120">
        <v>0.17618230974441679</v>
      </c>
      <c r="Y46" s="120">
        <v>0.16657991588086465</v>
      </c>
      <c r="Z46" s="120">
        <v>0.17201250245549218</v>
      </c>
      <c r="AA46" s="120">
        <v>0.18089493021865177</v>
      </c>
      <c r="AB46" s="120">
        <v>0.20467766387132413</v>
      </c>
      <c r="AD46" s="160" t="s">
        <v>768</v>
      </c>
      <c r="AE46" t="s">
        <v>811</v>
      </c>
      <c r="AF46" t="s">
        <v>812</v>
      </c>
      <c r="AH46" t="s">
        <v>813</v>
      </c>
      <c r="AI46" t="s">
        <v>814</v>
      </c>
      <c r="AJ46" t="s">
        <v>815</v>
      </c>
      <c r="AN46" t="str">
        <f t="shared" si="3"/>
        <v>Fwd Vol[26][0]</v>
      </c>
      <c r="AO46" t="s">
        <v>492</v>
      </c>
      <c r="AP46">
        <v>0.200604</v>
      </c>
    </row>
    <row r="47" spans="1:42" ht="12.75" x14ac:dyDescent="0.2">
      <c r="A47" t="str">
        <f t="shared" si="4"/>
        <v>(*vs.EUR_0_15yVol) =0.189;</v>
      </c>
      <c r="E47" t="s">
        <v>358</v>
      </c>
      <c r="I47" t="s">
        <v>175</v>
      </c>
      <c r="K47" s="135">
        <v>1.032</v>
      </c>
      <c r="O47" t="s">
        <v>106</v>
      </c>
      <c r="P47" s="120">
        <v>0.22864525673321545</v>
      </c>
      <c r="Q47" s="120">
        <v>0.20999185567284204</v>
      </c>
      <c r="R47" s="120">
        <v>0.20489065501943693</v>
      </c>
      <c r="S47" s="120">
        <v>0.21427716446340242</v>
      </c>
      <c r="T47" s="120">
        <v>0.20536591763121365</v>
      </c>
      <c r="U47" s="120">
        <v>0.19663672056375506</v>
      </c>
      <c r="V47" s="120">
        <v>0.18944256759865907</v>
      </c>
      <c r="W47" s="120">
        <v>0.17222254431513742</v>
      </c>
      <c r="X47" s="120">
        <v>0.17116482769809224</v>
      </c>
      <c r="Y47" s="120">
        <v>0.16788038903243213</v>
      </c>
      <c r="Z47" s="120">
        <v>0.16587868728656291</v>
      </c>
      <c r="AA47" s="120">
        <v>0.17677511531569892</v>
      </c>
      <c r="AB47" s="120">
        <v>0.19440557116021201</v>
      </c>
      <c r="AD47" s="160" t="s">
        <v>769</v>
      </c>
      <c r="AE47" t="s">
        <v>816</v>
      </c>
      <c r="AF47" t="s">
        <v>817</v>
      </c>
      <c r="AH47" t="s">
        <v>818</v>
      </c>
      <c r="AI47" t="s">
        <v>819</v>
      </c>
      <c r="AJ47" t="s">
        <v>820</v>
      </c>
      <c r="AN47" t="str">
        <f t="shared" si="3"/>
        <v>Fwd Vol[27][0]</v>
      </c>
      <c r="AO47" t="s">
        <v>493</v>
      </c>
      <c r="AP47">
        <v>0.199239</v>
      </c>
    </row>
    <row r="48" spans="1:42" x14ac:dyDescent="0.2">
      <c r="A48" t="str">
        <f t="shared" si="4"/>
        <v>(*vs.EUR_0_20yVol) =0.186;</v>
      </c>
      <c r="E48" t="s">
        <v>359</v>
      </c>
      <c r="O48" t="s">
        <v>79</v>
      </c>
      <c r="P48" s="120">
        <v>0.23172942299922897</v>
      </c>
      <c r="Q48" s="120">
        <v>0.22309869911967486</v>
      </c>
      <c r="R48" s="120">
        <v>0.21732717508659735</v>
      </c>
      <c r="S48" s="120">
        <v>0.20122039510825659</v>
      </c>
      <c r="T48" s="120">
        <v>0.20128580754658223</v>
      </c>
      <c r="U48" s="120">
        <v>0.20128910957888457</v>
      </c>
      <c r="V48" s="120">
        <v>0.19206379153344347</v>
      </c>
      <c r="W48" s="120">
        <v>0.1842302387049542</v>
      </c>
      <c r="X48" s="120">
        <v>0.17039994528519434</v>
      </c>
      <c r="Y48" s="120">
        <v>0.16625405080549183</v>
      </c>
      <c r="Z48" s="120">
        <v>0.15974413779122565</v>
      </c>
      <c r="AA48" s="120">
        <v>0.15889165260613136</v>
      </c>
      <c r="AB48" s="120">
        <v>0.18332966010440688</v>
      </c>
      <c r="AD48" s="160" t="s">
        <v>770</v>
      </c>
      <c r="AE48" t="s">
        <v>821</v>
      </c>
      <c r="AF48" t="s">
        <v>822</v>
      </c>
      <c r="AH48" t="s">
        <v>823</v>
      </c>
      <c r="AI48" t="s">
        <v>824</v>
      </c>
      <c r="AJ48" t="s">
        <v>825</v>
      </c>
      <c r="AN48" t="str">
        <f t="shared" si="3"/>
        <v>Fwd Vol[28][0]</v>
      </c>
      <c r="AO48" t="s">
        <v>494</v>
      </c>
      <c r="AP48">
        <v>0.198046</v>
      </c>
    </row>
    <row r="49" spans="1:42" x14ac:dyDescent="0.2">
      <c r="A49" t="str">
        <f t="shared" si="4"/>
        <v>(*vs.EUR_0_25yVol) =0.185;</v>
      </c>
      <c r="E49" t="s">
        <v>360</v>
      </c>
      <c r="O49" t="s">
        <v>159</v>
      </c>
      <c r="P49" s="120">
        <v>0.1947299182941464</v>
      </c>
      <c r="Q49" s="120">
        <v>0.18934744170655982</v>
      </c>
      <c r="R49" s="120">
        <v>0.18528161527098416</v>
      </c>
      <c r="S49" s="120">
        <v>0.19044138193587254</v>
      </c>
      <c r="T49" s="120">
        <v>0.18479122679177368</v>
      </c>
      <c r="U49" s="120">
        <v>0.17918344587416143</v>
      </c>
      <c r="V49" s="120">
        <v>0.16889764271381352</v>
      </c>
      <c r="W49" s="120">
        <v>0.15682797458670528</v>
      </c>
      <c r="X49" s="120">
        <v>0.15323335008103556</v>
      </c>
      <c r="Y49" s="120">
        <v>0.15155144655502165</v>
      </c>
      <c r="Z49" s="120">
        <v>0.14508070582940102</v>
      </c>
      <c r="AA49" s="120">
        <v>0.14662000542132597</v>
      </c>
      <c r="AB49" s="120">
        <v>0.13712019481694421</v>
      </c>
      <c r="AD49" s="160" t="s">
        <v>771</v>
      </c>
      <c r="AE49" t="s">
        <v>826</v>
      </c>
      <c r="AF49" t="s">
        <v>827</v>
      </c>
      <c r="AH49" t="s">
        <v>828</v>
      </c>
      <c r="AI49" t="s">
        <v>829</v>
      </c>
      <c r="AJ49" t="s">
        <v>830</v>
      </c>
      <c r="AN49" t="str">
        <f t="shared" si="3"/>
        <v>Fwd Vol[29][0]</v>
      </c>
      <c r="AO49" t="s">
        <v>495</v>
      </c>
      <c r="AP49">
        <v>0.19721</v>
      </c>
    </row>
    <row r="50" spans="1:42" x14ac:dyDescent="0.2">
      <c r="A50" t="str">
        <f t="shared" si="4"/>
        <v>(*vs.EUR_0_30yVol) =0.184;</v>
      </c>
      <c r="E50" t="s">
        <v>361</v>
      </c>
      <c r="O50" t="s">
        <v>107</v>
      </c>
      <c r="P50" s="120">
        <v>0.20575924381076732</v>
      </c>
      <c r="Q50" s="120">
        <v>0.1978290680444485</v>
      </c>
      <c r="R50" s="120">
        <v>0.19216924896910062</v>
      </c>
      <c r="S50" s="120">
        <v>0.18351739912064105</v>
      </c>
      <c r="T50" s="120">
        <v>0.18101837758677267</v>
      </c>
      <c r="U50" s="120">
        <v>0.17857186697943864</v>
      </c>
      <c r="V50" s="120">
        <v>0.17928939114875531</v>
      </c>
      <c r="W50" s="120">
        <v>0.17273177530848993</v>
      </c>
      <c r="X50" s="120">
        <v>0.16427938318091878</v>
      </c>
      <c r="Y50" s="120">
        <v>0.15344159609072741</v>
      </c>
      <c r="Z50" s="120">
        <v>0.14419644915693425</v>
      </c>
      <c r="AA50" s="120">
        <v>0.13095687560452515</v>
      </c>
      <c r="AB50" s="120">
        <v>0.13858865788843694</v>
      </c>
      <c r="AD50" s="160" t="s">
        <v>772</v>
      </c>
      <c r="AE50" t="s">
        <v>831</v>
      </c>
      <c r="AF50" t="s">
        <v>832</v>
      </c>
      <c r="AH50" t="s">
        <v>833</v>
      </c>
      <c r="AI50" t="s">
        <v>834</v>
      </c>
      <c r="AJ50" t="s">
        <v>835</v>
      </c>
      <c r="AN50" t="str">
        <f t="shared" si="3"/>
        <v>Fwd Vol[30][0]</v>
      </c>
      <c r="AO50" t="s">
        <v>496</v>
      </c>
      <c r="AP50">
        <v>0.19630800000000001</v>
      </c>
    </row>
    <row r="51" spans="1:42" x14ac:dyDescent="0.2">
      <c r="O51" t="s">
        <v>108</v>
      </c>
      <c r="P51" s="120">
        <v>0.18599265399078227</v>
      </c>
      <c r="Q51" s="120">
        <v>0.18063402641812007</v>
      </c>
      <c r="R51" s="120">
        <v>0.18131260926583798</v>
      </c>
      <c r="S51" s="120">
        <v>0.17742382350864433</v>
      </c>
      <c r="T51" s="120">
        <v>0.17489417401375149</v>
      </c>
      <c r="U51" s="120">
        <v>0.17236641088109014</v>
      </c>
      <c r="V51" s="120">
        <v>0.1646969181446748</v>
      </c>
      <c r="W51" s="120">
        <v>0.15257487136956091</v>
      </c>
      <c r="X51" s="120">
        <v>0.14603180443225508</v>
      </c>
      <c r="Y51" s="120">
        <v>0.14845970437425265</v>
      </c>
      <c r="Z51" s="120">
        <v>0.14408998986311522</v>
      </c>
      <c r="AA51" s="120">
        <v>0.13790510412874415</v>
      </c>
      <c r="AB51" s="120">
        <v>2.8394827662399983E-2</v>
      </c>
      <c r="AD51" s="160" t="s">
        <v>773</v>
      </c>
      <c r="AE51" t="s">
        <v>836</v>
      </c>
      <c r="AF51" t="s">
        <v>837</v>
      </c>
      <c r="AH51" t="s">
        <v>838</v>
      </c>
      <c r="AI51" t="s">
        <v>839</v>
      </c>
      <c r="AJ51" t="s">
        <v>840</v>
      </c>
      <c r="AN51" t="str">
        <f t="shared" si="3"/>
        <v>Fwd Vol[31][0]</v>
      </c>
      <c r="AO51" t="s">
        <v>497</v>
      </c>
      <c r="AP51">
        <v>0.19551299999999999</v>
      </c>
    </row>
    <row r="52" spans="1:42" x14ac:dyDescent="0.2">
      <c r="A52" t="str">
        <f>E52&amp;"="&amp;U3/100&amp;";"</f>
        <v>(*vs.EUR_0q_1yVol) =0.117;</v>
      </c>
      <c r="E52" t="s">
        <v>362</v>
      </c>
      <c r="O52" t="s">
        <v>109</v>
      </c>
      <c r="P52" s="120">
        <v>0.20555236026208268</v>
      </c>
      <c r="Q52" s="120">
        <v>0.1914878781843195</v>
      </c>
      <c r="R52" s="120">
        <v>0.18358522549921924</v>
      </c>
      <c r="S52" s="120">
        <v>0.18615437190654183</v>
      </c>
      <c r="T52" s="120">
        <v>0.18364074271302255</v>
      </c>
      <c r="U52" s="120">
        <v>0.18114134306649804</v>
      </c>
      <c r="V52" s="120">
        <v>0.18011875016871809</v>
      </c>
      <c r="W52" s="120">
        <v>0.17557988213435033</v>
      </c>
      <c r="X52" s="120">
        <v>0.17016165368056951</v>
      </c>
      <c r="Y52" s="120">
        <v>0.15436430040399265</v>
      </c>
      <c r="Z52" s="120">
        <v>0.14135629268626271</v>
      </c>
      <c r="AA52" s="120">
        <v>0.13180188846705204</v>
      </c>
      <c r="AB52" s="120">
        <v>0.18474210100993019</v>
      </c>
      <c r="AD52" s="160" t="s">
        <v>774</v>
      </c>
      <c r="AE52" t="s">
        <v>841</v>
      </c>
      <c r="AF52" t="s">
        <v>842</v>
      </c>
      <c r="AH52" t="s">
        <v>843</v>
      </c>
      <c r="AI52" t="s">
        <v>844</v>
      </c>
      <c r="AJ52" t="s">
        <v>845</v>
      </c>
      <c r="AN52" t="str">
        <f t="shared" si="3"/>
        <v>Fwd Vol[32][0]</v>
      </c>
      <c r="AO52" t="s">
        <v>498</v>
      </c>
      <c r="AP52">
        <v>0.194851</v>
      </c>
    </row>
    <row r="53" spans="1:42" x14ac:dyDescent="0.2">
      <c r="A53" t="str">
        <f t="shared" ref="A53:A66" si="5">E53&amp;"="&amp;U4/100&amp;";"</f>
        <v>(*vs.EUR_0q_2yVol) =0.136;</v>
      </c>
      <c r="E53" t="s">
        <v>363</v>
      </c>
      <c r="O53" t="s">
        <v>110</v>
      </c>
      <c r="P53" s="120">
        <v>0.18322188493132452</v>
      </c>
      <c r="Q53" s="120">
        <v>0.17606662125250236</v>
      </c>
      <c r="R53" s="120">
        <v>0.18330412438861737</v>
      </c>
      <c r="S53" s="120">
        <v>0.17568842682529409</v>
      </c>
      <c r="T53" s="120">
        <v>0.17312808590579679</v>
      </c>
      <c r="U53" s="120">
        <v>0.17057467697282819</v>
      </c>
      <c r="V53" s="120">
        <v>0.15557539042360805</v>
      </c>
      <c r="W53" s="120">
        <v>0.15323977132150182</v>
      </c>
      <c r="X53" s="120">
        <v>0.13835871922780404</v>
      </c>
      <c r="Y53" s="120">
        <v>0.15075238994349308</v>
      </c>
      <c r="Z53" s="120">
        <v>0.14101658808594356</v>
      </c>
      <c r="AA53" s="120">
        <v>0.13061586143418216</v>
      </c>
      <c r="AB53" s="120">
        <v>3.1442568399635273E-2</v>
      </c>
      <c r="AD53" s="160" t="s">
        <v>775</v>
      </c>
      <c r="AE53" t="s">
        <v>846</v>
      </c>
      <c r="AF53" t="s">
        <v>847</v>
      </c>
      <c r="AH53" t="s">
        <v>848</v>
      </c>
      <c r="AI53" t="s">
        <v>849</v>
      </c>
      <c r="AJ53" t="s">
        <v>850</v>
      </c>
      <c r="AN53" t="str">
        <f t="shared" si="3"/>
        <v>Fwd Vol[33][0]</v>
      </c>
      <c r="AO53" t="s">
        <v>499</v>
      </c>
      <c r="AP53">
        <v>0.194329</v>
      </c>
    </row>
    <row r="54" spans="1:42" x14ac:dyDescent="0.2">
      <c r="A54" t="str">
        <f t="shared" si="5"/>
        <v>(*vs.EUR_0q_3yVol) =0.127;</v>
      </c>
      <c r="E54" t="s">
        <v>364</v>
      </c>
      <c r="AN54" t="str">
        <f t="shared" si="3"/>
        <v>Fwd Vol[34][0]</v>
      </c>
      <c r="AO54" t="s">
        <v>500</v>
      </c>
      <c r="AP54">
        <v>0.19398199999999999</v>
      </c>
    </row>
    <row r="55" spans="1:42" x14ac:dyDescent="0.2">
      <c r="A55" t="str">
        <f t="shared" si="5"/>
        <v>(*vs.EUR_0q_4yVol) =0.144;</v>
      </c>
      <c r="E55" t="s">
        <v>365</v>
      </c>
      <c r="AN55" t="str">
        <f t="shared" si="3"/>
        <v>Fwd Vol[35][0]</v>
      </c>
      <c r="AO55" t="s">
        <v>501</v>
      </c>
      <c r="AP55">
        <v>0.19380900000000001</v>
      </c>
    </row>
    <row r="56" spans="1:42" x14ac:dyDescent="0.2">
      <c r="A56" t="str">
        <f t="shared" si="5"/>
        <v>(*vs.EUR_0q_5yVol) =0.158;</v>
      </c>
      <c r="E56" t="s">
        <v>366</v>
      </c>
      <c r="O56" t="s">
        <v>25</v>
      </c>
      <c r="P56">
        <f>VLOOKUP(AE39,$AN:$AP,3,FALSE)</f>
        <v>0.102844</v>
      </c>
      <c r="Q56">
        <f t="shared" ref="Q56:Q70" si="6">VLOOKUP(AF39,$AN:$AP,3,FALSE)</f>
        <v>8.3766999999999994E-2</v>
      </c>
      <c r="S56">
        <f t="shared" ref="S56:U56" si="7">VLOOKUP(AH39,$AN:$AP,3,FALSE)</f>
        <v>0.109252</v>
      </c>
      <c r="T56">
        <f t="shared" si="7"/>
        <v>0.13536200000000001</v>
      </c>
      <c r="U56">
        <f t="shared" si="7"/>
        <v>0.15892300000000001</v>
      </c>
      <c r="W56" s="13">
        <f>P56-P39</f>
        <v>1.384245910111348E-2</v>
      </c>
      <c r="X56" s="13">
        <f t="shared" ref="X56:X69" si="8">Q56-Q39</f>
        <v>1.9230045024295386E-2</v>
      </c>
      <c r="Z56" s="13">
        <f>P56-P21</f>
        <v>0.10052786609960615</v>
      </c>
      <c r="AA56" s="13">
        <f t="shared" ref="AA56:AA69" si="9">Q56-Q21</f>
        <v>8.2004376324302602E-2</v>
      </c>
      <c r="AN56" t="str">
        <f t="shared" si="3"/>
        <v>Fwd Vol[36][0]</v>
      </c>
      <c r="AO56" t="s">
        <v>502</v>
      </c>
      <c r="AP56">
        <v>0.19383300000000001</v>
      </c>
    </row>
    <row r="57" spans="1:42" x14ac:dyDescent="0.2">
      <c r="A57" t="str">
        <f t="shared" si="5"/>
        <v>(*vs.EUR_0q_6yVol) =0.168;</v>
      </c>
      <c r="E57" t="s">
        <v>367</v>
      </c>
      <c r="O57" t="s">
        <v>157</v>
      </c>
      <c r="P57">
        <f t="shared" ref="P57:P70" si="10">VLOOKUP(AE40,$AN:$AP,3,FALSE)</f>
        <v>0.147207</v>
      </c>
      <c r="Q57">
        <f t="shared" si="6"/>
        <v>0.13059799999999999</v>
      </c>
      <c r="S57">
        <f t="shared" ref="S57:U57" si="11">VLOOKUP(AH40,$AN:$AP,3,FALSE)</f>
        <v>0.11690200000000001</v>
      </c>
      <c r="T57">
        <f t="shared" si="11"/>
        <v>0.124824</v>
      </c>
      <c r="U57">
        <f t="shared" si="11"/>
        <v>0.136683</v>
      </c>
      <c r="W57" s="13">
        <f t="shared" ref="W57:W69" si="12">P57-P40</f>
        <v>1.447025613611741E-2</v>
      </c>
      <c r="X57" s="13">
        <f t="shared" si="8"/>
        <v>1.2803393728267221E-2</v>
      </c>
      <c r="Z57" s="13">
        <f t="shared" ref="Z57:Z69" si="13">P57-P22</f>
        <v>0.14375687067514095</v>
      </c>
      <c r="AA57" s="13">
        <f t="shared" si="9"/>
        <v>0.12738743063754709</v>
      </c>
      <c r="AN57" t="str">
        <f t="shared" si="3"/>
        <v>Fwd Vol[37][0]</v>
      </c>
      <c r="AO57" t="s">
        <v>503</v>
      </c>
      <c r="AP57">
        <v>0.19406899999999999</v>
      </c>
    </row>
    <row r="58" spans="1:42" x14ac:dyDescent="0.2">
      <c r="A58" t="str">
        <f t="shared" si="5"/>
        <v>(*vs.EUR_0q_7yVol) =0.175;</v>
      </c>
      <c r="E58" t="s">
        <v>368</v>
      </c>
      <c r="O58" t="s">
        <v>99</v>
      </c>
      <c r="P58">
        <f t="shared" si="10"/>
        <v>0.183257</v>
      </c>
      <c r="Q58">
        <f t="shared" si="6"/>
        <v>0.16788700000000001</v>
      </c>
      <c r="S58">
        <f t="shared" ref="S58:U58" si="14">VLOOKUP(AH41,$AN:$AP,3,FALSE)</f>
        <v>0.15248300000000001</v>
      </c>
      <c r="T58">
        <f t="shared" si="14"/>
        <v>0.14787900000000001</v>
      </c>
      <c r="U58">
        <f t="shared" si="14"/>
        <v>0.14843799999999999</v>
      </c>
      <c r="W58" s="13">
        <f t="shared" si="12"/>
        <v>4.4256933801807785E-2</v>
      </c>
      <c r="X58" s="13">
        <f t="shared" si="8"/>
        <v>5.1886917930197729E-2</v>
      </c>
      <c r="Z58" s="13">
        <f t="shared" si="13"/>
        <v>0.17952220528857854</v>
      </c>
      <c r="AA58" s="13">
        <f t="shared" si="9"/>
        <v>0.16462136972147171</v>
      </c>
      <c r="AN58" t="str">
        <f t="shared" si="3"/>
        <v>Fwd Vol[38][0]</v>
      </c>
      <c r="AO58" t="s">
        <v>504</v>
      </c>
      <c r="AP58">
        <v>0.19453500000000001</v>
      </c>
    </row>
    <row r="59" spans="1:42" x14ac:dyDescent="0.2">
      <c r="A59" t="str">
        <f t="shared" si="5"/>
        <v>(*vs.EUR_0q_8yVol) =0.18;</v>
      </c>
      <c r="E59" t="s">
        <v>369</v>
      </c>
      <c r="O59" t="s">
        <v>101</v>
      </c>
      <c r="P59">
        <f t="shared" si="10"/>
        <v>0.20868100000000001</v>
      </c>
      <c r="Q59">
        <f t="shared" si="6"/>
        <v>0.19665099999999999</v>
      </c>
      <c r="S59">
        <f t="shared" ref="S59:U59" si="15">VLOOKUP(AH42,$AN:$AP,3,FALSE)</f>
        <v>0.18917700000000001</v>
      </c>
      <c r="T59">
        <f t="shared" si="15"/>
        <v>0.183361</v>
      </c>
      <c r="U59">
        <f t="shared" si="15"/>
        <v>0.18260799999999999</v>
      </c>
      <c r="W59" s="13">
        <f t="shared" si="12"/>
        <v>-1.4351198672297449E-3</v>
      </c>
      <c r="X59" s="13">
        <f t="shared" si="8"/>
        <v>-9.2998610944658444E-4</v>
      </c>
      <c r="Z59" s="13">
        <f t="shared" si="13"/>
        <v>0.20282121046018231</v>
      </c>
      <c r="AA59" s="13">
        <f t="shared" si="9"/>
        <v>0.19087718795063477</v>
      </c>
      <c r="AN59" t="str">
        <f t="shared" si="3"/>
        <v>Fwd Vol[39][0]</v>
      </c>
      <c r="AO59" t="s">
        <v>505</v>
      </c>
      <c r="AP59">
        <v>0.19527800000000001</v>
      </c>
    </row>
    <row r="60" spans="1:42" x14ac:dyDescent="0.2">
      <c r="A60" t="str">
        <f t="shared" si="5"/>
        <v>(*vs.EUR_0q_9yVol) =0.183;</v>
      </c>
      <c r="E60" t="s">
        <v>370</v>
      </c>
      <c r="O60" t="s">
        <v>102</v>
      </c>
      <c r="P60">
        <f t="shared" si="10"/>
        <v>0.22572200000000001</v>
      </c>
      <c r="Q60">
        <f t="shared" si="6"/>
        <v>0.21328</v>
      </c>
      <c r="S60">
        <f t="shared" ref="S60:U60" si="16">VLOOKUP(AH43,$AN:$AP,3,FALSE)</f>
        <v>0.196905</v>
      </c>
      <c r="T60">
        <f t="shared" si="16"/>
        <v>0.190973</v>
      </c>
      <c r="U60">
        <f t="shared" si="16"/>
        <v>0.184975</v>
      </c>
      <c r="W60" s="13">
        <f t="shared" si="12"/>
        <v>1.6529527809391181E-2</v>
      </c>
      <c r="X60" s="13">
        <f t="shared" si="8"/>
        <v>1.3422190863221384E-2</v>
      </c>
      <c r="Z60" s="13">
        <f t="shared" si="13"/>
        <v>0.21965495015253517</v>
      </c>
      <c r="AA60" s="13">
        <f t="shared" si="9"/>
        <v>0.20720883663881409</v>
      </c>
      <c r="AN60" t="str">
        <f t="shared" si="3"/>
        <v>Fwd Vol[40][0]</v>
      </c>
      <c r="AO60" t="s">
        <v>506</v>
      </c>
      <c r="AP60">
        <v>0.19592100000000001</v>
      </c>
    </row>
    <row r="61" spans="1:42" x14ac:dyDescent="0.2">
      <c r="A61" t="str">
        <f t="shared" si="5"/>
        <v>(*vs.EUR_0q_10yVol) =0.185;</v>
      </c>
      <c r="E61" t="s">
        <v>371</v>
      </c>
      <c r="O61" t="s">
        <v>103</v>
      </c>
      <c r="P61">
        <f t="shared" si="10"/>
        <v>0.23508999999999999</v>
      </c>
      <c r="Q61">
        <f t="shared" si="6"/>
        <v>0.21795600000000001</v>
      </c>
      <c r="S61">
        <f t="shared" ref="S61:U61" si="17">VLOOKUP(AH44,$AN:$AP,3,FALSE)</f>
        <v>0.21104300000000001</v>
      </c>
      <c r="T61">
        <f t="shared" si="17"/>
        <v>0.197828</v>
      </c>
      <c r="U61">
        <f t="shared" si="17"/>
        <v>0.18963099999999999</v>
      </c>
      <c r="W61" s="13">
        <f t="shared" si="12"/>
        <v>1.7302796747808713E-3</v>
      </c>
      <c r="X61" s="13">
        <f t="shared" si="8"/>
        <v>-1.282703902925314E-3</v>
      </c>
      <c r="Z61" s="13">
        <f t="shared" si="13"/>
        <v>0.22810293967188189</v>
      </c>
      <c r="AA61" s="13">
        <f t="shared" si="9"/>
        <v>0.21107775892024017</v>
      </c>
      <c r="AN61" t="str">
        <f t="shared" si="3"/>
        <v>Fwd Vol[41][0]</v>
      </c>
      <c r="AO61" t="s">
        <v>507</v>
      </c>
      <c r="AP61">
        <v>0.196488</v>
      </c>
    </row>
    <row r="62" spans="1:42" x14ac:dyDescent="0.2">
      <c r="A62" t="str">
        <f t="shared" si="5"/>
        <v>(*vs.EUR_0q_12yVol) =0.186;</v>
      </c>
      <c r="E62" t="s">
        <v>372</v>
      </c>
      <c r="I62" t="s">
        <v>92</v>
      </c>
      <c r="K62">
        <v>-0.38750000000000001</v>
      </c>
      <c r="O62" t="s">
        <v>104</v>
      </c>
      <c r="P62">
        <f t="shared" si="10"/>
        <v>0.23817099999999999</v>
      </c>
      <c r="Q62">
        <f t="shared" si="6"/>
        <v>0.22608900000000001</v>
      </c>
      <c r="S62">
        <f t="shared" ref="S62:U62" si="18">VLOOKUP(AH45,$AN:$AP,3,FALSE)</f>
        <v>0.208009</v>
      </c>
      <c r="T62">
        <f t="shared" si="18"/>
        <v>0.20039100000000001</v>
      </c>
      <c r="U62">
        <f t="shared" si="18"/>
        <v>0.19452700000000001</v>
      </c>
      <c r="W62" s="13">
        <f t="shared" si="12"/>
        <v>1.3624336799384074E-3</v>
      </c>
      <c r="X62" s="13">
        <f t="shared" si="8"/>
        <v>6.5618304866190691E-3</v>
      </c>
      <c r="Z62" s="13">
        <f t="shared" si="13"/>
        <v>0.23080243763187452</v>
      </c>
      <c r="AA62" s="13">
        <f t="shared" si="9"/>
        <v>0.21893175116581065</v>
      </c>
      <c r="AN62" t="str">
        <f t="shared" si="3"/>
        <v>Fwd Vol[42][0]</v>
      </c>
      <c r="AO62" t="s">
        <v>508</v>
      </c>
      <c r="AP62">
        <v>0.196968</v>
      </c>
    </row>
    <row r="63" spans="1:42" x14ac:dyDescent="0.2">
      <c r="A63" t="str">
        <f t="shared" si="5"/>
        <v>(*vs.EUR_0q_15yVol) =0.184;</v>
      </c>
      <c r="E63" t="s">
        <v>373</v>
      </c>
      <c r="I63" t="s">
        <v>150</v>
      </c>
      <c r="K63">
        <v>-0.39500000000000002</v>
      </c>
      <c r="O63" t="s">
        <v>105</v>
      </c>
      <c r="P63">
        <f t="shared" si="10"/>
        <v>0.23278699999999999</v>
      </c>
      <c r="Q63">
        <f t="shared" si="6"/>
        <v>0.21667</v>
      </c>
      <c r="S63">
        <f t="shared" ref="S63:U63" si="19">VLOOKUP(AH46,$AN:$AP,3,FALSE)</f>
        <v>0.21229200000000001</v>
      </c>
      <c r="T63">
        <f t="shared" si="19"/>
        <v>0.19836300000000001</v>
      </c>
      <c r="U63">
        <f t="shared" si="19"/>
        <v>0.192105</v>
      </c>
      <c r="W63" s="13">
        <f t="shared" si="12"/>
        <v>-4.3811778748126251E-3</v>
      </c>
      <c r="X63" s="13">
        <f t="shared" si="8"/>
        <v>-1.0822763713678379E-2</v>
      </c>
      <c r="Z63" s="13">
        <f t="shared" si="13"/>
        <v>0.22516959808541759</v>
      </c>
      <c r="AA63" s="13">
        <f t="shared" si="9"/>
        <v>0.20902637031408322</v>
      </c>
      <c r="AN63" t="str">
        <f t="shared" si="3"/>
        <v>Fwd Vol[43][0]</v>
      </c>
      <c r="AO63" t="s">
        <v>509</v>
      </c>
      <c r="AP63">
        <v>0.19733600000000001</v>
      </c>
    </row>
    <row r="64" spans="1:42" ht="12.75" x14ac:dyDescent="0.2">
      <c r="A64" t="str">
        <f t="shared" si="5"/>
        <v>(*vs.EUR_0q_20yVol) =0.181;</v>
      </c>
      <c r="E64" t="s">
        <v>374</v>
      </c>
      <c r="I64" t="s">
        <v>93</v>
      </c>
      <c r="K64" s="139">
        <v>-0.33700000000000002</v>
      </c>
      <c r="O64" t="s">
        <v>106</v>
      </c>
      <c r="P64">
        <f t="shared" si="10"/>
        <v>0.225739</v>
      </c>
      <c r="Q64">
        <f t="shared" si="6"/>
        <v>0.21399599999999999</v>
      </c>
      <c r="S64">
        <f t="shared" ref="S64:U64" si="20">VLOOKUP(AH47,$AN:$AP,3,FALSE)</f>
        <v>0.20282</v>
      </c>
      <c r="T64">
        <f t="shared" si="20"/>
        <v>0.19675899999999999</v>
      </c>
      <c r="U64">
        <f t="shared" si="20"/>
        <v>0.189217</v>
      </c>
      <c r="W64" s="13">
        <f t="shared" si="12"/>
        <v>-2.9062567332154565E-3</v>
      </c>
      <c r="X64" s="13">
        <f t="shared" si="8"/>
        <v>4.0041443271579547E-3</v>
      </c>
      <c r="Z64" s="13">
        <f t="shared" si="13"/>
        <v>0.21822627960135788</v>
      </c>
      <c r="AA64" s="13">
        <f t="shared" si="9"/>
        <v>0.20676507016181267</v>
      </c>
      <c r="AN64" t="str">
        <f t="shared" si="3"/>
        <v>Fwd Vol[44][0]</v>
      </c>
      <c r="AO64" t="s">
        <v>510</v>
      </c>
      <c r="AP64">
        <v>0.197577</v>
      </c>
    </row>
    <row r="65" spans="1:42" ht="12.75" x14ac:dyDescent="0.2">
      <c r="A65" t="str">
        <f t="shared" si="5"/>
        <v>(*vs.EUR_0q_25yVol) =0.18;</v>
      </c>
      <c r="E65" t="s">
        <v>375</v>
      </c>
      <c r="I65" t="s">
        <v>94</v>
      </c>
      <c r="K65" s="139">
        <v>-0.33700000000000002</v>
      </c>
      <c r="O65" t="s">
        <v>79</v>
      </c>
      <c r="P65">
        <f t="shared" si="10"/>
        <v>0.21771599999999999</v>
      </c>
      <c r="Q65">
        <f t="shared" si="6"/>
        <v>0.210398</v>
      </c>
      <c r="S65">
        <f t="shared" ref="S65:U65" si="21">VLOOKUP(AH48,$AN:$AP,3,FALSE)</f>
        <v>0.19683500000000001</v>
      </c>
      <c r="T65">
        <f t="shared" si="21"/>
        <v>0.193277</v>
      </c>
      <c r="U65">
        <f t="shared" si="21"/>
        <v>0.183615</v>
      </c>
      <c r="W65" s="13">
        <f t="shared" si="12"/>
        <v>-1.4013422999228975E-2</v>
      </c>
      <c r="X65" s="13">
        <f t="shared" si="8"/>
        <v>-1.2700699119674863E-2</v>
      </c>
      <c r="Z65" s="13">
        <f t="shared" si="13"/>
        <v>0.20998070187470236</v>
      </c>
      <c r="AA65" s="13">
        <f t="shared" si="9"/>
        <v>0.20261106431624409</v>
      </c>
      <c r="AN65" t="str">
        <f t="shared" si="3"/>
        <v>Fwd Vol[45][0]</v>
      </c>
      <c r="AO65" t="s">
        <v>511</v>
      </c>
      <c r="AP65">
        <v>0.19766600000000001</v>
      </c>
    </row>
    <row r="66" spans="1:42" ht="12.75" x14ac:dyDescent="0.2">
      <c r="A66" t="str">
        <f t="shared" si="5"/>
        <v>(*vs.EUR_0q_30yVol) =0.179;</v>
      </c>
      <c r="E66" t="s">
        <v>376</v>
      </c>
      <c r="I66" t="s">
        <v>176</v>
      </c>
      <c r="K66" s="139">
        <v>-0.33700000000000002</v>
      </c>
      <c r="O66" t="s">
        <v>159</v>
      </c>
      <c r="P66">
        <f t="shared" si="10"/>
        <v>0.20536799999999999</v>
      </c>
      <c r="Q66">
        <f t="shared" si="6"/>
        <v>0.19797300000000001</v>
      </c>
      <c r="S66">
        <f t="shared" ref="S66:U66" si="22">VLOOKUP(AH49,$AN:$AP,3,FALSE)</f>
        <v>0.19247800000000001</v>
      </c>
      <c r="T66">
        <f t="shared" si="22"/>
        <v>0.18315200000000001</v>
      </c>
      <c r="U66">
        <f t="shared" si="22"/>
        <v>0.17557200000000001</v>
      </c>
      <c r="W66" s="13">
        <f t="shared" si="12"/>
        <v>1.0638081705853591E-2</v>
      </c>
      <c r="X66" s="13">
        <f t="shared" si="8"/>
        <v>8.6255582934401942E-3</v>
      </c>
      <c r="Z66" s="13">
        <f t="shared" si="13"/>
        <v>0.1986997143954205</v>
      </c>
      <c r="AA66" s="13">
        <f t="shared" si="9"/>
        <v>0.19119694056795689</v>
      </c>
      <c r="AN66" t="str">
        <f t="shared" si="3"/>
        <v>Fwd Vol[46][0]</v>
      </c>
      <c r="AO66" t="s">
        <v>512</v>
      </c>
      <c r="AP66">
        <v>0.19758600000000001</v>
      </c>
    </row>
    <row r="67" spans="1:42" ht="12.75" x14ac:dyDescent="0.2">
      <c r="I67" t="s">
        <v>95</v>
      </c>
      <c r="K67" s="139">
        <v>-0.33900000000000002</v>
      </c>
      <c r="O67" t="s">
        <v>107</v>
      </c>
      <c r="P67">
        <f t="shared" si="10"/>
        <v>0.19721</v>
      </c>
      <c r="Q67">
        <f t="shared" si="6"/>
        <v>0.19078700000000001</v>
      </c>
      <c r="S67">
        <f t="shared" ref="S67:U67" si="23">VLOOKUP(AH50,$AN:$AP,3,FALSE)</f>
        <v>0.18132499999999999</v>
      </c>
      <c r="T67">
        <f t="shared" si="23"/>
        <v>0.17554400000000001</v>
      </c>
      <c r="U67">
        <f t="shared" si="23"/>
        <v>0.17339499999999999</v>
      </c>
      <c r="W67" s="13">
        <f t="shared" si="12"/>
        <v>-8.5492438107673263E-3</v>
      </c>
      <c r="X67" s="13">
        <f t="shared" si="8"/>
        <v>-7.0420680444484851E-3</v>
      </c>
      <c r="Z67" s="13">
        <f t="shared" si="13"/>
        <v>0.1902269198036905</v>
      </c>
      <c r="AA67" s="13">
        <f t="shared" si="9"/>
        <v>0.18376509293151344</v>
      </c>
      <c r="AN67" t="str">
        <f t="shared" si="3"/>
        <v>Fwd Vol[47][0]</v>
      </c>
      <c r="AO67" t="s">
        <v>513</v>
      </c>
      <c r="AP67">
        <v>0.19731699999999999</v>
      </c>
    </row>
    <row r="68" spans="1:42" ht="12.75" x14ac:dyDescent="0.2">
      <c r="A68" t="str">
        <f>E68&amp;"="&amp;V3/100&amp;";"</f>
        <v>(*vs.EUR_0h_1yVol) =0.142;</v>
      </c>
      <c r="E68" t="s">
        <v>377</v>
      </c>
      <c r="I68" t="s">
        <v>96</v>
      </c>
      <c r="K68" s="139">
        <v>-0.33900000000000002</v>
      </c>
      <c r="O68" t="s">
        <v>108</v>
      </c>
      <c r="P68">
        <f t="shared" si="10"/>
        <v>0.19527800000000001</v>
      </c>
      <c r="Q68">
        <f t="shared" si="6"/>
        <v>0.18701100000000001</v>
      </c>
      <c r="S68">
        <f t="shared" ref="S68:U68" si="24">VLOOKUP(AH51,$AN:$AP,3,FALSE)</f>
        <v>0.18094499999999999</v>
      </c>
      <c r="T68">
        <f t="shared" si="24"/>
        <v>0.176208</v>
      </c>
      <c r="U68">
        <f t="shared" si="24"/>
        <v>0.17194000000000001</v>
      </c>
      <c r="W68" s="13">
        <f t="shared" si="12"/>
        <v>9.2853460092177376E-3</v>
      </c>
      <c r="X68" s="13">
        <f t="shared" si="8"/>
        <v>6.3769735818799411E-3</v>
      </c>
      <c r="Z68" s="13">
        <f t="shared" si="13"/>
        <v>0.18920260590691368</v>
      </c>
      <c r="AA68" s="13">
        <f t="shared" si="9"/>
        <v>0.18083691598974128</v>
      </c>
      <c r="AN68" t="str">
        <f t="shared" si="3"/>
        <v>Fwd Vol[48][0]</v>
      </c>
      <c r="AO68" t="s">
        <v>514</v>
      </c>
      <c r="AP68">
        <v>0.19683899999999999</v>
      </c>
    </row>
    <row r="69" spans="1:42" ht="12.75" x14ac:dyDescent="0.2">
      <c r="A69" t="str">
        <f t="shared" ref="A69:A82" si="25">E69&amp;"="&amp;V4/100&amp;";"</f>
        <v>(*vs.EUR_0h_2yVol) =0.159;</v>
      </c>
      <c r="E69" t="s">
        <v>378</v>
      </c>
      <c r="I69" t="s">
        <v>97</v>
      </c>
      <c r="K69" s="139">
        <v>-0.34200000000000003</v>
      </c>
      <c r="O69" t="s">
        <v>109</v>
      </c>
      <c r="P69">
        <f t="shared" si="10"/>
        <v>0.19616900000000001</v>
      </c>
      <c r="Q69">
        <f t="shared" si="6"/>
        <v>0.185224</v>
      </c>
      <c r="S69">
        <f t="shared" ref="S69:U69" si="26">VLOOKUP(AH52,$AN:$AP,3,FALSE)</f>
        <v>0.18210599999999999</v>
      </c>
      <c r="T69">
        <f t="shared" si="26"/>
        <v>0.17694699999999999</v>
      </c>
      <c r="U69">
        <f t="shared" si="26"/>
        <v>0.171121</v>
      </c>
      <c r="W69" s="13">
        <f t="shared" si="12"/>
        <v>-9.3833602620826684E-3</v>
      </c>
      <c r="X69" s="13">
        <f t="shared" si="8"/>
        <v>-6.2638781843195046E-3</v>
      </c>
      <c r="Z69" s="13">
        <f t="shared" si="13"/>
        <v>0.18974849164906094</v>
      </c>
      <c r="AA69" s="13">
        <f t="shared" si="9"/>
        <v>0.17894547129835392</v>
      </c>
      <c r="AN69" t="str">
        <f t="shared" si="3"/>
        <v>Fwd Vol[49][0]</v>
      </c>
      <c r="AO69" t="s">
        <v>515</v>
      </c>
      <c r="AP69">
        <v>0.19616900000000001</v>
      </c>
    </row>
    <row r="70" spans="1:42" ht="12.75" x14ac:dyDescent="0.2">
      <c r="A70" t="str">
        <f t="shared" si="25"/>
        <v>(*vs.EUR_0h_3yVol) =0.139;</v>
      </c>
      <c r="E70" t="s">
        <v>379</v>
      </c>
      <c r="I70" t="s">
        <v>153</v>
      </c>
      <c r="K70" s="139">
        <v>-0.34699999999999998</v>
      </c>
      <c r="O70" t="s">
        <v>110</v>
      </c>
      <c r="P70" t="e">
        <f t="shared" si="10"/>
        <v>#N/A</v>
      </c>
      <c r="Q70" t="e">
        <f t="shared" si="6"/>
        <v>#N/A</v>
      </c>
      <c r="S70" t="e">
        <f t="shared" ref="S70:U70" si="27">VLOOKUP(AH53,$AN:$AP,3,FALSE)</f>
        <v>#N/A</v>
      </c>
      <c r="T70" t="e">
        <f t="shared" si="27"/>
        <v>#N/A</v>
      </c>
      <c r="U70" t="e">
        <f t="shared" si="27"/>
        <v>#N/A</v>
      </c>
      <c r="AN70" t="str">
        <f t="shared" si="3"/>
        <v>Fwd Vol[50][0]</v>
      </c>
      <c r="AO70" t="s">
        <v>516</v>
      </c>
      <c r="AP70">
        <v>0.19547800000000001</v>
      </c>
    </row>
    <row r="71" spans="1:42" ht="12.75" x14ac:dyDescent="0.2">
      <c r="A71" t="str">
        <f t="shared" si="25"/>
        <v>(*vs.EUR_0h_4yVol) =0.152;</v>
      </c>
      <c r="E71" t="s">
        <v>380</v>
      </c>
      <c r="I71" t="s">
        <v>135</v>
      </c>
      <c r="K71" s="139">
        <v>-0.35199999999999998</v>
      </c>
      <c r="AN71" t="str">
        <f t="shared" si="3"/>
        <v>Fwd Vol[51][0]</v>
      </c>
      <c r="AO71" t="s">
        <v>517</v>
      </c>
      <c r="AP71">
        <v>0.1948</v>
      </c>
    </row>
    <row r="72" spans="1:42" ht="12.75" x14ac:dyDescent="0.2">
      <c r="A72" t="str">
        <f t="shared" si="25"/>
        <v>(*vs.EUR_0h_5yVol) =0.164;</v>
      </c>
      <c r="E72" t="s">
        <v>381</v>
      </c>
      <c r="I72" t="s">
        <v>38</v>
      </c>
      <c r="K72" s="139">
        <v>-0.35699999999999998</v>
      </c>
      <c r="AN72" t="str">
        <f t="shared" si="3"/>
        <v>Fwd Vol[52][0]</v>
      </c>
      <c r="AO72" t="s">
        <v>518</v>
      </c>
      <c r="AP72">
        <v>0.19414300000000001</v>
      </c>
    </row>
    <row r="73" spans="1:42" ht="12.75" x14ac:dyDescent="0.2">
      <c r="A73" t="str">
        <f t="shared" si="25"/>
        <v>(*vs.EUR_0h_6yVol) =0.171;</v>
      </c>
      <c r="E73" t="s">
        <v>382</v>
      </c>
      <c r="I73" t="s">
        <v>151</v>
      </c>
      <c r="K73" s="139">
        <v>-0.36199999999999999</v>
      </c>
      <c r="AN73" t="str">
        <f t="shared" si="3"/>
        <v>Fwd Vol[53][0]</v>
      </c>
      <c r="AO73" t="s">
        <v>519</v>
      </c>
      <c r="AP73">
        <v>0.19350800000000001</v>
      </c>
    </row>
    <row r="74" spans="1:42" ht="12.75" x14ac:dyDescent="0.2">
      <c r="A74" t="str">
        <f t="shared" si="25"/>
        <v>(*vs.EUR_0h_7yVol) =0.176;</v>
      </c>
      <c r="E74" t="s">
        <v>383</v>
      </c>
      <c r="I74" t="s">
        <v>136</v>
      </c>
      <c r="K74" s="139">
        <v>-0.36599999999999999</v>
      </c>
      <c r="AN74" t="str">
        <f t="shared" si="3"/>
        <v>Fwd Vol[54][0]</v>
      </c>
      <c r="AO74" t="s">
        <v>520</v>
      </c>
      <c r="AP74">
        <v>0.19290099999999999</v>
      </c>
    </row>
    <row r="75" spans="1:42" ht="12.75" x14ac:dyDescent="0.2">
      <c r="A75" t="str">
        <f t="shared" si="25"/>
        <v>(*vs.EUR_0h_8yVol) =0.18;</v>
      </c>
      <c r="E75" t="s">
        <v>384</v>
      </c>
      <c r="I75" t="s">
        <v>152</v>
      </c>
      <c r="K75" s="139">
        <v>-0.37</v>
      </c>
      <c r="AN75" t="str">
        <f t="shared" si="3"/>
        <v>Fwd Vol[55][0]</v>
      </c>
      <c r="AO75" t="s">
        <v>521</v>
      </c>
      <c r="AP75">
        <v>0.19232099999999999</v>
      </c>
    </row>
    <row r="76" spans="1:42" ht="12.75" x14ac:dyDescent="0.2">
      <c r="A76" t="str">
        <f t="shared" si="25"/>
        <v>(*vs.EUR_0h_9yVol) =0.182;</v>
      </c>
      <c r="E76" t="s">
        <v>385</v>
      </c>
      <c r="I76" t="s">
        <v>154</v>
      </c>
      <c r="K76" s="139">
        <v>-0.374</v>
      </c>
      <c r="AN76" t="str">
        <f t="shared" si="3"/>
        <v>Fwd Vol[56][0]</v>
      </c>
      <c r="AO76" t="s">
        <v>522</v>
      </c>
      <c r="AP76">
        <v>0.19178500000000001</v>
      </c>
    </row>
    <row r="77" spans="1:42" ht="12.75" x14ac:dyDescent="0.2">
      <c r="A77" t="str">
        <f t="shared" si="25"/>
        <v>(*vs.EUR_0h_10yVol) =0.183;</v>
      </c>
      <c r="E77" t="s">
        <v>386</v>
      </c>
      <c r="I77" t="s">
        <v>137</v>
      </c>
      <c r="K77" s="139">
        <v>-0.377</v>
      </c>
      <c r="AN77" t="str">
        <f t="shared" si="3"/>
        <v>Fwd Vol[57][0]</v>
      </c>
      <c r="AO77" t="s">
        <v>523</v>
      </c>
      <c r="AP77">
        <v>0.19128800000000001</v>
      </c>
    </row>
    <row r="78" spans="1:42" ht="12.75" x14ac:dyDescent="0.2">
      <c r="A78" t="str">
        <f t="shared" si="25"/>
        <v>(*vs.EUR_0h_12yVol) =0.182;</v>
      </c>
      <c r="E78" t="s">
        <v>387</v>
      </c>
      <c r="I78" t="s">
        <v>155</v>
      </c>
      <c r="K78" s="139">
        <v>-0.379</v>
      </c>
      <c r="AN78" t="str">
        <f t="shared" si="3"/>
        <v>Fwd Vol[58][0]</v>
      </c>
      <c r="AO78" t="s">
        <v>524</v>
      </c>
      <c r="AP78">
        <v>0.190832</v>
      </c>
    </row>
    <row r="79" spans="1:42" ht="12.75" x14ac:dyDescent="0.2">
      <c r="A79" t="str">
        <f t="shared" si="25"/>
        <v>(*vs.EUR_0h_15yVol) =0.18;</v>
      </c>
      <c r="E79" t="s">
        <v>388</v>
      </c>
      <c r="I79" t="s">
        <v>177</v>
      </c>
      <c r="K79" s="139">
        <v>-0.38700000000000001</v>
      </c>
      <c r="AN79" t="str">
        <f t="shared" si="3"/>
        <v>Fwd Vol[0][1]</v>
      </c>
      <c r="AO79" t="s">
        <v>525</v>
      </c>
      <c r="AP79">
        <v>6.5356999999999998E-2</v>
      </c>
    </row>
    <row r="80" spans="1:42" ht="12.75" x14ac:dyDescent="0.2">
      <c r="A80" t="str">
        <f t="shared" si="25"/>
        <v>(*vs.EUR_0h_20yVol) =0.177;</v>
      </c>
      <c r="E80" t="s">
        <v>389</v>
      </c>
      <c r="I80" t="s">
        <v>156</v>
      </c>
      <c r="K80" s="139">
        <v>-0.39300000000000002</v>
      </c>
      <c r="AN80" t="str">
        <f t="shared" si="3"/>
        <v>Fwd Vol[1][1]</v>
      </c>
      <c r="AO80" t="s">
        <v>526</v>
      </c>
      <c r="AP80">
        <v>8.3766999999999994E-2</v>
      </c>
    </row>
    <row r="81" spans="1:42" ht="12.75" x14ac:dyDescent="0.2">
      <c r="A81" t="str">
        <f t="shared" si="25"/>
        <v>(*vs.EUR_0h_25yVol) =0.176;</v>
      </c>
      <c r="E81" t="s">
        <v>390</v>
      </c>
      <c r="I81" t="s">
        <v>178</v>
      </c>
      <c r="K81" s="139">
        <v>-0.39600000000000002</v>
      </c>
      <c r="AN81" t="str">
        <f t="shared" si="3"/>
        <v>Fwd Vol[2][1]</v>
      </c>
      <c r="AO81" t="s">
        <v>527</v>
      </c>
      <c r="AP81">
        <v>0.105335</v>
      </c>
    </row>
    <row r="82" spans="1:42" ht="12.75" x14ac:dyDescent="0.2">
      <c r="A82" t="str">
        <f t="shared" si="25"/>
        <v>(*vs.EUR_0h_30yVol) =0.174;</v>
      </c>
      <c r="E82" t="s">
        <v>391</v>
      </c>
      <c r="I82" t="s">
        <v>157</v>
      </c>
      <c r="K82" s="139">
        <v>-0.39800000000000002</v>
      </c>
      <c r="AN82" t="str">
        <f t="shared" si="3"/>
        <v>Fwd Vol[3][1]</v>
      </c>
      <c r="AO82" t="s">
        <v>528</v>
      </c>
      <c r="AP82">
        <v>0.13059799999999999</v>
      </c>
    </row>
    <row r="83" spans="1:42" ht="12.75" x14ac:dyDescent="0.2">
      <c r="A83" t="s">
        <v>394</v>
      </c>
      <c r="I83" t="s">
        <v>99</v>
      </c>
      <c r="K83" s="139">
        <v>-0.38200000000000001</v>
      </c>
      <c r="AN83" t="str">
        <f t="shared" si="3"/>
        <v>Fwd Vol[4][1]</v>
      </c>
      <c r="AO83" t="s">
        <v>529</v>
      </c>
      <c r="AP83">
        <v>0.15210499999999999</v>
      </c>
    </row>
    <row r="84" spans="1:42" ht="12.75" x14ac:dyDescent="0.2">
      <c r="I84" t="s">
        <v>101</v>
      </c>
      <c r="K84" s="139">
        <v>-0.33800000000000002</v>
      </c>
      <c r="AN84" t="str">
        <f t="shared" si="3"/>
        <v>Fwd Vol[5][1]</v>
      </c>
      <c r="AO84" t="s">
        <v>530</v>
      </c>
      <c r="AP84">
        <v>0.16788700000000001</v>
      </c>
    </row>
    <row r="85" spans="1:42" ht="12.75" x14ac:dyDescent="0.2">
      <c r="A85" t="s">
        <v>395</v>
      </c>
      <c r="I85" t="s">
        <v>102</v>
      </c>
      <c r="K85" s="139">
        <v>-0.26500000000000001</v>
      </c>
      <c r="AN85" t="str">
        <f t="shared" si="3"/>
        <v>Fwd Vol[6][1]</v>
      </c>
      <c r="AO85" t="s">
        <v>531</v>
      </c>
      <c r="AP85">
        <v>0.180225</v>
      </c>
    </row>
    <row r="86" spans="1:42" ht="12.75" x14ac:dyDescent="0.2">
      <c r="A86" t="s">
        <v>393</v>
      </c>
      <c r="I86" t="s">
        <v>103</v>
      </c>
      <c r="K86" s="139">
        <v>-0.17100000000000001</v>
      </c>
      <c r="AN86" t="str">
        <f t="shared" ref="AN86:AN149" si="28">TRIM(AO86)</f>
        <v>Fwd Vol[7][1]</v>
      </c>
      <c r="AO86" t="s">
        <v>532</v>
      </c>
      <c r="AP86">
        <v>0.19665099999999999</v>
      </c>
    </row>
    <row r="87" spans="1:42" ht="12.75" x14ac:dyDescent="0.2">
      <c r="A87" t="str">
        <f>E87&amp;"="&amp;K64/100&amp;";"</f>
        <v>(*cd.eoniad1wRate) =-0.00337;</v>
      </c>
      <c r="E87" t="s">
        <v>396</v>
      </c>
      <c r="I87" t="s">
        <v>104</v>
      </c>
      <c r="K87" s="139">
        <v>-5.8999999999999997E-2</v>
      </c>
      <c r="AN87" t="str">
        <f t="shared" si="28"/>
        <v>Fwd Vol[8][1]</v>
      </c>
      <c r="AO87" t="s">
        <v>533</v>
      </c>
      <c r="AP87">
        <v>0.20640600000000001</v>
      </c>
    </row>
    <row r="88" spans="1:42" ht="12.75" x14ac:dyDescent="0.2">
      <c r="A88" t="str">
        <f t="shared" ref="A88:A121" si="29">E88&amp;"="&amp;K65/100&amp;";"</f>
        <v>(*cd.eoniad2wRate) =-0.00337;</v>
      </c>
      <c r="E88" t="s">
        <v>397</v>
      </c>
      <c r="I88" t="s">
        <v>105</v>
      </c>
      <c r="K88" s="139">
        <v>0.06</v>
      </c>
      <c r="AN88" t="str">
        <f t="shared" si="28"/>
        <v>Fwd Vol[9][1]</v>
      </c>
      <c r="AO88" t="s">
        <v>534</v>
      </c>
      <c r="AP88">
        <v>0.21328</v>
      </c>
    </row>
    <row r="89" spans="1:42" ht="12.75" x14ac:dyDescent="0.2">
      <c r="A89" t="str">
        <f t="shared" si="29"/>
        <v>(*cd.eoniad3wRate) =-0.00337;</v>
      </c>
      <c r="E89" t="s">
        <v>398</v>
      </c>
      <c r="I89" t="s">
        <v>106</v>
      </c>
      <c r="K89" s="139">
        <v>0.17699999999999999</v>
      </c>
      <c r="AN89" t="str">
        <f t="shared" si="28"/>
        <v>Fwd Vol[10][1]</v>
      </c>
      <c r="AO89" t="s">
        <v>535</v>
      </c>
      <c r="AP89">
        <v>0.21462000000000001</v>
      </c>
    </row>
    <row r="90" spans="1:42" ht="12.75" x14ac:dyDescent="0.2">
      <c r="A90" t="str">
        <f t="shared" si="29"/>
        <v>(*cd.eoniad1mRate) =-0.00339;</v>
      </c>
      <c r="E90" t="s">
        <v>399</v>
      </c>
      <c r="I90" t="s">
        <v>79</v>
      </c>
      <c r="K90" s="139">
        <v>0.28599999999999998</v>
      </c>
      <c r="AN90" t="str">
        <f t="shared" si="28"/>
        <v>Fwd Vol[11][1]</v>
      </c>
      <c r="AO90" t="s">
        <v>536</v>
      </c>
      <c r="AP90">
        <v>0.21795600000000001</v>
      </c>
    </row>
    <row r="91" spans="1:42" ht="12.75" x14ac:dyDescent="0.2">
      <c r="A91" t="str">
        <f t="shared" si="29"/>
        <v>(*cd.eoniad2mRate) =-0.00339;</v>
      </c>
      <c r="E91" t="s">
        <v>400</v>
      </c>
      <c r="I91" t="s">
        <v>158</v>
      </c>
      <c r="K91" s="139">
        <v>0.38700000000000001</v>
      </c>
      <c r="AN91" t="str">
        <f t="shared" si="28"/>
        <v>Fwd Vol[12][1]</v>
      </c>
      <c r="AO91" t="s">
        <v>537</v>
      </c>
      <c r="AP91">
        <v>0.220302</v>
      </c>
    </row>
    <row r="92" spans="1:42" ht="12.75" x14ac:dyDescent="0.2">
      <c r="A92" t="str">
        <f t="shared" si="29"/>
        <v>(*cd.eoniad3mRate) =-0.00342;</v>
      </c>
      <c r="E92" t="s">
        <v>401</v>
      </c>
      <c r="I92" t="s">
        <v>159</v>
      </c>
      <c r="K92" s="139">
        <v>0.47699999999999998</v>
      </c>
      <c r="AN92" t="str">
        <f t="shared" si="28"/>
        <v>Fwd Vol[13][1]</v>
      </c>
      <c r="AO92" t="s">
        <v>538</v>
      </c>
      <c r="AP92">
        <v>0.22608900000000001</v>
      </c>
    </row>
    <row r="93" spans="1:42" ht="12.75" x14ac:dyDescent="0.2">
      <c r="A93" t="str">
        <f t="shared" si="29"/>
        <v>(*cd.eoniad4mRate) =-0.00347;</v>
      </c>
      <c r="E93" t="s">
        <v>402</v>
      </c>
      <c r="I93" t="s">
        <v>107</v>
      </c>
      <c r="K93" s="139">
        <v>0.68600000000000005</v>
      </c>
      <c r="AN93" t="str">
        <f t="shared" si="28"/>
        <v>Fwd Vol[14][1]</v>
      </c>
      <c r="AO93" t="s">
        <v>539</v>
      </c>
      <c r="AP93">
        <v>0.22411700000000001</v>
      </c>
    </row>
    <row r="94" spans="1:42" ht="12.75" x14ac:dyDescent="0.2">
      <c r="A94" t="str">
        <f t="shared" si="29"/>
        <v>(*cd.eoniad5mRate) =-0.00352;</v>
      </c>
      <c r="E94" t="s">
        <v>403</v>
      </c>
      <c r="I94" t="s">
        <v>108</v>
      </c>
      <c r="K94" s="139">
        <v>0.86399999999999999</v>
      </c>
      <c r="AN94" t="str">
        <f t="shared" si="28"/>
        <v>Fwd Vol[15][1]</v>
      </c>
      <c r="AO94" t="s">
        <v>540</v>
      </c>
      <c r="AP94">
        <v>0.21667</v>
      </c>
    </row>
    <row r="95" spans="1:42" ht="12.75" x14ac:dyDescent="0.2">
      <c r="A95" t="str">
        <f t="shared" si="29"/>
        <v>(*cd.eoniad6mRate) =-0.00357;</v>
      </c>
      <c r="E95" t="s">
        <v>404</v>
      </c>
      <c r="I95" t="s">
        <v>109</v>
      </c>
      <c r="K95" s="139">
        <v>0.92700000000000005</v>
      </c>
      <c r="AN95" t="str">
        <f t="shared" si="28"/>
        <v>Fwd Vol[16][1]</v>
      </c>
      <c r="AO95" t="s">
        <v>541</v>
      </c>
      <c r="AP95">
        <v>0.21198600000000001</v>
      </c>
    </row>
    <row r="96" spans="1:42" ht="12.75" x14ac:dyDescent="0.2">
      <c r="A96" t="str">
        <f t="shared" si="29"/>
        <v>(*cd.eoniad7mRate) =-0.00362;</v>
      </c>
      <c r="E96" t="s">
        <v>405</v>
      </c>
      <c r="I96" t="s">
        <v>110</v>
      </c>
      <c r="K96" s="139">
        <v>0.95</v>
      </c>
      <c r="AN96" t="str">
        <f t="shared" si="28"/>
        <v>Fwd Vol[17][1]</v>
      </c>
      <c r="AO96" t="s">
        <v>542</v>
      </c>
      <c r="AP96">
        <v>0.21399599999999999</v>
      </c>
    </row>
    <row r="97" spans="1:42" ht="12.75" x14ac:dyDescent="0.2">
      <c r="A97" t="str">
        <f t="shared" si="29"/>
        <v>(*cd.eoniad8mRate) =-0.00366;</v>
      </c>
      <c r="E97" t="s">
        <v>406</v>
      </c>
      <c r="I97" t="s">
        <v>174</v>
      </c>
      <c r="K97" s="139">
        <v>0.96099999999999997</v>
      </c>
      <c r="AN97" t="str">
        <f t="shared" si="28"/>
        <v>Fwd Vol[18][1]</v>
      </c>
      <c r="AO97" t="s">
        <v>543</v>
      </c>
      <c r="AP97">
        <v>0.21388299999999999</v>
      </c>
    </row>
    <row r="98" spans="1:42" ht="12.75" x14ac:dyDescent="0.2">
      <c r="A98" t="str">
        <f t="shared" si="29"/>
        <v>(*cd.eoniad9mRate) =-0.0037;</v>
      </c>
      <c r="E98" t="s">
        <v>407</v>
      </c>
      <c r="I98" t="s">
        <v>175</v>
      </c>
      <c r="K98" s="139">
        <v>0.91900000000000004</v>
      </c>
      <c r="AN98" t="str">
        <f t="shared" si="28"/>
        <v>Fwd Vol[19][1]</v>
      </c>
      <c r="AO98" t="s">
        <v>544</v>
      </c>
      <c r="AP98">
        <v>0.210398</v>
      </c>
    </row>
    <row r="99" spans="1:42" x14ac:dyDescent="0.2">
      <c r="A99" t="str">
        <f t="shared" si="29"/>
        <v>(*cd.eoniad10mRate) =-0.00374;</v>
      </c>
      <c r="E99" t="s">
        <v>408</v>
      </c>
      <c r="AN99" t="str">
        <f t="shared" si="28"/>
        <v>Fwd Vol[20][1]</v>
      </c>
      <c r="AO99" t="s">
        <v>545</v>
      </c>
      <c r="AP99">
        <v>0.20610300000000001</v>
      </c>
    </row>
    <row r="100" spans="1:42" x14ac:dyDescent="0.2">
      <c r="A100" t="str">
        <f t="shared" si="29"/>
        <v>(*cd.eoniad11mRate) =-0.00377;</v>
      </c>
      <c r="E100" t="s">
        <v>409</v>
      </c>
      <c r="AN100" t="str">
        <f t="shared" si="28"/>
        <v>Fwd Vol[21][1]</v>
      </c>
      <c r="AO100" t="s">
        <v>546</v>
      </c>
      <c r="AP100">
        <v>0.20246400000000001</v>
      </c>
    </row>
    <row r="101" spans="1:42" x14ac:dyDescent="0.2">
      <c r="A101" t="str">
        <f t="shared" si="29"/>
        <v>(*cd.eoniad1yRate) =-0.00379;</v>
      </c>
      <c r="E101" t="s">
        <v>410</v>
      </c>
      <c r="AN101" t="str">
        <f t="shared" si="28"/>
        <v>Fwd Vol[22][1]</v>
      </c>
      <c r="AO101" t="s">
        <v>547</v>
      </c>
      <c r="AP101">
        <v>0.19973199999999999</v>
      </c>
    </row>
    <row r="102" spans="1:42" x14ac:dyDescent="0.2">
      <c r="A102" t="str">
        <f t="shared" si="29"/>
        <v>(*cd.eonias15mRate) =-0.00387;</v>
      </c>
      <c r="E102" t="s">
        <v>411</v>
      </c>
      <c r="AN102" t="str">
        <f t="shared" si="28"/>
        <v>Fwd Vol[23][1]</v>
      </c>
      <c r="AO102" t="s">
        <v>548</v>
      </c>
      <c r="AP102">
        <v>0.19797300000000001</v>
      </c>
    </row>
    <row r="103" spans="1:42" x14ac:dyDescent="0.2">
      <c r="A103" t="str">
        <f t="shared" si="29"/>
        <v>(*cd.eonias18mRate) =-0.00393;</v>
      </c>
      <c r="E103" t="s">
        <v>412</v>
      </c>
      <c r="AN103" t="str">
        <f t="shared" si="28"/>
        <v>Fwd Vol[24][1]</v>
      </c>
      <c r="AO103" t="s">
        <v>549</v>
      </c>
      <c r="AP103">
        <v>0.19644400000000001</v>
      </c>
    </row>
    <row r="104" spans="1:42" x14ac:dyDescent="0.2">
      <c r="A104" t="str">
        <f t="shared" si="29"/>
        <v>(*cd.eonias21mRate) =-0.00396;</v>
      </c>
      <c r="E104" t="s">
        <v>413</v>
      </c>
      <c r="AN104" t="str">
        <f t="shared" si="28"/>
        <v>Fwd Vol[25][1]</v>
      </c>
      <c r="AO104" t="s">
        <v>550</v>
      </c>
      <c r="AP104">
        <v>0.194997</v>
      </c>
    </row>
    <row r="105" spans="1:42" x14ac:dyDescent="0.2">
      <c r="A105" t="str">
        <f t="shared" si="29"/>
        <v>(*cd.eonias2yRate) =-0.00398;</v>
      </c>
      <c r="E105" t="s">
        <v>414</v>
      </c>
      <c r="AN105" t="str">
        <f t="shared" si="28"/>
        <v>Fwd Vol[26][1]</v>
      </c>
      <c r="AO105" t="s">
        <v>551</v>
      </c>
      <c r="AP105">
        <v>0.193662</v>
      </c>
    </row>
    <row r="106" spans="1:42" x14ac:dyDescent="0.2">
      <c r="A106" t="str">
        <f t="shared" si="29"/>
        <v>(*cd.eonias3yRate) =-0.00382;</v>
      </c>
      <c r="E106" t="s">
        <v>415</v>
      </c>
      <c r="AN106" t="str">
        <f t="shared" si="28"/>
        <v>Fwd Vol[27][1]</v>
      </c>
      <c r="AO106" t="s">
        <v>552</v>
      </c>
      <c r="AP106">
        <v>0.19247700000000001</v>
      </c>
    </row>
    <row r="107" spans="1:42" x14ac:dyDescent="0.2">
      <c r="A107" t="str">
        <f t="shared" si="29"/>
        <v>(*cd.eonias4yRate) =-0.00338;</v>
      </c>
      <c r="E107" t="s">
        <v>416</v>
      </c>
      <c r="AN107" t="str">
        <f t="shared" si="28"/>
        <v>Fwd Vol[28][1]</v>
      </c>
      <c r="AO107" t="s">
        <v>553</v>
      </c>
      <c r="AP107">
        <v>0.191494</v>
      </c>
    </row>
    <row r="108" spans="1:42" x14ac:dyDescent="0.2">
      <c r="A108" t="str">
        <f t="shared" si="29"/>
        <v>(*cd.eonias5yRate) =-0.00265;</v>
      </c>
      <c r="E108" t="s">
        <v>417</v>
      </c>
      <c r="AN108" t="str">
        <f t="shared" si="28"/>
        <v>Fwd Vol[29][1]</v>
      </c>
      <c r="AO108" t="s">
        <v>554</v>
      </c>
      <c r="AP108">
        <v>0.19078700000000001</v>
      </c>
    </row>
    <row r="109" spans="1:42" x14ac:dyDescent="0.2">
      <c r="A109" t="str">
        <f t="shared" si="29"/>
        <v>(*cd.eonias6yRate) =-0.00171;</v>
      </c>
      <c r="E109" t="s">
        <v>418</v>
      </c>
      <c r="AN109" t="str">
        <f t="shared" si="28"/>
        <v>Fwd Vol[30][1]</v>
      </c>
      <c r="AO109" t="s">
        <v>555</v>
      </c>
      <c r="AP109">
        <v>0.190077</v>
      </c>
    </row>
    <row r="110" spans="1:42" x14ac:dyDescent="0.2">
      <c r="A110" t="str">
        <f t="shared" si="29"/>
        <v>(*cd.eonias7yRate) =-0.00059;</v>
      </c>
      <c r="E110" t="s">
        <v>419</v>
      </c>
      <c r="AN110" t="str">
        <f t="shared" si="28"/>
        <v>Fwd Vol[31][1]</v>
      </c>
      <c r="AO110" t="s">
        <v>556</v>
      </c>
      <c r="AP110">
        <v>0.18940899999999999</v>
      </c>
    </row>
    <row r="111" spans="1:42" x14ac:dyDescent="0.2">
      <c r="A111" t="str">
        <f t="shared" si="29"/>
        <v>(*cd.eonias8yRate) =0.0006;</v>
      </c>
      <c r="E111" t="s">
        <v>420</v>
      </c>
      <c r="I111" t="s">
        <v>92</v>
      </c>
      <c r="K111">
        <v>-0.38750000000000001</v>
      </c>
      <c r="AN111" t="str">
        <f t="shared" si="28"/>
        <v>Fwd Vol[32][1]</v>
      </c>
      <c r="AO111" t="s">
        <v>557</v>
      </c>
      <c r="AP111">
        <v>0.188801</v>
      </c>
    </row>
    <row r="112" spans="1:42" x14ac:dyDescent="0.2">
      <c r="A112" t="str">
        <f t="shared" si="29"/>
        <v>(*cd.eonias9yRate) =0.00177;</v>
      </c>
      <c r="E112" t="s">
        <v>421</v>
      </c>
      <c r="I112" t="s">
        <v>150</v>
      </c>
      <c r="K112">
        <v>-0.39500000000000002</v>
      </c>
      <c r="AN112" t="str">
        <f t="shared" si="28"/>
        <v>Fwd Vol[33][1]</v>
      </c>
      <c r="AO112" t="s">
        <v>558</v>
      </c>
      <c r="AP112">
        <v>0.18825500000000001</v>
      </c>
    </row>
    <row r="113" spans="1:42" x14ac:dyDescent="0.2">
      <c r="A113" t="str">
        <f t="shared" si="29"/>
        <v>(*cd.eonias10yRate) =0.00286;</v>
      </c>
      <c r="E113" t="s">
        <v>422</v>
      </c>
      <c r="I113" t="s">
        <v>93</v>
      </c>
      <c r="K113">
        <v>-0.36099999999999999</v>
      </c>
      <c r="AN113" t="str">
        <f t="shared" si="28"/>
        <v>Fwd Vol[34][1]</v>
      </c>
      <c r="AO113" t="s">
        <v>559</v>
      </c>
      <c r="AP113">
        <v>0.18779399999999999</v>
      </c>
    </row>
    <row r="114" spans="1:42" x14ac:dyDescent="0.2">
      <c r="A114" t="str">
        <f t="shared" si="29"/>
        <v>(*cd.eonias11yRate) =0.00387;</v>
      </c>
      <c r="E114" t="s">
        <v>423</v>
      </c>
      <c r="I114" t="s">
        <v>95</v>
      </c>
      <c r="K114">
        <v>-0.34799999999999998</v>
      </c>
      <c r="AN114" t="str">
        <f t="shared" si="28"/>
        <v>Fwd Vol[35][1]</v>
      </c>
      <c r="AO114" t="s">
        <v>560</v>
      </c>
      <c r="AP114">
        <v>0.187417</v>
      </c>
    </row>
    <row r="115" spans="1:42" x14ac:dyDescent="0.2">
      <c r="A115" t="str">
        <f t="shared" si="29"/>
        <v>(*cd.eonias12yRate) =0.00477;</v>
      </c>
      <c r="E115" t="s">
        <v>424</v>
      </c>
      <c r="I115" t="s">
        <v>96</v>
      </c>
      <c r="K115">
        <v>-0.29799999999999999</v>
      </c>
      <c r="AN115" t="str">
        <f t="shared" si="28"/>
        <v>Fwd Vol[36][1]</v>
      </c>
      <c r="AO115" t="s">
        <v>561</v>
      </c>
      <c r="AP115">
        <v>0.187137</v>
      </c>
    </row>
    <row r="116" spans="1:42" x14ac:dyDescent="0.2">
      <c r="A116" t="str">
        <f t="shared" si="29"/>
        <v>(*cd.eonias15yRate) =0.00686;</v>
      </c>
      <c r="E116" t="s">
        <v>425</v>
      </c>
      <c r="I116" t="s">
        <v>97</v>
      </c>
      <c r="K116">
        <v>-0.25800000000000001</v>
      </c>
      <c r="AN116" t="str">
        <f t="shared" si="28"/>
        <v>Fwd Vol[37][1]</v>
      </c>
      <c r="AO116" t="s">
        <v>562</v>
      </c>
      <c r="AP116">
        <v>0.186969</v>
      </c>
    </row>
    <row r="117" spans="1:42" ht="12.75" x14ac:dyDescent="0.2">
      <c r="A117" t="str">
        <f t="shared" si="29"/>
        <v>(*cd.eonias20yRate) =0.00864;</v>
      </c>
      <c r="E117" t="s">
        <v>426</v>
      </c>
      <c r="I117" s="105" t="s">
        <v>95</v>
      </c>
      <c r="J117" t="s">
        <v>153</v>
      </c>
      <c r="K117" s="135">
        <v>-0.26100000000000001</v>
      </c>
      <c r="AN117" t="str">
        <f t="shared" si="28"/>
        <v>Fwd Vol[38][1]</v>
      </c>
      <c r="AO117" t="s">
        <v>563</v>
      </c>
      <c r="AP117">
        <v>0.186919</v>
      </c>
    </row>
    <row r="118" spans="1:42" ht="12.75" x14ac:dyDescent="0.2">
      <c r="A118" t="str">
        <f t="shared" si="29"/>
        <v>(*cd.eonias25yRate) =0.00927;</v>
      </c>
      <c r="E118" t="s">
        <v>427</v>
      </c>
      <c r="I118" t="s">
        <v>96</v>
      </c>
      <c r="J118" t="s">
        <v>135</v>
      </c>
      <c r="K118" s="135">
        <v>-0.26600000000000001</v>
      </c>
      <c r="AN118" t="str">
        <f t="shared" si="28"/>
        <v>Fwd Vol[39][1]</v>
      </c>
      <c r="AO118" t="s">
        <v>564</v>
      </c>
      <c r="AP118">
        <v>0.18701100000000001</v>
      </c>
    </row>
    <row r="119" spans="1:42" ht="12.75" x14ac:dyDescent="0.2">
      <c r="A119" t="str">
        <f t="shared" si="29"/>
        <v>(*cd.eonias30yRate) =0.0095;</v>
      </c>
      <c r="E119" t="s">
        <v>428</v>
      </c>
      <c r="I119" t="s">
        <v>97</v>
      </c>
      <c r="J119" t="s">
        <v>38</v>
      </c>
      <c r="K119" s="135">
        <v>-0.27300000000000002</v>
      </c>
      <c r="AN119" t="str">
        <f t="shared" si="28"/>
        <v>Fwd Vol[40][1]</v>
      </c>
      <c r="AO119" t="s">
        <v>565</v>
      </c>
      <c r="AP119">
        <v>0.18706600000000001</v>
      </c>
    </row>
    <row r="120" spans="1:42" ht="12.75" x14ac:dyDescent="0.2">
      <c r="A120" t="str">
        <f t="shared" si="29"/>
        <v>(*cd.eonias40yRate) =0.00961;</v>
      </c>
      <c r="E120" t="s">
        <v>429</v>
      </c>
      <c r="I120" t="s">
        <v>153</v>
      </c>
      <c r="J120" t="s">
        <v>151</v>
      </c>
      <c r="K120" s="135">
        <v>-0.27800000000000002</v>
      </c>
      <c r="AN120" t="str">
        <f t="shared" si="28"/>
        <v>Fwd Vol[41][1]</v>
      </c>
      <c r="AO120" t="s">
        <v>566</v>
      </c>
      <c r="AP120">
        <v>0.187088</v>
      </c>
    </row>
    <row r="121" spans="1:42" ht="12.75" x14ac:dyDescent="0.2">
      <c r="A121" t="str">
        <f t="shared" si="29"/>
        <v>(*cd.eonias50yRate) =0.00919;</v>
      </c>
      <c r="E121" t="s">
        <v>430</v>
      </c>
      <c r="I121" t="s">
        <v>135</v>
      </c>
      <c r="J121" t="s">
        <v>136</v>
      </c>
      <c r="K121" s="135">
        <v>-0.28000000000000003</v>
      </c>
      <c r="AN121" t="str">
        <f t="shared" si="28"/>
        <v>Fwd Vol[42][1]</v>
      </c>
      <c r="AO121" t="s">
        <v>567</v>
      </c>
      <c r="AP121">
        <v>0.18707399999999999</v>
      </c>
    </row>
    <row r="122" spans="1:42" ht="12.75" x14ac:dyDescent="0.2">
      <c r="A122" s="105" t="s">
        <v>394</v>
      </c>
      <c r="I122" t="s">
        <v>38</v>
      </c>
      <c r="J122" t="s">
        <v>152</v>
      </c>
      <c r="K122" s="135">
        <v>-0.28599999999999998</v>
      </c>
      <c r="AN122" t="str">
        <f t="shared" si="28"/>
        <v>Fwd Vol[43][1]</v>
      </c>
      <c r="AO122" t="s">
        <v>568</v>
      </c>
      <c r="AP122">
        <v>0.18701200000000001</v>
      </c>
    </row>
    <row r="123" spans="1:42" ht="12.75" x14ac:dyDescent="0.2">
      <c r="I123" t="s">
        <v>152</v>
      </c>
      <c r="J123" t="s">
        <v>155</v>
      </c>
      <c r="K123" s="135">
        <v>-0.29699999999999999</v>
      </c>
      <c r="AN123" t="str">
        <f t="shared" si="28"/>
        <v>Fwd Vol[44][1]</v>
      </c>
      <c r="AO123" t="s">
        <v>569</v>
      </c>
      <c r="AP123">
        <v>0.18689800000000001</v>
      </c>
    </row>
    <row r="124" spans="1:42" ht="12.75" x14ac:dyDescent="0.2">
      <c r="A124" t="s">
        <v>431</v>
      </c>
      <c r="I124" t="s">
        <v>155</v>
      </c>
      <c r="J124" t="s">
        <v>177</v>
      </c>
      <c r="K124" s="135">
        <v>-0.3</v>
      </c>
      <c r="AN124" t="str">
        <f t="shared" si="28"/>
        <v>Fwd Vol[45][1]</v>
      </c>
      <c r="AO124" t="s">
        <v>570</v>
      </c>
      <c r="AP124">
        <v>0.186718</v>
      </c>
    </row>
    <row r="125" spans="1:42" ht="12.75" x14ac:dyDescent="0.2">
      <c r="A125" t="s">
        <v>393</v>
      </c>
      <c r="I125" t="s">
        <v>25</v>
      </c>
      <c r="K125" s="135">
        <v>-0.28199999999999997</v>
      </c>
      <c r="AN125" t="str">
        <f t="shared" si="28"/>
        <v>Fwd Vol[46][1]</v>
      </c>
      <c r="AO125" t="s">
        <v>571</v>
      </c>
      <c r="AP125">
        <v>0.18646799999999999</v>
      </c>
    </row>
    <row r="126" spans="1:42" ht="12.75" x14ac:dyDescent="0.2">
      <c r="A126" t="str">
        <f>E126&amp;"="&amp;K113/100&amp;";"</f>
        <v>(*cd.eo3md1wRate) =-0.00361;</v>
      </c>
      <c r="E126" t="s">
        <v>432</v>
      </c>
      <c r="I126" t="s">
        <v>157</v>
      </c>
      <c r="K126" s="135">
        <v>-0.28949999999999998</v>
      </c>
      <c r="AN126" t="str">
        <f t="shared" si="28"/>
        <v>Fwd Vol[47][1]</v>
      </c>
      <c r="AO126" t="s">
        <v>572</v>
      </c>
      <c r="AP126">
        <v>0.186142</v>
      </c>
    </row>
    <row r="127" spans="1:42" ht="12.75" x14ac:dyDescent="0.2">
      <c r="A127" t="str">
        <f t="shared" ref="A127:A137" si="30">E127&amp;"="&amp;K114/100&amp;";"</f>
        <v>(*cd.eo3md1mRate) =-0.00348;</v>
      </c>
      <c r="E127" t="s">
        <v>433</v>
      </c>
      <c r="I127" t="s">
        <v>99</v>
      </c>
      <c r="K127" s="135">
        <v>-0.26650000000000001</v>
      </c>
      <c r="AN127" t="str">
        <f t="shared" si="28"/>
        <v>Fwd Vol[48][1]</v>
      </c>
      <c r="AO127" t="s">
        <v>573</v>
      </c>
      <c r="AP127">
        <v>0.18573000000000001</v>
      </c>
    </row>
    <row r="128" spans="1:42" ht="12.75" x14ac:dyDescent="0.2">
      <c r="A128" t="str">
        <f t="shared" si="30"/>
        <v>(*cd.eo3md2mRate) =-0.00298;</v>
      </c>
      <c r="E128" t="s">
        <v>434</v>
      </c>
      <c r="I128" t="s">
        <v>101</v>
      </c>
      <c r="K128" s="135">
        <v>-0.217</v>
      </c>
      <c r="AN128" t="str">
        <f t="shared" si="28"/>
        <v>Fwd Vol[49][1]</v>
      </c>
      <c r="AO128" t="s">
        <v>574</v>
      </c>
      <c r="AP128">
        <v>0.185224</v>
      </c>
    </row>
    <row r="129" spans="1:42" ht="12.75" x14ac:dyDescent="0.2">
      <c r="A129" t="str">
        <f t="shared" si="30"/>
        <v>(*cd.eo3md3mRate) =-0.00258;</v>
      </c>
      <c r="E129" t="s">
        <v>435</v>
      </c>
      <c r="I129" t="s">
        <v>102</v>
      </c>
      <c r="K129" s="135">
        <v>-0.14000000000000001</v>
      </c>
      <c r="AN129" t="str">
        <f t="shared" si="28"/>
        <v>Fwd Vol[50][1]</v>
      </c>
      <c r="AO129" t="s">
        <v>575</v>
      </c>
      <c r="AP129">
        <v>0.184726</v>
      </c>
    </row>
    <row r="130" spans="1:42" ht="12.75" x14ac:dyDescent="0.2">
      <c r="A130" t="str">
        <f t="shared" si="30"/>
        <v>(*cd.eo3mfra1x4Rate) =-0.00261;</v>
      </c>
      <c r="E130" t="s">
        <v>436</v>
      </c>
      <c r="I130" t="s">
        <v>103</v>
      </c>
      <c r="K130" s="135">
        <v>-4.4499999999999998E-2</v>
      </c>
      <c r="AN130" t="str">
        <f t="shared" si="28"/>
        <v>Fwd Vol[51][1]</v>
      </c>
      <c r="AO130" t="s">
        <v>576</v>
      </c>
      <c r="AP130">
        <v>0.18423300000000001</v>
      </c>
    </row>
    <row r="131" spans="1:42" ht="12.75" x14ac:dyDescent="0.2">
      <c r="A131" t="str">
        <f t="shared" si="30"/>
        <v>(*cd.eo3mfra2x5Rate) =-0.00266;</v>
      </c>
      <c r="E131" t="s">
        <v>437</v>
      </c>
      <c r="I131" t="s">
        <v>104</v>
      </c>
      <c r="K131" s="135">
        <v>6.6000000000000003E-2</v>
      </c>
      <c r="AN131" t="str">
        <f t="shared" si="28"/>
        <v>Fwd Vol[52][1]</v>
      </c>
      <c r="AO131" t="s">
        <v>577</v>
      </c>
      <c r="AP131">
        <v>0.183749</v>
      </c>
    </row>
    <row r="132" spans="1:42" ht="12.75" x14ac:dyDescent="0.2">
      <c r="A132" t="str">
        <f t="shared" si="30"/>
        <v>(*cd.eo3mfra3x6Rate) =-0.00273;</v>
      </c>
      <c r="E132" t="s">
        <v>438</v>
      </c>
      <c r="I132" t="s">
        <v>105</v>
      </c>
      <c r="K132" s="135">
        <v>0.1845</v>
      </c>
      <c r="AN132" t="str">
        <f t="shared" si="28"/>
        <v>Fwd Vol[53][1]</v>
      </c>
      <c r="AO132" t="s">
        <v>578</v>
      </c>
      <c r="AP132">
        <v>0.18327199999999999</v>
      </c>
    </row>
    <row r="133" spans="1:42" ht="12.75" x14ac:dyDescent="0.2">
      <c r="A133" t="str">
        <f t="shared" si="30"/>
        <v>(*cd.eo3mfra4x7Rate) =-0.00278;</v>
      </c>
      <c r="E133" t="s">
        <v>439</v>
      </c>
      <c r="I133" t="s">
        <v>106</v>
      </c>
      <c r="K133" s="135">
        <v>0.30099999999999999</v>
      </c>
      <c r="AN133" t="str">
        <f t="shared" si="28"/>
        <v>Fwd Vol[54][1]</v>
      </c>
      <c r="AO133" t="s">
        <v>579</v>
      </c>
      <c r="AP133">
        <v>0.182807</v>
      </c>
    </row>
    <row r="134" spans="1:42" ht="12.75" x14ac:dyDescent="0.2">
      <c r="A134" t="str">
        <f t="shared" si="30"/>
        <v>(*cd.eo3mfra5x8Rate) =-0.0028;</v>
      </c>
      <c r="E134" t="s">
        <v>440</v>
      </c>
      <c r="I134" t="s">
        <v>79</v>
      </c>
      <c r="K134" s="135">
        <v>0.41099999999999998</v>
      </c>
      <c r="AN134" t="str">
        <f t="shared" si="28"/>
        <v>Fwd Vol[55][1]</v>
      </c>
      <c r="AO134" t="s">
        <v>580</v>
      </c>
      <c r="AP134">
        <v>0.18235100000000001</v>
      </c>
    </row>
    <row r="135" spans="1:42" ht="12.75" x14ac:dyDescent="0.2">
      <c r="A135" t="str">
        <f t="shared" si="30"/>
        <v>(*cd.eo3mfra6x9Rate) =-0.00286;</v>
      </c>
      <c r="E135" t="s">
        <v>441</v>
      </c>
      <c r="I135" t="s">
        <v>159</v>
      </c>
      <c r="K135" s="135">
        <v>0.60150000000000003</v>
      </c>
      <c r="AN135" t="str">
        <f t="shared" si="28"/>
        <v>Fwd Vol[56][1]</v>
      </c>
      <c r="AO135" t="s">
        <v>581</v>
      </c>
      <c r="AP135">
        <v>0.18191399999999999</v>
      </c>
    </row>
    <row r="136" spans="1:42" ht="12.75" x14ac:dyDescent="0.2">
      <c r="A136" t="str">
        <f t="shared" si="30"/>
        <v>(*cd.eo3mfra9x12Rate) =-0.00297;</v>
      </c>
      <c r="E136" t="s">
        <v>442</v>
      </c>
      <c r="I136" t="s">
        <v>107</v>
      </c>
      <c r="K136" s="135">
        <v>0.80600000000000005</v>
      </c>
      <c r="AN136" t="str">
        <f t="shared" si="28"/>
        <v>Fwd Vol[57][1]</v>
      </c>
      <c r="AO136" t="s">
        <v>582</v>
      </c>
      <c r="AP136">
        <v>0.18149399999999999</v>
      </c>
    </row>
    <row r="137" spans="1:42" ht="12.75" x14ac:dyDescent="0.2">
      <c r="A137" t="str">
        <f t="shared" si="30"/>
        <v>(*cd.eo3mfra12x15Rate) =-0.003;</v>
      </c>
      <c r="E137" t="s">
        <v>443</v>
      </c>
      <c r="I137" t="s">
        <v>108</v>
      </c>
      <c r="K137" s="135">
        <v>0.97499999999999998</v>
      </c>
      <c r="AN137" t="str">
        <f t="shared" si="28"/>
        <v>Fwd Vol[58][1]</v>
      </c>
      <c r="AO137" t="s">
        <v>583</v>
      </c>
      <c r="AP137">
        <v>0.181088</v>
      </c>
    </row>
    <row r="138" spans="1:42" ht="12.75" x14ac:dyDescent="0.2">
      <c r="A138" t="str">
        <f>E138&amp;"="&amp;K126/100&amp;";"</f>
        <v>(*cd.eo3ms2yRate) =-0.002895;</v>
      </c>
      <c r="E138" t="s">
        <v>444</v>
      </c>
      <c r="I138" t="s">
        <v>109</v>
      </c>
      <c r="K138" s="135">
        <v>1.028</v>
      </c>
      <c r="AN138" t="str">
        <f t="shared" si="28"/>
        <v>Fwd Vol[0][2]</v>
      </c>
      <c r="AO138" t="s">
        <v>584</v>
      </c>
      <c r="AP138">
        <v>8.8482000000000005E-2</v>
      </c>
    </row>
    <row r="139" spans="1:42" ht="12.75" x14ac:dyDescent="0.2">
      <c r="A139" t="str">
        <f t="shared" ref="A139:A153" si="31">E139&amp;"="&amp;K127/100&amp;";"</f>
        <v>(*cd.eo3ms3yRate) =-0.002665;</v>
      </c>
      <c r="E139" t="s">
        <v>445</v>
      </c>
      <c r="I139" t="s">
        <v>110</v>
      </c>
      <c r="K139" s="135">
        <v>1.0415000000000001</v>
      </c>
      <c r="AN139" t="str">
        <f t="shared" si="28"/>
        <v>Fwd Vol[1][2]</v>
      </c>
      <c r="AO139" t="s">
        <v>585</v>
      </c>
      <c r="AP139">
        <v>0.109252</v>
      </c>
    </row>
    <row r="140" spans="1:42" ht="12.75" x14ac:dyDescent="0.2">
      <c r="A140" t="str">
        <f t="shared" si="31"/>
        <v>(*cd.eo3ms4yRate) =-0.00217;</v>
      </c>
      <c r="E140" t="s">
        <v>446</v>
      </c>
      <c r="I140" t="s">
        <v>174</v>
      </c>
      <c r="K140" s="135">
        <v>1.0409999999999999</v>
      </c>
      <c r="AN140" t="str">
        <f t="shared" si="28"/>
        <v>Fwd Vol[2][2]</v>
      </c>
      <c r="AO140" t="s">
        <v>586</v>
      </c>
      <c r="AP140">
        <v>0.121154</v>
      </c>
    </row>
    <row r="141" spans="1:42" ht="12.75" x14ac:dyDescent="0.2">
      <c r="A141" t="str">
        <f t="shared" si="31"/>
        <v>(*cd.eo3ms5yRate) =-0.0014;</v>
      </c>
      <c r="E141" t="s">
        <v>447</v>
      </c>
      <c r="I141" t="s">
        <v>175</v>
      </c>
      <c r="K141" s="135">
        <v>0.99199999999999999</v>
      </c>
      <c r="AN141" t="str">
        <f t="shared" si="28"/>
        <v>Fwd Vol[3][2]</v>
      </c>
      <c r="AO141" t="s">
        <v>587</v>
      </c>
      <c r="AP141">
        <v>0.11690200000000001</v>
      </c>
    </row>
    <row r="142" spans="1:42" x14ac:dyDescent="0.2">
      <c r="A142" t="str">
        <f t="shared" si="31"/>
        <v>(*cd.eo3ms6yRate) =-0.000445;</v>
      </c>
      <c r="E142" t="s">
        <v>448</v>
      </c>
      <c r="AN142" t="str">
        <f t="shared" si="28"/>
        <v>Fwd Vol[4][2]</v>
      </c>
      <c r="AO142" t="s">
        <v>588</v>
      </c>
      <c r="AP142">
        <v>0.121713</v>
      </c>
    </row>
    <row r="143" spans="1:42" x14ac:dyDescent="0.2">
      <c r="A143" t="str">
        <f t="shared" si="31"/>
        <v>(*cd.eo3ms7yRate) =0.00066;</v>
      </c>
      <c r="E143" t="s">
        <v>449</v>
      </c>
      <c r="AN143" t="str">
        <f t="shared" si="28"/>
        <v>Fwd Vol[5][2]</v>
      </c>
      <c r="AO143" t="s">
        <v>589</v>
      </c>
      <c r="AP143">
        <v>0.15248300000000001</v>
      </c>
    </row>
    <row r="144" spans="1:42" x14ac:dyDescent="0.2">
      <c r="A144" t="str">
        <f t="shared" si="31"/>
        <v>(*cd.eo3ms8yRate) =0.001845;</v>
      </c>
      <c r="E144" t="s">
        <v>450</v>
      </c>
      <c r="AN144" t="str">
        <f t="shared" si="28"/>
        <v>Fwd Vol[6][2]</v>
      </c>
      <c r="AO144" t="s">
        <v>590</v>
      </c>
      <c r="AP144">
        <v>0.18156900000000001</v>
      </c>
    </row>
    <row r="145" spans="1:42" x14ac:dyDescent="0.2">
      <c r="A145" t="str">
        <f t="shared" si="31"/>
        <v>(*cd.eo3ms9yRate) =0.00301;</v>
      </c>
      <c r="E145" t="s">
        <v>451</v>
      </c>
      <c r="AN145" t="str">
        <f t="shared" si="28"/>
        <v>Fwd Vol[7][2]</v>
      </c>
      <c r="AO145" t="s">
        <v>591</v>
      </c>
      <c r="AP145">
        <v>0.18917700000000001</v>
      </c>
    </row>
    <row r="146" spans="1:42" x14ac:dyDescent="0.2">
      <c r="A146" t="str">
        <f t="shared" si="31"/>
        <v>(*cd.eo3ms10yRate) =0.00411;</v>
      </c>
      <c r="E146" t="s">
        <v>452</v>
      </c>
      <c r="AN146" t="str">
        <f t="shared" si="28"/>
        <v>Fwd Vol[8][2]</v>
      </c>
      <c r="AO146" t="s">
        <v>592</v>
      </c>
      <c r="AP146">
        <v>0.19142500000000001</v>
      </c>
    </row>
    <row r="147" spans="1:42" x14ac:dyDescent="0.2">
      <c r="A147" t="str">
        <f t="shared" si="31"/>
        <v>(*cd.eo3ms12yRate) =0.006015;</v>
      </c>
      <c r="E147" t="s">
        <v>453</v>
      </c>
      <c r="AN147" t="str">
        <f t="shared" si="28"/>
        <v>Fwd Vol[9][2]</v>
      </c>
      <c r="AO147" t="s">
        <v>593</v>
      </c>
      <c r="AP147">
        <v>0.196905</v>
      </c>
    </row>
    <row r="148" spans="1:42" x14ac:dyDescent="0.2">
      <c r="A148" t="str">
        <f t="shared" si="31"/>
        <v>(*cd.eo3ms15yRate) =0.00806;</v>
      </c>
      <c r="E148" t="s">
        <v>454</v>
      </c>
      <c r="AN148" t="str">
        <f t="shared" si="28"/>
        <v>Fwd Vol[10][2]</v>
      </c>
      <c r="AO148" t="s">
        <v>594</v>
      </c>
      <c r="AP148">
        <v>0.202989</v>
      </c>
    </row>
    <row r="149" spans="1:42" x14ac:dyDescent="0.2">
      <c r="A149" t="str">
        <f t="shared" si="31"/>
        <v>(*cd.eo3ms20yRate) =0.00975;</v>
      </c>
      <c r="E149" t="s">
        <v>455</v>
      </c>
      <c r="AN149" t="str">
        <f t="shared" si="28"/>
        <v>Fwd Vol[11][2]</v>
      </c>
      <c r="AO149" t="s">
        <v>595</v>
      </c>
      <c r="AP149">
        <v>0.21104300000000001</v>
      </c>
    </row>
    <row r="150" spans="1:42" x14ac:dyDescent="0.2">
      <c r="A150" t="str">
        <f t="shared" si="31"/>
        <v>(*cd.eo3ms25yRate) =0.01028;</v>
      </c>
      <c r="E150" t="s">
        <v>456</v>
      </c>
      <c r="AN150" t="str">
        <f t="shared" ref="AN150:AN213" si="32">TRIM(AO150)</f>
        <v>Fwd Vol[12][2]</v>
      </c>
      <c r="AO150" t="s">
        <v>596</v>
      </c>
      <c r="AP150">
        <v>0.21204899999999999</v>
      </c>
    </row>
    <row r="151" spans="1:42" x14ac:dyDescent="0.2">
      <c r="A151" t="str">
        <f t="shared" si="31"/>
        <v>(*cd.eo3ms30yRate) =0.010415;</v>
      </c>
      <c r="E151" t="s">
        <v>457</v>
      </c>
      <c r="AN151" t="str">
        <f t="shared" si="32"/>
        <v>Fwd Vol[13][2]</v>
      </c>
      <c r="AO151" t="s">
        <v>597</v>
      </c>
      <c r="AP151">
        <v>0.208009</v>
      </c>
    </row>
    <row r="152" spans="1:42" x14ac:dyDescent="0.2">
      <c r="A152" t="str">
        <f t="shared" si="31"/>
        <v>(*cd.eo3ms40yRate) =0.01041;</v>
      </c>
      <c r="E152" t="s">
        <v>458</v>
      </c>
      <c r="AN152" t="str">
        <f t="shared" si="32"/>
        <v>Fwd Vol[14][2]</v>
      </c>
      <c r="AO152" t="s">
        <v>598</v>
      </c>
      <c r="AP152">
        <v>0.20678299999999999</v>
      </c>
    </row>
    <row r="153" spans="1:42" x14ac:dyDescent="0.2">
      <c r="A153" t="str">
        <f t="shared" si="31"/>
        <v>(*cd.eo3ms50yRate) =0.00992;</v>
      </c>
      <c r="E153" t="s">
        <v>459</v>
      </c>
      <c r="AN153" t="str">
        <f t="shared" si="32"/>
        <v>Fwd Vol[15][2]</v>
      </c>
      <c r="AO153" t="s">
        <v>599</v>
      </c>
      <c r="AP153">
        <v>0.21229200000000001</v>
      </c>
    </row>
    <row r="154" spans="1:42" x14ac:dyDescent="0.2">
      <c r="A154" s="105" t="s">
        <v>394</v>
      </c>
      <c r="AN154" t="str">
        <f t="shared" si="32"/>
        <v>Fwd Vol[16][2]</v>
      </c>
      <c r="AO154" t="s">
        <v>600</v>
      </c>
      <c r="AP154">
        <v>0.211343</v>
      </c>
    </row>
    <row r="155" spans="1:42" x14ac:dyDescent="0.2">
      <c r="AN155" t="str">
        <f t="shared" si="32"/>
        <v>Fwd Vol[17][2]</v>
      </c>
      <c r="AO155" t="s">
        <v>601</v>
      </c>
      <c r="AP155">
        <v>0.20282</v>
      </c>
    </row>
    <row r="156" spans="1:42" x14ac:dyDescent="0.2">
      <c r="AN156" t="str">
        <f t="shared" si="32"/>
        <v>Fwd Vol[18][2]</v>
      </c>
      <c r="AO156" t="s">
        <v>602</v>
      </c>
      <c r="AP156">
        <v>0.19684599999999999</v>
      </c>
    </row>
    <row r="157" spans="1:42" x14ac:dyDescent="0.2">
      <c r="AN157" t="str">
        <f t="shared" si="32"/>
        <v>Fwd Vol[19][2]</v>
      </c>
      <c r="AO157" t="s">
        <v>603</v>
      </c>
      <c r="AP157">
        <v>0.19683500000000001</v>
      </c>
    </row>
    <row r="158" spans="1:42" x14ac:dyDescent="0.2">
      <c r="AN158" t="str">
        <f t="shared" si="32"/>
        <v>Fwd Vol[20][2]</v>
      </c>
      <c r="AO158" t="s">
        <v>604</v>
      </c>
      <c r="AP158">
        <v>0.19728899999999999</v>
      </c>
    </row>
    <row r="159" spans="1:42" x14ac:dyDescent="0.2">
      <c r="AN159" t="str">
        <f t="shared" si="32"/>
        <v>Fwd Vol[21][2]</v>
      </c>
      <c r="AO159" t="s">
        <v>605</v>
      </c>
      <c r="AP159">
        <v>0.196796</v>
      </c>
    </row>
    <row r="160" spans="1:42" x14ac:dyDescent="0.2">
      <c r="AN160" t="str">
        <f t="shared" si="32"/>
        <v>Fwd Vol[22][2]</v>
      </c>
      <c r="AO160" t="s">
        <v>606</v>
      </c>
      <c r="AP160">
        <v>0.195163</v>
      </c>
    </row>
    <row r="161" spans="40:42" x14ac:dyDescent="0.2">
      <c r="AN161" t="str">
        <f t="shared" si="32"/>
        <v>Fwd Vol[23][2]</v>
      </c>
      <c r="AO161" t="s">
        <v>607</v>
      </c>
      <c r="AP161">
        <v>0.19247800000000001</v>
      </c>
    </row>
    <row r="162" spans="40:42" x14ac:dyDescent="0.2">
      <c r="AN162" t="str">
        <f t="shared" si="32"/>
        <v>Fwd Vol[24][2]</v>
      </c>
      <c r="AO162" t="s">
        <v>608</v>
      </c>
      <c r="AP162">
        <v>0.189664</v>
      </c>
    </row>
    <row r="163" spans="40:42" x14ac:dyDescent="0.2">
      <c r="AN163" t="str">
        <f t="shared" si="32"/>
        <v>Fwd Vol[25][2]</v>
      </c>
      <c r="AO163" t="s">
        <v>609</v>
      </c>
      <c r="AP163">
        <v>0.18710599999999999</v>
      </c>
    </row>
    <row r="164" spans="40:42" x14ac:dyDescent="0.2">
      <c r="AN164" t="str">
        <f t="shared" si="32"/>
        <v>Fwd Vol[26][2]</v>
      </c>
      <c r="AO164" t="s">
        <v>610</v>
      </c>
      <c r="AP164">
        <v>0.184888</v>
      </c>
    </row>
    <row r="165" spans="40:42" x14ac:dyDescent="0.2">
      <c r="AN165" t="str">
        <f t="shared" si="32"/>
        <v>Fwd Vol[27][2]</v>
      </c>
      <c r="AO165" t="s">
        <v>611</v>
      </c>
      <c r="AP165">
        <v>0.183115</v>
      </c>
    </row>
    <row r="166" spans="40:42" x14ac:dyDescent="0.2">
      <c r="AN166" t="str">
        <f t="shared" si="32"/>
        <v>Fwd Vol[28][2]</v>
      </c>
      <c r="AO166" t="s">
        <v>612</v>
      </c>
      <c r="AP166">
        <v>0.18190899999999999</v>
      </c>
    </row>
    <row r="167" spans="40:42" x14ac:dyDescent="0.2">
      <c r="AN167" t="str">
        <f t="shared" si="32"/>
        <v>Fwd Vol[29][2]</v>
      </c>
      <c r="AO167" t="s">
        <v>613</v>
      </c>
      <c r="AP167">
        <v>0.18132499999999999</v>
      </c>
    </row>
    <row r="168" spans="40:42" x14ac:dyDescent="0.2">
      <c r="AN168" t="str">
        <f t="shared" si="32"/>
        <v>Fwd Vol[30][2]</v>
      </c>
      <c r="AO168" t="s">
        <v>614</v>
      </c>
      <c r="AP168">
        <v>0.180842</v>
      </c>
    </row>
    <row r="169" spans="40:42" x14ac:dyDescent="0.2">
      <c r="AN169" t="str">
        <f t="shared" si="32"/>
        <v>Fwd Vol[31][2]</v>
      </c>
      <c r="AO169" t="s">
        <v>615</v>
      </c>
      <c r="AP169">
        <v>0.18042900000000001</v>
      </c>
    </row>
    <row r="170" spans="40:42" x14ac:dyDescent="0.2">
      <c r="AN170" t="str">
        <f t="shared" si="32"/>
        <v>Fwd Vol[32][2]</v>
      </c>
      <c r="AO170" t="s">
        <v>616</v>
      </c>
      <c r="AP170">
        <v>0.18010499999999999</v>
      </c>
    </row>
    <row r="171" spans="40:42" x14ac:dyDescent="0.2">
      <c r="AN171" t="str">
        <f t="shared" si="32"/>
        <v>Fwd Vol[33][2]</v>
      </c>
      <c r="AO171" t="s">
        <v>617</v>
      </c>
      <c r="AP171">
        <v>0.17987</v>
      </c>
    </row>
    <row r="172" spans="40:42" x14ac:dyDescent="0.2">
      <c r="AN172" t="str">
        <f t="shared" si="32"/>
        <v>Fwd Vol[34][2]</v>
      </c>
      <c r="AO172" t="s">
        <v>618</v>
      </c>
      <c r="AP172">
        <v>0.17974399999999999</v>
      </c>
    </row>
    <row r="173" spans="40:42" x14ac:dyDescent="0.2">
      <c r="AN173" t="str">
        <f t="shared" si="32"/>
        <v>Fwd Vol[35][2]</v>
      </c>
      <c r="AO173" t="s">
        <v>619</v>
      </c>
      <c r="AP173">
        <v>0.179727</v>
      </c>
    </row>
    <row r="174" spans="40:42" x14ac:dyDescent="0.2">
      <c r="AN174" t="str">
        <f t="shared" si="32"/>
        <v>Fwd Vol[36][2]</v>
      </c>
      <c r="AO174" t="s">
        <v>620</v>
      </c>
      <c r="AP174">
        <v>0.17983299999999999</v>
      </c>
    </row>
    <row r="175" spans="40:42" x14ac:dyDescent="0.2">
      <c r="AN175" t="str">
        <f t="shared" si="32"/>
        <v>Fwd Vol[37][2]</v>
      </c>
      <c r="AO175" t="s">
        <v>621</v>
      </c>
      <c r="AP175">
        <v>0.18006900000000001</v>
      </c>
    </row>
    <row r="176" spans="40:42" x14ac:dyDescent="0.2">
      <c r="AN176" t="str">
        <f t="shared" si="32"/>
        <v>Fwd Vol[38][2]</v>
      </c>
      <c r="AO176" t="s">
        <v>622</v>
      </c>
      <c r="AP176">
        <v>0.18044499999999999</v>
      </c>
    </row>
    <row r="177" spans="40:42" x14ac:dyDescent="0.2">
      <c r="AN177" t="str">
        <f t="shared" si="32"/>
        <v>Fwd Vol[39][2]</v>
      </c>
      <c r="AO177" t="s">
        <v>623</v>
      </c>
      <c r="AP177">
        <v>0.18094499999999999</v>
      </c>
    </row>
    <row r="178" spans="40:42" x14ac:dyDescent="0.2">
      <c r="AN178" t="str">
        <f t="shared" si="32"/>
        <v>Fwd Vol[40][2]</v>
      </c>
      <c r="AO178" t="s">
        <v>624</v>
      </c>
      <c r="AP178">
        <v>0.18143500000000001</v>
      </c>
    </row>
    <row r="179" spans="40:42" x14ac:dyDescent="0.2">
      <c r="AN179" t="str">
        <f t="shared" si="32"/>
        <v>Fwd Vol[41][2]</v>
      </c>
      <c r="AO179" t="s">
        <v>625</v>
      </c>
      <c r="AP179">
        <v>0.18187600000000001</v>
      </c>
    </row>
    <row r="180" spans="40:42" x14ac:dyDescent="0.2">
      <c r="AN180" t="str">
        <f t="shared" si="32"/>
        <v>Fwd Vol[42][2]</v>
      </c>
      <c r="AO180" t="s">
        <v>626</v>
      </c>
      <c r="AP180">
        <v>0.182256</v>
      </c>
    </row>
    <row r="181" spans="40:42" x14ac:dyDescent="0.2">
      <c r="AN181" t="str">
        <f t="shared" si="32"/>
        <v>Fwd Vol[43][2]</v>
      </c>
      <c r="AO181" t="s">
        <v>627</v>
      </c>
      <c r="AP181">
        <v>0.182561</v>
      </c>
    </row>
    <row r="182" spans="40:42" x14ac:dyDescent="0.2">
      <c r="AN182" t="str">
        <f t="shared" si="32"/>
        <v>Fwd Vol[44][2]</v>
      </c>
      <c r="AO182" t="s">
        <v>628</v>
      </c>
      <c r="AP182">
        <v>0.182779</v>
      </c>
    </row>
    <row r="183" spans="40:42" x14ac:dyDescent="0.2">
      <c r="AN183" t="str">
        <f t="shared" si="32"/>
        <v>Fwd Vol[45][2]</v>
      </c>
      <c r="AO183" t="s">
        <v>629</v>
      </c>
      <c r="AP183">
        <v>0.182897</v>
      </c>
    </row>
    <row r="184" spans="40:42" x14ac:dyDescent="0.2">
      <c r="AN184" t="str">
        <f t="shared" si="32"/>
        <v>Fwd Vol[46][2]</v>
      </c>
      <c r="AO184" t="s">
        <v>630</v>
      </c>
      <c r="AP184">
        <v>0.18290000000000001</v>
      </c>
    </row>
    <row r="185" spans="40:42" x14ac:dyDescent="0.2">
      <c r="AN185" t="str">
        <f t="shared" si="32"/>
        <v>Fwd Vol[47][2]</v>
      </c>
      <c r="AO185" t="s">
        <v>631</v>
      </c>
      <c r="AP185">
        <v>0.18277499999999999</v>
      </c>
    </row>
    <row r="186" spans="40:42" x14ac:dyDescent="0.2">
      <c r="AN186" t="str">
        <f t="shared" si="32"/>
        <v>Fwd Vol[48][2]</v>
      </c>
      <c r="AO186" t="s">
        <v>632</v>
      </c>
      <c r="AP186">
        <v>0.18251100000000001</v>
      </c>
    </row>
    <row r="187" spans="40:42" x14ac:dyDescent="0.2">
      <c r="AN187" t="str">
        <f t="shared" si="32"/>
        <v>Fwd Vol[49][2]</v>
      </c>
      <c r="AO187" t="s">
        <v>633</v>
      </c>
      <c r="AP187">
        <v>0.18210599999999999</v>
      </c>
    </row>
    <row r="188" spans="40:42" x14ac:dyDescent="0.2">
      <c r="AN188" t="str">
        <f t="shared" si="32"/>
        <v>Fwd Vol[50][2]</v>
      </c>
      <c r="AO188" t="s">
        <v>634</v>
      </c>
      <c r="AP188">
        <v>0.181699</v>
      </c>
    </row>
    <row r="189" spans="40:42" x14ac:dyDescent="0.2">
      <c r="AN189" t="str">
        <f t="shared" si="32"/>
        <v>Fwd Vol[51][2]</v>
      </c>
      <c r="AO189" t="s">
        <v>635</v>
      </c>
      <c r="AP189">
        <v>0.18130099999999999</v>
      </c>
    </row>
    <row r="190" spans="40:42" x14ac:dyDescent="0.2">
      <c r="AN190" t="str">
        <f t="shared" si="32"/>
        <v>Fwd Vol[52][2]</v>
      </c>
      <c r="AO190" t="s">
        <v>636</v>
      </c>
      <c r="AP190">
        <v>0.180918</v>
      </c>
    </row>
    <row r="191" spans="40:42" x14ac:dyDescent="0.2">
      <c r="AN191" t="str">
        <f t="shared" si="32"/>
        <v>Fwd Vol[53][2]</v>
      </c>
      <c r="AO191" t="s">
        <v>637</v>
      </c>
      <c r="AP191">
        <v>0.18055099999999999</v>
      </c>
    </row>
    <row r="192" spans="40:42" x14ac:dyDescent="0.2">
      <c r="AN192" t="str">
        <f t="shared" si="32"/>
        <v>Fwd Vol[54][2]</v>
      </c>
      <c r="AO192" t="s">
        <v>638</v>
      </c>
      <c r="AP192">
        <v>0.180203</v>
      </c>
    </row>
    <row r="193" spans="40:42" x14ac:dyDescent="0.2">
      <c r="AN193" t="str">
        <f t="shared" si="32"/>
        <v>Fwd Vol[55][2]</v>
      </c>
      <c r="AO193" t="s">
        <v>639</v>
      </c>
      <c r="AP193">
        <v>0.17987400000000001</v>
      </c>
    </row>
    <row r="194" spans="40:42" x14ac:dyDescent="0.2">
      <c r="AN194" t="str">
        <f t="shared" si="32"/>
        <v>Fwd Vol[56][2]</v>
      </c>
      <c r="AO194" t="s">
        <v>640</v>
      </c>
      <c r="AP194">
        <v>0.17957400000000001</v>
      </c>
    </row>
    <row r="195" spans="40:42" x14ac:dyDescent="0.2">
      <c r="AN195" t="str">
        <f t="shared" si="32"/>
        <v>Fwd Vol[57][2]</v>
      </c>
      <c r="AO195" t="s">
        <v>641</v>
      </c>
      <c r="AP195">
        <v>0.17930099999999999</v>
      </c>
    </row>
    <row r="196" spans="40:42" x14ac:dyDescent="0.2">
      <c r="AN196" t="str">
        <f t="shared" si="32"/>
        <v>Fwd Vol[58][2]</v>
      </c>
      <c r="AO196" t="s">
        <v>642</v>
      </c>
      <c r="AP196">
        <v>0.17905699999999999</v>
      </c>
    </row>
    <row r="197" spans="40:42" x14ac:dyDescent="0.2">
      <c r="AN197" t="str">
        <f t="shared" si="32"/>
        <v>Fwd Vol[0][3]</v>
      </c>
      <c r="AO197" t="s">
        <v>643</v>
      </c>
      <c r="AP197">
        <v>0.117641</v>
      </c>
    </row>
    <row r="198" spans="40:42" x14ac:dyDescent="0.2">
      <c r="AN198" t="str">
        <f t="shared" si="32"/>
        <v>Fwd Vol[1][3]</v>
      </c>
      <c r="AO198" t="s">
        <v>644</v>
      </c>
      <c r="AP198">
        <v>0.13536200000000001</v>
      </c>
    </row>
    <row r="199" spans="40:42" x14ac:dyDescent="0.2">
      <c r="AN199" t="str">
        <f t="shared" si="32"/>
        <v>Fwd Vol[2][3]</v>
      </c>
      <c r="AO199" t="s">
        <v>645</v>
      </c>
      <c r="AP199">
        <v>0.14188500000000001</v>
      </c>
    </row>
    <row r="200" spans="40:42" x14ac:dyDescent="0.2">
      <c r="AN200" t="str">
        <f t="shared" si="32"/>
        <v>Fwd Vol[3][3]</v>
      </c>
      <c r="AO200" t="s">
        <v>646</v>
      </c>
      <c r="AP200">
        <v>0.124824</v>
      </c>
    </row>
    <row r="201" spans="40:42" x14ac:dyDescent="0.2">
      <c r="AN201" t="str">
        <f t="shared" si="32"/>
        <v>Fwd Vol[4][3]</v>
      </c>
      <c r="AO201" t="s">
        <v>647</v>
      </c>
      <c r="AP201">
        <v>0.117882</v>
      </c>
    </row>
    <row r="202" spans="40:42" x14ac:dyDescent="0.2">
      <c r="AN202" t="str">
        <f t="shared" si="32"/>
        <v>Fwd Vol[5][3]</v>
      </c>
      <c r="AO202" t="s">
        <v>648</v>
      </c>
      <c r="AP202">
        <v>0.14787900000000001</v>
      </c>
    </row>
    <row r="203" spans="40:42" x14ac:dyDescent="0.2">
      <c r="AN203" t="str">
        <f t="shared" si="32"/>
        <v>Fwd Vol[6][3]</v>
      </c>
      <c r="AO203" t="s">
        <v>649</v>
      </c>
      <c r="AP203">
        <v>0.179232</v>
      </c>
    </row>
    <row r="204" spans="40:42" x14ac:dyDescent="0.2">
      <c r="AN204" t="str">
        <f t="shared" si="32"/>
        <v>Fwd Vol[7][3]</v>
      </c>
      <c r="AO204" t="s">
        <v>650</v>
      </c>
      <c r="AP204">
        <v>0.183361</v>
      </c>
    </row>
    <row r="205" spans="40:42" x14ac:dyDescent="0.2">
      <c r="AN205" t="str">
        <f t="shared" si="32"/>
        <v>Fwd Vol[8][3]</v>
      </c>
      <c r="AO205" t="s">
        <v>651</v>
      </c>
      <c r="AP205">
        <v>0.18463099999999999</v>
      </c>
    </row>
    <row r="206" spans="40:42" x14ac:dyDescent="0.2">
      <c r="AN206" t="str">
        <f t="shared" si="32"/>
        <v>Fwd Vol[9][3]</v>
      </c>
      <c r="AO206" t="s">
        <v>652</v>
      </c>
      <c r="AP206">
        <v>0.190973</v>
      </c>
    </row>
    <row r="207" spans="40:42" x14ac:dyDescent="0.2">
      <c r="AN207" t="str">
        <f t="shared" si="32"/>
        <v>Fwd Vol[10][3]</v>
      </c>
      <c r="AO207" t="s">
        <v>653</v>
      </c>
      <c r="AP207">
        <v>0.19636500000000001</v>
      </c>
    </row>
    <row r="208" spans="40:42" x14ac:dyDescent="0.2">
      <c r="AN208" t="str">
        <f t="shared" si="32"/>
        <v>Fwd Vol[11][3]</v>
      </c>
      <c r="AO208" t="s">
        <v>654</v>
      </c>
      <c r="AP208">
        <v>0.197828</v>
      </c>
    </row>
    <row r="209" spans="40:42" x14ac:dyDescent="0.2">
      <c r="AN209" t="str">
        <f t="shared" si="32"/>
        <v>Fwd Vol[12][3]</v>
      </c>
      <c r="AO209" t="s">
        <v>655</v>
      </c>
      <c r="AP209">
        <v>0.19859199999999999</v>
      </c>
    </row>
    <row r="210" spans="40:42" x14ac:dyDescent="0.2">
      <c r="AN210" t="str">
        <f t="shared" si="32"/>
        <v>Fwd Vol[13][3]</v>
      </c>
      <c r="AO210" t="s">
        <v>656</v>
      </c>
      <c r="AP210">
        <v>0.20039100000000001</v>
      </c>
    </row>
    <row r="211" spans="40:42" x14ac:dyDescent="0.2">
      <c r="AN211" t="str">
        <f t="shared" si="32"/>
        <v>Fwd Vol[14][3]</v>
      </c>
      <c r="AO211" t="s">
        <v>657</v>
      </c>
      <c r="AP211">
        <v>0.200188</v>
      </c>
    </row>
    <row r="212" spans="40:42" x14ac:dyDescent="0.2">
      <c r="AN212" t="str">
        <f t="shared" si="32"/>
        <v>Fwd Vol[15][3]</v>
      </c>
      <c r="AO212" t="s">
        <v>658</v>
      </c>
      <c r="AP212">
        <v>0.19836300000000001</v>
      </c>
    </row>
    <row r="213" spans="40:42" x14ac:dyDescent="0.2">
      <c r="AN213" t="str">
        <f t="shared" si="32"/>
        <v>Fwd Vol[16][3]</v>
      </c>
      <c r="AO213" t="s">
        <v>659</v>
      </c>
      <c r="AP213">
        <v>0.19685800000000001</v>
      </c>
    </row>
    <row r="214" spans="40:42" x14ac:dyDescent="0.2">
      <c r="AN214" t="str">
        <f t="shared" ref="AN214:AN277" si="33">TRIM(AO214)</f>
        <v>Fwd Vol[17][3]</v>
      </c>
      <c r="AO214" t="s">
        <v>660</v>
      </c>
      <c r="AP214">
        <v>0.19675899999999999</v>
      </c>
    </row>
    <row r="215" spans="40:42" x14ac:dyDescent="0.2">
      <c r="AN215" t="str">
        <f t="shared" si="33"/>
        <v>Fwd Vol[18][3]</v>
      </c>
      <c r="AO215" t="s">
        <v>661</v>
      </c>
      <c r="AP215">
        <v>0.19565199999999999</v>
      </c>
    </row>
    <row r="216" spans="40:42" x14ac:dyDescent="0.2">
      <c r="AN216" t="str">
        <f t="shared" si="33"/>
        <v>Fwd Vol[19][3]</v>
      </c>
      <c r="AO216" t="s">
        <v>662</v>
      </c>
      <c r="AP216">
        <v>0.193277</v>
      </c>
    </row>
    <row r="217" spans="40:42" x14ac:dyDescent="0.2">
      <c r="AN217" t="str">
        <f t="shared" si="33"/>
        <v>Fwd Vol[20][3]</v>
      </c>
      <c r="AO217" t="s">
        <v>663</v>
      </c>
      <c r="AP217">
        <v>0.19047700000000001</v>
      </c>
    </row>
    <row r="218" spans="40:42" x14ac:dyDescent="0.2">
      <c r="AN218" t="str">
        <f t="shared" si="33"/>
        <v>Fwd Vol[21][3]</v>
      </c>
      <c r="AO218" t="s">
        <v>664</v>
      </c>
      <c r="AP218">
        <v>0.187776</v>
      </c>
    </row>
    <row r="219" spans="40:42" x14ac:dyDescent="0.2">
      <c r="AN219" t="str">
        <f t="shared" si="33"/>
        <v>Fwd Vol[22][3]</v>
      </c>
      <c r="AO219" t="s">
        <v>665</v>
      </c>
      <c r="AP219">
        <v>0.18531</v>
      </c>
    </row>
    <row r="220" spans="40:42" x14ac:dyDescent="0.2">
      <c r="AN220" t="str">
        <f t="shared" si="33"/>
        <v>Fwd Vol[23][3]</v>
      </c>
      <c r="AO220" t="s">
        <v>666</v>
      </c>
      <c r="AP220">
        <v>0.18315200000000001</v>
      </c>
    </row>
    <row r="221" spans="40:42" x14ac:dyDescent="0.2">
      <c r="AN221" t="str">
        <f t="shared" si="33"/>
        <v>Fwd Vol[24][3]</v>
      </c>
      <c r="AO221" t="s">
        <v>667</v>
      </c>
      <c r="AP221">
        <v>0.18117</v>
      </c>
    </row>
    <row r="222" spans="40:42" x14ac:dyDescent="0.2">
      <c r="AN222" t="str">
        <f t="shared" si="33"/>
        <v>Fwd Vol[25][3]</v>
      </c>
      <c r="AO222" t="s">
        <v>668</v>
      </c>
      <c r="AP222">
        <v>0.17938899999999999</v>
      </c>
    </row>
    <row r="223" spans="40:42" x14ac:dyDescent="0.2">
      <c r="AN223" t="str">
        <f t="shared" si="33"/>
        <v>Fwd Vol[26][3]</v>
      </c>
      <c r="AO223" t="s">
        <v>669</v>
      </c>
      <c r="AP223">
        <v>0.177866</v>
      </c>
    </row>
    <row r="224" spans="40:42" x14ac:dyDescent="0.2">
      <c r="AN224" t="str">
        <f t="shared" si="33"/>
        <v>Fwd Vol[27][3]</v>
      </c>
      <c r="AO224" t="s">
        <v>670</v>
      </c>
      <c r="AP224">
        <v>0.17666999999999999</v>
      </c>
    </row>
    <row r="225" spans="40:42" x14ac:dyDescent="0.2">
      <c r="AN225" t="str">
        <f t="shared" si="33"/>
        <v>Fwd Vol[28][3]</v>
      </c>
      <c r="AO225" t="s">
        <v>671</v>
      </c>
      <c r="AP225">
        <v>0.17588599999999999</v>
      </c>
    </row>
    <row r="226" spans="40:42" x14ac:dyDescent="0.2">
      <c r="AN226" t="str">
        <f t="shared" si="33"/>
        <v>Fwd Vol[29][3]</v>
      </c>
      <c r="AO226" t="s">
        <v>672</v>
      </c>
      <c r="AP226">
        <v>0.17554400000000001</v>
      </c>
    </row>
    <row r="227" spans="40:42" x14ac:dyDescent="0.2">
      <c r="AN227" t="str">
        <f t="shared" si="33"/>
        <v>Fwd Vol[30][3]</v>
      </c>
      <c r="AO227" t="s">
        <v>673</v>
      </c>
      <c r="AP227">
        <v>0.175293</v>
      </c>
    </row>
    <row r="228" spans="40:42" x14ac:dyDescent="0.2">
      <c r="AN228" t="str">
        <f t="shared" si="33"/>
        <v>Fwd Vol[31][3]</v>
      </c>
      <c r="AO228" t="s">
        <v>674</v>
      </c>
      <c r="AP228">
        <v>0.17510400000000001</v>
      </c>
    </row>
    <row r="229" spans="40:42" x14ac:dyDescent="0.2">
      <c r="AN229" t="str">
        <f t="shared" si="33"/>
        <v>Fwd Vol[32][3]</v>
      </c>
      <c r="AO229" t="s">
        <v>675</v>
      </c>
      <c r="AP229">
        <v>0.174986</v>
      </c>
    </row>
    <row r="230" spans="40:42" x14ac:dyDescent="0.2">
      <c r="AN230" t="str">
        <f t="shared" si="33"/>
        <v>Fwd Vol[33][3]</v>
      </c>
      <c r="AO230" t="s">
        <v>676</v>
      </c>
      <c r="AP230">
        <v>0.17493400000000001</v>
      </c>
    </row>
    <row r="231" spans="40:42" x14ac:dyDescent="0.2">
      <c r="AN231" t="str">
        <f t="shared" si="33"/>
        <v>Fwd Vol[34][3]</v>
      </c>
      <c r="AO231" t="s">
        <v>677</v>
      </c>
      <c r="AP231">
        <v>0.174959</v>
      </c>
    </row>
    <row r="232" spans="40:42" x14ac:dyDescent="0.2">
      <c r="AN232" t="str">
        <f t="shared" si="33"/>
        <v>Fwd Vol[35][3]</v>
      </c>
      <c r="AO232" t="s">
        <v>678</v>
      </c>
      <c r="AP232">
        <v>0.17505599999999999</v>
      </c>
    </row>
    <row r="233" spans="40:42" x14ac:dyDescent="0.2">
      <c r="AN233" t="str">
        <f t="shared" si="33"/>
        <v>Fwd Vol[36][3]</v>
      </c>
      <c r="AO233" t="s">
        <v>679</v>
      </c>
      <c r="AP233">
        <v>0.175233</v>
      </c>
    </row>
    <row r="234" spans="40:42" x14ac:dyDescent="0.2">
      <c r="AN234" t="str">
        <f t="shared" si="33"/>
        <v>Fwd Vol[37][3]</v>
      </c>
      <c r="AO234" t="s">
        <v>680</v>
      </c>
      <c r="AP234">
        <v>0.17548900000000001</v>
      </c>
    </row>
    <row r="235" spans="40:42" x14ac:dyDescent="0.2">
      <c r="AN235" t="str">
        <f t="shared" si="33"/>
        <v>Fwd Vol[38][3]</v>
      </c>
      <c r="AO235" t="s">
        <v>681</v>
      </c>
      <c r="AP235">
        <v>0.17582700000000001</v>
      </c>
    </row>
    <row r="236" spans="40:42" x14ac:dyDescent="0.2">
      <c r="AN236" t="str">
        <f t="shared" si="33"/>
        <v>Fwd Vol[39][3]</v>
      </c>
      <c r="AO236" t="s">
        <v>682</v>
      </c>
      <c r="AP236">
        <v>0.176208</v>
      </c>
    </row>
    <row r="237" spans="40:42" x14ac:dyDescent="0.2">
      <c r="AN237" t="str">
        <f t="shared" si="33"/>
        <v>Fwd Vol[40][3]</v>
      </c>
      <c r="AO237" t="s">
        <v>683</v>
      </c>
      <c r="AP237">
        <v>0.17660899999999999</v>
      </c>
    </row>
    <row r="238" spans="40:42" x14ac:dyDescent="0.2">
      <c r="AN238" t="str">
        <f t="shared" si="33"/>
        <v>Fwd Vol[41][3]</v>
      </c>
      <c r="AO238" t="s">
        <v>684</v>
      </c>
      <c r="AP238">
        <v>0.17696400000000001</v>
      </c>
    </row>
    <row r="239" spans="40:42" x14ac:dyDescent="0.2">
      <c r="AN239" t="str">
        <f t="shared" si="33"/>
        <v>Fwd Vol[42][3]</v>
      </c>
      <c r="AO239" t="s">
        <v>685</v>
      </c>
      <c r="AP239">
        <v>0.17726800000000001</v>
      </c>
    </row>
    <row r="240" spans="40:42" x14ac:dyDescent="0.2">
      <c r="AN240" t="str">
        <f t="shared" si="33"/>
        <v>Fwd Vol[43][3]</v>
      </c>
      <c r="AO240" t="s">
        <v>686</v>
      </c>
      <c r="AP240">
        <v>0.177507</v>
      </c>
    </row>
    <row r="241" spans="40:42" x14ac:dyDescent="0.2">
      <c r="AN241" t="str">
        <f t="shared" si="33"/>
        <v>Fwd Vol[44][3]</v>
      </c>
      <c r="AO241" t="s">
        <v>687</v>
      </c>
      <c r="AP241">
        <v>0.177671</v>
      </c>
    </row>
    <row r="242" spans="40:42" x14ac:dyDescent="0.2">
      <c r="AN242" t="str">
        <f t="shared" si="33"/>
        <v>Fwd Vol[45][3]</v>
      </c>
      <c r="AO242" t="s">
        <v>688</v>
      </c>
      <c r="AP242">
        <v>0.17774699999999999</v>
      </c>
    </row>
    <row r="243" spans="40:42" x14ac:dyDescent="0.2">
      <c r="AN243" t="str">
        <f t="shared" si="33"/>
        <v>Fwd Vol[46][3]</v>
      </c>
      <c r="AO243" t="s">
        <v>689</v>
      </c>
      <c r="AP243">
        <v>0.17772399999999999</v>
      </c>
    </row>
    <row r="244" spans="40:42" x14ac:dyDescent="0.2">
      <c r="AN244" t="str">
        <f t="shared" si="33"/>
        <v>Fwd Vol[47][3]</v>
      </c>
      <c r="AO244" t="s">
        <v>690</v>
      </c>
      <c r="AP244">
        <v>0.177591</v>
      </c>
    </row>
    <row r="245" spans="40:42" x14ac:dyDescent="0.2">
      <c r="AN245" t="str">
        <f t="shared" si="33"/>
        <v>Fwd Vol[48][3]</v>
      </c>
      <c r="AO245" t="s">
        <v>691</v>
      </c>
      <c r="AP245">
        <v>0.17733599999999999</v>
      </c>
    </row>
    <row r="246" spans="40:42" x14ac:dyDescent="0.2">
      <c r="AN246" t="str">
        <f t="shared" si="33"/>
        <v>Fwd Vol[49][3]</v>
      </c>
      <c r="AO246" t="s">
        <v>692</v>
      </c>
      <c r="AP246">
        <v>0.17694699999999999</v>
      </c>
    </row>
    <row r="247" spans="40:42" x14ac:dyDescent="0.2">
      <c r="AN247" t="str">
        <f t="shared" si="33"/>
        <v>Fwd Vol[50][3]</v>
      </c>
      <c r="AO247" t="s">
        <v>693</v>
      </c>
      <c r="AP247">
        <v>0.176567</v>
      </c>
    </row>
    <row r="248" spans="40:42" x14ac:dyDescent="0.2">
      <c r="AN248" t="str">
        <f t="shared" si="33"/>
        <v>Fwd Vol[51][3]</v>
      </c>
      <c r="AO248" t="s">
        <v>694</v>
      </c>
      <c r="AP248">
        <v>0.17619699999999999</v>
      </c>
    </row>
    <row r="249" spans="40:42" x14ac:dyDescent="0.2">
      <c r="AN249" t="str">
        <f t="shared" si="33"/>
        <v>Fwd Vol[52][3]</v>
      </c>
      <c r="AO249" t="s">
        <v>695</v>
      </c>
      <c r="AP249">
        <v>0.175839</v>
      </c>
    </row>
    <row r="250" spans="40:42" x14ac:dyDescent="0.2">
      <c r="AN250" t="str">
        <f t="shared" si="33"/>
        <v>Fwd Vol[53][3]</v>
      </c>
      <c r="AO250" t="s">
        <v>696</v>
      </c>
      <c r="AP250">
        <v>0.17549400000000001</v>
      </c>
    </row>
    <row r="251" spans="40:42" x14ac:dyDescent="0.2">
      <c r="AN251" t="str">
        <f t="shared" si="33"/>
        <v>Fwd Vol[54][3]</v>
      </c>
      <c r="AO251" t="s">
        <v>697</v>
      </c>
      <c r="AP251">
        <v>0.17516599999999999</v>
      </c>
    </row>
    <row r="252" spans="40:42" x14ac:dyDescent="0.2">
      <c r="AN252" t="str">
        <f t="shared" si="33"/>
        <v>Fwd Vol[55][3]</v>
      </c>
      <c r="AO252" t="s">
        <v>698</v>
      </c>
      <c r="AP252">
        <v>0.17485500000000001</v>
      </c>
    </row>
    <row r="253" spans="40:42" x14ac:dyDescent="0.2">
      <c r="AN253" t="str">
        <f t="shared" si="33"/>
        <v>Fwd Vol[56][3]</v>
      </c>
      <c r="AO253" t="s">
        <v>699</v>
      </c>
      <c r="AP253">
        <v>0.17457</v>
      </c>
    </row>
    <row r="254" spans="40:42" x14ac:dyDescent="0.2">
      <c r="AN254" t="str">
        <f t="shared" si="33"/>
        <v>Fwd Vol[57][3]</v>
      </c>
      <c r="AO254" t="s">
        <v>700</v>
      </c>
      <c r="AP254">
        <v>0.17430799999999999</v>
      </c>
    </row>
    <row r="255" spans="40:42" x14ac:dyDescent="0.2">
      <c r="AN255" t="str">
        <f t="shared" si="33"/>
        <v>Fwd Vol[58][3]</v>
      </c>
      <c r="AO255" t="s">
        <v>701</v>
      </c>
      <c r="AP255">
        <v>0.17407</v>
      </c>
    </row>
    <row r="256" spans="40:42" x14ac:dyDescent="0.2">
      <c r="AN256" t="str">
        <f t="shared" si="33"/>
        <v>Fwd Vol[0][4]</v>
      </c>
      <c r="AO256" t="s">
        <v>702</v>
      </c>
      <c r="AP256">
        <v>0.14277799999999999</v>
      </c>
    </row>
    <row r="257" spans="40:42" x14ac:dyDescent="0.2">
      <c r="AN257" t="str">
        <f t="shared" si="33"/>
        <v>Fwd Vol[1][4]</v>
      </c>
      <c r="AO257" t="s">
        <v>703</v>
      </c>
      <c r="AP257">
        <v>0.15892300000000001</v>
      </c>
    </row>
    <row r="258" spans="40:42" x14ac:dyDescent="0.2">
      <c r="AN258" t="str">
        <f t="shared" si="33"/>
        <v>Fwd Vol[2][4]</v>
      </c>
      <c r="AO258" t="s">
        <v>704</v>
      </c>
      <c r="AP258">
        <v>0.162216</v>
      </c>
    </row>
    <row r="259" spans="40:42" x14ac:dyDescent="0.2">
      <c r="AN259" t="str">
        <f t="shared" si="33"/>
        <v>Fwd Vol[3][4]</v>
      </c>
      <c r="AO259" t="s">
        <v>705</v>
      </c>
      <c r="AP259">
        <v>0.136683</v>
      </c>
    </row>
    <row r="260" spans="40:42" x14ac:dyDescent="0.2">
      <c r="AN260" t="str">
        <f t="shared" si="33"/>
        <v>Fwd Vol[4][4]</v>
      </c>
      <c r="AO260" t="s">
        <v>706</v>
      </c>
      <c r="AP260">
        <v>0.120328</v>
      </c>
    </row>
    <row r="261" spans="40:42" x14ac:dyDescent="0.2">
      <c r="AN261" t="str">
        <f t="shared" si="33"/>
        <v>Fwd Vol[5][4]</v>
      </c>
      <c r="AO261" t="s">
        <v>707</v>
      </c>
      <c r="AP261">
        <v>0.14843799999999999</v>
      </c>
    </row>
    <row r="262" spans="40:42" x14ac:dyDescent="0.2">
      <c r="AN262" t="str">
        <f t="shared" si="33"/>
        <v>Fwd Vol[6][4]</v>
      </c>
      <c r="AO262" t="s">
        <v>708</v>
      </c>
      <c r="AP262">
        <v>0.17852799999999999</v>
      </c>
    </row>
    <row r="263" spans="40:42" x14ac:dyDescent="0.2">
      <c r="AN263" t="str">
        <f t="shared" si="33"/>
        <v>Fwd Vol[7][4]</v>
      </c>
      <c r="AO263" t="s">
        <v>709</v>
      </c>
      <c r="AP263">
        <v>0.18260799999999999</v>
      </c>
    </row>
    <row r="264" spans="40:42" x14ac:dyDescent="0.2">
      <c r="AN264" t="str">
        <f t="shared" si="33"/>
        <v>Fwd Vol[8][4]</v>
      </c>
      <c r="AO264" t="s">
        <v>710</v>
      </c>
      <c r="AP264">
        <v>0.182695</v>
      </c>
    </row>
    <row r="265" spans="40:42" x14ac:dyDescent="0.2">
      <c r="AN265" t="str">
        <f t="shared" si="33"/>
        <v>Fwd Vol[9][4]</v>
      </c>
      <c r="AO265" t="s">
        <v>711</v>
      </c>
      <c r="AP265">
        <v>0.184975</v>
      </c>
    </row>
    <row r="266" spans="40:42" x14ac:dyDescent="0.2">
      <c r="AN266" t="str">
        <f t="shared" si="33"/>
        <v>Fwd Vol[10][4]</v>
      </c>
      <c r="AO266" t="s">
        <v>712</v>
      </c>
      <c r="AP266">
        <v>0.18818599999999999</v>
      </c>
    </row>
    <row r="267" spans="40:42" x14ac:dyDescent="0.2">
      <c r="AN267" t="str">
        <f t="shared" si="33"/>
        <v>Fwd Vol[11][4]</v>
      </c>
      <c r="AO267" t="s">
        <v>713</v>
      </c>
      <c r="AP267">
        <v>0.18963099999999999</v>
      </c>
    </row>
    <row r="268" spans="40:42" x14ac:dyDescent="0.2">
      <c r="AN268" t="str">
        <f t="shared" si="33"/>
        <v>Fwd Vol[12][4]</v>
      </c>
      <c r="AO268" t="s">
        <v>714</v>
      </c>
      <c r="AP268">
        <v>0.191798</v>
      </c>
    </row>
    <row r="269" spans="40:42" x14ac:dyDescent="0.2">
      <c r="AN269" t="str">
        <f t="shared" si="33"/>
        <v>Fwd Vol[13][4]</v>
      </c>
      <c r="AO269" t="s">
        <v>715</v>
      </c>
      <c r="AP269">
        <v>0.19452700000000001</v>
      </c>
    </row>
    <row r="270" spans="40:42" x14ac:dyDescent="0.2">
      <c r="AN270" t="str">
        <f t="shared" si="33"/>
        <v>Fwd Vol[14][4]</v>
      </c>
      <c r="AO270" t="s">
        <v>716</v>
      </c>
      <c r="AP270">
        <v>0.194859</v>
      </c>
    </row>
    <row r="271" spans="40:42" x14ac:dyDescent="0.2">
      <c r="AN271" t="str">
        <f t="shared" si="33"/>
        <v>Fwd Vol[15][4]</v>
      </c>
      <c r="AO271" t="s">
        <v>717</v>
      </c>
      <c r="AP271">
        <v>0.192105</v>
      </c>
    </row>
    <row r="272" spans="40:42" x14ac:dyDescent="0.2">
      <c r="AN272" t="str">
        <f t="shared" si="33"/>
        <v>Fwd Vol[16][4]</v>
      </c>
      <c r="AO272" t="s">
        <v>718</v>
      </c>
      <c r="AP272">
        <v>0.18987200000000001</v>
      </c>
    </row>
    <row r="273" spans="40:42" x14ac:dyDescent="0.2">
      <c r="AN273" t="str">
        <f t="shared" si="33"/>
        <v>Fwd Vol[17][4]</v>
      </c>
      <c r="AO273" t="s">
        <v>719</v>
      </c>
      <c r="AP273">
        <v>0.189217</v>
      </c>
    </row>
    <row r="274" spans="40:42" x14ac:dyDescent="0.2">
      <c r="AN274" t="str">
        <f t="shared" si="33"/>
        <v>Fwd Vol[18][4]</v>
      </c>
      <c r="AO274" t="s">
        <v>720</v>
      </c>
      <c r="AP274">
        <v>0.18731500000000001</v>
      </c>
    </row>
    <row r="275" spans="40:42" x14ac:dyDescent="0.2">
      <c r="AN275" t="str">
        <f t="shared" si="33"/>
        <v>Fwd Vol[19][4]</v>
      </c>
      <c r="AO275" t="s">
        <v>721</v>
      </c>
      <c r="AP275">
        <v>0.183615</v>
      </c>
    </row>
    <row r="276" spans="40:42" x14ac:dyDescent="0.2">
      <c r="AN276" t="str">
        <f t="shared" si="33"/>
        <v>Fwd Vol[20][4]</v>
      </c>
      <c r="AO276" t="s">
        <v>722</v>
      </c>
      <c r="AP276">
        <v>0.17999399999999999</v>
      </c>
    </row>
    <row r="277" spans="40:42" x14ac:dyDescent="0.2">
      <c r="AN277" t="str">
        <f t="shared" si="33"/>
        <v>Fwd Vol[21][4]</v>
      </c>
      <c r="AO277" t="s">
        <v>723</v>
      </c>
      <c r="AP277">
        <v>0.17726900000000001</v>
      </c>
    </row>
    <row r="278" spans="40:42" x14ac:dyDescent="0.2">
      <c r="AN278" t="str">
        <f t="shared" ref="AN278:AN314" si="34">TRIM(AO278)</f>
        <v>Fwd Vol[22][4]</v>
      </c>
      <c r="AO278" t="s">
        <v>724</v>
      </c>
      <c r="AP278">
        <v>0.175787</v>
      </c>
    </row>
    <row r="279" spans="40:42" x14ac:dyDescent="0.2">
      <c r="AN279" t="str">
        <f t="shared" si="34"/>
        <v>Fwd Vol[23][4]</v>
      </c>
      <c r="AO279" t="s">
        <v>725</v>
      </c>
      <c r="AP279">
        <v>0.17557200000000001</v>
      </c>
    </row>
    <row r="280" spans="40:42" x14ac:dyDescent="0.2">
      <c r="AN280" t="str">
        <f t="shared" si="34"/>
        <v>Fwd Vol[24][4]</v>
      </c>
      <c r="AO280" t="s">
        <v>726</v>
      </c>
      <c r="AP280">
        <v>0.17558799999999999</v>
      </c>
    </row>
    <row r="281" spans="40:42" x14ac:dyDescent="0.2">
      <c r="AN281" t="str">
        <f t="shared" si="34"/>
        <v>Fwd Vol[25][4]</v>
      </c>
      <c r="AO281" t="s">
        <v>727</v>
      </c>
      <c r="AP281">
        <v>0.17549999999999999</v>
      </c>
    </row>
    <row r="282" spans="40:42" x14ac:dyDescent="0.2">
      <c r="AN282" t="str">
        <f t="shared" si="34"/>
        <v>Fwd Vol[26][4]</v>
      </c>
      <c r="AO282" t="s">
        <v>728</v>
      </c>
      <c r="AP282">
        <v>0.17527100000000001</v>
      </c>
    </row>
    <row r="283" spans="40:42" x14ac:dyDescent="0.2">
      <c r="AN283" t="str">
        <f t="shared" si="34"/>
        <v>Fwd Vol[27][4]</v>
      </c>
      <c r="AO283" t="s">
        <v>729</v>
      </c>
      <c r="AP283">
        <v>0.17485899999999999</v>
      </c>
    </row>
    <row r="284" spans="40:42" x14ac:dyDescent="0.2">
      <c r="AN284" t="str">
        <f t="shared" si="34"/>
        <v>Fwd Vol[28][4]</v>
      </c>
      <c r="AO284" t="s">
        <v>730</v>
      </c>
      <c r="AP284">
        <v>0.17422899999999999</v>
      </c>
    </row>
    <row r="285" spans="40:42" x14ac:dyDescent="0.2">
      <c r="AN285" t="str">
        <f t="shared" si="34"/>
        <v>Fwd Vol[29][4]</v>
      </c>
      <c r="AO285" t="s">
        <v>731</v>
      </c>
      <c r="AP285">
        <v>0.17339499999999999</v>
      </c>
    </row>
    <row r="286" spans="40:42" x14ac:dyDescent="0.2">
      <c r="AN286" t="str">
        <f t="shared" si="34"/>
        <v>Fwd Vol[30][4]</v>
      </c>
      <c r="AO286" t="s">
        <v>732</v>
      </c>
      <c r="AP286">
        <v>0.17258699999999999</v>
      </c>
    </row>
    <row r="287" spans="40:42" x14ac:dyDescent="0.2">
      <c r="AN287" t="str">
        <f t="shared" si="34"/>
        <v>Fwd Vol[31][4]</v>
      </c>
      <c r="AO287" t="s">
        <v>733</v>
      </c>
      <c r="AP287">
        <v>0.171875</v>
      </c>
    </row>
    <row r="288" spans="40:42" x14ac:dyDescent="0.2">
      <c r="AN288" t="str">
        <f t="shared" si="34"/>
        <v>Fwd Vol[32][4]</v>
      </c>
      <c r="AO288" t="s">
        <v>734</v>
      </c>
      <c r="AP288">
        <v>0.17128399999999999</v>
      </c>
    </row>
    <row r="289" spans="40:42" x14ac:dyDescent="0.2">
      <c r="AN289" t="str">
        <f t="shared" si="34"/>
        <v>Fwd Vol[33][4]</v>
      </c>
      <c r="AO289" t="s">
        <v>735</v>
      </c>
      <c r="AP289">
        <v>0.170824</v>
      </c>
    </row>
    <row r="290" spans="40:42" x14ac:dyDescent="0.2">
      <c r="AN290" t="str">
        <f t="shared" si="34"/>
        <v>Fwd Vol[34][4]</v>
      </c>
      <c r="AO290" t="s">
        <v>736</v>
      </c>
      <c r="AP290">
        <v>0.17052500000000001</v>
      </c>
    </row>
    <row r="291" spans="40:42" x14ac:dyDescent="0.2">
      <c r="AN291" t="str">
        <f t="shared" si="34"/>
        <v>Fwd Vol[35][4]</v>
      </c>
      <c r="AO291" t="s">
        <v>737</v>
      </c>
      <c r="AP291">
        <v>0.170401</v>
      </c>
    </row>
    <row r="292" spans="40:42" x14ac:dyDescent="0.2">
      <c r="AN292" t="str">
        <f t="shared" si="34"/>
        <v>Fwd Vol[36][4]</v>
      </c>
      <c r="AO292" t="s">
        <v>738</v>
      </c>
      <c r="AP292">
        <v>0.17047200000000001</v>
      </c>
    </row>
    <row r="293" spans="40:42" x14ac:dyDescent="0.2">
      <c r="AN293" t="str">
        <f t="shared" si="34"/>
        <v>Fwd Vol[37][4]</v>
      </c>
      <c r="AO293" t="s">
        <v>739</v>
      </c>
      <c r="AP293">
        <v>0.17075799999999999</v>
      </c>
    </row>
    <row r="294" spans="40:42" x14ac:dyDescent="0.2">
      <c r="AN294" t="str">
        <f t="shared" si="34"/>
        <v>Fwd Vol[38][4]</v>
      </c>
      <c r="AO294" t="s">
        <v>740</v>
      </c>
      <c r="AP294">
        <v>0.17127700000000001</v>
      </c>
    </row>
    <row r="295" spans="40:42" x14ac:dyDescent="0.2">
      <c r="AN295" t="str">
        <f t="shared" si="34"/>
        <v>Fwd Vol[39][4]</v>
      </c>
      <c r="AO295" t="s">
        <v>741</v>
      </c>
      <c r="AP295">
        <v>0.17194000000000001</v>
      </c>
    </row>
    <row r="296" spans="40:42" x14ac:dyDescent="0.2">
      <c r="AN296" t="str">
        <f t="shared" si="34"/>
        <v>Fwd Vol[40][4]</v>
      </c>
      <c r="AO296" t="s">
        <v>742</v>
      </c>
      <c r="AP296">
        <v>0.17264199999999999</v>
      </c>
    </row>
    <row r="297" spans="40:42" x14ac:dyDescent="0.2">
      <c r="AN297" t="str">
        <f t="shared" si="34"/>
        <v>Fwd Vol[41][4]</v>
      </c>
      <c r="AO297" t="s">
        <v>743</v>
      </c>
      <c r="AP297">
        <v>0.17322699999999999</v>
      </c>
    </row>
    <row r="298" spans="40:42" x14ac:dyDescent="0.2">
      <c r="AN298" t="str">
        <f t="shared" si="34"/>
        <v>Fwd Vol[42][4]</v>
      </c>
      <c r="AO298" t="s">
        <v>744</v>
      </c>
      <c r="AP298">
        <v>0.17368</v>
      </c>
    </row>
    <row r="299" spans="40:42" x14ac:dyDescent="0.2">
      <c r="AN299" t="str">
        <f t="shared" si="34"/>
        <v>Fwd Vol[43][4]</v>
      </c>
      <c r="AO299" t="s">
        <v>745</v>
      </c>
      <c r="AP299">
        <v>0.17397299999999999</v>
      </c>
    </row>
    <row r="300" spans="40:42" x14ac:dyDescent="0.2">
      <c r="AN300" t="str">
        <f t="shared" si="34"/>
        <v>Fwd Vol[44][4]</v>
      </c>
      <c r="AO300" t="s">
        <v>746</v>
      </c>
      <c r="AP300">
        <v>0.17408599999999999</v>
      </c>
    </row>
    <row r="301" spans="40:42" x14ac:dyDescent="0.2">
      <c r="AN301" t="str">
        <f t="shared" si="34"/>
        <v>Fwd Vol[45][4]</v>
      </c>
      <c r="AO301" t="s">
        <v>747</v>
      </c>
      <c r="AP301">
        <v>0.17399300000000001</v>
      </c>
    </row>
    <row r="302" spans="40:42" x14ac:dyDescent="0.2">
      <c r="AN302" t="str">
        <f t="shared" si="34"/>
        <v>Fwd Vol[46][4]</v>
      </c>
      <c r="AO302" t="s">
        <v>748</v>
      </c>
      <c r="AP302">
        <v>0.17366999999999999</v>
      </c>
    </row>
    <row r="303" spans="40:42" x14ac:dyDescent="0.2">
      <c r="AN303" t="str">
        <f t="shared" si="34"/>
        <v>Fwd Vol[47][4]</v>
      </c>
      <c r="AO303" t="s">
        <v>749</v>
      </c>
      <c r="AP303">
        <v>0.1731</v>
      </c>
    </row>
    <row r="304" spans="40:42" x14ac:dyDescent="0.2">
      <c r="AN304" t="str">
        <f t="shared" si="34"/>
        <v>Fwd Vol[48][4]</v>
      </c>
      <c r="AO304" t="s">
        <v>750</v>
      </c>
      <c r="AP304">
        <v>0.172259</v>
      </c>
    </row>
    <row r="305" spans="40:42" x14ac:dyDescent="0.2">
      <c r="AN305" t="str">
        <f t="shared" si="34"/>
        <v>Fwd Vol[49][4]</v>
      </c>
      <c r="AO305" t="s">
        <v>751</v>
      </c>
      <c r="AP305">
        <v>0.171121</v>
      </c>
    </row>
    <row r="306" spans="40:42" x14ac:dyDescent="0.2">
      <c r="AN306" t="str">
        <f t="shared" si="34"/>
        <v>Fwd Vol[50][4]</v>
      </c>
      <c r="AO306" t="s">
        <v>752</v>
      </c>
      <c r="AP306">
        <v>0.17000999999999999</v>
      </c>
    </row>
    <row r="307" spans="40:42" x14ac:dyDescent="0.2">
      <c r="AN307" t="str">
        <f t="shared" si="34"/>
        <v>Fwd Vol[51][4]</v>
      </c>
      <c r="AO307" t="s">
        <v>753</v>
      </c>
      <c r="AP307">
        <v>0.168935</v>
      </c>
    </row>
    <row r="308" spans="40:42" x14ac:dyDescent="0.2">
      <c r="AN308" t="str">
        <f t="shared" si="34"/>
        <v>Fwd Vol[52][4]</v>
      </c>
      <c r="AO308" t="s">
        <v>754</v>
      </c>
      <c r="AP308">
        <v>0.16791</v>
      </c>
    </row>
    <row r="309" spans="40:42" x14ac:dyDescent="0.2">
      <c r="AN309" t="str">
        <f t="shared" si="34"/>
        <v>Fwd Vol[53][4]</v>
      </c>
      <c r="AO309" t="s">
        <v>755</v>
      </c>
      <c r="AP309">
        <v>0.166939</v>
      </c>
    </row>
    <row r="310" spans="40:42" x14ac:dyDescent="0.2">
      <c r="AN310" t="str">
        <f t="shared" si="34"/>
        <v>Fwd Vol[54][4]</v>
      </c>
      <c r="AO310" t="s">
        <v>756</v>
      </c>
      <c r="AP310">
        <v>0.16603200000000001</v>
      </c>
    </row>
    <row r="311" spans="40:42" x14ac:dyDescent="0.2">
      <c r="AN311" t="str">
        <f t="shared" si="34"/>
        <v>Fwd Vol[55][4]</v>
      </c>
      <c r="AO311" t="s">
        <v>757</v>
      </c>
      <c r="AP311">
        <v>0.16519300000000001</v>
      </c>
    </row>
    <row r="312" spans="40:42" x14ac:dyDescent="0.2">
      <c r="AN312" t="str">
        <f t="shared" si="34"/>
        <v>Fwd Vol[56][4]</v>
      </c>
      <c r="AO312" t="s">
        <v>758</v>
      </c>
      <c r="AP312">
        <v>0.16444700000000001</v>
      </c>
    </row>
    <row r="313" spans="40:42" x14ac:dyDescent="0.2">
      <c r="AN313" t="str">
        <f t="shared" si="34"/>
        <v>Fwd Vol[57][4]</v>
      </c>
      <c r="AO313" t="s">
        <v>759</v>
      </c>
      <c r="AP313">
        <v>0.16379099999999999</v>
      </c>
    </row>
    <row r="314" spans="40:42" x14ac:dyDescent="0.2">
      <c r="AN314" t="str">
        <f t="shared" si="34"/>
        <v>Fwd Vol[58][4]</v>
      </c>
      <c r="AO314" t="s">
        <v>760</v>
      </c>
      <c r="AP314">
        <v>0.16322999999999999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6"/>
  <dimension ref="A1:CR602"/>
  <sheetViews>
    <sheetView topLeftCell="AK564" workbookViewId="0">
      <selection activeCell="AO588" sqref="AO588"/>
    </sheetView>
  </sheetViews>
  <sheetFormatPr defaultRowHeight="11.25" x14ac:dyDescent="0.2"/>
  <cols>
    <col min="1" max="3" width="17" customWidth="1"/>
    <col min="4" max="6" width="10.1640625" bestFit="1" customWidth="1"/>
    <col min="7" max="7" width="10.1640625" customWidth="1"/>
    <col min="8" max="9" width="10.1640625" bestFit="1" customWidth="1"/>
    <col min="10" max="11" width="10.1640625" customWidth="1"/>
    <col min="12" max="12" width="10.1640625" bestFit="1" customWidth="1"/>
    <col min="13" max="13" width="10.1640625" customWidth="1"/>
    <col min="14" max="14" width="10.1640625" bestFit="1" customWidth="1"/>
    <col min="15" max="18" width="10.1640625" customWidth="1"/>
    <col min="19" max="19" width="9.83203125" customWidth="1"/>
    <col min="20" max="32" width="10.1640625" customWidth="1"/>
    <col min="33" max="37" width="17.6640625" customWidth="1"/>
    <col min="38" max="38" width="17" customWidth="1"/>
  </cols>
  <sheetData>
    <row r="1" spans="1:96" x14ac:dyDescent="0.2">
      <c r="A1" s="102">
        <v>42368</v>
      </c>
      <c r="B1" s="102">
        <v>42398</v>
      </c>
      <c r="C1" s="102">
        <v>42412</v>
      </c>
      <c r="D1" s="102">
        <v>42416</v>
      </c>
      <c r="E1" s="102">
        <v>42423</v>
      </c>
      <c r="F1" s="102">
        <v>42430</v>
      </c>
      <c r="G1" s="102">
        <v>42432</v>
      </c>
      <c r="H1" s="102">
        <v>42437</v>
      </c>
      <c r="I1" s="102">
        <v>42445</v>
      </c>
      <c r="J1" s="102">
        <v>42447</v>
      </c>
      <c r="K1" s="102">
        <v>42460</v>
      </c>
      <c r="L1" s="102">
        <v>42474</v>
      </c>
      <c r="M1" s="102">
        <v>42475</v>
      </c>
      <c r="N1" s="102">
        <v>42481</v>
      </c>
      <c r="O1" s="102">
        <v>42487</v>
      </c>
      <c r="P1" s="102">
        <v>42489</v>
      </c>
      <c r="Q1" s="102">
        <v>42493</v>
      </c>
      <c r="R1" s="102">
        <v>42494</v>
      </c>
      <c r="S1" s="145">
        <v>42495</v>
      </c>
      <c r="T1" s="145" t="s">
        <v>301</v>
      </c>
      <c r="U1" s="145">
        <v>42499</v>
      </c>
      <c r="V1" s="145" t="s">
        <v>304</v>
      </c>
      <c r="W1" s="145" t="s">
        <v>305</v>
      </c>
      <c r="X1" s="145">
        <v>42500</v>
      </c>
      <c r="Y1" s="145">
        <v>42501</v>
      </c>
      <c r="Z1" s="145">
        <v>42502</v>
      </c>
      <c r="AA1" s="145">
        <v>42508</v>
      </c>
      <c r="AB1" s="145">
        <v>42516</v>
      </c>
      <c r="AC1" s="145">
        <v>42523</v>
      </c>
      <c r="AD1" s="145">
        <v>42524</v>
      </c>
      <c r="AE1" s="145">
        <v>42535</v>
      </c>
      <c r="AF1" s="145">
        <v>42544</v>
      </c>
      <c r="AG1" s="158">
        <v>42545</v>
      </c>
      <c r="AH1" s="158">
        <v>42548</v>
      </c>
      <c r="AI1" s="158">
        <v>42552</v>
      </c>
      <c r="AJ1" s="158">
        <v>42555</v>
      </c>
      <c r="AK1" s="158">
        <v>42556</v>
      </c>
      <c r="AL1" s="102"/>
    </row>
    <row r="2" spans="1:96" x14ac:dyDescent="0.2">
      <c r="A2">
        <v>-0.28749999999999998</v>
      </c>
      <c r="B2">
        <v>-0.3</v>
      </c>
      <c r="C2">
        <v>-0.3</v>
      </c>
      <c r="D2">
        <v>-0.3</v>
      </c>
      <c r="E2">
        <v>-0.28999999999999998</v>
      </c>
      <c r="F2">
        <v>-0.28999999999999998</v>
      </c>
      <c r="G2">
        <v>-0.3</v>
      </c>
      <c r="H2">
        <v>-0.28999999999999998</v>
      </c>
      <c r="I2">
        <v>-0.28999999999999998</v>
      </c>
      <c r="J2">
        <v>-0.28999999999999998</v>
      </c>
      <c r="K2">
        <v>-0.37</v>
      </c>
      <c r="L2">
        <v>-0.37</v>
      </c>
      <c r="M2">
        <v>-0.40250000000000002</v>
      </c>
      <c r="N2">
        <v>-0.41749999999999998</v>
      </c>
      <c r="O2">
        <v>-0.38750000000000001</v>
      </c>
      <c r="P2">
        <v>-0.39250000000000002</v>
      </c>
      <c r="Q2">
        <v>-0.41749999999999998</v>
      </c>
      <c r="R2">
        <v>-0.42249999999999999</v>
      </c>
      <c r="S2">
        <v>-0.435</v>
      </c>
      <c r="T2">
        <v>-0.42249999999999999</v>
      </c>
      <c r="U2">
        <v>-0.435</v>
      </c>
      <c r="V2">
        <f>U2+0.01</f>
        <v>-0.42499999999999999</v>
      </c>
      <c r="W2">
        <f>U2+0.1</f>
        <v>-0.33499999999999996</v>
      </c>
      <c r="X2">
        <v>-0.42</v>
      </c>
      <c r="Y2">
        <v>-0.4</v>
      </c>
      <c r="Z2">
        <v>-0.40749999999999997</v>
      </c>
      <c r="AA2" s="105">
        <v>-0.39750000000000002</v>
      </c>
      <c r="AB2" s="105">
        <v>-0.38750000000000001</v>
      </c>
      <c r="AC2" s="105">
        <v>-0.39</v>
      </c>
      <c r="AD2">
        <v>-0.39</v>
      </c>
      <c r="AE2">
        <v>-0.40250000000000002</v>
      </c>
      <c r="AF2">
        <v>-0.40250000000000002</v>
      </c>
      <c r="AG2" s="105">
        <v>-0.435</v>
      </c>
      <c r="AH2" s="105">
        <v>-0.38750000000000001</v>
      </c>
      <c r="AI2" s="105">
        <v>-0.39500000000000002</v>
      </c>
      <c r="AJ2" s="105">
        <v>-0.41749999999999998</v>
      </c>
      <c r="AK2" s="105">
        <v>-0.40250000000000002</v>
      </c>
    </row>
    <row r="3" spans="1:96" x14ac:dyDescent="0.2">
      <c r="A3">
        <v>-0.3</v>
      </c>
      <c r="B3">
        <v>-0.3</v>
      </c>
      <c r="C3">
        <v>-0.3</v>
      </c>
      <c r="D3">
        <v>-0.3</v>
      </c>
      <c r="E3">
        <v>-0.28749999999999998</v>
      </c>
      <c r="F3">
        <v>-0.28749999999999998</v>
      </c>
      <c r="G3">
        <v>-0.3</v>
      </c>
      <c r="H3">
        <v>-0.28749999999999998</v>
      </c>
      <c r="I3">
        <v>-0.32</v>
      </c>
      <c r="J3">
        <v>-0.32</v>
      </c>
      <c r="K3">
        <v>-0.37</v>
      </c>
      <c r="L3">
        <v>-0.37</v>
      </c>
      <c r="M3">
        <v>-0.40250000000000002</v>
      </c>
      <c r="N3">
        <v>-0.39500000000000002</v>
      </c>
      <c r="O3">
        <v>-0.38500000000000001</v>
      </c>
      <c r="P3">
        <v>-0.39250000000000002</v>
      </c>
      <c r="Q3">
        <v>-0.4</v>
      </c>
      <c r="R3">
        <v>-0.42249999999999999</v>
      </c>
      <c r="S3">
        <v>-0.41249999999999998</v>
      </c>
      <c r="T3">
        <v>-0.42249999999999999</v>
      </c>
      <c r="U3">
        <v>-0.435</v>
      </c>
      <c r="V3">
        <f t="shared" ref="V3:V47" si="0">U3+0.01</f>
        <v>-0.42499999999999999</v>
      </c>
      <c r="W3">
        <f t="shared" ref="W3:W47" si="1">U3+0.1</f>
        <v>-0.33499999999999996</v>
      </c>
      <c r="X3">
        <v>-0.41749999999999998</v>
      </c>
      <c r="Y3">
        <v>-0.40250000000000002</v>
      </c>
      <c r="Z3">
        <v>-0.38500000000000001</v>
      </c>
      <c r="AA3">
        <v>-0.40250000000000002</v>
      </c>
      <c r="AB3">
        <v>-0.39500000000000002</v>
      </c>
      <c r="AC3">
        <v>-0.4</v>
      </c>
      <c r="AD3">
        <v>-0.4</v>
      </c>
      <c r="AE3">
        <v>-0.39750000000000002</v>
      </c>
      <c r="AF3">
        <v>-0.4</v>
      </c>
      <c r="AG3">
        <v>-0.44</v>
      </c>
      <c r="AH3">
        <v>-0.4</v>
      </c>
      <c r="AI3">
        <v>-0.40250000000000002</v>
      </c>
      <c r="AJ3">
        <v>-0.4</v>
      </c>
      <c r="AK3">
        <v>-0.38750000000000001</v>
      </c>
      <c r="BR3" s="106" t="s">
        <v>295</v>
      </c>
      <c r="CF3" s="106" t="s">
        <v>296</v>
      </c>
    </row>
    <row r="4" spans="1:96" x14ac:dyDescent="0.2">
      <c r="A4">
        <v>-0.26200000000000001</v>
      </c>
      <c r="B4">
        <v>-0.26400000000000001</v>
      </c>
      <c r="C4">
        <v>-0.26600000000000001</v>
      </c>
      <c r="D4">
        <v>-0.26800000000000002</v>
      </c>
      <c r="E4">
        <v>-0.26500000000000001</v>
      </c>
      <c r="F4">
        <v>-0.26500000000000001</v>
      </c>
      <c r="G4">
        <v>-0.26900000000000002</v>
      </c>
      <c r="H4">
        <v>-0.26500000000000001</v>
      </c>
      <c r="I4">
        <v>-0.32800000000000001</v>
      </c>
      <c r="J4">
        <v>-0.32800000000000001</v>
      </c>
      <c r="K4">
        <v>-0.35299999999999998</v>
      </c>
      <c r="L4">
        <v>-0.35899999999999999</v>
      </c>
      <c r="M4">
        <v>-0.36099999999999999</v>
      </c>
      <c r="N4">
        <v>-0.36099999999999999</v>
      </c>
      <c r="O4">
        <v>-0.35899999999999999</v>
      </c>
      <c r="P4">
        <v>-0.35899999999999999</v>
      </c>
      <c r="Q4">
        <v>-0.36</v>
      </c>
      <c r="R4">
        <v>-0.36099999999999999</v>
      </c>
      <c r="S4">
        <v>-0.36299999999999999</v>
      </c>
      <c r="T4">
        <v>-0.36099999999999999</v>
      </c>
      <c r="U4">
        <v>-0.36199999999999999</v>
      </c>
      <c r="V4">
        <f t="shared" si="0"/>
        <v>-0.35199999999999998</v>
      </c>
      <c r="W4">
        <f t="shared" si="1"/>
        <v>-0.26200000000000001</v>
      </c>
      <c r="X4">
        <v>-0.36199999999999999</v>
      </c>
      <c r="Y4">
        <v>-0.36399999999999999</v>
      </c>
      <c r="Z4">
        <v>-0.36299999999999999</v>
      </c>
      <c r="AA4">
        <v>-0.36199999999999999</v>
      </c>
      <c r="AB4">
        <v>-0.36099999999999999</v>
      </c>
      <c r="AC4">
        <v>-0.36299999999999999</v>
      </c>
      <c r="AD4">
        <v>-0.36299999999999999</v>
      </c>
      <c r="AE4">
        <v>-0.36299999999999999</v>
      </c>
      <c r="AF4">
        <v>-0.36799999999999999</v>
      </c>
      <c r="AG4">
        <v>-0.373</v>
      </c>
      <c r="AH4">
        <v>-0.37</v>
      </c>
      <c r="AI4">
        <v>-0.36899999999999999</v>
      </c>
      <c r="AJ4">
        <v>-0.371</v>
      </c>
      <c r="AK4">
        <v>-0.371</v>
      </c>
      <c r="AL4" s="105" t="s">
        <v>294</v>
      </c>
      <c r="AO4">
        <v>-0.5</v>
      </c>
      <c r="AP4">
        <v>-0.25</v>
      </c>
      <c r="AQ4">
        <v>-0.13</v>
      </c>
      <c r="AR4">
        <v>0</v>
      </c>
      <c r="AS4">
        <v>0.125</v>
      </c>
      <c r="AT4">
        <v>0.25</v>
      </c>
      <c r="AU4">
        <v>0.5</v>
      </c>
      <c r="AV4">
        <v>1</v>
      </c>
      <c r="AW4">
        <v>1.5</v>
      </c>
      <c r="AX4">
        <v>2</v>
      </c>
      <c r="AY4">
        <v>3</v>
      </c>
      <c r="AZ4">
        <v>5</v>
      </c>
      <c r="BA4">
        <v>10</v>
      </c>
      <c r="BR4" s="120">
        <v>2.2670579904913711E-3</v>
      </c>
      <c r="BS4" s="120">
        <v>1.9971234302776455E-3</v>
      </c>
      <c r="BT4" s="120">
        <v>2.2928601305137316E-3</v>
      </c>
      <c r="BU4" s="120">
        <v>2.7705487232649729E-3</v>
      </c>
      <c r="BV4" s="120">
        <v>3.2655609601262262E-3</v>
      </c>
      <c r="BW4" s="120">
        <v>3.7479808635228476E-3</v>
      </c>
      <c r="BX4" s="120">
        <v>4.6664783292296305E-3</v>
      </c>
      <c r="BY4" s="120">
        <v>6.3990411440675854E-3</v>
      </c>
      <c r="BZ4" s="120">
        <v>8.0512853560093349E-3</v>
      </c>
      <c r="CA4" s="120">
        <v>9.6485686891241915E-3</v>
      </c>
      <c r="CB4" s="120">
        <v>1.2669731632704101E-2</v>
      </c>
      <c r="CC4" s="120">
        <v>1.8481681766520527E-2</v>
      </c>
      <c r="CD4" s="120">
        <v>3.2130503069171673E-2</v>
      </c>
      <c r="CF4" s="120">
        <v>8.7027974146545756E-2</v>
      </c>
      <c r="CG4" s="120">
        <v>7.3000017266898296E-2</v>
      </c>
      <c r="CH4" s="120">
        <v>8.1998368120294166E-2</v>
      </c>
      <c r="CI4" s="120">
        <v>9.7036873693107567E-2</v>
      </c>
      <c r="CJ4" s="120">
        <v>0.11200116917237388</v>
      </c>
      <c r="CK4" s="120">
        <v>0.12600260291083132</v>
      </c>
      <c r="CL4" s="120">
        <v>0.15100599292947015</v>
      </c>
      <c r="CM4" s="120">
        <v>0.19302103437181581</v>
      </c>
      <c r="CN4" s="120">
        <v>0.22865619099566847</v>
      </c>
      <c r="CO4" s="120">
        <v>0.25890038475909277</v>
      </c>
      <c r="CP4" s="120">
        <v>0.30727848165770877</v>
      </c>
      <c r="CQ4" s="120">
        <v>0.3808217732938271</v>
      </c>
      <c r="CR4" s="120">
        <v>0.49536163817505335</v>
      </c>
    </row>
    <row r="5" spans="1:96" x14ac:dyDescent="0.2">
      <c r="A5">
        <v>-0.251</v>
      </c>
      <c r="B5">
        <v>-0.251</v>
      </c>
      <c r="C5">
        <v>-0.25700000000000001</v>
      </c>
      <c r="D5">
        <v>-0.25800000000000001</v>
      </c>
      <c r="E5">
        <v>-0.25900000000000001</v>
      </c>
      <c r="F5">
        <v>-0.25900000000000001</v>
      </c>
      <c r="G5">
        <v>-0.27100000000000002</v>
      </c>
      <c r="H5">
        <v>-0.25900000000000001</v>
      </c>
      <c r="I5">
        <v>-0.32800000000000001</v>
      </c>
      <c r="J5">
        <v>-0.32800000000000001</v>
      </c>
      <c r="K5">
        <v>-0.34899999999999998</v>
      </c>
      <c r="L5">
        <v>-0.35199999999999998</v>
      </c>
      <c r="M5">
        <v>-0.35199999999999998</v>
      </c>
      <c r="N5">
        <v>-0.35199999999999998</v>
      </c>
      <c r="O5">
        <v>-0.35199999999999998</v>
      </c>
      <c r="P5">
        <v>-0.35199999999999998</v>
      </c>
      <c r="Q5">
        <v>-0.35199999999999998</v>
      </c>
      <c r="R5">
        <v>-0.35399999999999998</v>
      </c>
      <c r="S5">
        <v>-0.35499999999999998</v>
      </c>
      <c r="T5">
        <v>-0.35399999999999998</v>
      </c>
      <c r="U5">
        <v>-0.35899999999999999</v>
      </c>
      <c r="V5">
        <f t="shared" si="0"/>
        <v>-0.34899999999999998</v>
      </c>
      <c r="W5">
        <f t="shared" si="1"/>
        <v>-0.25900000000000001</v>
      </c>
      <c r="X5">
        <v>-0.35899999999999999</v>
      </c>
      <c r="Y5">
        <v>-0.35899999999999999</v>
      </c>
      <c r="Z5">
        <v>-0.35899999999999999</v>
      </c>
      <c r="AA5">
        <v>-0.35899999999999999</v>
      </c>
      <c r="AB5">
        <v>-0.35899999999999999</v>
      </c>
      <c r="AC5">
        <v>-0.36099999999999999</v>
      </c>
      <c r="AD5">
        <v>-0.36099999999999999</v>
      </c>
      <c r="AE5">
        <v>-0.36299999999999999</v>
      </c>
      <c r="AF5">
        <v>-0.36299999999999999</v>
      </c>
      <c r="AG5">
        <v>-0.36899999999999999</v>
      </c>
      <c r="AH5">
        <v>-0.36899999999999999</v>
      </c>
      <c r="AI5">
        <v>-0.36899999999999999</v>
      </c>
      <c r="AJ5">
        <v>-0.36699999999999999</v>
      </c>
      <c r="AK5">
        <v>-0.36699999999999999</v>
      </c>
      <c r="AN5" t="s">
        <v>25</v>
      </c>
      <c r="AO5" s="106">
        <v>8.6999999999999993</v>
      </c>
      <c r="AP5">
        <v>7.3</v>
      </c>
      <c r="AQ5">
        <v>8.1999999999999993</v>
      </c>
      <c r="AR5">
        <v>9.6999999999999993</v>
      </c>
      <c r="AS5">
        <v>11.2</v>
      </c>
      <c r="AT5">
        <v>12.6</v>
      </c>
      <c r="AU5">
        <v>15.1</v>
      </c>
      <c r="AV5">
        <v>19.3</v>
      </c>
      <c r="AW5">
        <v>22.8</v>
      </c>
      <c r="AX5">
        <v>25.8</v>
      </c>
      <c r="AY5">
        <v>30.6</v>
      </c>
      <c r="AZ5">
        <v>37.700000000000003</v>
      </c>
      <c r="BA5">
        <v>48.6</v>
      </c>
      <c r="BR5" s="120">
        <v>3.0693448471802308E-3</v>
      </c>
      <c r="BS5" s="120">
        <v>3.144163734610475E-3</v>
      </c>
      <c r="BT5" s="120">
        <v>3.1987608382683325E-3</v>
      </c>
      <c r="BU5" s="120">
        <v>3.4066282274167353E-3</v>
      </c>
      <c r="BV5" s="120">
        <v>3.6776978222086104E-3</v>
      </c>
      <c r="BW5" s="120">
        <v>3.9586048554611656E-3</v>
      </c>
      <c r="BX5" s="120">
        <v>4.5921172238040375E-3</v>
      </c>
      <c r="BY5" s="120">
        <v>5.8474310227631917E-3</v>
      </c>
      <c r="BZ5" s="120">
        <v>7.0405040847948937E-3</v>
      </c>
      <c r="CA5" s="120">
        <v>8.1910460843540103E-3</v>
      </c>
      <c r="CB5" s="120">
        <v>1.0366468936644268E-2</v>
      </c>
      <c r="CC5" s="120">
        <v>1.4453384363778399E-2</v>
      </c>
      <c r="CD5" s="120">
        <v>2.3589258375402464E-2</v>
      </c>
      <c r="CF5" s="120">
        <v>0.11717529204365271</v>
      </c>
      <c r="CG5" s="120">
        <v>0.11455390842703335</v>
      </c>
      <c r="CH5" s="120">
        <v>0.11393737278284576</v>
      </c>
      <c r="CI5" s="120">
        <v>0.11872697637855238</v>
      </c>
      <c r="CJ5" s="120">
        <v>0.12556692524771412</v>
      </c>
      <c r="CK5" s="120">
        <v>0.13247932424682451</v>
      </c>
      <c r="CL5" s="120">
        <v>0.14794281230554532</v>
      </c>
      <c r="CM5" s="120">
        <v>0.17576424117001319</v>
      </c>
      <c r="CN5" s="120">
        <v>0.19849669561984806</v>
      </c>
      <c r="CO5" s="120">
        <v>0.21808956482291575</v>
      </c>
      <c r="CP5" s="120">
        <v>0.24976690638340829</v>
      </c>
      <c r="CQ5" s="120">
        <v>0.2954143830073736</v>
      </c>
      <c r="CR5" s="120">
        <v>0.35924130458830167</v>
      </c>
    </row>
    <row r="6" spans="1:96" x14ac:dyDescent="0.2">
      <c r="A6">
        <v>-0.22900000000000001</v>
      </c>
      <c r="B6">
        <v>-0.22900000000000001</v>
      </c>
      <c r="C6">
        <v>-0.24</v>
      </c>
      <c r="D6">
        <v>-0.245</v>
      </c>
      <c r="E6">
        <v>-0.26100000000000001</v>
      </c>
      <c r="F6">
        <v>-0.26100000000000001</v>
      </c>
      <c r="G6">
        <v>-0.27600000000000002</v>
      </c>
      <c r="H6">
        <v>-0.26100000000000001</v>
      </c>
      <c r="I6">
        <v>-0.313</v>
      </c>
      <c r="J6">
        <v>-0.313</v>
      </c>
      <c r="K6">
        <v>-0.33400000000000002</v>
      </c>
      <c r="L6">
        <v>-0.34200000000000003</v>
      </c>
      <c r="M6">
        <v>-0.34200000000000003</v>
      </c>
      <c r="N6">
        <v>-0.34200000000000003</v>
      </c>
      <c r="O6">
        <v>-0.34300000000000003</v>
      </c>
      <c r="P6">
        <v>-0.34399999999999997</v>
      </c>
      <c r="Q6">
        <v>-0.34300000000000003</v>
      </c>
      <c r="R6">
        <v>-0.34499999999999997</v>
      </c>
      <c r="S6">
        <v>-0.34599999999999997</v>
      </c>
      <c r="T6">
        <v>-0.34499999999999997</v>
      </c>
      <c r="U6">
        <v>-0.34899999999999998</v>
      </c>
      <c r="V6">
        <f t="shared" si="0"/>
        <v>-0.33899999999999997</v>
      </c>
      <c r="W6">
        <f t="shared" si="1"/>
        <v>-0.24899999999999997</v>
      </c>
      <c r="X6">
        <v>-0.34899999999999998</v>
      </c>
      <c r="Y6">
        <v>-0.35</v>
      </c>
      <c r="Z6">
        <v>-0.34899999999999998</v>
      </c>
      <c r="AA6">
        <v>-0.34799999999999998</v>
      </c>
      <c r="AB6">
        <v>-0.34799999999999998</v>
      </c>
      <c r="AC6">
        <v>-0.35</v>
      </c>
      <c r="AD6">
        <v>-0.35</v>
      </c>
      <c r="AE6">
        <v>-0.35299999999999998</v>
      </c>
      <c r="AF6">
        <v>-0.35799999999999998</v>
      </c>
      <c r="AG6">
        <v>-0.36399999999999999</v>
      </c>
      <c r="AH6">
        <v>-0.36399999999999999</v>
      </c>
      <c r="AI6">
        <v>-0.36299999999999999</v>
      </c>
      <c r="AJ6">
        <v>-0.36299999999999999</v>
      </c>
      <c r="AK6">
        <v>-0.36299999999999999</v>
      </c>
      <c r="AN6" t="s">
        <v>157</v>
      </c>
      <c r="AO6">
        <v>10.3</v>
      </c>
      <c r="AP6">
        <v>9.1999999999999993</v>
      </c>
      <c r="AQ6">
        <v>9.8000000000000007</v>
      </c>
      <c r="AR6">
        <v>10.9</v>
      </c>
      <c r="AS6">
        <v>12</v>
      </c>
      <c r="AT6">
        <v>13</v>
      </c>
      <c r="AU6">
        <v>14.9</v>
      </c>
      <c r="AV6">
        <v>18.100000000000001</v>
      </c>
      <c r="AW6">
        <v>20.7</v>
      </c>
      <c r="AX6">
        <v>22.9</v>
      </c>
      <c r="AY6">
        <v>26.4</v>
      </c>
      <c r="AZ6">
        <v>31.5</v>
      </c>
      <c r="BA6">
        <v>38.9</v>
      </c>
      <c r="BR6" s="120">
        <v>4.3858164006830205E-3</v>
      </c>
      <c r="BS6" s="120">
        <v>3.8004895056071787E-3</v>
      </c>
      <c r="BT6" s="120">
        <v>3.683719380861007E-3</v>
      </c>
      <c r="BU6" s="120">
        <v>3.7374713061710764E-3</v>
      </c>
      <c r="BV6" s="120">
        <v>3.9105869327426528E-3</v>
      </c>
      <c r="BW6" s="120">
        <v>4.0254867476636688E-3</v>
      </c>
      <c r="BX6" s="120">
        <v>4.3835084514142891E-3</v>
      </c>
      <c r="BY6" s="120">
        <v>5.4338863005361409E-3</v>
      </c>
      <c r="BZ6" s="120">
        <v>6.6329167629850449E-3</v>
      </c>
      <c r="CA6" s="120">
        <v>7.7993846308203711E-3</v>
      </c>
      <c r="CB6" s="120">
        <v>1.0080788991825101E-2</v>
      </c>
      <c r="CC6" s="120">
        <v>1.433566986904003E-2</v>
      </c>
      <c r="CD6" s="120">
        <v>2.3832542309876026E-2</v>
      </c>
      <c r="CF6" s="120">
        <v>0.16200195732590575</v>
      </c>
      <c r="CG6" s="120">
        <v>0.13400031123378572</v>
      </c>
      <c r="CH6" s="120">
        <v>0.12698546197815305</v>
      </c>
      <c r="CI6" s="120">
        <v>0.1260002029634634</v>
      </c>
      <c r="CJ6" s="120">
        <v>0.12900154397273306</v>
      </c>
      <c r="CK6" s="120">
        <v>0.13000000578317253</v>
      </c>
      <c r="CL6" s="120">
        <v>0.13600019493828253</v>
      </c>
      <c r="CM6" s="120">
        <v>0.15700125028851702</v>
      </c>
      <c r="CN6" s="120">
        <v>0.18000109997823466</v>
      </c>
      <c r="CO6" s="120">
        <v>0.20000080206924037</v>
      </c>
      <c r="CP6" s="120">
        <v>0.23400052779328914</v>
      </c>
      <c r="CQ6" s="120">
        <v>0.28300076991833428</v>
      </c>
      <c r="CR6" s="120">
        <v>0.35300234045033291</v>
      </c>
    </row>
    <row r="7" spans="1:96" x14ac:dyDescent="0.2">
      <c r="A7">
        <v>-0.192</v>
      </c>
      <c r="B7">
        <v>-0.19500000000000001</v>
      </c>
      <c r="C7">
        <v>-0.221</v>
      </c>
      <c r="D7">
        <v>-0.223</v>
      </c>
      <c r="E7">
        <v>-0.23200000000000001</v>
      </c>
      <c r="F7">
        <v>-0.23200000000000001</v>
      </c>
      <c r="G7">
        <v>-0.24399999999999999</v>
      </c>
      <c r="H7">
        <v>-0.23200000000000001</v>
      </c>
      <c r="I7">
        <v>-0.26600000000000001</v>
      </c>
      <c r="J7">
        <v>-0.26600000000000001</v>
      </c>
      <c r="K7">
        <v>-0.27900000000000003</v>
      </c>
      <c r="L7">
        <v>-0.28699999999999998</v>
      </c>
      <c r="M7">
        <v>-0.28699999999999998</v>
      </c>
      <c r="N7">
        <v>-0.28799999999999998</v>
      </c>
      <c r="O7">
        <v>-0.28699999999999998</v>
      </c>
      <c r="P7">
        <v>-0.28899999999999998</v>
      </c>
      <c r="Q7">
        <v>-0.28999999999999998</v>
      </c>
      <c r="R7">
        <v>-0.29099999999999998</v>
      </c>
      <c r="S7">
        <v>-0.29199999999999998</v>
      </c>
      <c r="T7">
        <v>-0.29099999999999998</v>
      </c>
      <c r="U7">
        <v>-0.29199999999999998</v>
      </c>
      <c r="V7">
        <f t="shared" si="0"/>
        <v>-0.28199999999999997</v>
      </c>
      <c r="W7">
        <f t="shared" si="1"/>
        <v>-0.19199999999999998</v>
      </c>
      <c r="X7">
        <v>-0.29199999999999998</v>
      </c>
      <c r="Y7">
        <v>-0.29299999999999998</v>
      </c>
      <c r="Z7">
        <v>-0.29399999999999998</v>
      </c>
      <c r="AA7">
        <v>-0.29599999999999999</v>
      </c>
      <c r="AB7">
        <v>-0.29799999999999999</v>
      </c>
      <c r="AC7">
        <v>-0.29899999999999999</v>
      </c>
      <c r="AD7">
        <v>-0.29899999999999999</v>
      </c>
      <c r="AE7">
        <v>-0.30099999999999999</v>
      </c>
      <c r="AF7">
        <v>-0.309</v>
      </c>
      <c r="AG7">
        <v>-0.32200000000000001</v>
      </c>
      <c r="AH7">
        <v>-0.32100000000000001</v>
      </c>
      <c r="AI7">
        <v>-0.32100000000000001</v>
      </c>
      <c r="AJ7">
        <v>-0.32500000000000001</v>
      </c>
      <c r="AK7">
        <v>-0.32500000000000001</v>
      </c>
      <c r="AN7" t="s">
        <v>99</v>
      </c>
      <c r="AO7">
        <v>16.2</v>
      </c>
      <c r="AP7">
        <v>13.4</v>
      </c>
      <c r="AQ7" s="106">
        <v>12.7</v>
      </c>
      <c r="AR7" s="106">
        <v>12.6</v>
      </c>
      <c r="AS7">
        <v>12.9</v>
      </c>
      <c r="AT7">
        <v>13</v>
      </c>
      <c r="AU7">
        <v>13.6</v>
      </c>
      <c r="AV7">
        <v>15.7</v>
      </c>
      <c r="AW7">
        <v>18</v>
      </c>
      <c r="AX7">
        <v>20</v>
      </c>
      <c r="AY7">
        <v>23.4</v>
      </c>
      <c r="AZ7">
        <v>28.3</v>
      </c>
      <c r="BA7">
        <v>35.299999999999997</v>
      </c>
      <c r="BR7" s="120">
        <v>7.5159795362502047E-3</v>
      </c>
      <c r="BS7" s="120">
        <v>7.0281236769087476E-3</v>
      </c>
      <c r="BT7" s="120">
        <v>6.7434053666713886E-3</v>
      </c>
      <c r="BU7" s="120">
        <v>6.3225704920985134E-3</v>
      </c>
      <c r="BV7" s="120">
        <v>5.996031053812521E-3</v>
      </c>
      <c r="BW7" s="120">
        <v>5.7230417659907941E-3</v>
      </c>
      <c r="BX7" s="120">
        <v>5.4306601576742351E-3</v>
      </c>
      <c r="BY7" s="120">
        <v>5.5999418340604403E-3</v>
      </c>
      <c r="BZ7" s="120">
        <v>6.3973966730653878E-3</v>
      </c>
      <c r="CA7" s="120">
        <v>7.5280353549127457E-3</v>
      </c>
      <c r="CB7" s="120">
        <v>9.7072716168989191E-3</v>
      </c>
      <c r="CC7" s="120">
        <v>1.3926167812360708E-2</v>
      </c>
      <c r="CD7" s="120">
        <v>2.3227904024237737E-2</v>
      </c>
      <c r="CF7" s="120">
        <v>0.26144573776307328</v>
      </c>
      <c r="CG7" s="120">
        <v>0.23313015758604363</v>
      </c>
      <c r="CH7" s="120">
        <v>0.21867144407849887</v>
      </c>
      <c r="CI7" s="120">
        <v>0.20045575903541707</v>
      </c>
      <c r="CJ7" s="120">
        <v>0.18602135478042464</v>
      </c>
      <c r="CK7" s="120">
        <v>0.1739375830407042</v>
      </c>
      <c r="CL7" s="120">
        <v>0.15878663989303834</v>
      </c>
      <c r="CM7" s="120">
        <v>0.15273241700611798</v>
      </c>
      <c r="CN7" s="120">
        <v>0.16415268560382351</v>
      </c>
      <c r="CO7" s="120">
        <v>0.18297850170353758</v>
      </c>
      <c r="CP7" s="120">
        <v>0.21432602201043799</v>
      </c>
      <c r="CQ7" s="120">
        <v>0.2629113362732079</v>
      </c>
      <c r="CR7" s="120">
        <v>0.3314445962405142</v>
      </c>
    </row>
    <row r="8" spans="1:96" x14ac:dyDescent="0.2">
      <c r="A8">
        <v>-0.16</v>
      </c>
      <c r="B8">
        <v>-0.16200000000000001</v>
      </c>
      <c r="C8">
        <v>-0.183</v>
      </c>
      <c r="D8">
        <v>-0.187</v>
      </c>
      <c r="E8">
        <v>-0.2</v>
      </c>
      <c r="F8">
        <v>-0.2</v>
      </c>
      <c r="G8">
        <v>-0.21299999999999999</v>
      </c>
      <c r="H8">
        <v>-0.2</v>
      </c>
      <c r="I8">
        <v>-0.22700000000000001</v>
      </c>
      <c r="J8">
        <v>-0.22700000000000001</v>
      </c>
      <c r="K8">
        <v>-0.24399999999999999</v>
      </c>
      <c r="L8">
        <v>-0.251</v>
      </c>
      <c r="M8">
        <v>-0.249</v>
      </c>
      <c r="N8">
        <v>-0.249</v>
      </c>
      <c r="O8">
        <v>-0.251</v>
      </c>
      <c r="P8">
        <v>-0.251</v>
      </c>
      <c r="Q8">
        <v>-0.251</v>
      </c>
      <c r="R8">
        <v>-0.253</v>
      </c>
      <c r="S8">
        <v>-0.255</v>
      </c>
      <c r="T8">
        <v>-0.253</v>
      </c>
      <c r="U8">
        <v>-0.25800000000000001</v>
      </c>
      <c r="V8">
        <f t="shared" si="0"/>
        <v>-0.248</v>
      </c>
      <c r="W8">
        <f t="shared" si="1"/>
        <v>-0.158</v>
      </c>
      <c r="X8">
        <v>-0.26</v>
      </c>
      <c r="Y8">
        <v>-0.25900000000000001</v>
      </c>
      <c r="Z8">
        <v>-0.25800000000000001</v>
      </c>
      <c r="AA8">
        <v>-0.25700000000000001</v>
      </c>
      <c r="AB8">
        <v>-0.25800000000000001</v>
      </c>
      <c r="AC8">
        <v>-0.26200000000000001</v>
      </c>
      <c r="AD8">
        <v>-0.26200000000000001</v>
      </c>
      <c r="AE8">
        <v>-0.26200000000000001</v>
      </c>
      <c r="AF8">
        <v>-0.26900000000000002</v>
      </c>
      <c r="AG8">
        <v>-0.28100000000000003</v>
      </c>
      <c r="AH8">
        <v>-0.28299999999999997</v>
      </c>
      <c r="AI8">
        <v>-0.28999999999999998</v>
      </c>
      <c r="AJ8">
        <v>-0.29099999999999998</v>
      </c>
      <c r="AK8">
        <v>-0.29199999999999998</v>
      </c>
      <c r="AN8" t="s">
        <v>101</v>
      </c>
      <c r="AO8">
        <v>19.2</v>
      </c>
      <c r="AP8">
        <v>16.2</v>
      </c>
      <c r="AQ8" s="106">
        <v>15.3</v>
      </c>
      <c r="AR8" s="106">
        <v>14.8</v>
      </c>
      <c r="AS8" s="106">
        <v>14.7</v>
      </c>
      <c r="AT8" s="106">
        <v>14.5</v>
      </c>
      <c r="AU8" s="106">
        <v>14.5</v>
      </c>
      <c r="AV8">
        <v>15.5</v>
      </c>
      <c r="AW8">
        <v>17.2</v>
      </c>
      <c r="AX8">
        <v>19.100000000000001</v>
      </c>
      <c r="AY8">
        <v>22.3</v>
      </c>
      <c r="AZ8">
        <v>27.1</v>
      </c>
      <c r="BA8">
        <v>33.9</v>
      </c>
      <c r="BR8" s="120">
        <v>6.7255910651691604E-3</v>
      </c>
      <c r="BS8" s="120">
        <v>6.5646386718037136E-3</v>
      </c>
      <c r="BT8" s="120">
        <v>6.4589946931055296E-3</v>
      </c>
      <c r="BU8" s="120">
        <v>6.3557060078532563E-3</v>
      </c>
      <c r="BV8" s="120">
        <v>6.3489716943858901E-3</v>
      </c>
      <c r="BW8" s="120">
        <v>6.2676698725411999E-3</v>
      </c>
      <c r="BX8" s="120">
        <v>6.2207142123114545E-3</v>
      </c>
      <c r="BY8" s="120">
        <v>6.232548570192664E-3</v>
      </c>
      <c r="BZ8" s="120">
        <v>6.4312694825044425E-3</v>
      </c>
      <c r="CA8" s="120">
        <v>6.7278646209377735E-3</v>
      </c>
      <c r="CB8" s="120">
        <v>7.7920017708593891E-3</v>
      </c>
      <c r="CC8" s="120">
        <v>1.0039588495786702E-2</v>
      </c>
      <c r="CD8" s="120">
        <v>1.556102443476323E-2</v>
      </c>
      <c r="CF8" s="120">
        <v>0.22298590267147442</v>
      </c>
      <c r="CG8" s="120">
        <v>0.20794202065438874</v>
      </c>
      <c r="CH8" s="120">
        <v>0.20025101694666059</v>
      </c>
      <c r="CI8" s="120">
        <v>0.19308978609193472</v>
      </c>
      <c r="CJ8" s="120">
        <v>0.18919177015612959</v>
      </c>
      <c r="CK8" s="120">
        <v>0.18322939482011871</v>
      </c>
      <c r="CL8" s="120">
        <v>0.17533304330234945</v>
      </c>
      <c r="CM8" s="120">
        <v>0.1641987381992514</v>
      </c>
      <c r="CN8" s="120">
        <v>0.15935902559032311</v>
      </c>
      <c r="CO8" s="120">
        <v>0.15753747747846389</v>
      </c>
      <c r="CP8" s="120">
        <v>0.16522943112877667</v>
      </c>
      <c r="CQ8" s="120">
        <v>0.18078967594108838</v>
      </c>
      <c r="CR8" s="120">
        <v>0.20957397316640894</v>
      </c>
    </row>
    <row r="9" spans="1:96" ht="12.75" x14ac:dyDescent="0.2">
      <c r="A9">
        <v>-8.3000000000000004E-2</v>
      </c>
      <c r="B9">
        <v>-8.8999999999999996E-2</v>
      </c>
      <c r="C9">
        <v>-0.11600000000000001</v>
      </c>
      <c r="D9">
        <v>-0.12</v>
      </c>
      <c r="E9">
        <v>-0.125</v>
      </c>
      <c r="F9">
        <v>-0.125</v>
      </c>
      <c r="G9">
        <v>-0.13500000000000001</v>
      </c>
      <c r="H9">
        <v>-0.125</v>
      </c>
      <c r="I9">
        <v>-0.13</v>
      </c>
      <c r="J9">
        <v>-0.13</v>
      </c>
      <c r="K9">
        <v>-0.13200000000000001</v>
      </c>
      <c r="L9">
        <v>-0.13800000000000001</v>
      </c>
      <c r="M9">
        <v>-0.14000000000000001</v>
      </c>
      <c r="N9">
        <v>-0.14299999999999999</v>
      </c>
      <c r="O9">
        <v>-0.14199999999999999</v>
      </c>
      <c r="P9">
        <v>-0.14099999999999999</v>
      </c>
      <c r="Q9">
        <v>-0.14199999999999999</v>
      </c>
      <c r="R9">
        <v>-0.14199999999999999</v>
      </c>
      <c r="S9">
        <v>-0.14399999999999999</v>
      </c>
      <c r="T9">
        <v>-0.14199999999999999</v>
      </c>
      <c r="U9">
        <v>-0.14299999999999999</v>
      </c>
      <c r="V9">
        <f t="shared" si="0"/>
        <v>-0.13299999999999998</v>
      </c>
      <c r="W9">
        <f t="shared" si="1"/>
        <v>-4.2999999999999983E-2</v>
      </c>
      <c r="X9">
        <v>-0.14399999999999999</v>
      </c>
      <c r="Y9">
        <v>-0.14399999999999999</v>
      </c>
      <c r="Z9">
        <v>-0.14399999999999999</v>
      </c>
      <c r="AA9">
        <v>-0.14399999999999999</v>
      </c>
      <c r="AB9">
        <v>-0.14599999999999999</v>
      </c>
      <c r="AC9">
        <v>-0.153</v>
      </c>
      <c r="AD9">
        <v>-0.153</v>
      </c>
      <c r="AE9">
        <v>-0.159</v>
      </c>
      <c r="AF9">
        <v>-0.161</v>
      </c>
      <c r="AG9">
        <v>-0.17499999999999999</v>
      </c>
      <c r="AH9">
        <v>-0.17599999999999999</v>
      </c>
      <c r="AI9">
        <v>-0.182</v>
      </c>
      <c r="AJ9">
        <v>-0.185</v>
      </c>
      <c r="AK9">
        <v>-0.188</v>
      </c>
      <c r="AL9" s="117"/>
      <c r="AN9" t="s">
        <v>102</v>
      </c>
      <c r="AO9" s="106">
        <v>20.399999999999999</v>
      </c>
      <c r="AP9" s="106">
        <v>17.7</v>
      </c>
      <c r="AQ9" s="106">
        <v>16.8</v>
      </c>
      <c r="AR9" s="106">
        <v>16.2</v>
      </c>
      <c r="AS9" s="106">
        <v>16</v>
      </c>
      <c r="AT9">
        <v>15.7</v>
      </c>
      <c r="AU9">
        <v>15.5</v>
      </c>
      <c r="AV9">
        <v>15.8</v>
      </c>
      <c r="AW9">
        <v>16.600000000000001</v>
      </c>
      <c r="AX9">
        <v>17.600000000000001</v>
      </c>
      <c r="AY9">
        <v>19.7</v>
      </c>
      <c r="AZ9">
        <v>23.2</v>
      </c>
      <c r="BA9">
        <v>28.7</v>
      </c>
      <c r="BR9" s="120">
        <v>7.3717175220143353E-3</v>
      </c>
      <c r="BS9" s="120">
        <v>7.116313509379908E-3</v>
      </c>
      <c r="BT9" s="120">
        <v>7.1286607776007331E-3</v>
      </c>
      <c r="BU9" s="120">
        <v>7.0485619793914473E-3</v>
      </c>
      <c r="BV9" s="120">
        <v>6.8991964785061911E-3</v>
      </c>
      <c r="BW9" s="120">
        <v>6.8841191699081962E-3</v>
      </c>
      <c r="BX9" s="120">
        <v>6.8075426616534913E-3</v>
      </c>
      <c r="BY9" s="120">
        <v>6.7423526549049472E-3</v>
      </c>
      <c r="BZ9" s="120">
        <v>6.9148667738898918E-3</v>
      </c>
      <c r="CA9" s="120">
        <v>7.2769355171348471E-3</v>
      </c>
      <c r="CB9" s="120">
        <v>8.1472969535263881E-3</v>
      </c>
      <c r="CC9" s="120">
        <v>1.0661621635672653E-2</v>
      </c>
      <c r="CD9" s="120">
        <v>1.6400456922550141E-2</v>
      </c>
      <c r="CF9" s="120">
        <v>0.23589129701935005</v>
      </c>
      <c r="CG9" s="120">
        <v>0.21732610776879868</v>
      </c>
      <c r="CH9" s="120">
        <v>0.21309358742012663</v>
      </c>
      <c r="CI9" s="120">
        <v>0.20630076901369798</v>
      </c>
      <c r="CJ9" s="120">
        <v>0.19777618435280347</v>
      </c>
      <c r="CK9" s="120">
        <v>0.19355603363767368</v>
      </c>
      <c r="CL9" s="120">
        <v>0.18443088983728526</v>
      </c>
      <c r="CM9" s="120">
        <v>0.17074270254074847</v>
      </c>
      <c r="CN9" s="120">
        <v>0.16494761197501021</v>
      </c>
      <c r="CO9" s="120">
        <v>0.16451053858675441</v>
      </c>
      <c r="CP9" s="120">
        <v>0.16744951411783543</v>
      </c>
      <c r="CQ9" s="120">
        <v>0.18794431050814869</v>
      </c>
      <c r="CR9" s="120">
        <v>0.21955592751805922</v>
      </c>
    </row>
    <row r="10" spans="1:96" ht="12.75" x14ac:dyDescent="0.2">
      <c r="A10" s="117">
        <v>-0.114</v>
      </c>
      <c r="B10" s="117">
        <v>-0.14000000000000001</v>
      </c>
      <c r="C10" s="117">
        <v>-0.13500000000000001</v>
      </c>
      <c r="D10" s="117">
        <v>-0.14899999999999999</v>
      </c>
      <c r="E10" s="117">
        <v>-0.151</v>
      </c>
      <c r="F10" s="130">
        <v>-0.17199999999999999</v>
      </c>
      <c r="G10" s="135">
        <v>-0.17100000000000001</v>
      </c>
      <c r="H10" s="133">
        <v>-0.16300000000000001</v>
      </c>
      <c r="I10" s="134">
        <v>-0.13100000000000001</v>
      </c>
      <c r="J10" s="134">
        <v>-0.13900000000000001</v>
      </c>
      <c r="K10" s="135">
        <v>-0.13800000000000001</v>
      </c>
      <c r="L10" s="135">
        <v>-0.13800000000000001</v>
      </c>
      <c r="M10" s="135">
        <v>-0.14000000000000001</v>
      </c>
      <c r="N10" s="135">
        <v>-0.13900000000000001</v>
      </c>
      <c r="O10" s="135">
        <v>-0.14299999999999999</v>
      </c>
      <c r="P10" s="135">
        <v>-0.13900000000000001</v>
      </c>
      <c r="Q10" s="135">
        <v>-0.14199999999999999</v>
      </c>
      <c r="R10" s="135">
        <v>-0.14399999999999999</v>
      </c>
      <c r="S10" s="135">
        <v>-0.14499999999999999</v>
      </c>
      <c r="T10" s="135">
        <v>-0.14499999999999999</v>
      </c>
      <c r="U10" s="135">
        <v>-0.14599999999999999</v>
      </c>
      <c r="V10" s="135">
        <f t="shared" si="0"/>
        <v>-0.13599999999999998</v>
      </c>
      <c r="W10" s="135">
        <f t="shared" si="1"/>
        <v>-4.5999999999999985E-2</v>
      </c>
      <c r="X10" s="135">
        <v>-0.14799999999999999</v>
      </c>
      <c r="Y10" s="135">
        <v>-0.14499999999999999</v>
      </c>
      <c r="Z10" s="135">
        <v>-0.14599999999999999</v>
      </c>
      <c r="AA10" s="135">
        <v>-0.14299999999999999</v>
      </c>
      <c r="AB10" s="135">
        <v>-0.14699999999999999</v>
      </c>
      <c r="AC10" s="135">
        <v>-0.153</v>
      </c>
      <c r="AD10" s="135">
        <v>-0.153</v>
      </c>
      <c r="AE10" s="135">
        <v>-0.152</v>
      </c>
      <c r="AF10" s="135">
        <v>-0.156</v>
      </c>
      <c r="AG10" s="135">
        <v>-0.183</v>
      </c>
      <c r="AH10" s="135">
        <v>-0.17100000000000001</v>
      </c>
      <c r="AI10" s="135">
        <v>-0.19500000000000001</v>
      </c>
      <c r="AJ10" s="135">
        <v>-0.2</v>
      </c>
      <c r="AK10" s="135">
        <v>-0.20200000000000001</v>
      </c>
      <c r="AL10" s="117"/>
      <c r="AN10" t="s">
        <v>103</v>
      </c>
      <c r="AO10" s="106">
        <v>21.1</v>
      </c>
      <c r="AP10">
        <v>18.600000000000001</v>
      </c>
      <c r="AQ10" s="106">
        <v>17.8</v>
      </c>
      <c r="AR10" s="106">
        <v>17.2</v>
      </c>
      <c r="AS10" s="106">
        <v>16.899999999999999</v>
      </c>
      <c r="AT10" s="106">
        <v>16.600000000000001</v>
      </c>
      <c r="AU10" s="106">
        <v>16.3</v>
      </c>
      <c r="AV10">
        <v>16.2</v>
      </c>
      <c r="AW10">
        <v>16.5</v>
      </c>
      <c r="AX10">
        <v>17</v>
      </c>
      <c r="AY10">
        <v>18.2</v>
      </c>
      <c r="AZ10">
        <v>20.8</v>
      </c>
      <c r="BA10">
        <v>25.1</v>
      </c>
      <c r="BR10" s="120">
        <v>7.4131827053473699E-3</v>
      </c>
      <c r="BS10" s="120">
        <v>7.5098452896258591E-3</v>
      </c>
      <c r="BT10" s="120">
        <v>7.35767705448099E-3</v>
      </c>
      <c r="BU10" s="120">
        <v>7.284128306646348E-3</v>
      </c>
      <c r="BV10" s="120">
        <v>7.1210089683413341E-3</v>
      </c>
      <c r="BW10" s="120">
        <v>7.1117467579679006E-3</v>
      </c>
      <c r="BX10" s="120">
        <v>7.0113569830657163E-3</v>
      </c>
      <c r="BY10" s="120">
        <v>6.8687106888738097E-3</v>
      </c>
      <c r="BZ10" s="120">
        <v>6.9688609731701195E-3</v>
      </c>
      <c r="CA10" s="120">
        <v>7.1959690115080193E-3</v>
      </c>
      <c r="CB10" s="120">
        <v>7.9735489670354417E-3</v>
      </c>
      <c r="CC10" s="120">
        <v>9.7685214442547134E-3</v>
      </c>
      <c r="CD10" s="120">
        <v>1.4955811274537734E-2</v>
      </c>
      <c r="CF10" s="120">
        <v>0.22877690291439756</v>
      </c>
      <c r="CG10" s="120">
        <v>0.22174439976697383</v>
      </c>
      <c r="CH10" s="120">
        <v>0.21252014560316587</v>
      </c>
      <c r="CI10" s="120">
        <v>0.20609501453553905</v>
      </c>
      <c r="CJ10" s="120">
        <v>0.1974621705743099</v>
      </c>
      <c r="CK10" s="120">
        <v>0.19347558454757563</v>
      </c>
      <c r="CL10" s="120">
        <v>0.18388522373927108</v>
      </c>
      <c r="CM10" s="120">
        <v>0.16848408520400032</v>
      </c>
      <c r="CN10" s="120">
        <v>0.16102233602404883</v>
      </c>
      <c r="CO10" s="120">
        <v>0.15747397249440837</v>
      </c>
      <c r="CP10" s="120">
        <v>0.15864250859514578</v>
      </c>
      <c r="CQ10" s="120">
        <v>0.16618282706713705</v>
      </c>
      <c r="CR10" s="120">
        <v>0.19292202017627078</v>
      </c>
    </row>
    <row r="11" spans="1:96" ht="12.75" x14ac:dyDescent="0.2">
      <c r="A11" s="117">
        <v>-0.14199999999999999</v>
      </c>
      <c r="B11" s="117">
        <v>-0.17299999999999999</v>
      </c>
      <c r="C11" s="117">
        <v>-0.14399999999999999</v>
      </c>
      <c r="D11" s="117">
        <v>-0.158</v>
      </c>
      <c r="E11" s="117">
        <v>-0.158</v>
      </c>
      <c r="F11" s="130">
        <v>-0.187</v>
      </c>
      <c r="G11" s="135">
        <v>-0.187</v>
      </c>
      <c r="H11" s="133">
        <v>-0.17699999999999999</v>
      </c>
      <c r="I11" s="134">
        <v>-0.13</v>
      </c>
      <c r="J11" s="134">
        <v>-0.14299999999999999</v>
      </c>
      <c r="K11" s="135">
        <v>-0.14299999999999999</v>
      </c>
      <c r="L11" s="135">
        <v>-0.13800000000000001</v>
      </c>
      <c r="M11" s="135">
        <v>-0.14000000000000001</v>
      </c>
      <c r="N11" s="135">
        <v>-0.13800000000000001</v>
      </c>
      <c r="O11" s="135">
        <v>-0.14599999999999999</v>
      </c>
      <c r="P11" s="135">
        <v>-0.13700000000000001</v>
      </c>
      <c r="Q11" s="135">
        <v>-0.14299999999999999</v>
      </c>
      <c r="R11" s="135">
        <v>-0.14399999999999999</v>
      </c>
      <c r="S11" s="135">
        <v>-0.14599999999999999</v>
      </c>
      <c r="T11" s="135">
        <v>-0.14599999999999999</v>
      </c>
      <c r="U11" s="135">
        <v>-0.14699999999999999</v>
      </c>
      <c r="V11" s="135">
        <f t="shared" si="0"/>
        <v>-0.13699999999999998</v>
      </c>
      <c r="W11" s="135">
        <f t="shared" si="1"/>
        <v>-4.6999999999999986E-2</v>
      </c>
      <c r="X11" s="135">
        <v>-0.151</v>
      </c>
      <c r="Y11" s="135">
        <v>-0.14699999999999999</v>
      </c>
      <c r="Z11" s="135">
        <v>-0.14799999999999999</v>
      </c>
      <c r="AA11" s="135">
        <v>-0.14299999999999999</v>
      </c>
      <c r="AB11" s="135">
        <v>-0.15</v>
      </c>
      <c r="AC11" s="135">
        <v>-0.153</v>
      </c>
      <c r="AD11" s="135">
        <v>-0.153</v>
      </c>
      <c r="AE11" s="135">
        <v>-0.153</v>
      </c>
      <c r="AF11" s="135">
        <v>-0.159</v>
      </c>
      <c r="AG11" s="135">
        <v>-0.192</v>
      </c>
      <c r="AH11" s="135">
        <v>-0.17899999999999999</v>
      </c>
      <c r="AI11" s="135">
        <v>-0.20300000000000001</v>
      </c>
      <c r="AJ11" s="135">
        <v>-0.21299999999999999</v>
      </c>
      <c r="AK11" s="135">
        <v>-0.216</v>
      </c>
      <c r="AL11" s="117"/>
      <c r="AN11" t="s">
        <v>104</v>
      </c>
      <c r="AO11" s="106">
        <v>21.5</v>
      </c>
      <c r="AP11" s="106">
        <v>19.3</v>
      </c>
      <c r="AQ11" s="106">
        <v>18.5</v>
      </c>
      <c r="AR11" s="106">
        <v>17.899999999999999</v>
      </c>
      <c r="AS11">
        <v>17.5</v>
      </c>
      <c r="AT11" s="106">
        <v>17.2</v>
      </c>
      <c r="AU11" s="106">
        <v>16.8</v>
      </c>
      <c r="AV11">
        <v>16.399999999999999</v>
      </c>
      <c r="AW11">
        <v>16.399999999999999</v>
      </c>
      <c r="AX11">
        <v>16.600000000000001</v>
      </c>
      <c r="AY11">
        <v>17.3</v>
      </c>
      <c r="AZ11">
        <v>19.100000000000001</v>
      </c>
      <c r="BA11">
        <v>22.6</v>
      </c>
      <c r="BR11" s="120">
        <v>7.7453312500007148E-3</v>
      </c>
      <c r="BS11" s="120">
        <v>7.4653296037387549E-3</v>
      </c>
      <c r="BT11" s="120">
        <v>7.607954906682101E-3</v>
      </c>
      <c r="BU11" s="120">
        <v>7.5396708228244597E-3</v>
      </c>
      <c r="BV11" s="120">
        <v>7.5649271612572948E-3</v>
      </c>
      <c r="BW11" s="120">
        <v>7.569573915804889E-3</v>
      </c>
      <c r="BX11" s="120">
        <v>7.415930729693934E-3</v>
      </c>
      <c r="BY11" s="120">
        <v>7.2792675094828117E-3</v>
      </c>
      <c r="BZ11" s="120">
        <v>7.3274605556364831E-3</v>
      </c>
      <c r="CA11" s="120">
        <v>7.3000265600489615E-3</v>
      </c>
      <c r="CB11" s="120">
        <v>7.8168685835303068E-3</v>
      </c>
      <c r="CC11" s="120">
        <v>9.6238725107861342E-3</v>
      </c>
      <c r="CD11" s="120">
        <v>1.4460351902642653E-2</v>
      </c>
      <c r="CF11" s="120">
        <v>0.23267831598235633</v>
      </c>
      <c r="CG11" s="120">
        <v>0.21404843328395942</v>
      </c>
      <c r="CH11" s="120">
        <v>0.21378019635305642</v>
      </c>
      <c r="CI11" s="120">
        <v>0.2075333451647926</v>
      </c>
      <c r="CJ11" s="120">
        <v>0.20422222933159545</v>
      </c>
      <c r="CK11" s="120">
        <v>0.2005041746628014</v>
      </c>
      <c r="CL11" s="120">
        <v>0.18934723550876847</v>
      </c>
      <c r="CM11" s="120">
        <v>0.17388863954868322</v>
      </c>
      <c r="CN11" s="120">
        <v>0.16495435466666608</v>
      </c>
      <c r="CO11" s="120">
        <v>0.15566241558470917</v>
      </c>
      <c r="CP11" s="120">
        <v>0.15161047147826368</v>
      </c>
      <c r="CQ11" s="120">
        <v>0.16019868749910302</v>
      </c>
      <c r="CR11" s="120">
        <v>0.18318344969379205</v>
      </c>
    </row>
    <row r="12" spans="1:96" ht="12.75" x14ac:dyDescent="0.2">
      <c r="A12" s="117">
        <v>-0.153</v>
      </c>
      <c r="B12" s="117">
        <v>-0.187</v>
      </c>
      <c r="C12" s="117">
        <v>-0.155</v>
      </c>
      <c r="D12" s="117">
        <v>-0.17</v>
      </c>
      <c r="E12" s="117">
        <v>-0.17199999999999999</v>
      </c>
      <c r="F12" s="130">
        <v>-0.20100000000000001</v>
      </c>
      <c r="G12" s="135">
        <v>-0.2</v>
      </c>
      <c r="H12" s="133">
        <v>-0.191</v>
      </c>
      <c r="I12" s="134">
        <v>-0.13</v>
      </c>
      <c r="J12" s="134">
        <v>-0.14599999999999999</v>
      </c>
      <c r="K12" s="135">
        <v>-0.14699999999999999</v>
      </c>
      <c r="L12" s="135">
        <v>-0.14199999999999999</v>
      </c>
      <c r="M12" s="135">
        <v>-0.14399999999999999</v>
      </c>
      <c r="N12" s="135">
        <v>-0.14000000000000001</v>
      </c>
      <c r="O12" s="135">
        <v>-0.14799999999999999</v>
      </c>
      <c r="P12" s="135">
        <v>-0.13700000000000001</v>
      </c>
      <c r="Q12" s="135">
        <v>-0.14499999999999999</v>
      </c>
      <c r="R12" s="135">
        <v>-0.14699999999999999</v>
      </c>
      <c r="S12" s="135">
        <v>-0.14899999999999999</v>
      </c>
      <c r="T12" s="135">
        <v>-0.14899999999999999</v>
      </c>
      <c r="U12" s="135">
        <v>-0.151</v>
      </c>
      <c r="V12" s="135">
        <f t="shared" si="0"/>
        <v>-0.14099999999999999</v>
      </c>
      <c r="W12" s="135">
        <f t="shared" si="1"/>
        <v>-5.099999999999999E-2</v>
      </c>
      <c r="X12" s="135">
        <v>-0.155</v>
      </c>
      <c r="Y12" s="135">
        <v>-0.152</v>
      </c>
      <c r="Z12" s="135">
        <v>-0.152</v>
      </c>
      <c r="AA12" s="135">
        <v>-0.14499999999999999</v>
      </c>
      <c r="AB12" s="135">
        <v>-0.154</v>
      </c>
      <c r="AC12" s="135">
        <v>-0.155</v>
      </c>
      <c r="AD12" s="135">
        <v>-0.155</v>
      </c>
      <c r="AE12" s="135">
        <v>-0.155</v>
      </c>
      <c r="AF12" s="135">
        <v>-0.16200000000000001</v>
      </c>
      <c r="AG12" s="135">
        <v>-0.19900000000000001</v>
      </c>
      <c r="AH12" s="135">
        <v>-0.184</v>
      </c>
      <c r="AI12" s="135">
        <v>-0.21099999999999999</v>
      </c>
      <c r="AJ12" s="135">
        <v>-0.223</v>
      </c>
      <c r="AK12" s="135">
        <v>-0.22600000000000001</v>
      </c>
      <c r="AL12" s="117"/>
      <c r="AN12" t="s">
        <v>105</v>
      </c>
      <c r="AO12" s="106">
        <v>21.8</v>
      </c>
      <c r="AP12">
        <v>19.7</v>
      </c>
      <c r="AQ12">
        <v>19</v>
      </c>
      <c r="AR12">
        <v>18.399999999999999</v>
      </c>
      <c r="AS12" s="106">
        <v>18</v>
      </c>
      <c r="AT12">
        <v>17.7</v>
      </c>
      <c r="AU12">
        <v>17.2</v>
      </c>
      <c r="AV12">
        <v>16.600000000000001</v>
      </c>
      <c r="AW12">
        <v>16.399999999999999</v>
      </c>
      <c r="AX12">
        <v>16.3</v>
      </c>
      <c r="AY12">
        <v>16.600000000000001</v>
      </c>
      <c r="AZ12">
        <v>17.899999999999999</v>
      </c>
      <c r="BA12">
        <v>20.8</v>
      </c>
      <c r="BR12" s="120">
        <v>7.7901707948205886E-3</v>
      </c>
      <c r="BS12" s="120">
        <v>7.6897844367048405E-3</v>
      </c>
      <c r="BT12" s="120">
        <v>7.5289291449336781E-3</v>
      </c>
      <c r="BU12" s="120">
        <v>7.4597579557890877E-3</v>
      </c>
      <c r="BV12" s="120">
        <v>7.433087101617269E-3</v>
      </c>
      <c r="BW12" s="120">
        <v>7.4462290805124695E-3</v>
      </c>
      <c r="BX12" s="120">
        <v>7.2479428039331382E-3</v>
      </c>
      <c r="BY12" s="120">
        <v>7.2506839663030809E-3</v>
      </c>
      <c r="BZ12" s="120">
        <v>7.1371663982857823E-3</v>
      </c>
      <c r="CA12" s="120">
        <v>7.1434366917590064E-3</v>
      </c>
      <c r="CB12" s="120">
        <v>7.5561199384988707E-3</v>
      </c>
      <c r="CC12" s="120">
        <v>9.2438442068949935E-3</v>
      </c>
      <c r="CD12" s="120">
        <v>1.4181343497344194E-2</v>
      </c>
      <c r="CF12" s="120">
        <v>0.22966292513928177</v>
      </c>
      <c r="CG12" s="120">
        <v>0.21676138544971307</v>
      </c>
      <c r="CH12" s="120">
        <v>0.20759228975394939</v>
      </c>
      <c r="CI12" s="120">
        <v>0.20150418216418273</v>
      </c>
      <c r="CJ12" s="120">
        <v>0.19685896204986225</v>
      </c>
      <c r="CK12" s="120">
        <v>0.19352604961847944</v>
      </c>
      <c r="CL12" s="120">
        <v>0.18158711435865399</v>
      </c>
      <c r="CM12" s="120">
        <v>0.17009988513690438</v>
      </c>
      <c r="CN12" s="120">
        <v>0.15775368295268957</v>
      </c>
      <c r="CO12" s="120">
        <v>0.14963329418891769</v>
      </c>
      <c r="CP12" s="120">
        <v>0.14403340232438169</v>
      </c>
      <c r="CQ12" s="120">
        <v>0.1512067589437362</v>
      </c>
      <c r="CR12" s="120">
        <v>0.17685899673262176</v>
      </c>
    </row>
    <row r="13" spans="1:96" ht="12.75" x14ac:dyDescent="0.2">
      <c r="A13" s="117">
        <v>-0.16300000000000001</v>
      </c>
      <c r="B13" s="117">
        <v>-0.20100000000000001</v>
      </c>
      <c r="C13" s="117">
        <v>-0.16500000000000001</v>
      </c>
      <c r="D13" s="117">
        <v>-0.18099999999999999</v>
      </c>
      <c r="E13" s="117">
        <v>-0.182</v>
      </c>
      <c r="F13" s="130">
        <v>-0.21099999999999999</v>
      </c>
      <c r="G13" s="135">
        <v>-0.21199999999999999</v>
      </c>
      <c r="H13" s="133">
        <v>-0.19900000000000001</v>
      </c>
      <c r="I13" s="134">
        <v>-0.13300000000000001</v>
      </c>
      <c r="J13" s="134">
        <v>-0.15</v>
      </c>
      <c r="K13" s="135">
        <v>-0.152</v>
      </c>
      <c r="L13" s="135">
        <v>-0.14899999999999999</v>
      </c>
      <c r="M13" s="135">
        <v>-0.15</v>
      </c>
      <c r="N13" s="135">
        <v>-0.14299999999999999</v>
      </c>
      <c r="O13" s="135">
        <v>-0.151</v>
      </c>
      <c r="P13" s="135">
        <v>-0.13900000000000001</v>
      </c>
      <c r="Q13" s="135">
        <v>-0.14699999999999999</v>
      </c>
      <c r="R13" s="135">
        <v>-0.15</v>
      </c>
      <c r="S13" s="135">
        <v>-0.153</v>
      </c>
      <c r="T13" s="135">
        <v>-0.153</v>
      </c>
      <c r="U13" s="135">
        <v>-0.156</v>
      </c>
      <c r="V13" s="135">
        <f t="shared" si="0"/>
        <v>-0.14599999999999999</v>
      </c>
      <c r="W13" s="135">
        <f t="shared" si="1"/>
        <v>-5.5999999999999994E-2</v>
      </c>
      <c r="X13" s="135">
        <v>-0.159</v>
      </c>
      <c r="Y13" s="135">
        <v>-0.156</v>
      </c>
      <c r="Z13" s="135">
        <v>-0.156</v>
      </c>
      <c r="AA13" s="135">
        <v>-0.14699999999999999</v>
      </c>
      <c r="AB13" s="135">
        <v>-0.158</v>
      </c>
      <c r="AC13" s="135">
        <v>-0.155</v>
      </c>
      <c r="AD13" s="135">
        <v>-0.156</v>
      </c>
      <c r="AE13" s="135">
        <v>-0.156</v>
      </c>
      <c r="AF13" s="135">
        <v>-0.16400000000000001</v>
      </c>
      <c r="AG13" s="135">
        <v>-0.19900000000000001</v>
      </c>
      <c r="AH13" s="135">
        <v>-0.189</v>
      </c>
      <c r="AI13" s="135">
        <v>-0.215</v>
      </c>
      <c r="AJ13" s="135">
        <v>-0.22900000000000001</v>
      </c>
      <c r="AK13" s="135">
        <v>-0.23200000000000001</v>
      </c>
      <c r="AL13" s="117"/>
      <c r="AN13" t="s">
        <v>106</v>
      </c>
      <c r="AO13">
        <v>22</v>
      </c>
      <c r="AP13">
        <v>20</v>
      </c>
      <c r="AQ13" s="106">
        <v>19.3</v>
      </c>
      <c r="AR13" s="106">
        <v>18.7</v>
      </c>
      <c r="AS13" s="106">
        <v>18.3</v>
      </c>
      <c r="AT13">
        <v>18</v>
      </c>
      <c r="AU13" s="106">
        <v>17.399999999999999</v>
      </c>
      <c r="AV13">
        <v>16.7</v>
      </c>
      <c r="AW13">
        <v>16.3</v>
      </c>
      <c r="AX13">
        <v>16</v>
      </c>
      <c r="AY13">
        <v>16</v>
      </c>
      <c r="AZ13">
        <v>17</v>
      </c>
      <c r="BA13">
        <v>19.600000000000001</v>
      </c>
      <c r="BR13" s="120">
        <v>8.0738845467029242E-3</v>
      </c>
      <c r="BS13" s="120">
        <v>7.9975639842431358E-3</v>
      </c>
      <c r="BT13" s="120">
        <v>7.9432358254304669E-3</v>
      </c>
      <c r="BU13" s="120">
        <v>7.8816896938420679E-3</v>
      </c>
      <c r="BV13" s="120">
        <v>7.8808357746400336E-3</v>
      </c>
      <c r="BW13" s="120">
        <v>7.5603935102191086E-3</v>
      </c>
      <c r="BX13" s="120">
        <v>7.6365675703244104E-3</v>
      </c>
      <c r="BY13" s="120">
        <v>7.1740716003977079E-3</v>
      </c>
      <c r="BZ13" s="120">
        <v>7.2300114873559054E-3</v>
      </c>
      <c r="CA13" s="120">
        <v>7.2954660122424471E-3</v>
      </c>
      <c r="CB13" s="120">
        <v>7.6554041351166177E-3</v>
      </c>
      <c r="CC13" s="120">
        <v>9.2648926629907962E-3</v>
      </c>
      <c r="CD13" s="120">
        <v>1.4009550112836769E-2</v>
      </c>
      <c r="CF13" s="120">
        <v>0.23510811024799802</v>
      </c>
      <c r="CG13" s="120">
        <v>0.22257962374005721</v>
      </c>
      <c r="CH13" s="120">
        <v>0.21643264091699854</v>
      </c>
      <c r="CI13" s="120">
        <v>0.21038176518489729</v>
      </c>
      <c r="CJ13" s="120">
        <v>0.20628807834821175</v>
      </c>
      <c r="CK13" s="120">
        <v>0.19390862435559073</v>
      </c>
      <c r="CL13" s="120">
        <v>0.189022121582618</v>
      </c>
      <c r="CM13" s="120">
        <v>0.1659788164004414</v>
      </c>
      <c r="CN13" s="120">
        <v>0.15773626607886582</v>
      </c>
      <c r="CO13" s="120">
        <v>0.15087755405218634</v>
      </c>
      <c r="CP13" s="120">
        <v>0.14410534658215035</v>
      </c>
      <c r="CQ13" s="120">
        <v>0.14979907060944359</v>
      </c>
      <c r="CR13" s="120">
        <v>0.17284044855520284</v>
      </c>
    </row>
    <row r="14" spans="1:96" ht="12.75" x14ac:dyDescent="0.2">
      <c r="A14" s="117">
        <v>-0.16900000000000001</v>
      </c>
      <c r="B14" s="117">
        <v>-0.21</v>
      </c>
      <c r="C14" s="117">
        <v>-0.16700000000000001</v>
      </c>
      <c r="D14" s="117">
        <v>-0.183</v>
      </c>
      <c r="E14" s="117">
        <v>-0.188</v>
      </c>
      <c r="F14" s="130">
        <v>-0.219</v>
      </c>
      <c r="G14" s="135">
        <v>-0.224</v>
      </c>
      <c r="H14" s="133">
        <v>-0.20699999999999999</v>
      </c>
      <c r="I14" s="134">
        <v>-0.13800000000000001</v>
      </c>
      <c r="J14" s="134">
        <v>-0.157</v>
      </c>
      <c r="K14" s="135">
        <v>-0.159</v>
      </c>
      <c r="L14" s="135">
        <v>-0.154</v>
      </c>
      <c r="M14" s="135">
        <v>-0.155</v>
      </c>
      <c r="N14" s="135">
        <v>-0.14499999999999999</v>
      </c>
      <c r="O14" s="135">
        <v>-0.152</v>
      </c>
      <c r="P14" s="135">
        <v>-0.14000000000000001</v>
      </c>
      <c r="Q14" s="135">
        <v>-0.14799999999999999</v>
      </c>
      <c r="R14" s="135">
        <v>-0.151</v>
      </c>
      <c r="S14" s="135">
        <v>-0.155</v>
      </c>
      <c r="T14" s="135">
        <v>-0.155</v>
      </c>
      <c r="U14" s="135">
        <v>-0.158</v>
      </c>
      <c r="V14" s="135">
        <f t="shared" si="0"/>
        <v>-0.14799999999999999</v>
      </c>
      <c r="W14" s="135">
        <f t="shared" si="1"/>
        <v>-5.7999999999999996E-2</v>
      </c>
      <c r="X14" s="135">
        <v>-0.16200000000000001</v>
      </c>
      <c r="Y14" s="135">
        <v>-0.158</v>
      </c>
      <c r="Z14" s="135">
        <v>-0.158</v>
      </c>
      <c r="AA14" s="135">
        <v>-0.14699999999999999</v>
      </c>
      <c r="AB14" s="135">
        <v>-0.159</v>
      </c>
      <c r="AC14" s="135">
        <v>-0.155</v>
      </c>
      <c r="AD14" s="135">
        <v>-0.156</v>
      </c>
      <c r="AE14" s="135">
        <v>-0.156</v>
      </c>
      <c r="AF14" s="135">
        <v>-0.16700000000000001</v>
      </c>
      <c r="AG14" s="135">
        <v>-0.20300000000000001</v>
      </c>
      <c r="AH14" s="135">
        <v>-0.19600000000000001</v>
      </c>
      <c r="AI14" s="135">
        <v>-0.22</v>
      </c>
      <c r="AJ14" s="135">
        <v>-0.23499999999999999</v>
      </c>
      <c r="AK14" s="135">
        <v>-0.23799999999999999</v>
      </c>
      <c r="AL14" s="117"/>
      <c r="AN14" t="s">
        <v>79</v>
      </c>
      <c r="AO14" s="106">
        <v>22.2</v>
      </c>
      <c r="AP14" s="106">
        <v>20.3</v>
      </c>
      <c r="AQ14" s="106">
        <v>19.600000000000001</v>
      </c>
      <c r="AR14" s="106">
        <v>19</v>
      </c>
      <c r="AS14">
        <v>18.600000000000001</v>
      </c>
      <c r="AT14" s="106">
        <v>18.2</v>
      </c>
      <c r="AU14">
        <v>17.600000000000001</v>
      </c>
      <c r="AV14">
        <v>16.7</v>
      </c>
      <c r="AW14">
        <v>16.2</v>
      </c>
      <c r="AX14">
        <v>15.8</v>
      </c>
      <c r="AY14">
        <v>15.6</v>
      </c>
      <c r="AZ14">
        <v>16.399999999999999</v>
      </c>
      <c r="BA14">
        <v>18.8</v>
      </c>
      <c r="BR14" s="120">
        <v>6.8300990561464738E-3</v>
      </c>
      <c r="BS14" s="120">
        <v>6.7996370380136945E-3</v>
      </c>
      <c r="BT14" s="120">
        <v>6.6635236806628535E-3</v>
      </c>
      <c r="BU14" s="120">
        <v>6.8336579238070169E-3</v>
      </c>
      <c r="BV14" s="120">
        <v>6.5491069510183438E-3</v>
      </c>
      <c r="BW14" s="120">
        <v>6.9724405400145382E-3</v>
      </c>
      <c r="BX14" s="120">
        <v>6.6874327426267094E-3</v>
      </c>
      <c r="BY14" s="120">
        <v>7.1134309941068294E-3</v>
      </c>
      <c r="BZ14" s="120">
        <v>7.1648371169018617E-3</v>
      </c>
      <c r="CA14" s="120">
        <v>7.2389461706680548E-3</v>
      </c>
      <c r="CB14" s="120">
        <v>7.6310407554410313E-3</v>
      </c>
      <c r="CC14" s="120">
        <v>8.5362471593341382E-3</v>
      </c>
      <c r="CD14" s="120">
        <v>1.1321282597345314E-2</v>
      </c>
      <c r="CF14" s="120">
        <v>0.19356811784532341</v>
      </c>
      <c r="CG14" s="120">
        <v>0.18439215913361831</v>
      </c>
      <c r="CH14" s="120">
        <v>0.17683027149087457</v>
      </c>
      <c r="CI14" s="120">
        <v>0.17795283008797483</v>
      </c>
      <c r="CJ14" s="120">
        <v>0.16699709001798935</v>
      </c>
      <c r="CK14" s="120">
        <v>0.17499746836802643</v>
      </c>
      <c r="CL14" s="120">
        <v>0.16170386404743217</v>
      </c>
      <c r="CM14" s="120">
        <v>0.16154450748538204</v>
      </c>
      <c r="CN14" s="120">
        <v>0.15344321862399785</v>
      </c>
      <c r="CO14" s="120">
        <v>0.14699335451407608</v>
      </c>
      <c r="CP14" s="120">
        <v>0.14112705660119343</v>
      </c>
      <c r="CQ14" s="120">
        <v>0.13546273802599712</v>
      </c>
      <c r="CR14" s="120">
        <v>0.13676111126262566</v>
      </c>
    </row>
    <row r="15" spans="1:96" ht="12.75" x14ac:dyDescent="0.2">
      <c r="A15" s="117">
        <v>-0.17100000000000001</v>
      </c>
      <c r="B15" s="117">
        <v>-0.214</v>
      </c>
      <c r="C15" s="117">
        <v>-0.17100000000000001</v>
      </c>
      <c r="D15" s="117">
        <v>-0.188</v>
      </c>
      <c r="E15" s="117">
        <v>-0.19600000000000001</v>
      </c>
      <c r="F15" s="130">
        <v>-0.22900000000000001</v>
      </c>
      <c r="G15" s="135">
        <v>-0.23599999999999999</v>
      </c>
      <c r="H15" s="133">
        <v>-0.217</v>
      </c>
      <c r="I15" s="134">
        <v>-0.14199999999999999</v>
      </c>
      <c r="J15" s="134">
        <v>-0.16200000000000001</v>
      </c>
      <c r="K15" s="135">
        <v>-0.16200000000000001</v>
      </c>
      <c r="L15" s="135">
        <v>-0.157</v>
      </c>
      <c r="M15" s="135">
        <v>-0.159</v>
      </c>
      <c r="N15" s="135">
        <v>-0.14599999999999999</v>
      </c>
      <c r="O15" s="135">
        <v>-0.153</v>
      </c>
      <c r="P15" s="135">
        <v>-0.14099999999999999</v>
      </c>
      <c r="Q15" s="135">
        <v>-0.14899999999999999</v>
      </c>
      <c r="R15" s="135">
        <v>-0.153</v>
      </c>
      <c r="S15" s="135">
        <v>-0.157</v>
      </c>
      <c r="T15" s="135">
        <v>-0.157</v>
      </c>
      <c r="U15" s="135">
        <v>-0.161</v>
      </c>
      <c r="V15" s="135">
        <f t="shared" si="0"/>
        <v>-0.151</v>
      </c>
      <c r="W15" s="135">
        <f t="shared" si="1"/>
        <v>-6.0999999999999999E-2</v>
      </c>
      <c r="X15" s="135">
        <v>-0.16500000000000001</v>
      </c>
      <c r="Y15" s="135">
        <v>-0.161</v>
      </c>
      <c r="Z15" s="135">
        <v>-0.161</v>
      </c>
      <c r="AA15" s="135">
        <v>-0.14899999999999999</v>
      </c>
      <c r="AB15" s="135">
        <v>-0.16200000000000001</v>
      </c>
      <c r="AC15" s="135">
        <v>-0.156</v>
      </c>
      <c r="AD15" s="135">
        <v>-0.157</v>
      </c>
      <c r="AE15" s="135">
        <v>-0.158</v>
      </c>
      <c r="AF15" s="135">
        <v>-0.17</v>
      </c>
      <c r="AG15" s="135">
        <v>-0.21</v>
      </c>
      <c r="AH15" s="135">
        <v>-0.20200000000000001</v>
      </c>
      <c r="AI15" s="135">
        <v>-0.224</v>
      </c>
      <c r="AJ15" s="135">
        <v>-0.24099999999999999</v>
      </c>
      <c r="AK15" s="135">
        <v>-0.24299999999999999</v>
      </c>
      <c r="AL15" s="117"/>
      <c r="AN15" t="s">
        <v>159</v>
      </c>
      <c r="AO15" s="106">
        <v>21.9</v>
      </c>
      <c r="AP15" s="106">
        <v>20.2</v>
      </c>
      <c r="AQ15" s="106">
        <v>19.5</v>
      </c>
      <c r="AR15">
        <v>19</v>
      </c>
      <c r="AS15">
        <v>18.5</v>
      </c>
      <c r="AT15">
        <v>18.2</v>
      </c>
      <c r="AU15">
        <v>17.5</v>
      </c>
      <c r="AV15">
        <v>16.600000000000001</v>
      </c>
      <c r="AW15">
        <v>16</v>
      </c>
      <c r="AX15">
        <v>15.5</v>
      </c>
      <c r="AY15">
        <v>15.1</v>
      </c>
      <c r="AZ15">
        <v>15.4</v>
      </c>
      <c r="BA15">
        <v>17</v>
      </c>
      <c r="BR15" s="120">
        <v>6.5745357496593427E-3</v>
      </c>
      <c r="BS15" s="120">
        <v>6.7052767565258129E-3</v>
      </c>
      <c r="BT15" s="120">
        <v>6.8237566311563731E-3</v>
      </c>
      <c r="BU15" s="120">
        <v>6.6185716873143133E-3</v>
      </c>
      <c r="BV15" s="120">
        <v>6.948226534489543E-3</v>
      </c>
      <c r="BW15" s="120">
        <v>6.437897704308207E-3</v>
      </c>
      <c r="BX15" s="120">
        <v>6.8234429293732562E-3</v>
      </c>
      <c r="BY15" s="120">
        <v>6.6712900385201002E-3</v>
      </c>
      <c r="BZ15" s="120">
        <v>6.6612447997552717E-3</v>
      </c>
      <c r="CA15" s="120">
        <v>6.8919438238640943E-3</v>
      </c>
      <c r="CB15" s="120">
        <v>7.0599067058176434E-3</v>
      </c>
      <c r="CC15" s="120">
        <v>8.3012078300979848E-3</v>
      </c>
      <c r="CD15" s="120">
        <v>1.1431542387765828E-2</v>
      </c>
      <c r="CF15" s="120">
        <v>0.18756224678140002</v>
      </c>
      <c r="CG15" s="120">
        <v>0.18309025649041197</v>
      </c>
      <c r="CH15" s="120">
        <v>0.18258829295198914</v>
      </c>
      <c r="CI15" s="120">
        <v>0.17334386729843729</v>
      </c>
      <c r="CJ15" s="120">
        <v>0.17878229085612821</v>
      </c>
      <c r="CK15" s="120">
        <v>0.16207202948102822</v>
      </c>
      <c r="CL15" s="120">
        <v>0.16606450976666945</v>
      </c>
      <c r="CM15" s="120">
        <v>0.15186471319957889</v>
      </c>
      <c r="CN15" s="120">
        <v>0.14295909266730591</v>
      </c>
      <c r="CO15" s="120">
        <v>0.14030352881539165</v>
      </c>
      <c r="CP15" s="120">
        <v>0.130791379220629</v>
      </c>
      <c r="CQ15" s="120">
        <v>0.13217371444655118</v>
      </c>
      <c r="CR15" s="120">
        <v>0.13894687958829233</v>
      </c>
    </row>
    <row r="16" spans="1:96" ht="12.75" x14ac:dyDescent="0.2">
      <c r="A16" s="117">
        <v>-0.17</v>
      </c>
      <c r="B16" s="117">
        <v>-0.21099999999999999</v>
      </c>
      <c r="C16" s="117">
        <v>-0.16800000000000001</v>
      </c>
      <c r="D16" s="117">
        <v>-0.17899999999999999</v>
      </c>
      <c r="E16" s="117">
        <v>-0.20300000000000001</v>
      </c>
      <c r="F16" s="130">
        <v>-0.24199999999999999</v>
      </c>
      <c r="G16" s="135">
        <v>-0.25700000000000001</v>
      </c>
      <c r="H16" s="133">
        <v>-0.23200000000000001</v>
      </c>
      <c r="I16" s="134">
        <v>-0.14199999999999999</v>
      </c>
      <c r="J16" s="134">
        <v>-0.16900000000000001</v>
      </c>
      <c r="K16" s="135">
        <v>-0.161</v>
      </c>
      <c r="L16" s="135">
        <v>-0.17100000000000001</v>
      </c>
      <c r="M16" s="135">
        <v>-0.17599999999999999</v>
      </c>
      <c r="N16" s="135">
        <v>-0.156</v>
      </c>
      <c r="O16" s="135">
        <v>-0.157</v>
      </c>
      <c r="P16" s="135">
        <v>-0.13600000000000001</v>
      </c>
      <c r="Q16" s="135">
        <v>-0.14899999999999999</v>
      </c>
      <c r="R16" s="135">
        <v>-0.152</v>
      </c>
      <c r="S16" s="135">
        <v>-0.16</v>
      </c>
      <c r="T16" s="135">
        <v>-0.159</v>
      </c>
      <c r="U16" s="135">
        <v>-0.17199999999999999</v>
      </c>
      <c r="V16" s="135">
        <f t="shared" si="0"/>
        <v>-0.16199999999999998</v>
      </c>
      <c r="W16" s="135">
        <f t="shared" si="1"/>
        <v>-7.1999999999999981E-2</v>
      </c>
      <c r="X16" s="135">
        <v>-0.17299999999999999</v>
      </c>
      <c r="Y16" s="135">
        <v>-0.16900000000000001</v>
      </c>
      <c r="Z16" s="135">
        <v>-0.16700000000000001</v>
      </c>
      <c r="AA16" s="135">
        <v>-0.14899999999999999</v>
      </c>
      <c r="AB16" s="135">
        <v>-0.16500000000000001</v>
      </c>
      <c r="AC16" s="135">
        <v>-0.16</v>
      </c>
      <c r="AD16" s="135">
        <v>-0.16400000000000001</v>
      </c>
      <c r="AE16" s="135">
        <v>-0.17399999999999999</v>
      </c>
      <c r="AF16" s="135">
        <v>-0.184</v>
      </c>
      <c r="AG16" s="135">
        <v>-0.22900000000000001</v>
      </c>
      <c r="AH16" s="135">
        <v>-0.224</v>
      </c>
      <c r="AI16" s="135">
        <v>-0.22900000000000001</v>
      </c>
      <c r="AJ16" s="135">
        <v>-0.24199999999999999</v>
      </c>
      <c r="AK16" s="135">
        <v>-0.25</v>
      </c>
      <c r="AL16" s="117"/>
      <c r="AN16" t="s">
        <v>107</v>
      </c>
      <c r="AO16" s="106">
        <v>21.1</v>
      </c>
      <c r="AP16" s="106">
        <v>19.7</v>
      </c>
      <c r="AQ16" s="106">
        <v>19.100000000000001</v>
      </c>
      <c r="AR16" s="106">
        <v>18.600000000000001</v>
      </c>
      <c r="AS16" s="106">
        <v>18.2</v>
      </c>
      <c r="AT16">
        <v>17.8</v>
      </c>
      <c r="AU16">
        <v>17.2</v>
      </c>
      <c r="AV16" s="106">
        <v>16.3</v>
      </c>
      <c r="AW16">
        <v>15.6</v>
      </c>
      <c r="AX16">
        <v>15.1</v>
      </c>
      <c r="AY16">
        <v>14.5</v>
      </c>
      <c r="AZ16">
        <v>14.5</v>
      </c>
      <c r="BA16">
        <v>15.4</v>
      </c>
      <c r="BR16" s="120">
        <v>6.3813876638900971E-3</v>
      </c>
      <c r="BS16" s="120">
        <v>6.2580760012884802E-3</v>
      </c>
      <c r="BT16" s="120">
        <v>6.2028864627054385E-3</v>
      </c>
      <c r="BU16" s="120">
        <v>6.2634812350856424E-3</v>
      </c>
      <c r="BV16" s="120">
        <v>6.1564975718551747E-3</v>
      </c>
      <c r="BW16" s="120">
        <v>6.4986403788631804E-3</v>
      </c>
      <c r="BX16" s="120">
        <v>6.4024022210687429E-3</v>
      </c>
      <c r="BY16" s="120">
        <v>6.4269832758150989E-3</v>
      </c>
      <c r="BZ16" s="120">
        <v>6.6019675909393593E-3</v>
      </c>
      <c r="CA16" s="120">
        <v>6.6724084423086232E-3</v>
      </c>
      <c r="CB16" s="120">
        <v>7.0090951881772176E-3</v>
      </c>
      <c r="CC16" s="120">
        <v>7.5313587895823979E-3</v>
      </c>
      <c r="CD16" s="120">
        <v>9.4508094569756302E-3</v>
      </c>
      <c r="CF16" s="120">
        <v>0.18841579412540896</v>
      </c>
      <c r="CG16" s="120">
        <v>0.1764840758399969</v>
      </c>
      <c r="CH16" s="120">
        <v>0.17120239646383001</v>
      </c>
      <c r="CI16" s="120">
        <v>0.16936225981452507</v>
      </c>
      <c r="CJ16" s="120">
        <v>0.16319022749933323</v>
      </c>
      <c r="CK16" s="120">
        <v>0.16919375551766555</v>
      </c>
      <c r="CL16" s="120">
        <v>0.16071424892430217</v>
      </c>
      <c r="CM16" s="120">
        <v>0.15093355237354139</v>
      </c>
      <c r="CN16" s="120">
        <v>0.14609975667042524</v>
      </c>
      <c r="CO16" s="120">
        <v>0.13990529791330852</v>
      </c>
      <c r="CP16" s="120">
        <v>0.13362683539179623</v>
      </c>
      <c r="CQ16" s="120">
        <v>0.12299052575726663</v>
      </c>
      <c r="CR16" s="120">
        <v>0.11718408079408925</v>
      </c>
    </row>
    <row r="17" spans="1:96" ht="12.75" x14ac:dyDescent="0.2">
      <c r="A17" s="117">
        <v>-0.13900000000000001</v>
      </c>
      <c r="B17" s="117">
        <v>-0.17199999999999999</v>
      </c>
      <c r="C17" s="117">
        <v>-0.14699999999999999</v>
      </c>
      <c r="D17" s="117">
        <v>-0.156</v>
      </c>
      <c r="E17" s="117">
        <v>-0.17299999999999999</v>
      </c>
      <c r="F17" s="130">
        <v>-0.20799999999999999</v>
      </c>
      <c r="G17" s="135">
        <v>-0.216</v>
      </c>
      <c r="H17" s="133">
        <v>-0.20100000000000001</v>
      </c>
      <c r="I17" s="134">
        <v>-0.13400000000000001</v>
      </c>
      <c r="J17" s="134">
        <v>-0.155</v>
      </c>
      <c r="K17" s="135">
        <v>-0.14899999999999999</v>
      </c>
      <c r="L17" s="135">
        <v>-0.157</v>
      </c>
      <c r="M17" s="135">
        <v>-0.16</v>
      </c>
      <c r="N17" s="135">
        <v>-0.14799999999999999</v>
      </c>
      <c r="O17" s="135">
        <v>-0.14899999999999999</v>
      </c>
      <c r="P17" s="135">
        <v>-0.13200000000000001</v>
      </c>
      <c r="Q17" s="135">
        <v>-0.14299999999999999</v>
      </c>
      <c r="R17" s="135">
        <v>-0.14499999999999999</v>
      </c>
      <c r="S17" s="135">
        <v>-0.153</v>
      </c>
      <c r="T17" s="135">
        <v>-0.153</v>
      </c>
      <c r="U17" s="135">
        <v>-0.161</v>
      </c>
      <c r="V17" s="135">
        <f t="shared" si="0"/>
        <v>-0.151</v>
      </c>
      <c r="W17" s="135">
        <f t="shared" si="1"/>
        <v>-6.0999999999999999E-2</v>
      </c>
      <c r="X17" s="135">
        <v>-0.16200000000000001</v>
      </c>
      <c r="Y17" s="135">
        <v>-0.161</v>
      </c>
      <c r="Z17" s="135">
        <v>-0.159</v>
      </c>
      <c r="AA17" s="135">
        <v>-0.14499999999999999</v>
      </c>
      <c r="AB17" s="135">
        <v>-0.157</v>
      </c>
      <c r="AC17" s="135">
        <v>-0.157</v>
      </c>
      <c r="AD17" s="135">
        <v>-0.161</v>
      </c>
      <c r="AE17" s="135">
        <v>-0.16900000000000001</v>
      </c>
      <c r="AF17" s="135">
        <v>-0.17599999999999999</v>
      </c>
      <c r="AG17" s="135">
        <v>-0.216</v>
      </c>
      <c r="AH17" s="135">
        <v>-0.21</v>
      </c>
      <c r="AI17" s="135">
        <v>-0.221</v>
      </c>
      <c r="AJ17" s="135">
        <v>-0.23300000000000001</v>
      </c>
      <c r="AK17" s="135">
        <v>-0.23699999999999999</v>
      </c>
      <c r="AL17" s="117"/>
      <c r="AN17" t="s">
        <v>108</v>
      </c>
      <c r="AO17">
        <v>20.3</v>
      </c>
      <c r="AP17">
        <v>19.100000000000001</v>
      </c>
      <c r="AQ17" s="106">
        <v>18.600000000000001</v>
      </c>
      <c r="AR17">
        <v>18.100000000000001</v>
      </c>
      <c r="AS17">
        <v>17.8</v>
      </c>
      <c r="AT17">
        <v>17.399999999999999</v>
      </c>
      <c r="AU17">
        <v>16.899999999999999</v>
      </c>
      <c r="AV17">
        <v>15.9</v>
      </c>
      <c r="AW17">
        <v>15.2</v>
      </c>
      <c r="AX17">
        <v>14.7</v>
      </c>
      <c r="AY17">
        <v>14</v>
      </c>
      <c r="AZ17">
        <v>13.7</v>
      </c>
      <c r="BA17">
        <v>14</v>
      </c>
      <c r="BR17" s="120">
        <v>5.7191150242985505E-3</v>
      </c>
      <c r="BS17" s="120">
        <v>5.9816168032868966E-3</v>
      </c>
      <c r="BT17" s="120">
        <v>6.1618148512579103E-3</v>
      </c>
      <c r="BU17" s="120">
        <v>6.2507258440980176E-3</v>
      </c>
      <c r="BV17" s="120">
        <v>6.1258060666236191E-3</v>
      </c>
      <c r="BW17" s="120">
        <v>6.0420470126129845E-3</v>
      </c>
      <c r="BX17" s="120">
        <v>6.1840333405728419E-3</v>
      </c>
      <c r="BY17" s="120">
        <v>6.4765700661306436E-3</v>
      </c>
      <c r="BZ17" s="120">
        <v>6.5034848993500609E-3</v>
      </c>
      <c r="CA17" s="120">
        <v>6.3893657201854869E-3</v>
      </c>
      <c r="CB17" s="120">
        <v>6.6835558453382342E-3</v>
      </c>
      <c r="CC17" s="120">
        <v>7.4091063293893044E-3</v>
      </c>
      <c r="CD17" s="120">
        <v>9.7369741179647307E-3</v>
      </c>
      <c r="CF17" s="120">
        <v>0.17642461551639246</v>
      </c>
      <c r="CG17" s="120">
        <v>0.17636336803666058</v>
      </c>
      <c r="CH17" s="120">
        <v>0.17791186247359012</v>
      </c>
      <c r="CI17" s="120">
        <v>0.17691103442238018</v>
      </c>
      <c r="CJ17" s="120">
        <v>0.16957506562077587</v>
      </c>
      <c r="CK17" s="120">
        <v>0.16424010000606934</v>
      </c>
      <c r="CL17" s="120">
        <v>0.16192405470018204</v>
      </c>
      <c r="CM17" s="120">
        <v>0.15862714822827842</v>
      </c>
      <c r="CN17" s="120">
        <v>0.14992461255588679</v>
      </c>
      <c r="CO17" s="120">
        <v>0.13923765375828526</v>
      </c>
      <c r="CP17" s="120">
        <v>0.13228992209198284</v>
      </c>
      <c r="CQ17" s="120">
        <v>0.12527106908434019</v>
      </c>
      <c r="CR17" s="120">
        <v>0.12476891064114641</v>
      </c>
    </row>
    <row r="18" spans="1:96" ht="12.75" x14ac:dyDescent="0.2">
      <c r="A18" s="117">
        <v>-8.5999999999999993E-2</v>
      </c>
      <c r="B18" s="117">
        <v>-0.123</v>
      </c>
      <c r="C18" s="117">
        <v>-0.10199999999999999</v>
      </c>
      <c r="D18" s="117">
        <v>-0.11</v>
      </c>
      <c r="E18" s="117">
        <v>-0.129</v>
      </c>
      <c r="F18" s="130">
        <v>-0.17599999999999999</v>
      </c>
      <c r="G18" s="135">
        <v>-0.185</v>
      </c>
      <c r="H18" s="133">
        <v>-0.17299999999999999</v>
      </c>
      <c r="I18" s="134">
        <v>-9.0999999999999998E-2</v>
      </c>
      <c r="J18" s="134">
        <v>-0.12</v>
      </c>
      <c r="K18" s="135">
        <v>-0.112</v>
      </c>
      <c r="L18" s="135">
        <v>-0.128</v>
      </c>
      <c r="M18" s="135">
        <v>-0.13300000000000001</v>
      </c>
      <c r="N18" s="135">
        <v>-0.115</v>
      </c>
      <c r="O18" s="135">
        <v>-0.108</v>
      </c>
      <c r="P18" s="135">
        <v>-9.0999999999999998E-2</v>
      </c>
      <c r="Q18" s="135">
        <v>-0.109</v>
      </c>
      <c r="R18" s="135">
        <v>-0.114</v>
      </c>
      <c r="S18" s="135">
        <v>-0.122</v>
      </c>
      <c r="T18" s="135">
        <v>-0.122</v>
      </c>
      <c r="U18" s="135">
        <v>-0.13600000000000001</v>
      </c>
      <c r="V18" s="135">
        <f t="shared" si="0"/>
        <v>-0.126</v>
      </c>
      <c r="W18" s="135">
        <f t="shared" si="1"/>
        <v>-3.6000000000000004E-2</v>
      </c>
      <c r="X18" s="135">
        <v>-0.13500000000000001</v>
      </c>
      <c r="Y18" s="135">
        <v>-0.13600000000000001</v>
      </c>
      <c r="Z18" s="135">
        <v>-0.13100000000000001</v>
      </c>
      <c r="AA18" s="135">
        <v>-0.114</v>
      </c>
      <c r="AB18" s="135">
        <v>-0.128</v>
      </c>
      <c r="AC18" s="135">
        <v>-0.129</v>
      </c>
      <c r="AD18" s="135">
        <v>-0.13600000000000001</v>
      </c>
      <c r="AE18" s="135">
        <v>-0.151</v>
      </c>
      <c r="AF18" s="135">
        <v>-0.157</v>
      </c>
      <c r="AG18" s="135">
        <v>-0.20699999999999999</v>
      </c>
      <c r="AH18" s="135">
        <v>-0.19900000000000001</v>
      </c>
      <c r="AI18" s="135">
        <v>-0.21299999999999999</v>
      </c>
      <c r="AJ18" s="135">
        <v>-0.22800000000000001</v>
      </c>
      <c r="AK18" s="135">
        <v>-0.23499999999999999</v>
      </c>
      <c r="AL18" s="117"/>
      <c r="AN18" t="s">
        <v>109</v>
      </c>
      <c r="AO18">
        <v>19.7</v>
      </c>
      <c r="AP18" s="106">
        <v>18.7</v>
      </c>
      <c r="AQ18">
        <v>18.3</v>
      </c>
      <c r="AR18">
        <v>17.899999999999999</v>
      </c>
      <c r="AS18">
        <v>17.5</v>
      </c>
      <c r="AT18">
        <v>17.2</v>
      </c>
      <c r="AU18">
        <v>16.7</v>
      </c>
      <c r="AV18">
        <v>15.8</v>
      </c>
      <c r="AW18">
        <v>15.1</v>
      </c>
      <c r="AX18">
        <v>14.5</v>
      </c>
      <c r="AY18">
        <v>13.8</v>
      </c>
      <c r="AZ18">
        <v>13.3</v>
      </c>
      <c r="BA18">
        <v>13.3</v>
      </c>
      <c r="BR18" s="120">
        <v>5.8708844846270102E-3</v>
      </c>
      <c r="BS18" s="120">
        <v>5.781892025566066E-3</v>
      </c>
      <c r="BT18" s="120">
        <v>5.6132804114582746E-3</v>
      </c>
      <c r="BU18" s="120">
        <v>5.5053959605212716E-3</v>
      </c>
      <c r="BV18" s="120">
        <v>5.8404798345086991E-3</v>
      </c>
      <c r="BW18" s="120">
        <v>5.9182636727322666E-3</v>
      </c>
      <c r="BX18" s="120">
        <v>5.5547892554558857E-3</v>
      </c>
      <c r="BY18" s="120">
        <v>5.7179872519801589E-3</v>
      </c>
      <c r="BZ18" s="120">
        <v>5.834470540161135E-3</v>
      </c>
      <c r="CA18" s="120">
        <v>6.4418299910197121E-3</v>
      </c>
      <c r="CB18" s="120">
        <v>6.7617552860698288E-3</v>
      </c>
      <c r="CC18" s="120">
        <v>6.9150061535140205E-3</v>
      </c>
      <c r="CD18" s="120">
        <v>8.0831377082885188E-3</v>
      </c>
      <c r="CF18" s="120">
        <v>0.1822987755553406</v>
      </c>
      <c r="CG18" s="120">
        <v>0.17134715745798529</v>
      </c>
      <c r="CH18" s="120">
        <v>0.16252500736847128</v>
      </c>
      <c r="CI18" s="120">
        <v>0.15582331771737129</v>
      </c>
      <c r="CJ18" s="120">
        <v>0.16264509804034913</v>
      </c>
      <c r="CK18" s="120">
        <v>0.16139976194089919</v>
      </c>
      <c r="CL18" s="120">
        <v>0.14551279210267079</v>
      </c>
      <c r="CM18" s="120">
        <v>0.1401846811095033</v>
      </c>
      <c r="CN18" s="120">
        <v>0.13455923810513518</v>
      </c>
      <c r="CO18" s="120">
        <v>0.14109701282979639</v>
      </c>
      <c r="CP18" s="120">
        <v>0.13440416953841131</v>
      </c>
      <c r="CQ18" s="120">
        <v>0.11721026869402265</v>
      </c>
      <c r="CR18" s="120">
        <v>0.10351627226152783</v>
      </c>
    </row>
    <row r="19" spans="1:96" ht="12.75" x14ac:dyDescent="0.2">
      <c r="A19" s="117">
        <v>7.000000000000001E-3</v>
      </c>
      <c r="B19" s="117">
        <v>-3.2000000000000001E-2</v>
      </c>
      <c r="C19" s="117">
        <v>-2.1000000000000001E-2</v>
      </c>
      <c r="D19" s="117">
        <v>-0.03</v>
      </c>
      <c r="E19" s="117">
        <v>-5.7000000000000002E-2</v>
      </c>
      <c r="F19" s="130">
        <v>-0.109</v>
      </c>
      <c r="G19" s="135">
        <v>-0.11700000000000001</v>
      </c>
      <c r="H19" s="133">
        <v>-0.109</v>
      </c>
      <c r="I19" s="134">
        <v>-1.2999999999999999E-2</v>
      </c>
      <c r="J19" s="134">
        <v>-5.2999999999999999E-2</v>
      </c>
      <c r="K19" s="135">
        <v>-4.7E-2</v>
      </c>
      <c r="L19" s="135">
        <v>-6.5000000000000002E-2</v>
      </c>
      <c r="M19" s="135">
        <v>-7.6999999999999999E-2</v>
      </c>
      <c r="N19" s="135">
        <v>-4.8000000000000001E-2</v>
      </c>
      <c r="O19" s="135">
        <v>-3.2000000000000001E-2</v>
      </c>
      <c r="P19" s="135">
        <v>-1.4E-2</v>
      </c>
      <c r="Q19" s="135">
        <v>-4.9000000000000002E-2</v>
      </c>
      <c r="R19" s="135">
        <v>-5.1999999999999998E-2</v>
      </c>
      <c r="S19" s="135">
        <v>-6.3E-2</v>
      </c>
      <c r="T19" s="135">
        <v>-6.3E-2</v>
      </c>
      <c r="U19" s="135">
        <v>-8.4000000000000005E-2</v>
      </c>
      <c r="V19" s="135">
        <f t="shared" si="0"/>
        <v>-7.400000000000001E-2</v>
      </c>
      <c r="W19" s="135">
        <f t="shared" si="1"/>
        <v>1.6E-2</v>
      </c>
      <c r="X19" s="135">
        <v>-8.1000000000000003E-2</v>
      </c>
      <c r="Y19" s="135">
        <v>-8.2000000000000003E-2</v>
      </c>
      <c r="Z19" s="135">
        <v>-7.2999999999999995E-2</v>
      </c>
      <c r="AA19" s="135">
        <v>-5.5E-2</v>
      </c>
      <c r="AB19" s="135">
        <v>-7.1999999999999995E-2</v>
      </c>
      <c r="AC19" s="135">
        <v>-7.5999999999999998E-2</v>
      </c>
      <c r="AD19" s="135">
        <v>-8.2000000000000003E-2</v>
      </c>
      <c r="AE19" s="135">
        <v>-0.106</v>
      </c>
      <c r="AF19" s="135">
        <v>-0.10199999999999999</v>
      </c>
      <c r="AG19" s="135">
        <v>-0.16300000000000001</v>
      </c>
      <c r="AH19" s="135">
        <v>-0.159</v>
      </c>
      <c r="AI19" s="135">
        <v>-0.17799999999999999</v>
      </c>
      <c r="AJ19" s="135">
        <v>-0.19800000000000001</v>
      </c>
      <c r="AK19" s="135">
        <v>-0.21</v>
      </c>
      <c r="AL19" s="117"/>
      <c r="AN19" t="s">
        <v>110</v>
      </c>
      <c r="AO19">
        <v>19.3</v>
      </c>
      <c r="AP19">
        <v>18.399999999999999</v>
      </c>
      <c r="AQ19">
        <v>18</v>
      </c>
      <c r="AR19">
        <v>17.600000000000001</v>
      </c>
      <c r="AS19">
        <v>17.3</v>
      </c>
      <c r="AT19">
        <v>17</v>
      </c>
      <c r="AU19">
        <v>16.399999999999999</v>
      </c>
      <c r="AV19">
        <v>15.6</v>
      </c>
      <c r="AW19">
        <v>14.9</v>
      </c>
      <c r="AX19">
        <v>14.4</v>
      </c>
      <c r="AY19">
        <v>13.7</v>
      </c>
      <c r="AZ19">
        <v>13</v>
      </c>
      <c r="BA19">
        <v>12.7</v>
      </c>
    </row>
    <row r="20" spans="1:96" ht="12.75" x14ac:dyDescent="0.2">
      <c r="A20" s="117">
        <v>0.12200000000000001</v>
      </c>
      <c r="B20" s="117">
        <v>7.6999999999999999E-2</v>
      </c>
      <c r="C20" s="117">
        <v>7.9000000000000001E-2</v>
      </c>
      <c r="D20" s="117">
        <v>6.9000000000000006E-2</v>
      </c>
      <c r="E20" s="117">
        <v>3.3000000000000002E-2</v>
      </c>
      <c r="F20" s="130">
        <v>-2.3E-2</v>
      </c>
      <c r="G20" s="135">
        <v>-2.5000000000000001E-2</v>
      </c>
      <c r="H20" s="133">
        <v>-2.1999999999999999E-2</v>
      </c>
      <c r="I20" s="134">
        <v>8.6999999999999994E-2</v>
      </c>
      <c r="J20" s="134">
        <v>3.4000000000000002E-2</v>
      </c>
      <c r="K20" s="135">
        <v>3.5999999999999997E-2</v>
      </c>
      <c r="L20" s="135">
        <v>1.9E-2</v>
      </c>
      <c r="M20" s="135">
        <v>1E-4</v>
      </c>
      <c r="N20" s="135">
        <v>4.1000000000000002E-2</v>
      </c>
      <c r="O20" s="135">
        <v>6.9000000000000006E-2</v>
      </c>
      <c r="P20" s="135">
        <v>8.2000000000000003E-2</v>
      </c>
      <c r="Q20" s="135">
        <v>3.4000000000000002E-2</v>
      </c>
      <c r="R20" s="135">
        <v>3.4000000000000002E-2</v>
      </c>
      <c r="S20" s="135">
        <v>1.9E-2</v>
      </c>
      <c r="T20" s="135">
        <v>1.9E-2</v>
      </c>
      <c r="U20" s="135">
        <v>-7.0000000000000001E-3</v>
      </c>
      <c r="V20" s="135">
        <f t="shared" si="0"/>
        <v>3.0000000000000001E-3</v>
      </c>
      <c r="W20" s="135">
        <f t="shared" si="1"/>
        <v>9.2999999999999999E-2</v>
      </c>
      <c r="X20" s="135">
        <v>-4.0000000000000001E-3</v>
      </c>
      <c r="Y20" s="135">
        <v>-5.0000000000000001E-3</v>
      </c>
      <c r="Z20" s="135">
        <v>8.9999999999999993E-3</v>
      </c>
      <c r="AA20" s="135">
        <v>2.5999999999999999E-2</v>
      </c>
      <c r="AB20" s="135">
        <v>0.01</v>
      </c>
      <c r="AC20" s="135">
        <v>1E-3</v>
      </c>
      <c r="AD20" s="135">
        <v>-5.0000000000000001E-3</v>
      </c>
      <c r="AE20" s="135">
        <v>-3.5999999999999997E-2</v>
      </c>
      <c r="AF20" s="135">
        <v>-1.6E-2</v>
      </c>
      <c r="AG20" s="135">
        <v>-8.8999999999999996E-2</v>
      </c>
      <c r="AH20" s="135">
        <v>-8.8999999999999996E-2</v>
      </c>
      <c r="AI20" s="135">
        <v>-0.115</v>
      </c>
      <c r="AJ20" s="135">
        <v>-0.14000000000000001</v>
      </c>
      <c r="AK20" s="135">
        <v>-0.159</v>
      </c>
      <c r="AL20" s="117"/>
    </row>
    <row r="21" spans="1:96" ht="12.75" x14ac:dyDescent="0.2">
      <c r="A21" s="117">
        <v>0.249</v>
      </c>
      <c r="B21" s="117">
        <v>0.20300000000000001</v>
      </c>
      <c r="C21" s="117">
        <v>0.192</v>
      </c>
      <c r="D21" s="117">
        <v>0.184</v>
      </c>
      <c r="E21" s="117">
        <v>0.13600000000000001</v>
      </c>
      <c r="F21" s="130">
        <v>0.08</v>
      </c>
      <c r="G21" s="135">
        <v>8.5999999999999993E-2</v>
      </c>
      <c r="H21" s="133">
        <v>8.2000000000000003E-2</v>
      </c>
      <c r="I21" s="134">
        <v>0.19600000000000001</v>
      </c>
      <c r="J21" s="134">
        <v>0.13200000000000001</v>
      </c>
      <c r="K21" s="135">
        <v>0.13100000000000001</v>
      </c>
      <c r="L21" s="135">
        <v>0.11899999999999999</v>
      </c>
      <c r="M21" s="135">
        <v>9.6000000000000002E-2</v>
      </c>
      <c r="N21" s="135">
        <v>0.14599999999999999</v>
      </c>
      <c r="O21" s="135">
        <v>0.187</v>
      </c>
      <c r="P21" s="135">
        <v>0.19700000000000001</v>
      </c>
      <c r="Q21" s="135">
        <v>0.13700000000000001</v>
      </c>
      <c r="R21" s="135">
        <v>0.14000000000000001</v>
      </c>
      <c r="S21" s="135">
        <v>0.122</v>
      </c>
      <c r="T21" s="135">
        <v>0.121</v>
      </c>
      <c r="U21" s="135">
        <v>8.8999999999999996E-2</v>
      </c>
      <c r="V21" s="135">
        <f t="shared" si="0"/>
        <v>9.8999999999999991E-2</v>
      </c>
      <c r="W21" s="135">
        <f t="shared" si="1"/>
        <v>0.189</v>
      </c>
      <c r="X21" s="135">
        <v>8.8999999999999996E-2</v>
      </c>
      <c r="Y21" s="135">
        <v>9.0999999999999998E-2</v>
      </c>
      <c r="Z21" s="135">
        <v>0.108</v>
      </c>
      <c r="AA21" s="135">
        <v>0.125</v>
      </c>
      <c r="AB21" s="135">
        <v>0.106</v>
      </c>
      <c r="AC21" s="135">
        <v>9.5000000000000001E-2</v>
      </c>
      <c r="AD21" s="135">
        <v>0.09</v>
      </c>
      <c r="AE21" s="135">
        <v>5.1999999999999998E-2</v>
      </c>
      <c r="AF21" s="135">
        <v>8.3000000000000004E-2</v>
      </c>
      <c r="AG21" s="135">
        <v>4.0000000000000001E-3</v>
      </c>
      <c r="AH21" s="135">
        <v>-2E-3</v>
      </c>
      <c r="AI21" s="135">
        <v>-3.7999999999999999E-2</v>
      </c>
      <c r="AJ21" s="135">
        <v>-6.2E-2</v>
      </c>
      <c r="AK21" s="135">
        <v>-8.5999999999999993E-2</v>
      </c>
      <c r="AL21" s="117"/>
      <c r="AO21">
        <v>-0.5</v>
      </c>
      <c r="AP21">
        <v>-0.25</v>
      </c>
      <c r="AQ21">
        <v>-0.13</v>
      </c>
      <c r="AR21">
        <v>0</v>
      </c>
      <c r="AS21">
        <v>0.125</v>
      </c>
      <c r="AT21">
        <v>0.25</v>
      </c>
      <c r="AU21">
        <v>0.5</v>
      </c>
      <c r="AV21">
        <v>1</v>
      </c>
      <c r="AW21">
        <v>1.5</v>
      </c>
      <c r="AX21">
        <v>2</v>
      </c>
      <c r="AY21">
        <v>3</v>
      </c>
      <c r="AZ21">
        <v>5</v>
      </c>
      <c r="BA21">
        <v>10</v>
      </c>
    </row>
    <row r="22" spans="1:96" ht="12.75" x14ac:dyDescent="0.2">
      <c r="A22" s="117">
        <v>0.379</v>
      </c>
      <c r="B22" s="117">
        <v>0.33100000000000002</v>
      </c>
      <c r="C22" s="117">
        <v>0.311</v>
      </c>
      <c r="D22" s="117">
        <v>0.30599999999999999</v>
      </c>
      <c r="E22" s="117">
        <v>0.245</v>
      </c>
      <c r="F22" s="130">
        <v>0.19400000000000001</v>
      </c>
      <c r="G22" s="135">
        <v>0.20899999999999999</v>
      </c>
      <c r="H22" s="133">
        <v>0.2</v>
      </c>
      <c r="I22" s="134">
        <v>0.315</v>
      </c>
      <c r="J22" s="134">
        <v>0.24</v>
      </c>
      <c r="K22" s="135">
        <v>0.24</v>
      </c>
      <c r="L22" s="135">
        <v>0.22800000000000001</v>
      </c>
      <c r="M22" s="135">
        <v>0.20499999999999999</v>
      </c>
      <c r="N22" s="135">
        <v>0.26200000000000001</v>
      </c>
      <c r="O22" s="135">
        <v>0.312</v>
      </c>
      <c r="P22" s="135">
        <v>0.31900000000000001</v>
      </c>
      <c r="Q22" s="135">
        <v>0.251</v>
      </c>
      <c r="R22" s="135">
        <v>0.253</v>
      </c>
      <c r="S22" s="135">
        <v>0.23499999999999999</v>
      </c>
      <c r="T22" s="135">
        <v>0.23499999999999999</v>
      </c>
      <c r="U22" s="135">
        <v>0.19700000000000001</v>
      </c>
      <c r="V22" s="135">
        <f t="shared" si="0"/>
        <v>0.20700000000000002</v>
      </c>
      <c r="W22" s="135">
        <f t="shared" si="1"/>
        <v>0.29700000000000004</v>
      </c>
      <c r="X22" s="135">
        <v>0.19500000000000001</v>
      </c>
      <c r="Y22" s="135">
        <v>0.20100000000000001</v>
      </c>
      <c r="Z22" s="135">
        <v>0.218</v>
      </c>
      <c r="AA22" s="135">
        <v>0.23699999999999999</v>
      </c>
      <c r="AB22" s="135">
        <v>0.214</v>
      </c>
      <c r="AC22" s="135">
        <v>0.20200000000000001</v>
      </c>
      <c r="AD22" s="135">
        <v>0.19800000000000001</v>
      </c>
      <c r="AE22" s="135">
        <v>0.153</v>
      </c>
      <c r="AF22" s="135">
        <v>0.19400000000000001</v>
      </c>
      <c r="AG22" s="135">
        <v>0.109</v>
      </c>
      <c r="AH22" s="135">
        <v>9.5000000000000001E-2</v>
      </c>
      <c r="AI22" s="135">
        <v>5.5E-2</v>
      </c>
      <c r="AJ22" s="135">
        <v>0.03</v>
      </c>
      <c r="AK22" s="135">
        <v>1E-3</v>
      </c>
      <c r="AL22">
        <v>29.01</v>
      </c>
      <c r="AO22">
        <v>-0.5</v>
      </c>
      <c r="AP22">
        <v>-0.25</v>
      </c>
      <c r="AQ22">
        <v>-0.13</v>
      </c>
      <c r="AR22">
        <v>0</v>
      </c>
      <c r="AS22">
        <v>0.125</v>
      </c>
      <c r="AT22">
        <v>0.25</v>
      </c>
      <c r="AU22">
        <v>0.5</v>
      </c>
      <c r="AV22">
        <v>1</v>
      </c>
      <c r="AW22">
        <v>1.5</v>
      </c>
      <c r="AX22">
        <v>2</v>
      </c>
      <c r="AY22">
        <v>3</v>
      </c>
      <c r="AZ22">
        <v>5</v>
      </c>
      <c r="BA22">
        <v>10</v>
      </c>
    </row>
    <row r="23" spans="1:96" ht="12.75" x14ac:dyDescent="0.2">
      <c r="A23" s="117">
        <v>0.50700000000000001</v>
      </c>
      <c r="B23" s="117">
        <v>0.45900000000000002</v>
      </c>
      <c r="C23" s="117">
        <v>0.42799999999999999</v>
      </c>
      <c r="D23" s="117">
        <v>0.42499999999999999</v>
      </c>
      <c r="E23" s="117">
        <v>0.35499999999999998</v>
      </c>
      <c r="F23" s="130">
        <v>0.31</v>
      </c>
      <c r="G23" s="135">
        <v>0.33400000000000002</v>
      </c>
      <c r="H23" s="133">
        <v>0.32300000000000001</v>
      </c>
      <c r="I23" s="134">
        <v>0.437</v>
      </c>
      <c r="J23" s="134">
        <v>0.35299999999999998</v>
      </c>
      <c r="K23" s="135">
        <v>0.35099999999999998</v>
      </c>
      <c r="L23" s="135">
        <v>0.34300000000000003</v>
      </c>
      <c r="M23" s="135">
        <v>0.318</v>
      </c>
      <c r="N23" s="135">
        <v>0.38600000000000001</v>
      </c>
      <c r="O23" s="135">
        <v>0.439</v>
      </c>
      <c r="P23" s="135">
        <v>0.44400000000000001</v>
      </c>
      <c r="Q23" s="135">
        <v>0.36899999999999999</v>
      </c>
      <c r="R23" s="135">
        <v>0.371</v>
      </c>
      <c r="S23" s="135">
        <v>0.35299999999999998</v>
      </c>
      <c r="T23" s="135">
        <v>0.35299999999999998</v>
      </c>
      <c r="U23" s="135">
        <v>0.311</v>
      </c>
      <c r="V23" s="135">
        <f t="shared" si="0"/>
        <v>0.32100000000000001</v>
      </c>
      <c r="W23" s="135">
        <f t="shared" si="1"/>
        <v>0.41100000000000003</v>
      </c>
      <c r="X23" s="135">
        <v>0.307</v>
      </c>
      <c r="Y23" s="135">
        <v>0.314</v>
      </c>
      <c r="Z23" s="135">
        <v>0.33500000000000002</v>
      </c>
      <c r="AA23" s="135">
        <v>0.35299999999999998</v>
      </c>
      <c r="AB23" s="135">
        <v>0.32800000000000001</v>
      </c>
      <c r="AC23" s="135">
        <v>0.315</v>
      </c>
      <c r="AD23" s="135">
        <v>0.311</v>
      </c>
      <c r="AE23" s="135">
        <v>0.26</v>
      </c>
      <c r="AF23" s="135">
        <v>0.31</v>
      </c>
      <c r="AG23" s="135">
        <v>0.218</v>
      </c>
      <c r="AH23" s="135">
        <v>0.19700000000000001</v>
      </c>
      <c r="AI23" s="135">
        <v>0.154</v>
      </c>
      <c r="AJ23" s="135">
        <v>0.129</v>
      </c>
      <c r="AK23" s="135">
        <v>9.9000000000000005E-2</v>
      </c>
      <c r="AN23" t="s">
        <v>25</v>
      </c>
      <c r="AO23">
        <v>11.5</v>
      </c>
      <c r="AP23">
        <v>9.4</v>
      </c>
      <c r="AQ23">
        <v>9.6999999999999993</v>
      </c>
      <c r="AR23">
        <v>10.6</v>
      </c>
      <c r="AS23">
        <v>11.7</v>
      </c>
      <c r="AT23">
        <v>12.8</v>
      </c>
      <c r="AU23">
        <v>14.9</v>
      </c>
      <c r="AV23">
        <v>18.7</v>
      </c>
      <c r="AW23">
        <v>21.9</v>
      </c>
      <c r="AX23">
        <v>24.6</v>
      </c>
      <c r="AY23">
        <v>29.1</v>
      </c>
      <c r="AZ23">
        <v>35.799999999999997</v>
      </c>
      <c r="BA23">
        <v>46.2</v>
      </c>
      <c r="BR23" s="120">
        <v>2.9747152045968071E-3</v>
      </c>
      <c r="BS23" s="120">
        <v>2.5528820677912984E-3</v>
      </c>
      <c r="BT23" s="120">
        <v>2.6920608681399814E-3</v>
      </c>
      <c r="BU23" s="120">
        <v>3.00435216335165E-3</v>
      </c>
      <c r="BV23" s="120">
        <v>3.3835942958505031E-3</v>
      </c>
      <c r="BW23" s="120">
        <v>3.7755656567868786E-3</v>
      </c>
      <c r="BX23" s="120">
        <v>4.5680424570909784E-3</v>
      </c>
      <c r="BY23" s="120">
        <v>6.1465316031315683E-3</v>
      </c>
      <c r="BZ23" s="120">
        <v>7.6705721679555814E-3</v>
      </c>
      <c r="CA23" s="120">
        <v>9.1323819908980131E-3</v>
      </c>
      <c r="CB23" s="120">
        <v>1.2083057121061143E-2</v>
      </c>
      <c r="CC23" s="120">
        <v>1.7613046071261261E-2</v>
      </c>
      <c r="CD23" s="120">
        <v>3.0649396905473809E-2</v>
      </c>
      <c r="CF23" s="120">
        <v>0.11499977609339886</v>
      </c>
      <c r="CG23" s="120">
        <v>9.3997293541952659E-2</v>
      </c>
      <c r="CH23" s="120">
        <v>9.6963738178141703E-2</v>
      </c>
      <c r="CI23" s="120">
        <v>0.10599935230285613</v>
      </c>
      <c r="CJ23" s="120">
        <v>0.11698570928733211</v>
      </c>
      <c r="CK23" s="120">
        <v>0.12802219601915923</v>
      </c>
      <c r="CL23" s="120">
        <v>0.14901605934752832</v>
      </c>
      <c r="CM23" s="120">
        <v>0.18739637610321971</v>
      </c>
      <c r="CN23" s="120">
        <v>0.22009635663003202</v>
      </c>
      <c r="CO23" s="120">
        <v>0.2479649597032067</v>
      </c>
      <c r="CP23" s="120">
        <v>0.2940313428880576</v>
      </c>
      <c r="CQ23" s="120">
        <v>0.36355714564507779</v>
      </c>
      <c r="CR23" s="120">
        <v>0.47258254263251381</v>
      </c>
    </row>
    <row r="24" spans="1:96" ht="12.75" x14ac:dyDescent="0.2">
      <c r="A24" s="117">
        <v>0.627</v>
      </c>
      <c r="B24" s="117">
        <v>0.57899999999999996</v>
      </c>
      <c r="C24" s="117">
        <v>0.53600000000000003</v>
      </c>
      <c r="D24" s="117">
        <v>0.53600000000000003</v>
      </c>
      <c r="E24" s="117">
        <v>0.45900000000000002</v>
      </c>
      <c r="F24" s="130">
        <v>0.41699999999999998</v>
      </c>
      <c r="G24" s="135">
        <v>0.45100000000000001</v>
      </c>
      <c r="H24" s="133">
        <v>0.439</v>
      </c>
      <c r="I24" s="134">
        <v>0.55400000000000005</v>
      </c>
      <c r="J24" s="134">
        <v>0.46300000000000002</v>
      </c>
      <c r="K24" s="135">
        <v>0.45700000000000002</v>
      </c>
      <c r="L24" s="135">
        <v>0.45100000000000001</v>
      </c>
      <c r="M24" s="135">
        <v>0.42399999999999999</v>
      </c>
      <c r="N24" s="135">
        <v>0.499</v>
      </c>
      <c r="O24" s="135">
        <v>0.55900000000000005</v>
      </c>
      <c r="P24" s="135">
        <v>0.56200000000000006</v>
      </c>
      <c r="Q24" s="135">
        <v>0.48099999999999998</v>
      </c>
      <c r="R24" s="135">
        <v>0.48399999999999999</v>
      </c>
      <c r="S24" s="135">
        <v>0.46500000000000002</v>
      </c>
      <c r="T24" s="135">
        <v>0.46500000000000002</v>
      </c>
      <c r="U24" s="135">
        <v>0.42</v>
      </c>
      <c r="V24" s="135">
        <f t="shared" si="0"/>
        <v>0.43</v>
      </c>
      <c r="W24" s="135">
        <f t="shared" si="1"/>
        <v>0.52</v>
      </c>
      <c r="X24" s="135">
        <v>0.41399999999999998</v>
      </c>
      <c r="Y24" s="135">
        <v>0.42399999999999999</v>
      </c>
      <c r="Z24" s="135">
        <v>0.44700000000000001</v>
      </c>
      <c r="AA24" s="135">
        <v>0.46500000000000002</v>
      </c>
      <c r="AB24" s="135">
        <v>0.438</v>
      </c>
      <c r="AC24" s="135">
        <v>0.42499999999999999</v>
      </c>
      <c r="AD24" s="135">
        <v>0.42299999999999999</v>
      </c>
      <c r="AE24" s="135">
        <v>0.36299999999999999</v>
      </c>
      <c r="AF24" s="135">
        <v>0.42</v>
      </c>
      <c r="AG24" s="135">
        <v>0.32800000000000001</v>
      </c>
      <c r="AH24" s="135">
        <v>0.29599999999999999</v>
      </c>
      <c r="AI24" s="135">
        <v>0.252</v>
      </c>
      <c r="AJ24" s="135">
        <v>0.22700000000000001</v>
      </c>
      <c r="AK24" s="135">
        <v>0.19500000000000001</v>
      </c>
      <c r="AN24" t="s">
        <v>157</v>
      </c>
      <c r="AO24">
        <v>12.7</v>
      </c>
      <c r="AP24">
        <v>10.9</v>
      </c>
      <c r="AQ24">
        <v>11.1</v>
      </c>
      <c r="AR24">
        <v>11.9</v>
      </c>
      <c r="AS24">
        <v>12.9</v>
      </c>
      <c r="AT24">
        <v>13.7</v>
      </c>
      <c r="AU24">
        <v>15.5</v>
      </c>
      <c r="AV24">
        <v>18.7</v>
      </c>
      <c r="AW24">
        <v>21.5</v>
      </c>
      <c r="AX24">
        <v>23.8</v>
      </c>
      <c r="AY24">
        <v>27.7</v>
      </c>
      <c r="AZ24">
        <v>33.200000000000003</v>
      </c>
      <c r="BA24">
        <v>41.5</v>
      </c>
      <c r="BR24" s="120">
        <v>3.6223938651914877E-3</v>
      </c>
      <c r="BS24" s="120">
        <v>3.4443702717456767E-3</v>
      </c>
      <c r="BT24" s="120">
        <v>3.4723440428671617E-3</v>
      </c>
      <c r="BU24" s="120">
        <v>3.6805186656586248E-3</v>
      </c>
      <c r="BV24" s="120">
        <v>3.9846010976910028E-3</v>
      </c>
      <c r="BW24" s="120">
        <v>4.2222573254014888E-3</v>
      </c>
      <c r="BX24" s="120">
        <v>4.8682255370688645E-3</v>
      </c>
      <c r="BY24" s="120">
        <v>6.1803387211939818E-3</v>
      </c>
      <c r="BZ24" s="120">
        <v>7.5144965381095845E-3</v>
      </c>
      <c r="CA24" s="120">
        <v>8.7651876013008258E-3</v>
      </c>
      <c r="CB24" s="120">
        <v>1.1199048225541264E-2</v>
      </c>
      <c r="CC24" s="120">
        <v>1.5711939646612622E-2</v>
      </c>
      <c r="CD24" s="120">
        <v>2.6099096467807618E-2</v>
      </c>
      <c r="CF24" s="120">
        <v>0.13943022650638631</v>
      </c>
      <c r="CG24" s="120">
        <v>0.12645574044572883</v>
      </c>
      <c r="CH24" s="120">
        <v>0.12462945147464057</v>
      </c>
      <c r="CI24" s="120">
        <v>0.12923333568786821</v>
      </c>
      <c r="CJ24" s="120">
        <v>0.13701046446962786</v>
      </c>
      <c r="CK24" s="120">
        <v>0.14225514933893382</v>
      </c>
      <c r="CL24" s="120">
        <v>0.15791598332602602</v>
      </c>
      <c r="CM24" s="120">
        <v>0.18684177035376809</v>
      </c>
      <c r="CN24" s="120">
        <v>0.21320386872805913</v>
      </c>
      <c r="CO24" s="120">
        <v>0.23478725315360821</v>
      </c>
      <c r="CP24" s="120">
        <v>0.27212691253698357</v>
      </c>
      <c r="CQ24" s="120">
        <v>0.32415845355598305</v>
      </c>
      <c r="CR24" s="120">
        <v>0.40277056159640318</v>
      </c>
    </row>
    <row r="25" spans="1:96" ht="12.75" x14ac:dyDescent="0.2">
      <c r="A25" s="117">
        <v>0.73499999999999999</v>
      </c>
      <c r="B25" s="117">
        <v>0.68700000000000006</v>
      </c>
      <c r="C25" s="117">
        <v>0.63200000000000001</v>
      </c>
      <c r="D25" s="117">
        <v>0.63500000000000001</v>
      </c>
      <c r="E25" s="117">
        <v>0.55100000000000005</v>
      </c>
      <c r="F25" s="130">
        <v>0.51400000000000001</v>
      </c>
      <c r="G25" s="135">
        <v>0.55800000000000005</v>
      </c>
      <c r="H25" s="133">
        <v>0.54500000000000004</v>
      </c>
      <c r="I25" s="134">
        <v>0.65900000000000003</v>
      </c>
      <c r="J25" s="134">
        <v>0.56299999999999994</v>
      </c>
      <c r="K25" s="135">
        <v>0.55300000000000005</v>
      </c>
      <c r="L25" s="135">
        <v>0.54900000000000004</v>
      </c>
      <c r="M25" s="135">
        <v>0.52</v>
      </c>
      <c r="N25" s="135">
        <v>0.6</v>
      </c>
      <c r="O25" s="135">
        <v>0.66700000000000004</v>
      </c>
      <c r="P25" s="135">
        <v>0.66800000000000004</v>
      </c>
      <c r="Q25" s="135">
        <v>0.58399999999999996</v>
      </c>
      <c r="R25" s="135">
        <v>0.58699999999999997</v>
      </c>
      <c r="S25" s="135">
        <v>0.56599999999999995</v>
      </c>
      <c r="T25" s="135">
        <v>0.56699999999999995</v>
      </c>
      <c r="U25" s="135">
        <v>0.51800000000000002</v>
      </c>
      <c r="V25" s="135">
        <f t="shared" si="0"/>
        <v>0.52800000000000002</v>
      </c>
      <c r="W25" s="135">
        <f t="shared" si="1"/>
        <v>0.61799999999999999</v>
      </c>
      <c r="X25" s="135">
        <v>0.51300000000000001</v>
      </c>
      <c r="Y25" s="135">
        <v>0.52500000000000002</v>
      </c>
      <c r="Z25" s="135">
        <v>0.55000000000000004</v>
      </c>
      <c r="AA25" s="135">
        <v>0.56799999999999995</v>
      </c>
      <c r="AB25" s="135">
        <v>0.54100000000000004</v>
      </c>
      <c r="AC25" s="135">
        <v>0.53200000000000003</v>
      </c>
      <c r="AD25" s="135">
        <v>0.52600000000000002</v>
      </c>
      <c r="AE25" s="135">
        <v>0.45700000000000002</v>
      </c>
      <c r="AF25" s="135">
        <v>0.52100000000000002</v>
      </c>
      <c r="AG25" s="135">
        <v>0.42399999999999999</v>
      </c>
      <c r="AH25" s="135">
        <v>0.38500000000000001</v>
      </c>
      <c r="AI25" s="135">
        <v>0.34200000000000003</v>
      </c>
      <c r="AJ25" s="135">
        <v>0.318</v>
      </c>
      <c r="AK25" s="135">
        <v>0.28499999999999998</v>
      </c>
      <c r="AN25" t="s">
        <v>99</v>
      </c>
      <c r="AO25">
        <v>15.1</v>
      </c>
      <c r="AP25">
        <v>13</v>
      </c>
      <c r="AQ25">
        <v>12.7</v>
      </c>
      <c r="AR25">
        <v>13</v>
      </c>
      <c r="AS25">
        <v>13.7</v>
      </c>
      <c r="AT25">
        <v>14.3</v>
      </c>
      <c r="AU25">
        <v>15.7</v>
      </c>
      <c r="AV25">
        <v>18.3</v>
      </c>
      <c r="AW25">
        <v>20.5</v>
      </c>
      <c r="AX25">
        <v>22.5</v>
      </c>
      <c r="AY25">
        <v>25.6</v>
      </c>
      <c r="AZ25">
        <v>29.9</v>
      </c>
      <c r="BA25">
        <v>36</v>
      </c>
      <c r="BR25" s="120">
        <v>4.064160356394543E-3</v>
      </c>
      <c r="BS25" s="120">
        <v>3.6634299159038009E-3</v>
      </c>
      <c r="BT25" s="120">
        <v>3.6599616673017739E-3</v>
      </c>
      <c r="BU25" s="120">
        <v>3.8314213187310275E-3</v>
      </c>
      <c r="BV25" s="120">
        <v>4.1255239513602127E-3</v>
      </c>
      <c r="BW25" s="120">
        <v>4.3973989746251612E-3</v>
      </c>
      <c r="BX25" s="120">
        <v>5.0206176708452932E-3</v>
      </c>
      <c r="BY25" s="120">
        <v>6.2800035301207504E-3</v>
      </c>
      <c r="BZ25" s="120">
        <v>7.4893819882377258E-3</v>
      </c>
      <c r="CA25" s="120">
        <v>8.6995505457657992E-3</v>
      </c>
      <c r="CB25" s="120">
        <v>1.093616198627189E-2</v>
      </c>
      <c r="CC25" s="120">
        <v>1.5024422201684333E-2</v>
      </c>
      <c r="CD25" s="120">
        <v>2.4125865859161801E-2</v>
      </c>
      <c r="CF25" s="120">
        <v>0.15117221079605586</v>
      </c>
      <c r="CG25" s="120">
        <v>0.1300519331617252</v>
      </c>
      <c r="CH25" s="120">
        <v>0.12700047934868683</v>
      </c>
      <c r="CI25" s="120">
        <v>0.13001122270890991</v>
      </c>
      <c r="CJ25" s="120">
        <v>0.13699941217933662</v>
      </c>
      <c r="CK25" s="120">
        <v>0.14301091074134512</v>
      </c>
      <c r="CL25" s="120">
        <v>0.15698657292924531</v>
      </c>
      <c r="CM25" s="120">
        <v>0.18294352201134825</v>
      </c>
      <c r="CN25" s="120">
        <v>0.20487972036442759</v>
      </c>
      <c r="CO25" s="120">
        <v>0.22484884361845386</v>
      </c>
      <c r="CP25" s="120">
        <v>0.25574920804906354</v>
      </c>
      <c r="CQ25" s="120">
        <v>0.29862789316418648</v>
      </c>
      <c r="CR25" s="120">
        <v>0.35936783167265718</v>
      </c>
    </row>
    <row r="26" spans="1:96" ht="12.75" x14ac:dyDescent="0.2">
      <c r="A26" s="117">
        <v>0.83199999999999996</v>
      </c>
      <c r="B26" s="117">
        <v>0.78400000000000003</v>
      </c>
      <c r="C26" s="117">
        <v>0.71799999999999997</v>
      </c>
      <c r="D26" s="117">
        <v>0.72299999999999998</v>
      </c>
      <c r="E26" s="117">
        <v>0.63500000000000001</v>
      </c>
      <c r="F26" s="130">
        <v>0.60299999999999998</v>
      </c>
      <c r="G26" s="135">
        <v>0.65200000000000002</v>
      </c>
      <c r="H26" s="133">
        <v>0.64200000000000002</v>
      </c>
      <c r="I26" s="134">
        <v>0.754</v>
      </c>
      <c r="J26" s="134">
        <v>0.65400000000000003</v>
      </c>
      <c r="K26" s="135">
        <v>0.64</v>
      </c>
      <c r="L26" s="135">
        <v>0.63800000000000001</v>
      </c>
      <c r="M26" s="135">
        <v>0.60899999999999999</v>
      </c>
      <c r="N26" s="135">
        <v>0.69199999999999995</v>
      </c>
      <c r="O26" s="135">
        <v>0.76600000000000001</v>
      </c>
      <c r="P26" s="135">
        <v>0.76500000000000001</v>
      </c>
      <c r="Q26" s="135">
        <v>0.67700000000000005</v>
      </c>
      <c r="R26" s="135">
        <v>0.68</v>
      </c>
      <c r="S26" s="135">
        <v>0.65900000000000003</v>
      </c>
      <c r="T26" s="135">
        <v>0.66</v>
      </c>
      <c r="U26" s="135">
        <v>0.61</v>
      </c>
      <c r="V26" s="135">
        <f t="shared" si="0"/>
        <v>0.62</v>
      </c>
      <c r="W26" s="135">
        <f t="shared" si="1"/>
        <v>0.71</v>
      </c>
      <c r="X26" s="135">
        <v>0.60399999999999998</v>
      </c>
      <c r="Y26" s="135">
        <v>0.61699999999999999</v>
      </c>
      <c r="Z26" s="135">
        <v>0.64400000000000002</v>
      </c>
      <c r="AA26" s="135">
        <v>0.66100000000000003</v>
      </c>
      <c r="AB26" s="135">
        <v>0.63500000000000001</v>
      </c>
      <c r="AC26" s="135">
        <v>0.626</v>
      </c>
      <c r="AD26" s="135">
        <v>0.62</v>
      </c>
      <c r="AE26" s="135">
        <v>0.54200000000000004</v>
      </c>
      <c r="AF26" s="135">
        <v>0.61299999999999999</v>
      </c>
      <c r="AG26" s="135">
        <v>0.50900000000000001</v>
      </c>
      <c r="AH26" s="135">
        <v>0.46600000000000003</v>
      </c>
      <c r="AI26" s="135">
        <v>0.42499999999999999</v>
      </c>
      <c r="AJ26" s="135">
        <v>0.40200000000000002</v>
      </c>
      <c r="AK26" s="135">
        <v>0.36699999999999999</v>
      </c>
      <c r="AN26" t="s">
        <v>101</v>
      </c>
      <c r="AO26">
        <v>17</v>
      </c>
      <c r="AP26">
        <v>15.2</v>
      </c>
      <c r="AQ26">
        <v>14.9</v>
      </c>
      <c r="AR26">
        <v>15</v>
      </c>
      <c r="AS26">
        <v>15.5</v>
      </c>
      <c r="AT26">
        <v>15.8</v>
      </c>
      <c r="AU26">
        <v>16.600000000000001</v>
      </c>
      <c r="AV26">
        <v>18.100000000000001</v>
      </c>
      <c r="AW26">
        <v>19.5</v>
      </c>
      <c r="AX26">
        <v>20.7</v>
      </c>
      <c r="AY26">
        <v>22.8</v>
      </c>
      <c r="AZ26">
        <v>25.8</v>
      </c>
      <c r="BA26">
        <v>30.2</v>
      </c>
      <c r="BR26" s="120">
        <v>6.1917551728037055E-3</v>
      </c>
      <c r="BS26" s="120">
        <v>6.2704551537230381E-3</v>
      </c>
      <c r="BT26" s="120">
        <v>6.2635657261180949E-3</v>
      </c>
      <c r="BU26" s="120">
        <v>6.1608434939790227E-3</v>
      </c>
      <c r="BV26" s="120">
        <v>6.1813831787865883E-3</v>
      </c>
      <c r="BW26" s="120">
        <v>6.1007388951112894E-3</v>
      </c>
      <c r="BX26" s="120">
        <v>6.1276277642913369E-3</v>
      </c>
      <c r="BY26" s="120">
        <v>6.4965735603796726E-3</v>
      </c>
      <c r="BZ26" s="120">
        <v>7.1268736206302127E-3</v>
      </c>
      <c r="CA26" s="120">
        <v>7.7365038615748605E-3</v>
      </c>
      <c r="CB26" s="120">
        <v>9.1517051073855774E-3</v>
      </c>
      <c r="CC26" s="120">
        <v>1.1861907683827614E-2</v>
      </c>
      <c r="CD26" s="120">
        <v>1.7967870537393692E-2</v>
      </c>
      <c r="CF26" s="120">
        <v>0.21598769398372455</v>
      </c>
      <c r="CG26" s="120">
        <v>0.20894904755557547</v>
      </c>
      <c r="CH26" s="120">
        <v>0.20417661639619947</v>
      </c>
      <c r="CI26" s="120">
        <v>0.19649000477992323</v>
      </c>
      <c r="CJ26" s="120">
        <v>0.19306945406263273</v>
      </c>
      <c r="CK26" s="120">
        <v>0.18670298438381086</v>
      </c>
      <c r="CL26" s="120">
        <v>0.18045205568937958</v>
      </c>
      <c r="CM26" s="120">
        <v>0.17849365774819717</v>
      </c>
      <c r="CN26" s="120">
        <v>0.1841010431535639</v>
      </c>
      <c r="CO26" s="120">
        <v>0.18887695183677775</v>
      </c>
      <c r="CP26" s="120">
        <v>0.2023327428884269</v>
      </c>
      <c r="CQ26" s="120">
        <v>0.22295983796982943</v>
      </c>
      <c r="CR26" s="120">
        <v>0.25276929877233217</v>
      </c>
    </row>
    <row r="27" spans="1:96" ht="12.75" x14ac:dyDescent="0.2">
      <c r="A27" s="117">
        <v>0.92</v>
      </c>
      <c r="B27" s="117">
        <v>0.87</v>
      </c>
      <c r="C27" s="117">
        <v>0.79200000000000004</v>
      </c>
      <c r="D27" s="117">
        <v>0.8</v>
      </c>
      <c r="E27" s="117">
        <v>0.70699999999999996</v>
      </c>
      <c r="F27" s="130">
        <v>0.68200000000000005</v>
      </c>
      <c r="G27" s="135">
        <v>0.73599999999999999</v>
      </c>
      <c r="H27" s="133">
        <v>0.72699999999999998</v>
      </c>
      <c r="I27" s="134">
        <v>0.83799999999999997</v>
      </c>
      <c r="J27" s="134">
        <v>0.73399999999999999</v>
      </c>
      <c r="K27" s="135">
        <v>0.71699999999999997</v>
      </c>
      <c r="L27" s="135">
        <v>0.71799999999999997</v>
      </c>
      <c r="M27" s="135">
        <v>0.68899999999999995</v>
      </c>
      <c r="N27" s="135">
        <v>0.77400000000000002</v>
      </c>
      <c r="O27" s="135">
        <v>0.85199999999999998</v>
      </c>
      <c r="P27" s="135">
        <v>0.85199999999999998</v>
      </c>
      <c r="Q27" s="135">
        <v>0.76</v>
      </c>
      <c r="R27" s="135">
        <v>0.76400000000000001</v>
      </c>
      <c r="S27" s="135">
        <v>0.74199999999999999</v>
      </c>
      <c r="T27" s="135">
        <v>0.74299999999999999</v>
      </c>
      <c r="U27" s="135">
        <v>0.69299999999999995</v>
      </c>
      <c r="V27" s="135">
        <f t="shared" si="0"/>
        <v>0.70299999999999996</v>
      </c>
      <c r="W27" s="135">
        <f t="shared" si="1"/>
        <v>0.79299999999999993</v>
      </c>
      <c r="X27" s="135">
        <v>0.68600000000000005</v>
      </c>
      <c r="Y27" s="135">
        <v>0.7</v>
      </c>
      <c r="Z27" s="135">
        <v>0.72799999999999998</v>
      </c>
      <c r="AA27" s="135">
        <v>0.745</v>
      </c>
      <c r="AB27" s="135">
        <v>0.71899999999999997</v>
      </c>
      <c r="AC27" s="135">
        <v>0.71</v>
      </c>
      <c r="AD27" s="135">
        <v>0.70399999999999996</v>
      </c>
      <c r="AE27" s="135">
        <v>0.61699999999999999</v>
      </c>
      <c r="AF27" s="135">
        <v>0.69399999999999995</v>
      </c>
      <c r="AG27" s="135">
        <v>0.58299999999999996</v>
      </c>
      <c r="AH27" s="135">
        <v>0.53700000000000003</v>
      </c>
      <c r="AI27" s="135">
        <v>0.499</v>
      </c>
      <c r="AJ27" s="135">
        <v>0.47599999999999998</v>
      </c>
      <c r="AK27" s="135">
        <v>0.44</v>
      </c>
      <c r="AL27" s="139"/>
      <c r="AN27" t="s">
        <v>102</v>
      </c>
      <c r="AO27">
        <v>19</v>
      </c>
      <c r="AP27">
        <v>17.100000000000001</v>
      </c>
      <c r="AQ27">
        <v>16.8</v>
      </c>
      <c r="AR27">
        <v>16.7</v>
      </c>
      <c r="AS27">
        <v>17</v>
      </c>
      <c r="AT27">
        <v>17.100000000000001</v>
      </c>
      <c r="AU27">
        <v>17.5</v>
      </c>
      <c r="AV27">
        <v>18.2</v>
      </c>
      <c r="AW27">
        <v>19</v>
      </c>
      <c r="AX27">
        <v>19.8</v>
      </c>
      <c r="AY27">
        <v>21.4</v>
      </c>
      <c r="AZ27">
        <v>23.9</v>
      </c>
      <c r="BA27">
        <v>27.8</v>
      </c>
      <c r="BR27" s="120">
        <v>7.1792759237132176E-3</v>
      </c>
      <c r="BS27" s="120">
        <v>6.8378852693037106E-3</v>
      </c>
      <c r="BT27" s="120">
        <v>6.8701617007852055E-3</v>
      </c>
      <c r="BU27" s="120">
        <v>6.7659558706120041E-3</v>
      </c>
      <c r="BV27" s="120">
        <v>6.772393989208373E-3</v>
      </c>
      <c r="BW27" s="120">
        <v>6.7363838620492292E-3</v>
      </c>
      <c r="BX27" s="120">
        <v>6.7631390025672177E-3</v>
      </c>
      <c r="BY27" s="120">
        <v>6.9312086165746337E-3</v>
      </c>
      <c r="BZ27" s="120">
        <v>7.3766931544034051E-3</v>
      </c>
      <c r="CA27" s="120">
        <v>8.0101797603018415E-3</v>
      </c>
      <c r="CB27" s="120">
        <v>9.4575346613992063E-3</v>
      </c>
      <c r="CC27" s="120">
        <v>1.2426126338460051E-2</v>
      </c>
      <c r="CD27" s="120">
        <v>1.9433537682595522E-2</v>
      </c>
      <c r="CF27" s="120">
        <v>0.24199587829438984</v>
      </c>
      <c r="CG27" s="120">
        <v>0.21971946571176237</v>
      </c>
      <c r="CH27" s="120">
        <v>0.21603527284789587</v>
      </c>
      <c r="CI27" s="120">
        <v>0.20832457801569398</v>
      </c>
      <c r="CJ27" s="120">
        <v>0.20437793018530728</v>
      </c>
      <c r="CK27" s="120">
        <v>0.19937950970037141</v>
      </c>
      <c r="CL27" s="120">
        <v>0.19291751079963446</v>
      </c>
      <c r="CM27" s="120">
        <v>0.18476849219854763</v>
      </c>
      <c r="CN27" s="120">
        <v>0.1851053779478827</v>
      </c>
      <c r="CO27" s="120">
        <v>0.1903589873589959</v>
      </c>
      <c r="CP27" s="120">
        <v>0.20416422234797568</v>
      </c>
      <c r="CQ27" s="120">
        <v>0.22937516437760494</v>
      </c>
      <c r="CR27" s="120">
        <v>0.27131455356562789</v>
      </c>
    </row>
    <row r="28" spans="1:96" ht="12.75" x14ac:dyDescent="0.2">
      <c r="A28" s="117">
        <v>0.996</v>
      </c>
      <c r="B28" s="117">
        <v>0.94499999999999995</v>
      </c>
      <c r="C28" s="117">
        <v>0.85699999999999998</v>
      </c>
      <c r="D28" s="117">
        <v>0.86599999999999999</v>
      </c>
      <c r="E28" s="117">
        <v>0.76900000000000002</v>
      </c>
      <c r="F28" s="130">
        <v>0.75</v>
      </c>
      <c r="G28" s="135">
        <v>0.80600000000000005</v>
      </c>
      <c r="H28" s="133">
        <v>0.80100000000000005</v>
      </c>
      <c r="I28" s="134">
        <v>0.90900000000000003</v>
      </c>
      <c r="J28" s="134">
        <v>0.80300000000000005</v>
      </c>
      <c r="K28" s="135">
        <v>0.78300000000000003</v>
      </c>
      <c r="L28" s="135">
        <v>0.78700000000000003</v>
      </c>
      <c r="M28" s="135">
        <v>0.75800000000000001</v>
      </c>
      <c r="N28" s="135">
        <v>0.84499999999999997</v>
      </c>
      <c r="O28" s="135">
        <v>0.92700000000000005</v>
      </c>
      <c r="P28" s="135">
        <v>0.92700000000000005</v>
      </c>
      <c r="Q28" s="135">
        <v>0.83299999999999996</v>
      </c>
      <c r="R28" s="135">
        <v>0.83699999999999997</v>
      </c>
      <c r="S28" s="135">
        <v>0.81499999999999995</v>
      </c>
      <c r="T28" s="135">
        <v>0.81599999999999995</v>
      </c>
      <c r="U28" s="135">
        <v>0.76400000000000001</v>
      </c>
      <c r="V28" s="135">
        <f t="shared" si="0"/>
        <v>0.77400000000000002</v>
      </c>
      <c r="W28" s="135">
        <f t="shared" si="1"/>
        <v>0.86399999999999999</v>
      </c>
      <c r="X28" s="135">
        <v>0.75700000000000001</v>
      </c>
      <c r="Y28" s="135">
        <v>0.77100000000000002</v>
      </c>
      <c r="Z28" s="135">
        <v>0.80100000000000005</v>
      </c>
      <c r="AA28" s="135">
        <v>0.81699999999999995</v>
      </c>
      <c r="AB28" s="135">
        <v>0.79300000000000004</v>
      </c>
      <c r="AC28" s="135">
        <v>0.78200000000000003</v>
      </c>
      <c r="AD28" s="135">
        <v>0.77600000000000002</v>
      </c>
      <c r="AE28" s="135">
        <v>0.68200000000000005</v>
      </c>
      <c r="AF28" s="135">
        <v>0.76400000000000001</v>
      </c>
      <c r="AG28" s="135">
        <v>0.64700000000000002</v>
      </c>
      <c r="AH28" s="135">
        <v>0.59499999999999997</v>
      </c>
      <c r="AI28" s="135">
        <v>0.56100000000000005</v>
      </c>
      <c r="AJ28" s="135">
        <v>0.53800000000000003</v>
      </c>
      <c r="AK28" s="135">
        <v>0.503</v>
      </c>
      <c r="AL28" s="139"/>
      <c r="AN28" t="s">
        <v>103</v>
      </c>
      <c r="AO28">
        <v>20.399999999999999</v>
      </c>
      <c r="AP28">
        <v>18.600000000000001</v>
      </c>
      <c r="AQ28">
        <v>18.100000000000001</v>
      </c>
      <c r="AR28">
        <v>18</v>
      </c>
      <c r="AS28">
        <v>18.100000000000001</v>
      </c>
      <c r="AT28">
        <v>18.100000000000001</v>
      </c>
      <c r="AU28">
        <v>18.2</v>
      </c>
      <c r="AV28">
        <v>18.399999999999999</v>
      </c>
      <c r="AW28">
        <v>18.8</v>
      </c>
      <c r="AX28">
        <v>19.3</v>
      </c>
      <c r="AY28">
        <v>20.399999999999999</v>
      </c>
      <c r="AZ28">
        <v>22.6</v>
      </c>
      <c r="BA28">
        <v>26</v>
      </c>
      <c r="BR28" s="120">
        <v>7.7058287977645112E-3</v>
      </c>
      <c r="BS28" s="120">
        <v>7.7201196502705094E-3</v>
      </c>
      <c r="BT28" s="120">
        <v>7.4324437589760066E-3</v>
      </c>
      <c r="BU28" s="120">
        <v>7.5567610422796532E-3</v>
      </c>
      <c r="BV28" s="120">
        <v>7.4554839384612321E-3</v>
      </c>
      <c r="BW28" s="120">
        <v>7.4473694547684101E-3</v>
      </c>
      <c r="BX28" s="120">
        <v>7.3511565491490016E-3</v>
      </c>
      <c r="BY28" s="120">
        <v>7.3985113450967619E-3</v>
      </c>
      <c r="BZ28" s="120">
        <v>7.7017351656733426E-3</v>
      </c>
      <c r="CA28" s="120">
        <v>8.1510220934520282E-3</v>
      </c>
      <c r="CB28" s="120">
        <v>9.2112796996697884E-3</v>
      </c>
      <c r="CC28" s="120">
        <v>1.1950083527999074E-2</v>
      </c>
      <c r="CD28" s="120">
        <v>1.8133406721600954E-2</v>
      </c>
      <c r="CF28" s="120">
        <v>0.24805747998109626</v>
      </c>
      <c r="CG28" s="120">
        <v>0.23758456400051306</v>
      </c>
      <c r="CH28" s="120">
        <v>0.22353795672237398</v>
      </c>
      <c r="CI28" s="120">
        <v>0.2227520005068582</v>
      </c>
      <c r="CJ28" s="120">
        <v>0.21529883343453732</v>
      </c>
      <c r="CK28" s="120">
        <v>0.21093044870243713</v>
      </c>
      <c r="CL28" s="120">
        <v>0.20055909710268371</v>
      </c>
      <c r="CM28" s="120">
        <v>0.18866142322297899</v>
      </c>
      <c r="CN28" s="120">
        <v>0.18491585490990292</v>
      </c>
      <c r="CO28" s="120">
        <v>0.18528964964263175</v>
      </c>
      <c r="CP28" s="120">
        <v>0.19013616310743561</v>
      </c>
      <c r="CQ28" s="120">
        <v>0.21104715294499535</v>
      </c>
      <c r="CR28" s="120">
        <v>0.24235788834924157</v>
      </c>
    </row>
    <row r="29" spans="1:96" ht="12.75" x14ac:dyDescent="0.2">
      <c r="A29" s="117">
        <v>1.0620000000000001</v>
      </c>
      <c r="B29" s="117">
        <v>1.01</v>
      </c>
      <c r="C29" s="117">
        <v>0.91200000000000003</v>
      </c>
      <c r="D29" s="117">
        <v>0.92300000000000004</v>
      </c>
      <c r="E29" s="117">
        <v>0.82199999999999995</v>
      </c>
      <c r="F29" s="130">
        <v>0.80800000000000005</v>
      </c>
      <c r="G29" s="135">
        <v>0.86699999999999999</v>
      </c>
      <c r="H29" s="133">
        <v>0.86399999999999999</v>
      </c>
      <c r="I29" s="134">
        <v>0.97</v>
      </c>
      <c r="J29" s="134">
        <v>0.86199999999999999</v>
      </c>
      <c r="K29" s="135">
        <v>0.83899999999999997</v>
      </c>
      <c r="L29" s="135">
        <v>0.84599999999999997</v>
      </c>
      <c r="M29" s="135">
        <v>0.81599999999999995</v>
      </c>
      <c r="N29" s="135">
        <v>0.90600000000000003</v>
      </c>
      <c r="O29" s="135">
        <v>0.99099999999999999</v>
      </c>
      <c r="P29" s="135">
        <v>0.99099999999999999</v>
      </c>
      <c r="Q29" s="135">
        <v>0.89500000000000002</v>
      </c>
      <c r="R29" s="135">
        <v>0.89900000000000002</v>
      </c>
      <c r="S29" s="135">
        <v>0.877</v>
      </c>
      <c r="T29" s="135">
        <v>0.878</v>
      </c>
      <c r="U29" s="135">
        <v>0.82599999999999996</v>
      </c>
      <c r="V29" s="135">
        <f t="shared" si="0"/>
        <v>0.83599999999999997</v>
      </c>
      <c r="W29" s="135">
        <f t="shared" si="1"/>
        <v>0.92599999999999993</v>
      </c>
      <c r="X29" s="135">
        <v>0.81799999999999995</v>
      </c>
      <c r="Y29" s="135">
        <v>0.83299999999999996</v>
      </c>
      <c r="Z29" s="135">
        <v>0.86399999999999999</v>
      </c>
      <c r="AA29" s="135">
        <v>0.879</v>
      </c>
      <c r="AB29" s="135">
        <v>0.85499999999999998</v>
      </c>
      <c r="AC29" s="135">
        <v>0.84499999999999997</v>
      </c>
      <c r="AD29" s="135">
        <v>0.83799999999999997</v>
      </c>
      <c r="AE29" s="135">
        <v>0.73699999999999999</v>
      </c>
      <c r="AF29" s="135">
        <v>0.82399999999999995</v>
      </c>
      <c r="AG29" s="135">
        <v>0.7</v>
      </c>
      <c r="AH29" s="135">
        <v>0.64400000000000002</v>
      </c>
      <c r="AI29" s="135">
        <v>0.61399999999999999</v>
      </c>
      <c r="AJ29" s="135">
        <v>0.59099999999999997</v>
      </c>
      <c r="AK29" s="135">
        <v>0.55600000000000005</v>
      </c>
      <c r="AL29" s="139"/>
      <c r="AN29" t="s">
        <v>104</v>
      </c>
      <c r="AO29">
        <v>21.1</v>
      </c>
      <c r="AP29">
        <v>19.399999999999999</v>
      </c>
      <c r="AQ29">
        <v>19</v>
      </c>
      <c r="AR29">
        <v>18.7</v>
      </c>
      <c r="AS29">
        <v>18.7</v>
      </c>
      <c r="AT29">
        <v>18.600000000000001</v>
      </c>
      <c r="AU29">
        <v>18.600000000000001</v>
      </c>
      <c r="AV29">
        <v>18.5</v>
      </c>
      <c r="AW29">
        <v>18.5</v>
      </c>
      <c r="AX29">
        <v>18.7</v>
      </c>
      <c r="AY29">
        <v>19.3</v>
      </c>
      <c r="AZ29">
        <v>20.9</v>
      </c>
      <c r="BA29">
        <v>23.7</v>
      </c>
      <c r="BR29" s="120">
        <v>7.526462087675375E-3</v>
      </c>
      <c r="BS29" s="120">
        <v>7.4426016852870754E-3</v>
      </c>
      <c r="BT29" s="120">
        <v>7.7160867527790522E-3</v>
      </c>
      <c r="BU29" s="120">
        <v>7.3814428522249462E-3</v>
      </c>
      <c r="BV29" s="120">
        <v>7.3943752474594591E-3</v>
      </c>
      <c r="BW29" s="120">
        <v>7.3282965697838163E-3</v>
      </c>
      <c r="BX29" s="120">
        <v>7.4779388460925918E-3</v>
      </c>
      <c r="BY29" s="120">
        <v>7.5575795922026593E-3</v>
      </c>
      <c r="BZ29" s="120">
        <v>7.5726221277580136E-3</v>
      </c>
      <c r="CA29" s="120">
        <v>7.8327408282852628E-3</v>
      </c>
      <c r="CB29" s="120">
        <v>8.577729116379669E-3</v>
      </c>
      <c r="CC29" s="120">
        <v>1.0517089540309756E-2</v>
      </c>
      <c r="CD29" s="120">
        <v>1.5651565761362798E-2</v>
      </c>
      <c r="CF29" s="120">
        <v>0.23448305206353764</v>
      </c>
      <c r="CG29" s="120">
        <v>0.22145997666812872</v>
      </c>
      <c r="CH29" s="120">
        <v>0.22515259298342685</v>
      </c>
      <c r="CI29" s="120">
        <v>0.2106283913342791</v>
      </c>
      <c r="CJ29" s="120">
        <v>0.20690408701038235</v>
      </c>
      <c r="CK29" s="120">
        <v>0.20110782207910588</v>
      </c>
      <c r="CL29" s="120">
        <v>0.19800488410361447</v>
      </c>
      <c r="CM29" s="120">
        <v>0.1872112629507735</v>
      </c>
      <c r="CN29" s="120">
        <v>0.17660577655279347</v>
      </c>
      <c r="CO29" s="120">
        <v>0.17302805900143581</v>
      </c>
      <c r="CP29" s="120">
        <v>0.1722317954650186</v>
      </c>
      <c r="CQ29" s="120">
        <v>0.18070164816185402</v>
      </c>
      <c r="CR29" s="120">
        <v>0.20394784458133991</v>
      </c>
    </row>
    <row r="30" spans="1:96" ht="12.75" x14ac:dyDescent="0.2">
      <c r="A30" s="117">
        <v>1.1160000000000001</v>
      </c>
      <c r="B30" s="117">
        <v>1.0640000000000001</v>
      </c>
      <c r="C30" s="117">
        <v>0.95699999999999996</v>
      </c>
      <c r="D30" s="117">
        <v>0.97</v>
      </c>
      <c r="E30" s="117">
        <v>0.86599999999999999</v>
      </c>
      <c r="F30" s="130">
        <v>0.85599999999999998</v>
      </c>
      <c r="G30" s="135">
        <v>0.91800000000000004</v>
      </c>
      <c r="H30" s="133">
        <v>0.91600000000000004</v>
      </c>
      <c r="I30" s="134">
        <v>1.0209999999999999</v>
      </c>
      <c r="J30" s="134">
        <v>0.91100000000000003</v>
      </c>
      <c r="K30" s="135">
        <v>0.88600000000000001</v>
      </c>
      <c r="L30" s="135">
        <v>0.89400000000000002</v>
      </c>
      <c r="M30" s="135">
        <v>0.86399999999999999</v>
      </c>
      <c r="N30" s="135">
        <v>0.95599999999999996</v>
      </c>
      <c r="O30" s="135">
        <v>1.046</v>
      </c>
      <c r="P30" s="135">
        <v>1.046</v>
      </c>
      <c r="Q30" s="135">
        <v>0.94799999999999995</v>
      </c>
      <c r="R30" s="135">
        <v>0.95199999999999996</v>
      </c>
      <c r="S30" s="135">
        <v>0.93</v>
      </c>
      <c r="T30" s="135">
        <v>0.93100000000000005</v>
      </c>
      <c r="U30" s="135">
        <v>0.878</v>
      </c>
      <c r="V30" s="135">
        <f t="shared" si="0"/>
        <v>0.88800000000000001</v>
      </c>
      <c r="W30" s="135">
        <f t="shared" si="1"/>
        <v>0.97799999999999998</v>
      </c>
      <c r="X30" s="135">
        <v>0.86899999999999999</v>
      </c>
      <c r="Y30" s="135">
        <v>0.88600000000000001</v>
      </c>
      <c r="Z30" s="135">
        <v>0.91800000000000004</v>
      </c>
      <c r="AA30" s="135">
        <v>0.93200000000000005</v>
      </c>
      <c r="AB30" s="135">
        <v>0.90700000000000003</v>
      </c>
      <c r="AC30" s="135">
        <v>0.89900000000000002</v>
      </c>
      <c r="AD30" s="135">
        <v>0.89</v>
      </c>
      <c r="AE30" s="135">
        <v>0.78400000000000003</v>
      </c>
      <c r="AF30" s="135">
        <v>0.873</v>
      </c>
      <c r="AG30" s="135">
        <v>0.74299999999999999</v>
      </c>
      <c r="AH30" s="135">
        <v>0.68600000000000005</v>
      </c>
      <c r="AI30" s="135">
        <v>0.65900000000000003</v>
      </c>
      <c r="AJ30" s="135">
        <v>0.63700000000000001</v>
      </c>
      <c r="AK30" s="135">
        <v>0.6</v>
      </c>
      <c r="AL30" s="139"/>
      <c r="AN30" t="s">
        <v>105</v>
      </c>
      <c r="AO30">
        <v>21.7</v>
      </c>
      <c r="AP30">
        <v>20</v>
      </c>
      <c r="AQ30">
        <v>19.5</v>
      </c>
      <c r="AR30">
        <v>19.3</v>
      </c>
      <c r="AS30">
        <v>19.100000000000001</v>
      </c>
      <c r="AT30">
        <v>19</v>
      </c>
      <c r="AU30">
        <v>18.8</v>
      </c>
      <c r="AV30">
        <v>18.5</v>
      </c>
      <c r="AW30">
        <v>18.2</v>
      </c>
      <c r="AX30">
        <v>18.2</v>
      </c>
      <c r="AY30">
        <v>18.5</v>
      </c>
      <c r="AZ30">
        <v>19.600000000000001</v>
      </c>
      <c r="BA30">
        <v>22</v>
      </c>
      <c r="BR30" s="120">
        <v>8.1596877386553787E-3</v>
      </c>
      <c r="BS30" s="120">
        <v>7.952049495973567E-3</v>
      </c>
      <c r="BT30" s="120">
        <v>7.6491803533604349E-3</v>
      </c>
      <c r="BU30" s="120">
        <v>8.0469813537291882E-3</v>
      </c>
      <c r="BV30" s="120">
        <v>7.7093193946572314E-3</v>
      </c>
      <c r="BW30" s="120">
        <v>7.8403429184139249E-3</v>
      </c>
      <c r="BX30" s="120">
        <v>7.6034953202219722E-3</v>
      </c>
      <c r="BY30" s="120">
        <v>7.6698560371433787E-3</v>
      </c>
      <c r="BZ30" s="120">
        <v>7.6306722011441775E-3</v>
      </c>
      <c r="CA30" s="120">
        <v>7.8777688858098979E-3</v>
      </c>
      <c r="CB30" s="120">
        <v>8.6377810150399248E-3</v>
      </c>
      <c r="CC30" s="120">
        <v>1.0413164511617425E-2</v>
      </c>
      <c r="CD30" s="120">
        <v>1.550905403242194E-2</v>
      </c>
      <c r="CF30" s="120">
        <v>0.24702399182343843</v>
      </c>
      <c r="CG30" s="120">
        <v>0.22989116261756237</v>
      </c>
      <c r="CH30" s="120">
        <v>0.21603503100484794</v>
      </c>
      <c r="CI30" s="120">
        <v>0.22322764272166185</v>
      </c>
      <c r="CJ30" s="120">
        <v>0.20933001818248378</v>
      </c>
      <c r="CK30" s="120">
        <v>0.20900595556164464</v>
      </c>
      <c r="CL30" s="120">
        <v>0.19521108303344864</v>
      </c>
      <c r="CM30" s="120">
        <v>0.18429241189946016</v>
      </c>
      <c r="CN30" s="120">
        <v>0.17270811744439682</v>
      </c>
      <c r="CO30" s="120">
        <v>0.16898469460680959</v>
      </c>
      <c r="CP30" s="120">
        <v>0.16859947102362355</v>
      </c>
      <c r="CQ30" s="120">
        <v>0.17427469706161419</v>
      </c>
      <c r="CR30" s="120">
        <v>0.19750338393907174</v>
      </c>
    </row>
    <row r="31" spans="1:96" ht="12.75" x14ac:dyDescent="0.2">
      <c r="A31" s="117">
        <v>1.163</v>
      </c>
      <c r="B31" s="117">
        <v>1.1100000000000001</v>
      </c>
      <c r="C31" s="117">
        <v>0.99399999999999999</v>
      </c>
      <c r="D31" s="117">
        <v>1.0089999999999999</v>
      </c>
      <c r="E31" s="117">
        <v>0.90100000000000002</v>
      </c>
      <c r="F31" s="130">
        <v>0.89600000000000002</v>
      </c>
      <c r="G31" s="135">
        <v>0.96</v>
      </c>
      <c r="H31" s="133">
        <v>0.95899999999999996</v>
      </c>
      <c r="I31" s="134">
        <v>1.0629999999999999</v>
      </c>
      <c r="J31" s="134">
        <v>0.95099999999999996</v>
      </c>
      <c r="K31" s="135">
        <v>0.92400000000000004</v>
      </c>
      <c r="L31" s="135">
        <v>0.93400000000000005</v>
      </c>
      <c r="M31" s="135">
        <v>0.90400000000000003</v>
      </c>
      <c r="N31" s="135">
        <v>0.998</v>
      </c>
      <c r="O31" s="135">
        <v>1.091</v>
      </c>
      <c r="P31" s="135">
        <v>1.091</v>
      </c>
      <c r="Q31" s="135">
        <v>0.99199999999999999</v>
      </c>
      <c r="R31" s="135">
        <v>0.996</v>
      </c>
      <c r="S31" s="135">
        <v>0.97399999999999998</v>
      </c>
      <c r="T31" s="135">
        <v>0.97499999999999998</v>
      </c>
      <c r="U31" s="135">
        <v>0.92100000000000004</v>
      </c>
      <c r="V31" s="135">
        <f t="shared" si="0"/>
        <v>0.93100000000000005</v>
      </c>
      <c r="W31" s="135">
        <f t="shared" si="1"/>
        <v>1.0210000000000001</v>
      </c>
      <c r="X31" s="135">
        <v>0.91200000000000003</v>
      </c>
      <c r="Y31" s="135">
        <v>0.93</v>
      </c>
      <c r="Z31" s="135">
        <v>0.96299999999999997</v>
      </c>
      <c r="AA31" s="135">
        <v>0.97599999999999998</v>
      </c>
      <c r="AB31" s="135">
        <v>0.95099999999999996</v>
      </c>
      <c r="AC31" s="135">
        <v>0.94399999999999995</v>
      </c>
      <c r="AD31" s="135">
        <v>0.93300000000000005</v>
      </c>
      <c r="AE31" s="135">
        <v>0.82199999999999995</v>
      </c>
      <c r="AF31" s="135">
        <v>0.91400000000000003</v>
      </c>
      <c r="AG31" s="135">
        <v>0.77800000000000002</v>
      </c>
      <c r="AH31" s="135">
        <v>0.71799999999999997</v>
      </c>
      <c r="AI31" s="135">
        <v>0.69399999999999995</v>
      </c>
      <c r="AJ31" s="135">
        <v>0.67300000000000004</v>
      </c>
      <c r="AK31" s="135">
        <v>0.63600000000000001</v>
      </c>
      <c r="AL31" s="139"/>
      <c r="AN31" t="s">
        <v>106</v>
      </c>
      <c r="AO31">
        <v>22.1</v>
      </c>
      <c r="AP31">
        <v>20.5</v>
      </c>
      <c r="AQ31">
        <v>20</v>
      </c>
      <c r="AR31">
        <v>19.600000000000001</v>
      </c>
      <c r="AS31">
        <v>19.5</v>
      </c>
      <c r="AT31">
        <v>19.3</v>
      </c>
      <c r="AU31">
        <v>19</v>
      </c>
      <c r="AV31">
        <v>18.399999999999999</v>
      </c>
      <c r="AW31">
        <v>18</v>
      </c>
      <c r="AX31">
        <v>17.8</v>
      </c>
      <c r="AY31">
        <v>17.8</v>
      </c>
      <c r="AZ31">
        <v>18.7</v>
      </c>
      <c r="BA31">
        <v>20.8</v>
      </c>
      <c r="BR31" s="120">
        <v>8.0774202964086512E-3</v>
      </c>
      <c r="BS31" s="120">
        <v>8.1623521246621637E-3</v>
      </c>
      <c r="BT31" s="120">
        <v>8.2536374150037374E-3</v>
      </c>
      <c r="BU31" s="120">
        <v>7.6532542062899452E-3</v>
      </c>
      <c r="BV31" s="120">
        <v>8.1405494188998666E-3</v>
      </c>
      <c r="BW31" s="120">
        <v>7.9299663909730179E-3</v>
      </c>
      <c r="BX31" s="120">
        <v>7.9462239419878806E-3</v>
      </c>
      <c r="BY31" s="120">
        <v>7.5601720483878636E-3</v>
      </c>
      <c r="BZ31" s="120">
        <v>7.7755370731805639E-3</v>
      </c>
      <c r="CA31" s="120">
        <v>7.8096341375438853E-3</v>
      </c>
      <c r="CB31" s="120">
        <v>8.2330210572696648E-3</v>
      </c>
      <c r="CC31" s="120">
        <v>1.0189269820506846E-2</v>
      </c>
      <c r="CD31" s="120">
        <v>1.4937428674894998E-2</v>
      </c>
      <c r="CF31" s="120">
        <v>0.23986674246823064</v>
      </c>
      <c r="CG31" s="120">
        <v>0.23187331708362818</v>
      </c>
      <c r="CH31" s="120">
        <v>0.22975216776978</v>
      </c>
      <c r="CI31" s="120">
        <v>0.20800478853433818</v>
      </c>
      <c r="CJ31" s="120">
        <v>0.21752299091270397</v>
      </c>
      <c r="CK31" s="120">
        <v>0.20767227319010889</v>
      </c>
      <c r="CL31" s="120">
        <v>0.20076609828937078</v>
      </c>
      <c r="CM31" s="120">
        <v>0.17850618174556546</v>
      </c>
      <c r="CN31" s="120">
        <v>0.17313052676698987</v>
      </c>
      <c r="CO31" s="120">
        <v>0.16473100287486653</v>
      </c>
      <c r="CP31" s="120">
        <v>0.15794709392489334</v>
      </c>
      <c r="CQ31" s="120">
        <v>0.16782647716091723</v>
      </c>
      <c r="CR31" s="120">
        <v>0.18733459027973962</v>
      </c>
    </row>
    <row r="32" spans="1:96" ht="12.75" x14ac:dyDescent="0.2">
      <c r="A32" s="117">
        <v>1.202</v>
      </c>
      <c r="B32" s="117">
        <v>1.1479999999999999</v>
      </c>
      <c r="C32" s="117">
        <v>1.0249999999999999</v>
      </c>
      <c r="D32" s="117">
        <v>1.0409999999999999</v>
      </c>
      <c r="E32" s="117">
        <v>0.92900000000000005</v>
      </c>
      <c r="F32" s="130">
        <v>0.92900000000000005</v>
      </c>
      <c r="G32" s="135">
        <v>0.99299999999999999</v>
      </c>
      <c r="H32" s="133">
        <v>0.99199999999999999</v>
      </c>
      <c r="I32" s="134">
        <v>1.095</v>
      </c>
      <c r="J32" s="134">
        <v>0.98299999999999998</v>
      </c>
      <c r="K32" s="135">
        <v>0.95399999999999996</v>
      </c>
      <c r="L32" s="135">
        <v>0.96599999999999997</v>
      </c>
      <c r="M32" s="135">
        <v>0.93600000000000005</v>
      </c>
      <c r="N32" s="135">
        <v>1.0309999999999999</v>
      </c>
      <c r="O32" s="135">
        <v>1.1279999999999999</v>
      </c>
      <c r="P32" s="135">
        <v>1.127</v>
      </c>
      <c r="Q32" s="135">
        <v>1.0269999999999999</v>
      </c>
      <c r="R32" s="135">
        <v>1.0309999999999999</v>
      </c>
      <c r="S32" s="135">
        <v>1.0089999999999999</v>
      </c>
      <c r="T32" s="135">
        <v>1.01</v>
      </c>
      <c r="U32" s="135">
        <v>0.95699999999999996</v>
      </c>
      <c r="V32" s="135">
        <f t="shared" si="0"/>
        <v>0.96699999999999997</v>
      </c>
      <c r="W32" s="135">
        <f t="shared" si="1"/>
        <v>1.0569999999999999</v>
      </c>
      <c r="X32" s="135">
        <v>0.94599999999999995</v>
      </c>
      <c r="Y32" s="135">
        <v>0.96399999999999997</v>
      </c>
      <c r="Z32" s="135">
        <v>0.998</v>
      </c>
      <c r="AA32" s="135">
        <v>1.012</v>
      </c>
      <c r="AB32" s="135">
        <v>0.98699999999999999</v>
      </c>
      <c r="AC32" s="135">
        <v>0.98</v>
      </c>
      <c r="AD32" s="135">
        <v>0.96899999999999997</v>
      </c>
      <c r="AE32" s="135">
        <v>0.85299999999999998</v>
      </c>
      <c r="AF32" s="135">
        <v>0.94699999999999995</v>
      </c>
      <c r="AG32" s="135">
        <v>0.80600000000000005</v>
      </c>
      <c r="AH32" s="135">
        <v>0.74299999999999999</v>
      </c>
      <c r="AI32" s="135">
        <v>0.72199999999999998</v>
      </c>
      <c r="AJ32" s="135">
        <v>0.70199999999999996</v>
      </c>
      <c r="AK32" s="135">
        <v>0.66500000000000004</v>
      </c>
      <c r="AL32" s="139"/>
      <c r="AN32" t="s">
        <v>79</v>
      </c>
      <c r="AO32">
        <v>22.4</v>
      </c>
      <c r="AP32">
        <v>20.8</v>
      </c>
      <c r="AQ32">
        <v>20.3</v>
      </c>
      <c r="AR32">
        <v>19.899999999999999</v>
      </c>
      <c r="AS32">
        <v>19.7</v>
      </c>
      <c r="AT32">
        <v>19.399999999999999</v>
      </c>
      <c r="AU32">
        <v>19</v>
      </c>
      <c r="AV32">
        <v>18.3</v>
      </c>
      <c r="AW32">
        <v>17.8</v>
      </c>
      <c r="AX32">
        <v>17.5</v>
      </c>
      <c r="AY32">
        <v>17.399999999999999</v>
      </c>
      <c r="AZ32">
        <v>18.100000000000001</v>
      </c>
      <c r="BA32">
        <v>20.100000000000001</v>
      </c>
      <c r="BR32" s="120">
        <v>8.2553902943967999E-3</v>
      </c>
      <c r="BS32" s="120">
        <v>8.0082390628942266E-3</v>
      </c>
      <c r="BT32" s="120">
        <v>7.9664973852167659E-3</v>
      </c>
      <c r="BU32" s="120">
        <v>8.176942681055387E-3</v>
      </c>
      <c r="BV32" s="120">
        <v>7.8293201703741738E-3</v>
      </c>
      <c r="BW32" s="120">
        <v>7.6449331958949119E-3</v>
      </c>
      <c r="BX32" s="120">
        <v>7.4977102816740923E-3</v>
      </c>
      <c r="BY32" s="120">
        <v>7.6385686550632693E-3</v>
      </c>
      <c r="BZ32" s="120">
        <v>7.6599108934962325E-3</v>
      </c>
      <c r="CA32" s="120">
        <v>7.8399836744900784E-3</v>
      </c>
      <c r="CB32" s="120">
        <v>8.5784589385410302E-3</v>
      </c>
      <c r="CC32" s="120">
        <v>1.0184764799215736E-2</v>
      </c>
      <c r="CD32" s="120">
        <v>1.5184076746066035E-2</v>
      </c>
      <c r="CF32" s="120">
        <v>0.24213457921529336</v>
      </c>
      <c r="CG32" s="120">
        <v>0.22421717858346027</v>
      </c>
      <c r="CH32" s="120">
        <v>0.21829058138300941</v>
      </c>
      <c r="CI32" s="120">
        <v>0.21990417838600243</v>
      </c>
      <c r="CJ32" s="120">
        <v>0.20601290414929899</v>
      </c>
      <c r="CK32" s="120">
        <v>0.19725558194721191</v>
      </c>
      <c r="CL32" s="120">
        <v>0.1864617158235293</v>
      </c>
      <c r="CM32" s="120">
        <v>0.17799980772746365</v>
      </c>
      <c r="CN32" s="120">
        <v>0.16821472525280445</v>
      </c>
      <c r="CO32" s="120">
        <v>0.16323544599258594</v>
      </c>
      <c r="CP32" s="120">
        <v>0.1626937816587174</v>
      </c>
      <c r="CQ32" s="120">
        <v>0.16578866044071036</v>
      </c>
      <c r="CR32" s="120">
        <v>0.18861303886601744</v>
      </c>
    </row>
    <row r="33" spans="1:96" ht="12.75" x14ac:dyDescent="0.2">
      <c r="A33" s="117">
        <v>1.2330000000000001</v>
      </c>
      <c r="B33" s="117">
        <v>1.179</v>
      </c>
      <c r="C33" s="117">
        <v>1.0489999999999999</v>
      </c>
      <c r="D33" s="117">
        <v>1.0660000000000001</v>
      </c>
      <c r="E33" s="117">
        <v>0.95099999999999996</v>
      </c>
      <c r="F33" s="130">
        <v>0.95399999999999996</v>
      </c>
      <c r="G33" s="135">
        <v>1.0189999999999999</v>
      </c>
      <c r="H33" s="133">
        <v>1.0169999999999999</v>
      </c>
      <c r="I33" s="134">
        <v>1.121</v>
      </c>
      <c r="J33" s="134">
        <v>1.008</v>
      </c>
      <c r="K33" s="135">
        <v>0.97799999999999998</v>
      </c>
      <c r="L33" s="135">
        <v>0.99</v>
      </c>
      <c r="M33" s="135">
        <v>0.96099999999999997</v>
      </c>
      <c r="N33" s="135">
        <v>1.0549999999999999</v>
      </c>
      <c r="O33" s="135">
        <v>1.157</v>
      </c>
      <c r="P33" s="135">
        <v>1.1559999999999999</v>
      </c>
      <c r="Q33" s="135">
        <v>1.054</v>
      </c>
      <c r="R33" s="135">
        <v>1.06</v>
      </c>
      <c r="S33" s="135">
        <v>1.036</v>
      </c>
      <c r="T33" s="135">
        <v>1.0389999999999999</v>
      </c>
      <c r="U33" s="135">
        <v>0.98299999999999998</v>
      </c>
      <c r="V33" s="135">
        <f t="shared" si="0"/>
        <v>0.99299999999999999</v>
      </c>
      <c r="W33" s="135">
        <f t="shared" si="1"/>
        <v>1.083</v>
      </c>
      <c r="X33" s="135">
        <v>0.97399999999999998</v>
      </c>
      <c r="Y33" s="135">
        <v>0.99199999999999999</v>
      </c>
      <c r="Z33" s="135">
        <v>1.0269999999999999</v>
      </c>
      <c r="AA33" s="135">
        <v>1.04</v>
      </c>
      <c r="AB33" s="135">
        <v>1.016</v>
      </c>
      <c r="AC33" s="135">
        <v>1.01</v>
      </c>
      <c r="AD33" s="135">
        <v>0.997</v>
      </c>
      <c r="AE33" s="135">
        <v>0.877</v>
      </c>
      <c r="AF33" s="135">
        <v>0.97199999999999998</v>
      </c>
      <c r="AG33" s="135">
        <v>0.82799999999999996</v>
      </c>
      <c r="AH33" s="135">
        <v>0.76200000000000001</v>
      </c>
      <c r="AI33" s="135">
        <v>0.74399999999999999</v>
      </c>
      <c r="AJ33" s="135">
        <v>0.72399999999999998</v>
      </c>
      <c r="AK33" s="135">
        <v>0.68700000000000006</v>
      </c>
      <c r="AL33" s="139"/>
      <c r="AN33" t="s">
        <v>159</v>
      </c>
      <c r="AO33">
        <v>22.2</v>
      </c>
      <c r="AP33">
        <v>20.8</v>
      </c>
      <c r="AQ33">
        <v>20.3</v>
      </c>
      <c r="AR33">
        <v>19.899999999999999</v>
      </c>
      <c r="AS33">
        <v>19.7</v>
      </c>
      <c r="AT33">
        <v>19.399999999999999</v>
      </c>
      <c r="AU33">
        <v>18.899999999999999</v>
      </c>
      <c r="AV33">
        <v>18.100000000000001</v>
      </c>
      <c r="AW33">
        <v>17.5</v>
      </c>
      <c r="AX33">
        <v>17</v>
      </c>
      <c r="AY33">
        <v>16.600000000000001</v>
      </c>
      <c r="AZ33">
        <v>16.7</v>
      </c>
      <c r="BA33">
        <v>18</v>
      </c>
      <c r="BR33" s="120">
        <v>6.9787575339345783E-3</v>
      </c>
      <c r="BS33" s="120">
        <v>7.2370446590078958E-3</v>
      </c>
      <c r="BT33" s="120">
        <v>7.223485913086706E-3</v>
      </c>
      <c r="BU33" s="120">
        <v>7.1020083276162752E-3</v>
      </c>
      <c r="BV33" s="120">
        <v>7.4175441306638043E-3</v>
      </c>
      <c r="BW33" s="120">
        <v>7.5668025372583863E-3</v>
      </c>
      <c r="BX33" s="120">
        <v>7.5758968086788898E-3</v>
      </c>
      <c r="BY33" s="120">
        <v>7.5852097327448126E-3</v>
      </c>
      <c r="BZ33" s="120">
        <v>7.7285800804714651E-3</v>
      </c>
      <c r="CA33" s="120">
        <v>7.632966400886604E-3</v>
      </c>
      <c r="CB33" s="120">
        <v>7.7707700164173551E-3</v>
      </c>
      <c r="CC33" s="120">
        <v>8.4873771329875315E-3</v>
      </c>
      <c r="CD33" s="120">
        <v>1.088675394406073E-2</v>
      </c>
      <c r="CF33" s="120">
        <v>0.19965844455386816</v>
      </c>
      <c r="CG33" s="120">
        <v>0.19850395396867401</v>
      </c>
      <c r="CH33" s="120">
        <v>0.19404586056023151</v>
      </c>
      <c r="CI33" s="120">
        <v>0.18671236757159321</v>
      </c>
      <c r="CJ33" s="120">
        <v>0.19173266669761294</v>
      </c>
      <c r="CK33" s="120">
        <v>0.19209715743280795</v>
      </c>
      <c r="CL33" s="120">
        <v>0.18557767323862262</v>
      </c>
      <c r="CM33" s="120">
        <v>0.17392491092668708</v>
      </c>
      <c r="CN33" s="120">
        <v>0.16714686281293037</v>
      </c>
      <c r="CO33" s="120">
        <v>0.15635473015038151</v>
      </c>
      <c r="CP33" s="120">
        <v>0.14474488779090144</v>
      </c>
      <c r="CQ33" s="120">
        <v>0.13553017820107399</v>
      </c>
      <c r="CR33" s="120">
        <v>0.13197171898732299</v>
      </c>
    </row>
    <row r="34" spans="1:96" ht="12.75" x14ac:dyDescent="0.2">
      <c r="A34" s="117">
        <v>1.258</v>
      </c>
      <c r="B34" s="117">
        <v>1.2030000000000001</v>
      </c>
      <c r="C34" s="117">
        <v>1.0669999999999999</v>
      </c>
      <c r="D34" s="117">
        <v>1.0860000000000001</v>
      </c>
      <c r="E34" s="117">
        <v>0.96799999999999997</v>
      </c>
      <c r="F34" s="130">
        <v>0.97499999999999998</v>
      </c>
      <c r="G34" s="135">
        <v>1.04</v>
      </c>
      <c r="H34" s="133">
        <v>1.038</v>
      </c>
      <c r="I34" s="134">
        <v>1.141</v>
      </c>
      <c r="J34" s="134">
        <v>1.0269999999999999</v>
      </c>
      <c r="K34" s="135">
        <v>0.997</v>
      </c>
      <c r="L34" s="135">
        <v>1.0109999999999999</v>
      </c>
      <c r="M34" s="135">
        <v>0.98099999999999998</v>
      </c>
      <c r="N34" s="135">
        <v>1.077</v>
      </c>
      <c r="O34" s="135">
        <v>1.18</v>
      </c>
      <c r="P34" s="135">
        <v>1.179</v>
      </c>
      <c r="Q34" s="135">
        <v>1.0760000000000001</v>
      </c>
      <c r="R34" s="135">
        <v>1.0820000000000001</v>
      </c>
      <c r="S34" s="135">
        <v>1.06</v>
      </c>
      <c r="T34" s="135">
        <v>1.0609999999999999</v>
      </c>
      <c r="U34" s="135">
        <v>1.004</v>
      </c>
      <c r="V34" s="135">
        <f t="shared" si="0"/>
        <v>1.014</v>
      </c>
      <c r="W34" s="135">
        <f t="shared" si="1"/>
        <v>1.1040000000000001</v>
      </c>
      <c r="X34" s="135">
        <v>0.996</v>
      </c>
      <c r="Y34" s="135">
        <v>1.014</v>
      </c>
      <c r="Z34" s="135">
        <v>1.0489999999999999</v>
      </c>
      <c r="AA34" s="135">
        <v>1.0629999999999999</v>
      </c>
      <c r="AB34" s="135">
        <v>1.038</v>
      </c>
      <c r="AC34" s="135">
        <v>1.0329999999999999</v>
      </c>
      <c r="AD34" s="135">
        <v>1.02</v>
      </c>
      <c r="AE34" s="135">
        <v>0.89600000000000002</v>
      </c>
      <c r="AF34" s="135">
        <v>0.99199999999999999</v>
      </c>
      <c r="AG34" s="135">
        <v>0.84399999999999997</v>
      </c>
      <c r="AH34" s="135">
        <v>0.77600000000000002</v>
      </c>
      <c r="AI34" s="135">
        <v>0.76</v>
      </c>
      <c r="AJ34" s="135">
        <v>0.74099999999999999</v>
      </c>
      <c r="AK34" s="135">
        <v>0.70299999999999996</v>
      </c>
      <c r="AL34" s="139"/>
      <c r="AN34" t="s">
        <v>107</v>
      </c>
      <c r="AO34">
        <v>21.8</v>
      </c>
      <c r="AP34">
        <v>20.5</v>
      </c>
      <c r="AQ34">
        <v>20</v>
      </c>
      <c r="AR34">
        <v>19.7</v>
      </c>
      <c r="AS34">
        <v>19.399999999999999</v>
      </c>
      <c r="AT34">
        <v>19.100000000000001</v>
      </c>
      <c r="AU34">
        <v>18.600000000000001</v>
      </c>
      <c r="AV34">
        <v>17.7</v>
      </c>
      <c r="AW34">
        <v>17</v>
      </c>
      <c r="AX34">
        <v>16.5</v>
      </c>
      <c r="AY34">
        <v>15.9</v>
      </c>
      <c r="AZ34">
        <v>15.5</v>
      </c>
      <c r="BA34">
        <v>16</v>
      </c>
      <c r="BR34" s="120">
        <v>7.3861679727541384E-3</v>
      </c>
      <c r="BS34" s="120">
        <v>7.1209019085142471E-3</v>
      </c>
      <c r="BT34" s="120">
        <v>7.073219490838621E-3</v>
      </c>
      <c r="BU34" s="120">
        <v>7.3729439504749547E-3</v>
      </c>
      <c r="BV34" s="120">
        <v>7.0361756709658536E-3</v>
      </c>
      <c r="BW34" s="120">
        <v>6.9683099232219058E-3</v>
      </c>
      <c r="BX34" s="120">
        <v>7.0747863760444426E-3</v>
      </c>
      <c r="BY34" s="120">
        <v>7.1064564359243892E-3</v>
      </c>
      <c r="BZ34" s="120">
        <v>7.0981438832946765E-3</v>
      </c>
      <c r="CA34" s="120">
        <v>7.5070262372049709E-3</v>
      </c>
      <c r="CB34" s="120">
        <v>7.9588373027107192E-3</v>
      </c>
      <c r="CC34" s="120">
        <v>8.7986766020390975E-3</v>
      </c>
      <c r="CD34" s="120">
        <v>1.1520458275011971E-2</v>
      </c>
      <c r="CF34" s="120">
        <v>0.21320264011879561</v>
      </c>
      <c r="CG34" s="120">
        <v>0.19610100187597185</v>
      </c>
      <c r="CH34" s="120">
        <v>0.19063807872036742</v>
      </c>
      <c r="CI34" s="120">
        <v>0.19514183449835226</v>
      </c>
      <c r="CJ34" s="120">
        <v>0.18215220269573651</v>
      </c>
      <c r="CK34" s="120">
        <v>0.17692824812610194</v>
      </c>
      <c r="CL34" s="120">
        <v>0.1733365690706713</v>
      </c>
      <c r="CM34" s="120">
        <v>0.16304751946292245</v>
      </c>
      <c r="CN34" s="120">
        <v>0.15346105283712005</v>
      </c>
      <c r="CO34" s="120">
        <v>0.15404212052566299</v>
      </c>
      <c r="CP34" s="120">
        <v>0.14871825298419361</v>
      </c>
      <c r="CQ34" s="120">
        <v>0.14105659782410584</v>
      </c>
      <c r="CR34" s="120">
        <v>0.14086594791824575</v>
      </c>
    </row>
    <row r="35" spans="1:96" ht="12.75" x14ac:dyDescent="0.2">
      <c r="A35" s="117">
        <v>1.2769999999999999</v>
      </c>
      <c r="B35" s="117">
        <v>1.2230000000000001</v>
      </c>
      <c r="C35" s="117">
        <v>1.0820000000000001</v>
      </c>
      <c r="D35" s="117">
        <v>1.1020000000000001</v>
      </c>
      <c r="E35" s="117">
        <v>0.98199999999999998</v>
      </c>
      <c r="F35" s="130">
        <v>0.99099999999999999</v>
      </c>
      <c r="G35" s="135">
        <v>1.0569999999999999</v>
      </c>
      <c r="H35" s="133">
        <v>1.0569999999999999</v>
      </c>
      <c r="I35" s="134">
        <v>1.1559999999999999</v>
      </c>
      <c r="J35" s="134">
        <v>1.042</v>
      </c>
      <c r="K35" s="135">
        <v>1.0109999999999999</v>
      </c>
      <c r="L35" s="135">
        <v>1.026</v>
      </c>
      <c r="M35" s="135">
        <v>0.996</v>
      </c>
      <c r="N35" s="135">
        <v>1.093</v>
      </c>
      <c r="O35" s="135">
        <v>1.198</v>
      </c>
      <c r="P35" s="135">
        <v>1.1970000000000001</v>
      </c>
      <c r="Q35" s="135">
        <v>1.093</v>
      </c>
      <c r="R35" s="135">
        <v>1.099</v>
      </c>
      <c r="S35" s="135">
        <v>1.077</v>
      </c>
      <c r="T35" s="135">
        <v>1.0780000000000001</v>
      </c>
      <c r="U35" s="135">
        <v>1.0209999999999999</v>
      </c>
      <c r="V35" s="135">
        <f t="shared" si="0"/>
        <v>1.0309999999999999</v>
      </c>
      <c r="W35" s="135">
        <f t="shared" si="1"/>
        <v>1.121</v>
      </c>
      <c r="X35" s="135">
        <v>1.0129999999999999</v>
      </c>
      <c r="Y35" s="135">
        <v>1.0309999999999999</v>
      </c>
      <c r="Z35" s="135">
        <v>1.0669999999999999</v>
      </c>
      <c r="AA35" s="135">
        <v>1.08</v>
      </c>
      <c r="AB35" s="135">
        <v>1.056</v>
      </c>
      <c r="AC35" s="135">
        <v>1.0509999999999999</v>
      </c>
      <c r="AD35" s="135">
        <v>1.038</v>
      </c>
      <c r="AE35" s="135">
        <v>0.91</v>
      </c>
      <c r="AF35" s="135">
        <v>1.008</v>
      </c>
      <c r="AG35" s="135">
        <v>0.85599999999999998</v>
      </c>
      <c r="AH35" s="135">
        <v>0.78700000000000003</v>
      </c>
      <c r="AI35" s="135">
        <v>0.77300000000000002</v>
      </c>
      <c r="AJ35" s="135">
        <v>0.754</v>
      </c>
      <c r="AK35" s="135">
        <v>0.71599999999999997</v>
      </c>
      <c r="AL35" s="139"/>
      <c r="AN35" t="s">
        <v>108</v>
      </c>
      <c r="AO35">
        <v>21</v>
      </c>
      <c r="AP35">
        <v>20</v>
      </c>
      <c r="AQ35">
        <v>19.600000000000001</v>
      </c>
      <c r="AR35">
        <v>19.2</v>
      </c>
      <c r="AS35">
        <v>18.899999999999999</v>
      </c>
      <c r="AT35">
        <v>18.600000000000001</v>
      </c>
      <c r="AU35">
        <v>18.100000000000001</v>
      </c>
      <c r="AV35">
        <v>17.2</v>
      </c>
      <c r="AW35">
        <v>16.5</v>
      </c>
      <c r="AX35">
        <v>16</v>
      </c>
      <c r="AY35">
        <v>15.3</v>
      </c>
      <c r="AZ35">
        <v>14.6</v>
      </c>
      <c r="BA35">
        <v>14.3</v>
      </c>
      <c r="BR35" s="120">
        <v>6.0624922254845339E-3</v>
      </c>
      <c r="BS35" s="120">
        <v>6.5098221870343422E-3</v>
      </c>
      <c r="BT35" s="120">
        <v>6.6621879794924984E-3</v>
      </c>
      <c r="BU35" s="120">
        <v>6.2870575157339759E-3</v>
      </c>
      <c r="BV35" s="120">
        <v>6.5857281531312055E-3</v>
      </c>
      <c r="BW35" s="120">
        <v>6.6650476335643385E-3</v>
      </c>
      <c r="BX35" s="120">
        <v>6.6760811467798361E-3</v>
      </c>
      <c r="BY35" s="120">
        <v>6.8248225213481898E-3</v>
      </c>
      <c r="BZ35" s="120">
        <v>7.0579009859226324E-3</v>
      </c>
      <c r="CA35" s="120">
        <v>7.0409877543020838E-3</v>
      </c>
      <c r="CB35" s="120">
        <v>7.2544773160479461E-3</v>
      </c>
      <c r="CC35" s="120">
        <v>7.860538156454152E-3</v>
      </c>
      <c r="CD35" s="120">
        <v>9.0951550681990633E-3</v>
      </c>
      <c r="CF35" s="120">
        <v>0.18050972900602533</v>
      </c>
      <c r="CG35" s="120">
        <v>0.18571594756380819</v>
      </c>
      <c r="CH35" s="120">
        <v>0.18619006913401728</v>
      </c>
      <c r="CI35" s="120">
        <v>0.17174497198563196</v>
      </c>
      <c r="CJ35" s="120">
        <v>0.17661252115700052</v>
      </c>
      <c r="CK35" s="120">
        <v>0.1753795005791054</v>
      </c>
      <c r="CL35" s="120">
        <v>0.16938380042738149</v>
      </c>
      <c r="CM35" s="120">
        <v>0.16197495060655573</v>
      </c>
      <c r="CN35" s="120">
        <v>0.15783575723985921</v>
      </c>
      <c r="CO35" s="120">
        <v>0.14912352424803146</v>
      </c>
      <c r="CP35" s="120">
        <v>0.13959929256795273</v>
      </c>
      <c r="CQ35" s="120">
        <v>0.12942984983089723</v>
      </c>
      <c r="CR35" s="120">
        <v>0.11335732264420868</v>
      </c>
    </row>
    <row r="36" spans="1:96" ht="12.75" x14ac:dyDescent="0.2">
      <c r="A36" s="117">
        <v>1.2929999999999999</v>
      </c>
      <c r="B36" s="117">
        <v>1.238</v>
      </c>
      <c r="C36" s="117">
        <v>1.093</v>
      </c>
      <c r="D36" s="117">
        <v>1.115</v>
      </c>
      <c r="E36" s="117">
        <v>0.99299999999999999</v>
      </c>
      <c r="F36" s="130">
        <v>1.0029999999999999</v>
      </c>
      <c r="G36" s="135">
        <v>1.07</v>
      </c>
      <c r="H36" s="133">
        <v>1.07</v>
      </c>
      <c r="I36" s="134">
        <v>1.1679999999999999</v>
      </c>
      <c r="J36" s="134">
        <v>1.0529999999999999</v>
      </c>
      <c r="K36" s="135">
        <v>1.022</v>
      </c>
      <c r="L36" s="135">
        <v>1.0369999999999999</v>
      </c>
      <c r="M36" s="135">
        <v>1.0069999999999999</v>
      </c>
      <c r="N36" s="135">
        <v>1.105</v>
      </c>
      <c r="O36" s="135">
        <v>1.212</v>
      </c>
      <c r="P36" s="135">
        <v>1.2110000000000001</v>
      </c>
      <c r="Q36" s="135">
        <v>1.1060000000000001</v>
      </c>
      <c r="R36" s="135">
        <v>1.1120000000000001</v>
      </c>
      <c r="S36" s="135">
        <v>1.0900000000000001</v>
      </c>
      <c r="T36" s="135">
        <v>1.091</v>
      </c>
      <c r="U36" s="135">
        <v>1.034</v>
      </c>
      <c r="V36" s="135">
        <f t="shared" si="0"/>
        <v>1.044</v>
      </c>
      <c r="W36" s="135">
        <f t="shared" si="1"/>
        <v>1.1340000000000001</v>
      </c>
      <c r="X36" s="135">
        <v>1.026</v>
      </c>
      <c r="Y36" s="135">
        <v>1.044</v>
      </c>
      <c r="Z36" s="135">
        <v>1.08</v>
      </c>
      <c r="AA36" s="135">
        <v>1.093</v>
      </c>
      <c r="AB36" s="135">
        <v>1.069</v>
      </c>
      <c r="AC36" s="135">
        <v>1.0649999999999999</v>
      </c>
      <c r="AD36" s="135">
        <v>1.052</v>
      </c>
      <c r="AE36" s="135">
        <v>0.92100000000000004</v>
      </c>
      <c r="AF36" s="135">
        <v>1.02</v>
      </c>
      <c r="AG36" s="135">
        <v>0.86499999999999999</v>
      </c>
      <c r="AH36" s="135">
        <v>0.79400000000000004</v>
      </c>
      <c r="AI36" s="135">
        <v>0.78200000000000003</v>
      </c>
      <c r="AJ36" s="135">
        <v>0.76400000000000001</v>
      </c>
      <c r="AK36" s="135">
        <v>0.72499999999999998</v>
      </c>
      <c r="AL36" s="139"/>
      <c r="AN36" t="s">
        <v>109</v>
      </c>
      <c r="AO36">
        <v>20.6</v>
      </c>
      <c r="AP36">
        <v>19.7</v>
      </c>
      <c r="AQ36">
        <v>19.3</v>
      </c>
      <c r="AR36">
        <v>18.899999999999999</v>
      </c>
      <c r="AS36">
        <v>18.600000000000001</v>
      </c>
      <c r="AT36">
        <v>18.399999999999999</v>
      </c>
      <c r="AU36">
        <v>17.899999999999999</v>
      </c>
      <c r="AV36">
        <v>17</v>
      </c>
      <c r="AW36">
        <v>16.3</v>
      </c>
      <c r="AX36">
        <v>15.8</v>
      </c>
      <c r="AY36">
        <v>15</v>
      </c>
      <c r="AZ36">
        <v>14.2</v>
      </c>
      <c r="BA36">
        <v>13.6</v>
      </c>
      <c r="BR36" s="120">
        <v>6.6574223304110471E-3</v>
      </c>
      <c r="BS36" s="120">
        <v>6.433068732428395E-3</v>
      </c>
      <c r="BT36" s="120">
        <v>6.3105099374392752E-3</v>
      </c>
      <c r="BU36" s="120">
        <v>6.592795590685558E-3</v>
      </c>
      <c r="BV36" s="120">
        <v>6.390641534332153E-3</v>
      </c>
      <c r="BW36" s="120">
        <v>6.591954648140495E-3</v>
      </c>
      <c r="BX36" s="120">
        <v>6.6818923550285795E-3</v>
      </c>
      <c r="BY36" s="120">
        <v>6.7355925145454621E-3</v>
      </c>
      <c r="BZ36" s="120">
        <v>6.7621596065236033E-3</v>
      </c>
      <c r="CA36" s="120">
        <v>7.0680580579170751E-3</v>
      </c>
      <c r="CB36" s="120">
        <v>7.254152929135553E-3</v>
      </c>
      <c r="CC36" s="120">
        <v>8.0073514136941651E-3</v>
      </c>
      <c r="CD36" s="120">
        <v>1.0296168192502222E-2</v>
      </c>
      <c r="CF36" s="120">
        <v>0.2077144205790469</v>
      </c>
      <c r="CG36" s="120">
        <v>0.19150449108638071</v>
      </c>
      <c r="CH36" s="120">
        <v>0.18368102649271831</v>
      </c>
      <c r="CI36" s="120">
        <v>0.18792330243681513</v>
      </c>
      <c r="CJ36" s="120">
        <v>0.17844408133775333</v>
      </c>
      <c r="CK36" s="120">
        <v>0.18080046284511631</v>
      </c>
      <c r="CL36" s="120">
        <v>0.17653367678353829</v>
      </c>
      <c r="CM36" s="120">
        <v>0.16624751160350032</v>
      </c>
      <c r="CN36" s="120">
        <v>0.15704738344020272</v>
      </c>
      <c r="CO36" s="120">
        <v>0.15532811387337256</v>
      </c>
      <c r="CP36" s="120">
        <v>0.14454500199581707</v>
      </c>
      <c r="CQ36" s="120">
        <v>0.13629368096122074</v>
      </c>
      <c r="CR36" s="120">
        <v>0.13258303644640987</v>
      </c>
    </row>
    <row r="37" spans="1:96" ht="12.75" x14ac:dyDescent="0.2">
      <c r="A37" s="117">
        <v>1.304</v>
      </c>
      <c r="B37" s="117">
        <v>1.25</v>
      </c>
      <c r="C37" s="117">
        <v>1.1020000000000001</v>
      </c>
      <c r="D37" s="117">
        <v>1.1240000000000001</v>
      </c>
      <c r="E37" s="117">
        <v>1</v>
      </c>
      <c r="F37" s="130">
        <v>1.0129999999999999</v>
      </c>
      <c r="G37" s="135">
        <v>1.079</v>
      </c>
      <c r="H37" s="133">
        <v>1.079</v>
      </c>
      <c r="I37" s="134">
        <v>1.1759999999999999</v>
      </c>
      <c r="J37" s="134">
        <v>1.0629999999999999</v>
      </c>
      <c r="K37" s="135">
        <v>1.03</v>
      </c>
      <c r="L37" s="135">
        <v>1.0449999999999999</v>
      </c>
      <c r="M37" s="135">
        <v>1.0149999999999999</v>
      </c>
      <c r="N37" s="135">
        <v>1.111</v>
      </c>
      <c r="O37" s="135">
        <v>1.222</v>
      </c>
      <c r="P37" s="135">
        <v>1.2210000000000001</v>
      </c>
      <c r="Q37" s="135">
        <v>1.1160000000000001</v>
      </c>
      <c r="R37" s="135">
        <v>1.1220000000000001</v>
      </c>
      <c r="S37" s="135">
        <v>1.1000000000000001</v>
      </c>
      <c r="T37" s="135">
        <v>1.101</v>
      </c>
      <c r="U37" s="135">
        <v>1.044</v>
      </c>
      <c r="V37" s="135">
        <f t="shared" si="0"/>
        <v>1.054</v>
      </c>
      <c r="W37" s="135">
        <f t="shared" si="1"/>
        <v>1.1440000000000001</v>
      </c>
      <c r="X37" s="135">
        <v>1.036</v>
      </c>
      <c r="Y37" s="135">
        <v>1.054</v>
      </c>
      <c r="Z37" s="135">
        <v>1.0900000000000001</v>
      </c>
      <c r="AA37" s="135">
        <v>1.103</v>
      </c>
      <c r="AB37" s="135">
        <v>1.08</v>
      </c>
      <c r="AC37" s="135">
        <v>1.075</v>
      </c>
      <c r="AD37" s="135">
        <v>1.0620000000000001</v>
      </c>
      <c r="AE37" s="135">
        <v>0.92800000000000005</v>
      </c>
      <c r="AF37" s="135">
        <v>1.0289999999999999</v>
      </c>
      <c r="AG37" s="135">
        <v>0.871</v>
      </c>
      <c r="AH37" s="135">
        <v>0.8</v>
      </c>
      <c r="AI37" s="135">
        <v>0.78900000000000003</v>
      </c>
      <c r="AJ37" s="135">
        <v>0.77100000000000002</v>
      </c>
      <c r="AK37" s="135">
        <v>0.73199999999999998</v>
      </c>
      <c r="AL37" s="139"/>
      <c r="AN37" t="s">
        <v>110</v>
      </c>
      <c r="AO37">
        <v>20.2</v>
      </c>
      <c r="AP37">
        <v>19.399999999999999</v>
      </c>
      <c r="AQ37">
        <v>19</v>
      </c>
      <c r="AR37">
        <v>18.7</v>
      </c>
      <c r="AS37">
        <v>18.399999999999999</v>
      </c>
      <c r="AT37">
        <v>18.100000000000001</v>
      </c>
      <c r="AU37">
        <v>17.7</v>
      </c>
      <c r="AV37">
        <v>16.8</v>
      </c>
      <c r="AW37">
        <v>16.100000000000001</v>
      </c>
      <c r="AX37">
        <v>15.6</v>
      </c>
      <c r="AY37">
        <v>14.8</v>
      </c>
      <c r="AZ37">
        <v>13.9</v>
      </c>
      <c r="BA37">
        <v>13.1</v>
      </c>
      <c r="BR37" s="120">
        <v>5.5292533461927503E-3</v>
      </c>
      <c r="BS37" s="120">
        <v>5.9180950137572349E-3</v>
      </c>
      <c r="BT37" s="120">
        <v>6.0091986267175844E-3</v>
      </c>
      <c r="BU37" s="120">
        <v>6.034056566347994E-3</v>
      </c>
      <c r="BV37" s="120">
        <v>6.2327058450504999E-3</v>
      </c>
      <c r="BW37" s="120">
        <v>5.8685136892549271E-3</v>
      </c>
      <c r="BX37" s="120">
        <v>6.1751031216684101E-3</v>
      </c>
      <c r="BY37" s="120">
        <v>6.288150551267498E-3</v>
      </c>
      <c r="BZ37" s="120">
        <v>6.4644103485634579E-3</v>
      </c>
      <c r="CA37" s="120">
        <v>6.4910694816522063E-3</v>
      </c>
      <c r="CB37" s="120">
        <v>6.897229385521824E-3</v>
      </c>
      <c r="CC37" s="120">
        <v>7.3026099094394602E-3</v>
      </c>
      <c r="CD37" s="120">
        <v>8.5170831917521801E-3</v>
      </c>
      <c r="CF37" s="120">
        <v>0.17267935005486645</v>
      </c>
      <c r="CG37" s="120">
        <v>0.17676557699813356</v>
      </c>
      <c r="CH37" s="120">
        <v>0.17557057606878976</v>
      </c>
      <c r="CI37" s="120">
        <v>0.17303769688045825</v>
      </c>
      <c r="CJ37" s="120">
        <v>0.17514908996960771</v>
      </c>
      <c r="CK37" s="120">
        <v>0.16098051265028765</v>
      </c>
      <c r="CL37" s="120">
        <v>0.16372285259056577</v>
      </c>
      <c r="CM37" s="120">
        <v>0.15563823656663425</v>
      </c>
      <c r="CN37" s="120">
        <v>0.15048824802181837</v>
      </c>
      <c r="CO37" s="120">
        <v>0.14301375987471743</v>
      </c>
      <c r="CP37" s="120">
        <v>0.13798088521521112</v>
      </c>
      <c r="CQ37" s="120">
        <v>0.12458455905384068</v>
      </c>
      <c r="CR37" s="120">
        <v>0.10973687934666666</v>
      </c>
    </row>
    <row r="38" spans="1:96" ht="12.75" x14ac:dyDescent="0.2">
      <c r="A38" s="117">
        <v>1.3129999999999999</v>
      </c>
      <c r="B38" s="117">
        <v>1.258</v>
      </c>
      <c r="C38" s="117">
        <v>1.109</v>
      </c>
      <c r="D38" s="117">
        <v>1.1319999999999999</v>
      </c>
      <c r="E38" s="117">
        <v>1.006</v>
      </c>
      <c r="F38" s="130">
        <v>1.02</v>
      </c>
      <c r="G38" s="135">
        <v>1.0860000000000001</v>
      </c>
      <c r="H38" s="133">
        <v>1.0860000000000001</v>
      </c>
      <c r="I38" s="134">
        <v>1.1830000000000001</v>
      </c>
      <c r="J38" s="134">
        <v>1.0669999999999999</v>
      </c>
      <c r="K38" s="135">
        <v>1.0369999999999999</v>
      </c>
      <c r="L38" s="135">
        <v>1.0509999999999999</v>
      </c>
      <c r="M38" s="135">
        <v>1.0209999999999999</v>
      </c>
      <c r="N38" s="135">
        <v>1.1160000000000001</v>
      </c>
      <c r="O38" s="135">
        <v>1.23</v>
      </c>
      <c r="P38" s="135">
        <v>1.2290000000000001</v>
      </c>
      <c r="Q38" s="135">
        <v>1.123</v>
      </c>
      <c r="R38" s="135">
        <v>1.129</v>
      </c>
      <c r="S38" s="135">
        <v>1.1060000000000001</v>
      </c>
      <c r="T38" s="135">
        <v>1.1080000000000001</v>
      </c>
      <c r="U38" s="135">
        <v>1.052</v>
      </c>
      <c r="V38" s="135">
        <f t="shared" si="0"/>
        <v>1.0620000000000001</v>
      </c>
      <c r="W38" s="135">
        <f t="shared" si="1"/>
        <v>1.1520000000000001</v>
      </c>
      <c r="X38" s="135">
        <v>1.0429999999999999</v>
      </c>
      <c r="Y38" s="135">
        <v>1.0609999999999999</v>
      </c>
      <c r="Z38" s="135">
        <v>1.0980000000000001</v>
      </c>
      <c r="AA38" s="135">
        <v>1.109</v>
      </c>
      <c r="AB38" s="135">
        <v>1.087</v>
      </c>
      <c r="AC38" s="135">
        <v>1.083</v>
      </c>
      <c r="AD38" s="135">
        <v>1.07</v>
      </c>
      <c r="AE38" s="135">
        <v>0.93400000000000005</v>
      </c>
      <c r="AF38" s="135">
        <v>1.0349999999999999</v>
      </c>
      <c r="AG38" s="135">
        <v>0.875</v>
      </c>
      <c r="AH38" s="135">
        <v>0.80300000000000005</v>
      </c>
      <c r="AI38" s="135">
        <v>0.79400000000000004</v>
      </c>
      <c r="AJ38" s="135">
        <v>0.77500000000000002</v>
      </c>
      <c r="AK38" s="135">
        <v>0.73599999999999999</v>
      </c>
      <c r="AL38" s="139"/>
    </row>
    <row r="39" spans="1:96" ht="12.75" x14ac:dyDescent="0.2">
      <c r="A39" s="117">
        <v>1.319</v>
      </c>
      <c r="B39" s="117">
        <v>1.264</v>
      </c>
      <c r="C39" s="117">
        <v>1.113</v>
      </c>
      <c r="D39" s="117">
        <v>1.137</v>
      </c>
      <c r="E39" s="117">
        <v>1.01</v>
      </c>
      <c r="F39" s="130">
        <v>1.0249999999999999</v>
      </c>
      <c r="G39" s="135">
        <v>1.091</v>
      </c>
      <c r="H39" s="133">
        <v>1.0920000000000001</v>
      </c>
      <c r="I39" s="134">
        <v>1.1870000000000001</v>
      </c>
      <c r="J39" s="134">
        <v>1.0720000000000001</v>
      </c>
      <c r="K39" s="135">
        <v>1.0409999999999999</v>
      </c>
      <c r="L39" s="135">
        <v>1.0549999999999999</v>
      </c>
      <c r="M39" s="135">
        <v>1.0249999999999999</v>
      </c>
      <c r="N39" s="135">
        <v>1.121</v>
      </c>
      <c r="O39" s="135">
        <v>1.236</v>
      </c>
      <c r="P39" s="135">
        <v>1.234</v>
      </c>
      <c r="Q39" s="135">
        <v>1.1279999999999999</v>
      </c>
      <c r="R39" s="135">
        <v>1.135</v>
      </c>
      <c r="S39" s="135">
        <v>1.1120000000000001</v>
      </c>
      <c r="T39" s="135">
        <v>1.113</v>
      </c>
      <c r="U39" s="135">
        <v>1.056</v>
      </c>
      <c r="V39" s="135">
        <f t="shared" si="0"/>
        <v>1.0660000000000001</v>
      </c>
      <c r="W39" s="135">
        <f t="shared" si="1"/>
        <v>1.1560000000000001</v>
      </c>
      <c r="X39" s="135">
        <v>1.048</v>
      </c>
      <c r="Y39" s="135">
        <v>1.0660000000000001</v>
      </c>
      <c r="Z39" s="135">
        <v>1.103</v>
      </c>
      <c r="AA39" s="135">
        <v>1.1140000000000001</v>
      </c>
      <c r="AB39" s="135">
        <v>1.0920000000000001</v>
      </c>
      <c r="AC39" s="135">
        <v>1.0880000000000001</v>
      </c>
      <c r="AD39" s="135">
        <v>1.075</v>
      </c>
      <c r="AE39" s="135">
        <v>0.93700000000000006</v>
      </c>
      <c r="AF39" s="135">
        <v>1.0389999999999999</v>
      </c>
      <c r="AG39" s="135">
        <v>0.877</v>
      </c>
      <c r="AH39" s="135">
        <v>0.80400000000000005</v>
      </c>
      <c r="AI39" s="135">
        <v>0.79700000000000004</v>
      </c>
      <c r="AJ39" s="135">
        <v>0.77800000000000002</v>
      </c>
      <c r="AK39" s="135">
        <v>0.73899999999999999</v>
      </c>
      <c r="AL39" s="139"/>
      <c r="AO39">
        <v>-0.5</v>
      </c>
      <c r="AP39">
        <v>-0.25</v>
      </c>
      <c r="AQ39">
        <v>-0.13</v>
      </c>
      <c r="AR39">
        <v>0</v>
      </c>
      <c r="AS39">
        <v>0.125</v>
      </c>
      <c r="AT39">
        <v>0.25</v>
      </c>
      <c r="AU39">
        <v>0.5</v>
      </c>
      <c r="AV39">
        <v>1</v>
      </c>
      <c r="AW39">
        <v>1.5</v>
      </c>
      <c r="AX39">
        <v>2</v>
      </c>
      <c r="AY39">
        <v>3</v>
      </c>
      <c r="AZ39">
        <v>5</v>
      </c>
      <c r="BA39">
        <v>10</v>
      </c>
    </row>
    <row r="40" spans="1:96" ht="12.75" x14ac:dyDescent="0.2">
      <c r="A40" s="117">
        <v>1.323</v>
      </c>
      <c r="B40" s="117">
        <v>1.2689999999999999</v>
      </c>
      <c r="C40" s="117">
        <v>1.117</v>
      </c>
      <c r="D40" s="117">
        <v>1.141</v>
      </c>
      <c r="E40" s="117">
        <v>1.012</v>
      </c>
      <c r="F40" s="130">
        <v>1.0289999999999999</v>
      </c>
      <c r="G40" s="135">
        <v>1.095</v>
      </c>
      <c r="H40" s="133">
        <v>1.0960000000000001</v>
      </c>
      <c r="I40" s="134">
        <v>1.19</v>
      </c>
      <c r="J40" s="134">
        <v>1.0740000000000001</v>
      </c>
      <c r="K40" s="135">
        <v>1.0429999999999999</v>
      </c>
      <c r="L40" s="135">
        <v>1.0569999999999999</v>
      </c>
      <c r="M40" s="135">
        <v>1.0269999999999999</v>
      </c>
      <c r="N40" s="135">
        <v>1.1240000000000001</v>
      </c>
      <c r="O40" s="135">
        <v>1.24</v>
      </c>
      <c r="P40" s="135">
        <v>1.238</v>
      </c>
      <c r="Q40" s="135">
        <v>1.1319999999999999</v>
      </c>
      <c r="R40" s="135">
        <v>1.1379999999999999</v>
      </c>
      <c r="S40" s="135">
        <v>1.115</v>
      </c>
      <c r="T40" s="135">
        <v>1.1160000000000001</v>
      </c>
      <c r="U40" s="135">
        <v>1.0589999999999999</v>
      </c>
      <c r="V40" s="135">
        <f t="shared" si="0"/>
        <v>1.069</v>
      </c>
      <c r="W40" s="135">
        <f t="shared" si="1"/>
        <v>1.159</v>
      </c>
      <c r="X40" s="135">
        <v>1.0509999999999999</v>
      </c>
      <c r="Y40" s="135">
        <v>1.069</v>
      </c>
      <c r="Z40" s="135">
        <v>1.1060000000000001</v>
      </c>
      <c r="AA40" s="135">
        <v>1.117</v>
      </c>
      <c r="AB40" s="135">
        <v>1.095</v>
      </c>
      <c r="AC40" s="135">
        <v>1.0920000000000001</v>
      </c>
      <c r="AD40" s="135">
        <v>1.079</v>
      </c>
      <c r="AE40" s="135">
        <v>0.93899999999999995</v>
      </c>
      <c r="AF40" s="135">
        <v>1.042</v>
      </c>
      <c r="AG40" s="135">
        <v>0.878</v>
      </c>
      <c r="AH40" s="135">
        <v>0.80400000000000005</v>
      </c>
      <c r="AI40" s="135">
        <v>0.79800000000000004</v>
      </c>
      <c r="AJ40" s="135">
        <v>0.78</v>
      </c>
      <c r="AK40" s="135">
        <v>0.74</v>
      </c>
      <c r="AL40" s="139">
        <v>12.02</v>
      </c>
      <c r="AN40" t="s">
        <v>25</v>
      </c>
      <c r="AO40" s="127">
        <v>15.7</v>
      </c>
      <c r="AP40" s="127">
        <v>12.6</v>
      </c>
      <c r="AQ40" s="127">
        <v>12.4</v>
      </c>
      <c r="AR40" s="127">
        <v>13</v>
      </c>
      <c r="AS40" s="127">
        <v>14.1</v>
      </c>
      <c r="AT40" s="128">
        <v>15.1</v>
      </c>
      <c r="AU40" s="128">
        <v>17.5</v>
      </c>
      <c r="AV40" s="128">
        <v>21.7</v>
      </c>
      <c r="AW40" s="128">
        <v>25.3</v>
      </c>
      <c r="AX40" s="128">
        <v>28.4</v>
      </c>
      <c r="AY40" s="128">
        <v>33.6</v>
      </c>
      <c r="AZ40" s="128">
        <v>41.3</v>
      </c>
      <c r="BA40" s="128">
        <v>53.2</v>
      </c>
      <c r="BC40">
        <f t="shared" ref="BC40:BO40" si="2">AO40-AO23</f>
        <v>4.1999999999999993</v>
      </c>
      <c r="BD40">
        <f t="shared" si="2"/>
        <v>3.1999999999999993</v>
      </c>
      <c r="BE40">
        <f t="shared" si="2"/>
        <v>2.7000000000000011</v>
      </c>
      <c r="BF40">
        <f t="shared" si="2"/>
        <v>2.4000000000000004</v>
      </c>
      <c r="BG40">
        <f t="shared" si="2"/>
        <v>2.4000000000000004</v>
      </c>
      <c r="BH40">
        <f t="shared" si="2"/>
        <v>2.2999999999999989</v>
      </c>
      <c r="BI40">
        <f t="shared" si="2"/>
        <v>2.5999999999999996</v>
      </c>
      <c r="BJ40">
        <f t="shared" si="2"/>
        <v>3</v>
      </c>
      <c r="BK40">
        <f t="shared" si="2"/>
        <v>3.4000000000000021</v>
      </c>
      <c r="BL40">
        <f t="shared" si="2"/>
        <v>3.7999999999999972</v>
      </c>
      <c r="BM40">
        <f t="shared" si="2"/>
        <v>4.5</v>
      </c>
      <c r="BN40">
        <f t="shared" si="2"/>
        <v>5.5</v>
      </c>
      <c r="BO40">
        <f t="shared" si="2"/>
        <v>7</v>
      </c>
    </row>
    <row r="41" spans="1:96" ht="12.75" x14ac:dyDescent="0.2">
      <c r="A41" s="117">
        <v>1.325</v>
      </c>
      <c r="B41" s="117">
        <v>1.2729999999999999</v>
      </c>
      <c r="C41" s="117">
        <v>1.119</v>
      </c>
      <c r="D41" s="117">
        <v>1.1439999999999999</v>
      </c>
      <c r="E41" s="117">
        <v>1.0129999999999999</v>
      </c>
      <c r="F41" s="130">
        <v>1.032</v>
      </c>
      <c r="G41" s="135">
        <v>1.097</v>
      </c>
      <c r="H41" s="133">
        <v>1.099</v>
      </c>
      <c r="I41" s="134">
        <v>1.1919999999999999</v>
      </c>
      <c r="J41" s="134">
        <v>1.075</v>
      </c>
      <c r="K41" s="135">
        <v>1.044</v>
      </c>
      <c r="L41" s="135">
        <v>1.0580000000000001</v>
      </c>
      <c r="M41" s="135">
        <v>1.028</v>
      </c>
      <c r="N41" s="135">
        <v>1.1259999999999999</v>
      </c>
      <c r="O41" s="135">
        <v>1.244</v>
      </c>
      <c r="P41" s="135">
        <v>1.24</v>
      </c>
      <c r="Q41" s="135">
        <v>1.133</v>
      </c>
      <c r="R41" s="135">
        <v>1.1399999999999999</v>
      </c>
      <c r="S41" s="135">
        <v>1.117</v>
      </c>
      <c r="T41" s="135">
        <v>1.1180000000000001</v>
      </c>
      <c r="U41" s="135">
        <v>1.0609999999999999</v>
      </c>
      <c r="V41" s="135">
        <f t="shared" si="0"/>
        <v>1.071</v>
      </c>
      <c r="W41" s="135">
        <f t="shared" si="1"/>
        <v>1.161</v>
      </c>
      <c r="X41" s="135">
        <v>1.0529999999999999</v>
      </c>
      <c r="Y41" s="135">
        <v>1.071</v>
      </c>
      <c r="Z41" s="135">
        <v>1.1080000000000001</v>
      </c>
      <c r="AA41" s="135">
        <v>1.119</v>
      </c>
      <c r="AB41" s="135">
        <v>1.097</v>
      </c>
      <c r="AC41" s="135">
        <v>1.095</v>
      </c>
      <c r="AD41" s="135">
        <v>1.0820000000000001</v>
      </c>
      <c r="AE41" s="135">
        <v>0.94</v>
      </c>
      <c r="AF41" s="135">
        <v>1.0429999999999999</v>
      </c>
      <c r="AG41" s="135">
        <v>0.877</v>
      </c>
      <c r="AH41" s="135">
        <v>0.80300000000000005</v>
      </c>
      <c r="AI41" s="135">
        <v>0.79900000000000004</v>
      </c>
      <c r="AJ41" s="135">
        <v>0.78100000000000003</v>
      </c>
      <c r="AK41" s="135">
        <v>0.74</v>
      </c>
      <c r="AL41" s="139"/>
      <c r="AN41" t="s">
        <v>156</v>
      </c>
      <c r="AO41" s="127">
        <v>16.2</v>
      </c>
      <c r="AP41" s="127">
        <v>13.3</v>
      </c>
      <c r="AQ41" s="127">
        <v>13</v>
      </c>
      <c r="AR41" s="127">
        <v>13.4</v>
      </c>
      <c r="AS41" s="127">
        <v>14.4</v>
      </c>
      <c r="AT41" s="128">
        <v>15.2</v>
      </c>
      <c r="AU41" s="128">
        <v>17.2</v>
      </c>
      <c r="AV41" s="128">
        <v>20.9</v>
      </c>
      <c r="AW41" s="128">
        <v>24.2</v>
      </c>
      <c r="AX41" s="128">
        <v>26.9</v>
      </c>
      <c r="AY41" s="128">
        <v>31.5</v>
      </c>
      <c r="AZ41" s="128">
        <v>38.200000000000003</v>
      </c>
      <c r="BA41" s="128">
        <v>48.5</v>
      </c>
      <c r="BC41" t="e">
        <f>AO41-#REF!</f>
        <v>#REF!</v>
      </c>
      <c r="BD41" t="e">
        <f>AP41-#REF!</f>
        <v>#REF!</v>
      </c>
      <c r="BE41" t="e">
        <f>AQ41-#REF!</f>
        <v>#REF!</v>
      </c>
      <c r="BF41" t="e">
        <f>AR41-#REF!</f>
        <v>#REF!</v>
      </c>
      <c r="BG41" t="e">
        <f>AS41-#REF!</f>
        <v>#REF!</v>
      </c>
      <c r="BH41" t="e">
        <f>AT41-#REF!</f>
        <v>#REF!</v>
      </c>
      <c r="BI41" t="e">
        <f>AU41-#REF!</f>
        <v>#REF!</v>
      </c>
      <c r="BJ41" t="e">
        <f>AV41-#REF!</f>
        <v>#REF!</v>
      </c>
      <c r="BK41" t="e">
        <f>AW41-#REF!</f>
        <v>#REF!</v>
      </c>
      <c r="BL41" t="e">
        <f>AX41-#REF!</f>
        <v>#REF!</v>
      </c>
      <c r="BM41" t="e">
        <f>AY41-#REF!</f>
        <v>#REF!</v>
      </c>
      <c r="BN41" t="e">
        <f>AZ41-#REF!</f>
        <v>#REF!</v>
      </c>
      <c r="BO41" t="e">
        <f>BA41-#REF!</f>
        <v>#REF!</v>
      </c>
    </row>
    <row r="42" spans="1:96" ht="12.75" x14ac:dyDescent="0.2">
      <c r="A42" s="117">
        <v>1.329</v>
      </c>
      <c r="B42" s="117">
        <v>1.276</v>
      </c>
      <c r="C42" s="117">
        <v>1.121</v>
      </c>
      <c r="D42" s="117">
        <v>1.145</v>
      </c>
      <c r="E42" s="117">
        <v>1.0129999999999999</v>
      </c>
      <c r="F42" s="130">
        <v>1.034</v>
      </c>
      <c r="G42" s="135">
        <v>1.099</v>
      </c>
      <c r="H42" s="133">
        <v>1.101</v>
      </c>
      <c r="I42" s="134">
        <v>1.1930000000000001</v>
      </c>
      <c r="J42" s="134">
        <v>1.0760000000000001</v>
      </c>
      <c r="K42" s="135">
        <v>1.0449999999999999</v>
      </c>
      <c r="L42" s="135">
        <v>1.0580000000000001</v>
      </c>
      <c r="M42" s="135">
        <v>1.028</v>
      </c>
      <c r="N42" s="135">
        <v>1.127</v>
      </c>
      <c r="O42" s="135">
        <v>1.246</v>
      </c>
      <c r="P42" s="135">
        <v>1.2430000000000001</v>
      </c>
      <c r="Q42" s="135">
        <v>1.135</v>
      </c>
      <c r="R42" s="135">
        <v>1.141</v>
      </c>
      <c r="S42" s="135">
        <v>1.1180000000000001</v>
      </c>
      <c r="T42" s="135">
        <v>1.119</v>
      </c>
      <c r="U42" s="135">
        <v>1.0620000000000001</v>
      </c>
      <c r="V42" s="135">
        <f t="shared" si="0"/>
        <v>1.0720000000000001</v>
      </c>
      <c r="W42" s="135">
        <f t="shared" si="1"/>
        <v>1.1620000000000001</v>
      </c>
      <c r="X42" s="135">
        <v>1.054</v>
      </c>
      <c r="Y42" s="135">
        <v>1.0720000000000001</v>
      </c>
      <c r="Z42" s="135">
        <v>1.109</v>
      </c>
      <c r="AA42" s="135">
        <v>1.1200000000000001</v>
      </c>
      <c r="AB42" s="135">
        <v>1.099</v>
      </c>
      <c r="AC42" s="135">
        <v>1.097</v>
      </c>
      <c r="AD42" s="135">
        <v>1.0840000000000001</v>
      </c>
      <c r="AE42" s="135">
        <v>0.93899999999999995</v>
      </c>
      <c r="AF42" s="135">
        <v>1.044</v>
      </c>
      <c r="AG42" s="135">
        <v>0.876</v>
      </c>
      <c r="AH42" s="135">
        <v>0.80100000000000005</v>
      </c>
      <c r="AI42" s="135">
        <v>0.79800000000000004</v>
      </c>
      <c r="AJ42" s="135">
        <v>0.78</v>
      </c>
      <c r="AK42" s="135">
        <v>0.74</v>
      </c>
      <c r="AL42" s="139"/>
      <c r="AN42" t="s">
        <v>157</v>
      </c>
      <c r="AO42" s="127">
        <v>16.8</v>
      </c>
      <c r="AP42" s="127">
        <v>14.1</v>
      </c>
      <c r="AQ42" s="127">
        <v>13.7</v>
      </c>
      <c r="AR42" s="127">
        <v>13.9</v>
      </c>
      <c r="AS42" s="127">
        <v>14.6</v>
      </c>
      <c r="AT42" s="128">
        <v>15.2</v>
      </c>
      <c r="AU42" s="128">
        <v>16.899999999999999</v>
      </c>
      <c r="AV42" s="128">
        <v>20</v>
      </c>
      <c r="AW42" s="128">
        <v>22.8</v>
      </c>
      <c r="AX42" s="128">
        <v>25.2</v>
      </c>
      <c r="AY42" s="128">
        <v>29.2</v>
      </c>
      <c r="AZ42" s="128">
        <v>35</v>
      </c>
      <c r="BA42" s="128">
        <v>43.7</v>
      </c>
      <c r="BC42">
        <f t="shared" ref="BC42:BC55" si="3">AO42-AO24</f>
        <v>4.1000000000000014</v>
      </c>
      <c r="BD42">
        <f t="shared" ref="BD42:BD55" si="4">AP42-AP24</f>
        <v>3.1999999999999993</v>
      </c>
      <c r="BE42">
        <f t="shared" ref="BE42:BE55" si="5">AQ42-AQ24</f>
        <v>2.5999999999999996</v>
      </c>
      <c r="BF42">
        <f t="shared" ref="BF42:BF55" si="6">AR42-AR24</f>
        <v>2</v>
      </c>
      <c r="BG42">
        <f t="shared" ref="BG42:BG55" si="7">AS42-AS24</f>
        <v>1.6999999999999993</v>
      </c>
      <c r="BH42">
        <f t="shared" ref="BH42:BH55" si="8">AT42-AT24</f>
        <v>1.5</v>
      </c>
      <c r="BI42">
        <f t="shared" ref="BI42:BI55" si="9">AU42-AU24</f>
        <v>1.3999999999999986</v>
      </c>
      <c r="BJ42">
        <f t="shared" ref="BJ42:BJ55" si="10">AV42-AV24</f>
        <v>1.3000000000000007</v>
      </c>
      <c r="BK42">
        <f t="shared" ref="BK42:BK55" si="11">AW42-AW24</f>
        <v>1.3000000000000007</v>
      </c>
      <c r="BL42">
        <f t="shared" ref="BL42:BL55" si="12">AX42-AX24</f>
        <v>1.3999999999999986</v>
      </c>
      <c r="BM42">
        <f t="shared" ref="BM42:BM55" si="13">AY42-AY24</f>
        <v>1.5</v>
      </c>
      <c r="BN42">
        <f t="shared" ref="BN42:BN55" si="14">AZ42-AZ24</f>
        <v>1.7999999999999972</v>
      </c>
      <c r="BO42">
        <f t="shared" ref="BO42:BO55" si="15">BA42-BA24</f>
        <v>2.2000000000000028</v>
      </c>
    </row>
    <row r="43" spans="1:96" ht="12.75" x14ac:dyDescent="0.2">
      <c r="A43" s="117">
        <v>1.331</v>
      </c>
      <c r="B43" s="117">
        <v>1.278</v>
      </c>
      <c r="C43" s="117">
        <v>1.1220000000000001</v>
      </c>
      <c r="D43" s="117">
        <v>1.147</v>
      </c>
      <c r="E43" s="117">
        <v>1.012</v>
      </c>
      <c r="F43" s="130">
        <v>1.0349999999999999</v>
      </c>
      <c r="G43" s="135">
        <v>1.1000000000000001</v>
      </c>
      <c r="H43" s="133">
        <v>1.1020000000000001</v>
      </c>
      <c r="I43" s="134">
        <v>1.1930000000000001</v>
      </c>
      <c r="J43" s="134">
        <v>1.0760000000000001</v>
      </c>
      <c r="K43" s="135">
        <v>1.044</v>
      </c>
      <c r="L43" s="135">
        <v>1.0580000000000001</v>
      </c>
      <c r="M43" s="135">
        <v>1.028</v>
      </c>
      <c r="N43" s="135">
        <v>1.1279999999999999</v>
      </c>
      <c r="O43" s="135">
        <v>1.2470000000000001</v>
      </c>
      <c r="P43" s="135">
        <v>1.244</v>
      </c>
      <c r="Q43" s="135">
        <v>1.1359999999999999</v>
      </c>
      <c r="R43" s="135">
        <v>1.1419999999999999</v>
      </c>
      <c r="S43" s="135">
        <v>1.119</v>
      </c>
      <c r="T43" s="135">
        <v>1.1200000000000001</v>
      </c>
      <c r="U43" s="135">
        <v>1.0620000000000001</v>
      </c>
      <c r="V43" s="135">
        <f t="shared" si="0"/>
        <v>1.0720000000000001</v>
      </c>
      <c r="W43" s="135">
        <f t="shared" si="1"/>
        <v>1.1620000000000001</v>
      </c>
      <c r="X43" s="135">
        <v>1.054</v>
      </c>
      <c r="Y43" s="135">
        <v>1.0720000000000001</v>
      </c>
      <c r="Z43" s="135">
        <v>1.1100000000000001</v>
      </c>
      <c r="AA43" s="135">
        <v>1.1200000000000001</v>
      </c>
      <c r="AB43" s="135">
        <v>1.1000000000000001</v>
      </c>
      <c r="AC43" s="135">
        <v>1.0980000000000001</v>
      </c>
      <c r="AD43" s="135">
        <v>1.085</v>
      </c>
      <c r="AE43" s="135">
        <v>0.93799999999999994</v>
      </c>
      <c r="AF43" s="135">
        <v>1.044</v>
      </c>
      <c r="AG43" s="135">
        <v>0.874</v>
      </c>
      <c r="AH43" s="135">
        <v>0.79900000000000004</v>
      </c>
      <c r="AI43" s="135">
        <v>0.79800000000000004</v>
      </c>
      <c r="AJ43" s="135">
        <v>0.77900000000000003</v>
      </c>
      <c r="AK43" s="135">
        <v>0.73899999999999999</v>
      </c>
      <c r="AL43" s="139"/>
      <c r="AN43" t="s">
        <v>99</v>
      </c>
      <c r="AO43" s="127">
        <v>19.899999999999999</v>
      </c>
      <c r="AP43" s="127">
        <v>16.7</v>
      </c>
      <c r="AQ43" s="127">
        <v>15.6</v>
      </c>
      <c r="AR43" s="127">
        <v>15</v>
      </c>
      <c r="AS43" s="127">
        <v>15</v>
      </c>
      <c r="AT43" s="128">
        <v>15</v>
      </c>
      <c r="AU43" s="128">
        <v>15.7</v>
      </c>
      <c r="AV43" s="128">
        <v>17.8</v>
      </c>
      <c r="AW43" s="128">
        <v>20</v>
      </c>
      <c r="AX43" s="128">
        <v>22</v>
      </c>
      <c r="AY43" s="128">
        <v>25.4</v>
      </c>
      <c r="AZ43" s="128">
        <v>30.2</v>
      </c>
      <c r="BA43" s="128">
        <v>37.1</v>
      </c>
      <c r="BC43">
        <f t="shared" si="3"/>
        <v>4.7999999999999989</v>
      </c>
      <c r="BD43">
        <f t="shared" si="4"/>
        <v>3.6999999999999993</v>
      </c>
      <c r="BE43">
        <f t="shared" si="5"/>
        <v>2.9000000000000004</v>
      </c>
      <c r="BF43">
        <f t="shared" si="6"/>
        <v>2</v>
      </c>
      <c r="BG43">
        <f t="shared" si="7"/>
        <v>1.3000000000000007</v>
      </c>
      <c r="BH43">
        <f t="shared" si="8"/>
        <v>0.69999999999999929</v>
      </c>
      <c r="BI43">
        <f t="shared" si="9"/>
        <v>0</v>
      </c>
      <c r="BJ43">
        <f t="shared" si="10"/>
        <v>-0.5</v>
      </c>
      <c r="BK43">
        <f t="shared" si="11"/>
        <v>-0.5</v>
      </c>
      <c r="BL43">
        <f t="shared" si="12"/>
        <v>-0.5</v>
      </c>
      <c r="BM43">
        <f t="shared" si="13"/>
        <v>-0.20000000000000284</v>
      </c>
      <c r="BN43">
        <f t="shared" si="14"/>
        <v>0.30000000000000071</v>
      </c>
      <c r="BO43">
        <f t="shared" si="15"/>
        <v>1.1000000000000014</v>
      </c>
    </row>
    <row r="44" spans="1:96" ht="12.75" x14ac:dyDescent="0.2">
      <c r="A44" s="117">
        <v>1.3320000000000001</v>
      </c>
      <c r="B44" s="117">
        <v>1.28</v>
      </c>
      <c r="C44" s="117">
        <v>1.1220000000000001</v>
      </c>
      <c r="D44" s="117">
        <v>1.147</v>
      </c>
      <c r="E44" s="117">
        <v>1.0109999999999999</v>
      </c>
      <c r="F44" s="130">
        <v>1.036</v>
      </c>
      <c r="G44" s="135">
        <v>1.1000000000000001</v>
      </c>
      <c r="H44" s="133">
        <v>1.103</v>
      </c>
      <c r="I44" s="134">
        <v>1.1930000000000001</v>
      </c>
      <c r="J44" s="134">
        <v>1.0760000000000001</v>
      </c>
      <c r="K44" s="135">
        <v>1.0429999999999999</v>
      </c>
      <c r="L44" s="135">
        <v>1.0569999999999999</v>
      </c>
      <c r="M44" s="135">
        <v>1.0269999999999999</v>
      </c>
      <c r="N44" s="135">
        <v>1.1279999999999999</v>
      </c>
      <c r="O44" s="135">
        <v>1.248</v>
      </c>
      <c r="P44" s="135">
        <v>1.244</v>
      </c>
      <c r="Q44" s="135">
        <v>1.1359999999999999</v>
      </c>
      <c r="R44" s="135">
        <v>1.1419999999999999</v>
      </c>
      <c r="S44" s="135">
        <v>1.119</v>
      </c>
      <c r="T44" s="135">
        <v>1.1200000000000001</v>
      </c>
      <c r="U44" s="135">
        <v>1.0609999999999999</v>
      </c>
      <c r="V44" s="135">
        <f t="shared" si="0"/>
        <v>1.071</v>
      </c>
      <c r="W44" s="135">
        <f t="shared" si="1"/>
        <v>1.161</v>
      </c>
      <c r="X44" s="135">
        <v>1.054</v>
      </c>
      <c r="Y44" s="135">
        <v>1.0720000000000001</v>
      </c>
      <c r="Z44" s="135">
        <v>1.1100000000000001</v>
      </c>
      <c r="AA44" s="135">
        <v>1.1200000000000001</v>
      </c>
      <c r="AB44" s="135">
        <v>1.1000000000000001</v>
      </c>
      <c r="AC44" s="135">
        <v>1.099</v>
      </c>
      <c r="AD44" s="135">
        <v>1.0860000000000001</v>
      </c>
      <c r="AE44" s="135">
        <v>0.93700000000000006</v>
      </c>
      <c r="AF44" s="135">
        <v>1.044</v>
      </c>
      <c r="AG44" s="135">
        <v>0.871</v>
      </c>
      <c r="AH44" s="135">
        <v>0.79600000000000004</v>
      </c>
      <c r="AI44" s="135">
        <v>0.79600000000000004</v>
      </c>
      <c r="AJ44" s="135">
        <v>0.77800000000000002</v>
      </c>
      <c r="AK44" s="135">
        <v>0.73799999999999999</v>
      </c>
      <c r="AL44" s="139"/>
      <c r="AN44" t="s">
        <v>101</v>
      </c>
      <c r="AO44" s="127">
        <v>21.7</v>
      </c>
      <c r="AP44" s="127">
        <v>18.8</v>
      </c>
      <c r="AQ44" s="127">
        <v>17.8</v>
      </c>
      <c r="AR44" s="127">
        <v>17.100000000000001</v>
      </c>
      <c r="AS44" s="127">
        <v>16.899999999999999</v>
      </c>
      <c r="AT44" s="128">
        <v>16.7</v>
      </c>
      <c r="AU44" s="128">
        <v>16.899999999999999</v>
      </c>
      <c r="AV44" s="128">
        <v>18</v>
      </c>
      <c r="AW44" s="128">
        <v>19.399999999999999</v>
      </c>
      <c r="AX44" s="128">
        <v>20.9</v>
      </c>
      <c r="AY44" s="128">
        <v>23.5</v>
      </c>
      <c r="AZ44" s="128">
        <v>27.5</v>
      </c>
      <c r="BA44" s="128">
        <v>33.200000000000003</v>
      </c>
      <c r="BC44">
        <f t="shared" si="3"/>
        <v>4.6999999999999993</v>
      </c>
      <c r="BD44">
        <f t="shared" si="4"/>
        <v>3.6000000000000014</v>
      </c>
      <c r="BE44">
        <f t="shared" si="5"/>
        <v>2.9000000000000004</v>
      </c>
      <c r="BF44">
        <f t="shared" si="6"/>
        <v>2.1000000000000014</v>
      </c>
      <c r="BG44">
        <f t="shared" si="7"/>
        <v>1.3999999999999986</v>
      </c>
      <c r="BH44">
        <f t="shared" si="8"/>
        <v>0.89999999999999858</v>
      </c>
      <c r="BI44">
        <f t="shared" si="9"/>
        <v>0.29999999999999716</v>
      </c>
      <c r="BJ44">
        <f t="shared" si="10"/>
        <v>-0.10000000000000142</v>
      </c>
      <c r="BK44">
        <f t="shared" si="11"/>
        <v>-0.10000000000000142</v>
      </c>
      <c r="BL44">
        <f t="shared" si="12"/>
        <v>0.19999999999999929</v>
      </c>
      <c r="BM44">
        <f t="shared" si="13"/>
        <v>0.69999999999999929</v>
      </c>
      <c r="BN44">
        <f t="shared" si="14"/>
        <v>1.6999999999999993</v>
      </c>
      <c r="BO44">
        <f t="shared" si="15"/>
        <v>3.0000000000000036</v>
      </c>
    </row>
    <row r="45" spans="1:96" ht="12.75" x14ac:dyDescent="0.2">
      <c r="A45" s="117">
        <v>1.333</v>
      </c>
      <c r="B45" s="117">
        <v>1.2809999999999999</v>
      </c>
      <c r="C45" s="117">
        <v>1.121</v>
      </c>
      <c r="D45" s="117">
        <v>1.147</v>
      </c>
      <c r="E45" s="117">
        <v>1.0089999999999999</v>
      </c>
      <c r="F45" s="130">
        <v>1.036</v>
      </c>
      <c r="G45" s="135">
        <v>1.1000000000000001</v>
      </c>
      <c r="H45" s="133">
        <v>1.103</v>
      </c>
      <c r="I45" s="134">
        <v>1.1919999999999999</v>
      </c>
      <c r="J45" s="134">
        <v>1.075</v>
      </c>
      <c r="K45" s="135">
        <v>1.042</v>
      </c>
      <c r="L45" s="135">
        <v>1.0549999999999999</v>
      </c>
      <c r="M45" s="135">
        <v>1.0249999999999999</v>
      </c>
      <c r="N45" s="135">
        <v>1.127</v>
      </c>
      <c r="O45" s="135">
        <v>1.248</v>
      </c>
      <c r="P45" s="135">
        <v>1.244</v>
      </c>
      <c r="Q45" s="135">
        <v>1.135</v>
      </c>
      <c r="R45" s="135">
        <v>1.141</v>
      </c>
      <c r="S45" s="135">
        <v>1.1180000000000001</v>
      </c>
      <c r="T45" s="135">
        <v>1.119</v>
      </c>
      <c r="U45" s="135">
        <v>1.06</v>
      </c>
      <c r="V45" s="135">
        <f t="shared" si="0"/>
        <v>1.07</v>
      </c>
      <c r="W45" s="135">
        <f t="shared" si="1"/>
        <v>1.1600000000000001</v>
      </c>
      <c r="X45" s="135">
        <v>1.0529999999999999</v>
      </c>
      <c r="Y45" s="135">
        <v>1.071</v>
      </c>
      <c r="Z45" s="135">
        <v>1.109</v>
      </c>
      <c r="AA45" s="135">
        <v>1.1200000000000001</v>
      </c>
      <c r="AB45" s="135">
        <v>1.1000000000000001</v>
      </c>
      <c r="AC45" s="135">
        <v>1.099</v>
      </c>
      <c r="AD45" s="135">
        <v>1.0860000000000001</v>
      </c>
      <c r="AE45" s="135">
        <v>0.93600000000000005</v>
      </c>
      <c r="AF45" s="135">
        <v>1.0429999999999999</v>
      </c>
      <c r="AG45" s="135">
        <v>0.86899999999999999</v>
      </c>
      <c r="AH45" s="135">
        <v>0.79300000000000004</v>
      </c>
      <c r="AI45" s="135">
        <v>0.79500000000000004</v>
      </c>
      <c r="AJ45" s="135">
        <v>0.77700000000000002</v>
      </c>
      <c r="AK45" s="135">
        <v>0.73699999999999999</v>
      </c>
      <c r="AL45" s="139"/>
      <c r="AN45" t="s">
        <v>102</v>
      </c>
      <c r="AO45" s="127">
        <v>22.9</v>
      </c>
      <c r="AP45" s="127">
        <v>20.2</v>
      </c>
      <c r="AQ45" s="127">
        <v>19.3</v>
      </c>
      <c r="AR45" s="127">
        <v>18.600000000000001</v>
      </c>
      <c r="AS45" s="127">
        <v>18.3</v>
      </c>
      <c r="AT45" s="128">
        <v>18.100000000000001</v>
      </c>
      <c r="AU45" s="128">
        <v>18</v>
      </c>
      <c r="AV45" s="128">
        <v>18.3</v>
      </c>
      <c r="AW45" s="128">
        <v>19.100000000000001</v>
      </c>
      <c r="AX45" s="128">
        <v>19.899999999999999</v>
      </c>
      <c r="AY45" s="128">
        <v>21.7</v>
      </c>
      <c r="AZ45" s="128">
        <v>24.7</v>
      </c>
      <c r="BA45" s="128">
        <v>29.3</v>
      </c>
      <c r="BC45">
        <f t="shared" si="3"/>
        <v>3.8999999999999986</v>
      </c>
      <c r="BD45">
        <f t="shared" si="4"/>
        <v>3.0999999999999979</v>
      </c>
      <c r="BE45">
        <f t="shared" si="5"/>
        <v>2.5</v>
      </c>
      <c r="BF45">
        <f t="shared" si="6"/>
        <v>1.9000000000000021</v>
      </c>
      <c r="BG45">
        <f t="shared" si="7"/>
        <v>1.3000000000000007</v>
      </c>
      <c r="BH45">
        <f t="shared" si="8"/>
        <v>1</v>
      </c>
      <c r="BI45">
        <f t="shared" si="9"/>
        <v>0.5</v>
      </c>
      <c r="BJ45">
        <f t="shared" si="10"/>
        <v>0.10000000000000142</v>
      </c>
      <c r="BK45">
        <f t="shared" si="11"/>
        <v>0.10000000000000142</v>
      </c>
      <c r="BL45">
        <f t="shared" si="12"/>
        <v>9.9999999999997868E-2</v>
      </c>
      <c r="BM45">
        <f t="shared" si="13"/>
        <v>0.30000000000000071</v>
      </c>
      <c r="BN45">
        <f t="shared" si="14"/>
        <v>0.80000000000000071</v>
      </c>
      <c r="BO45">
        <f t="shared" si="15"/>
        <v>1.5</v>
      </c>
    </row>
    <row r="46" spans="1:96" ht="12.75" x14ac:dyDescent="0.2">
      <c r="A46" s="117">
        <v>1.3320000000000001</v>
      </c>
      <c r="B46" s="117">
        <v>1.2829999999999999</v>
      </c>
      <c r="C46" s="117">
        <v>1.087</v>
      </c>
      <c r="D46" s="117">
        <v>1.1299999999999999</v>
      </c>
      <c r="E46" s="117">
        <v>0.98499999999999999</v>
      </c>
      <c r="F46" s="130">
        <v>1.026</v>
      </c>
      <c r="G46" s="135">
        <v>1.0840000000000001</v>
      </c>
      <c r="H46" s="133">
        <v>1.087</v>
      </c>
      <c r="I46" s="134">
        <v>1.1739999999999999</v>
      </c>
      <c r="J46" s="134">
        <v>1.0529999999999999</v>
      </c>
      <c r="K46" s="135">
        <v>1.0109999999999999</v>
      </c>
      <c r="L46" s="135">
        <v>1.0189999999999999</v>
      </c>
      <c r="M46" s="135">
        <v>0.99099999999999999</v>
      </c>
      <c r="N46" s="135">
        <v>1.0980000000000001</v>
      </c>
      <c r="O46" s="135">
        <v>1.222</v>
      </c>
      <c r="P46" s="135">
        <v>1.2190000000000001</v>
      </c>
      <c r="Q46" s="135">
        <v>1.109</v>
      </c>
      <c r="R46" s="135">
        <v>1.115</v>
      </c>
      <c r="S46" s="135">
        <v>1.093</v>
      </c>
      <c r="T46" s="135">
        <v>1.0940000000000001</v>
      </c>
      <c r="U46" s="135">
        <v>1.0349999999999999</v>
      </c>
      <c r="V46" s="135">
        <f t="shared" si="0"/>
        <v>1.0449999999999999</v>
      </c>
      <c r="W46" s="135">
        <f t="shared" si="1"/>
        <v>1.135</v>
      </c>
      <c r="X46" s="135">
        <v>1.03</v>
      </c>
      <c r="Y46" s="135">
        <v>1.0509999999999999</v>
      </c>
      <c r="Z46" s="135">
        <v>1.0900000000000001</v>
      </c>
      <c r="AA46" s="135">
        <v>1.107</v>
      </c>
      <c r="AB46" s="135">
        <v>1.0880000000000001</v>
      </c>
      <c r="AC46" s="135">
        <v>1.089</v>
      </c>
      <c r="AD46" s="135">
        <v>1.0740000000000001</v>
      </c>
      <c r="AE46" s="135">
        <v>0.91500000000000004</v>
      </c>
      <c r="AF46" s="135">
        <v>1.026</v>
      </c>
      <c r="AG46" s="135">
        <v>0.84099999999999997</v>
      </c>
      <c r="AH46" s="135">
        <v>0.755</v>
      </c>
      <c r="AI46" s="135">
        <v>0.78</v>
      </c>
      <c r="AJ46" s="135">
        <v>0.76400000000000001</v>
      </c>
      <c r="AK46" s="135">
        <v>0.72599999999999998</v>
      </c>
      <c r="AL46" s="139"/>
      <c r="AN46" t="s">
        <v>103</v>
      </c>
      <c r="AO46" s="127">
        <v>23.6</v>
      </c>
      <c r="AP46" s="127">
        <v>21.2</v>
      </c>
      <c r="AQ46" s="127">
        <v>20.3</v>
      </c>
      <c r="AR46" s="127">
        <v>19.7</v>
      </c>
      <c r="AS46" s="127">
        <v>19.3</v>
      </c>
      <c r="AT46" s="128">
        <v>19</v>
      </c>
      <c r="AU46" s="128">
        <v>18.7</v>
      </c>
      <c r="AV46" s="128">
        <v>18.600000000000001</v>
      </c>
      <c r="AW46" s="128">
        <v>18.8</v>
      </c>
      <c r="AX46" s="128">
        <v>19.2</v>
      </c>
      <c r="AY46" s="128">
        <v>20.3</v>
      </c>
      <c r="AZ46" s="128">
        <v>22.6</v>
      </c>
      <c r="BA46" s="128">
        <v>26.2</v>
      </c>
      <c r="BC46">
        <f t="shared" si="3"/>
        <v>3.2000000000000028</v>
      </c>
      <c r="BD46">
        <f t="shared" si="4"/>
        <v>2.5999999999999979</v>
      </c>
      <c r="BE46">
        <f t="shared" si="5"/>
        <v>2.1999999999999993</v>
      </c>
      <c r="BF46">
        <f t="shared" si="6"/>
        <v>1.6999999999999993</v>
      </c>
      <c r="BG46">
        <f t="shared" si="7"/>
        <v>1.1999999999999993</v>
      </c>
      <c r="BH46">
        <f t="shared" si="8"/>
        <v>0.89999999999999858</v>
      </c>
      <c r="BI46">
        <f t="shared" si="9"/>
        <v>0.5</v>
      </c>
      <c r="BJ46">
        <f t="shared" si="10"/>
        <v>0.20000000000000284</v>
      </c>
      <c r="BK46">
        <f t="shared" si="11"/>
        <v>0</v>
      </c>
      <c r="BL46">
        <f t="shared" si="12"/>
        <v>-0.10000000000000142</v>
      </c>
      <c r="BM46">
        <f t="shared" si="13"/>
        <v>-9.9999999999997868E-2</v>
      </c>
      <c r="BN46">
        <f t="shared" si="14"/>
        <v>0</v>
      </c>
      <c r="BO46">
        <f t="shared" si="15"/>
        <v>0.19999999999999929</v>
      </c>
    </row>
    <row r="47" spans="1:96" ht="12.75" x14ac:dyDescent="0.2">
      <c r="A47" s="117">
        <v>1.2889999999999999</v>
      </c>
      <c r="B47" s="117">
        <v>1.24</v>
      </c>
      <c r="C47" s="117">
        <v>1.01</v>
      </c>
      <c r="D47" s="117">
        <v>1.0669999999999999</v>
      </c>
      <c r="E47" s="117">
        <v>0.92100000000000004</v>
      </c>
      <c r="F47" s="130">
        <v>0.96899999999999997</v>
      </c>
      <c r="G47" s="135">
        <v>1.0229999999999999</v>
      </c>
      <c r="H47" s="133">
        <v>1.026</v>
      </c>
      <c r="I47" s="134">
        <v>1.1080000000000001</v>
      </c>
      <c r="J47" s="134">
        <v>0.98199999999999998</v>
      </c>
      <c r="K47" s="135">
        <v>0.93300000000000005</v>
      </c>
      <c r="L47" s="135">
        <v>0.94499999999999995</v>
      </c>
      <c r="M47" s="135">
        <v>0.91900000000000004</v>
      </c>
      <c r="N47" s="135">
        <v>1.03</v>
      </c>
      <c r="O47" s="135">
        <v>1.1539999999999999</v>
      </c>
      <c r="P47" s="135">
        <v>1.149</v>
      </c>
      <c r="Q47" s="135">
        <v>1.04</v>
      </c>
      <c r="R47" s="135">
        <v>1.046</v>
      </c>
      <c r="S47" s="135">
        <v>1.024</v>
      </c>
      <c r="T47" s="135">
        <v>1.0249999999999999</v>
      </c>
      <c r="U47" s="135">
        <v>0.96799999999999997</v>
      </c>
      <c r="V47" s="135">
        <f t="shared" si="0"/>
        <v>0.97799999999999998</v>
      </c>
      <c r="W47" s="135">
        <f t="shared" si="1"/>
        <v>1.0680000000000001</v>
      </c>
      <c r="X47" s="135">
        <v>0.96499999999999997</v>
      </c>
      <c r="Y47" s="135">
        <v>0.99099999999999999</v>
      </c>
      <c r="Z47" s="135">
        <v>1.03</v>
      </c>
      <c r="AA47" s="135">
        <v>1.052</v>
      </c>
      <c r="AB47" s="135">
        <v>1.032</v>
      </c>
      <c r="AC47" s="135">
        <v>1.0329999999999999</v>
      </c>
      <c r="AD47" s="135">
        <v>1.018</v>
      </c>
      <c r="AE47" s="135">
        <v>0.85399999999999998</v>
      </c>
      <c r="AF47" s="135">
        <v>0.96699999999999997</v>
      </c>
      <c r="AG47" s="135">
        <v>0.77800000000000002</v>
      </c>
      <c r="AH47" s="135">
        <v>0.7</v>
      </c>
      <c r="AI47" s="135">
        <v>0.73299999999999998</v>
      </c>
      <c r="AJ47" s="135">
        <v>0.71699999999999997</v>
      </c>
      <c r="AK47" s="135">
        <v>0.68300000000000005</v>
      </c>
      <c r="AL47" s="139"/>
      <c r="AN47" t="s">
        <v>104</v>
      </c>
      <c r="AO47" s="127">
        <v>23.9</v>
      </c>
      <c r="AP47" s="127">
        <v>21.7</v>
      </c>
      <c r="AQ47" s="127">
        <v>20.9</v>
      </c>
      <c r="AR47" s="127">
        <v>20.2</v>
      </c>
      <c r="AS47" s="127">
        <v>19.8</v>
      </c>
      <c r="AT47" s="128">
        <v>19.5</v>
      </c>
      <c r="AU47" s="128">
        <v>19.100000000000001</v>
      </c>
      <c r="AV47" s="128">
        <v>18.7</v>
      </c>
      <c r="AW47" s="128">
        <v>18.600000000000001</v>
      </c>
      <c r="AX47" s="128">
        <v>18.7</v>
      </c>
      <c r="AY47" s="128">
        <v>19.399999999999999</v>
      </c>
      <c r="AZ47" s="128">
        <v>21.1</v>
      </c>
      <c r="BA47" s="128">
        <v>24.2</v>
      </c>
      <c r="BC47">
        <f t="shared" si="3"/>
        <v>2.7999999999999972</v>
      </c>
      <c r="BD47">
        <f t="shared" si="4"/>
        <v>2.3000000000000007</v>
      </c>
      <c r="BE47">
        <f t="shared" si="5"/>
        <v>1.8999999999999986</v>
      </c>
      <c r="BF47">
        <f t="shared" si="6"/>
        <v>1.5</v>
      </c>
      <c r="BG47">
        <f t="shared" si="7"/>
        <v>1.1000000000000014</v>
      </c>
      <c r="BH47">
        <f t="shared" si="8"/>
        <v>0.89999999999999858</v>
      </c>
      <c r="BI47">
        <f t="shared" si="9"/>
        <v>0.5</v>
      </c>
      <c r="BJ47">
        <f t="shared" si="10"/>
        <v>0.19999999999999929</v>
      </c>
      <c r="BK47">
        <f t="shared" si="11"/>
        <v>0.10000000000000142</v>
      </c>
      <c r="BL47">
        <f t="shared" si="12"/>
        <v>0</v>
      </c>
      <c r="BM47">
        <f t="shared" si="13"/>
        <v>9.9999999999997868E-2</v>
      </c>
      <c r="BN47">
        <f t="shared" si="14"/>
        <v>0.20000000000000284</v>
      </c>
      <c r="BO47">
        <f t="shared" si="15"/>
        <v>0.5</v>
      </c>
    </row>
    <row r="48" spans="1:96" ht="12.75" x14ac:dyDescent="0.2">
      <c r="AL48" s="139"/>
      <c r="AN48" t="s">
        <v>105</v>
      </c>
      <c r="AO48" s="127">
        <v>24.1</v>
      </c>
      <c r="AP48" s="127">
        <v>22</v>
      </c>
      <c r="AQ48" s="127">
        <v>21.2</v>
      </c>
      <c r="AR48" s="127">
        <v>20.6</v>
      </c>
      <c r="AS48" s="127">
        <v>20.2</v>
      </c>
      <c r="AT48" s="128">
        <v>19.8</v>
      </c>
      <c r="AU48" s="128">
        <v>19.3</v>
      </c>
      <c r="AV48" s="128">
        <v>18.7</v>
      </c>
      <c r="AW48" s="128">
        <v>18.399999999999999</v>
      </c>
      <c r="AX48" s="128">
        <v>18.399999999999999</v>
      </c>
      <c r="AY48" s="128">
        <v>18.7</v>
      </c>
      <c r="AZ48" s="128">
        <v>20</v>
      </c>
      <c r="BA48" s="128">
        <v>22.7</v>
      </c>
      <c r="BC48">
        <f t="shared" si="3"/>
        <v>2.4000000000000021</v>
      </c>
      <c r="BD48">
        <f t="shared" si="4"/>
        <v>2</v>
      </c>
      <c r="BE48">
        <f t="shared" si="5"/>
        <v>1.6999999999999993</v>
      </c>
      <c r="BF48">
        <f t="shared" si="6"/>
        <v>1.3000000000000007</v>
      </c>
      <c r="BG48">
        <f t="shared" si="7"/>
        <v>1.0999999999999979</v>
      </c>
      <c r="BH48">
        <f t="shared" si="8"/>
        <v>0.80000000000000071</v>
      </c>
      <c r="BI48">
        <f t="shared" si="9"/>
        <v>0.5</v>
      </c>
      <c r="BJ48">
        <f t="shared" si="10"/>
        <v>0.19999999999999929</v>
      </c>
      <c r="BK48">
        <f t="shared" si="11"/>
        <v>0.19999999999999929</v>
      </c>
      <c r="BL48">
        <f t="shared" si="12"/>
        <v>0.19999999999999929</v>
      </c>
      <c r="BM48">
        <f t="shared" si="13"/>
        <v>0.19999999999999929</v>
      </c>
      <c r="BN48">
        <f t="shared" si="14"/>
        <v>0.39999999999999858</v>
      </c>
      <c r="BO48">
        <f t="shared" si="15"/>
        <v>0.69999999999999929</v>
      </c>
    </row>
    <row r="49" spans="1:67" ht="12.75" x14ac:dyDescent="0.2">
      <c r="AL49" s="139"/>
      <c r="AN49" t="s">
        <v>106</v>
      </c>
      <c r="AO49" s="127">
        <v>24.2</v>
      </c>
      <c r="AP49" s="127">
        <v>22.2</v>
      </c>
      <c r="AQ49" s="127">
        <v>21.4</v>
      </c>
      <c r="AR49" s="127">
        <v>20.8</v>
      </c>
      <c r="AS49" s="127">
        <v>20.399999999999999</v>
      </c>
      <c r="AT49" s="128">
        <v>20</v>
      </c>
      <c r="AU49" s="128">
        <v>19.5</v>
      </c>
      <c r="AV49" s="128">
        <v>18.7</v>
      </c>
      <c r="AW49" s="128">
        <v>18.3</v>
      </c>
      <c r="AX49" s="128">
        <v>18</v>
      </c>
      <c r="AY49" s="128">
        <v>18.100000000000001</v>
      </c>
      <c r="AZ49" s="128">
        <v>19.100000000000001</v>
      </c>
      <c r="BA49" s="128">
        <v>21.4</v>
      </c>
      <c r="BC49">
        <f t="shared" si="3"/>
        <v>2.0999999999999979</v>
      </c>
      <c r="BD49">
        <f t="shared" si="4"/>
        <v>1.6999999999999993</v>
      </c>
      <c r="BE49">
        <f t="shared" si="5"/>
        <v>1.3999999999999986</v>
      </c>
      <c r="BF49">
        <f t="shared" si="6"/>
        <v>1.1999999999999993</v>
      </c>
      <c r="BG49">
        <f t="shared" si="7"/>
        <v>0.89999999999999858</v>
      </c>
      <c r="BH49">
        <f t="shared" si="8"/>
        <v>0.69999999999999929</v>
      </c>
      <c r="BI49">
        <f t="shared" si="9"/>
        <v>0.5</v>
      </c>
      <c r="BJ49">
        <f t="shared" si="10"/>
        <v>0.30000000000000071</v>
      </c>
      <c r="BK49">
        <f t="shared" si="11"/>
        <v>0.30000000000000071</v>
      </c>
      <c r="BL49">
        <f t="shared" si="12"/>
        <v>0.19999999999999929</v>
      </c>
      <c r="BM49">
        <f t="shared" si="13"/>
        <v>0.30000000000000071</v>
      </c>
      <c r="BN49">
        <f t="shared" si="14"/>
        <v>0.40000000000000213</v>
      </c>
      <c r="BO49">
        <f t="shared" si="15"/>
        <v>0.59999999999999787</v>
      </c>
    </row>
    <row r="50" spans="1:67" ht="12.75" x14ac:dyDescent="0.2">
      <c r="AL50" s="139"/>
      <c r="AN50" t="s">
        <v>79</v>
      </c>
      <c r="AO50" s="127">
        <v>24.2</v>
      </c>
      <c r="AP50" s="127">
        <v>22.3</v>
      </c>
      <c r="AQ50" s="127">
        <v>21.6</v>
      </c>
      <c r="AR50" s="127">
        <v>21</v>
      </c>
      <c r="AS50" s="127">
        <v>20.5</v>
      </c>
      <c r="AT50" s="128">
        <v>20.100000000000001</v>
      </c>
      <c r="AU50" s="128">
        <v>19.5</v>
      </c>
      <c r="AV50" s="128">
        <v>18.7</v>
      </c>
      <c r="AW50" s="128">
        <v>18.100000000000001</v>
      </c>
      <c r="AX50" s="128">
        <v>17.8</v>
      </c>
      <c r="AY50" s="128">
        <v>17.7</v>
      </c>
      <c r="AZ50" s="128">
        <v>18.5</v>
      </c>
      <c r="BA50" s="128">
        <v>20.6</v>
      </c>
      <c r="BC50">
        <f t="shared" si="3"/>
        <v>1.8000000000000007</v>
      </c>
      <c r="BD50">
        <f t="shared" si="4"/>
        <v>1.5</v>
      </c>
      <c r="BE50">
        <f t="shared" si="5"/>
        <v>1.3000000000000007</v>
      </c>
      <c r="BF50">
        <f t="shared" si="6"/>
        <v>1.1000000000000014</v>
      </c>
      <c r="BG50">
        <f t="shared" si="7"/>
        <v>0.80000000000000071</v>
      </c>
      <c r="BH50">
        <f t="shared" si="8"/>
        <v>0.70000000000000284</v>
      </c>
      <c r="BI50">
        <f t="shared" si="9"/>
        <v>0.5</v>
      </c>
      <c r="BJ50">
        <f t="shared" si="10"/>
        <v>0.39999999999999858</v>
      </c>
      <c r="BK50">
        <f t="shared" si="11"/>
        <v>0.30000000000000071</v>
      </c>
      <c r="BL50">
        <f t="shared" si="12"/>
        <v>0.30000000000000071</v>
      </c>
      <c r="BM50">
        <f t="shared" si="13"/>
        <v>0.30000000000000071</v>
      </c>
      <c r="BN50">
        <f t="shared" si="14"/>
        <v>0.39999999999999858</v>
      </c>
      <c r="BO50">
        <f t="shared" si="15"/>
        <v>0.5</v>
      </c>
    </row>
    <row r="51" spans="1:67" ht="12.75" x14ac:dyDescent="0.2">
      <c r="AL51" s="139"/>
      <c r="AN51" t="s">
        <v>159</v>
      </c>
      <c r="AO51" s="127">
        <v>23.8</v>
      </c>
      <c r="AP51" s="127">
        <v>22.1</v>
      </c>
      <c r="AQ51" s="127">
        <v>21.4</v>
      </c>
      <c r="AR51" s="127">
        <v>20.8</v>
      </c>
      <c r="AS51" s="127">
        <v>20.399999999999999</v>
      </c>
      <c r="AT51" s="128">
        <v>20</v>
      </c>
      <c r="AU51" s="128">
        <v>19.399999999999999</v>
      </c>
      <c r="AV51" s="128">
        <v>18.5</v>
      </c>
      <c r="AW51" s="128">
        <v>17.8</v>
      </c>
      <c r="AX51" s="128">
        <v>17.399999999999999</v>
      </c>
      <c r="AY51" s="128">
        <v>17</v>
      </c>
      <c r="AZ51" s="128">
        <v>17.3</v>
      </c>
      <c r="BA51" s="128">
        <v>18.600000000000001</v>
      </c>
      <c r="BC51">
        <f t="shared" si="3"/>
        <v>1.6000000000000014</v>
      </c>
      <c r="BD51">
        <f t="shared" si="4"/>
        <v>1.3000000000000007</v>
      </c>
      <c r="BE51">
        <f t="shared" si="5"/>
        <v>1.0999999999999979</v>
      </c>
      <c r="BF51">
        <f t="shared" si="6"/>
        <v>0.90000000000000213</v>
      </c>
      <c r="BG51">
        <f t="shared" si="7"/>
        <v>0.69999999999999929</v>
      </c>
      <c r="BH51">
        <f t="shared" si="8"/>
        <v>0.60000000000000142</v>
      </c>
      <c r="BI51">
        <f t="shared" si="9"/>
        <v>0.5</v>
      </c>
      <c r="BJ51">
        <f t="shared" si="10"/>
        <v>0.39999999999999858</v>
      </c>
      <c r="BK51">
        <f t="shared" si="11"/>
        <v>0.30000000000000071</v>
      </c>
      <c r="BL51">
        <f t="shared" si="12"/>
        <v>0.39999999999999858</v>
      </c>
      <c r="BM51">
        <f t="shared" si="13"/>
        <v>0.39999999999999858</v>
      </c>
      <c r="BN51">
        <f t="shared" si="14"/>
        <v>0.60000000000000142</v>
      </c>
      <c r="BO51">
        <f t="shared" si="15"/>
        <v>0.60000000000000142</v>
      </c>
    </row>
    <row r="52" spans="1:67" ht="12.75" x14ac:dyDescent="0.2">
      <c r="AL52" s="139"/>
      <c r="AN52" t="s">
        <v>107</v>
      </c>
      <c r="AO52" s="127">
        <v>23</v>
      </c>
      <c r="AP52" s="127">
        <v>21.6</v>
      </c>
      <c r="AQ52" s="127">
        <v>21</v>
      </c>
      <c r="AR52" s="127">
        <v>20.5</v>
      </c>
      <c r="AS52" s="127">
        <v>20.100000000000001</v>
      </c>
      <c r="AT52" s="128">
        <v>19.7</v>
      </c>
      <c r="AU52" s="128">
        <v>19.100000000000001</v>
      </c>
      <c r="AV52" s="128">
        <v>18.100000000000001</v>
      </c>
      <c r="AW52" s="128">
        <v>17.399999999999999</v>
      </c>
      <c r="AX52" s="128">
        <v>16.899999999999999</v>
      </c>
      <c r="AY52" s="128">
        <v>16.399999999999999</v>
      </c>
      <c r="AZ52" s="128">
        <v>16.100000000000001</v>
      </c>
      <c r="BA52" s="128">
        <v>16.600000000000001</v>
      </c>
      <c r="BC52">
        <f t="shared" si="3"/>
        <v>1.1999999999999993</v>
      </c>
      <c r="BD52">
        <f t="shared" si="4"/>
        <v>1.1000000000000014</v>
      </c>
      <c r="BE52">
        <f t="shared" si="5"/>
        <v>1</v>
      </c>
      <c r="BF52">
        <f t="shared" si="6"/>
        <v>0.80000000000000071</v>
      </c>
      <c r="BG52">
        <f t="shared" si="7"/>
        <v>0.70000000000000284</v>
      </c>
      <c r="BH52">
        <f t="shared" si="8"/>
        <v>0.59999999999999787</v>
      </c>
      <c r="BI52">
        <f t="shared" si="9"/>
        <v>0.5</v>
      </c>
      <c r="BJ52">
        <f t="shared" si="10"/>
        <v>0.40000000000000213</v>
      </c>
      <c r="BK52">
        <f t="shared" si="11"/>
        <v>0.39999999999999858</v>
      </c>
      <c r="BL52">
        <f t="shared" si="12"/>
        <v>0.39999999999999858</v>
      </c>
      <c r="BM52">
        <f t="shared" si="13"/>
        <v>0.49999999999999822</v>
      </c>
      <c r="BN52">
        <f t="shared" si="14"/>
        <v>0.60000000000000142</v>
      </c>
      <c r="BO52">
        <f t="shared" si="15"/>
        <v>0.60000000000000142</v>
      </c>
    </row>
    <row r="53" spans="1:67" ht="12.75" x14ac:dyDescent="0.2">
      <c r="AL53" s="139"/>
      <c r="AN53" t="s">
        <v>108</v>
      </c>
      <c r="AO53" s="127">
        <v>22.1</v>
      </c>
      <c r="AP53" s="127">
        <v>20.9</v>
      </c>
      <c r="AQ53" s="127">
        <v>20.399999999999999</v>
      </c>
      <c r="AR53" s="127">
        <v>20</v>
      </c>
      <c r="AS53" s="127">
        <v>19.600000000000001</v>
      </c>
      <c r="AT53" s="128">
        <v>19.3</v>
      </c>
      <c r="AU53" s="128">
        <v>18.7</v>
      </c>
      <c r="AV53" s="128">
        <v>17.7</v>
      </c>
      <c r="AW53" s="128">
        <v>17</v>
      </c>
      <c r="AX53" s="128">
        <v>16.5</v>
      </c>
      <c r="AY53" s="128">
        <v>15.8</v>
      </c>
      <c r="AZ53" s="128">
        <v>15.2</v>
      </c>
      <c r="BA53" s="128">
        <v>14.9</v>
      </c>
      <c r="BC53">
        <f t="shared" si="3"/>
        <v>1.1000000000000014</v>
      </c>
      <c r="BD53">
        <f t="shared" si="4"/>
        <v>0.89999999999999858</v>
      </c>
      <c r="BE53">
        <f t="shared" si="5"/>
        <v>0.79999999999999716</v>
      </c>
      <c r="BF53">
        <f t="shared" si="6"/>
        <v>0.80000000000000071</v>
      </c>
      <c r="BG53">
        <f t="shared" si="7"/>
        <v>0.70000000000000284</v>
      </c>
      <c r="BH53">
        <f t="shared" si="8"/>
        <v>0.69999999999999929</v>
      </c>
      <c r="BI53">
        <f t="shared" si="9"/>
        <v>0.59999999999999787</v>
      </c>
      <c r="BJ53">
        <f t="shared" si="10"/>
        <v>0.5</v>
      </c>
      <c r="BK53">
        <f t="shared" si="11"/>
        <v>0.5</v>
      </c>
      <c r="BL53">
        <f t="shared" si="12"/>
        <v>0.5</v>
      </c>
      <c r="BM53">
        <f t="shared" si="13"/>
        <v>0.5</v>
      </c>
      <c r="BN53">
        <f t="shared" si="14"/>
        <v>0.59999999999999964</v>
      </c>
      <c r="BO53">
        <f t="shared" si="15"/>
        <v>0.59999999999999964</v>
      </c>
    </row>
    <row r="54" spans="1:67" ht="12.75" x14ac:dyDescent="0.2">
      <c r="AL54" s="139"/>
      <c r="AN54" t="s">
        <v>109</v>
      </c>
      <c r="AO54" s="127">
        <v>21.5</v>
      </c>
      <c r="AP54" s="127">
        <v>20.5</v>
      </c>
      <c r="AQ54" s="127">
        <v>20.100000000000001</v>
      </c>
      <c r="AR54" s="127">
        <v>19.7</v>
      </c>
      <c r="AS54" s="127">
        <v>19.3</v>
      </c>
      <c r="AT54" s="128">
        <v>19</v>
      </c>
      <c r="AU54" s="128">
        <v>18.399999999999999</v>
      </c>
      <c r="AV54" s="128">
        <v>17.5</v>
      </c>
      <c r="AW54" s="128">
        <v>16.8</v>
      </c>
      <c r="AX54" s="128">
        <v>16.3</v>
      </c>
      <c r="AY54" s="128">
        <v>15.5</v>
      </c>
      <c r="AZ54" s="128">
        <v>14.7</v>
      </c>
      <c r="BA54" s="128">
        <v>14.1</v>
      </c>
      <c r="BC54">
        <f t="shared" si="3"/>
        <v>0.89999999999999858</v>
      </c>
      <c r="BD54">
        <f t="shared" si="4"/>
        <v>0.80000000000000071</v>
      </c>
      <c r="BE54">
        <f t="shared" si="5"/>
        <v>0.80000000000000071</v>
      </c>
      <c r="BF54">
        <f t="shared" si="6"/>
        <v>0.80000000000000071</v>
      </c>
      <c r="BG54">
        <f t="shared" si="7"/>
        <v>0.69999999999999929</v>
      </c>
      <c r="BH54">
        <f t="shared" si="8"/>
        <v>0.60000000000000142</v>
      </c>
      <c r="BI54">
        <f t="shared" si="9"/>
        <v>0.5</v>
      </c>
      <c r="BJ54">
        <f t="shared" si="10"/>
        <v>0.5</v>
      </c>
      <c r="BK54">
        <f t="shared" si="11"/>
        <v>0.5</v>
      </c>
      <c r="BL54">
        <f t="shared" si="12"/>
        <v>0.5</v>
      </c>
      <c r="BM54">
        <f t="shared" si="13"/>
        <v>0.5</v>
      </c>
      <c r="BN54">
        <f t="shared" si="14"/>
        <v>0.5</v>
      </c>
      <c r="BO54">
        <f t="shared" si="15"/>
        <v>0.5</v>
      </c>
    </row>
    <row r="55" spans="1:67" ht="12.75" x14ac:dyDescent="0.2">
      <c r="AL55" s="139"/>
      <c r="AN55" t="s">
        <v>110</v>
      </c>
      <c r="AO55" s="127">
        <v>21.1</v>
      </c>
      <c r="AP55" s="127">
        <v>20.2</v>
      </c>
      <c r="AQ55" s="127">
        <v>19.8</v>
      </c>
      <c r="AR55" s="127">
        <v>19.399999999999999</v>
      </c>
      <c r="AS55" s="127">
        <v>19</v>
      </c>
      <c r="AT55" s="128">
        <v>18.7</v>
      </c>
      <c r="AU55" s="128">
        <v>18.2</v>
      </c>
      <c r="AV55" s="128">
        <v>17.3</v>
      </c>
      <c r="AW55" s="128">
        <v>16.600000000000001</v>
      </c>
      <c r="AX55" s="128">
        <v>16.100000000000001</v>
      </c>
      <c r="AY55" s="128">
        <v>15.3</v>
      </c>
      <c r="AZ55" s="128">
        <v>14.4</v>
      </c>
      <c r="BA55" s="128">
        <v>13.6</v>
      </c>
      <c r="BC55">
        <f t="shared" si="3"/>
        <v>0.90000000000000213</v>
      </c>
      <c r="BD55">
        <f t="shared" si="4"/>
        <v>0.80000000000000071</v>
      </c>
      <c r="BE55">
        <f t="shared" si="5"/>
        <v>0.80000000000000071</v>
      </c>
      <c r="BF55">
        <f t="shared" si="6"/>
        <v>0.69999999999999929</v>
      </c>
      <c r="BG55">
        <f t="shared" si="7"/>
        <v>0.60000000000000142</v>
      </c>
      <c r="BH55">
        <f t="shared" si="8"/>
        <v>0.59999999999999787</v>
      </c>
      <c r="BI55">
        <f t="shared" si="9"/>
        <v>0.5</v>
      </c>
      <c r="BJ55">
        <f t="shared" si="10"/>
        <v>0.5</v>
      </c>
      <c r="BK55">
        <f t="shared" si="11"/>
        <v>0.5</v>
      </c>
      <c r="BL55">
        <f t="shared" si="12"/>
        <v>0.50000000000000178</v>
      </c>
      <c r="BM55">
        <f t="shared" si="13"/>
        <v>0.5</v>
      </c>
      <c r="BN55">
        <f t="shared" si="14"/>
        <v>0.5</v>
      </c>
      <c r="BO55">
        <f t="shared" si="15"/>
        <v>0.5</v>
      </c>
    </row>
    <row r="56" spans="1:67" ht="12.75" x14ac:dyDescent="0.2">
      <c r="AL56" s="139"/>
    </row>
    <row r="57" spans="1:67" ht="12.75" x14ac:dyDescent="0.2">
      <c r="AL57" s="139"/>
      <c r="AO57">
        <v>-0.5</v>
      </c>
      <c r="AP57">
        <v>-0.25</v>
      </c>
      <c r="AQ57">
        <v>-0.13</v>
      </c>
      <c r="AR57">
        <v>0</v>
      </c>
      <c r="AS57">
        <v>0.125</v>
      </c>
      <c r="AT57">
        <v>0.25</v>
      </c>
      <c r="AU57">
        <v>0.5</v>
      </c>
      <c r="AV57">
        <v>1</v>
      </c>
      <c r="AW57">
        <v>1.5</v>
      </c>
      <c r="AX57">
        <v>2</v>
      </c>
      <c r="AY57">
        <v>3</v>
      </c>
      <c r="AZ57">
        <v>5</v>
      </c>
      <c r="BA57">
        <v>10</v>
      </c>
    </row>
    <row r="58" spans="1:67" ht="12.75" x14ac:dyDescent="0.2">
      <c r="AL58" s="139">
        <v>16.02</v>
      </c>
      <c r="AN58" t="s">
        <v>25</v>
      </c>
      <c r="AO58" s="129">
        <v>15.2</v>
      </c>
      <c r="AP58" s="129">
        <v>12.3</v>
      </c>
      <c r="AQ58" s="129">
        <v>12.2</v>
      </c>
      <c r="AR58" s="129">
        <v>12.9</v>
      </c>
      <c r="AS58" s="129">
        <v>14.1</v>
      </c>
      <c r="AT58" s="129">
        <v>15.1</v>
      </c>
      <c r="AU58" s="129">
        <v>17.5</v>
      </c>
      <c r="AV58" s="129">
        <v>21.7</v>
      </c>
      <c r="AW58" s="129">
        <v>25.3</v>
      </c>
      <c r="AX58" s="129">
        <v>28.4</v>
      </c>
      <c r="AY58" s="129">
        <v>33.6</v>
      </c>
      <c r="AZ58" s="129">
        <v>41.3</v>
      </c>
      <c r="BA58" s="129">
        <v>53.2</v>
      </c>
      <c r="BC58">
        <f>AO58-AO40</f>
        <v>-0.5</v>
      </c>
      <c r="BD58">
        <f t="shared" ref="BD58:BD73" si="16">AP58-AP40</f>
        <v>-0.29999999999999893</v>
      </c>
      <c r="BE58">
        <f t="shared" ref="BE58:BE73" si="17">AQ58-AQ40</f>
        <v>-0.20000000000000107</v>
      </c>
      <c r="BF58">
        <f t="shared" ref="BF58:BF73" si="18">AR58-AR40</f>
        <v>-9.9999999999999645E-2</v>
      </c>
      <c r="BG58">
        <f t="shared" ref="BG58:BG73" si="19">AS58-AS40</f>
        <v>0</v>
      </c>
      <c r="BH58">
        <f t="shared" ref="BH58:BH73" si="20">AT58-AT40</f>
        <v>0</v>
      </c>
      <c r="BI58">
        <f t="shared" ref="BI58:BI73" si="21">AU58-AU40</f>
        <v>0</v>
      </c>
      <c r="BJ58">
        <f t="shared" ref="BJ58:BJ73" si="22">AV58-AV40</f>
        <v>0</v>
      </c>
      <c r="BK58">
        <f t="shared" ref="BK58:BK73" si="23">AW58-AW40</f>
        <v>0</v>
      </c>
      <c r="BL58">
        <f t="shared" ref="BL58:BL73" si="24">AX58-AX40</f>
        <v>0</v>
      </c>
      <c r="BM58">
        <f t="shared" ref="BM58:BM73" si="25">AY58-AY40</f>
        <v>0</v>
      </c>
      <c r="BN58">
        <f t="shared" ref="BN58:BN73" si="26">AZ58-AZ40</f>
        <v>0</v>
      </c>
      <c r="BO58">
        <f t="shared" ref="BO58:BO73" si="27">BA58-BA40</f>
        <v>0</v>
      </c>
    </row>
    <row r="59" spans="1:67" ht="12.75" x14ac:dyDescent="0.2">
      <c r="AL59" s="139"/>
      <c r="AN59" t="s">
        <v>156</v>
      </c>
      <c r="AO59" s="129">
        <v>15.9</v>
      </c>
      <c r="AP59" s="129">
        <v>13</v>
      </c>
      <c r="AQ59" s="129">
        <v>12.9</v>
      </c>
      <c r="AR59" s="129">
        <v>13.4</v>
      </c>
      <c r="AS59" s="129">
        <v>14.4</v>
      </c>
      <c r="AT59" s="129">
        <v>15.3</v>
      </c>
      <c r="AU59" s="129">
        <v>17.3</v>
      </c>
      <c r="AV59" s="129">
        <v>21</v>
      </c>
      <c r="AW59" s="129">
        <v>24.2</v>
      </c>
      <c r="AX59" s="129">
        <v>27</v>
      </c>
      <c r="AY59" s="129">
        <v>31.5</v>
      </c>
      <c r="AZ59" s="129">
        <v>38.299999999999997</v>
      </c>
      <c r="BA59" s="129">
        <v>48.5</v>
      </c>
      <c r="BC59">
        <f t="shared" ref="BC59:BC73" si="28">AO59-AO41</f>
        <v>-0.29999999999999893</v>
      </c>
      <c r="BD59">
        <f t="shared" si="16"/>
        <v>-0.30000000000000071</v>
      </c>
      <c r="BE59">
        <f t="shared" si="17"/>
        <v>-9.9999999999999645E-2</v>
      </c>
      <c r="BF59">
        <f t="shared" si="18"/>
        <v>0</v>
      </c>
      <c r="BG59">
        <f t="shared" si="19"/>
        <v>0</v>
      </c>
      <c r="BH59">
        <f t="shared" si="20"/>
        <v>0.10000000000000142</v>
      </c>
      <c r="BI59">
        <f t="shared" si="21"/>
        <v>0.10000000000000142</v>
      </c>
      <c r="BJ59">
        <f t="shared" si="22"/>
        <v>0.10000000000000142</v>
      </c>
      <c r="BK59">
        <f t="shared" si="23"/>
        <v>0</v>
      </c>
      <c r="BL59">
        <f t="shared" si="24"/>
        <v>0.10000000000000142</v>
      </c>
      <c r="BM59">
        <f t="shared" si="25"/>
        <v>0</v>
      </c>
      <c r="BN59">
        <f t="shared" si="26"/>
        <v>9.9999999999994316E-2</v>
      </c>
      <c r="BO59">
        <f t="shared" si="27"/>
        <v>0</v>
      </c>
    </row>
    <row r="60" spans="1:67" ht="12.75" x14ac:dyDescent="0.2">
      <c r="AL60" s="139"/>
      <c r="AN60" t="s">
        <v>157</v>
      </c>
      <c r="AO60" s="129">
        <v>16.7</v>
      </c>
      <c r="AP60" s="129">
        <v>14</v>
      </c>
      <c r="AQ60" s="129">
        <v>13.7</v>
      </c>
      <c r="AR60" s="129">
        <v>14</v>
      </c>
      <c r="AS60" s="129">
        <v>14.7</v>
      </c>
      <c r="AT60" s="129">
        <v>15.3</v>
      </c>
      <c r="AU60" s="129">
        <v>17</v>
      </c>
      <c r="AV60" s="129">
        <v>20.2</v>
      </c>
      <c r="AW60" s="129">
        <v>22.9</v>
      </c>
      <c r="AX60" s="129">
        <v>25.4</v>
      </c>
      <c r="AY60" s="129">
        <v>29.3</v>
      </c>
      <c r="AZ60" s="129">
        <v>35.1</v>
      </c>
      <c r="BA60" s="129">
        <v>43.8</v>
      </c>
      <c r="BC60">
        <f t="shared" si="28"/>
        <v>-0.10000000000000142</v>
      </c>
      <c r="BD60">
        <f t="shared" si="16"/>
        <v>-9.9999999999999645E-2</v>
      </c>
      <c r="BE60">
        <f t="shared" si="17"/>
        <v>0</v>
      </c>
      <c r="BF60">
        <f t="shared" si="18"/>
        <v>9.9999999999999645E-2</v>
      </c>
      <c r="BG60">
        <f t="shared" si="19"/>
        <v>9.9999999999999645E-2</v>
      </c>
      <c r="BH60">
        <f t="shared" si="20"/>
        <v>0.10000000000000142</v>
      </c>
      <c r="BI60">
        <f t="shared" si="21"/>
        <v>0.10000000000000142</v>
      </c>
      <c r="BJ60">
        <f t="shared" si="22"/>
        <v>0.19999999999999929</v>
      </c>
      <c r="BK60">
        <f t="shared" si="23"/>
        <v>9.9999999999997868E-2</v>
      </c>
      <c r="BL60">
        <f t="shared" si="24"/>
        <v>0.19999999999999929</v>
      </c>
      <c r="BM60">
        <f t="shared" si="25"/>
        <v>0.10000000000000142</v>
      </c>
      <c r="BN60">
        <f t="shared" si="26"/>
        <v>0.10000000000000142</v>
      </c>
      <c r="BO60">
        <f t="shared" si="27"/>
        <v>9.9999999999994316E-2</v>
      </c>
    </row>
    <row r="61" spans="1:67" ht="12.75" x14ac:dyDescent="0.2">
      <c r="AL61" s="139"/>
      <c r="AN61" t="s">
        <v>99</v>
      </c>
      <c r="AO61" s="129">
        <v>19.7</v>
      </c>
      <c r="AP61" s="129">
        <v>16.5</v>
      </c>
      <c r="AQ61" s="129">
        <v>15.5</v>
      </c>
      <c r="AR61" s="129">
        <v>15</v>
      </c>
      <c r="AS61" s="129">
        <v>15</v>
      </c>
      <c r="AT61" s="129">
        <v>15</v>
      </c>
      <c r="AU61" s="129">
        <v>15.7</v>
      </c>
      <c r="AV61" s="129">
        <v>17.899999999999999</v>
      </c>
      <c r="AW61" s="129">
        <v>20.100000000000001</v>
      </c>
      <c r="AX61" s="129">
        <v>22.1</v>
      </c>
      <c r="AY61" s="129">
        <v>25.5</v>
      </c>
      <c r="AZ61" s="129">
        <v>30.3</v>
      </c>
      <c r="BA61" s="129">
        <v>37.200000000000003</v>
      </c>
      <c r="BC61">
        <f t="shared" si="28"/>
        <v>-0.19999999999999929</v>
      </c>
      <c r="BD61">
        <f t="shared" si="16"/>
        <v>-0.19999999999999929</v>
      </c>
      <c r="BE61">
        <f t="shared" si="17"/>
        <v>-9.9999999999999645E-2</v>
      </c>
      <c r="BF61">
        <f t="shared" si="18"/>
        <v>0</v>
      </c>
      <c r="BG61">
        <f t="shared" si="19"/>
        <v>0</v>
      </c>
      <c r="BH61">
        <f t="shared" si="20"/>
        <v>0</v>
      </c>
      <c r="BI61">
        <f t="shared" si="21"/>
        <v>0</v>
      </c>
      <c r="BJ61">
        <f t="shared" si="22"/>
        <v>9.9999999999997868E-2</v>
      </c>
      <c r="BK61">
        <f t="shared" si="23"/>
        <v>0.10000000000000142</v>
      </c>
      <c r="BL61">
        <f t="shared" si="24"/>
        <v>0.10000000000000142</v>
      </c>
      <c r="BM61">
        <f t="shared" si="25"/>
        <v>0.10000000000000142</v>
      </c>
      <c r="BN61">
        <f t="shared" si="26"/>
        <v>0.10000000000000142</v>
      </c>
      <c r="BO61">
        <f t="shared" si="27"/>
        <v>0.10000000000000142</v>
      </c>
    </row>
    <row r="62" spans="1:67" ht="12.75" x14ac:dyDescent="0.2">
      <c r="A62">
        <v>-0.29749999999999999</v>
      </c>
      <c r="B62">
        <v>-0.3</v>
      </c>
      <c r="C62">
        <v>-0.3</v>
      </c>
      <c r="D62">
        <v>-0.3</v>
      </c>
      <c r="E62">
        <v>-0.28999999999999998</v>
      </c>
      <c r="F62">
        <v>-0.28999999999999998</v>
      </c>
      <c r="G62">
        <v>-0.3</v>
      </c>
      <c r="H62">
        <v>-0.28999999999999998</v>
      </c>
      <c r="I62">
        <v>-0.28999999999999998</v>
      </c>
      <c r="J62">
        <v>-0.28999999999999998</v>
      </c>
      <c r="K62">
        <v>-0.37</v>
      </c>
      <c r="L62">
        <v>-0.37</v>
      </c>
      <c r="M62">
        <v>-0.40250000000000002</v>
      </c>
      <c r="N62">
        <v>-0.41749999999999998</v>
      </c>
      <c r="O62">
        <v>-0.38750000000000001</v>
      </c>
      <c r="P62">
        <v>-0.39250000000000002</v>
      </c>
      <c r="Q62">
        <v>-0.41749999999999998</v>
      </c>
      <c r="R62">
        <v>-0.42249999999999999</v>
      </c>
      <c r="S62">
        <v>-0.435</v>
      </c>
      <c r="T62">
        <v>-0.42249999999999999</v>
      </c>
      <c r="U62">
        <v>-0.435</v>
      </c>
      <c r="V62">
        <f t="shared" ref="V62:V98" si="29">U62+0.01</f>
        <v>-0.42499999999999999</v>
      </c>
      <c r="W62">
        <f t="shared" ref="W62:W98" si="30">U62+0.1</f>
        <v>-0.33499999999999996</v>
      </c>
      <c r="X62">
        <v>-0.42</v>
      </c>
      <c r="Y62">
        <v>-0.4</v>
      </c>
      <c r="Z62">
        <v>-0.40749999999999997</v>
      </c>
      <c r="AA62">
        <v>-0.39750000000000002</v>
      </c>
      <c r="AB62" s="105">
        <v>-0.38750000000000001</v>
      </c>
      <c r="AC62" s="105">
        <v>-0.39</v>
      </c>
      <c r="AD62">
        <v>-0.17</v>
      </c>
      <c r="AE62">
        <v>-0.40250000000000002</v>
      </c>
      <c r="AF62">
        <v>-0.40250000000000002</v>
      </c>
      <c r="AG62" s="105">
        <v>-0.435</v>
      </c>
      <c r="AH62" s="105">
        <v>-0.38750000000000001</v>
      </c>
      <c r="AI62" s="105">
        <v>-0.39500000000000002</v>
      </c>
      <c r="AJ62" s="105">
        <v>-0.41749999999999998</v>
      </c>
      <c r="AK62" s="105">
        <v>-0.40250000000000002</v>
      </c>
      <c r="AL62" s="139"/>
      <c r="AN62" t="s">
        <v>101</v>
      </c>
      <c r="AO62" s="129">
        <v>21.6</v>
      </c>
      <c r="AP62" s="129">
        <v>18.7</v>
      </c>
      <c r="AQ62" s="129">
        <v>17.7</v>
      </c>
      <c r="AR62" s="129">
        <v>17.100000000000001</v>
      </c>
      <c r="AS62" s="129">
        <v>16.899999999999999</v>
      </c>
      <c r="AT62" s="129">
        <v>16.7</v>
      </c>
      <c r="AU62" s="129">
        <v>16.899999999999999</v>
      </c>
      <c r="AV62" s="129">
        <v>18</v>
      </c>
      <c r="AW62" s="129">
        <v>19.5</v>
      </c>
      <c r="AX62" s="129">
        <v>21</v>
      </c>
      <c r="AY62" s="129">
        <v>23.6</v>
      </c>
      <c r="AZ62" s="129">
        <v>27.5</v>
      </c>
      <c r="BA62" s="129">
        <v>33.200000000000003</v>
      </c>
      <c r="BC62">
        <f t="shared" si="28"/>
        <v>-9.9999999999997868E-2</v>
      </c>
      <c r="BD62">
        <f t="shared" si="16"/>
        <v>-0.10000000000000142</v>
      </c>
      <c r="BE62">
        <f t="shared" si="17"/>
        <v>-0.10000000000000142</v>
      </c>
      <c r="BF62">
        <f t="shared" si="18"/>
        <v>0</v>
      </c>
      <c r="BG62">
        <f t="shared" si="19"/>
        <v>0</v>
      </c>
      <c r="BH62">
        <f t="shared" si="20"/>
        <v>0</v>
      </c>
      <c r="BI62">
        <f t="shared" si="21"/>
        <v>0</v>
      </c>
      <c r="BJ62">
        <f t="shared" si="22"/>
        <v>0</v>
      </c>
      <c r="BK62">
        <f t="shared" si="23"/>
        <v>0.10000000000000142</v>
      </c>
      <c r="BL62">
        <f t="shared" si="24"/>
        <v>0.10000000000000142</v>
      </c>
      <c r="BM62">
        <f t="shared" si="25"/>
        <v>0.10000000000000142</v>
      </c>
      <c r="BN62">
        <f t="shared" si="26"/>
        <v>0</v>
      </c>
      <c r="BO62">
        <f t="shared" si="27"/>
        <v>0</v>
      </c>
    </row>
    <row r="63" spans="1:67" ht="12.75" x14ac:dyDescent="0.2">
      <c r="A63">
        <v>-0.3</v>
      </c>
      <c r="B63">
        <v>-0.3</v>
      </c>
      <c r="C63">
        <v>-0.3</v>
      </c>
      <c r="D63">
        <v>-0.3</v>
      </c>
      <c r="E63">
        <v>-0.28749999999999998</v>
      </c>
      <c r="F63">
        <v>-0.28749999999999998</v>
      </c>
      <c r="G63">
        <v>-0.3</v>
      </c>
      <c r="H63">
        <v>-0.28749999999999998</v>
      </c>
      <c r="I63">
        <v>-0.32</v>
      </c>
      <c r="J63">
        <v>-0.32</v>
      </c>
      <c r="K63">
        <v>-0.37</v>
      </c>
      <c r="L63">
        <v>-0.37</v>
      </c>
      <c r="M63">
        <v>-0.40250000000000002</v>
      </c>
      <c r="N63">
        <v>-0.39500000000000002</v>
      </c>
      <c r="O63">
        <v>-0.38500000000000001</v>
      </c>
      <c r="P63">
        <v>-0.39250000000000002</v>
      </c>
      <c r="Q63">
        <v>-0.4</v>
      </c>
      <c r="R63">
        <v>-0.42249999999999999</v>
      </c>
      <c r="S63">
        <v>-0.41249999999999998</v>
      </c>
      <c r="T63">
        <v>-0.42249999999999999</v>
      </c>
      <c r="U63">
        <v>-0.435</v>
      </c>
      <c r="V63">
        <f t="shared" si="29"/>
        <v>-0.42499999999999999</v>
      </c>
      <c r="W63">
        <f t="shared" si="30"/>
        <v>-0.33499999999999996</v>
      </c>
      <c r="X63">
        <v>-0.41749999999999998</v>
      </c>
      <c r="Y63">
        <v>-0.40250000000000002</v>
      </c>
      <c r="Z63">
        <v>-0.38500000000000001</v>
      </c>
      <c r="AA63">
        <v>-0.40250000000000002</v>
      </c>
      <c r="AB63" s="105">
        <v>-0.39500000000000002</v>
      </c>
      <c r="AC63" s="105">
        <v>-0.4</v>
      </c>
      <c r="AD63">
        <v>-0.17</v>
      </c>
      <c r="AE63">
        <v>-0.39750000000000002</v>
      </c>
      <c r="AF63">
        <v>-0.4</v>
      </c>
      <c r="AG63" s="105">
        <v>-0.44</v>
      </c>
      <c r="AH63" s="105">
        <v>-0.4</v>
      </c>
      <c r="AI63" s="105">
        <v>-0.40250000000000002</v>
      </c>
      <c r="AJ63" s="105">
        <v>-0.4</v>
      </c>
      <c r="AK63" s="105">
        <v>-0.38750000000000001</v>
      </c>
      <c r="AL63" s="139"/>
      <c r="AN63" t="s">
        <v>102</v>
      </c>
      <c r="AO63" s="129">
        <v>22.8</v>
      </c>
      <c r="AP63" s="129">
        <v>20.100000000000001</v>
      </c>
      <c r="AQ63" s="129">
        <v>19.2</v>
      </c>
      <c r="AR63" s="129">
        <v>18.600000000000001</v>
      </c>
      <c r="AS63" s="129">
        <v>18.3</v>
      </c>
      <c r="AT63" s="129">
        <v>18</v>
      </c>
      <c r="AU63" s="129">
        <v>18</v>
      </c>
      <c r="AV63" s="129">
        <v>18.3</v>
      </c>
      <c r="AW63" s="129">
        <v>19.100000000000001</v>
      </c>
      <c r="AX63" s="129">
        <v>20</v>
      </c>
      <c r="AY63" s="129">
        <v>21.8</v>
      </c>
      <c r="AZ63" s="129">
        <v>24.7</v>
      </c>
      <c r="BA63" s="129">
        <v>29.3</v>
      </c>
      <c r="BC63">
        <f t="shared" si="28"/>
        <v>-9.9999999999997868E-2</v>
      </c>
      <c r="BD63">
        <f t="shared" si="16"/>
        <v>-9.9999999999997868E-2</v>
      </c>
      <c r="BE63">
        <f t="shared" si="17"/>
        <v>-0.10000000000000142</v>
      </c>
      <c r="BF63">
        <f t="shared" si="18"/>
        <v>0</v>
      </c>
      <c r="BG63">
        <f t="shared" si="19"/>
        <v>0</v>
      </c>
      <c r="BH63">
        <f t="shared" si="20"/>
        <v>-0.10000000000000142</v>
      </c>
      <c r="BI63">
        <f t="shared" si="21"/>
        <v>0</v>
      </c>
      <c r="BJ63">
        <f t="shared" si="22"/>
        <v>0</v>
      </c>
      <c r="BK63">
        <f t="shared" si="23"/>
        <v>0</v>
      </c>
      <c r="BL63">
        <f t="shared" si="24"/>
        <v>0.10000000000000142</v>
      </c>
      <c r="BM63">
        <f t="shared" si="25"/>
        <v>0.10000000000000142</v>
      </c>
      <c r="BN63">
        <f t="shared" si="26"/>
        <v>0</v>
      </c>
      <c r="BO63">
        <f t="shared" si="27"/>
        <v>0</v>
      </c>
    </row>
    <row r="64" spans="1:67" ht="12.75" x14ac:dyDescent="0.2">
      <c r="A64">
        <v>-0.23899999999999999</v>
      </c>
      <c r="B64">
        <v>-0.23899999999999999</v>
      </c>
      <c r="C64">
        <v>-0.23799999999999999</v>
      </c>
      <c r="D64">
        <v>-0.24</v>
      </c>
      <c r="E64">
        <v>-0.23899999999999999</v>
      </c>
      <c r="F64">
        <v>-0.23899999999999999</v>
      </c>
      <c r="G64">
        <v>-0.24099999999999999</v>
      </c>
      <c r="H64">
        <v>-0.23899999999999999</v>
      </c>
      <c r="I64">
        <v>-0.33700000000000002</v>
      </c>
      <c r="J64">
        <v>-0.33700000000000002</v>
      </c>
      <c r="K64">
        <v>-0.34399999999999997</v>
      </c>
      <c r="L64">
        <v>-0.33600000000000002</v>
      </c>
      <c r="M64">
        <v>-0.33600000000000002</v>
      </c>
      <c r="N64" s="136">
        <v>-0.33600000000000002</v>
      </c>
      <c r="O64" s="139">
        <v>-0.33600000000000002</v>
      </c>
      <c r="P64" s="139">
        <v>-0.34200000000000003</v>
      </c>
      <c r="Q64" s="139">
        <v>-0.34200000000000003</v>
      </c>
      <c r="R64" s="139">
        <v>-0.33900000000000002</v>
      </c>
      <c r="S64" s="139">
        <v>-0.34</v>
      </c>
      <c r="T64" s="139">
        <v>-0.33900000000000002</v>
      </c>
      <c r="U64" s="139">
        <v>-0.34100000000000003</v>
      </c>
      <c r="V64" s="139">
        <f t="shared" si="29"/>
        <v>-0.33100000000000002</v>
      </c>
      <c r="W64">
        <f t="shared" si="30"/>
        <v>-0.24100000000000002</v>
      </c>
      <c r="X64">
        <v>-0.33700000000000002</v>
      </c>
      <c r="Y64">
        <v>-0.33700000000000002</v>
      </c>
      <c r="Z64">
        <v>-0.33800000000000002</v>
      </c>
      <c r="AA64">
        <v>-0.34200000000000003</v>
      </c>
      <c r="AB64" s="105">
        <v>-0.33700000000000002</v>
      </c>
      <c r="AC64" s="105">
        <v>-0.33900000000000002</v>
      </c>
      <c r="AD64" s="139">
        <v>-0.121</v>
      </c>
      <c r="AE64" s="139">
        <v>-0.33400000000000002</v>
      </c>
      <c r="AF64" s="139">
        <v>-0.33400000000000002</v>
      </c>
      <c r="AG64" s="105">
        <v>-0.34300000000000003</v>
      </c>
      <c r="AH64" s="105">
        <v>-0.33400000000000002</v>
      </c>
      <c r="AI64" s="105">
        <v>-0.33400000000000002</v>
      </c>
      <c r="AJ64" s="105">
        <v>-0.33200000000000002</v>
      </c>
      <c r="AK64" s="105">
        <v>-0.32500000000000001</v>
      </c>
      <c r="AL64" s="139"/>
      <c r="AN64" t="s">
        <v>103</v>
      </c>
      <c r="AO64" s="129">
        <v>23.5</v>
      </c>
      <c r="AP64" s="129">
        <v>21.1</v>
      </c>
      <c r="AQ64" s="129">
        <v>20.2</v>
      </c>
      <c r="AR64" s="129">
        <v>19.600000000000001</v>
      </c>
      <c r="AS64" s="129">
        <v>19.2</v>
      </c>
      <c r="AT64" s="129">
        <v>18.899999999999999</v>
      </c>
      <c r="AU64" s="129">
        <v>18.7</v>
      </c>
      <c r="AV64" s="129">
        <v>18.600000000000001</v>
      </c>
      <c r="AW64" s="129">
        <v>18.8</v>
      </c>
      <c r="AX64" s="129">
        <v>19.2</v>
      </c>
      <c r="AY64" s="129">
        <v>20.3</v>
      </c>
      <c r="AZ64" s="129">
        <v>22.6</v>
      </c>
      <c r="BA64" s="129">
        <v>26.3</v>
      </c>
      <c r="BC64">
        <f t="shared" si="28"/>
        <v>-0.10000000000000142</v>
      </c>
      <c r="BD64">
        <f t="shared" si="16"/>
        <v>-9.9999999999997868E-2</v>
      </c>
      <c r="BE64">
        <f t="shared" si="17"/>
        <v>-0.10000000000000142</v>
      </c>
      <c r="BF64">
        <f t="shared" si="18"/>
        <v>-9.9999999999997868E-2</v>
      </c>
      <c r="BG64">
        <f t="shared" si="19"/>
        <v>-0.10000000000000142</v>
      </c>
      <c r="BH64">
        <f t="shared" si="20"/>
        <v>-0.10000000000000142</v>
      </c>
      <c r="BI64">
        <f t="shared" si="21"/>
        <v>0</v>
      </c>
      <c r="BJ64">
        <f t="shared" si="22"/>
        <v>0</v>
      </c>
      <c r="BK64">
        <f t="shared" si="23"/>
        <v>0</v>
      </c>
      <c r="BL64">
        <f t="shared" si="24"/>
        <v>0</v>
      </c>
      <c r="BM64">
        <f t="shared" si="25"/>
        <v>0</v>
      </c>
      <c r="BN64">
        <f t="shared" si="26"/>
        <v>0</v>
      </c>
      <c r="BO64">
        <f t="shared" si="27"/>
        <v>0.10000000000000142</v>
      </c>
    </row>
    <row r="65" spans="1:67" ht="12.75" x14ac:dyDescent="0.2">
      <c r="A65">
        <v>-0.23899999999999999</v>
      </c>
      <c r="B65">
        <v>-0.23899999999999999</v>
      </c>
      <c r="C65">
        <v>-0.23799999999999999</v>
      </c>
      <c r="D65">
        <v>-0.23899999999999999</v>
      </c>
      <c r="E65">
        <v>-0.24099999999999999</v>
      </c>
      <c r="F65">
        <v>-0.24099999999999999</v>
      </c>
      <c r="G65">
        <v>-0.28499999999999998</v>
      </c>
      <c r="H65">
        <v>-0.24099999999999999</v>
      </c>
      <c r="I65">
        <v>-0.33700000000000002</v>
      </c>
      <c r="J65">
        <v>-0.33700000000000002</v>
      </c>
      <c r="K65">
        <v>-0.34399999999999997</v>
      </c>
      <c r="L65">
        <v>-0.33500000000000002</v>
      </c>
      <c r="M65">
        <v>-0.33500000000000002</v>
      </c>
      <c r="N65" s="136">
        <v>-0.34</v>
      </c>
      <c r="O65" s="139">
        <v>-0.33800000000000002</v>
      </c>
      <c r="P65" s="139">
        <v>-0.34200000000000003</v>
      </c>
      <c r="Q65" s="139">
        <v>-0.34200000000000003</v>
      </c>
      <c r="R65" s="139">
        <v>-0.34100000000000003</v>
      </c>
      <c r="S65" s="139">
        <v>-0.34100000000000003</v>
      </c>
      <c r="T65" s="139">
        <v>-0.34100000000000003</v>
      </c>
      <c r="U65" s="139">
        <v>-0.34</v>
      </c>
      <c r="V65" s="139">
        <f t="shared" si="29"/>
        <v>-0.33</v>
      </c>
      <c r="W65" s="139">
        <f t="shared" si="30"/>
        <v>-0.24000000000000002</v>
      </c>
      <c r="X65" s="139">
        <v>-0.33700000000000002</v>
      </c>
      <c r="Y65" s="139">
        <v>-0.33800000000000002</v>
      </c>
      <c r="Z65" s="139">
        <v>-0.33800000000000002</v>
      </c>
      <c r="AA65" s="139">
        <v>-0.34100000000000003</v>
      </c>
      <c r="AB65" s="155">
        <v>-0.33700000000000002</v>
      </c>
      <c r="AC65" s="155">
        <v>-0.34</v>
      </c>
      <c r="AD65" s="139">
        <v>-0.11700000000000001</v>
      </c>
      <c r="AE65" s="139">
        <v>-0.33600000000000002</v>
      </c>
      <c r="AF65" s="139">
        <v>-0.33600000000000002</v>
      </c>
      <c r="AG65" s="155">
        <v>-0.34399999999999997</v>
      </c>
      <c r="AH65" s="155">
        <v>-0.33600000000000002</v>
      </c>
      <c r="AI65" s="155">
        <v>-0.33500000000000002</v>
      </c>
      <c r="AJ65" s="155">
        <v>-0.33300000000000002</v>
      </c>
      <c r="AK65" s="155">
        <v>-0.32600000000000001</v>
      </c>
      <c r="AN65" t="s">
        <v>104</v>
      </c>
      <c r="AO65" s="129">
        <v>23.8</v>
      </c>
      <c r="AP65" s="129">
        <v>21.6</v>
      </c>
      <c r="AQ65" s="129">
        <v>20.8</v>
      </c>
      <c r="AR65" s="129">
        <v>20.100000000000001</v>
      </c>
      <c r="AS65" s="129">
        <v>19.8</v>
      </c>
      <c r="AT65" s="129">
        <v>19.399999999999999</v>
      </c>
      <c r="AU65" s="129">
        <v>19</v>
      </c>
      <c r="AV65" s="129">
        <v>18.7</v>
      </c>
      <c r="AW65" s="129">
        <v>18.600000000000001</v>
      </c>
      <c r="AX65" s="129">
        <v>18.7</v>
      </c>
      <c r="AY65" s="129">
        <v>19.399999999999999</v>
      </c>
      <c r="AZ65" s="129">
        <v>21.1</v>
      </c>
      <c r="BA65" s="129">
        <v>24.2</v>
      </c>
      <c r="BC65">
        <f t="shared" si="28"/>
        <v>-9.9999999999997868E-2</v>
      </c>
      <c r="BD65">
        <f t="shared" si="16"/>
        <v>-9.9999999999997868E-2</v>
      </c>
      <c r="BE65">
        <f t="shared" si="17"/>
        <v>-9.9999999999997868E-2</v>
      </c>
      <c r="BF65">
        <f t="shared" si="18"/>
        <v>-9.9999999999997868E-2</v>
      </c>
      <c r="BG65">
        <f t="shared" si="19"/>
        <v>0</v>
      </c>
      <c r="BH65">
        <f t="shared" si="20"/>
        <v>-0.10000000000000142</v>
      </c>
      <c r="BI65">
        <f t="shared" si="21"/>
        <v>-0.10000000000000142</v>
      </c>
      <c r="BJ65">
        <f t="shared" si="22"/>
        <v>0</v>
      </c>
      <c r="BK65">
        <f t="shared" si="23"/>
        <v>0</v>
      </c>
      <c r="BL65">
        <f t="shared" si="24"/>
        <v>0</v>
      </c>
      <c r="BM65">
        <f t="shared" si="25"/>
        <v>0</v>
      </c>
      <c r="BN65">
        <f t="shared" si="26"/>
        <v>0</v>
      </c>
      <c r="BO65">
        <f t="shared" si="27"/>
        <v>0</v>
      </c>
    </row>
    <row r="66" spans="1:67" ht="12.75" x14ac:dyDescent="0.2">
      <c r="A66">
        <v>-0.23899999999999999</v>
      </c>
      <c r="B66">
        <v>-0.23899999999999999</v>
      </c>
      <c r="C66">
        <v>-0.23899999999999999</v>
      </c>
      <c r="D66">
        <v>-0.23899999999999999</v>
      </c>
      <c r="E66">
        <v>-0.247</v>
      </c>
      <c r="F66">
        <v>-0.247</v>
      </c>
      <c r="G66">
        <v>-0.314</v>
      </c>
      <c r="H66">
        <v>-0.247</v>
      </c>
      <c r="I66">
        <v>-0.33500000000000002</v>
      </c>
      <c r="J66">
        <v>-0.33500000000000002</v>
      </c>
      <c r="K66">
        <v>-0.34300000000000003</v>
      </c>
      <c r="L66">
        <v>-0.33700000000000002</v>
      </c>
      <c r="M66">
        <v>-0.33800000000000002</v>
      </c>
      <c r="N66" s="136">
        <v>-0.34100000000000003</v>
      </c>
      <c r="O66" s="139">
        <v>-0.34</v>
      </c>
      <c r="P66" s="139">
        <v>-0.34200000000000003</v>
      </c>
      <c r="Q66" s="139">
        <v>-0.34200000000000003</v>
      </c>
      <c r="R66" s="139">
        <v>-0.34100000000000003</v>
      </c>
      <c r="S66" s="139">
        <v>-0.34200000000000003</v>
      </c>
      <c r="T66" s="139">
        <v>-0.34100000000000003</v>
      </c>
      <c r="U66" s="139">
        <v>-0.34</v>
      </c>
      <c r="V66" s="139">
        <f t="shared" si="29"/>
        <v>-0.33</v>
      </c>
      <c r="W66" s="139">
        <f t="shared" si="30"/>
        <v>-0.24000000000000002</v>
      </c>
      <c r="X66" s="139">
        <v>-0.33700000000000002</v>
      </c>
      <c r="Y66" s="139">
        <v>-0.33700000000000002</v>
      </c>
      <c r="Z66" s="139">
        <v>-0.33600000000000002</v>
      </c>
      <c r="AA66" s="139">
        <v>-0.34100000000000003</v>
      </c>
      <c r="AB66" s="155">
        <v>-0.33700000000000002</v>
      </c>
      <c r="AC66" s="155">
        <v>-0.34</v>
      </c>
      <c r="AD66" s="139">
        <v>-0.11700000000000001</v>
      </c>
      <c r="AE66" s="139">
        <v>-0.33600000000000002</v>
      </c>
      <c r="AF66" s="139">
        <v>-0.33700000000000002</v>
      </c>
      <c r="AG66" s="155">
        <v>-0.34499999999999997</v>
      </c>
      <c r="AH66" s="155">
        <v>-0.33700000000000002</v>
      </c>
      <c r="AI66" s="155">
        <v>-0.33500000000000002</v>
      </c>
      <c r="AJ66" s="155">
        <v>-0.33300000000000002</v>
      </c>
      <c r="AK66" s="155">
        <v>-0.32700000000000001</v>
      </c>
      <c r="AN66" t="s">
        <v>105</v>
      </c>
      <c r="AO66" s="129">
        <v>24</v>
      </c>
      <c r="AP66" s="129">
        <v>21.9</v>
      </c>
      <c r="AQ66" s="129">
        <v>21.1</v>
      </c>
      <c r="AR66" s="129">
        <v>20.5</v>
      </c>
      <c r="AS66" s="129">
        <v>20.100000000000001</v>
      </c>
      <c r="AT66" s="129">
        <v>19.7</v>
      </c>
      <c r="AU66" s="129">
        <v>19.3</v>
      </c>
      <c r="AV66" s="129">
        <v>18.7</v>
      </c>
      <c r="AW66" s="129">
        <v>18.399999999999999</v>
      </c>
      <c r="AX66" s="129">
        <v>18.3</v>
      </c>
      <c r="AY66" s="129">
        <v>18.7</v>
      </c>
      <c r="AZ66" s="129">
        <v>20</v>
      </c>
      <c r="BA66" s="129">
        <v>22.7</v>
      </c>
      <c r="BC66">
        <f t="shared" si="28"/>
        <v>-0.10000000000000142</v>
      </c>
      <c r="BD66">
        <f t="shared" si="16"/>
        <v>-0.10000000000000142</v>
      </c>
      <c r="BE66">
        <f t="shared" si="17"/>
        <v>-9.9999999999997868E-2</v>
      </c>
      <c r="BF66">
        <f t="shared" si="18"/>
        <v>-0.10000000000000142</v>
      </c>
      <c r="BG66">
        <f t="shared" si="19"/>
        <v>-9.9999999999997868E-2</v>
      </c>
      <c r="BH66">
        <f t="shared" si="20"/>
        <v>-0.10000000000000142</v>
      </c>
      <c r="BI66">
        <f t="shared" si="21"/>
        <v>0</v>
      </c>
      <c r="BJ66">
        <f t="shared" si="22"/>
        <v>0</v>
      </c>
      <c r="BK66">
        <f t="shared" si="23"/>
        <v>0</v>
      </c>
      <c r="BL66">
        <f t="shared" si="24"/>
        <v>-9.9999999999997868E-2</v>
      </c>
      <c r="BM66">
        <f t="shared" si="25"/>
        <v>0</v>
      </c>
      <c r="BN66">
        <f t="shared" si="26"/>
        <v>0</v>
      </c>
      <c r="BO66">
        <f t="shared" si="27"/>
        <v>0</v>
      </c>
    </row>
    <row r="67" spans="1:67" ht="12.75" x14ac:dyDescent="0.2">
      <c r="A67">
        <v>-0.23799999999999999</v>
      </c>
      <c r="B67">
        <v>-0.23799999999999999</v>
      </c>
      <c r="C67">
        <v>-0.23899999999999999</v>
      </c>
      <c r="D67">
        <v>-0.247</v>
      </c>
      <c r="E67">
        <v>-0.28699999999999998</v>
      </c>
      <c r="F67" s="131">
        <v>-0.316</v>
      </c>
      <c r="G67" s="139">
        <v>-0.32800000000000001</v>
      </c>
      <c r="H67" s="132">
        <v>-0.33700000000000002</v>
      </c>
      <c r="I67" s="132">
        <v>-0.33700000000000002</v>
      </c>
      <c r="J67" s="132">
        <v>-0.34</v>
      </c>
      <c r="K67" s="136">
        <v>-0.34200000000000003</v>
      </c>
      <c r="L67" s="132">
        <v>-0.33900000000000002</v>
      </c>
      <c r="M67" s="138">
        <v>-0.33900000000000002</v>
      </c>
      <c r="N67" s="136">
        <v>-0.34100000000000003</v>
      </c>
      <c r="O67" s="139">
        <v>-0.34100000000000003</v>
      </c>
      <c r="P67" s="139">
        <v>-0.34100000000000003</v>
      </c>
      <c r="Q67" s="139">
        <v>-0.34100000000000003</v>
      </c>
      <c r="R67" s="139">
        <v>-0.34</v>
      </c>
      <c r="S67" s="139">
        <v>-0.34</v>
      </c>
      <c r="T67" s="139">
        <v>-0.34</v>
      </c>
      <c r="U67" s="139">
        <v>-0.34</v>
      </c>
      <c r="V67" s="139">
        <f t="shared" si="29"/>
        <v>-0.33</v>
      </c>
      <c r="W67" s="139">
        <f t="shared" si="30"/>
        <v>-0.24000000000000002</v>
      </c>
      <c r="X67" s="139">
        <v>-0.33800000000000002</v>
      </c>
      <c r="Y67" s="139">
        <v>-0.33800000000000002</v>
      </c>
      <c r="Z67" s="139">
        <v>-0.33700000000000002</v>
      </c>
      <c r="AA67" s="139">
        <v>-0.34</v>
      </c>
      <c r="AB67" s="155">
        <v>-0.33900000000000002</v>
      </c>
      <c r="AC67" s="155">
        <v>-0.33900000000000002</v>
      </c>
      <c r="AD67" s="156">
        <v>-0.33800000000000002</v>
      </c>
      <c r="AE67" s="156">
        <v>-0.33800000000000002</v>
      </c>
      <c r="AF67" s="156">
        <v>-0.33800000000000002</v>
      </c>
      <c r="AG67" s="155">
        <v>-0.34499999999999997</v>
      </c>
      <c r="AH67" s="155">
        <v>-0.33900000000000002</v>
      </c>
      <c r="AI67" s="155">
        <v>-0.33800000000000002</v>
      </c>
      <c r="AJ67" s="155">
        <v>-0.33900000000000002</v>
      </c>
      <c r="AK67" s="155">
        <v>-0.33500000000000002</v>
      </c>
      <c r="AN67" t="s">
        <v>106</v>
      </c>
      <c r="AO67" s="129">
        <v>24</v>
      </c>
      <c r="AP67" s="129">
        <v>22.1</v>
      </c>
      <c r="AQ67" s="129">
        <v>21.3</v>
      </c>
      <c r="AR67" s="129">
        <v>20.7</v>
      </c>
      <c r="AS67" s="129">
        <v>20.3</v>
      </c>
      <c r="AT67" s="129">
        <v>19.899999999999999</v>
      </c>
      <c r="AU67" s="129">
        <v>19.399999999999999</v>
      </c>
      <c r="AV67" s="129">
        <v>18.600000000000001</v>
      </c>
      <c r="AW67" s="129">
        <v>18.2</v>
      </c>
      <c r="AX67" s="129">
        <v>18</v>
      </c>
      <c r="AY67" s="129">
        <v>18.100000000000001</v>
      </c>
      <c r="AZ67" s="129">
        <v>19.100000000000001</v>
      </c>
      <c r="BA67" s="129">
        <v>21.4</v>
      </c>
      <c r="BC67">
        <f t="shared" si="28"/>
        <v>-0.19999999999999929</v>
      </c>
      <c r="BD67">
        <f t="shared" si="16"/>
        <v>-9.9999999999997868E-2</v>
      </c>
      <c r="BE67">
        <f t="shared" si="17"/>
        <v>-9.9999999999997868E-2</v>
      </c>
      <c r="BF67">
        <f t="shared" si="18"/>
        <v>-0.10000000000000142</v>
      </c>
      <c r="BG67">
        <f t="shared" si="19"/>
        <v>-9.9999999999997868E-2</v>
      </c>
      <c r="BH67">
        <f t="shared" si="20"/>
        <v>-0.10000000000000142</v>
      </c>
      <c r="BI67">
        <f t="shared" si="21"/>
        <v>-0.10000000000000142</v>
      </c>
      <c r="BJ67">
        <f t="shared" si="22"/>
        <v>-9.9999999999997868E-2</v>
      </c>
      <c r="BK67">
        <f t="shared" si="23"/>
        <v>-0.10000000000000142</v>
      </c>
      <c r="BL67">
        <f t="shared" si="24"/>
        <v>0</v>
      </c>
      <c r="BM67">
        <f t="shared" si="25"/>
        <v>0</v>
      </c>
      <c r="BN67">
        <f t="shared" si="26"/>
        <v>0</v>
      </c>
      <c r="BO67">
        <f t="shared" si="27"/>
        <v>0</v>
      </c>
    </row>
    <row r="68" spans="1:67" ht="12.75" x14ac:dyDescent="0.2">
      <c r="A68">
        <v>-0.26400000000000001</v>
      </c>
      <c r="B68">
        <v>-0.27300000000000002</v>
      </c>
      <c r="C68">
        <v>-0.29799999999999999</v>
      </c>
      <c r="D68">
        <v>-0.30599999999999999</v>
      </c>
      <c r="E68">
        <v>-0.317</v>
      </c>
      <c r="F68" s="131">
        <v>-0.34100000000000003</v>
      </c>
      <c r="G68" s="139">
        <v>-0.34799999999999998</v>
      </c>
      <c r="H68" s="132">
        <v>-0.34899999999999998</v>
      </c>
      <c r="I68" s="132">
        <v>-0.33700000000000002</v>
      </c>
      <c r="J68" s="132">
        <v>-0.34100000000000003</v>
      </c>
      <c r="K68" s="136">
        <v>-0.34300000000000003</v>
      </c>
      <c r="L68" s="132">
        <v>-0.34300000000000003</v>
      </c>
      <c r="M68" s="138">
        <v>-0.34399999999999997</v>
      </c>
      <c r="N68" s="136">
        <v>-0.34300000000000003</v>
      </c>
      <c r="O68" s="139">
        <v>-0.34100000000000003</v>
      </c>
      <c r="P68" s="139">
        <v>-0.34100000000000003</v>
      </c>
      <c r="Q68" s="139">
        <v>-0.34200000000000003</v>
      </c>
      <c r="R68" s="139">
        <v>-0.34100000000000003</v>
      </c>
      <c r="S68" s="139">
        <v>-0.34200000000000003</v>
      </c>
      <c r="T68" s="139">
        <v>-0.34200000000000003</v>
      </c>
      <c r="U68" s="139">
        <v>-0.34100000000000003</v>
      </c>
      <c r="V68" s="139">
        <f t="shared" si="29"/>
        <v>-0.33100000000000002</v>
      </c>
      <c r="W68" s="139">
        <f t="shared" si="30"/>
        <v>-0.24100000000000002</v>
      </c>
      <c r="X68" s="139">
        <v>-0.34</v>
      </c>
      <c r="Y68" s="139">
        <v>-0.34</v>
      </c>
      <c r="Z68" s="139">
        <v>-0.34</v>
      </c>
      <c r="AA68" s="139">
        <v>-0.34100000000000003</v>
      </c>
      <c r="AB68" s="155">
        <v>-0.33900000000000002</v>
      </c>
      <c r="AC68" s="155">
        <v>-0.34</v>
      </c>
      <c r="AD68" s="156">
        <v>-0.33900000000000002</v>
      </c>
      <c r="AE68" s="156">
        <v>-0.34399999999999997</v>
      </c>
      <c r="AF68" s="156">
        <v>-0.34499999999999997</v>
      </c>
      <c r="AG68" s="155">
        <v>-0.36699999999999999</v>
      </c>
      <c r="AH68" s="155">
        <v>-0.35699999999999998</v>
      </c>
      <c r="AI68" s="155">
        <v>-0.34899999999999998</v>
      </c>
      <c r="AJ68" s="155">
        <v>-0.34899999999999998</v>
      </c>
      <c r="AK68" s="155">
        <v>-0.34699999999999998</v>
      </c>
      <c r="AN68" t="s">
        <v>79</v>
      </c>
      <c r="AO68" s="129">
        <v>24.1</v>
      </c>
      <c r="AP68" s="129">
        <v>22.2</v>
      </c>
      <c r="AQ68" s="129">
        <v>21.5</v>
      </c>
      <c r="AR68" s="129">
        <v>20.9</v>
      </c>
      <c r="AS68" s="129">
        <v>20.399999999999999</v>
      </c>
      <c r="AT68" s="129">
        <v>20</v>
      </c>
      <c r="AU68" s="129">
        <v>19.399999999999999</v>
      </c>
      <c r="AV68" s="129">
        <v>18.600000000000001</v>
      </c>
      <c r="AW68" s="129">
        <v>18</v>
      </c>
      <c r="AX68" s="129">
        <v>17.7</v>
      </c>
      <c r="AY68" s="129">
        <v>17.7</v>
      </c>
      <c r="AZ68" s="129">
        <v>18.5</v>
      </c>
      <c r="BA68" s="129">
        <v>20.6</v>
      </c>
      <c r="BC68">
        <f t="shared" si="28"/>
        <v>-9.9999999999997868E-2</v>
      </c>
      <c r="BD68">
        <f t="shared" si="16"/>
        <v>-0.10000000000000142</v>
      </c>
      <c r="BE68">
        <f t="shared" si="17"/>
        <v>-0.10000000000000142</v>
      </c>
      <c r="BF68">
        <f t="shared" si="18"/>
        <v>-0.10000000000000142</v>
      </c>
      <c r="BG68">
        <f t="shared" si="19"/>
        <v>-0.10000000000000142</v>
      </c>
      <c r="BH68">
        <f t="shared" si="20"/>
        <v>-0.10000000000000142</v>
      </c>
      <c r="BI68">
        <f t="shared" si="21"/>
        <v>-0.10000000000000142</v>
      </c>
      <c r="BJ68">
        <f t="shared" si="22"/>
        <v>-9.9999999999997868E-2</v>
      </c>
      <c r="BK68">
        <f t="shared" si="23"/>
        <v>-0.10000000000000142</v>
      </c>
      <c r="BL68">
        <f t="shared" si="24"/>
        <v>-0.10000000000000142</v>
      </c>
      <c r="BM68">
        <f t="shared" si="25"/>
        <v>0</v>
      </c>
      <c r="BN68">
        <f t="shared" si="26"/>
        <v>0</v>
      </c>
      <c r="BO68">
        <f t="shared" si="27"/>
        <v>0</v>
      </c>
    </row>
    <row r="69" spans="1:67" ht="12.75" x14ac:dyDescent="0.2">
      <c r="A69">
        <v>-0.28899999999999998</v>
      </c>
      <c r="B69">
        <v>-0.29899999999999999</v>
      </c>
      <c r="C69">
        <v>-0.318</v>
      </c>
      <c r="D69">
        <v>-0.32900000000000001</v>
      </c>
      <c r="E69">
        <v>-0.33700000000000002</v>
      </c>
      <c r="F69" s="131">
        <v>-0.35499999999999998</v>
      </c>
      <c r="G69" s="139">
        <v>-0.35799999999999998</v>
      </c>
      <c r="H69" s="132">
        <v>-0.35799999999999998</v>
      </c>
      <c r="I69" s="132">
        <v>-0.34</v>
      </c>
      <c r="J69" s="132">
        <v>-0.34499999999999997</v>
      </c>
      <c r="K69" s="136">
        <v>-0.34699999999999998</v>
      </c>
      <c r="L69" s="132">
        <v>-0.34799999999999998</v>
      </c>
      <c r="M69" s="138">
        <v>-0.34799999999999998</v>
      </c>
      <c r="N69" s="136">
        <v>-0.34499999999999997</v>
      </c>
      <c r="O69" s="139">
        <v>-0.34499999999999997</v>
      </c>
      <c r="P69" s="139">
        <v>-0.34399999999999997</v>
      </c>
      <c r="Q69" s="139">
        <v>-0.34599999999999997</v>
      </c>
      <c r="R69" s="139">
        <v>-0.34499999999999997</v>
      </c>
      <c r="S69" s="139">
        <v>-0.34499999999999997</v>
      </c>
      <c r="T69" s="139">
        <v>-0.34499999999999997</v>
      </c>
      <c r="U69" s="139">
        <v>-0.34499999999999997</v>
      </c>
      <c r="V69" s="139">
        <f t="shared" si="29"/>
        <v>-0.33499999999999996</v>
      </c>
      <c r="W69" s="139">
        <f t="shared" si="30"/>
        <v>-0.24499999999999997</v>
      </c>
      <c r="X69" s="139">
        <v>-0.34399999999999997</v>
      </c>
      <c r="Y69" s="139">
        <v>-0.34399999999999997</v>
      </c>
      <c r="Z69" s="139">
        <v>-0.34399999999999997</v>
      </c>
      <c r="AA69" s="139">
        <v>-0.34399999999999997</v>
      </c>
      <c r="AB69" s="155">
        <v>-0.34200000000000003</v>
      </c>
      <c r="AC69" s="155">
        <v>-0.34399999999999997</v>
      </c>
      <c r="AD69" s="156">
        <v>-0.34300000000000003</v>
      </c>
      <c r="AE69" s="156">
        <v>-0.34899999999999998</v>
      </c>
      <c r="AF69" s="156">
        <v>-0.35099999999999998</v>
      </c>
      <c r="AG69" s="155">
        <v>-0.38</v>
      </c>
      <c r="AH69" s="155">
        <v>-0.36799999999999999</v>
      </c>
      <c r="AI69" s="155">
        <v>-0.36099999999999999</v>
      </c>
      <c r="AJ69" s="155">
        <v>-0.36199999999999999</v>
      </c>
      <c r="AK69" s="155">
        <v>-0.36299999999999999</v>
      </c>
      <c r="AN69" t="s">
        <v>159</v>
      </c>
      <c r="AO69" s="129">
        <v>23.6</v>
      </c>
      <c r="AP69" s="129">
        <v>22</v>
      </c>
      <c r="AQ69" s="129">
        <v>21.3</v>
      </c>
      <c r="AR69" s="129">
        <v>20.7</v>
      </c>
      <c r="AS69" s="129">
        <v>20.3</v>
      </c>
      <c r="AT69" s="129">
        <v>19.899999999999999</v>
      </c>
      <c r="AU69" s="129">
        <v>19.3</v>
      </c>
      <c r="AV69" s="129">
        <v>18.399999999999999</v>
      </c>
      <c r="AW69" s="129">
        <v>17.7</v>
      </c>
      <c r="AX69" s="129">
        <v>17.3</v>
      </c>
      <c r="AY69" s="129">
        <v>16.899999999999999</v>
      </c>
      <c r="AZ69" s="129">
        <v>17.2</v>
      </c>
      <c r="BA69" s="129">
        <v>18.5</v>
      </c>
      <c r="BC69">
        <f t="shared" si="28"/>
        <v>-0.19999999999999929</v>
      </c>
      <c r="BD69">
        <f t="shared" si="16"/>
        <v>-0.10000000000000142</v>
      </c>
      <c r="BE69">
        <f t="shared" si="17"/>
        <v>-9.9999999999997868E-2</v>
      </c>
      <c r="BF69">
        <f t="shared" si="18"/>
        <v>-0.10000000000000142</v>
      </c>
      <c r="BG69">
        <f t="shared" si="19"/>
        <v>-9.9999999999997868E-2</v>
      </c>
      <c r="BH69">
        <f t="shared" si="20"/>
        <v>-0.10000000000000142</v>
      </c>
      <c r="BI69">
        <f t="shared" si="21"/>
        <v>-9.9999999999997868E-2</v>
      </c>
      <c r="BJ69">
        <f t="shared" si="22"/>
        <v>-0.10000000000000142</v>
      </c>
      <c r="BK69">
        <f t="shared" si="23"/>
        <v>-0.10000000000000142</v>
      </c>
      <c r="BL69">
        <f t="shared" si="24"/>
        <v>-9.9999999999997868E-2</v>
      </c>
      <c r="BM69">
        <f t="shared" si="25"/>
        <v>-0.10000000000000142</v>
      </c>
      <c r="BN69">
        <f t="shared" si="26"/>
        <v>-0.10000000000000142</v>
      </c>
      <c r="BO69">
        <f t="shared" si="27"/>
        <v>-0.10000000000000142</v>
      </c>
    </row>
    <row r="70" spans="1:67" ht="12.75" x14ac:dyDescent="0.2">
      <c r="A70">
        <v>-0.30399999999999999</v>
      </c>
      <c r="B70">
        <v>-0.316</v>
      </c>
      <c r="C70">
        <v>-0.33500000000000002</v>
      </c>
      <c r="D70">
        <v>-0.34799999999999998</v>
      </c>
      <c r="E70">
        <v>-0.35399999999999998</v>
      </c>
      <c r="F70" s="131">
        <v>-0.373</v>
      </c>
      <c r="G70" s="139">
        <v>-0.373</v>
      </c>
      <c r="H70" s="132">
        <v>-0.371</v>
      </c>
      <c r="I70" s="132">
        <v>-0.34300000000000003</v>
      </c>
      <c r="J70" s="132">
        <v>-0.35</v>
      </c>
      <c r="K70" s="136">
        <v>-0.35099999999999998</v>
      </c>
      <c r="L70" s="132">
        <v>-0.35199999999999998</v>
      </c>
      <c r="M70" s="138">
        <v>-0.35299999999999998</v>
      </c>
      <c r="N70" s="136">
        <v>-0.34799999999999998</v>
      </c>
      <c r="O70" s="139">
        <v>-0.34799999999999998</v>
      </c>
      <c r="P70" s="139">
        <v>-0.34699999999999998</v>
      </c>
      <c r="Q70" s="139">
        <v>-0.34799999999999998</v>
      </c>
      <c r="R70" s="139">
        <v>-0.34799999999999998</v>
      </c>
      <c r="S70" s="139">
        <v>-0.34799999999999998</v>
      </c>
      <c r="T70" s="139">
        <v>-0.34799999999999998</v>
      </c>
      <c r="U70" s="139">
        <v>-0.34799999999999998</v>
      </c>
      <c r="V70" s="139">
        <f t="shared" si="29"/>
        <v>-0.33799999999999997</v>
      </c>
      <c r="W70" s="139">
        <f t="shared" si="30"/>
        <v>-0.24799999999999997</v>
      </c>
      <c r="X70" s="139">
        <v>-0.34699999999999998</v>
      </c>
      <c r="Y70" s="139">
        <v>-0.34599999999999997</v>
      </c>
      <c r="Z70" s="139">
        <v>-0.34699999999999998</v>
      </c>
      <c r="AA70" s="139">
        <v>-0.34699999999999998</v>
      </c>
      <c r="AB70" s="155">
        <v>-0.34699999999999998</v>
      </c>
      <c r="AC70" s="155">
        <v>-0.34799999999999998</v>
      </c>
      <c r="AD70" s="156">
        <v>-0.34699999999999998</v>
      </c>
      <c r="AE70" s="156">
        <v>-0.35899999999999999</v>
      </c>
      <c r="AF70" s="156">
        <v>-0.35499999999999998</v>
      </c>
      <c r="AG70" s="155">
        <v>-0.39100000000000001</v>
      </c>
      <c r="AH70" s="155">
        <v>-0.378</v>
      </c>
      <c r="AI70" s="155">
        <v>-0.375</v>
      </c>
      <c r="AJ70" s="155">
        <v>-0.376</v>
      </c>
      <c r="AK70" s="155">
        <v>-0.377</v>
      </c>
      <c r="AN70" t="s">
        <v>107</v>
      </c>
      <c r="AO70" s="129">
        <v>22.9</v>
      </c>
      <c r="AP70" s="129">
        <v>21.5</v>
      </c>
      <c r="AQ70" s="129">
        <v>20.9</v>
      </c>
      <c r="AR70" s="129">
        <v>20.399999999999999</v>
      </c>
      <c r="AS70" s="129">
        <v>20</v>
      </c>
      <c r="AT70" s="129">
        <v>19.600000000000001</v>
      </c>
      <c r="AU70" s="129">
        <v>19</v>
      </c>
      <c r="AV70" s="129">
        <v>18</v>
      </c>
      <c r="AW70" s="129">
        <v>17.3</v>
      </c>
      <c r="AX70" s="129">
        <v>16.8</v>
      </c>
      <c r="AY70" s="129">
        <v>16.3</v>
      </c>
      <c r="AZ70" s="129">
        <v>16</v>
      </c>
      <c r="BA70" s="129">
        <v>16.5</v>
      </c>
      <c r="BC70">
        <f t="shared" si="28"/>
        <v>-0.10000000000000142</v>
      </c>
      <c r="BD70">
        <f t="shared" si="16"/>
        <v>-0.10000000000000142</v>
      </c>
      <c r="BE70">
        <f t="shared" si="17"/>
        <v>-0.10000000000000142</v>
      </c>
      <c r="BF70">
        <f t="shared" si="18"/>
        <v>-0.10000000000000142</v>
      </c>
      <c r="BG70">
        <f t="shared" si="19"/>
        <v>-0.10000000000000142</v>
      </c>
      <c r="BH70">
        <f t="shared" si="20"/>
        <v>-9.9999999999997868E-2</v>
      </c>
      <c r="BI70">
        <f t="shared" si="21"/>
        <v>-0.10000000000000142</v>
      </c>
      <c r="BJ70">
        <f t="shared" si="22"/>
        <v>-0.10000000000000142</v>
      </c>
      <c r="BK70">
        <f t="shared" si="23"/>
        <v>-9.9999999999997868E-2</v>
      </c>
      <c r="BL70">
        <f t="shared" si="24"/>
        <v>-9.9999999999997868E-2</v>
      </c>
      <c r="BM70">
        <f t="shared" si="25"/>
        <v>-9.9999999999997868E-2</v>
      </c>
      <c r="BN70">
        <f t="shared" si="26"/>
        <v>-0.10000000000000142</v>
      </c>
      <c r="BO70">
        <f t="shared" si="27"/>
        <v>-0.10000000000000142</v>
      </c>
    </row>
    <row r="71" spans="1:67" ht="12.75" x14ac:dyDescent="0.2">
      <c r="A71">
        <v>-0.318</v>
      </c>
      <c r="B71">
        <v>-0.33500000000000002</v>
      </c>
      <c r="C71">
        <v>-0.35399999999999998</v>
      </c>
      <c r="D71">
        <v>-0.36199999999999999</v>
      </c>
      <c r="E71">
        <v>-0.36599999999999999</v>
      </c>
      <c r="F71" s="131">
        <v>-0.38900000000000001</v>
      </c>
      <c r="G71" s="139">
        <v>-0.38400000000000001</v>
      </c>
      <c r="H71" s="132">
        <v>-0.38</v>
      </c>
      <c r="I71" s="132">
        <v>-0.34599999999999997</v>
      </c>
      <c r="J71" s="132">
        <v>-0.35399999999999998</v>
      </c>
      <c r="K71" s="136">
        <v>-0.35399999999999998</v>
      </c>
      <c r="L71" s="132">
        <v>-0.35699999999999998</v>
      </c>
      <c r="M71" s="138">
        <v>-0.35799999999999998</v>
      </c>
      <c r="N71" s="136">
        <v>-0.35299999999999998</v>
      </c>
      <c r="O71" s="139">
        <v>-0.35199999999999998</v>
      </c>
      <c r="P71" s="139">
        <v>-0.35099999999999998</v>
      </c>
      <c r="Q71" s="139">
        <v>-0.35299999999999998</v>
      </c>
      <c r="R71" s="139">
        <v>-0.35299999999999998</v>
      </c>
      <c r="S71" s="139">
        <v>-0.35499999999999998</v>
      </c>
      <c r="T71" s="139">
        <v>-0.35399999999999998</v>
      </c>
      <c r="U71" s="139">
        <v>-0.35399999999999998</v>
      </c>
      <c r="V71" s="139">
        <f t="shared" si="29"/>
        <v>-0.34399999999999997</v>
      </c>
      <c r="W71" s="139">
        <f t="shared" si="30"/>
        <v>-0.254</v>
      </c>
      <c r="X71" s="139">
        <v>-0.35399999999999998</v>
      </c>
      <c r="Y71" s="139">
        <v>-0.35299999999999998</v>
      </c>
      <c r="Z71" s="139">
        <v>-0.35299999999999998</v>
      </c>
      <c r="AA71" s="139">
        <v>-0.35099999999999998</v>
      </c>
      <c r="AB71" s="155">
        <v>-0.35199999999999998</v>
      </c>
      <c r="AC71" s="155">
        <v>-0.35399999999999998</v>
      </c>
      <c r="AD71" s="156">
        <v>-0.35299999999999998</v>
      </c>
      <c r="AE71" s="156">
        <v>-0.36699999999999999</v>
      </c>
      <c r="AF71" s="156">
        <v>-0.36</v>
      </c>
      <c r="AG71" s="155">
        <v>-0.40300000000000002</v>
      </c>
      <c r="AH71" s="155">
        <v>-0.38700000000000001</v>
      </c>
      <c r="AI71" s="155">
        <v>-0.38400000000000001</v>
      </c>
      <c r="AJ71" s="155">
        <v>-0.38700000000000001</v>
      </c>
      <c r="AK71" s="155">
        <v>-0.38800000000000001</v>
      </c>
      <c r="AN71" t="s">
        <v>108</v>
      </c>
      <c r="AO71" s="129">
        <v>22</v>
      </c>
      <c r="AP71" s="129">
        <v>20.8</v>
      </c>
      <c r="AQ71" s="129">
        <v>20.3</v>
      </c>
      <c r="AR71" s="129">
        <v>19.8</v>
      </c>
      <c r="AS71" s="129">
        <v>19.5</v>
      </c>
      <c r="AT71" s="129">
        <v>19.100000000000001</v>
      </c>
      <c r="AU71" s="129">
        <v>18.600000000000001</v>
      </c>
      <c r="AV71" s="129">
        <v>17.600000000000001</v>
      </c>
      <c r="AW71" s="129">
        <v>16.899999999999999</v>
      </c>
      <c r="AX71" s="129">
        <v>16.399999999999999</v>
      </c>
      <c r="AY71" s="129">
        <v>15.7</v>
      </c>
      <c r="AZ71" s="129">
        <v>15.1</v>
      </c>
      <c r="BA71" s="129">
        <v>14.8</v>
      </c>
      <c r="BC71">
        <f t="shared" si="28"/>
        <v>-0.10000000000000142</v>
      </c>
      <c r="BD71">
        <f t="shared" si="16"/>
        <v>-9.9999999999997868E-2</v>
      </c>
      <c r="BE71">
        <f t="shared" si="17"/>
        <v>-9.9999999999997868E-2</v>
      </c>
      <c r="BF71">
        <f t="shared" si="18"/>
        <v>-0.19999999999999929</v>
      </c>
      <c r="BG71">
        <f t="shared" si="19"/>
        <v>-0.10000000000000142</v>
      </c>
      <c r="BH71">
        <f t="shared" si="20"/>
        <v>-0.19999999999999929</v>
      </c>
      <c r="BI71">
        <f t="shared" si="21"/>
        <v>-9.9999999999997868E-2</v>
      </c>
      <c r="BJ71">
        <f t="shared" si="22"/>
        <v>-9.9999999999997868E-2</v>
      </c>
      <c r="BK71">
        <f t="shared" si="23"/>
        <v>-0.10000000000000142</v>
      </c>
      <c r="BL71">
        <f t="shared" si="24"/>
        <v>-0.10000000000000142</v>
      </c>
      <c r="BM71">
        <f t="shared" si="25"/>
        <v>-0.10000000000000142</v>
      </c>
      <c r="BN71">
        <f t="shared" si="26"/>
        <v>-9.9999999999999645E-2</v>
      </c>
      <c r="BO71">
        <f t="shared" si="27"/>
        <v>-9.9999999999999645E-2</v>
      </c>
    </row>
    <row r="72" spans="1:67" ht="12.75" x14ac:dyDescent="0.2">
      <c r="A72">
        <v>-0.32900000000000001</v>
      </c>
      <c r="B72">
        <v>-0.34899999999999998</v>
      </c>
      <c r="C72">
        <v>-0.36499999999999999</v>
      </c>
      <c r="D72">
        <v>-0.374</v>
      </c>
      <c r="E72">
        <v>-0.376</v>
      </c>
      <c r="F72" s="131">
        <v>-0.39500000000000002</v>
      </c>
      <c r="G72" s="139">
        <v>-0.39200000000000002</v>
      </c>
      <c r="H72" s="132">
        <v>-0.38700000000000001</v>
      </c>
      <c r="I72" s="132">
        <v>-0.34899999999999998</v>
      </c>
      <c r="J72" s="132">
        <v>-0.35799999999999998</v>
      </c>
      <c r="K72" s="136">
        <v>-0.35799999999999998</v>
      </c>
      <c r="L72" s="132">
        <v>-0.36199999999999999</v>
      </c>
      <c r="M72" s="138">
        <v>-0.36399999999999999</v>
      </c>
      <c r="N72" s="136">
        <v>-0.35699999999999998</v>
      </c>
      <c r="O72" s="139">
        <v>-0.35699999999999998</v>
      </c>
      <c r="P72" s="139">
        <v>-0.35499999999999998</v>
      </c>
      <c r="Q72" s="139">
        <v>-0.35799999999999998</v>
      </c>
      <c r="R72" s="139">
        <v>-0.35899999999999999</v>
      </c>
      <c r="S72" s="139">
        <v>-0.36099999999999999</v>
      </c>
      <c r="T72" s="139">
        <v>-0.36</v>
      </c>
      <c r="U72" s="139">
        <v>-0.36</v>
      </c>
      <c r="V72" s="139">
        <f t="shared" si="29"/>
        <v>-0.35</v>
      </c>
      <c r="W72" s="139">
        <f t="shared" si="30"/>
        <v>-0.26</v>
      </c>
      <c r="X72" s="139">
        <v>-0.36</v>
      </c>
      <c r="Y72" s="139">
        <v>-0.35899999999999999</v>
      </c>
      <c r="Z72" s="139">
        <v>-0.35899999999999999</v>
      </c>
      <c r="AA72" s="139">
        <v>-0.35499999999999998</v>
      </c>
      <c r="AB72" s="155">
        <v>-0.35699999999999998</v>
      </c>
      <c r="AC72" s="155">
        <v>-0.35799999999999998</v>
      </c>
      <c r="AD72" s="156">
        <v>-0.35699999999999998</v>
      </c>
      <c r="AE72" s="156">
        <v>-0.373</v>
      </c>
      <c r="AF72" s="156">
        <v>-0.36499999999999999</v>
      </c>
      <c r="AG72" s="155">
        <v>-0.41199999999999998</v>
      </c>
      <c r="AH72" s="155">
        <v>-0.39700000000000002</v>
      </c>
      <c r="AI72" s="155">
        <v>-0.39400000000000002</v>
      </c>
      <c r="AJ72" s="155">
        <v>-0.39800000000000002</v>
      </c>
      <c r="AK72" s="155">
        <v>-0.39900000000000002</v>
      </c>
      <c r="AN72" t="s">
        <v>109</v>
      </c>
      <c r="AO72" s="129">
        <v>21.4</v>
      </c>
      <c r="AP72" s="129">
        <v>20.399999999999999</v>
      </c>
      <c r="AQ72" s="129">
        <v>19.899999999999999</v>
      </c>
      <c r="AR72" s="129">
        <v>19.5</v>
      </c>
      <c r="AS72" s="129">
        <v>19.2</v>
      </c>
      <c r="AT72" s="129">
        <v>18.899999999999999</v>
      </c>
      <c r="AU72" s="129">
        <v>18.3</v>
      </c>
      <c r="AV72" s="129">
        <v>17.399999999999999</v>
      </c>
      <c r="AW72" s="129">
        <v>16.7</v>
      </c>
      <c r="AX72" s="129">
        <v>16.2</v>
      </c>
      <c r="AY72" s="129">
        <v>15.4</v>
      </c>
      <c r="AZ72" s="129">
        <v>14.6</v>
      </c>
      <c r="BA72" s="129">
        <v>14</v>
      </c>
      <c r="BC72">
        <f t="shared" si="28"/>
        <v>-0.10000000000000142</v>
      </c>
      <c r="BD72">
        <f t="shared" si="16"/>
        <v>-0.10000000000000142</v>
      </c>
      <c r="BE72">
        <f t="shared" si="17"/>
        <v>-0.20000000000000284</v>
      </c>
      <c r="BF72">
        <f t="shared" si="18"/>
        <v>-0.19999999999999929</v>
      </c>
      <c r="BG72">
        <f t="shared" si="19"/>
        <v>-0.10000000000000142</v>
      </c>
      <c r="BH72">
        <f t="shared" si="20"/>
        <v>-0.10000000000000142</v>
      </c>
      <c r="BI72">
        <f t="shared" si="21"/>
        <v>-9.9999999999997868E-2</v>
      </c>
      <c r="BJ72">
        <f t="shared" si="22"/>
        <v>-0.10000000000000142</v>
      </c>
      <c r="BK72">
        <f t="shared" si="23"/>
        <v>-0.10000000000000142</v>
      </c>
      <c r="BL72">
        <f t="shared" si="24"/>
        <v>-0.10000000000000142</v>
      </c>
      <c r="BM72">
        <f t="shared" si="25"/>
        <v>-9.9999999999999645E-2</v>
      </c>
      <c r="BN72">
        <f t="shared" si="26"/>
        <v>-9.9999999999999645E-2</v>
      </c>
      <c r="BO72">
        <f t="shared" si="27"/>
        <v>-9.9999999999999645E-2</v>
      </c>
    </row>
    <row r="73" spans="1:67" ht="12.75" x14ac:dyDescent="0.2">
      <c r="A73">
        <v>-0.33900000000000002</v>
      </c>
      <c r="B73">
        <v>-0.36099999999999999</v>
      </c>
      <c r="C73">
        <v>-0.375</v>
      </c>
      <c r="D73">
        <v>-0.38400000000000001</v>
      </c>
      <c r="E73">
        <v>-0.38500000000000001</v>
      </c>
      <c r="F73" s="131">
        <v>-0.40400000000000003</v>
      </c>
      <c r="G73" s="139">
        <v>-0.40100000000000002</v>
      </c>
      <c r="H73" s="132">
        <v>-0.39600000000000002</v>
      </c>
      <c r="I73" s="132">
        <v>-0.35199999999999998</v>
      </c>
      <c r="J73" s="132">
        <v>-0.36299999999999999</v>
      </c>
      <c r="K73" s="136">
        <v>-0.36299999999999999</v>
      </c>
      <c r="L73" s="132">
        <v>-0.36799999999999999</v>
      </c>
      <c r="M73" s="138">
        <v>-0.37</v>
      </c>
      <c r="N73" s="136">
        <v>-0.36099999999999999</v>
      </c>
      <c r="O73" s="139">
        <v>-0.36199999999999999</v>
      </c>
      <c r="P73" s="139">
        <v>-0.35899999999999999</v>
      </c>
      <c r="Q73" s="139">
        <v>-0.36199999999999999</v>
      </c>
      <c r="R73" s="139">
        <v>-0.36299999999999999</v>
      </c>
      <c r="S73" s="139">
        <v>-0.36499999999999999</v>
      </c>
      <c r="T73" s="139">
        <v>-0.36499999999999999</v>
      </c>
      <c r="U73" s="139">
        <v>-0.36499999999999999</v>
      </c>
      <c r="V73" s="139">
        <f t="shared" si="29"/>
        <v>-0.35499999999999998</v>
      </c>
      <c r="W73" s="139">
        <f t="shared" si="30"/>
        <v>-0.26500000000000001</v>
      </c>
      <c r="X73" s="139">
        <v>-0.36499999999999999</v>
      </c>
      <c r="Y73" s="139">
        <v>-0.36299999999999999</v>
      </c>
      <c r="Z73" s="139">
        <v>-0.36299999999999999</v>
      </c>
      <c r="AA73" s="139">
        <v>-0.35899999999999999</v>
      </c>
      <c r="AB73" s="155">
        <v>-0.36199999999999999</v>
      </c>
      <c r="AC73" s="155">
        <v>-0.36199999999999999</v>
      </c>
      <c r="AD73" s="156">
        <v>-0.36099999999999999</v>
      </c>
      <c r="AE73" s="156">
        <v>-0.379</v>
      </c>
      <c r="AF73" s="156">
        <v>-0.37</v>
      </c>
      <c r="AG73" s="155">
        <v>-0.42</v>
      </c>
      <c r="AH73" s="155">
        <v>-0.40600000000000003</v>
      </c>
      <c r="AI73" s="155">
        <v>-0.40400000000000003</v>
      </c>
      <c r="AJ73" s="155">
        <v>-0.40899999999999997</v>
      </c>
      <c r="AK73" s="155">
        <v>-0.40899999999999997</v>
      </c>
      <c r="AN73" t="s">
        <v>110</v>
      </c>
      <c r="AO73" s="129">
        <v>21</v>
      </c>
      <c r="AP73" s="129">
        <v>20</v>
      </c>
      <c r="AQ73" s="129">
        <v>19.600000000000001</v>
      </c>
      <c r="AR73" s="129">
        <v>19.2</v>
      </c>
      <c r="AS73" s="129">
        <v>18.899999999999999</v>
      </c>
      <c r="AT73" s="129">
        <v>18.600000000000001</v>
      </c>
      <c r="AU73" s="129">
        <v>18.100000000000001</v>
      </c>
      <c r="AV73" s="129">
        <v>17.2</v>
      </c>
      <c r="AW73" s="129">
        <v>16.5</v>
      </c>
      <c r="AX73" s="129">
        <v>16</v>
      </c>
      <c r="AY73" s="129">
        <v>15.2</v>
      </c>
      <c r="AZ73" s="129">
        <v>14.3</v>
      </c>
      <c r="BA73" s="129">
        <v>13.5</v>
      </c>
      <c r="BC73">
        <f t="shared" si="28"/>
        <v>-0.10000000000000142</v>
      </c>
      <c r="BD73">
        <f t="shared" si="16"/>
        <v>-0.19999999999999929</v>
      </c>
      <c r="BE73">
        <f t="shared" si="17"/>
        <v>-0.19999999999999929</v>
      </c>
      <c r="BF73">
        <f t="shared" si="18"/>
        <v>-0.19999999999999929</v>
      </c>
      <c r="BG73">
        <f t="shared" si="19"/>
        <v>-0.10000000000000142</v>
      </c>
      <c r="BH73">
        <f t="shared" si="20"/>
        <v>-9.9999999999997868E-2</v>
      </c>
      <c r="BI73">
        <f t="shared" si="21"/>
        <v>-9.9999999999997868E-2</v>
      </c>
      <c r="BJ73">
        <f t="shared" si="22"/>
        <v>-0.10000000000000142</v>
      </c>
      <c r="BK73">
        <f t="shared" si="23"/>
        <v>-0.10000000000000142</v>
      </c>
      <c r="BL73">
        <f t="shared" si="24"/>
        <v>-0.10000000000000142</v>
      </c>
      <c r="BM73">
        <f t="shared" si="25"/>
        <v>-0.10000000000000142</v>
      </c>
      <c r="BN73">
        <f t="shared" si="26"/>
        <v>-9.9999999999999645E-2</v>
      </c>
      <c r="BO73">
        <f t="shared" si="27"/>
        <v>-9.9999999999999645E-2</v>
      </c>
    </row>
    <row r="74" spans="1:67" ht="12.75" x14ac:dyDescent="0.2">
      <c r="A74">
        <v>-0.34699999999999998</v>
      </c>
      <c r="B74">
        <v>-0.37</v>
      </c>
      <c r="C74">
        <v>-0.38500000000000001</v>
      </c>
      <c r="D74">
        <v>-0.39300000000000002</v>
      </c>
      <c r="E74">
        <v>-0.39400000000000002</v>
      </c>
      <c r="F74" s="131">
        <v>-0.41399999999999998</v>
      </c>
      <c r="G74" s="139">
        <v>-0.41199999999999998</v>
      </c>
      <c r="H74" s="132">
        <v>-0.40400000000000003</v>
      </c>
      <c r="I74" s="132">
        <v>-0.35599999999999998</v>
      </c>
      <c r="J74" s="132">
        <v>-0.36799999999999999</v>
      </c>
      <c r="K74" s="136">
        <v>-0.36699999999999999</v>
      </c>
      <c r="L74" s="132">
        <v>-0.373</v>
      </c>
      <c r="M74" s="138">
        <v>-0.374</v>
      </c>
      <c r="N74" s="136">
        <v>-0.36599999999999999</v>
      </c>
      <c r="O74" s="139">
        <v>-0.36599999999999999</v>
      </c>
      <c r="P74" s="139">
        <v>-0.36199999999999999</v>
      </c>
      <c r="Q74" s="139">
        <v>-0.36599999999999999</v>
      </c>
      <c r="R74" s="139">
        <v>-0.36799999999999999</v>
      </c>
      <c r="S74" s="139">
        <v>-0.37</v>
      </c>
      <c r="T74" s="139">
        <v>-0.37</v>
      </c>
      <c r="U74" s="139">
        <v>-0.37</v>
      </c>
      <c r="V74" s="139">
        <f t="shared" si="29"/>
        <v>-0.36</v>
      </c>
      <c r="W74" s="139">
        <f t="shared" si="30"/>
        <v>-0.27</v>
      </c>
      <c r="X74" s="139">
        <v>-0.37</v>
      </c>
      <c r="Y74" s="139">
        <v>-0.36799999999999999</v>
      </c>
      <c r="Z74" s="139">
        <v>-0.36799999999999999</v>
      </c>
      <c r="AA74" s="139">
        <v>-0.36199999999999999</v>
      </c>
      <c r="AB74" s="155">
        <v>-0.36599999999999999</v>
      </c>
      <c r="AC74" s="155">
        <v>-0.36699999999999999</v>
      </c>
      <c r="AD74" s="156">
        <v>-0.36599999999999999</v>
      </c>
      <c r="AE74" s="156">
        <v>-0.38400000000000001</v>
      </c>
      <c r="AF74" s="156">
        <v>-0.376</v>
      </c>
      <c r="AG74" s="155">
        <v>-0.42699999999999999</v>
      </c>
      <c r="AH74" s="155">
        <v>-0.41099999999999998</v>
      </c>
      <c r="AI74" s="155">
        <v>-0.41099999999999998</v>
      </c>
      <c r="AJ74" s="155">
        <v>-0.41699999999999998</v>
      </c>
      <c r="AK74" s="155">
        <v>-0.41699999999999998</v>
      </c>
    </row>
    <row r="75" spans="1:67" ht="12.75" x14ac:dyDescent="0.2">
      <c r="A75">
        <v>-0.35399999999999998</v>
      </c>
      <c r="B75">
        <v>-0.379</v>
      </c>
      <c r="C75">
        <v>-0.39400000000000002</v>
      </c>
      <c r="D75">
        <v>-0.40100000000000002</v>
      </c>
      <c r="E75">
        <v>-0.40200000000000002</v>
      </c>
      <c r="F75" s="131">
        <v>-0.42299999999999999</v>
      </c>
      <c r="G75" s="139">
        <v>-0.42099999999999999</v>
      </c>
      <c r="H75" s="132">
        <v>-0.41099999999999998</v>
      </c>
      <c r="I75" s="132">
        <v>-0.35899999999999999</v>
      </c>
      <c r="J75" s="132">
        <v>-0.372</v>
      </c>
      <c r="K75" s="136">
        <v>-0.37</v>
      </c>
      <c r="L75" s="132">
        <v>-0.378</v>
      </c>
      <c r="M75" s="138">
        <v>-0.38</v>
      </c>
      <c r="N75" s="136">
        <v>-0.37</v>
      </c>
      <c r="O75" s="139">
        <v>-0.371</v>
      </c>
      <c r="P75" s="139">
        <v>-0.36599999999999999</v>
      </c>
      <c r="Q75" s="139">
        <v>-0.371</v>
      </c>
      <c r="R75" s="139">
        <v>-0.373</v>
      </c>
      <c r="S75" s="139">
        <v>-0.376</v>
      </c>
      <c r="T75" s="139">
        <v>-0.375</v>
      </c>
      <c r="U75" s="139">
        <v>-0.376</v>
      </c>
      <c r="V75" s="139">
        <f t="shared" si="29"/>
        <v>-0.36599999999999999</v>
      </c>
      <c r="W75" s="139">
        <f t="shared" si="30"/>
        <v>-0.27600000000000002</v>
      </c>
      <c r="X75" s="139">
        <v>-0.376</v>
      </c>
      <c r="Y75" s="139">
        <v>-0.374</v>
      </c>
      <c r="Z75" s="139">
        <v>-0.374</v>
      </c>
      <c r="AA75" s="139">
        <v>-0.36699999999999999</v>
      </c>
      <c r="AB75" s="155">
        <v>-0.37</v>
      </c>
      <c r="AC75" s="155">
        <v>-0.37</v>
      </c>
      <c r="AD75" s="156">
        <v>-0.36899999999999999</v>
      </c>
      <c r="AE75" s="156">
        <v>-0.38800000000000001</v>
      </c>
      <c r="AF75" s="156">
        <v>-0.38</v>
      </c>
      <c r="AG75" s="155">
        <v>-0.433</v>
      </c>
      <c r="AH75" s="155">
        <v>-0.42</v>
      </c>
      <c r="AI75" s="155">
        <v>-0.41799999999999998</v>
      </c>
      <c r="AJ75" s="155">
        <v>-0.42499999999999999</v>
      </c>
      <c r="AK75" s="155">
        <v>-0.42499999999999999</v>
      </c>
      <c r="AL75" s="139"/>
      <c r="AO75">
        <v>-0.5</v>
      </c>
      <c r="AP75">
        <v>-0.25</v>
      </c>
      <c r="AQ75">
        <v>-0.13</v>
      </c>
      <c r="AR75">
        <v>0</v>
      </c>
      <c r="AS75">
        <v>0.125</v>
      </c>
      <c r="AT75">
        <v>0.25</v>
      </c>
      <c r="AU75">
        <v>0.5</v>
      </c>
      <c r="AV75">
        <v>1</v>
      </c>
      <c r="AW75">
        <v>1.5</v>
      </c>
      <c r="AX75">
        <v>2</v>
      </c>
      <c r="AY75">
        <v>3</v>
      </c>
      <c r="AZ75">
        <v>5</v>
      </c>
      <c r="BA75">
        <v>10</v>
      </c>
    </row>
    <row r="76" spans="1:67" ht="12.75" x14ac:dyDescent="0.2">
      <c r="A76">
        <v>-0.35899999999999999</v>
      </c>
      <c r="B76">
        <v>-0.38600000000000001</v>
      </c>
      <c r="C76">
        <v>-0.4</v>
      </c>
      <c r="D76">
        <v>-0.40699999999999997</v>
      </c>
      <c r="E76">
        <v>-0.41</v>
      </c>
      <c r="F76" s="131">
        <v>-0.42899999999999999</v>
      </c>
      <c r="G76" s="139">
        <v>-0.43</v>
      </c>
      <c r="H76" s="132">
        <v>-0.41799999999999998</v>
      </c>
      <c r="I76" s="132">
        <v>-0.36299999999999999</v>
      </c>
      <c r="J76" s="132">
        <v>-0.376</v>
      </c>
      <c r="K76" s="136">
        <v>-0.375</v>
      </c>
      <c r="L76" s="132">
        <v>-0.38500000000000001</v>
      </c>
      <c r="M76" s="138">
        <v>-0.38600000000000001</v>
      </c>
      <c r="N76" s="136">
        <v>-0.376</v>
      </c>
      <c r="O76" s="139">
        <v>-0.375</v>
      </c>
      <c r="P76" s="139">
        <v>-0.37</v>
      </c>
      <c r="Q76" s="139">
        <v>-0.375</v>
      </c>
      <c r="R76" s="139">
        <v>-0.377</v>
      </c>
      <c r="S76" s="139">
        <v>-0.38</v>
      </c>
      <c r="T76" s="139">
        <v>-0.38</v>
      </c>
      <c r="U76" s="139">
        <v>-0.38100000000000001</v>
      </c>
      <c r="V76" s="139">
        <f t="shared" si="29"/>
        <v>-0.371</v>
      </c>
      <c r="W76" s="139">
        <f t="shared" si="30"/>
        <v>-0.28100000000000003</v>
      </c>
      <c r="X76" s="139">
        <v>-0.38100000000000001</v>
      </c>
      <c r="Y76" s="139">
        <v>-0.378</v>
      </c>
      <c r="Z76" s="139">
        <v>-0.378</v>
      </c>
      <c r="AA76" s="139">
        <v>-0.37</v>
      </c>
      <c r="AB76" s="155">
        <v>-0.374</v>
      </c>
      <c r="AC76" s="155">
        <v>-0.373</v>
      </c>
      <c r="AD76" s="156">
        <v>-0.372</v>
      </c>
      <c r="AE76" s="156">
        <v>-0.39300000000000002</v>
      </c>
      <c r="AF76" s="156">
        <v>-0.38400000000000001</v>
      </c>
      <c r="AG76" s="155">
        <v>-0.438</v>
      </c>
      <c r="AH76" s="155">
        <v>-0.42399999999999999</v>
      </c>
      <c r="AI76" s="155">
        <v>-0.42399999999999999</v>
      </c>
      <c r="AJ76" s="155">
        <v>-0.433</v>
      </c>
      <c r="AK76" s="155">
        <v>-0.433</v>
      </c>
      <c r="AL76" s="139">
        <v>23.02</v>
      </c>
      <c r="AN76" t="s">
        <v>25</v>
      </c>
      <c r="AO76" s="129">
        <v>13.9</v>
      </c>
      <c r="AP76" s="129">
        <v>11.7</v>
      </c>
      <c r="AQ76" s="129">
        <v>12.4</v>
      </c>
      <c r="AR76" s="129">
        <v>13.8</v>
      </c>
      <c r="AS76" s="129">
        <v>15.4</v>
      </c>
      <c r="AT76" s="129">
        <v>16.8</v>
      </c>
      <c r="AU76" s="129">
        <v>19.7</v>
      </c>
      <c r="AV76" s="129">
        <v>24.7</v>
      </c>
      <c r="AW76" s="129">
        <v>28.9</v>
      </c>
      <c r="AX76" s="129">
        <v>32.4</v>
      </c>
      <c r="AY76" s="129">
        <v>38.4</v>
      </c>
      <c r="AZ76" s="129">
        <v>47.1</v>
      </c>
      <c r="BA76" s="129">
        <v>60.6</v>
      </c>
      <c r="BC76">
        <f>AO76-AO58</f>
        <v>-1.2999999999999989</v>
      </c>
      <c r="BD76">
        <f t="shared" ref="BD76:BD91" si="31">AP76-AP58</f>
        <v>-0.60000000000000142</v>
      </c>
      <c r="BE76">
        <f t="shared" ref="BE76:BE91" si="32">AQ76-AQ58</f>
        <v>0.20000000000000107</v>
      </c>
      <c r="BF76">
        <f t="shared" ref="BF76:BF91" si="33">AR76-AR58</f>
        <v>0.90000000000000036</v>
      </c>
      <c r="BG76">
        <f t="shared" ref="BG76:BG91" si="34">AS76-AS58</f>
        <v>1.3000000000000007</v>
      </c>
      <c r="BH76">
        <f t="shared" ref="BH76:BH91" si="35">AT76-AT58</f>
        <v>1.7000000000000011</v>
      </c>
      <c r="BI76">
        <f t="shared" ref="BI76:BI91" si="36">AU76-AU58</f>
        <v>2.1999999999999993</v>
      </c>
      <c r="BJ76">
        <f t="shared" ref="BJ76:BJ91" si="37">AV76-AV58</f>
        <v>3</v>
      </c>
      <c r="BK76">
        <f t="shared" ref="BK76:BK91" si="38">AW76-AW58</f>
        <v>3.5999999999999979</v>
      </c>
      <c r="BL76">
        <f t="shared" ref="BL76:BL91" si="39">AX76-AX58</f>
        <v>4</v>
      </c>
      <c r="BM76">
        <f t="shared" ref="BM76:BM91" si="40">AY76-AY58</f>
        <v>4.7999999999999972</v>
      </c>
      <c r="BN76">
        <f t="shared" ref="BN76:BN91" si="41">AZ76-AZ58</f>
        <v>5.8000000000000043</v>
      </c>
      <c r="BO76">
        <f t="shared" ref="BO76:BO91" si="42">BA76-BA58</f>
        <v>7.3999999999999986</v>
      </c>
    </row>
    <row r="77" spans="1:67" ht="12.75" x14ac:dyDescent="0.2">
      <c r="A77">
        <v>-0.36399999999999999</v>
      </c>
      <c r="B77">
        <v>-0.39200000000000002</v>
      </c>
      <c r="C77">
        <v>-0.40699999999999997</v>
      </c>
      <c r="D77">
        <v>-0.41299999999999998</v>
      </c>
      <c r="E77">
        <v>-0.41499999999999998</v>
      </c>
      <c r="F77" s="131">
        <v>-0.44800000000000001</v>
      </c>
      <c r="G77" s="139">
        <v>-0.438</v>
      </c>
      <c r="H77" s="132">
        <v>-0.42399999999999999</v>
      </c>
      <c r="I77" s="132">
        <v>-0.36599999999999999</v>
      </c>
      <c r="J77" s="132">
        <v>-0.38</v>
      </c>
      <c r="K77" s="136">
        <v>-0.378</v>
      </c>
      <c r="L77" s="132">
        <v>-0.38900000000000001</v>
      </c>
      <c r="M77" s="138">
        <v>-0.39100000000000001</v>
      </c>
      <c r="N77" s="136">
        <v>-0.38</v>
      </c>
      <c r="O77" s="139">
        <v>-0.38</v>
      </c>
      <c r="P77" s="139">
        <v>-0.373</v>
      </c>
      <c r="Q77" s="139">
        <v>-0.378</v>
      </c>
      <c r="R77" s="139">
        <v>-0.38100000000000001</v>
      </c>
      <c r="S77" s="139">
        <v>-0.38300000000000001</v>
      </c>
      <c r="T77" s="139">
        <v>-0.38300000000000001</v>
      </c>
      <c r="U77" s="139">
        <v>-0.38500000000000001</v>
      </c>
      <c r="V77" s="139">
        <f t="shared" si="29"/>
        <v>-0.375</v>
      </c>
      <c r="W77" s="139">
        <f t="shared" si="30"/>
        <v>-0.28500000000000003</v>
      </c>
      <c r="X77" s="139">
        <v>-0.38500000000000001</v>
      </c>
      <c r="Y77" s="139">
        <v>-0.38300000000000001</v>
      </c>
      <c r="Z77" s="139">
        <v>-0.38200000000000001</v>
      </c>
      <c r="AA77" s="139">
        <v>-0.373</v>
      </c>
      <c r="AB77" s="155">
        <v>-0.377</v>
      </c>
      <c r="AC77" s="155">
        <v>-0.376</v>
      </c>
      <c r="AD77" s="156">
        <v>-0.375</v>
      </c>
      <c r="AE77" s="156">
        <v>-0.39600000000000002</v>
      </c>
      <c r="AF77" s="156">
        <v>-0.38800000000000001</v>
      </c>
      <c r="AG77" s="155">
        <v>-0.443</v>
      </c>
      <c r="AH77" s="155">
        <v>-0.42899999999999999</v>
      </c>
      <c r="AI77" s="155">
        <v>-0.43</v>
      </c>
      <c r="AJ77" s="155">
        <v>-0.439</v>
      </c>
      <c r="AK77" s="155">
        <v>-0.439</v>
      </c>
      <c r="AL77" s="139"/>
      <c r="AN77" t="s">
        <v>156</v>
      </c>
      <c r="AO77" s="129">
        <v>14.7</v>
      </c>
      <c r="AP77" s="129">
        <v>12.6</v>
      </c>
      <c r="AQ77" s="129">
        <v>13.2</v>
      </c>
      <c r="AR77" s="129">
        <v>14.5</v>
      </c>
      <c r="AS77" s="129">
        <v>16</v>
      </c>
      <c r="AT77" s="129">
        <v>17.3</v>
      </c>
      <c r="AU77" s="129">
        <v>19.899999999999999</v>
      </c>
      <c r="AV77" s="129">
        <v>24.6</v>
      </c>
      <c r="AW77" s="129">
        <v>28.4</v>
      </c>
      <c r="AX77" s="129">
        <v>31.7</v>
      </c>
      <c r="AY77" s="129">
        <v>37.200000000000003</v>
      </c>
      <c r="AZ77" s="129">
        <v>45.1</v>
      </c>
      <c r="BA77" s="129">
        <v>57.1</v>
      </c>
      <c r="BC77">
        <f t="shared" ref="BC77:BC91" si="43">AO77-AO59</f>
        <v>-1.2000000000000011</v>
      </c>
      <c r="BD77">
        <f t="shared" si="31"/>
        <v>-0.40000000000000036</v>
      </c>
      <c r="BE77">
        <f t="shared" si="32"/>
        <v>0.29999999999999893</v>
      </c>
      <c r="BF77">
        <f t="shared" si="33"/>
        <v>1.0999999999999996</v>
      </c>
      <c r="BG77">
        <f t="shared" si="34"/>
        <v>1.5999999999999996</v>
      </c>
      <c r="BH77">
        <f t="shared" si="35"/>
        <v>2</v>
      </c>
      <c r="BI77">
        <f t="shared" si="36"/>
        <v>2.5999999999999979</v>
      </c>
      <c r="BJ77">
        <f t="shared" si="37"/>
        <v>3.6000000000000014</v>
      </c>
      <c r="BK77">
        <f t="shared" si="38"/>
        <v>4.1999999999999993</v>
      </c>
      <c r="BL77">
        <f t="shared" si="39"/>
        <v>4.6999999999999993</v>
      </c>
      <c r="BM77">
        <f t="shared" si="40"/>
        <v>5.7000000000000028</v>
      </c>
      <c r="BN77">
        <f t="shared" si="41"/>
        <v>6.8000000000000043</v>
      </c>
      <c r="BO77">
        <f t="shared" si="42"/>
        <v>8.6000000000000014</v>
      </c>
    </row>
    <row r="78" spans="1:67" ht="12.75" x14ac:dyDescent="0.2">
      <c r="A78">
        <v>-0.36799999999999999</v>
      </c>
      <c r="B78">
        <v>-0.39700000000000002</v>
      </c>
      <c r="C78">
        <v>-0.41199999999999998</v>
      </c>
      <c r="D78">
        <v>-0.41799999999999998</v>
      </c>
      <c r="E78">
        <v>-0.42199999999999999</v>
      </c>
      <c r="F78" s="131">
        <v>-0.44400000000000001</v>
      </c>
      <c r="G78" s="139">
        <v>-0.44600000000000001</v>
      </c>
      <c r="H78" s="132">
        <v>-0.43</v>
      </c>
      <c r="I78" s="132">
        <v>-0.36899999999999999</v>
      </c>
      <c r="J78" s="132">
        <v>-0.38300000000000001</v>
      </c>
      <c r="K78" s="136">
        <v>-0.38100000000000001</v>
      </c>
      <c r="L78" s="132">
        <v>-0.39300000000000002</v>
      </c>
      <c r="M78" s="138">
        <v>-0.39500000000000002</v>
      </c>
      <c r="N78" s="136">
        <v>-0.38300000000000001</v>
      </c>
      <c r="O78" s="139">
        <v>-0.38200000000000001</v>
      </c>
      <c r="P78" s="139">
        <v>-0.375</v>
      </c>
      <c r="Q78" s="139">
        <v>-0.38100000000000001</v>
      </c>
      <c r="R78" s="139">
        <v>-0.38400000000000001</v>
      </c>
      <c r="S78" s="139">
        <v>-0.38600000000000001</v>
      </c>
      <c r="T78" s="139">
        <v>-0.38600000000000001</v>
      </c>
      <c r="U78" s="139">
        <v>-0.38900000000000001</v>
      </c>
      <c r="V78" s="139">
        <f t="shared" si="29"/>
        <v>-0.379</v>
      </c>
      <c r="W78" s="139">
        <f t="shared" si="30"/>
        <v>-0.28900000000000003</v>
      </c>
      <c r="X78" s="139">
        <v>-0.38900000000000001</v>
      </c>
      <c r="Y78" s="139">
        <v>-0.38600000000000001</v>
      </c>
      <c r="Z78" s="139">
        <v>-0.38600000000000001</v>
      </c>
      <c r="AA78" s="139">
        <v>-0.375</v>
      </c>
      <c r="AB78" s="155">
        <v>-0.379</v>
      </c>
      <c r="AC78" s="155">
        <v>-0.379</v>
      </c>
      <c r="AD78" s="156">
        <v>-0.378</v>
      </c>
      <c r="AE78" s="156">
        <v>-0.4</v>
      </c>
      <c r="AF78" s="156">
        <v>-0.39200000000000002</v>
      </c>
      <c r="AG78" s="155">
        <v>-0.44600000000000001</v>
      </c>
      <c r="AH78" s="155">
        <v>-0.435</v>
      </c>
      <c r="AI78" s="155">
        <v>-0.435</v>
      </c>
      <c r="AJ78" s="155">
        <v>-0.44500000000000001</v>
      </c>
      <c r="AK78" s="155">
        <v>-0.44500000000000001</v>
      </c>
      <c r="AL78" s="139"/>
      <c r="AN78" t="s">
        <v>157</v>
      </c>
      <c r="AO78" s="129">
        <v>15.6</v>
      </c>
      <c r="AP78" s="129">
        <v>13.8</v>
      </c>
      <c r="AQ78" s="129">
        <v>14.2</v>
      </c>
      <c r="AR78" s="129">
        <v>15.3</v>
      </c>
      <c r="AS78" s="129">
        <v>16.600000000000001</v>
      </c>
      <c r="AT78" s="129">
        <v>17.8</v>
      </c>
      <c r="AU78" s="129">
        <v>20.100000000000001</v>
      </c>
      <c r="AV78" s="129">
        <v>24.3</v>
      </c>
      <c r="AW78" s="129">
        <v>27.8</v>
      </c>
      <c r="AX78" s="129">
        <v>30.8</v>
      </c>
      <c r="AY78" s="129">
        <v>35.700000000000003</v>
      </c>
      <c r="AZ78" s="129">
        <v>42.8</v>
      </c>
      <c r="BA78" s="129">
        <v>53.3</v>
      </c>
      <c r="BC78">
        <f t="shared" si="43"/>
        <v>-1.0999999999999996</v>
      </c>
      <c r="BD78">
        <f t="shared" si="31"/>
        <v>-0.19999999999999929</v>
      </c>
      <c r="BE78">
        <f t="shared" si="32"/>
        <v>0.5</v>
      </c>
      <c r="BF78">
        <f t="shared" si="33"/>
        <v>1.3000000000000007</v>
      </c>
      <c r="BG78">
        <f t="shared" si="34"/>
        <v>1.9000000000000021</v>
      </c>
      <c r="BH78">
        <f t="shared" si="35"/>
        <v>2.5</v>
      </c>
      <c r="BI78">
        <f t="shared" si="36"/>
        <v>3.1000000000000014</v>
      </c>
      <c r="BJ78">
        <f t="shared" si="37"/>
        <v>4.1000000000000014</v>
      </c>
      <c r="BK78">
        <f t="shared" si="38"/>
        <v>4.9000000000000021</v>
      </c>
      <c r="BL78">
        <f t="shared" si="39"/>
        <v>5.4000000000000021</v>
      </c>
      <c r="BM78">
        <f t="shared" si="40"/>
        <v>6.4000000000000021</v>
      </c>
      <c r="BN78">
        <f t="shared" si="41"/>
        <v>7.6999999999999957</v>
      </c>
      <c r="BO78">
        <f t="shared" si="42"/>
        <v>9.5</v>
      </c>
    </row>
    <row r="79" spans="1:67" ht="12.75" x14ac:dyDescent="0.2">
      <c r="A79">
        <v>-0.377</v>
      </c>
      <c r="B79">
        <v>-0.40799999999999997</v>
      </c>
      <c r="C79">
        <v>-0.42299999999999999</v>
      </c>
      <c r="D79">
        <v>-0.42799999999999999</v>
      </c>
      <c r="E79">
        <v>-0.436</v>
      </c>
      <c r="F79" s="131">
        <v>-0.46</v>
      </c>
      <c r="G79" s="139">
        <v>-0.46300000000000002</v>
      </c>
      <c r="H79" s="132">
        <v>-0.44400000000000001</v>
      </c>
      <c r="I79" s="132">
        <v>-0.375</v>
      </c>
      <c r="J79" s="132">
        <v>-0.39</v>
      </c>
      <c r="K79" s="136">
        <v>-0.38800000000000001</v>
      </c>
      <c r="L79" s="132">
        <v>-0.40400000000000003</v>
      </c>
      <c r="M79" s="138">
        <v>-0.40600000000000003</v>
      </c>
      <c r="N79" s="136">
        <v>-0.39200000000000002</v>
      </c>
      <c r="O79" s="139">
        <v>-0.39</v>
      </c>
      <c r="P79" s="139">
        <v>-0.38100000000000001</v>
      </c>
      <c r="Q79" s="139">
        <v>-0.38800000000000001</v>
      </c>
      <c r="R79" s="139">
        <v>-0.39100000000000001</v>
      </c>
      <c r="S79" s="139">
        <v>-0.39500000000000002</v>
      </c>
      <c r="T79" s="139">
        <v>-0.39400000000000002</v>
      </c>
      <c r="U79" s="139">
        <v>-0.39900000000000002</v>
      </c>
      <c r="V79" s="139">
        <f t="shared" si="29"/>
        <v>-0.38900000000000001</v>
      </c>
      <c r="W79" s="139">
        <f t="shared" si="30"/>
        <v>-0.29900000000000004</v>
      </c>
      <c r="X79" s="139">
        <v>-0.39900000000000002</v>
      </c>
      <c r="Y79" s="139">
        <v>-0.39600000000000002</v>
      </c>
      <c r="Z79" s="139">
        <v>-0.39400000000000002</v>
      </c>
      <c r="AA79" s="139">
        <v>-0.38100000000000001</v>
      </c>
      <c r="AB79" s="139">
        <v>-0.38700000000000001</v>
      </c>
      <c r="AC79" s="139">
        <v>-0.38600000000000001</v>
      </c>
      <c r="AD79" s="156">
        <v>-0.38500000000000001</v>
      </c>
      <c r="AE79" s="156">
        <v>-0.41099999999999998</v>
      </c>
      <c r="AF79" s="156">
        <v>-0.40300000000000002</v>
      </c>
      <c r="AG79" s="139">
        <v>-0.46200000000000002</v>
      </c>
      <c r="AH79" s="139">
        <v>-0.45</v>
      </c>
      <c r="AI79" s="139">
        <v>-0.44900000000000001</v>
      </c>
      <c r="AJ79" s="139">
        <v>-0.46</v>
      </c>
      <c r="AK79" s="139">
        <v>-0.46200000000000002</v>
      </c>
      <c r="AL79" s="139"/>
      <c r="AN79" t="s">
        <v>99</v>
      </c>
      <c r="AO79" s="129">
        <v>19.399999999999999</v>
      </c>
      <c r="AP79" s="129">
        <v>16.5</v>
      </c>
      <c r="AQ79" s="129">
        <v>15.8</v>
      </c>
      <c r="AR79" s="129">
        <v>15.6</v>
      </c>
      <c r="AS79" s="129">
        <v>15.9</v>
      </c>
      <c r="AT79" s="129">
        <v>16</v>
      </c>
      <c r="AU79" s="129">
        <v>16.7</v>
      </c>
      <c r="AV79" s="129">
        <v>18.8</v>
      </c>
      <c r="AW79" s="129">
        <v>20.9</v>
      </c>
      <c r="AX79" s="129">
        <v>22.9</v>
      </c>
      <c r="AY79" s="129">
        <v>26.3</v>
      </c>
      <c r="AZ79" s="129">
        <v>31.3</v>
      </c>
      <c r="BA79" s="129">
        <v>38.9</v>
      </c>
      <c r="BC79">
        <f t="shared" si="43"/>
        <v>-0.30000000000000071</v>
      </c>
      <c r="BD79">
        <f t="shared" si="31"/>
        <v>0</v>
      </c>
      <c r="BE79">
        <f t="shared" si="32"/>
        <v>0.30000000000000071</v>
      </c>
      <c r="BF79">
        <f t="shared" si="33"/>
        <v>0.59999999999999964</v>
      </c>
      <c r="BG79">
        <f t="shared" si="34"/>
        <v>0.90000000000000036</v>
      </c>
      <c r="BH79">
        <f t="shared" si="35"/>
        <v>1</v>
      </c>
      <c r="BI79">
        <f t="shared" si="36"/>
        <v>1</v>
      </c>
      <c r="BJ79">
        <f t="shared" si="37"/>
        <v>0.90000000000000213</v>
      </c>
      <c r="BK79">
        <f t="shared" si="38"/>
        <v>0.79999999999999716</v>
      </c>
      <c r="BL79">
        <f t="shared" si="39"/>
        <v>0.79999999999999716</v>
      </c>
      <c r="BM79">
        <f t="shared" si="40"/>
        <v>0.80000000000000071</v>
      </c>
      <c r="BN79">
        <f t="shared" si="41"/>
        <v>1</v>
      </c>
      <c r="BO79">
        <f t="shared" si="42"/>
        <v>1.6999999999999957</v>
      </c>
    </row>
    <row r="80" spans="1:67" ht="12.75" x14ac:dyDescent="0.2">
      <c r="A80">
        <v>-0.38300000000000001</v>
      </c>
      <c r="B80">
        <v>-0.41399999999999998</v>
      </c>
      <c r="C80">
        <v>-0.42899999999999999</v>
      </c>
      <c r="D80">
        <v>-0.434</v>
      </c>
      <c r="E80">
        <v>-0.44400000000000001</v>
      </c>
      <c r="F80" s="131">
        <v>-0.47199999999999998</v>
      </c>
      <c r="G80" s="139">
        <v>-0.47599999999999998</v>
      </c>
      <c r="H80" s="132">
        <v>-0.45300000000000001</v>
      </c>
      <c r="I80" s="132">
        <v>-0.378</v>
      </c>
      <c r="J80" s="132">
        <v>-0.39500000000000002</v>
      </c>
      <c r="K80" s="136">
        <v>-0.39200000000000002</v>
      </c>
      <c r="L80" s="132">
        <v>-0.41099999999999998</v>
      </c>
      <c r="M80" s="138">
        <v>-0.41399999999999998</v>
      </c>
      <c r="N80" s="136">
        <v>-0.39800000000000002</v>
      </c>
      <c r="O80" s="139">
        <v>-0.39500000000000002</v>
      </c>
      <c r="P80" s="139">
        <v>-0.38400000000000001</v>
      </c>
      <c r="Q80" s="139">
        <v>-0.39200000000000002</v>
      </c>
      <c r="R80" s="139">
        <v>-0.39600000000000002</v>
      </c>
      <c r="S80" s="139">
        <v>-0.4</v>
      </c>
      <c r="T80" s="139">
        <v>-0.4</v>
      </c>
      <c r="U80" s="139">
        <v>-0.40699999999999997</v>
      </c>
      <c r="V80" s="139">
        <f t="shared" si="29"/>
        <v>-0.39699999999999996</v>
      </c>
      <c r="W80" s="139">
        <f t="shared" si="30"/>
        <v>-0.30699999999999994</v>
      </c>
      <c r="X80" s="139">
        <v>-0.40699999999999997</v>
      </c>
      <c r="Y80" s="139">
        <v>-0.40300000000000002</v>
      </c>
      <c r="Z80" s="139">
        <v>-0.40100000000000002</v>
      </c>
      <c r="AA80" s="139">
        <v>-0.38600000000000001</v>
      </c>
      <c r="AB80" s="139">
        <v>-0.39300000000000002</v>
      </c>
      <c r="AC80" s="139">
        <v>-0.39100000000000001</v>
      </c>
      <c r="AD80" s="156">
        <v>-0.39200000000000002</v>
      </c>
      <c r="AE80" s="156">
        <v>-0.42099999999999999</v>
      </c>
      <c r="AF80" s="156">
        <v>-0.41199999999999998</v>
      </c>
      <c r="AG80" s="139">
        <v>-0.47099999999999997</v>
      </c>
      <c r="AH80" s="139">
        <v>-0.46200000000000002</v>
      </c>
      <c r="AI80" s="139">
        <v>-0.46100000000000002</v>
      </c>
      <c r="AJ80" s="139">
        <v>-0.47299999999999998</v>
      </c>
      <c r="AK80" s="139">
        <v>-0.47499999999999998</v>
      </c>
      <c r="AL80" s="139"/>
      <c r="AN80" t="s">
        <v>101</v>
      </c>
      <c r="AO80" s="129">
        <v>21.4</v>
      </c>
      <c r="AP80" s="129">
        <v>18.7</v>
      </c>
      <c r="AQ80" s="129">
        <v>17.899999999999999</v>
      </c>
      <c r="AR80" s="129">
        <v>17.600000000000001</v>
      </c>
      <c r="AS80" s="129">
        <v>17.5</v>
      </c>
      <c r="AT80" s="129">
        <v>17.399999999999999</v>
      </c>
      <c r="AU80" s="129">
        <v>17.600000000000001</v>
      </c>
      <c r="AV80" s="129">
        <v>18.399999999999999</v>
      </c>
      <c r="AW80" s="129">
        <v>19.7</v>
      </c>
      <c r="AX80" s="129">
        <v>21</v>
      </c>
      <c r="AY80" s="129">
        <v>23.4</v>
      </c>
      <c r="AZ80" s="129">
        <v>27.1</v>
      </c>
      <c r="BA80" s="129">
        <v>32.799999999999997</v>
      </c>
      <c r="BC80">
        <f t="shared" si="43"/>
        <v>-0.20000000000000284</v>
      </c>
      <c r="BD80">
        <f t="shared" si="31"/>
        <v>0</v>
      </c>
      <c r="BE80">
        <f t="shared" si="32"/>
        <v>0.19999999999999929</v>
      </c>
      <c r="BF80">
        <f t="shared" si="33"/>
        <v>0.5</v>
      </c>
      <c r="BG80">
        <f t="shared" si="34"/>
        <v>0.60000000000000142</v>
      </c>
      <c r="BH80">
        <f t="shared" si="35"/>
        <v>0.69999999999999929</v>
      </c>
      <c r="BI80">
        <f t="shared" si="36"/>
        <v>0.70000000000000284</v>
      </c>
      <c r="BJ80">
        <f t="shared" si="37"/>
        <v>0.39999999999999858</v>
      </c>
      <c r="BK80">
        <f t="shared" si="38"/>
        <v>0.19999999999999929</v>
      </c>
      <c r="BL80">
        <f t="shared" si="39"/>
        <v>0</v>
      </c>
      <c r="BM80">
        <f t="shared" si="40"/>
        <v>-0.20000000000000284</v>
      </c>
      <c r="BN80">
        <f t="shared" si="41"/>
        <v>-0.39999999999999858</v>
      </c>
      <c r="BO80">
        <f t="shared" si="42"/>
        <v>-0.40000000000000568</v>
      </c>
    </row>
    <row r="81" spans="1:96" ht="12.75" x14ac:dyDescent="0.2">
      <c r="A81">
        <v>-0.38400000000000001</v>
      </c>
      <c r="B81">
        <v>-0.41499999999999998</v>
      </c>
      <c r="C81">
        <v>-0.432</v>
      </c>
      <c r="D81">
        <v>-0.436</v>
      </c>
      <c r="E81">
        <v>-0.44900000000000001</v>
      </c>
      <c r="F81" s="131">
        <v>-0.47899999999999998</v>
      </c>
      <c r="G81" s="139">
        <v>-0.48399999999999999</v>
      </c>
      <c r="H81" s="132">
        <v>-0.45900000000000002</v>
      </c>
      <c r="I81" s="132">
        <v>-0.379</v>
      </c>
      <c r="J81" s="132">
        <v>-0.39700000000000002</v>
      </c>
      <c r="K81" s="136">
        <v>-0.39300000000000002</v>
      </c>
      <c r="L81" s="132">
        <v>-0.41599999999999998</v>
      </c>
      <c r="M81" s="138">
        <v>-0.42</v>
      </c>
      <c r="N81" s="136">
        <v>-0.40100000000000002</v>
      </c>
      <c r="O81" s="139">
        <v>-0.39800000000000002</v>
      </c>
      <c r="P81" s="139">
        <v>-0.38500000000000001</v>
      </c>
      <c r="Q81" s="139">
        <v>-0.39400000000000002</v>
      </c>
      <c r="R81" s="139">
        <v>-0.39800000000000002</v>
      </c>
      <c r="S81" s="139">
        <v>-0.40400000000000003</v>
      </c>
      <c r="T81" s="139">
        <v>-0.40300000000000002</v>
      </c>
      <c r="U81" s="139">
        <v>-0.41199999999999998</v>
      </c>
      <c r="V81" s="139">
        <f t="shared" si="29"/>
        <v>-0.40199999999999997</v>
      </c>
      <c r="W81" s="139">
        <f t="shared" si="30"/>
        <v>-0.31199999999999994</v>
      </c>
      <c r="X81" s="139">
        <v>-0.41199999999999998</v>
      </c>
      <c r="Y81" s="139">
        <v>-0.40899999999999997</v>
      </c>
      <c r="Z81" s="139">
        <v>-0.40600000000000003</v>
      </c>
      <c r="AA81" s="139">
        <v>-0.38900000000000001</v>
      </c>
      <c r="AB81" s="139">
        <v>-0.39600000000000002</v>
      </c>
      <c r="AC81" s="139">
        <v>-0.39600000000000002</v>
      </c>
      <c r="AD81" s="156">
        <v>-0.39800000000000002</v>
      </c>
      <c r="AE81" s="156">
        <v>-0.42899999999999999</v>
      </c>
      <c r="AF81" s="156">
        <v>-0.41899999999999998</v>
      </c>
      <c r="AG81" s="139">
        <v>-0.48</v>
      </c>
      <c r="AH81" s="139">
        <v>-0.47299999999999998</v>
      </c>
      <c r="AI81" s="139">
        <v>-0.47099999999999997</v>
      </c>
      <c r="AJ81" s="139">
        <v>-0.48299999999999998</v>
      </c>
      <c r="AK81" s="139">
        <v>-0.48499999999999999</v>
      </c>
      <c r="AL81" s="139"/>
      <c r="AN81" t="s">
        <v>102</v>
      </c>
      <c r="AO81" s="129">
        <v>22.7</v>
      </c>
      <c r="AP81" s="129">
        <v>20.2</v>
      </c>
      <c r="AQ81" s="129">
        <v>19.5</v>
      </c>
      <c r="AR81" s="129">
        <v>19</v>
      </c>
      <c r="AS81" s="129">
        <v>18.8</v>
      </c>
      <c r="AT81" s="129">
        <v>18.600000000000001</v>
      </c>
      <c r="AU81" s="129">
        <v>18.5</v>
      </c>
      <c r="AV81" s="129">
        <v>18.7</v>
      </c>
      <c r="AW81" s="129">
        <v>19.399999999999999</v>
      </c>
      <c r="AX81" s="129">
        <v>20.2</v>
      </c>
      <c r="AY81" s="129">
        <v>21.9</v>
      </c>
      <c r="AZ81" s="129">
        <v>24.7</v>
      </c>
      <c r="BA81" s="129">
        <v>29.2</v>
      </c>
      <c r="BC81">
        <f t="shared" si="43"/>
        <v>-0.10000000000000142</v>
      </c>
      <c r="BD81">
        <f t="shared" si="31"/>
        <v>9.9999999999997868E-2</v>
      </c>
      <c r="BE81">
        <f t="shared" si="32"/>
        <v>0.30000000000000071</v>
      </c>
      <c r="BF81">
        <f t="shared" si="33"/>
        <v>0.39999999999999858</v>
      </c>
      <c r="BG81">
        <f t="shared" si="34"/>
        <v>0.5</v>
      </c>
      <c r="BH81">
        <f t="shared" si="35"/>
        <v>0.60000000000000142</v>
      </c>
      <c r="BI81">
        <f t="shared" si="36"/>
        <v>0.5</v>
      </c>
      <c r="BJ81">
        <f t="shared" si="37"/>
        <v>0.39999999999999858</v>
      </c>
      <c r="BK81">
        <f t="shared" si="38"/>
        <v>0.29999999999999716</v>
      </c>
      <c r="BL81">
        <f t="shared" si="39"/>
        <v>0.19999999999999929</v>
      </c>
      <c r="BM81">
        <f t="shared" si="40"/>
        <v>9.9999999999997868E-2</v>
      </c>
      <c r="BN81">
        <f t="shared" si="41"/>
        <v>0</v>
      </c>
      <c r="BO81">
        <f t="shared" si="42"/>
        <v>-0.10000000000000142</v>
      </c>
    </row>
    <row r="82" spans="1:96" ht="12.75" x14ac:dyDescent="0.2">
      <c r="A82">
        <v>-0.38100000000000001</v>
      </c>
      <c r="B82">
        <v>-0.41299999999999998</v>
      </c>
      <c r="C82">
        <v>-0.43099999999999999</v>
      </c>
      <c r="D82">
        <v>-0.435</v>
      </c>
      <c r="E82">
        <v>-0.44800000000000001</v>
      </c>
      <c r="F82" s="131">
        <v>-0.48299999999999998</v>
      </c>
      <c r="G82" s="139">
        <v>-0.48799999999999999</v>
      </c>
      <c r="H82" s="132">
        <v>-0.46100000000000002</v>
      </c>
      <c r="I82" s="132">
        <v>-0.377</v>
      </c>
      <c r="J82" s="132">
        <v>-0.39700000000000002</v>
      </c>
      <c r="K82" s="136">
        <v>-0.39300000000000002</v>
      </c>
      <c r="L82" s="132">
        <v>-0.41799999999999998</v>
      </c>
      <c r="M82" s="138">
        <v>-0.42199999999999999</v>
      </c>
      <c r="N82" s="136">
        <v>-0.40200000000000002</v>
      </c>
      <c r="O82" s="139">
        <v>-0.39800000000000002</v>
      </c>
      <c r="P82" s="139">
        <v>-0.38300000000000001</v>
      </c>
      <c r="Q82" s="139">
        <v>-0.39400000000000002</v>
      </c>
      <c r="R82" s="139">
        <v>-0.39800000000000002</v>
      </c>
      <c r="S82" s="139">
        <v>-0.40500000000000003</v>
      </c>
      <c r="T82" s="139">
        <v>-0.40400000000000003</v>
      </c>
      <c r="U82" s="139">
        <v>-0.41499999999999998</v>
      </c>
      <c r="V82" s="139">
        <f t="shared" si="29"/>
        <v>-0.40499999999999997</v>
      </c>
      <c r="W82" s="139">
        <f t="shared" si="30"/>
        <v>-0.31499999999999995</v>
      </c>
      <c r="X82" s="139">
        <v>-0.41499999999999998</v>
      </c>
      <c r="Y82" s="139">
        <v>-0.41199999999999998</v>
      </c>
      <c r="Z82" s="139">
        <v>-0.40799999999999997</v>
      </c>
      <c r="AA82" s="139">
        <v>-0.38900000000000001</v>
      </c>
      <c r="AB82" s="139">
        <v>-0.39800000000000002</v>
      </c>
      <c r="AC82" s="139">
        <v>-0.39900000000000002</v>
      </c>
      <c r="AD82" s="156">
        <v>-0.40100000000000002</v>
      </c>
      <c r="AE82" s="156">
        <v>-0.435</v>
      </c>
      <c r="AF82" s="156">
        <v>-0.42399999999999999</v>
      </c>
      <c r="AG82" s="139">
        <v>-0.49</v>
      </c>
      <c r="AH82" s="139">
        <v>-0.48199999999999998</v>
      </c>
      <c r="AI82" s="139">
        <v>-0.47899999999999998</v>
      </c>
      <c r="AJ82" s="139">
        <v>-0.49099999999999999</v>
      </c>
      <c r="AK82" s="139">
        <v>-0.49399999999999999</v>
      </c>
      <c r="AL82" s="139"/>
      <c r="AN82" t="s">
        <v>103</v>
      </c>
      <c r="AO82" s="129">
        <v>23.5</v>
      </c>
      <c r="AP82" s="129">
        <v>21.2</v>
      </c>
      <c r="AQ82" s="129">
        <v>20.5</v>
      </c>
      <c r="AR82" s="129">
        <v>20</v>
      </c>
      <c r="AS82" s="129">
        <v>19.7</v>
      </c>
      <c r="AT82" s="129">
        <v>19.399999999999999</v>
      </c>
      <c r="AU82" s="129">
        <v>19.100000000000001</v>
      </c>
      <c r="AV82" s="129">
        <v>19</v>
      </c>
      <c r="AW82" s="129">
        <v>19.3</v>
      </c>
      <c r="AX82" s="129">
        <v>19.8</v>
      </c>
      <c r="AY82" s="129">
        <v>21</v>
      </c>
      <c r="AZ82" s="129">
        <v>23.3</v>
      </c>
      <c r="BA82" s="129">
        <v>27</v>
      </c>
      <c r="BC82">
        <f t="shared" si="43"/>
        <v>0</v>
      </c>
      <c r="BD82">
        <f t="shared" si="31"/>
        <v>9.9999999999997868E-2</v>
      </c>
      <c r="BE82">
        <f t="shared" si="32"/>
        <v>0.30000000000000071</v>
      </c>
      <c r="BF82">
        <f t="shared" si="33"/>
        <v>0.39999999999999858</v>
      </c>
      <c r="BG82">
        <f t="shared" si="34"/>
        <v>0.5</v>
      </c>
      <c r="BH82">
        <f t="shared" si="35"/>
        <v>0.5</v>
      </c>
      <c r="BI82">
        <f t="shared" si="36"/>
        <v>0.40000000000000213</v>
      </c>
      <c r="BJ82">
        <f t="shared" si="37"/>
        <v>0.39999999999999858</v>
      </c>
      <c r="BK82">
        <f t="shared" si="38"/>
        <v>0.5</v>
      </c>
      <c r="BL82">
        <f t="shared" si="39"/>
        <v>0.60000000000000142</v>
      </c>
      <c r="BM82">
        <f t="shared" si="40"/>
        <v>0.69999999999999929</v>
      </c>
      <c r="BN82">
        <f t="shared" si="41"/>
        <v>0.69999999999999929</v>
      </c>
      <c r="BO82">
        <f t="shared" si="42"/>
        <v>0.69999999999999929</v>
      </c>
    </row>
    <row r="83" spans="1:96" ht="12.75" x14ac:dyDescent="0.2">
      <c r="A83">
        <v>-0.33300000000000002</v>
      </c>
      <c r="B83">
        <v>-0.371</v>
      </c>
      <c r="C83">
        <v>-0.39100000000000001</v>
      </c>
      <c r="D83">
        <v>-0.39400000000000002</v>
      </c>
      <c r="E83">
        <v>-0.41099999999999998</v>
      </c>
      <c r="F83" s="131">
        <v>-0.46300000000000002</v>
      </c>
      <c r="G83" s="139">
        <v>-0.46500000000000002</v>
      </c>
      <c r="H83" s="132">
        <v>-0.441</v>
      </c>
      <c r="I83" s="132">
        <v>-0.34399999999999997</v>
      </c>
      <c r="J83" s="132">
        <v>-0.36899999999999999</v>
      </c>
      <c r="K83" s="136">
        <v>-0.36399999999999999</v>
      </c>
      <c r="L83" s="132">
        <v>-0.4</v>
      </c>
      <c r="M83" s="138">
        <v>-0.40600000000000003</v>
      </c>
      <c r="N83" s="136">
        <v>-0.38100000000000001</v>
      </c>
      <c r="O83" s="139">
        <v>-0.37</v>
      </c>
      <c r="P83" s="139">
        <v>-0.35199999999999998</v>
      </c>
      <c r="Q83" s="139">
        <v>-0.371</v>
      </c>
      <c r="R83" s="139">
        <v>-0.378</v>
      </c>
      <c r="S83" s="139">
        <v>-0.38400000000000001</v>
      </c>
      <c r="T83" s="139">
        <v>-0.38400000000000001</v>
      </c>
      <c r="U83" s="139">
        <v>-0.40100000000000002</v>
      </c>
      <c r="V83" s="139">
        <f t="shared" si="29"/>
        <v>-0.39100000000000001</v>
      </c>
      <c r="W83" s="139">
        <f t="shared" si="30"/>
        <v>-0.30100000000000005</v>
      </c>
      <c r="X83" s="139">
        <v>-0.4</v>
      </c>
      <c r="Y83" s="139">
        <v>-0.4</v>
      </c>
      <c r="Z83" s="139">
        <v>-0.39300000000000002</v>
      </c>
      <c r="AA83" s="139">
        <v>-0.36899999999999999</v>
      </c>
      <c r="AB83" s="139">
        <v>-0.38200000000000001</v>
      </c>
      <c r="AC83" s="139">
        <v>-0.38300000000000001</v>
      </c>
      <c r="AD83" s="156">
        <v>-0.39</v>
      </c>
      <c r="AE83" s="156">
        <v>-0.433</v>
      </c>
      <c r="AF83" s="156">
        <v>-0.42099999999999999</v>
      </c>
      <c r="AG83" s="139">
        <v>-0.495</v>
      </c>
      <c r="AH83" s="139">
        <v>-0.48899999999999999</v>
      </c>
      <c r="AI83" s="139">
        <v>-0.48799999999999999</v>
      </c>
      <c r="AJ83" s="139">
        <v>-0.503</v>
      </c>
      <c r="AK83" s="139">
        <v>-0.51</v>
      </c>
      <c r="AN83" t="s">
        <v>104</v>
      </c>
      <c r="AO83" s="129">
        <v>24</v>
      </c>
      <c r="AP83" s="129">
        <v>21.9</v>
      </c>
      <c r="AQ83" s="129">
        <v>21.2</v>
      </c>
      <c r="AR83" s="129">
        <v>20.6</v>
      </c>
      <c r="AS83" s="129">
        <v>20.3</v>
      </c>
      <c r="AT83" s="129">
        <v>20</v>
      </c>
      <c r="AU83" s="129">
        <v>19.600000000000001</v>
      </c>
      <c r="AV83" s="129">
        <v>19.2</v>
      </c>
      <c r="AW83" s="129">
        <v>19.2</v>
      </c>
      <c r="AX83" s="129">
        <v>19.5</v>
      </c>
      <c r="AY83" s="129">
        <v>20.3</v>
      </c>
      <c r="AZ83" s="129">
        <v>22.2</v>
      </c>
      <c r="BA83" s="129">
        <v>25.5</v>
      </c>
      <c r="BC83">
        <f t="shared" si="43"/>
        <v>0.19999999999999929</v>
      </c>
      <c r="BD83">
        <f t="shared" si="31"/>
        <v>0.29999999999999716</v>
      </c>
      <c r="BE83">
        <f t="shared" si="32"/>
        <v>0.39999999999999858</v>
      </c>
      <c r="BF83">
        <f t="shared" si="33"/>
        <v>0.5</v>
      </c>
      <c r="BG83">
        <f t="shared" si="34"/>
        <v>0.5</v>
      </c>
      <c r="BH83">
        <f t="shared" si="35"/>
        <v>0.60000000000000142</v>
      </c>
      <c r="BI83">
        <f t="shared" si="36"/>
        <v>0.60000000000000142</v>
      </c>
      <c r="BJ83">
        <f t="shared" si="37"/>
        <v>0.5</v>
      </c>
      <c r="BK83">
        <f t="shared" si="38"/>
        <v>0.59999999999999787</v>
      </c>
      <c r="BL83">
        <f t="shared" si="39"/>
        <v>0.80000000000000071</v>
      </c>
      <c r="BM83">
        <f t="shared" si="40"/>
        <v>0.90000000000000213</v>
      </c>
      <c r="BN83">
        <f t="shared" si="41"/>
        <v>1.0999999999999979</v>
      </c>
      <c r="BO83">
        <f t="shared" si="42"/>
        <v>1.3000000000000007</v>
      </c>
    </row>
    <row r="84" spans="1:96" ht="12.75" x14ac:dyDescent="0.2">
      <c r="A84">
        <v>-0.247</v>
      </c>
      <c r="B84">
        <v>-0.28799999999999998</v>
      </c>
      <c r="C84">
        <v>-0.314</v>
      </c>
      <c r="D84">
        <v>-0.32</v>
      </c>
      <c r="E84">
        <v>-0.34599999999999997</v>
      </c>
      <c r="F84" s="131">
        <v>-0.40500000000000003</v>
      </c>
      <c r="G84" s="139">
        <v>-0.40600000000000003</v>
      </c>
      <c r="H84" s="132">
        <v>-0.38300000000000001</v>
      </c>
      <c r="I84" s="132">
        <v>-0.27400000000000002</v>
      </c>
      <c r="J84" s="132">
        <v>-0.311</v>
      </c>
      <c r="K84" s="136">
        <v>-0.309</v>
      </c>
      <c r="L84" s="132">
        <v>-0.34699999999999998</v>
      </c>
      <c r="M84" s="138">
        <v>-0.35899999999999999</v>
      </c>
      <c r="N84" s="136">
        <v>-0.32400000000000001</v>
      </c>
      <c r="O84" s="139">
        <v>-0.30399999999999999</v>
      </c>
      <c r="P84" s="139">
        <v>-0.28599999999999998</v>
      </c>
      <c r="Q84" s="139">
        <v>-0.32100000000000001</v>
      </c>
      <c r="R84" s="139">
        <v>-0.32500000000000001</v>
      </c>
      <c r="S84" s="139">
        <v>-0.33600000000000002</v>
      </c>
      <c r="T84" s="139">
        <v>-0.33600000000000002</v>
      </c>
      <c r="U84" s="139">
        <v>-0.36199999999999999</v>
      </c>
      <c r="V84" s="139">
        <f t="shared" si="29"/>
        <v>-0.35199999999999998</v>
      </c>
      <c r="W84" s="139">
        <f t="shared" si="30"/>
        <v>-0.26200000000000001</v>
      </c>
      <c r="X84" s="139">
        <v>-0.35699999999999998</v>
      </c>
      <c r="Y84" s="139">
        <v>-0.35799999999999998</v>
      </c>
      <c r="Z84" s="139">
        <v>-0.34799999999999998</v>
      </c>
      <c r="AA84" s="139">
        <v>-0.32100000000000001</v>
      </c>
      <c r="AB84" s="139">
        <v>-0.33800000000000002</v>
      </c>
      <c r="AC84" s="139">
        <v>-0.34200000000000003</v>
      </c>
      <c r="AD84" s="156">
        <v>-0.34799999999999998</v>
      </c>
      <c r="AE84" s="156">
        <v>-0.40100000000000002</v>
      </c>
      <c r="AF84" s="156">
        <v>-0.38400000000000001</v>
      </c>
      <c r="AG84" s="139">
        <v>-0.47</v>
      </c>
      <c r="AH84" s="139">
        <v>-0.46800000000000003</v>
      </c>
      <c r="AI84" s="139">
        <v>-0.46899999999999997</v>
      </c>
      <c r="AJ84" s="139">
        <v>-0.49099999999999999</v>
      </c>
      <c r="AK84" s="139">
        <v>-0.504</v>
      </c>
      <c r="AN84" t="s">
        <v>105</v>
      </c>
      <c r="AO84" s="129">
        <v>24.3</v>
      </c>
      <c r="AP84" s="129">
        <v>22.3</v>
      </c>
      <c r="AQ84" s="129">
        <v>21.6</v>
      </c>
      <c r="AR84" s="129">
        <v>21</v>
      </c>
      <c r="AS84" s="129">
        <v>20.7</v>
      </c>
      <c r="AT84" s="129">
        <v>20.3</v>
      </c>
      <c r="AU84" s="129">
        <v>19.899999999999999</v>
      </c>
      <c r="AV84" s="129">
        <v>19.3</v>
      </c>
      <c r="AW84" s="129">
        <v>19.100000000000001</v>
      </c>
      <c r="AX84" s="129">
        <v>19.100000000000001</v>
      </c>
      <c r="AY84" s="129">
        <v>19.600000000000001</v>
      </c>
      <c r="AZ84" s="129">
        <v>21.1</v>
      </c>
      <c r="BA84" s="129">
        <v>23.8</v>
      </c>
      <c r="BC84">
        <f t="shared" si="43"/>
        <v>0.30000000000000071</v>
      </c>
      <c r="BD84">
        <f t="shared" si="31"/>
        <v>0.40000000000000213</v>
      </c>
      <c r="BE84">
        <f t="shared" si="32"/>
        <v>0.5</v>
      </c>
      <c r="BF84">
        <f t="shared" si="33"/>
        <v>0.5</v>
      </c>
      <c r="BG84">
        <f t="shared" si="34"/>
        <v>0.59999999999999787</v>
      </c>
      <c r="BH84">
        <f t="shared" si="35"/>
        <v>0.60000000000000142</v>
      </c>
      <c r="BI84">
        <f t="shared" si="36"/>
        <v>0.59999999999999787</v>
      </c>
      <c r="BJ84">
        <f t="shared" si="37"/>
        <v>0.60000000000000142</v>
      </c>
      <c r="BK84">
        <f t="shared" si="38"/>
        <v>0.70000000000000284</v>
      </c>
      <c r="BL84">
        <f t="shared" si="39"/>
        <v>0.80000000000000071</v>
      </c>
      <c r="BM84">
        <f t="shared" si="40"/>
        <v>0.90000000000000213</v>
      </c>
      <c r="BN84">
        <f t="shared" si="41"/>
        <v>1.1000000000000014</v>
      </c>
      <c r="BO84">
        <f t="shared" si="42"/>
        <v>1.1000000000000014</v>
      </c>
    </row>
    <row r="85" spans="1:96" ht="12.75" x14ac:dyDescent="0.2">
      <c r="A85">
        <v>-0.13600000000000001</v>
      </c>
      <c r="B85">
        <v>-0.182</v>
      </c>
      <c r="C85">
        <v>-0.216</v>
      </c>
      <c r="D85">
        <v>-0.22500000000000001</v>
      </c>
      <c r="E85">
        <v>-0.26400000000000001</v>
      </c>
      <c r="F85" s="131">
        <v>-0.32700000000000001</v>
      </c>
      <c r="G85" s="139">
        <v>-0.32</v>
      </c>
      <c r="H85" s="132">
        <v>-0.30099999999999999</v>
      </c>
      <c r="I85" s="132">
        <v>-0.182</v>
      </c>
      <c r="J85" s="132">
        <v>-0.23300000000000001</v>
      </c>
      <c r="K85" s="136">
        <v>-0.23699999999999999</v>
      </c>
      <c r="L85" s="132">
        <v>-0.26800000000000002</v>
      </c>
      <c r="M85" s="138">
        <v>-0.28899999999999998</v>
      </c>
      <c r="N85" s="136">
        <v>-0.24299999999999999</v>
      </c>
      <c r="O85" s="139">
        <v>-0.21</v>
      </c>
      <c r="P85" s="139">
        <v>-0.19700000000000001</v>
      </c>
      <c r="Q85" s="139">
        <v>-0.245</v>
      </c>
      <c r="R85" s="139">
        <v>-0.246</v>
      </c>
      <c r="S85" s="139">
        <v>-0.26200000000000001</v>
      </c>
      <c r="T85" s="139">
        <v>-0.26200000000000001</v>
      </c>
      <c r="U85" s="139">
        <v>-0.29299999999999998</v>
      </c>
      <c r="V85" s="139">
        <f t="shared" si="29"/>
        <v>-0.28299999999999997</v>
      </c>
      <c r="W85" s="139">
        <f t="shared" si="30"/>
        <v>-0.19299999999999998</v>
      </c>
      <c r="X85" s="139">
        <v>-0.28899999999999998</v>
      </c>
      <c r="Y85" s="139">
        <v>-0.28999999999999998</v>
      </c>
      <c r="Z85" s="139">
        <v>-0.27500000000000002</v>
      </c>
      <c r="AA85" s="139">
        <v>-0.249</v>
      </c>
      <c r="AB85" s="139">
        <v>-0.26500000000000001</v>
      </c>
      <c r="AC85" s="139">
        <v>-0.27200000000000002</v>
      </c>
      <c r="AD85" s="156">
        <v>-0.28000000000000003</v>
      </c>
      <c r="AE85" s="156">
        <v>-0.34</v>
      </c>
      <c r="AF85" s="156">
        <v>-0.308</v>
      </c>
      <c r="AG85" s="139">
        <v>-0.40600000000000003</v>
      </c>
      <c r="AH85" s="139">
        <v>-0.40699999999999997</v>
      </c>
      <c r="AI85" s="139">
        <v>-0.41699999999999998</v>
      </c>
      <c r="AJ85" s="139">
        <v>-0.44500000000000001</v>
      </c>
      <c r="AK85" s="139">
        <v>-0.46500000000000002</v>
      </c>
      <c r="AN85" t="s">
        <v>106</v>
      </c>
      <c r="AO85" s="129">
        <v>24.3</v>
      </c>
      <c r="AP85" s="129">
        <v>22.5</v>
      </c>
      <c r="AQ85" s="129">
        <v>21.8</v>
      </c>
      <c r="AR85" s="129">
        <v>21.2</v>
      </c>
      <c r="AS85" s="129">
        <v>20.9</v>
      </c>
      <c r="AT85" s="129">
        <v>20.5</v>
      </c>
      <c r="AU85" s="129">
        <v>20</v>
      </c>
      <c r="AV85" s="129">
        <v>19.2</v>
      </c>
      <c r="AW85" s="129">
        <v>18.899999999999999</v>
      </c>
      <c r="AX85" s="129">
        <v>18.8</v>
      </c>
      <c r="AY85" s="129">
        <v>19</v>
      </c>
      <c r="AZ85" s="129">
        <v>20.100000000000001</v>
      </c>
      <c r="BA85" s="129">
        <v>22.4</v>
      </c>
      <c r="BC85">
        <f t="shared" si="43"/>
        <v>0.30000000000000071</v>
      </c>
      <c r="BD85">
        <f t="shared" si="31"/>
        <v>0.39999999999999858</v>
      </c>
      <c r="BE85">
        <f t="shared" si="32"/>
        <v>0.5</v>
      </c>
      <c r="BF85">
        <f t="shared" si="33"/>
        <v>0.5</v>
      </c>
      <c r="BG85">
        <f t="shared" si="34"/>
        <v>0.59999999999999787</v>
      </c>
      <c r="BH85">
        <f t="shared" si="35"/>
        <v>0.60000000000000142</v>
      </c>
      <c r="BI85">
        <f t="shared" si="36"/>
        <v>0.60000000000000142</v>
      </c>
      <c r="BJ85">
        <f t="shared" si="37"/>
        <v>0.59999999999999787</v>
      </c>
      <c r="BK85">
        <f t="shared" si="38"/>
        <v>0.69999999999999929</v>
      </c>
      <c r="BL85">
        <f t="shared" si="39"/>
        <v>0.80000000000000071</v>
      </c>
      <c r="BM85">
        <f t="shared" si="40"/>
        <v>0.89999999999999858</v>
      </c>
      <c r="BN85">
        <f t="shared" si="41"/>
        <v>1</v>
      </c>
      <c r="BO85">
        <f t="shared" si="42"/>
        <v>1</v>
      </c>
    </row>
    <row r="86" spans="1:96" ht="12.75" x14ac:dyDescent="0.2">
      <c r="A86">
        <v>-8.9999999999999993E-3</v>
      </c>
      <c r="B86">
        <v>-5.7000000000000002E-2</v>
      </c>
      <c r="C86">
        <v>-9.9000000000000005E-2</v>
      </c>
      <c r="D86">
        <v>-0.106</v>
      </c>
      <c r="E86">
        <v>-0.157</v>
      </c>
      <c r="F86" s="131">
        <v>-0.221</v>
      </c>
      <c r="G86" s="139">
        <v>-0.20599999999999999</v>
      </c>
      <c r="H86" s="132">
        <v>-0.19400000000000001</v>
      </c>
      <c r="I86" s="132">
        <v>-7.0999999999999994E-2</v>
      </c>
      <c r="J86" s="132">
        <v>-0.13300000000000001</v>
      </c>
      <c r="K86" s="136">
        <v>-0.13800000000000001</v>
      </c>
      <c r="L86" s="132">
        <v>-0.16700000000000001</v>
      </c>
      <c r="M86" s="138">
        <v>-0.192</v>
      </c>
      <c r="N86" s="136">
        <v>-0.13700000000000001</v>
      </c>
      <c r="O86" s="139">
        <v>-9.2999999999999999E-2</v>
      </c>
      <c r="P86" s="139">
        <v>-8.2000000000000003E-2</v>
      </c>
      <c r="Q86" s="139">
        <v>-0.14099999999999999</v>
      </c>
      <c r="R86" s="139">
        <v>-0.14000000000000001</v>
      </c>
      <c r="S86" s="139">
        <v>-0.158</v>
      </c>
      <c r="T86" s="139">
        <v>-0.159</v>
      </c>
      <c r="U86" s="139">
        <v>-0.19600000000000001</v>
      </c>
      <c r="V86" s="139">
        <f t="shared" si="29"/>
        <v>-0.186</v>
      </c>
      <c r="W86" s="139">
        <f t="shared" si="30"/>
        <v>-9.6000000000000002E-2</v>
      </c>
      <c r="X86" s="139">
        <v>-0.19600000000000001</v>
      </c>
      <c r="Y86" s="139">
        <v>-0.19400000000000001</v>
      </c>
      <c r="Z86" s="139">
        <v>-0.17799999999999999</v>
      </c>
      <c r="AA86" s="139">
        <v>-0.151</v>
      </c>
      <c r="AB86" s="139">
        <v>-0.17100000000000001</v>
      </c>
      <c r="AC86" s="139">
        <v>-0.17899999999999999</v>
      </c>
      <c r="AD86" s="156">
        <v>-0.187</v>
      </c>
      <c r="AE86" s="156">
        <v>-0.254</v>
      </c>
      <c r="AF86" s="156">
        <v>-0.21</v>
      </c>
      <c r="AG86" s="139">
        <v>-0.314</v>
      </c>
      <c r="AH86" s="139">
        <v>-0.32400000000000001</v>
      </c>
      <c r="AI86" s="139">
        <v>-0.34200000000000003</v>
      </c>
      <c r="AJ86" s="139">
        <v>-0.37</v>
      </c>
      <c r="AK86" s="139">
        <v>-0.39500000000000002</v>
      </c>
      <c r="AN86" t="s">
        <v>79</v>
      </c>
      <c r="AO86" s="129">
        <v>24.4</v>
      </c>
      <c r="AP86" s="129">
        <v>22.6</v>
      </c>
      <c r="AQ86" s="129">
        <v>21.9</v>
      </c>
      <c r="AR86" s="129">
        <v>21.4</v>
      </c>
      <c r="AS86" s="129">
        <v>20.9</v>
      </c>
      <c r="AT86" s="129">
        <v>20.6</v>
      </c>
      <c r="AU86" s="129">
        <v>20</v>
      </c>
      <c r="AV86" s="129">
        <v>19.2</v>
      </c>
      <c r="AW86" s="129">
        <v>18.7</v>
      </c>
      <c r="AX86" s="129">
        <v>18.5</v>
      </c>
      <c r="AY86" s="129">
        <v>18.600000000000001</v>
      </c>
      <c r="AZ86" s="129">
        <v>19.399999999999999</v>
      </c>
      <c r="BA86" s="129">
        <v>21.5</v>
      </c>
      <c r="BC86">
        <f t="shared" si="43"/>
        <v>0.29999999999999716</v>
      </c>
      <c r="BD86">
        <f t="shared" si="31"/>
        <v>0.40000000000000213</v>
      </c>
      <c r="BE86">
        <f t="shared" si="32"/>
        <v>0.39999999999999858</v>
      </c>
      <c r="BF86">
        <f t="shared" si="33"/>
        <v>0.5</v>
      </c>
      <c r="BG86">
        <f t="shared" si="34"/>
        <v>0.5</v>
      </c>
      <c r="BH86">
        <f t="shared" si="35"/>
        <v>0.60000000000000142</v>
      </c>
      <c r="BI86">
        <f t="shared" si="36"/>
        <v>0.60000000000000142</v>
      </c>
      <c r="BJ86">
        <f t="shared" si="37"/>
        <v>0.59999999999999787</v>
      </c>
      <c r="BK86">
        <f t="shared" si="38"/>
        <v>0.69999999999999929</v>
      </c>
      <c r="BL86">
        <f t="shared" si="39"/>
        <v>0.80000000000000071</v>
      </c>
      <c r="BM86">
        <f t="shared" si="40"/>
        <v>0.90000000000000213</v>
      </c>
      <c r="BN86">
        <f t="shared" si="41"/>
        <v>0.89999999999999858</v>
      </c>
      <c r="BO86">
        <f t="shared" si="42"/>
        <v>0.89999999999999858</v>
      </c>
    </row>
    <row r="87" spans="1:96" ht="12.75" x14ac:dyDescent="0.2">
      <c r="A87">
        <v>0.12300000000000001</v>
      </c>
      <c r="B87">
        <v>7.3999999999999996E-2</v>
      </c>
      <c r="C87">
        <v>2.4E-2</v>
      </c>
      <c r="D87">
        <v>2.1000000000000001E-2</v>
      </c>
      <c r="E87">
        <v>-4.3999999999999997E-2</v>
      </c>
      <c r="F87" s="131">
        <v>-0.10199999999999999</v>
      </c>
      <c r="G87" s="139">
        <v>-7.6999999999999999E-2</v>
      </c>
      <c r="H87" s="132">
        <v>-7.1999999999999995E-2</v>
      </c>
      <c r="I87" s="132">
        <v>5.0999999999999997E-2</v>
      </c>
      <c r="J87" s="132">
        <v>-2.1000000000000001E-2</v>
      </c>
      <c r="K87" s="136">
        <v>-2.5000000000000001E-2</v>
      </c>
      <c r="L87" s="132">
        <v>-5.3999999999999999E-2</v>
      </c>
      <c r="M87" s="138">
        <v>-7.8E-2</v>
      </c>
      <c r="N87" s="136">
        <v>-1.6E-2</v>
      </c>
      <c r="O87" s="139">
        <v>3.6999999999999998E-2</v>
      </c>
      <c r="P87" s="139">
        <v>4.3999999999999997E-2</v>
      </c>
      <c r="Q87" s="139">
        <v>-2.4E-2</v>
      </c>
      <c r="R87" s="139">
        <v>-2.1999999999999999E-2</v>
      </c>
      <c r="S87" s="139">
        <v>-0.04</v>
      </c>
      <c r="T87" s="139">
        <v>-4.1000000000000002E-2</v>
      </c>
      <c r="U87" s="139">
        <v>-8.5000000000000006E-2</v>
      </c>
      <c r="V87" s="139">
        <f t="shared" si="29"/>
        <v>-7.5000000000000011E-2</v>
      </c>
      <c r="W87" s="139">
        <f t="shared" si="30"/>
        <v>1.4999999999999999E-2</v>
      </c>
      <c r="X87" s="139">
        <v>-8.5999999999999993E-2</v>
      </c>
      <c r="Y87" s="139">
        <v>-8.2000000000000003E-2</v>
      </c>
      <c r="Z87" s="139">
        <v>-6.3E-2</v>
      </c>
      <c r="AA87" s="139">
        <v>-3.5000000000000003E-2</v>
      </c>
      <c r="AB87" s="139">
        <v>-5.8999999999999997E-2</v>
      </c>
      <c r="AC87" s="139">
        <v>-6.9000000000000006E-2</v>
      </c>
      <c r="AD87" s="156">
        <v>-7.6999999999999999E-2</v>
      </c>
      <c r="AE87" s="156">
        <v>-0.14899999999999999</v>
      </c>
      <c r="AF87" s="156">
        <v>-9.5000000000000001E-2</v>
      </c>
      <c r="AG87" s="139">
        <v>-0.20599999999999999</v>
      </c>
      <c r="AH87" s="139">
        <v>-0.22600000000000001</v>
      </c>
      <c r="AI87" s="139">
        <v>-0.247</v>
      </c>
      <c r="AJ87" s="139">
        <v>-0.27600000000000002</v>
      </c>
      <c r="AK87" s="139">
        <v>-0.30399999999999999</v>
      </c>
      <c r="AN87" t="s">
        <v>159</v>
      </c>
      <c r="AO87" s="129">
        <v>24</v>
      </c>
      <c r="AP87" s="129">
        <v>22.4</v>
      </c>
      <c r="AQ87" s="129">
        <v>21.8</v>
      </c>
      <c r="AR87" s="129">
        <v>21.3</v>
      </c>
      <c r="AS87" s="129">
        <v>20.8</v>
      </c>
      <c r="AT87" s="129">
        <v>20.5</v>
      </c>
      <c r="AU87" s="129">
        <v>19.899999999999999</v>
      </c>
      <c r="AV87" s="129">
        <v>19</v>
      </c>
      <c r="AW87" s="129">
        <v>18.399999999999999</v>
      </c>
      <c r="AX87" s="129">
        <v>18</v>
      </c>
      <c r="AY87" s="129">
        <v>17.8</v>
      </c>
      <c r="AZ87" s="129">
        <v>18</v>
      </c>
      <c r="BA87" s="129">
        <v>19.399999999999999</v>
      </c>
      <c r="BC87">
        <f t="shared" si="43"/>
        <v>0.39999999999999858</v>
      </c>
      <c r="BD87">
        <f t="shared" si="31"/>
        <v>0.39999999999999858</v>
      </c>
      <c r="BE87">
        <f t="shared" si="32"/>
        <v>0.5</v>
      </c>
      <c r="BF87">
        <f t="shared" si="33"/>
        <v>0.60000000000000142</v>
      </c>
      <c r="BG87">
        <f t="shared" si="34"/>
        <v>0.5</v>
      </c>
      <c r="BH87">
        <f t="shared" si="35"/>
        <v>0.60000000000000142</v>
      </c>
      <c r="BI87">
        <f t="shared" si="36"/>
        <v>0.59999999999999787</v>
      </c>
      <c r="BJ87">
        <f t="shared" si="37"/>
        <v>0.60000000000000142</v>
      </c>
      <c r="BK87">
        <f t="shared" si="38"/>
        <v>0.69999999999999929</v>
      </c>
      <c r="BL87">
        <f t="shared" si="39"/>
        <v>0.69999999999999929</v>
      </c>
      <c r="BM87">
        <f t="shared" si="40"/>
        <v>0.90000000000000213</v>
      </c>
      <c r="BN87">
        <f t="shared" si="41"/>
        <v>0.80000000000000071</v>
      </c>
      <c r="BO87">
        <f t="shared" si="42"/>
        <v>0.89999999999999858</v>
      </c>
    </row>
    <row r="88" spans="1:96" ht="12.75" x14ac:dyDescent="0.2">
      <c r="A88">
        <v>0.255</v>
      </c>
      <c r="B88">
        <v>0.20399999999999999</v>
      </c>
      <c r="C88">
        <v>0.14599999999999999</v>
      </c>
      <c r="D88">
        <v>0.14399999999999999</v>
      </c>
      <c r="E88">
        <v>7.1999999999999995E-2</v>
      </c>
      <c r="F88" s="131">
        <v>1.9E-2</v>
      </c>
      <c r="G88" s="139">
        <v>5.3999999999999999E-2</v>
      </c>
      <c r="H88" s="132">
        <v>5.7000000000000002E-2</v>
      </c>
      <c r="I88" s="132">
        <v>0.17699999999999999</v>
      </c>
      <c r="J88" s="132">
        <v>9.7000000000000003E-2</v>
      </c>
      <c r="K88" s="136">
        <v>0.09</v>
      </c>
      <c r="L88" s="132">
        <v>6.5000000000000002E-2</v>
      </c>
      <c r="M88" s="138">
        <v>3.9E-2</v>
      </c>
      <c r="N88" s="136">
        <v>0.114</v>
      </c>
      <c r="O88" s="139">
        <v>0.17</v>
      </c>
      <c r="P88" s="139">
        <v>0.17499999999999999</v>
      </c>
      <c r="Q88" s="139">
        <v>0.1</v>
      </c>
      <c r="R88" s="139">
        <v>0.10299999999999999</v>
      </c>
      <c r="S88" s="139">
        <v>8.4000000000000005E-2</v>
      </c>
      <c r="T88" s="139">
        <v>8.3000000000000004E-2</v>
      </c>
      <c r="U88" s="139">
        <v>3.3000000000000002E-2</v>
      </c>
      <c r="V88" s="139">
        <f t="shared" si="29"/>
        <v>4.3000000000000003E-2</v>
      </c>
      <c r="W88" s="139">
        <f t="shared" si="30"/>
        <v>0.13300000000000001</v>
      </c>
      <c r="X88" s="139">
        <v>0.03</v>
      </c>
      <c r="Y88" s="139">
        <v>3.5999999999999997E-2</v>
      </c>
      <c r="Z88" s="139">
        <v>5.8000000000000003E-2</v>
      </c>
      <c r="AA88" s="139">
        <v>8.5000000000000006E-2</v>
      </c>
      <c r="AB88" s="139">
        <v>0.06</v>
      </c>
      <c r="AC88" s="139">
        <v>4.8000000000000001E-2</v>
      </c>
      <c r="AD88" s="156">
        <v>4.2000000000000003E-2</v>
      </c>
      <c r="AE88" s="156">
        <v>-3.6999999999999998E-2</v>
      </c>
      <c r="AF88" s="156">
        <v>2.5999999999999999E-2</v>
      </c>
      <c r="AG88" s="139">
        <v>-0.09</v>
      </c>
      <c r="AH88" s="139">
        <v>-0.11899999999999999</v>
      </c>
      <c r="AI88" s="139">
        <v>-0.14299999999999999</v>
      </c>
      <c r="AJ88" s="139">
        <v>-0.16900000000000001</v>
      </c>
      <c r="AK88" s="139">
        <v>-0.20200000000000001</v>
      </c>
      <c r="AN88" t="s">
        <v>107</v>
      </c>
      <c r="AO88" s="129">
        <v>23.4</v>
      </c>
      <c r="AP88" s="129">
        <v>22</v>
      </c>
      <c r="AQ88" s="129">
        <v>21.4</v>
      </c>
      <c r="AR88" s="129">
        <v>21</v>
      </c>
      <c r="AS88" s="129">
        <v>20.6</v>
      </c>
      <c r="AT88" s="129">
        <v>20.2</v>
      </c>
      <c r="AU88" s="129">
        <v>19.600000000000001</v>
      </c>
      <c r="AV88" s="129">
        <v>18.7</v>
      </c>
      <c r="AW88" s="129">
        <v>18</v>
      </c>
      <c r="AX88" s="129">
        <v>17.600000000000001</v>
      </c>
      <c r="AY88" s="129">
        <v>17</v>
      </c>
      <c r="AZ88" s="129">
        <v>16.8</v>
      </c>
      <c r="BA88" s="129">
        <v>17.3</v>
      </c>
      <c r="BC88">
        <f t="shared" si="43"/>
        <v>0.5</v>
      </c>
      <c r="BD88">
        <f t="shared" si="31"/>
        <v>0.5</v>
      </c>
      <c r="BE88">
        <f t="shared" si="32"/>
        <v>0.5</v>
      </c>
      <c r="BF88">
        <f t="shared" si="33"/>
        <v>0.60000000000000142</v>
      </c>
      <c r="BG88">
        <f t="shared" si="34"/>
        <v>0.60000000000000142</v>
      </c>
      <c r="BH88">
        <f t="shared" si="35"/>
        <v>0.59999999999999787</v>
      </c>
      <c r="BI88">
        <f t="shared" si="36"/>
        <v>0.60000000000000142</v>
      </c>
      <c r="BJ88">
        <f t="shared" si="37"/>
        <v>0.69999999999999929</v>
      </c>
      <c r="BK88">
        <f t="shared" si="38"/>
        <v>0.69999999999999929</v>
      </c>
      <c r="BL88">
        <f t="shared" si="39"/>
        <v>0.80000000000000071</v>
      </c>
      <c r="BM88">
        <f t="shared" si="40"/>
        <v>0.69999999999999929</v>
      </c>
      <c r="BN88">
        <f t="shared" si="41"/>
        <v>0.80000000000000071</v>
      </c>
      <c r="BO88">
        <f t="shared" si="42"/>
        <v>0.80000000000000071</v>
      </c>
    </row>
    <row r="89" spans="1:96" ht="12.75" x14ac:dyDescent="0.2">
      <c r="A89">
        <v>0.38</v>
      </c>
      <c r="B89">
        <v>0.32900000000000001</v>
      </c>
      <c r="C89">
        <v>0.25900000000000001</v>
      </c>
      <c r="D89">
        <v>0.26</v>
      </c>
      <c r="E89">
        <v>0.18099999999999999</v>
      </c>
      <c r="F89" s="131">
        <v>0.13300000000000001</v>
      </c>
      <c r="G89" s="139">
        <v>0.17799999999999999</v>
      </c>
      <c r="H89" s="132">
        <v>0.17799999999999999</v>
      </c>
      <c r="I89" s="132">
        <v>0.29899999999999999</v>
      </c>
      <c r="J89" s="132">
        <v>0.21299999999999999</v>
      </c>
      <c r="K89" s="136">
        <v>0.2</v>
      </c>
      <c r="L89" s="132">
        <v>0.17799999999999999</v>
      </c>
      <c r="M89" s="138">
        <v>0.14899999999999999</v>
      </c>
      <c r="N89" s="136">
        <v>0.23300000000000001</v>
      </c>
      <c r="O89" s="139">
        <v>0.29599999999999999</v>
      </c>
      <c r="P89" s="139">
        <v>0.30099999999999999</v>
      </c>
      <c r="Q89" s="139">
        <v>0.219</v>
      </c>
      <c r="R89" s="139">
        <v>0.223</v>
      </c>
      <c r="S89" s="139">
        <v>0.20399999999999999</v>
      </c>
      <c r="T89" s="139">
        <v>0.20200000000000001</v>
      </c>
      <c r="U89" s="139">
        <v>0.14799999999999999</v>
      </c>
      <c r="V89" s="139">
        <f t="shared" si="29"/>
        <v>0.158</v>
      </c>
      <c r="W89" s="139">
        <f t="shared" si="30"/>
        <v>0.248</v>
      </c>
      <c r="X89" s="139">
        <v>0.14499999999999999</v>
      </c>
      <c r="Y89" s="139">
        <v>0.151</v>
      </c>
      <c r="Z89" s="139">
        <v>0.17799999999999999</v>
      </c>
      <c r="AA89" s="139">
        <v>0.20399999999999999</v>
      </c>
      <c r="AB89" s="139">
        <v>0.17699999999999999</v>
      </c>
      <c r="AC89" s="139">
        <v>0.16400000000000001</v>
      </c>
      <c r="AD89" s="156">
        <v>0.161</v>
      </c>
      <c r="AE89" s="156">
        <v>7.2999999999999995E-2</v>
      </c>
      <c r="AF89" s="156">
        <v>0.14299999999999999</v>
      </c>
      <c r="AG89" s="139">
        <v>2.3E-2</v>
      </c>
      <c r="AH89" s="139">
        <v>-1.4E-2</v>
      </c>
      <c r="AI89" s="139">
        <v>-3.6999999999999998E-2</v>
      </c>
      <c r="AJ89" s="139">
        <v>-6.4000000000000001E-2</v>
      </c>
      <c r="AK89" s="139">
        <v>-9.9000000000000005E-2</v>
      </c>
      <c r="AN89" t="s">
        <v>108</v>
      </c>
      <c r="AO89" s="129">
        <v>22.6</v>
      </c>
      <c r="AP89" s="129">
        <v>21.5</v>
      </c>
      <c r="AQ89" s="129">
        <v>21</v>
      </c>
      <c r="AR89" s="129">
        <v>20.6</v>
      </c>
      <c r="AS89" s="129">
        <v>20.2</v>
      </c>
      <c r="AT89" s="129">
        <v>19.899999999999999</v>
      </c>
      <c r="AU89" s="129">
        <v>19.3</v>
      </c>
      <c r="AV89" s="129">
        <v>18.399999999999999</v>
      </c>
      <c r="AW89" s="129">
        <v>17.7</v>
      </c>
      <c r="AX89" s="129">
        <v>17.2</v>
      </c>
      <c r="AY89" s="129">
        <v>16.5</v>
      </c>
      <c r="AZ89" s="129">
        <v>15.9</v>
      </c>
      <c r="BA89" s="129">
        <v>15.5</v>
      </c>
      <c r="BC89">
        <f t="shared" si="43"/>
        <v>0.60000000000000142</v>
      </c>
      <c r="BD89">
        <f t="shared" si="31"/>
        <v>0.69999999999999929</v>
      </c>
      <c r="BE89">
        <f t="shared" si="32"/>
        <v>0.69999999999999929</v>
      </c>
      <c r="BF89">
        <f t="shared" si="33"/>
        <v>0.80000000000000071</v>
      </c>
      <c r="BG89">
        <f t="shared" si="34"/>
        <v>0.69999999999999929</v>
      </c>
      <c r="BH89">
        <f t="shared" si="35"/>
        <v>0.79999999999999716</v>
      </c>
      <c r="BI89">
        <f t="shared" si="36"/>
        <v>0.69999999999999929</v>
      </c>
      <c r="BJ89">
        <f t="shared" si="37"/>
        <v>0.79999999999999716</v>
      </c>
      <c r="BK89">
        <f t="shared" si="38"/>
        <v>0.80000000000000071</v>
      </c>
      <c r="BL89">
        <f t="shared" si="39"/>
        <v>0.80000000000000071</v>
      </c>
      <c r="BM89">
        <f t="shared" si="40"/>
        <v>0.80000000000000071</v>
      </c>
      <c r="BN89">
        <f t="shared" si="41"/>
        <v>0.80000000000000071</v>
      </c>
      <c r="BO89">
        <f t="shared" si="42"/>
        <v>0.69999999999999929</v>
      </c>
    </row>
    <row r="90" spans="1:96" ht="12.75" x14ac:dyDescent="0.2">
      <c r="A90">
        <v>0.49399999999999999</v>
      </c>
      <c r="B90">
        <v>0.443</v>
      </c>
      <c r="C90">
        <v>0.36199999999999999</v>
      </c>
      <c r="D90">
        <v>0.36599999999999999</v>
      </c>
      <c r="E90">
        <v>0.27900000000000003</v>
      </c>
      <c r="F90" s="131">
        <v>0.23599999999999999</v>
      </c>
      <c r="G90" s="139">
        <v>0.28699999999999998</v>
      </c>
      <c r="H90" s="132">
        <v>0.29199999999999998</v>
      </c>
      <c r="I90" s="132">
        <v>0.41099999999999998</v>
      </c>
      <c r="J90" s="132">
        <v>0.32</v>
      </c>
      <c r="K90" s="136">
        <v>0.30199999999999999</v>
      </c>
      <c r="L90" s="132">
        <v>0.28299999999999997</v>
      </c>
      <c r="M90" s="138">
        <v>0.251</v>
      </c>
      <c r="N90" s="136">
        <v>0.34200000000000003</v>
      </c>
      <c r="O90" s="139">
        <v>0.41199999999999998</v>
      </c>
      <c r="P90" s="139">
        <v>0.41399999999999998</v>
      </c>
      <c r="Q90" s="139">
        <v>0.32800000000000001</v>
      </c>
      <c r="R90" s="139">
        <v>0.33200000000000002</v>
      </c>
      <c r="S90" s="139">
        <v>0.313</v>
      </c>
      <c r="T90" s="139">
        <v>0.311</v>
      </c>
      <c r="U90" s="139">
        <v>0.253</v>
      </c>
      <c r="V90" s="139">
        <f t="shared" si="29"/>
        <v>0.26300000000000001</v>
      </c>
      <c r="W90" s="139">
        <f t="shared" si="30"/>
        <v>0.35299999999999998</v>
      </c>
      <c r="X90" s="139">
        <v>0.25</v>
      </c>
      <c r="Y90" s="139">
        <v>0.26100000000000001</v>
      </c>
      <c r="Z90" s="139">
        <v>0.28899999999999998</v>
      </c>
      <c r="AA90" s="139">
        <v>0.317</v>
      </c>
      <c r="AB90" s="139">
        <v>0.28599999999999998</v>
      </c>
      <c r="AC90" s="139">
        <v>0.27900000000000003</v>
      </c>
      <c r="AD90" s="156">
        <v>0.27200000000000002</v>
      </c>
      <c r="AE90" s="156">
        <v>0.17499999999999999</v>
      </c>
      <c r="AF90" s="156">
        <v>0.254</v>
      </c>
      <c r="AG90" s="139">
        <v>0.127</v>
      </c>
      <c r="AH90" s="139">
        <v>8.2000000000000003E-2</v>
      </c>
      <c r="AI90" s="139">
        <v>6.4000000000000001E-2</v>
      </c>
      <c r="AJ90" s="139">
        <v>3.5999999999999997E-2</v>
      </c>
      <c r="AK90" s="139">
        <v>1E-3</v>
      </c>
      <c r="AN90" t="s">
        <v>109</v>
      </c>
      <c r="AO90" s="129">
        <v>22.2</v>
      </c>
      <c r="AP90" s="129">
        <v>21.2</v>
      </c>
      <c r="AQ90" s="129">
        <v>20.8</v>
      </c>
      <c r="AR90" s="129">
        <v>20.399999999999999</v>
      </c>
      <c r="AS90" s="129">
        <v>20</v>
      </c>
      <c r="AT90" s="129">
        <v>19.7</v>
      </c>
      <c r="AU90" s="129">
        <v>19.100000000000001</v>
      </c>
      <c r="AV90" s="129">
        <v>18.2</v>
      </c>
      <c r="AW90" s="129">
        <v>17.5</v>
      </c>
      <c r="AX90" s="129">
        <v>17</v>
      </c>
      <c r="AY90" s="129">
        <v>16.3</v>
      </c>
      <c r="AZ90" s="129">
        <v>15.4</v>
      </c>
      <c r="BA90" s="129">
        <v>14.7</v>
      </c>
      <c r="BC90">
        <f t="shared" si="43"/>
        <v>0.80000000000000071</v>
      </c>
      <c r="BD90">
        <f t="shared" si="31"/>
        <v>0.80000000000000071</v>
      </c>
      <c r="BE90">
        <f t="shared" si="32"/>
        <v>0.90000000000000213</v>
      </c>
      <c r="BF90">
        <f t="shared" si="33"/>
        <v>0.89999999999999858</v>
      </c>
      <c r="BG90">
        <f t="shared" si="34"/>
        <v>0.80000000000000071</v>
      </c>
      <c r="BH90">
        <f t="shared" si="35"/>
        <v>0.80000000000000071</v>
      </c>
      <c r="BI90">
        <f t="shared" si="36"/>
        <v>0.80000000000000071</v>
      </c>
      <c r="BJ90">
        <f t="shared" si="37"/>
        <v>0.80000000000000071</v>
      </c>
      <c r="BK90">
        <f t="shared" si="38"/>
        <v>0.80000000000000071</v>
      </c>
      <c r="BL90">
        <f t="shared" si="39"/>
        <v>0.80000000000000071</v>
      </c>
      <c r="BM90">
        <f t="shared" si="40"/>
        <v>0.90000000000000036</v>
      </c>
      <c r="BN90">
        <f t="shared" si="41"/>
        <v>0.80000000000000071</v>
      </c>
      <c r="BO90">
        <f t="shared" si="42"/>
        <v>0.69999999999999929</v>
      </c>
    </row>
    <row r="91" spans="1:96" ht="12.75" x14ac:dyDescent="0.2">
      <c r="A91">
        <v>0.59599999999999997</v>
      </c>
      <c r="B91">
        <v>0.54500000000000004</v>
      </c>
      <c r="C91">
        <v>0.45500000000000002</v>
      </c>
      <c r="D91">
        <v>0.46100000000000002</v>
      </c>
      <c r="E91">
        <v>0.36799999999999999</v>
      </c>
      <c r="F91" s="131">
        <v>0.33200000000000002</v>
      </c>
      <c r="G91" s="139">
        <v>0.38800000000000001</v>
      </c>
      <c r="H91" s="132">
        <v>0.39500000000000002</v>
      </c>
      <c r="I91" s="132">
        <v>0.51200000000000001</v>
      </c>
      <c r="J91" s="132">
        <v>0.41599999999999998</v>
      </c>
      <c r="K91" s="136">
        <v>0.39500000000000002</v>
      </c>
      <c r="L91" s="132">
        <v>0.376</v>
      </c>
      <c r="M91" s="138">
        <v>0.34599999999999997</v>
      </c>
      <c r="N91" s="136">
        <v>0.438</v>
      </c>
      <c r="O91" s="139">
        <v>0.51600000000000001</v>
      </c>
      <c r="P91" s="139">
        <v>0.51700000000000002</v>
      </c>
      <c r="Q91" s="139">
        <v>0.42799999999999999</v>
      </c>
      <c r="R91" s="139">
        <v>0.43099999999999999</v>
      </c>
      <c r="S91" s="139">
        <v>0.41099999999999998</v>
      </c>
      <c r="T91" s="139">
        <v>0.40899999999999997</v>
      </c>
      <c r="U91" s="139">
        <v>0.35399999999999998</v>
      </c>
      <c r="V91" s="139">
        <f t="shared" si="29"/>
        <v>0.36399999999999999</v>
      </c>
      <c r="W91" s="139">
        <f t="shared" si="30"/>
        <v>0.45399999999999996</v>
      </c>
      <c r="X91" s="139">
        <v>0.34699999999999998</v>
      </c>
      <c r="Y91" s="139">
        <v>0.36</v>
      </c>
      <c r="Z91" s="139">
        <v>0.39</v>
      </c>
      <c r="AA91" s="139">
        <v>0.41599999999999998</v>
      </c>
      <c r="AB91" s="139">
        <v>0.38700000000000001</v>
      </c>
      <c r="AC91" s="139">
        <v>0.379</v>
      </c>
      <c r="AD91" s="156">
        <v>0.372</v>
      </c>
      <c r="AE91" s="156">
        <v>0.26800000000000002</v>
      </c>
      <c r="AF91" s="156">
        <v>0.35499999999999998</v>
      </c>
      <c r="AG91" s="139">
        <v>0.221</v>
      </c>
      <c r="AH91" s="139">
        <v>0.17199999999999999</v>
      </c>
      <c r="AI91" s="139">
        <v>0.155</v>
      </c>
      <c r="AJ91" s="139">
        <v>0.129</v>
      </c>
      <c r="AK91" s="139">
        <v>9.0999999999999998E-2</v>
      </c>
      <c r="AN91" t="s">
        <v>110</v>
      </c>
      <c r="AO91" s="129">
        <v>21.9</v>
      </c>
      <c r="AP91" s="129">
        <v>20.9</v>
      </c>
      <c r="AQ91" s="129">
        <v>20.5</v>
      </c>
      <c r="AR91" s="129">
        <v>20.2</v>
      </c>
      <c r="AS91" s="129">
        <v>19.8</v>
      </c>
      <c r="AT91" s="129">
        <v>19.5</v>
      </c>
      <c r="AU91" s="129">
        <v>19</v>
      </c>
      <c r="AV91" s="129">
        <v>18.100000000000001</v>
      </c>
      <c r="AW91" s="129">
        <v>17.399999999999999</v>
      </c>
      <c r="AX91" s="129">
        <v>16.899999999999999</v>
      </c>
      <c r="AY91" s="129">
        <v>16.100000000000001</v>
      </c>
      <c r="AZ91" s="129">
        <v>15.2</v>
      </c>
      <c r="BA91" s="129">
        <v>14.2</v>
      </c>
      <c r="BC91">
        <f t="shared" si="43"/>
        <v>0.89999999999999858</v>
      </c>
      <c r="BD91">
        <f t="shared" si="31"/>
        <v>0.89999999999999858</v>
      </c>
      <c r="BE91">
        <f t="shared" si="32"/>
        <v>0.89999999999999858</v>
      </c>
      <c r="BF91">
        <f t="shared" si="33"/>
        <v>1</v>
      </c>
      <c r="BG91">
        <f t="shared" si="34"/>
        <v>0.90000000000000213</v>
      </c>
      <c r="BH91">
        <f t="shared" si="35"/>
        <v>0.89999999999999858</v>
      </c>
      <c r="BI91">
        <f t="shared" si="36"/>
        <v>0.89999999999999858</v>
      </c>
      <c r="BJ91">
        <f t="shared" si="37"/>
        <v>0.90000000000000213</v>
      </c>
      <c r="BK91">
        <f t="shared" si="38"/>
        <v>0.89999999999999858</v>
      </c>
      <c r="BL91">
        <f t="shared" si="39"/>
        <v>0.89999999999999858</v>
      </c>
      <c r="BM91">
        <f t="shared" si="40"/>
        <v>0.90000000000000213</v>
      </c>
      <c r="BN91">
        <f t="shared" si="41"/>
        <v>0.89999999999999858</v>
      </c>
      <c r="BO91">
        <f t="shared" si="42"/>
        <v>0.69999999999999929</v>
      </c>
    </row>
    <row r="92" spans="1:96" ht="12.75" x14ac:dyDescent="0.2">
      <c r="A92">
        <v>0.68899999999999995</v>
      </c>
      <c r="B92">
        <v>0.63700000000000001</v>
      </c>
      <c r="C92">
        <v>0.53300000000000003</v>
      </c>
      <c r="D92">
        <v>0.54300000000000004</v>
      </c>
      <c r="E92">
        <v>0.44500000000000001</v>
      </c>
      <c r="F92" s="131">
        <v>0.41799999999999998</v>
      </c>
      <c r="G92" s="139">
        <v>0.48199999999999998</v>
      </c>
      <c r="H92" s="132">
        <v>0.48499999999999999</v>
      </c>
      <c r="I92" s="132">
        <v>0.6</v>
      </c>
      <c r="J92" s="132">
        <v>0.501</v>
      </c>
      <c r="K92" s="136">
        <v>0.47699999999999998</v>
      </c>
      <c r="L92" s="132">
        <v>0.46100000000000002</v>
      </c>
      <c r="M92" s="138">
        <v>0.43099999999999999</v>
      </c>
      <c r="N92" s="136">
        <v>0.52700000000000002</v>
      </c>
      <c r="O92" s="139">
        <v>0.60799999999999998</v>
      </c>
      <c r="P92" s="139">
        <v>0.61</v>
      </c>
      <c r="Q92" s="139">
        <v>0.51700000000000002</v>
      </c>
      <c r="R92" s="139">
        <v>0.52100000000000002</v>
      </c>
      <c r="S92" s="139">
        <v>0.5</v>
      </c>
      <c r="T92" s="139">
        <v>0.498</v>
      </c>
      <c r="U92" s="139">
        <v>0.442</v>
      </c>
      <c r="V92" s="139">
        <f t="shared" si="29"/>
        <v>0.45200000000000001</v>
      </c>
      <c r="W92" s="139">
        <f t="shared" si="30"/>
        <v>0.54200000000000004</v>
      </c>
      <c r="X92" s="139">
        <v>0.436</v>
      </c>
      <c r="Y92" s="139">
        <v>0.45</v>
      </c>
      <c r="Z92" s="139">
        <v>0.48</v>
      </c>
      <c r="AA92" s="139">
        <v>0.50600000000000001</v>
      </c>
      <c r="AB92" s="139">
        <v>0.47699999999999998</v>
      </c>
      <c r="AC92" s="139">
        <v>0.46899999999999997</v>
      </c>
      <c r="AD92" s="156">
        <v>0.46300000000000002</v>
      </c>
      <c r="AE92" s="156">
        <v>0.34899999999999998</v>
      </c>
      <c r="AF92" s="156">
        <v>0.443</v>
      </c>
      <c r="AG92" s="139">
        <v>0.30299999999999999</v>
      </c>
      <c r="AH92" s="139">
        <v>0.25</v>
      </c>
      <c r="AI92" s="139">
        <v>0.23799999999999999</v>
      </c>
      <c r="AJ92" s="139">
        <v>0.21099999999999999</v>
      </c>
      <c r="AK92" s="139">
        <v>0.17299999999999999</v>
      </c>
    </row>
    <row r="93" spans="1:96" ht="12.75" x14ac:dyDescent="0.2">
      <c r="A93">
        <v>0.90200000000000002</v>
      </c>
      <c r="B93">
        <v>0.84799999999999998</v>
      </c>
      <c r="C93">
        <v>0.71499999999999997</v>
      </c>
      <c r="D93">
        <v>0.72899999999999998</v>
      </c>
      <c r="E93">
        <v>0.621</v>
      </c>
      <c r="F93" s="131">
        <v>0.60899999999999999</v>
      </c>
      <c r="G93" s="139">
        <v>0.67900000000000005</v>
      </c>
      <c r="H93" s="132">
        <v>0.69099999999999995</v>
      </c>
      <c r="I93" s="132">
        <v>0.80100000000000005</v>
      </c>
      <c r="J93" s="132">
        <v>0.69299999999999995</v>
      </c>
      <c r="K93" s="136">
        <v>0.66300000000000003</v>
      </c>
      <c r="L93" s="132">
        <v>0.65500000000000003</v>
      </c>
      <c r="M93" s="138">
        <v>0.624</v>
      </c>
      <c r="N93" s="136">
        <v>0.72499999999999998</v>
      </c>
      <c r="O93" s="139">
        <v>0.82099999999999995</v>
      </c>
      <c r="P93" s="139">
        <v>0.82299999999999995</v>
      </c>
      <c r="Q93" s="139">
        <v>0.72499999999999998</v>
      </c>
      <c r="R93" s="139">
        <v>0.72799999999999998</v>
      </c>
      <c r="S93" s="139">
        <v>0.70799999999999996</v>
      </c>
      <c r="T93" s="139">
        <v>0.70599999999999996</v>
      </c>
      <c r="U93" s="139">
        <v>0.64700000000000002</v>
      </c>
      <c r="V93" s="139">
        <f t="shared" si="29"/>
        <v>0.65700000000000003</v>
      </c>
      <c r="W93" s="139">
        <f t="shared" si="30"/>
        <v>0.747</v>
      </c>
      <c r="X93" s="139">
        <v>0.63800000000000001</v>
      </c>
      <c r="Y93" s="139">
        <v>0.65600000000000003</v>
      </c>
      <c r="Z93" s="139">
        <v>0.68899999999999995</v>
      </c>
      <c r="AA93" s="139">
        <v>0.71099999999999997</v>
      </c>
      <c r="AB93" s="139">
        <v>0.68600000000000005</v>
      </c>
      <c r="AC93" s="139">
        <v>0.67500000000000004</v>
      </c>
      <c r="AD93" s="156">
        <v>0.66800000000000004</v>
      </c>
      <c r="AE93" s="156">
        <v>0.53700000000000003</v>
      </c>
      <c r="AF93" s="156">
        <v>0.64700000000000002</v>
      </c>
      <c r="AG93" s="139">
        <v>0.48799999999999999</v>
      </c>
      <c r="AH93" s="139">
        <v>0.42299999999999999</v>
      </c>
      <c r="AI93" s="139">
        <v>0.42299999999999999</v>
      </c>
      <c r="AJ93" s="139">
        <v>0.39700000000000002</v>
      </c>
      <c r="AK93" s="139">
        <v>0.36</v>
      </c>
      <c r="AO93">
        <v>-0.5</v>
      </c>
      <c r="AP93">
        <v>-0.25</v>
      </c>
      <c r="AQ93">
        <v>-0.13</v>
      </c>
      <c r="AR93">
        <v>0</v>
      </c>
      <c r="AS93">
        <v>0.125</v>
      </c>
      <c r="AT93" s="126">
        <v>0.25</v>
      </c>
      <c r="AU93" s="126">
        <v>0.5</v>
      </c>
      <c r="AV93" s="126">
        <v>1</v>
      </c>
      <c r="AW93" s="126">
        <v>1.5</v>
      </c>
      <c r="AX93" s="126">
        <v>2</v>
      </c>
      <c r="AY93" s="126">
        <v>3</v>
      </c>
      <c r="AZ93" s="126">
        <v>5</v>
      </c>
      <c r="BA93" s="126">
        <v>10</v>
      </c>
    </row>
    <row r="94" spans="1:96" ht="12.75" x14ac:dyDescent="0.2">
      <c r="A94">
        <v>1.089</v>
      </c>
      <c r="B94">
        <v>1.0349999999999999</v>
      </c>
      <c r="C94">
        <v>0.87</v>
      </c>
      <c r="D94">
        <v>0.89200000000000002</v>
      </c>
      <c r="E94">
        <v>0.76800000000000002</v>
      </c>
      <c r="F94" s="131">
        <v>0.77700000000000002</v>
      </c>
      <c r="G94" s="139">
        <v>0.84899999999999998</v>
      </c>
      <c r="H94" s="132">
        <v>0.86399999999999999</v>
      </c>
      <c r="I94" s="132">
        <v>0.96499999999999997</v>
      </c>
      <c r="J94" s="132">
        <v>0.85199999999999998</v>
      </c>
      <c r="K94" s="136">
        <v>0.81899999999999995</v>
      </c>
      <c r="L94" s="132">
        <v>0.82099999999999995</v>
      </c>
      <c r="M94" s="138">
        <v>0.79</v>
      </c>
      <c r="N94" s="136">
        <v>0.89400000000000002</v>
      </c>
      <c r="O94" s="139">
        <v>1.004</v>
      </c>
      <c r="P94" s="139">
        <v>1.004</v>
      </c>
      <c r="Q94" s="139">
        <v>0.9</v>
      </c>
      <c r="R94" s="139">
        <v>0.90600000000000003</v>
      </c>
      <c r="S94" s="139">
        <v>0.88600000000000001</v>
      </c>
      <c r="T94" s="139">
        <v>0.88400000000000001</v>
      </c>
      <c r="U94" s="139">
        <v>0.82199999999999995</v>
      </c>
      <c r="V94" s="139">
        <f t="shared" si="29"/>
        <v>0.83199999999999996</v>
      </c>
      <c r="W94" s="139">
        <f t="shared" si="30"/>
        <v>0.92199999999999993</v>
      </c>
      <c r="X94" s="139">
        <v>0.81399999999999995</v>
      </c>
      <c r="Y94" s="139">
        <v>0.83299999999999996</v>
      </c>
      <c r="Z94" s="139">
        <v>0.87</v>
      </c>
      <c r="AA94" s="139">
        <v>0.89200000000000002</v>
      </c>
      <c r="AB94" s="139">
        <v>0.86399999999999999</v>
      </c>
      <c r="AC94" s="139">
        <v>0.85899999999999999</v>
      </c>
      <c r="AD94" s="156">
        <v>0.84599999999999997</v>
      </c>
      <c r="AE94" s="156">
        <v>0.69399999999999995</v>
      </c>
      <c r="AF94" s="156">
        <v>0.81200000000000006</v>
      </c>
      <c r="AG94" s="139">
        <v>0.63200000000000001</v>
      </c>
      <c r="AH94" s="139">
        <v>0.55800000000000005</v>
      </c>
      <c r="AI94" s="139">
        <v>0.57199999999999995</v>
      </c>
      <c r="AJ94" s="139">
        <v>0.54900000000000004</v>
      </c>
      <c r="AK94" s="139">
        <v>0.51100000000000001</v>
      </c>
      <c r="AL94" s="139">
        <v>1.03</v>
      </c>
      <c r="AN94" t="s">
        <v>25</v>
      </c>
      <c r="AO94" s="140">
        <v>12.6</v>
      </c>
      <c r="AP94" s="140">
        <v>11.1</v>
      </c>
      <c r="AQ94" s="140">
        <v>12</v>
      </c>
      <c r="AR94" s="140">
        <v>13.6</v>
      </c>
      <c r="AS94" s="129">
        <f>(AR94+AT94)/2</f>
        <v>15.100000000000001</v>
      </c>
      <c r="AT94" s="140">
        <v>16.600000000000001</v>
      </c>
      <c r="AU94" s="140">
        <v>19.5</v>
      </c>
      <c r="AV94" s="140">
        <v>24.5</v>
      </c>
      <c r="AW94" s="140">
        <v>28.6</v>
      </c>
      <c r="AX94" s="140">
        <v>32.200000000000003</v>
      </c>
      <c r="AY94" s="140">
        <v>38</v>
      </c>
      <c r="AZ94" s="140">
        <v>46.7</v>
      </c>
      <c r="BA94" s="140">
        <v>60.1</v>
      </c>
      <c r="BC94" s="111">
        <f>AO94-AO77</f>
        <v>-2.0999999999999996</v>
      </c>
      <c r="BD94" s="111">
        <f t="shared" ref="BD94:BD108" si="44">AP94-AP77</f>
        <v>-1.5</v>
      </c>
      <c r="BE94" s="111">
        <f t="shared" ref="BE94:BE108" si="45">AQ94-AQ77</f>
        <v>-1.1999999999999993</v>
      </c>
      <c r="BF94" s="111">
        <f t="shared" ref="BF94:BF108" si="46">AR94-AR77</f>
        <v>-0.90000000000000036</v>
      </c>
      <c r="BG94" s="111">
        <f t="shared" ref="BG94:BG108" si="47">AS94-AS77</f>
        <v>-0.89999999999999858</v>
      </c>
      <c r="BH94" s="111">
        <f t="shared" ref="BH94:BH108" si="48">AT94-AT77</f>
        <v>-0.69999999999999929</v>
      </c>
      <c r="BI94" s="111">
        <f t="shared" ref="BI94:BI108" si="49">AU94-AU77</f>
        <v>-0.39999999999999858</v>
      </c>
      <c r="BJ94" s="111">
        <f t="shared" ref="BJ94:BJ108" si="50">AV94-AV77</f>
        <v>-0.10000000000000142</v>
      </c>
      <c r="BK94" s="111">
        <f t="shared" ref="BK94:BK108" si="51">AW94-AW77</f>
        <v>0.20000000000000284</v>
      </c>
      <c r="BL94" s="111">
        <f t="shared" ref="BL94:BL108" si="52">AX94-AX77</f>
        <v>0.50000000000000355</v>
      </c>
      <c r="BM94" s="111">
        <f t="shared" ref="BM94:BM108" si="53">AY94-AY77</f>
        <v>0.79999999999999716</v>
      </c>
      <c r="BN94" s="111">
        <f t="shared" ref="BN94:BN108" si="54">AZ94-AZ77</f>
        <v>1.6000000000000014</v>
      </c>
      <c r="BO94" s="111">
        <f t="shared" ref="BO94:BO108" si="55">BA94-BA77</f>
        <v>3</v>
      </c>
      <c r="BR94" s="120">
        <v>3.2516173641818414E-3</v>
      </c>
      <c r="BS94" s="120">
        <v>3.0040768668451521E-3</v>
      </c>
      <c r="BT94" s="120">
        <v>3.3221681279591393E-3</v>
      </c>
      <c r="BU94" s="120">
        <v>3.8479585207565397E-3</v>
      </c>
      <c r="BV94" s="120">
        <v>4.3628182589440278E-3</v>
      </c>
      <c r="BW94" s="120">
        <v>4.8940369977190949E-3</v>
      </c>
      <c r="BX94" s="120">
        <v>5.973883052215973E-3</v>
      </c>
      <c r="BY94" s="120">
        <v>8.0502526535172394E-3</v>
      </c>
      <c r="BZ94" s="120">
        <v>1.0007196000771032E-2</v>
      </c>
      <c r="CA94" s="120">
        <v>1.1928866328231678E-2</v>
      </c>
      <c r="CB94" s="120">
        <v>1.5570832726515396E-2</v>
      </c>
      <c r="CC94" s="120">
        <v>2.2550068618123625E-2</v>
      </c>
      <c r="CD94" s="120">
        <v>3.8826257125829863E-2</v>
      </c>
      <c r="CF94" s="120">
        <v>0.12598367810346298</v>
      </c>
      <c r="CG94" s="120">
        <v>0.11099867550576036</v>
      </c>
      <c r="CH94" s="120">
        <v>0.11998302622716572</v>
      </c>
      <c r="CI94" s="120">
        <v>0.13599760233492961</v>
      </c>
      <c r="CJ94" s="120">
        <v>0.15099654316550351</v>
      </c>
      <c r="CK94" s="120">
        <v>0.16599676504959313</v>
      </c>
      <c r="CL94" s="120">
        <v>0.19494364271285042</v>
      </c>
      <c r="CM94" s="120">
        <v>0.24499928615885108</v>
      </c>
      <c r="CN94" s="120">
        <v>0.28598078763190593</v>
      </c>
      <c r="CO94" s="120">
        <v>0.32196753844096759</v>
      </c>
      <c r="CP94" s="120">
        <v>0.37987632105073216</v>
      </c>
      <c r="CQ94" s="120">
        <v>0.46656167719377284</v>
      </c>
      <c r="CR94" s="120">
        <v>0.60119032883403967</v>
      </c>
    </row>
    <row r="95" spans="1:96" ht="12.75" x14ac:dyDescent="0.2">
      <c r="A95">
        <v>1.1539999999999999</v>
      </c>
      <c r="B95">
        <v>1.099</v>
      </c>
      <c r="C95">
        <v>0.92700000000000005</v>
      </c>
      <c r="D95">
        <v>0.95299999999999996</v>
      </c>
      <c r="E95">
        <v>0.82199999999999995</v>
      </c>
      <c r="F95" s="131">
        <v>0.83799999999999997</v>
      </c>
      <c r="G95" s="139">
        <v>0.90900000000000003</v>
      </c>
      <c r="H95" s="132">
        <v>0.92500000000000004</v>
      </c>
      <c r="I95" s="132">
        <v>1.022</v>
      </c>
      <c r="J95" s="132">
        <v>0.90900000000000003</v>
      </c>
      <c r="K95" s="136">
        <v>0.875</v>
      </c>
      <c r="L95" s="132">
        <v>0.877</v>
      </c>
      <c r="M95" s="138">
        <v>0.84599999999999997</v>
      </c>
      <c r="N95" s="136">
        <v>0.95</v>
      </c>
      <c r="O95" s="139">
        <v>1.071</v>
      </c>
      <c r="P95" s="139">
        <v>1.069</v>
      </c>
      <c r="Q95" s="139">
        <v>0.96199999999999997</v>
      </c>
      <c r="R95" s="139">
        <v>0.96899999999999997</v>
      </c>
      <c r="S95" s="139">
        <v>0.94799999999999995</v>
      </c>
      <c r="T95" s="139">
        <v>0.94599999999999995</v>
      </c>
      <c r="U95" s="139">
        <v>0.88400000000000001</v>
      </c>
      <c r="V95" s="139">
        <f t="shared" si="29"/>
        <v>0.89400000000000002</v>
      </c>
      <c r="W95" s="139">
        <f t="shared" si="30"/>
        <v>0.98399999999999999</v>
      </c>
      <c r="X95" s="139">
        <v>0.876</v>
      </c>
      <c r="Y95" s="139">
        <v>0.89500000000000002</v>
      </c>
      <c r="Z95" s="139">
        <v>0.93400000000000005</v>
      </c>
      <c r="AA95" s="139">
        <v>0.95099999999999996</v>
      </c>
      <c r="AB95" s="139">
        <v>0.92700000000000005</v>
      </c>
      <c r="AC95" s="139">
        <v>0.92100000000000004</v>
      </c>
      <c r="AD95" s="156">
        <v>0.91</v>
      </c>
      <c r="AE95" s="156">
        <v>0.746</v>
      </c>
      <c r="AF95" s="156">
        <v>0.86799999999999999</v>
      </c>
      <c r="AG95" s="139">
        <v>0.67800000000000005</v>
      </c>
      <c r="AH95" s="139">
        <v>0.60099999999999998</v>
      </c>
      <c r="AI95" s="139">
        <v>0.62</v>
      </c>
      <c r="AJ95" s="139">
        <v>0.59799999999999998</v>
      </c>
      <c r="AK95" s="139">
        <v>0.55800000000000005</v>
      </c>
      <c r="AN95" t="s">
        <v>157</v>
      </c>
      <c r="AO95" s="140">
        <v>14.4</v>
      </c>
      <c r="AP95" s="140">
        <v>12.6</v>
      </c>
      <c r="AQ95" s="140">
        <v>13.2</v>
      </c>
      <c r="AR95" s="140">
        <v>14.3</v>
      </c>
      <c r="AS95" s="129">
        <f t="shared" ref="AS95:AS125" si="56">(AR95+AT95)/2</f>
        <v>15.450000000000001</v>
      </c>
      <c r="AT95" s="140">
        <v>16.600000000000001</v>
      </c>
      <c r="AU95" s="140">
        <v>18.899999999999999</v>
      </c>
      <c r="AV95" s="140">
        <v>22.9</v>
      </c>
      <c r="AW95" s="140">
        <v>26.3</v>
      </c>
      <c r="AX95" s="140">
        <v>29.2</v>
      </c>
      <c r="AY95" s="140">
        <v>33.9</v>
      </c>
      <c r="AZ95" s="140">
        <v>40.799999999999997</v>
      </c>
      <c r="BA95" s="140">
        <v>50.9</v>
      </c>
      <c r="BC95" s="111">
        <f t="shared" ref="BC95:BC108" si="57">AO95-AO78</f>
        <v>-1.1999999999999993</v>
      </c>
      <c r="BD95" s="111">
        <f t="shared" si="44"/>
        <v>-1.2000000000000011</v>
      </c>
      <c r="BE95" s="111">
        <f t="shared" si="45"/>
        <v>-1</v>
      </c>
      <c r="BF95" s="111">
        <f t="shared" si="46"/>
        <v>-1</v>
      </c>
      <c r="BG95" s="111">
        <f t="shared" si="47"/>
        <v>-1.1500000000000004</v>
      </c>
      <c r="BH95" s="111">
        <f t="shared" si="48"/>
        <v>-1.1999999999999993</v>
      </c>
      <c r="BI95" s="111">
        <f t="shared" si="49"/>
        <v>-1.2000000000000028</v>
      </c>
      <c r="BJ95" s="111">
        <f t="shared" si="50"/>
        <v>-1.4000000000000021</v>
      </c>
      <c r="BK95" s="111">
        <f t="shared" si="51"/>
        <v>-1.5</v>
      </c>
      <c r="BL95" s="111">
        <f t="shared" si="52"/>
        <v>-1.6000000000000014</v>
      </c>
      <c r="BM95" s="111">
        <f t="shared" si="53"/>
        <v>-1.8000000000000043</v>
      </c>
      <c r="BN95" s="111">
        <f t="shared" si="54"/>
        <v>-2</v>
      </c>
      <c r="BO95" s="111">
        <f t="shared" si="55"/>
        <v>-2.3999999999999986</v>
      </c>
      <c r="BR95" s="120">
        <v>4.192419053816082E-3</v>
      </c>
      <c r="BS95" s="120">
        <v>3.8572242272259662E-3</v>
      </c>
      <c r="BT95" s="120">
        <v>3.9650003162123929E-3</v>
      </c>
      <c r="BU95" s="120">
        <v>4.189908440096121E-3</v>
      </c>
      <c r="BV95" s="120">
        <v>4.5055080973785055E-3</v>
      </c>
      <c r="BW95" s="120">
        <v>4.8478141448816472E-3</v>
      </c>
      <c r="BX95" s="120">
        <v>5.6108346890799245E-3</v>
      </c>
      <c r="BY95" s="120">
        <v>7.1455551219186206E-3</v>
      </c>
      <c r="BZ95" s="120">
        <v>8.6874036775341622E-3</v>
      </c>
      <c r="CA95" s="120">
        <v>1.016141612093956E-2</v>
      </c>
      <c r="CB95" s="120">
        <v>1.2996841158321734E-2</v>
      </c>
      <c r="CC95" s="120">
        <v>1.8348154626171731E-2</v>
      </c>
      <c r="CD95" s="120">
        <v>3.0419067377048182E-2</v>
      </c>
      <c r="CF95" s="120">
        <v>0.16387068054518564</v>
      </c>
      <c r="CG95" s="120">
        <v>0.1436727507136128</v>
      </c>
      <c r="CH95" s="120">
        <v>0.14444915086098628</v>
      </c>
      <c r="CI95" s="120">
        <v>0.14940815064601434</v>
      </c>
      <c r="CJ95" s="120">
        <v>0.15738513473752455</v>
      </c>
      <c r="CK95" s="120">
        <v>0.16599776726240392</v>
      </c>
      <c r="CL95" s="120">
        <v>0.18500982007322053</v>
      </c>
      <c r="CM95" s="120">
        <v>0.21978381628878807</v>
      </c>
      <c r="CN95" s="120">
        <v>0.25104909198147779</v>
      </c>
      <c r="CO95" s="120">
        <v>0.27746051733867455</v>
      </c>
      <c r="CP95" s="120">
        <v>0.32109025761265275</v>
      </c>
      <c r="CQ95" s="120">
        <v>0.38516882880138537</v>
      </c>
      <c r="CR95" s="120">
        <v>0.47740666600777426</v>
      </c>
    </row>
    <row r="96" spans="1:96" ht="12.75" x14ac:dyDescent="0.2">
      <c r="A96">
        <v>1.177</v>
      </c>
      <c r="B96">
        <v>1.125</v>
      </c>
      <c r="C96">
        <v>0.94699999999999995</v>
      </c>
      <c r="D96">
        <v>0.97599999999999998</v>
      </c>
      <c r="E96">
        <v>0.83599999999999997</v>
      </c>
      <c r="F96" s="131">
        <v>0.86199999999999999</v>
      </c>
      <c r="G96" s="139">
        <v>0.93400000000000005</v>
      </c>
      <c r="H96" s="132">
        <v>0.94899999999999995</v>
      </c>
      <c r="I96" s="132">
        <v>1.042</v>
      </c>
      <c r="J96" s="132">
        <v>0.92600000000000005</v>
      </c>
      <c r="K96" s="136">
        <v>0.89</v>
      </c>
      <c r="L96" s="132">
        <v>0.89500000000000002</v>
      </c>
      <c r="M96" s="138">
        <v>0.86299999999999999</v>
      </c>
      <c r="N96" s="136">
        <v>0.97199999999999998</v>
      </c>
      <c r="O96" s="139">
        <v>1.097</v>
      </c>
      <c r="P96" s="139">
        <v>1.0920000000000001</v>
      </c>
      <c r="Q96" s="139">
        <v>0.98299999999999998</v>
      </c>
      <c r="R96" s="139">
        <v>0.98899999999999999</v>
      </c>
      <c r="S96" s="139">
        <v>0.96899999999999997</v>
      </c>
      <c r="T96" s="139">
        <v>0.96699999999999997</v>
      </c>
      <c r="U96" s="139">
        <v>0.90300000000000002</v>
      </c>
      <c r="V96" s="139">
        <f t="shared" si="29"/>
        <v>0.91300000000000003</v>
      </c>
      <c r="W96" s="139">
        <f t="shared" si="30"/>
        <v>1.0030000000000001</v>
      </c>
      <c r="X96" s="139">
        <v>0.89600000000000002</v>
      </c>
      <c r="Y96" s="139">
        <v>0.91400000000000003</v>
      </c>
      <c r="Z96" s="139">
        <v>0.95299999999999996</v>
      </c>
      <c r="AA96" s="139">
        <v>0.97099999999999997</v>
      </c>
      <c r="AB96" s="139">
        <v>0.95</v>
      </c>
      <c r="AC96" s="139">
        <v>0.94499999999999995</v>
      </c>
      <c r="AD96" s="156">
        <v>0.93200000000000005</v>
      </c>
      <c r="AE96" s="156">
        <v>0.75900000000000001</v>
      </c>
      <c r="AF96" s="156">
        <v>0.88600000000000001</v>
      </c>
      <c r="AG96" s="139">
        <v>0.68700000000000006</v>
      </c>
      <c r="AH96" s="139">
        <v>0.60799999999999998</v>
      </c>
      <c r="AI96" s="139">
        <v>0.63500000000000001</v>
      </c>
      <c r="AJ96" s="139">
        <v>0.61199999999999999</v>
      </c>
      <c r="AK96" s="139">
        <v>0.57299999999999995</v>
      </c>
      <c r="AN96" t="s">
        <v>99</v>
      </c>
      <c r="AO96" s="140">
        <v>19</v>
      </c>
      <c r="AP96" s="140">
        <v>16.100000000000001</v>
      </c>
      <c r="AQ96" s="140">
        <v>15.5</v>
      </c>
      <c r="AR96" s="140">
        <v>15.3</v>
      </c>
      <c r="AS96" s="129">
        <f t="shared" si="56"/>
        <v>15.55</v>
      </c>
      <c r="AT96" s="140">
        <v>15.8</v>
      </c>
      <c r="AU96" s="140">
        <v>16.8</v>
      </c>
      <c r="AV96" s="140">
        <v>19</v>
      </c>
      <c r="AW96" s="140">
        <v>21.2</v>
      </c>
      <c r="AX96" s="140">
        <v>23.2</v>
      </c>
      <c r="AY96" s="140">
        <v>26.5</v>
      </c>
      <c r="AZ96" s="140">
        <v>31.4</v>
      </c>
      <c r="BA96" s="140">
        <v>38.6</v>
      </c>
      <c r="BC96" s="111">
        <f t="shared" si="57"/>
        <v>-0.39999999999999858</v>
      </c>
      <c r="BD96" s="111">
        <f t="shared" si="44"/>
        <v>-0.39999999999999858</v>
      </c>
      <c r="BE96" s="111">
        <f t="shared" si="45"/>
        <v>-0.30000000000000071</v>
      </c>
      <c r="BF96" s="111">
        <f t="shared" si="46"/>
        <v>-0.29999999999999893</v>
      </c>
      <c r="BG96" s="111">
        <f t="shared" si="47"/>
        <v>-0.34999999999999964</v>
      </c>
      <c r="BH96" s="111">
        <f t="shared" si="48"/>
        <v>-0.19999999999999929</v>
      </c>
      <c r="BI96" s="111">
        <f t="shared" si="49"/>
        <v>0.10000000000000142</v>
      </c>
      <c r="BJ96" s="111">
        <f t="shared" si="50"/>
        <v>0.19999999999999929</v>
      </c>
      <c r="BK96" s="111">
        <f t="shared" si="51"/>
        <v>0.30000000000000071</v>
      </c>
      <c r="BL96" s="111">
        <f t="shared" si="52"/>
        <v>0.30000000000000071</v>
      </c>
      <c r="BM96" s="111">
        <f t="shared" si="53"/>
        <v>0.19999999999999929</v>
      </c>
      <c r="BN96" s="111">
        <f t="shared" si="54"/>
        <v>9.9999999999997868E-2</v>
      </c>
      <c r="BO96" s="111">
        <f t="shared" si="55"/>
        <v>-0.29999999999999716</v>
      </c>
      <c r="BR96" s="120">
        <v>5.0582871604155201E-3</v>
      </c>
      <c r="BS96" s="120">
        <v>4.4940242586752228E-3</v>
      </c>
      <c r="BT96" s="120">
        <v>4.4244723021622202E-3</v>
      </c>
      <c r="BU96" s="120">
        <v>4.4636797392323532E-3</v>
      </c>
      <c r="BV96" s="120">
        <v>4.6332031361710335E-3</v>
      </c>
      <c r="BW96" s="120">
        <v>4.8047659569660514E-3</v>
      </c>
      <c r="BX96" s="120">
        <v>5.3104270163840282E-3</v>
      </c>
      <c r="BY96" s="120">
        <v>6.4425942908683705E-3</v>
      </c>
      <c r="BZ96" s="120">
        <v>7.6524441152847908E-3</v>
      </c>
      <c r="CA96" s="120">
        <v>8.8623239551536125E-3</v>
      </c>
      <c r="CB96" s="120">
        <v>1.1185224412757374E-2</v>
      </c>
      <c r="CC96" s="120">
        <v>1.5589256870192181E-2</v>
      </c>
      <c r="CD96" s="120">
        <v>2.5560342619961107E-2</v>
      </c>
      <c r="CF96" s="120">
        <v>0.19009593617922921</v>
      </c>
      <c r="CG96" s="120">
        <v>0.16106155105231132</v>
      </c>
      <c r="CH96" s="120">
        <v>0.15503144927136989</v>
      </c>
      <c r="CI96" s="120">
        <v>0.15301319740399527</v>
      </c>
      <c r="CJ96" s="120">
        <v>0.15549305930188956</v>
      </c>
      <c r="CK96" s="120">
        <v>0.157970523875374</v>
      </c>
      <c r="CL96" s="120">
        <v>0.1679371869416719</v>
      </c>
      <c r="CM96" s="120">
        <v>0.18988965519784096</v>
      </c>
      <c r="CN96" s="120">
        <v>0.21185493467008051</v>
      </c>
      <c r="CO96" s="120">
        <v>0.23183073226463799</v>
      </c>
      <c r="CP96" s="120">
        <v>0.26479027037297836</v>
      </c>
      <c r="CQ96" s="120">
        <v>0.31373251053570955</v>
      </c>
      <c r="CR96" s="120">
        <v>0.38565351060999115</v>
      </c>
    </row>
    <row r="97" spans="1:96" ht="12.75" x14ac:dyDescent="0.2">
      <c r="A97">
        <v>1.196</v>
      </c>
      <c r="B97">
        <v>1.147</v>
      </c>
      <c r="C97">
        <v>0.93700000000000006</v>
      </c>
      <c r="D97">
        <v>0.98299999999999998</v>
      </c>
      <c r="E97">
        <v>0.83699999999999997</v>
      </c>
      <c r="F97" s="131">
        <v>0.876</v>
      </c>
      <c r="G97" s="139">
        <v>0.94</v>
      </c>
      <c r="H97" s="132">
        <v>0.95799999999999996</v>
      </c>
      <c r="I97" s="132">
        <v>1.0489999999999999</v>
      </c>
      <c r="J97" s="132">
        <v>0.93</v>
      </c>
      <c r="K97" s="136">
        <v>0.88</v>
      </c>
      <c r="L97" s="132">
        <v>0.88</v>
      </c>
      <c r="M97" s="138">
        <v>0.85099999999999998</v>
      </c>
      <c r="N97" s="136">
        <v>0.96599999999999997</v>
      </c>
      <c r="O97" s="139">
        <v>1.0940000000000001</v>
      </c>
      <c r="P97" s="139">
        <v>1.091</v>
      </c>
      <c r="Q97" s="139">
        <v>0.98</v>
      </c>
      <c r="R97" s="139">
        <v>0.98699999999999999</v>
      </c>
      <c r="S97" s="139">
        <v>0.96699999999999997</v>
      </c>
      <c r="T97" s="139">
        <v>0.96499999999999997</v>
      </c>
      <c r="U97" s="139">
        <v>0.90400000000000003</v>
      </c>
      <c r="V97" s="139">
        <f t="shared" si="29"/>
        <v>0.91400000000000003</v>
      </c>
      <c r="W97" s="139">
        <f t="shared" si="30"/>
        <v>1.004</v>
      </c>
      <c r="X97" s="139">
        <v>0.89900000000000002</v>
      </c>
      <c r="Y97" s="139">
        <v>0.91900000000000004</v>
      </c>
      <c r="Z97" s="139">
        <v>0.96099999999999997</v>
      </c>
      <c r="AA97" s="139">
        <v>0.98199999999999998</v>
      </c>
      <c r="AB97" s="139">
        <v>0.96099999999999997</v>
      </c>
      <c r="AC97" s="139">
        <v>0.95899999999999996</v>
      </c>
      <c r="AD97" s="156">
        <v>0.94399999999999995</v>
      </c>
      <c r="AE97" s="156">
        <v>0.76300000000000001</v>
      </c>
      <c r="AF97" s="156">
        <v>0.89300000000000002</v>
      </c>
      <c r="AG97" s="139">
        <v>0.68500000000000005</v>
      </c>
      <c r="AH97" s="139">
        <v>0.60199999999999998</v>
      </c>
      <c r="AI97" s="139">
        <v>0.64600000000000002</v>
      </c>
      <c r="AJ97" s="139">
        <v>0.627</v>
      </c>
      <c r="AK97" s="139">
        <v>0.58899999999999997</v>
      </c>
      <c r="AN97" t="s">
        <v>101</v>
      </c>
      <c r="AO97" s="140">
        <v>20.8</v>
      </c>
      <c r="AP97" s="140">
        <v>18.2</v>
      </c>
      <c r="AQ97" s="140">
        <v>17.5</v>
      </c>
      <c r="AR97" s="140">
        <v>17.2</v>
      </c>
      <c r="AS97" s="129">
        <f t="shared" si="56"/>
        <v>17.25</v>
      </c>
      <c r="AT97" s="140">
        <v>17.3</v>
      </c>
      <c r="AU97" s="140">
        <v>17.7</v>
      </c>
      <c r="AV97" s="140">
        <v>19</v>
      </c>
      <c r="AW97" s="140">
        <v>20.5</v>
      </c>
      <c r="AX97" s="140">
        <v>21.9</v>
      </c>
      <c r="AY97" s="140">
        <v>24.5</v>
      </c>
      <c r="AZ97" s="140">
        <v>28.4</v>
      </c>
      <c r="BA97" s="140">
        <v>34.1</v>
      </c>
      <c r="BC97" s="111">
        <f t="shared" si="57"/>
        <v>-0.59999999999999787</v>
      </c>
      <c r="BD97" s="111">
        <f t="shared" si="44"/>
        <v>-0.5</v>
      </c>
      <c r="BE97" s="111">
        <f t="shared" si="45"/>
        <v>-0.39999999999999858</v>
      </c>
      <c r="BF97" s="111">
        <f t="shared" si="46"/>
        <v>-0.40000000000000213</v>
      </c>
      <c r="BG97" s="111">
        <f t="shared" si="47"/>
        <v>-0.25</v>
      </c>
      <c r="BH97" s="111">
        <f t="shared" si="48"/>
        <v>-9.9999999999997868E-2</v>
      </c>
      <c r="BI97" s="111">
        <f t="shared" si="49"/>
        <v>9.9999999999997868E-2</v>
      </c>
      <c r="BJ97" s="111">
        <f t="shared" si="50"/>
        <v>0.60000000000000142</v>
      </c>
      <c r="BK97" s="111">
        <f t="shared" si="51"/>
        <v>0.80000000000000071</v>
      </c>
      <c r="BL97" s="111">
        <f t="shared" si="52"/>
        <v>0.89999999999999858</v>
      </c>
      <c r="BM97" s="111">
        <f t="shared" si="53"/>
        <v>1.1000000000000014</v>
      </c>
      <c r="BN97" s="111">
        <f t="shared" si="54"/>
        <v>1.2999999999999972</v>
      </c>
      <c r="BO97" s="111">
        <f t="shared" si="55"/>
        <v>1.3000000000000043</v>
      </c>
      <c r="BR97" s="120">
        <v>7.0002667451126857E-3</v>
      </c>
      <c r="BS97" s="120">
        <v>6.843208573127083E-3</v>
      </c>
      <c r="BT97" s="120">
        <v>6.6783582872057086E-3</v>
      </c>
      <c r="BU97" s="120">
        <v>6.5783902635542461E-3</v>
      </c>
      <c r="BV97" s="120">
        <v>6.4995801453259167E-3</v>
      </c>
      <c r="BW97" s="120">
        <v>6.4286504954975858E-3</v>
      </c>
      <c r="BX97" s="120">
        <v>6.3427333772912726E-3</v>
      </c>
      <c r="BY97" s="120">
        <v>6.7342427577662435E-3</v>
      </c>
      <c r="BZ97" s="120">
        <v>7.4289201707289643E-3</v>
      </c>
      <c r="CA97" s="120">
        <v>8.1913682920037763E-3</v>
      </c>
      <c r="CB97" s="120">
        <v>9.9553481304177939E-3</v>
      </c>
      <c r="CC97" s="120">
        <v>1.3370495515660955E-2</v>
      </c>
      <c r="CD97" s="120">
        <v>2.111802599586184E-2</v>
      </c>
      <c r="CF97" s="120">
        <v>0.25121068206987557</v>
      </c>
      <c r="CG97" s="120">
        <v>0.23431296736228444</v>
      </c>
      <c r="CH97" s="120">
        <v>0.22355936624156875</v>
      </c>
      <c r="CI97" s="120">
        <v>0.21549744068457025</v>
      </c>
      <c r="CJ97" s="120">
        <v>0.20849558597191553</v>
      </c>
      <c r="CK97" s="120">
        <v>0.20209392725302169</v>
      </c>
      <c r="CL97" s="120">
        <v>0.19184074689803116</v>
      </c>
      <c r="CM97" s="120">
        <v>0.19003503233061017</v>
      </c>
      <c r="CN97" s="120">
        <v>0.19707349803809418</v>
      </c>
      <c r="CO97" s="120">
        <v>0.20543089239008727</v>
      </c>
      <c r="CP97" s="120">
        <v>0.2262530576869152</v>
      </c>
      <c r="CQ97" s="120">
        <v>0.25874822585486829</v>
      </c>
      <c r="CR97" s="120">
        <v>0.30694494549850326</v>
      </c>
    </row>
    <row r="98" spans="1:96" ht="12.75" x14ac:dyDescent="0.2">
      <c r="A98">
        <v>1.167</v>
      </c>
      <c r="B98">
        <v>1.1180000000000001</v>
      </c>
      <c r="C98">
        <v>0.875</v>
      </c>
      <c r="D98">
        <v>0.93500000000000005</v>
      </c>
      <c r="E98">
        <v>0.78800000000000003</v>
      </c>
      <c r="F98" s="131">
        <v>0.83499999999999996</v>
      </c>
      <c r="G98" s="139">
        <v>0.89300000000000002</v>
      </c>
      <c r="H98" s="132">
        <v>0.91200000000000003</v>
      </c>
      <c r="I98" s="132">
        <v>0.999</v>
      </c>
      <c r="J98" s="132">
        <v>0.874</v>
      </c>
      <c r="K98" s="136">
        <v>0.81799999999999995</v>
      </c>
      <c r="L98" s="132">
        <v>0.82199999999999995</v>
      </c>
      <c r="M98" s="138">
        <v>0.79500000000000004</v>
      </c>
      <c r="N98" s="136">
        <v>0.91400000000000003</v>
      </c>
      <c r="O98" s="139">
        <v>1.0409999999999999</v>
      </c>
      <c r="P98" s="139">
        <v>1.036</v>
      </c>
      <c r="Q98" s="139">
        <v>0.92600000000000005</v>
      </c>
      <c r="R98" s="139">
        <v>0.93300000000000005</v>
      </c>
      <c r="S98" s="139">
        <v>0.91300000000000003</v>
      </c>
      <c r="T98" s="139">
        <v>0.91100000000000003</v>
      </c>
      <c r="U98" s="139">
        <v>0.85199999999999998</v>
      </c>
      <c r="V98" s="139">
        <f t="shared" si="29"/>
        <v>0.86199999999999999</v>
      </c>
      <c r="W98" s="139">
        <f t="shared" si="30"/>
        <v>0.95199999999999996</v>
      </c>
      <c r="X98" s="139">
        <v>0.84899999999999998</v>
      </c>
      <c r="Y98" s="139">
        <v>0.874</v>
      </c>
      <c r="Z98" s="139">
        <v>0.91600000000000004</v>
      </c>
      <c r="AA98" s="139">
        <v>0.94199999999999995</v>
      </c>
      <c r="AB98" s="139">
        <v>0.91900000000000004</v>
      </c>
      <c r="AC98" s="139">
        <v>0.91800000000000004</v>
      </c>
      <c r="AD98" s="156">
        <v>0.90400000000000003</v>
      </c>
      <c r="AE98" s="156">
        <v>0.71699999999999997</v>
      </c>
      <c r="AF98" s="156">
        <v>0.85</v>
      </c>
      <c r="AG98" s="139">
        <v>0.63700000000000001</v>
      </c>
      <c r="AH98" s="139">
        <v>0.55900000000000005</v>
      </c>
      <c r="AI98" s="139">
        <v>0.61499999999999999</v>
      </c>
      <c r="AJ98" s="139">
        <v>0.59599999999999997</v>
      </c>
      <c r="AK98" s="139">
        <v>0.56200000000000006</v>
      </c>
      <c r="AN98" t="s">
        <v>102</v>
      </c>
      <c r="AO98" s="140">
        <v>22.2</v>
      </c>
      <c r="AP98" s="140">
        <v>19.8</v>
      </c>
      <c r="AQ98" s="140">
        <v>19.100000000000001</v>
      </c>
      <c r="AR98" s="140">
        <v>18.7</v>
      </c>
      <c r="AS98" s="129">
        <f t="shared" si="56"/>
        <v>18.600000000000001</v>
      </c>
      <c r="AT98" s="140">
        <v>18.5</v>
      </c>
      <c r="AU98" s="140">
        <v>18.600000000000001</v>
      </c>
      <c r="AV98" s="140">
        <v>19.2</v>
      </c>
      <c r="AW98" s="140">
        <v>20.100000000000001</v>
      </c>
      <c r="AX98" s="140">
        <v>21.1</v>
      </c>
      <c r="AY98" s="140">
        <v>23</v>
      </c>
      <c r="AZ98" s="140">
        <v>26.1</v>
      </c>
      <c r="BA98" s="140">
        <v>30.7</v>
      </c>
      <c r="BC98" s="111">
        <f t="shared" si="57"/>
        <v>-0.5</v>
      </c>
      <c r="BD98" s="111">
        <f t="shared" si="44"/>
        <v>-0.39999999999999858</v>
      </c>
      <c r="BE98" s="111">
        <f t="shared" si="45"/>
        <v>-0.39999999999999858</v>
      </c>
      <c r="BF98" s="111">
        <f t="shared" si="46"/>
        <v>-0.30000000000000071</v>
      </c>
      <c r="BG98" s="111">
        <f t="shared" si="47"/>
        <v>-0.19999999999999929</v>
      </c>
      <c r="BH98" s="111">
        <f t="shared" si="48"/>
        <v>-0.10000000000000142</v>
      </c>
      <c r="BI98" s="111">
        <f t="shared" si="49"/>
        <v>0.10000000000000142</v>
      </c>
      <c r="BJ98" s="111">
        <f t="shared" si="50"/>
        <v>0.5</v>
      </c>
      <c r="BK98" s="111">
        <f t="shared" si="51"/>
        <v>0.70000000000000284</v>
      </c>
      <c r="BL98" s="111">
        <f t="shared" si="52"/>
        <v>0.90000000000000213</v>
      </c>
      <c r="BM98" s="111">
        <f t="shared" si="53"/>
        <v>1.1000000000000014</v>
      </c>
      <c r="BN98" s="111">
        <f t="shared" si="54"/>
        <v>1.4000000000000021</v>
      </c>
      <c r="BO98" s="111">
        <f t="shared" si="55"/>
        <v>1.5</v>
      </c>
      <c r="BR98" s="120">
        <v>7.3324615715332749E-3</v>
      </c>
      <c r="BS98" s="120">
        <v>7.1114813189393326E-3</v>
      </c>
      <c r="BT98" s="120">
        <v>7.0595263854090519E-3</v>
      </c>
      <c r="BU98" s="120">
        <v>6.9695793726508295E-3</v>
      </c>
      <c r="BV98" s="120">
        <v>6.9287651899308158E-3</v>
      </c>
      <c r="BW98" s="120">
        <v>6.8827735572032341E-3</v>
      </c>
      <c r="BX98" s="120">
        <v>6.9345617679951264E-3</v>
      </c>
      <c r="BY98" s="120">
        <v>7.1466803167505519E-3</v>
      </c>
      <c r="BZ98" s="120">
        <v>7.6253266207927965E-3</v>
      </c>
      <c r="CA98" s="120">
        <v>8.3147129311507018E-3</v>
      </c>
      <c r="CB98" s="120">
        <v>9.7308900142454337E-3</v>
      </c>
      <c r="CC98" s="120">
        <v>1.276770365619613E-2</v>
      </c>
      <c r="CD98" s="120">
        <v>1.9769795638360926E-2</v>
      </c>
      <c r="CF98" s="120">
        <v>0.25483328013746426</v>
      </c>
      <c r="CG98" s="120">
        <v>0.23564707785578712</v>
      </c>
      <c r="CH98" s="120">
        <v>0.22883229044258266</v>
      </c>
      <c r="CI98" s="120">
        <v>0.22113167208539239</v>
      </c>
      <c r="CJ98" s="120">
        <v>0.21538721475417053</v>
      </c>
      <c r="CK98" s="120">
        <v>0.2097644838696659</v>
      </c>
      <c r="CL98" s="120">
        <v>0.20362205862807398</v>
      </c>
      <c r="CM98" s="120">
        <v>0.19596847938923032</v>
      </c>
      <c r="CN98" s="120">
        <v>0.19670160332381478</v>
      </c>
      <c r="CO98" s="120">
        <v>0.20299503516660522</v>
      </c>
      <c r="CP98" s="120">
        <v>0.21547237950251086</v>
      </c>
      <c r="CQ98" s="120">
        <v>0.24122801328756147</v>
      </c>
      <c r="CR98" s="120">
        <v>0.28158280704041794</v>
      </c>
    </row>
    <row r="99" spans="1:96" ht="12.75" x14ac:dyDescent="0.2">
      <c r="W99" s="139"/>
      <c r="X99" s="139"/>
      <c r="Y99" s="139"/>
      <c r="Z99" s="139"/>
      <c r="AA99" s="139"/>
      <c r="AB99" s="139"/>
      <c r="AC99" s="139"/>
      <c r="AG99" s="139"/>
      <c r="AH99" s="139"/>
      <c r="AI99" s="139"/>
      <c r="AJ99" s="139"/>
      <c r="AK99" s="139"/>
      <c r="AN99" t="s">
        <v>103</v>
      </c>
      <c r="AO99" s="140">
        <v>23</v>
      </c>
      <c r="AP99" s="140">
        <v>20.8</v>
      </c>
      <c r="AQ99" s="140">
        <v>20.100000000000001</v>
      </c>
      <c r="AR99" s="140">
        <v>19.7</v>
      </c>
      <c r="AS99" s="129">
        <f t="shared" si="56"/>
        <v>19.5</v>
      </c>
      <c r="AT99" s="140">
        <v>19.3</v>
      </c>
      <c r="AU99" s="140">
        <v>19.100000000000001</v>
      </c>
      <c r="AV99" s="140">
        <v>19.2</v>
      </c>
      <c r="AW99" s="140">
        <v>19.7</v>
      </c>
      <c r="AX99" s="140">
        <v>20.3</v>
      </c>
      <c r="AY99" s="140">
        <v>21.7</v>
      </c>
      <c r="AZ99" s="140">
        <v>24.2</v>
      </c>
      <c r="BA99" s="140">
        <v>28.2</v>
      </c>
      <c r="BC99" s="111">
        <f t="shared" si="57"/>
        <v>-0.5</v>
      </c>
      <c r="BD99" s="111">
        <f t="shared" si="44"/>
        <v>-0.39999999999999858</v>
      </c>
      <c r="BE99" s="111">
        <f t="shared" si="45"/>
        <v>-0.39999999999999858</v>
      </c>
      <c r="BF99" s="111">
        <f t="shared" si="46"/>
        <v>-0.30000000000000071</v>
      </c>
      <c r="BG99" s="111">
        <f t="shared" si="47"/>
        <v>-0.19999999999999929</v>
      </c>
      <c r="BH99" s="111">
        <f t="shared" si="48"/>
        <v>-9.9999999999997868E-2</v>
      </c>
      <c r="BI99" s="111">
        <f t="shared" si="49"/>
        <v>0</v>
      </c>
      <c r="BJ99" s="111">
        <f t="shared" si="50"/>
        <v>0.19999999999999929</v>
      </c>
      <c r="BK99" s="111">
        <f t="shared" si="51"/>
        <v>0.39999999999999858</v>
      </c>
      <c r="BL99" s="111">
        <f t="shared" si="52"/>
        <v>0.5</v>
      </c>
      <c r="BM99" s="111">
        <f t="shared" si="53"/>
        <v>0.69999999999999929</v>
      </c>
      <c r="BN99" s="111">
        <f t="shared" si="54"/>
        <v>0.89999999999999858</v>
      </c>
      <c r="BO99" s="111">
        <f t="shared" si="55"/>
        <v>1.1999999999999993</v>
      </c>
      <c r="BR99" s="120">
        <v>7.6108998088653575E-3</v>
      </c>
      <c r="BS99" s="120">
        <v>7.5183657691206031E-3</v>
      </c>
      <c r="BT99" s="120">
        <v>7.4386049289711991E-3</v>
      </c>
      <c r="BU99" s="120">
        <v>7.4600007299695575E-3</v>
      </c>
      <c r="BV99" s="120">
        <v>7.4068025480874856E-3</v>
      </c>
      <c r="BW99" s="120">
        <v>7.3472326476155831E-3</v>
      </c>
      <c r="BX99" s="120">
        <v>7.169070004237079E-3</v>
      </c>
      <c r="BY99" s="120">
        <v>7.2398863295450719E-3</v>
      </c>
      <c r="BZ99" s="120">
        <v>7.6254574891305368E-3</v>
      </c>
      <c r="CA99" s="120">
        <v>8.0531469932176164E-3</v>
      </c>
      <c r="CB99" s="120">
        <v>9.3059953623630381E-3</v>
      </c>
      <c r="CC99" s="120">
        <v>1.2012799388465899E-2</v>
      </c>
      <c r="CD99" s="120">
        <v>1.8678515303431217E-2</v>
      </c>
      <c r="CF99" s="120">
        <v>0.25386421750429944</v>
      </c>
      <c r="CG99" s="120">
        <v>0.23940476790048879</v>
      </c>
      <c r="CH99" s="120">
        <v>0.23166958556158296</v>
      </c>
      <c r="CI99" s="120">
        <v>0.22754968054522848</v>
      </c>
      <c r="CJ99" s="120">
        <v>0.22134172907926525</v>
      </c>
      <c r="CK99" s="120">
        <v>0.21525310984628093</v>
      </c>
      <c r="CL99" s="120">
        <v>0.20215906512445944</v>
      </c>
      <c r="CM99" s="120">
        <v>0.19068992498608037</v>
      </c>
      <c r="CN99" s="120">
        <v>0.18904346849819889</v>
      </c>
      <c r="CO99" s="120">
        <v>0.18890209179192699</v>
      </c>
      <c r="CP99" s="120">
        <v>0.19821232525416821</v>
      </c>
      <c r="CQ99" s="120">
        <v>0.21862596929174288</v>
      </c>
      <c r="CR99" s="120">
        <v>0.25711295335606921</v>
      </c>
    </row>
    <row r="100" spans="1:96" ht="12.75" x14ac:dyDescent="0.2">
      <c r="AN100" t="s">
        <v>104</v>
      </c>
      <c r="AO100" s="140">
        <v>23.5</v>
      </c>
      <c r="AP100" s="140">
        <v>21.4</v>
      </c>
      <c r="AQ100" s="140">
        <v>20.8</v>
      </c>
      <c r="AR100" s="140">
        <v>20.3</v>
      </c>
      <c r="AS100" s="129">
        <f t="shared" si="56"/>
        <v>20</v>
      </c>
      <c r="AT100" s="140">
        <v>19.7</v>
      </c>
      <c r="AU100" s="140">
        <v>19.399999999999999</v>
      </c>
      <c r="AV100" s="140">
        <v>19.2</v>
      </c>
      <c r="AW100" s="140">
        <v>19.3</v>
      </c>
      <c r="AX100" s="140">
        <v>19.600000000000001</v>
      </c>
      <c r="AY100" s="140">
        <v>20.5</v>
      </c>
      <c r="AZ100" s="140">
        <v>22.5</v>
      </c>
      <c r="BA100" s="140">
        <v>25.9</v>
      </c>
      <c r="BC100" s="111">
        <f t="shared" si="57"/>
        <v>-0.5</v>
      </c>
      <c r="BD100" s="111">
        <f t="shared" si="44"/>
        <v>-0.5</v>
      </c>
      <c r="BE100" s="111">
        <f t="shared" si="45"/>
        <v>-0.39999999999999858</v>
      </c>
      <c r="BF100" s="111">
        <f t="shared" si="46"/>
        <v>-0.30000000000000071</v>
      </c>
      <c r="BG100" s="111">
        <f t="shared" si="47"/>
        <v>-0.30000000000000071</v>
      </c>
      <c r="BH100" s="111">
        <f t="shared" si="48"/>
        <v>-0.30000000000000071</v>
      </c>
      <c r="BI100" s="111">
        <f t="shared" si="49"/>
        <v>-0.20000000000000284</v>
      </c>
      <c r="BJ100" s="111">
        <f t="shared" si="50"/>
        <v>0</v>
      </c>
      <c r="BK100" s="111">
        <f t="shared" si="51"/>
        <v>0.10000000000000142</v>
      </c>
      <c r="BL100" s="111">
        <f t="shared" si="52"/>
        <v>0.10000000000000142</v>
      </c>
      <c r="BM100" s="111">
        <f t="shared" si="53"/>
        <v>0.19999999999999929</v>
      </c>
      <c r="BN100" s="111">
        <f t="shared" si="54"/>
        <v>0.30000000000000071</v>
      </c>
      <c r="BO100" s="111">
        <f t="shared" si="55"/>
        <v>0.39999999999999858</v>
      </c>
      <c r="BR100" s="120">
        <v>7.8942004828485273E-3</v>
      </c>
      <c r="BS100" s="120">
        <v>7.6909314062649356E-3</v>
      </c>
      <c r="BT100" s="120">
        <v>7.8224673321532403E-3</v>
      </c>
      <c r="BU100" s="120">
        <v>7.6201636459000237E-3</v>
      </c>
      <c r="BV100" s="120">
        <v>7.5113833136211802E-3</v>
      </c>
      <c r="BW100" s="120">
        <v>7.3966004072903184E-3</v>
      </c>
      <c r="BX100" s="120">
        <v>7.4714024930485415E-3</v>
      </c>
      <c r="BY100" s="120">
        <v>7.5626028669633586E-3</v>
      </c>
      <c r="BZ100" s="120">
        <v>7.6589959758902688E-3</v>
      </c>
      <c r="CA100" s="120">
        <v>8.0144069825290095E-3</v>
      </c>
      <c r="CB100" s="120">
        <v>8.9087672831088399E-3</v>
      </c>
      <c r="CC100" s="120">
        <v>1.1294006326958664E-2</v>
      </c>
      <c r="CD100" s="120">
        <v>1.7067445479537133E-2</v>
      </c>
      <c r="CF100" s="120">
        <v>0.25374987565397822</v>
      </c>
      <c r="CG100" s="120">
        <v>0.23586201944257532</v>
      </c>
      <c r="CH100" s="120">
        <v>0.2349545023762955</v>
      </c>
      <c r="CI100" s="120">
        <v>0.22391519719809222</v>
      </c>
      <c r="CJ100" s="120">
        <v>0.2162362023271821</v>
      </c>
      <c r="CK100" s="120">
        <v>0.20875085897028145</v>
      </c>
      <c r="CL100" s="120">
        <v>0.20335528449435064</v>
      </c>
      <c r="CM100" s="120">
        <v>0.19244566329117621</v>
      </c>
      <c r="CN100" s="120">
        <v>0.18339922627443367</v>
      </c>
      <c r="CO100" s="120">
        <v>0.18175055870240442</v>
      </c>
      <c r="CP100" s="120">
        <v>0.18348287006258104</v>
      </c>
      <c r="CQ100" s="120">
        <v>0.19904718078206335</v>
      </c>
      <c r="CR100" s="120">
        <v>0.22779700102443265</v>
      </c>
    </row>
    <row r="101" spans="1:96" ht="12.75" x14ac:dyDescent="0.2">
      <c r="AN101" t="s">
        <v>105</v>
      </c>
      <c r="AO101" s="140">
        <v>23.8</v>
      </c>
      <c r="AP101" s="140">
        <v>21.8</v>
      </c>
      <c r="AQ101" s="140">
        <v>21.1</v>
      </c>
      <c r="AR101" s="140">
        <v>20.6</v>
      </c>
      <c r="AS101" s="129">
        <f t="shared" si="56"/>
        <v>20.3</v>
      </c>
      <c r="AT101" s="140">
        <v>20</v>
      </c>
      <c r="AU101" s="140">
        <v>19.600000000000001</v>
      </c>
      <c r="AV101" s="140">
        <v>19.100000000000001</v>
      </c>
      <c r="AW101" s="140">
        <v>19</v>
      </c>
      <c r="AX101" s="140">
        <v>19</v>
      </c>
      <c r="AY101" s="140">
        <v>19.600000000000001</v>
      </c>
      <c r="AZ101" s="140">
        <v>21.1</v>
      </c>
      <c r="BA101" s="140">
        <v>23.9</v>
      </c>
      <c r="BC101" s="111">
        <f t="shared" si="57"/>
        <v>-0.5</v>
      </c>
      <c r="BD101" s="111">
        <f t="shared" si="44"/>
        <v>-0.5</v>
      </c>
      <c r="BE101" s="111">
        <f t="shared" si="45"/>
        <v>-0.5</v>
      </c>
      <c r="BF101" s="111">
        <f t="shared" si="46"/>
        <v>-0.39999999999999858</v>
      </c>
      <c r="BG101" s="111">
        <f t="shared" si="47"/>
        <v>-0.39999999999999858</v>
      </c>
      <c r="BH101" s="111">
        <f t="shared" si="48"/>
        <v>-0.30000000000000071</v>
      </c>
      <c r="BI101" s="111">
        <f t="shared" si="49"/>
        <v>-0.29999999999999716</v>
      </c>
      <c r="BJ101" s="111">
        <f t="shared" si="50"/>
        <v>-0.19999999999999929</v>
      </c>
      <c r="BK101" s="111">
        <f t="shared" si="51"/>
        <v>-0.10000000000000142</v>
      </c>
      <c r="BL101" s="111">
        <f t="shared" si="52"/>
        <v>-0.10000000000000142</v>
      </c>
      <c r="BM101" s="111">
        <f t="shared" si="53"/>
        <v>0</v>
      </c>
      <c r="BN101" s="111">
        <f t="shared" si="54"/>
        <v>0</v>
      </c>
      <c r="BO101" s="111">
        <f t="shared" si="55"/>
        <v>9.9999999999997868E-2</v>
      </c>
      <c r="BR101" s="120">
        <v>8.0192300762164746E-3</v>
      </c>
      <c r="BS101" s="120">
        <v>7.9095672929617913E-3</v>
      </c>
      <c r="BT101" s="120">
        <v>7.5765620204122823E-3</v>
      </c>
      <c r="BU101" s="120">
        <v>7.6131107859923677E-3</v>
      </c>
      <c r="BV101" s="120">
        <v>7.692221800572112E-3</v>
      </c>
      <c r="BW101" s="120">
        <v>7.7615958664852868E-3</v>
      </c>
      <c r="BX101" s="120">
        <v>7.683627340554432E-3</v>
      </c>
      <c r="BY101" s="120">
        <v>7.5289595129572192E-3</v>
      </c>
      <c r="BZ101" s="120">
        <v>7.7876180657192977E-3</v>
      </c>
      <c r="CA101" s="120">
        <v>7.8958467154795035E-3</v>
      </c>
      <c r="CB101" s="120">
        <v>8.8313406218015963E-3</v>
      </c>
      <c r="CC101" s="120">
        <v>1.0793015663488802E-2</v>
      </c>
      <c r="CD101" s="120">
        <v>1.5850035844852634E-2</v>
      </c>
      <c r="CF101" s="120">
        <v>0.25058013818881331</v>
      </c>
      <c r="CG101" s="120">
        <v>0.23604194852169783</v>
      </c>
      <c r="CH101" s="120">
        <v>0.22085544015430356</v>
      </c>
      <c r="CI101" s="120">
        <v>0.21749887224224643</v>
      </c>
      <c r="CJ101" s="120">
        <v>0.21552934095783513</v>
      </c>
      <c r="CK101" s="120">
        <v>0.21341338029180665</v>
      </c>
      <c r="CL101" s="120">
        <v>0.2035319488252651</v>
      </c>
      <c r="CM101" s="120">
        <v>0.18634362625992343</v>
      </c>
      <c r="CN101" s="120">
        <v>0.18163738366458687</v>
      </c>
      <c r="CO101" s="120">
        <v>0.17433326988681899</v>
      </c>
      <c r="CP101" s="120">
        <v>0.17735761687537993</v>
      </c>
      <c r="CQ101" s="120">
        <v>0.18557892101866877</v>
      </c>
      <c r="CR101" s="120">
        <v>0.20677549137207679</v>
      </c>
    </row>
    <row r="102" spans="1:96" ht="12.75" x14ac:dyDescent="0.2">
      <c r="AN102" t="s">
        <v>106</v>
      </c>
      <c r="AO102" s="140">
        <v>23.9</v>
      </c>
      <c r="AP102" s="140">
        <v>22</v>
      </c>
      <c r="AQ102" s="140">
        <v>21.3</v>
      </c>
      <c r="AR102" s="140">
        <v>20.8</v>
      </c>
      <c r="AS102" s="129">
        <f t="shared" si="56"/>
        <v>20.5</v>
      </c>
      <c r="AT102" s="140">
        <v>20.2</v>
      </c>
      <c r="AU102" s="140">
        <v>19.7</v>
      </c>
      <c r="AV102" s="140">
        <v>19</v>
      </c>
      <c r="AW102" s="140">
        <v>18.7</v>
      </c>
      <c r="AX102" s="140">
        <v>18.600000000000001</v>
      </c>
      <c r="AY102" s="140">
        <v>18.8</v>
      </c>
      <c r="AZ102" s="140">
        <v>19.899999999999999</v>
      </c>
      <c r="BA102" s="140">
        <v>22.4</v>
      </c>
      <c r="BC102" s="111">
        <f t="shared" si="57"/>
        <v>-0.40000000000000213</v>
      </c>
      <c r="BD102" s="111">
        <f t="shared" si="44"/>
        <v>-0.5</v>
      </c>
      <c r="BE102" s="111">
        <f t="shared" si="45"/>
        <v>-0.5</v>
      </c>
      <c r="BF102" s="111">
        <f t="shared" si="46"/>
        <v>-0.39999999999999858</v>
      </c>
      <c r="BG102" s="111">
        <f t="shared" si="47"/>
        <v>-0.39999999999999858</v>
      </c>
      <c r="BH102" s="111">
        <f t="shared" si="48"/>
        <v>-0.30000000000000071</v>
      </c>
      <c r="BI102" s="111">
        <f t="shared" si="49"/>
        <v>-0.30000000000000071</v>
      </c>
      <c r="BJ102" s="111">
        <f t="shared" si="50"/>
        <v>-0.19999999999999929</v>
      </c>
      <c r="BK102" s="111">
        <f t="shared" si="51"/>
        <v>-0.19999999999999929</v>
      </c>
      <c r="BL102" s="111">
        <f t="shared" si="52"/>
        <v>-0.19999999999999929</v>
      </c>
      <c r="BM102" s="111">
        <f t="shared" si="53"/>
        <v>-0.19999999999999929</v>
      </c>
      <c r="BN102" s="111">
        <f t="shared" si="54"/>
        <v>-0.20000000000000284</v>
      </c>
      <c r="BO102" s="111">
        <f t="shared" si="55"/>
        <v>0</v>
      </c>
      <c r="BR102" s="120">
        <v>7.8825436933291707E-3</v>
      </c>
      <c r="BS102" s="120">
        <v>7.7957532900409573E-3</v>
      </c>
      <c r="BT102" s="120">
        <v>7.8079708789649321E-3</v>
      </c>
      <c r="BU102" s="120">
        <v>7.7684209675050143E-3</v>
      </c>
      <c r="BV102" s="120">
        <v>7.7913684149105147E-3</v>
      </c>
      <c r="BW102" s="120">
        <v>7.8066613611062615E-3</v>
      </c>
      <c r="BX102" s="120">
        <v>7.7055881388126222E-3</v>
      </c>
      <c r="BY102" s="120">
        <v>7.6313739048017087E-3</v>
      </c>
      <c r="BZ102" s="120">
        <v>7.6407851779120824E-3</v>
      </c>
      <c r="CA102" s="120">
        <v>8.0033518544138579E-3</v>
      </c>
      <c r="CB102" s="120">
        <v>8.3628988096659303E-3</v>
      </c>
      <c r="CC102" s="120">
        <v>1.0078651348631345E-2</v>
      </c>
      <c r="CD102" s="120">
        <v>1.5202937118982825E-2</v>
      </c>
      <c r="CF102" s="120">
        <v>0.24211468956383589</v>
      </c>
      <c r="CG102" s="120">
        <v>0.22869342523530531</v>
      </c>
      <c r="CH102" s="120">
        <v>0.224298940045559</v>
      </c>
      <c r="CI102" s="120">
        <v>0.21853143919623264</v>
      </c>
      <c r="CJ102" s="120">
        <v>0.21485839039491489</v>
      </c>
      <c r="CK102" s="120">
        <v>0.21117348790355875</v>
      </c>
      <c r="CL102" s="120">
        <v>0.20087959423058907</v>
      </c>
      <c r="CM102" s="120">
        <v>0.18603587483630937</v>
      </c>
      <c r="CN102" s="120">
        <v>0.17536649605964169</v>
      </c>
      <c r="CO102" s="120">
        <v>0.17412348594717064</v>
      </c>
      <c r="CP102" s="120">
        <v>0.16525856225981497</v>
      </c>
      <c r="CQ102" s="120">
        <v>0.1706411108143101</v>
      </c>
      <c r="CR102" s="120">
        <v>0.19575618487739288</v>
      </c>
    </row>
    <row r="103" spans="1:96" ht="12.75" x14ac:dyDescent="0.2">
      <c r="AN103" t="s">
        <v>79</v>
      </c>
      <c r="AO103" s="140">
        <v>23.9</v>
      </c>
      <c r="AP103" s="140">
        <v>22.1</v>
      </c>
      <c r="AQ103" s="140">
        <v>21.5</v>
      </c>
      <c r="AR103" s="140">
        <v>21</v>
      </c>
      <c r="AS103" s="129">
        <f t="shared" si="56"/>
        <v>20.6</v>
      </c>
      <c r="AT103" s="140">
        <v>20.2</v>
      </c>
      <c r="AU103" s="140">
        <v>19.7</v>
      </c>
      <c r="AV103" s="140">
        <v>18.899999999999999</v>
      </c>
      <c r="AW103" s="140">
        <v>18.399999999999999</v>
      </c>
      <c r="AX103" s="140">
        <v>18.2</v>
      </c>
      <c r="AY103" s="140">
        <v>18.3</v>
      </c>
      <c r="AZ103" s="140">
        <v>19.2</v>
      </c>
      <c r="BA103" s="140">
        <v>21.4</v>
      </c>
      <c r="BC103" s="111">
        <f t="shared" si="57"/>
        <v>-0.5</v>
      </c>
      <c r="BD103" s="111">
        <f t="shared" si="44"/>
        <v>-0.5</v>
      </c>
      <c r="BE103" s="111">
        <f t="shared" si="45"/>
        <v>-0.39999999999999858</v>
      </c>
      <c r="BF103" s="111">
        <f t="shared" si="46"/>
        <v>-0.39999999999999858</v>
      </c>
      <c r="BG103" s="111">
        <f t="shared" si="47"/>
        <v>-0.29999999999999716</v>
      </c>
      <c r="BH103" s="111">
        <f t="shared" si="48"/>
        <v>-0.40000000000000213</v>
      </c>
      <c r="BI103" s="111">
        <f t="shared" si="49"/>
        <v>-0.30000000000000071</v>
      </c>
      <c r="BJ103" s="111">
        <f t="shared" si="50"/>
        <v>-0.30000000000000071</v>
      </c>
      <c r="BK103" s="111">
        <f t="shared" si="51"/>
        <v>-0.30000000000000071</v>
      </c>
      <c r="BL103" s="111">
        <f t="shared" si="52"/>
        <v>-0.30000000000000071</v>
      </c>
      <c r="BM103" s="111">
        <f t="shared" si="53"/>
        <v>-0.30000000000000071</v>
      </c>
      <c r="BN103" s="111">
        <f t="shared" si="54"/>
        <v>-0.19999999999999929</v>
      </c>
      <c r="BO103" s="111">
        <f t="shared" si="55"/>
        <v>-0.10000000000000142</v>
      </c>
      <c r="BR103" s="120">
        <v>7.8413561855979006E-3</v>
      </c>
      <c r="BS103" s="120">
        <v>7.806554240109476E-3</v>
      </c>
      <c r="BT103" s="120">
        <v>8.0112439392909813E-3</v>
      </c>
      <c r="BU103" s="120">
        <v>8.0013952915206823E-3</v>
      </c>
      <c r="BV103" s="120">
        <v>7.7330391299966503E-3</v>
      </c>
      <c r="BW103" s="120">
        <v>7.4529066728056649E-3</v>
      </c>
      <c r="BX103" s="120">
        <v>7.5992976711926818E-3</v>
      </c>
      <c r="BY103" s="120">
        <v>7.6295446883532861E-3</v>
      </c>
      <c r="BZ103" s="120">
        <v>7.5211597489857175E-3</v>
      </c>
      <c r="CA103" s="120">
        <v>7.6909660698022339E-3</v>
      </c>
      <c r="CB103" s="120">
        <v>8.6197342160609647E-3</v>
      </c>
      <c r="CC103" s="120">
        <v>1.0491868175779471E-2</v>
      </c>
      <c r="CD103" s="120">
        <v>1.5167123112688528E-2</v>
      </c>
      <c r="CF103" s="120">
        <v>0.23796458559112316</v>
      </c>
      <c r="CG103" s="120">
        <v>0.22635059446749756</v>
      </c>
      <c r="CH103" s="120">
        <v>0.22759725148277329</v>
      </c>
      <c r="CI103" s="120">
        <v>0.22267516991293851</v>
      </c>
      <c r="CJ103" s="120">
        <v>0.21068027369102735</v>
      </c>
      <c r="CK103" s="120">
        <v>0.1989228701512018</v>
      </c>
      <c r="CL103" s="120">
        <v>0.19569805617479655</v>
      </c>
      <c r="CM103" s="120">
        <v>0.18380300013054468</v>
      </c>
      <c r="CN103" s="120">
        <v>0.17058865229385367</v>
      </c>
      <c r="CO103" s="120">
        <v>0.16524540800093768</v>
      </c>
      <c r="CP103" s="120">
        <v>0.16864373143712114</v>
      </c>
      <c r="CQ103" s="120">
        <v>0.17606022322752299</v>
      </c>
      <c r="CR103" s="120">
        <v>0.19354361268481884</v>
      </c>
    </row>
    <row r="104" spans="1:96" ht="12.75" x14ac:dyDescent="0.2">
      <c r="AN104" t="s">
        <v>159</v>
      </c>
      <c r="AO104" s="140">
        <v>23.5</v>
      </c>
      <c r="AP104" s="140">
        <v>21.9</v>
      </c>
      <c r="AQ104" s="140">
        <v>21.3</v>
      </c>
      <c r="AR104" s="140">
        <v>20.8</v>
      </c>
      <c r="AS104" s="129">
        <f t="shared" si="56"/>
        <v>20.450000000000003</v>
      </c>
      <c r="AT104" s="140">
        <v>20.100000000000001</v>
      </c>
      <c r="AU104" s="140">
        <v>19.5</v>
      </c>
      <c r="AV104" s="140">
        <v>18.600000000000001</v>
      </c>
      <c r="AW104" s="140">
        <v>18</v>
      </c>
      <c r="AX104" s="140">
        <v>17.600000000000001</v>
      </c>
      <c r="AY104" s="140">
        <v>17.399999999999999</v>
      </c>
      <c r="AZ104" s="140">
        <v>17.7</v>
      </c>
      <c r="BA104" s="140">
        <v>19.100000000000001</v>
      </c>
      <c r="BC104" s="111">
        <f t="shared" si="57"/>
        <v>-0.5</v>
      </c>
      <c r="BD104" s="111">
        <f t="shared" si="44"/>
        <v>-0.5</v>
      </c>
      <c r="BE104" s="111">
        <f t="shared" si="45"/>
        <v>-0.5</v>
      </c>
      <c r="BF104" s="111">
        <f t="shared" si="46"/>
        <v>-0.5</v>
      </c>
      <c r="BG104" s="111">
        <f t="shared" si="47"/>
        <v>-0.34999999999999787</v>
      </c>
      <c r="BH104" s="111">
        <f t="shared" si="48"/>
        <v>-0.39999999999999858</v>
      </c>
      <c r="BI104" s="111">
        <f t="shared" si="49"/>
        <v>-0.39999999999999858</v>
      </c>
      <c r="BJ104" s="111">
        <f t="shared" si="50"/>
        <v>-0.39999999999999858</v>
      </c>
      <c r="BK104" s="111">
        <f t="shared" si="51"/>
        <v>-0.39999999999999858</v>
      </c>
      <c r="BL104" s="111">
        <f t="shared" si="52"/>
        <v>-0.39999999999999858</v>
      </c>
      <c r="BM104" s="111">
        <f t="shared" si="53"/>
        <v>-0.40000000000000213</v>
      </c>
      <c r="BN104" s="111">
        <f t="shared" si="54"/>
        <v>-0.30000000000000071</v>
      </c>
      <c r="BO104" s="111">
        <f t="shared" si="55"/>
        <v>-0.29999999999999716</v>
      </c>
      <c r="BR104" s="120">
        <v>7.1750387290544851E-3</v>
      </c>
      <c r="BS104" s="120">
        <v>7.2095306385553982E-3</v>
      </c>
      <c r="BT104" s="120">
        <v>7.0040503117290561E-3</v>
      </c>
      <c r="BU104" s="120">
        <v>6.9678114375420737E-3</v>
      </c>
      <c r="BV104" s="120">
        <v>7.2510617738239585E-3</v>
      </c>
      <c r="BW104" s="120">
        <v>7.5297664665544524E-3</v>
      </c>
      <c r="BX104" s="120">
        <v>7.3374079805312679E-3</v>
      </c>
      <c r="BY104" s="120">
        <v>7.3957597797095313E-3</v>
      </c>
      <c r="BZ104" s="120">
        <v>7.6583746232114147E-3</v>
      </c>
      <c r="CA104" s="120">
        <v>7.6901365547965032E-3</v>
      </c>
      <c r="CB104" s="120">
        <v>7.9305718936259744E-3</v>
      </c>
      <c r="CC104" s="120">
        <v>8.7445620501243014E-3</v>
      </c>
      <c r="CD104" s="120">
        <v>1.141431827781784E-2</v>
      </c>
      <c r="CF104" s="120">
        <v>0.21254359636076128</v>
      </c>
      <c r="CG104" s="120">
        <v>0.20422281890814453</v>
      </c>
      <c r="CH104" s="120">
        <v>0.19392661859752872</v>
      </c>
      <c r="CI104" s="120">
        <v>0.18898070388848703</v>
      </c>
      <c r="CJ104" s="120">
        <v>0.1932466883830054</v>
      </c>
      <c r="CK104" s="120">
        <v>0.19726232217768291</v>
      </c>
      <c r="CL104" s="120">
        <v>0.18512502533465033</v>
      </c>
      <c r="CM104" s="120">
        <v>0.17464305255769361</v>
      </c>
      <c r="CN104" s="120">
        <v>0.17056704483700394</v>
      </c>
      <c r="CO104" s="120">
        <v>0.16223114217573456</v>
      </c>
      <c r="CP104" s="120">
        <v>0.15198956389204263</v>
      </c>
      <c r="CQ104" s="120">
        <v>0.14341075475173487</v>
      </c>
      <c r="CR104" s="120">
        <v>0.14190402339651975</v>
      </c>
    </row>
    <row r="105" spans="1:96" ht="12.75" x14ac:dyDescent="0.2">
      <c r="AN105" t="s">
        <v>107</v>
      </c>
      <c r="AO105" s="140">
        <v>22.8</v>
      </c>
      <c r="AP105" s="140">
        <v>21.4</v>
      </c>
      <c r="AQ105" s="140">
        <v>20.9</v>
      </c>
      <c r="AR105" s="140">
        <v>20.399999999999999</v>
      </c>
      <c r="AS105" s="129">
        <f t="shared" si="56"/>
        <v>20.049999999999997</v>
      </c>
      <c r="AT105" s="140">
        <v>19.7</v>
      </c>
      <c r="AU105" s="140">
        <v>19.100000000000001</v>
      </c>
      <c r="AV105" s="140">
        <v>18.2</v>
      </c>
      <c r="AW105" s="140">
        <v>17.5</v>
      </c>
      <c r="AX105" s="140">
        <v>17.100000000000001</v>
      </c>
      <c r="AY105" s="140">
        <v>16.600000000000001</v>
      </c>
      <c r="AZ105" s="140">
        <v>16.3</v>
      </c>
      <c r="BA105" s="140">
        <v>16.899999999999999</v>
      </c>
      <c r="BC105" s="111">
        <f t="shared" si="57"/>
        <v>-0.59999999999999787</v>
      </c>
      <c r="BD105" s="111">
        <f t="shared" si="44"/>
        <v>-0.60000000000000142</v>
      </c>
      <c r="BE105" s="111">
        <f t="shared" si="45"/>
        <v>-0.5</v>
      </c>
      <c r="BF105" s="111">
        <f t="shared" si="46"/>
        <v>-0.60000000000000142</v>
      </c>
      <c r="BG105" s="111">
        <f t="shared" si="47"/>
        <v>-0.55000000000000426</v>
      </c>
      <c r="BH105" s="111">
        <f t="shared" si="48"/>
        <v>-0.5</v>
      </c>
      <c r="BI105" s="111">
        <f t="shared" si="49"/>
        <v>-0.5</v>
      </c>
      <c r="BJ105" s="111">
        <f t="shared" si="50"/>
        <v>-0.5</v>
      </c>
      <c r="BK105" s="111">
        <f t="shared" si="51"/>
        <v>-0.5</v>
      </c>
      <c r="BL105" s="111">
        <f t="shared" si="52"/>
        <v>-0.5</v>
      </c>
      <c r="BM105" s="111">
        <f t="shared" si="53"/>
        <v>-0.39999999999999858</v>
      </c>
      <c r="BN105" s="111">
        <f t="shared" si="54"/>
        <v>-0.5</v>
      </c>
      <c r="BO105" s="111">
        <f t="shared" si="55"/>
        <v>-0.40000000000000213</v>
      </c>
      <c r="BR105" s="120">
        <v>6.94874313145103E-3</v>
      </c>
      <c r="BS105" s="120">
        <v>6.9403031202360859E-3</v>
      </c>
      <c r="BT105" s="120">
        <v>7.1895043743182311E-3</v>
      </c>
      <c r="BU105" s="120">
        <v>7.1601444106777525E-3</v>
      </c>
      <c r="BV105" s="120">
        <v>6.9884818965659538E-3</v>
      </c>
      <c r="BW105" s="120">
        <v>6.8090374810836872E-3</v>
      </c>
      <c r="BX105" s="120">
        <v>7.008731092515123E-3</v>
      </c>
      <c r="BY105" s="120">
        <v>7.2070341998455908E-3</v>
      </c>
      <c r="BZ105" s="120">
        <v>7.1515490614886355E-3</v>
      </c>
      <c r="CA105" s="120">
        <v>7.5653928934155158E-3</v>
      </c>
      <c r="CB105" s="120">
        <v>7.9363010456292606E-3</v>
      </c>
      <c r="CC105" s="120">
        <v>8.7383692437581276E-3</v>
      </c>
      <c r="CD105" s="120">
        <v>1.1431144795712273E-2</v>
      </c>
      <c r="CF105" s="120">
        <v>0.20813437803723719</v>
      </c>
      <c r="CG105" s="120">
        <v>0.19862012248664626</v>
      </c>
      <c r="CH105" s="120">
        <v>0.20172233112999413</v>
      </c>
      <c r="CI105" s="120">
        <v>0.19675583006452224</v>
      </c>
      <c r="CJ105" s="120">
        <v>0.18802025228554622</v>
      </c>
      <c r="CK105" s="120">
        <v>0.17948463790435493</v>
      </c>
      <c r="CL105" s="120">
        <v>0.17832288199245733</v>
      </c>
      <c r="CM105" s="120">
        <v>0.1716475450097886</v>
      </c>
      <c r="CN105" s="120">
        <v>0.16033527981644846</v>
      </c>
      <c r="CO105" s="120">
        <v>0.1608386860829886</v>
      </c>
      <c r="CP105" s="120">
        <v>0.15344204685804314</v>
      </c>
      <c r="CQ105" s="120">
        <v>0.14472437354965328</v>
      </c>
      <c r="CR105" s="120">
        <v>0.14394582987286747</v>
      </c>
    </row>
    <row r="106" spans="1:96" ht="12.75" x14ac:dyDescent="0.2">
      <c r="AN106" t="s">
        <v>108</v>
      </c>
      <c r="AO106" s="140">
        <v>22</v>
      </c>
      <c r="AP106" s="140">
        <v>20.8</v>
      </c>
      <c r="AQ106" s="140">
        <v>20.399999999999999</v>
      </c>
      <c r="AR106" s="140">
        <v>19.899999999999999</v>
      </c>
      <c r="AS106" s="129">
        <f t="shared" si="56"/>
        <v>19.600000000000001</v>
      </c>
      <c r="AT106" s="140">
        <v>19.3</v>
      </c>
      <c r="AU106" s="140">
        <v>18.7</v>
      </c>
      <c r="AV106" s="140">
        <v>17.8</v>
      </c>
      <c r="AW106" s="140">
        <v>17.100000000000001</v>
      </c>
      <c r="AX106" s="140">
        <v>16.600000000000001</v>
      </c>
      <c r="AY106" s="140">
        <v>15.9</v>
      </c>
      <c r="AZ106" s="140">
        <v>15.3</v>
      </c>
      <c r="BA106" s="140">
        <v>15</v>
      </c>
      <c r="BC106" s="111">
        <f t="shared" si="57"/>
        <v>-0.60000000000000142</v>
      </c>
      <c r="BD106" s="111">
        <f t="shared" si="44"/>
        <v>-0.69999999999999929</v>
      </c>
      <c r="BE106" s="111">
        <f t="shared" si="45"/>
        <v>-0.60000000000000142</v>
      </c>
      <c r="BF106" s="111">
        <f t="shared" si="46"/>
        <v>-0.70000000000000284</v>
      </c>
      <c r="BG106" s="111">
        <f t="shared" si="47"/>
        <v>-0.59999999999999787</v>
      </c>
      <c r="BH106" s="111">
        <f t="shared" si="48"/>
        <v>-0.59999999999999787</v>
      </c>
      <c r="BI106" s="111">
        <f t="shared" si="49"/>
        <v>-0.60000000000000142</v>
      </c>
      <c r="BJ106" s="111">
        <f t="shared" si="50"/>
        <v>-0.59999999999999787</v>
      </c>
      <c r="BK106" s="111">
        <f t="shared" si="51"/>
        <v>-0.59999999999999787</v>
      </c>
      <c r="BL106" s="111">
        <f t="shared" si="52"/>
        <v>-0.59999999999999787</v>
      </c>
      <c r="BM106" s="111">
        <f t="shared" si="53"/>
        <v>-0.59999999999999964</v>
      </c>
      <c r="BN106" s="111">
        <f t="shared" si="54"/>
        <v>-0.59999999999999964</v>
      </c>
      <c r="BO106" s="111">
        <f t="shared" si="55"/>
        <v>-0.5</v>
      </c>
      <c r="BR106" s="120">
        <v>6.5000325995374572E-3</v>
      </c>
      <c r="BS106" s="120">
        <v>6.5482510875165502E-3</v>
      </c>
      <c r="BT106" s="120">
        <v>6.4763892894646726E-3</v>
      </c>
      <c r="BU106" s="120">
        <v>6.4378364565388854E-3</v>
      </c>
      <c r="BV106" s="120">
        <v>6.6802804855971339E-3</v>
      </c>
      <c r="BW106" s="120">
        <v>6.922520657858134E-3</v>
      </c>
      <c r="BX106" s="120">
        <v>6.8216295548427031E-3</v>
      </c>
      <c r="BY106" s="120">
        <v>6.8805821696980478E-3</v>
      </c>
      <c r="BZ106" s="120">
        <v>7.1849891923437877E-3</v>
      </c>
      <c r="CA106" s="120">
        <v>7.0564378419904171E-3</v>
      </c>
      <c r="CB106" s="120">
        <v>7.2515679563455952E-3</v>
      </c>
      <c r="CC106" s="120">
        <v>8.068114997255349E-3</v>
      </c>
      <c r="CD106" s="120">
        <v>9.2419001294488899E-3</v>
      </c>
      <c r="CF106" s="120">
        <v>0.20231627279567296</v>
      </c>
      <c r="CG106" s="120">
        <v>0.19460381025621887</v>
      </c>
      <c r="CH106" s="120">
        <v>0.18831189693390205</v>
      </c>
      <c r="CI106" s="120">
        <v>0.18321572668956382</v>
      </c>
      <c r="CJ106" s="120">
        <v>0.18652566503164569</v>
      </c>
      <c r="CK106" s="120">
        <v>0.18974372917925658</v>
      </c>
      <c r="CL106" s="120">
        <v>0.18005751294539699</v>
      </c>
      <c r="CM106" s="120">
        <v>0.1697214983937653</v>
      </c>
      <c r="CN106" s="120">
        <v>0.16687561194055309</v>
      </c>
      <c r="CO106" s="120">
        <v>0.15505245185291505</v>
      </c>
      <c r="CP106" s="120">
        <v>0.14454034694287973</v>
      </c>
      <c r="CQ106" s="120">
        <v>0.1373721538620172</v>
      </c>
      <c r="CR106" s="120">
        <v>0.11876259651790422</v>
      </c>
    </row>
    <row r="107" spans="1:96" ht="12.75" x14ac:dyDescent="0.2">
      <c r="AN107" t="s">
        <v>109</v>
      </c>
      <c r="AO107" s="140">
        <v>21.5</v>
      </c>
      <c r="AP107" s="140">
        <v>20.5</v>
      </c>
      <c r="AQ107" s="140">
        <v>20.100000000000001</v>
      </c>
      <c r="AR107" s="140">
        <v>19.7</v>
      </c>
      <c r="AS107" s="129">
        <f t="shared" si="56"/>
        <v>19.350000000000001</v>
      </c>
      <c r="AT107" s="140">
        <v>19</v>
      </c>
      <c r="AU107" s="140">
        <v>18.5</v>
      </c>
      <c r="AV107" s="140">
        <v>17.600000000000001</v>
      </c>
      <c r="AW107" s="140">
        <v>16.899999999999999</v>
      </c>
      <c r="AX107" s="140">
        <v>16.399999999999999</v>
      </c>
      <c r="AY107" s="140">
        <v>15.6</v>
      </c>
      <c r="AZ107" s="140">
        <v>14.8</v>
      </c>
      <c r="BA107" s="140">
        <v>14.2</v>
      </c>
      <c r="BC107" s="111">
        <f t="shared" si="57"/>
        <v>-0.69999999999999929</v>
      </c>
      <c r="BD107" s="111">
        <f t="shared" si="44"/>
        <v>-0.69999999999999929</v>
      </c>
      <c r="BE107" s="111">
        <f t="shared" si="45"/>
        <v>-0.69999999999999929</v>
      </c>
      <c r="BF107" s="111">
        <f t="shared" si="46"/>
        <v>-0.69999999999999929</v>
      </c>
      <c r="BG107" s="111">
        <f t="shared" si="47"/>
        <v>-0.64999999999999858</v>
      </c>
      <c r="BH107" s="111">
        <f t="shared" si="48"/>
        <v>-0.69999999999999929</v>
      </c>
      <c r="BI107" s="111">
        <f t="shared" si="49"/>
        <v>-0.60000000000000142</v>
      </c>
      <c r="BJ107" s="111">
        <f t="shared" si="50"/>
        <v>-0.59999999999999787</v>
      </c>
      <c r="BK107" s="111">
        <f t="shared" si="51"/>
        <v>-0.60000000000000142</v>
      </c>
      <c r="BL107" s="111">
        <f t="shared" si="52"/>
        <v>-0.60000000000000142</v>
      </c>
      <c r="BM107" s="111">
        <f t="shared" si="53"/>
        <v>-0.70000000000000107</v>
      </c>
      <c r="BN107" s="111">
        <f t="shared" si="54"/>
        <v>-0.59999999999999964</v>
      </c>
      <c r="BO107" s="111">
        <f t="shared" si="55"/>
        <v>-0.5</v>
      </c>
      <c r="BR107" s="120">
        <v>6.2465637941123871E-3</v>
      </c>
      <c r="BS107" s="120">
        <v>6.4469508296604115E-3</v>
      </c>
      <c r="BT107" s="120">
        <v>6.5175626497840453E-3</v>
      </c>
      <c r="BU107" s="120">
        <v>6.7090690975499497E-3</v>
      </c>
      <c r="BV107" s="120">
        <v>6.4571776545674781E-3</v>
      </c>
      <c r="BW107" s="120">
        <v>6.1889192935210748E-3</v>
      </c>
      <c r="BX107" s="120">
        <v>6.5554799216865113E-3</v>
      </c>
      <c r="BY107" s="120">
        <v>6.7170147692187255E-3</v>
      </c>
      <c r="BZ107" s="120">
        <v>6.7183441052450325E-3</v>
      </c>
      <c r="CA107" s="120">
        <v>7.1409575848424651E-3</v>
      </c>
      <c r="CB107" s="120">
        <v>7.4082164202155512E-3</v>
      </c>
      <c r="CC107" s="120">
        <v>7.8689176651294251E-3</v>
      </c>
      <c r="CD107" s="120">
        <v>1.0367574751333892E-2</v>
      </c>
      <c r="CF107" s="120">
        <v>0.20148607959481959</v>
      </c>
      <c r="CG107" s="120">
        <v>0.19869976557096009</v>
      </c>
      <c r="CH107" s="120">
        <v>0.19637788403810721</v>
      </c>
      <c r="CI107" s="120">
        <v>0.19814996304573115</v>
      </c>
      <c r="CJ107" s="120">
        <v>0.18656971492836291</v>
      </c>
      <c r="CK107" s="120">
        <v>0.17507908186664764</v>
      </c>
      <c r="CL107" s="120">
        <v>0.17887960879183146</v>
      </c>
      <c r="CM107" s="120">
        <v>0.17106712812037431</v>
      </c>
      <c r="CN107" s="120">
        <v>0.16089615908146213</v>
      </c>
      <c r="CO107" s="120">
        <v>0.16175626993873915</v>
      </c>
      <c r="CP107" s="120">
        <v>0.1520448037596811</v>
      </c>
      <c r="CQ107" s="120">
        <v>0.13768528833428165</v>
      </c>
      <c r="CR107" s="120">
        <v>0.13695243137801841</v>
      </c>
    </row>
    <row r="108" spans="1:96" ht="12.75" x14ac:dyDescent="0.2">
      <c r="AN108" t="s">
        <v>110</v>
      </c>
      <c r="AO108" s="140">
        <v>21.1</v>
      </c>
      <c r="AP108" s="140">
        <v>20.2</v>
      </c>
      <c r="AQ108" s="140">
        <v>19.8</v>
      </c>
      <c r="AR108" s="140">
        <v>19.399999999999999</v>
      </c>
      <c r="AS108" s="129">
        <f t="shared" si="56"/>
        <v>19.100000000000001</v>
      </c>
      <c r="AT108" s="140">
        <v>18.8</v>
      </c>
      <c r="AU108" s="140">
        <v>18.3</v>
      </c>
      <c r="AV108" s="140">
        <v>17.399999999999999</v>
      </c>
      <c r="AW108" s="140">
        <v>16.7</v>
      </c>
      <c r="AX108" s="140">
        <v>16.2</v>
      </c>
      <c r="AY108" s="140">
        <v>15.4</v>
      </c>
      <c r="AZ108" s="140">
        <v>14.5</v>
      </c>
      <c r="BA108" s="140">
        <v>13.7</v>
      </c>
      <c r="BC108" s="111">
        <f t="shared" si="57"/>
        <v>-0.79999999999999716</v>
      </c>
      <c r="BD108" s="111">
        <f t="shared" si="44"/>
        <v>-0.69999999999999929</v>
      </c>
      <c r="BE108" s="111">
        <f t="shared" si="45"/>
        <v>-0.69999999999999929</v>
      </c>
      <c r="BF108" s="111">
        <f t="shared" si="46"/>
        <v>-0.80000000000000071</v>
      </c>
      <c r="BG108" s="111">
        <f t="shared" si="47"/>
        <v>-0.69999999999999929</v>
      </c>
      <c r="BH108" s="111">
        <f t="shared" si="48"/>
        <v>-0.69999999999999929</v>
      </c>
      <c r="BI108" s="111">
        <f t="shared" si="49"/>
        <v>-0.69999999999999929</v>
      </c>
      <c r="BJ108" s="111">
        <f t="shared" si="50"/>
        <v>-0.70000000000000284</v>
      </c>
      <c r="BK108" s="111">
        <f t="shared" si="51"/>
        <v>-0.69999999999999929</v>
      </c>
      <c r="BL108" s="111">
        <f t="shared" si="52"/>
        <v>-0.69999999999999929</v>
      </c>
      <c r="BM108" s="111">
        <f t="shared" si="53"/>
        <v>-0.70000000000000107</v>
      </c>
      <c r="BN108" s="111">
        <f t="shared" si="54"/>
        <v>-0.69999999999999929</v>
      </c>
      <c r="BO108" s="111">
        <f t="shared" si="55"/>
        <v>-0.5</v>
      </c>
      <c r="BR108" s="120">
        <v>5.936710119902407E-3</v>
      </c>
      <c r="BS108" s="120">
        <v>5.956531806968951E-3</v>
      </c>
      <c r="BT108" s="120">
        <v>5.9081914141439476E-3</v>
      </c>
      <c r="BU108" s="120">
        <v>5.7497190073626291E-3</v>
      </c>
      <c r="BV108" s="120">
        <v>6.0998643157408102E-3</v>
      </c>
      <c r="BW108" s="120">
        <v>6.4595101236110831E-3</v>
      </c>
      <c r="BX108" s="120">
        <v>6.2736456422915659E-3</v>
      </c>
      <c r="BY108" s="120">
        <v>6.3376710970765859E-3</v>
      </c>
      <c r="BZ108" s="120">
        <v>6.5685287360908833E-3</v>
      </c>
      <c r="CA108" s="120">
        <v>6.5292057257959986E-3</v>
      </c>
      <c r="CB108" s="120">
        <v>6.9209128697730682E-3</v>
      </c>
      <c r="CC108" s="120">
        <v>7.6687054742680567E-3</v>
      </c>
      <c r="CD108" s="120">
        <v>8.9207903762169981E-3</v>
      </c>
      <c r="CF108" s="120">
        <v>0.19376119570154848</v>
      </c>
      <c r="CG108" s="120">
        <v>0.18536497567073823</v>
      </c>
      <c r="CH108" s="120">
        <v>0.17977633429991552</v>
      </c>
      <c r="CI108" s="120">
        <v>0.1709282509153556</v>
      </c>
      <c r="CJ108" s="120">
        <v>0.17803442589001642</v>
      </c>
      <c r="CK108" s="120">
        <v>0.18519841216919528</v>
      </c>
      <c r="CL108" s="120">
        <v>0.17292820937236481</v>
      </c>
      <c r="CM108" s="120">
        <v>0.16297098243283276</v>
      </c>
      <c r="CN108" s="120">
        <v>0.15873153926241604</v>
      </c>
      <c r="CO108" s="120">
        <v>0.149229480941521</v>
      </c>
      <c r="CP108" s="120">
        <v>0.14342053380070491</v>
      </c>
      <c r="CQ108" s="120">
        <v>0.13534027811340194</v>
      </c>
      <c r="CR108" s="120">
        <v>0.11858543013103798</v>
      </c>
    </row>
    <row r="110" spans="1:96" x14ac:dyDescent="0.2">
      <c r="AO110">
        <v>-0.5</v>
      </c>
      <c r="AP110">
        <v>-0.25</v>
      </c>
      <c r="AQ110">
        <v>-0.13</v>
      </c>
      <c r="AR110">
        <v>0</v>
      </c>
      <c r="AS110">
        <v>0.125</v>
      </c>
      <c r="AT110" s="126">
        <v>0.25</v>
      </c>
      <c r="AU110" s="126">
        <v>0.5</v>
      </c>
      <c r="AV110" s="126">
        <v>1</v>
      </c>
      <c r="AW110" s="126">
        <v>1.5</v>
      </c>
      <c r="AX110" s="126">
        <v>2</v>
      </c>
      <c r="AY110" s="126">
        <v>3</v>
      </c>
      <c r="AZ110" s="126">
        <v>5</v>
      </c>
      <c r="BA110" s="126">
        <v>10</v>
      </c>
      <c r="BR110" s="106" t="s">
        <v>295</v>
      </c>
      <c r="CF110" s="106" t="s">
        <v>296</v>
      </c>
    </row>
    <row r="111" spans="1:96" ht="12.75" x14ac:dyDescent="0.2">
      <c r="A111">
        <v>-0.29749999999999999</v>
      </c>
      <c r="B111">
        <v>-0.3</v>
      </c>
      <c r="C111">
        <v>-0.3</v>
      </c>
      <c r="D111">
        <v>-0.3</v>
      </c>
      <c r="E111">
        <v>-0.28999999999999998</v>
      </c>
      <c r="F111">
        <v>-0.28999999999999998</v>
      </c>
      <c r="G111">
        <v>-0.3</v>
      </c>
      <c r="H111">
        <v>-0.28999999999999998</v>
      </c>
      <c r="I111">
        <v>-0.28999999999999998</v>
      </c>
      <c r="J111">
        <v>-0.28999999999999998</v>
      </c>
      <c r="K111">
        <v>-0.37</v>
      </c>
      <c r="L111">
        <v>-0.37</v>
      </c>
      <c r="M111">
        <v>-0.40250000000000002</v>
      </c>
      <c r="N111">
        <v>-0.41749999999999998</v>
      </c>
      <c r="O111">
        <v>-0.38750000000000001</v>
      </c>
      <c r="P111">
        <v>-0.39250000000000002</v>
      </c>
      <c r="Q111">
        <v>-0.41749999999999998</v>
      </c>
      <c r="R111">
        <v>-0.42249999999999999</v>
      </c>
      <c r="S111">
        <v>-0.435</v>
      </c>
      <c r="T111">
        <v>-0.42249999999999999</v>
      </c>
      <c r="U111">
        <v>-0.435</v>
      </c>
      <c r="V111">
        <f t="shared" ref="V111:V141" si="58">U111+0.01</f>
        <v>-0.42499999999999999</v>
      </c>
      <c r="W111">
        <f>U111+0.1</f>
        <v>-0.33499999999999996</v>
      </c>
      <c r="X111">
        <v>-0.42</v>
      </c>
      <c r="Y111">
        <v>-0.4</v>
      </c>
      <c r="Z111">
        <v>-0.40749999999999997</v>
      </c>
      <c r="AA111">
        <v>-0.39750000000000002</v>
      </c>
      <c r="AB111">
        <v>-0.38750000000000001</v>
      </c>
      <c r="AC111">
        <v>-0.39</v>
      </c>
      <c r="AD111">
        <v>-0.39</v>
      </c>
      <c r="AE111">
        <v>-0.40250000000000002</v>
      </c>
      <c r="AF111">
        <v>-0.40250000000000002</v>
      </c>
      <c r="AG111">
        <v>-0.435</v>
      </c>
      <c r="AH111">
        <v>-0.38750000000000001</v>
      </c>
      <c r="AI111">
        <v>-0.39500000000000002</v>
      </c>
      <c r="AJ111">
        <v>-0.41749999999999998</v>
      </c>
      <c r="AK111">
        <v>-0.40250000000000002</v>
      </c>
      <c r="AL111" s="139">
        <v>3.03</v>
      </c>
      <c r="AN111" t="s">
        <v>25</v>
      </c>
      <c r="AO111" s="140">
        <v>12.6</v>
      </c>
      <c r="AP111" s="140">
        <v>11.1</v>
      </c>
      <c r="AQ111" s="140">
        <v>12.1</v>
      </c>
      <c r="AR111" s="140">
        <v>13.7</v>
      </c>
      <c r="AS111" s="129">
        <f>(AR111+AT111)/2</f>
        <v>15.25</v>
      </c>
      <c r="AT111" s="140">
        <v>16.8</v>
      </c>
      <c r="AU111" s="140">
        <v>19.600000000000001</v>
      </c>
      <c r="AV111" s="140">
        <v>24.6</v>
      </c>
      <c r="AW111" s="140">
        <v>28.7</v>
      </c>
      <c r="AX111" s="140">
        <v>32.299999999999997</v>
      </c>
      <c r="AY111" s="137">
        <v>37.799999999999997</v>
      </c>
      <c r="AZ111" s="140">
        <v>46.9</v>
      </c>
      <c r="BA111" s="140">
        <v>60.3</v>
      </c>
      <c r="BC111" s="111">
        <f>AO111-AO94</f>
        <v>0</v>
      </c>
      <c r="BD111" s="111">
        <f t="shared" ref="BD111:BD125" si="59">AP111-AP94</f>
        <v>0</v>
      </c>
      <c r="BE111" s="111">
        <f t="shared" ref="BE111:BE125" si="60">AQ111-AQ94</f>
        <v>9.9999999999999645E-2</v>
      </c>
      <c r="BF111" s="111">
        <f t="shared" ref="BF111:BF125" si="61">AR111-AR94</f>
        <v>9.9999999999999645E-2</v>
      </c>
      <c r="BG111" s="111">
        <f t="shared" ref="BG111:BG125" si="62">AS111-AS94</f>
        <v>0.14999999999999858</v>
      </c>
      <c r="BH111" s="111">
        <f t="shared" ref="BH111:BH125" si="63">AT111-AT94</f>
        <v>0.19999999999999929</v>
      </c>
      <c r="BI111" s="111">
        <f t="shared" ref="BI111:BI125" si="64">AU111-AU94</f>
        <v>0.10000000000000142</v>
      </c>
      <c r="BJ111" s="111">
        <f t="shared" ref="BJ111:BJ125" si="65">AV111-AV94</f>
        <v>0.10000000000000142</v>
      </c>
      <c r="BK111" s="111">
        <f t="shared" ref="BK111:BK125" si="66">AW111-AW94</f>
        <v>9.9999999999997868E-2</v>
      </c>
      <c r="BL111" s="111">
        <f t="shared" ref="BL111:BL125" si="67">AX111-AX94</f>
        <v>9.9999999999994316E-2</v>
      </c>
      <c r="BM111" s="111">
        <f t="shared" ref="BM111:BM125" si="68">AY111-AY94</f>
        <v>-0.20000000000000284</v>
      </c>
      <c r="BN111" s="111">
        <f t="shared" ref="BN111:BN125" si="69">AZ111-AZ94</f>
        <v>0.19999999999999574</v>
      </c>
      <c r="BO111" s="111">
        <f t="shared" ref="BO111:BO125" si="70">BA111-BA94</f>
        <v>0.19999999999999574</v>
      </c>
      <c r="BR111" s="120">
        <v>3.2373745198515363E-3</v>
      </c>
      <c r="BS111" s="120">
        <v>2.9955279036428203E-3</v>
      </c>
      <c r="BT111" s="120">
        <v>3.3385877865789284E-3</v>
      </c>
      <c r="BU111" s="120">
        <v>3.8580700474503339E-3</v>
      </c>
      <c r="BV111" s="120">
        <v>4.3824712971510717E-3</v>
      </c>
      <c r="BW111" s="120">
        <v>4.9228828937693614E-3</v>
      </c>
      <c r="BX111" s="120">
        <v>5.963049845359226E-3</v>
      </c>
      <c r="BY111" s="120">
        <v>8.0211928037970809E-3</v>
      </c>
      <c r="BZ111" s="120">
        <v>9.9620360429900617E-3</v>
      </c>
      <c r="CA111" s="120">
        <v>1.1855685239380605E-2</v>
      </c>
      <c r="CB111" s="120">
        <v>1.5354041512250824E-2</v>
      </c>
      <c r="CC111" s="120">
        <v>2.2440254773999455E-2</v>
      </c>
      <c r="CD111" s="120">
        <v>3.8554363515026724E-2</v>
      </c>
      <c r="CF111" s="120">
        <v>0.1259997982554889</v>
      </c>
      <c r="CG111" s="120">
        <v>0.1109598604943647</v>
      </c>
      <c r="CH111" s="120">
        <v>0.12099930614296232</v>
      </c>
      <c r="CI111" s="120">
        <v>0.13699935833428956</v>
      </c>
      <c r="CJ111" s="120">
        <v>0.15247442176643022</v>
      </c>
      <c r="CK111" s="120">
        <v>0.16805259724991542</v>
      </c>
      <c r="CL111" s="120">
        <v>0.19592611556050257</v>
      </c>
      <c r="CM111" s="120">
        <v>0.2460146700910576</v>
      </c>
      <c r="CN111" s="120">
        <v>0.28702764815766224</v>
      </c>
      <c r="CO111" s="120">
        <v>0.32303278003806102</v>
      </c>
      <c r="CP111" s="120">
        <v>0.37745103282068293</v>
      </c>
      <c r="CQ111" s="120">
        <v>0.46906240514623776</v>
      </c>
      <c r="CR111" s="120">
        <v>0.60249392906770183</v>
      </c>
    </row>
    <row r="112" spans="1:96" ht="12.75" x14ac:dyDescent="0.2">
      <c r="A112">
        <v>-0.3</v>
      </c>
      <c r="B112">
        <v>-0.3</v>
      </c>
      <c r="C112">
        <v>-0.3</v>
      </c>
      <c r="D112">
        <v>-0.3</v>
      </c>
      <c r="E112">
        <v>-0.28749999999999998</v>
      </c>
      <c r="F112">
        <v>-0.28749999999999998</v>
      </c>
      <c r="G112">
        <v>-0.3</v>
      </c>
      <c r="H112">
        <v>-0.28749999999999998</v>
      </c>
      <c r="I112">
        <v>-0.32</v>
      </c>
      <c r="J112">
        <v>-0.32</v>
      </c>
      <c r="K112">
        <v>-0.37</v>
      </c>
      <c r="L112">
        <v>-0.37</v>
      </c>
      <c r="M112">
        <v>-0.40250000000000002</v>
      </c>
      <c r="N112">
        <v>-0.39500000000000002</v>
      </c>
      <c r="O112">
        <v>-0.38500000000000001</v>
      </c>
      <c r="P112">
        <v>-0.39250000000000002</v>
      </c>
      <c r="Q112">
        <v>-0.4</v>
      </c>
      <c r="R112">
        <v>-0.42249999999999999</v>
      </c>
      <c r="S112">
        <v>-0.41249999999999998</v>
      </c>
      <c r="T112">
        <v>-0.42249999999999999</v>
      </c>
      <c r="U112">
        <v>-0.435</v>
      </c>
      <c r="V112">
        <f t="shared" si="58"/>
        <v>-0.42499999999999999</v>
      </c>
      <c r="W112">
        <f t="shared" ref="W112:W141" si="71">U112+0.1</f>
        <v>-0.33499999999999996</v>
      </c>
      <c r="X112">
        <v>-0.41749999999999998</v>
      </c>
      <c r="Y112">
        <v>-0.40250000000000002</v>
      </c>
      <c r="Z112">
        <v>-0.38500000000000001</v>
      </c>
      <c r="AA112">
        <v>-0.40250000000000002</v>
      </c>
      <c r="AB112">
        <v>-0.39500000000000002</v>
      </c>
      <c r="AC112">
        <v>-0.4</v>
      </c>
      <c r="AD112">
        <v>-0.4</v>
      </c>
      <c r="AE112">
        <v>-0.39750000000000002</v>
      </c>
      <c r="AF112">
        <v>-0.4</v>
      </c>
      <c r="AG112">
        <v>-0.44</v>
      </c>
      <c r="AH112">
        <v>-0.4</v>
      </c>
      <c r="AI112">
        <v>-0.40250000000000002</v>
      </c>
      <c r="AJ112">
        <v>-0.4</v>
      </c>
      <c r="AK112">
        <v>-0.38750000000000001</v>
      </c>
      <c r="AN112" t="s">
        <v>157</v>
      </c>
      <c r="AO112" s="140">
        <v>14.4</v>
      </c>
      <c r="AP112" s="140">
        <v>12.7</v>
      </c>
      <c r="AQ112" s="140">
        <v>13.4</v>
      </c>
      <c r="AR112" s="140">
        <v>14.5</v>
      </c>
      <c r="AS112" s="129">
        <f t="shared" si="56"/>
        <v>15.7</v>
      </c>
      <c r="AT112" s="140">
        <v>16.899999999999999</v>
      </c>
      <c r="AU112" s="140">
        <v>19.2</v>
      </c>
      <c r="AV112" s="140">
        <v>23.2</v>
      </c>
      <c r="AW112" s="140">
        <v>26.6</v>
      </c>
      <c r="AX112" s="140">
        <v>29.5</v>
      </c>
      <c r="AY112" s="140">
        <v>34.200000000000003</v>
      </c>
      <c r="AZ112" s="140">
        <v>41</v>
      </c>
      <c r="BA112" s="140">
        <v>51.2</v>
      </c>
      <c r="BC112" s="111">
        <f t="shared" ref="BC112:BC125" si="72">AO112-AO95</f>
        <v>0</v>
      </c>
      <c r="BD112" s="111">
        <f t="shared" si="59"/>
        <v>9.9999999999999645E-2</v>
      </c>
      <c r="BE112" s="111">
        <f t="shared" si="60"/>
        <v>0.20000000000000107</v>
      </c>
      <c r="BF112" s="111">
        <f t="shared" si="61"/>
        <v>0.19999999999999929</v>
      </c>
      <c r="BG112" s="111">
        <f t="shared" si="62"/>
        <v>0.24999999999999822</v>
      </c>
      <c r="BH112" s="111">
        <f t="shared" si="63"/>
        <v>0.29999999999999716</v>
      </c>
      <c r="BI112" s="111">
        <f t="shared" si="64"/>
        <v>0.30000000000000071</v>
      </c>
      <c r="BJ112" s="111">
        <f t="shared" si="65"/>
        <v>0.30000000000000071</v>
      </c>
      <c r="BK112" s="111">
        <f t="shared" si="66"/>
        <v>0.30000000000000071</v>
      </c>
      <c r="BL112" s="111">
        <f t="shared" si="67"/>
        <v>0.30000000000000071</v>
      </c>
      <c r="BM112" s="111">
        <f t="shared" si="68"/>
        <v>0.30000000000000426</v>
      </c>
      <c r="BN112" s="111">
        <f t="shared" si="69"/>
        <v>0.20000000000000284</v>
      </c>
      <c r="BO112" s="111">
        <f t="shared" si="70"/>
        <v>0.30000000000000426</v>
      </c>
      <c r="BR112" s="120">
        <v>4.1794586274435776E-3</v>
      </c>
      <c r="BS112" s="120">
        <v>3.9048643737066464E-3</v>
      </c>
      <c r="BT112" s="120">
        <v>4.0382375690149264E-3</v>
      </c>
      <c r="BU112" s="120">
        <v>4.2615927639057111E-3</v>
      </c>
      <c r="BV112" s="120">
        <v>4.5911746264604963E-3</v>
      </c>
      <c r="BW112" s="120">
        <v>4.9509143201883618E-3</v>
      </c>
      <c r="BX112" s="120">
        <v>5.7419812742660814E-3</v>
      </c>
      <c r="BY112" s="120">
        <v>7.2909500348244914E-3</v>
      </c>
      <c r="BZ112" s="120">
        <v>8.8433384119331951E-3</v>
      </c>
      <c r="CA112" s="120">
        <v>1.0335116539571162E-2</v>
      </c>
      <c r="CB112" s="120">
        <v>1.3246371256498812E-2</v>
      </c>
      <c r="CC112" s="120">
        <v>1.8490913112801606E-2</v>
      </c>
      <c r="CD112" s="120">
        <v>3.0733494862205696E-2</v>
      </c>
      <c r="CF112" s="120">
        <v>0.1636808085089769</v>
      </c>
      <c r="CG112" s="120">
        <v>0.14584958397872139</v>
      </c>
      <c r="CH112" s="120">
        <v>0.14745341931363676</v>
      </c>
      <c r="CI112" s="120">
        <v>0.15221542009245437</v>
      </c>
      <c r="CJ112" s="120">
        <v>0.16064110392363201</v>
      </c>
      <c r="CK112" s="120">
        <v>0.1696970103096839</v>
      </c>
      <c r="CL112" s="120">
        <v>0.18947363928040928</v>
      </c>
      <c r="CM112" s="120">
        <v>0.22427597812119737</v>
      </c>
      <c r="CN112" s="120">
        <v>0.25551061838099454</v>
      </c>
      <c r="CO112" s="120">
        <v>0.28191994681205984</v>
      </c>
      <c r="CP112" s="120">
        <v>0.32724086159241722</v>
      </c>
      <c r="CQ112" s="120">
        <v>0.3874733348251278</v>
      </c>
      <c r="CR112" s="120">
        <v>0.4816956847263536</v>
      </c>
    </row>
    <row r="113" spans="1:96" ht="12.75" x14ac:dyDescent="0.2">
      <c r="A113">
        <v>-0.26200000000000001</v>
      </c>
      <c r="B113">
        <v>-0.26400000000000001</v>
      </c>
      <c r="C113">
        <v>-0.26600000000000001</v>
      </c>
      <c r="D113">
        <v>-0.26800000000000002</v>
      </c>
      <c r="E113">
        <v>-0.26500000000000001</v>
      </c>
      <c r="F113">
        <v>-0.26500000000000001</v>
      </c>
      <c r="G113">
        <v>-0.26900000000000002</v>
      </c>
      <c r="H113">
        <v>-0.26500000000000001</v>
      </c>
      <c r="I113">
        <v>-0.32800000000000001</v>
      </c>
      <c r="J113">
        <v>-0.32800000000000001</v>
      </c>
      <c r="K113">
        <v>-0.35299999999999998</v>
      </c>
      <c r="L113">
        <v>-0.35899999999999999</v>
      </c>
      <c r="M113">
        <v>-0.36099999999999999</v>
      </c>
      <c r="N113">
        <v>-0.36099999999999999</v>
      </c>
      <c r="O113">
        <v>-0.35899999999999999</v>
      </c>
      <c r="P113">
        <v>-0.35899999999999999</v>
      </c>
      <c r="Q113">
        <v>-0.36</v>
      </c>
      <c r="R113">
        <v>-0.36099999999999999</v>
      </c>
      <c r="S113">
        <v>-0.36299999999999999</v>
      </c>
      <c r="T113">
        <v>-0.36099999999999999</v>
      </c>
      <c r="U113">
        <v>-0.36199999999999999</v>
      </c>
      <c r="V113">
        <f t="shared" si="58"/>
        <v>-0.35199999999999998</v>
      </c>
      <c r="W113">
        <f t="shared" si="71"/>
        <v>-0.26200000000000001</v>
      </c>
      <c r="X113">
        <v>-0.36199999999999999</v>
      </c>
      <c r="Y113">
        <v>-0.36399999999999999</v>
      </c>
      <c r="Z113">
        <v>-0.36299999999999999</v>
      </c>
      <c r="AA113">
        <v>-0.36199999999999999</v>
      </c>
      <c r="AB113">
        <v>-0.36099999999999999</v>
      </c>
      <c r="AC113">
        <v>-0.36299999999999999</v>
      </c>
      <c r="AD113">
        <v>-0.36299999999999999</v>
      </c>
      <c r="AE113">
        <v>-0.36299999999999999</v>
      </c>
      <c r="AF113">
        <v>-0.36799999999999999</v>
      </c>
      <c r="AG113">
        <v>-0.373</v>
      </c>
      <c r="AH113">
        <v>-0.37</v>
      </c>
      <c r="AI113">
        <v>-0.36899999999999999</v>
      </c>
      <c r="AJ113">
        <v>-0.371</v>
      </c>
      <c r="AK113">
        <v>-0.371</v>
      </c>
      <c r="AN113" t="s">
        <v>99</v>
      </c>
      <c r="AO113" s="140">
        <v>18.8</v>
      </c>
      <c r="AP113" s="137">
        <v>16</v>
      </c>
      <c r="AQ113" s="140">
        <v>15.4</v>
      </c>
      <c r="AR113" s="140">
        <v>15.3</v>
      </c>
      <c r="AS113" s="129">
        <f t="shared" si="56"/>
        <v>15.600000000000001</v>
      </c>
      <c r="AT113" s="140">
        <v>15.9</v>
      </c>
      <c r="AU113" s="140">
        <v>16.899999999999999</v>
      </c>
      <c r="AV113" s="140">
        <v>19.100000000000001</v>
      </c>
      <c r="AW113" s="140">
        <v>21.3</v>
      </c>
      <c r="AX113" s="140">
        <v>23.3</v>
      </c>
      <c r="AY113" s="140">
        <v>26.6</v>
      </c>
      <c r="AZ113" s="140">
        <v>31.4</v>
      </c>
      <c r="BA113" s="140">
        <v>38.6</v>
      </c>
      <c r="BC113" s="111">
        <f t="shared" si="72"/>
        <v>-0.19999999999999929</v>
      </c>
      <c r="BD113" s="111">
        <f t="shared" si="59"/>
        <v>-0.10000000000000142</v>
      </c>
      <c r="BE113" s="111">
        <f t="shared" si="60"/>
        <v>-9.9999999999999645E-2</v>
      </c>
      <c r="BF113" s="111">
        <f t="shared" si="61"/>
        <v>0</v>
      </c>
      <c r="BG113" s="111">
        <f t="shared" si="62"/>
        <v>5.0000000000000711E-2</v>
      </c>
      <c r="BH113" s="111">
        <f t="shared" si="63"/>
        <v>9.9999999999999645E-2</v>
      </c>
      <c r="BI113" s="111">
        <f t="shared" si="64"/>
        <v>9.9999999999997868E-2</v>
      </c>
      <c r="BJ113" s="111">
        <f t="shared" si="65"/>
        <v>0.10000000000000142</v>
      </c>
      <c r="BK113" s="111">
        <f t="shared" si="66"/>
        <v>0.10000000000000142</v>
      </c>
      <c r="BL113" s="111">
        <f t="shared" si="67"/>
        <v>0.10000000000000142</v>
      </c>
      <c r="BM113" s="111">
        <f t="shared" si="68"/>
        <v>0.10000000000000142</v>
      </c>
      <c r="BN113" s="111">
        <f t="shared" si="69"/>
        <v>0</v>
      </c>
      <c r="BO113" s="111">
        <f t="shared" si="70"/>
        <v>0</v>
      </c>
      <c r="BR113" s="120">
        <v>4.9829427215155537E-3</v>
      </c>
      <c r="BS113" s="120">
        <v>4.4475355787247954E-3</v>
      </c>
      <c r="BT113" s="120">
        <v>4.3573643422776401E-3</v>
      </c>
      <c r="BU113" s="120">
        <v>4.4468415550765108E-3</v>
      </c>
      <c r="BV113" s="120">
        <v>4.6312997131874763E-3</v>
      </c>
      <c r="BW113" s="120">
        <v>4.8185036421771708E-3</v>
      </c>
      <c r="BX113" s="120">
        <v>5.3251679466323303E-3</v>
      </c>
      <c r="BY113" s="120">
        <v>6.4588056373539142E-3</v>
      </c>
      <c r="BZ113" s="120">
        <v>7.6700974553869893E-3</v>
      </c>
      <c r="CA113" s="120">
        <v>8.8803952834133077E-3</v>
      </c>
      <c r="CB113" s="120">
        <v>1.1204984553800106E-2</v>
      </c>
      <c r="CC113" s="120">
        <v>1.5564535709809202E-2</v>
      </c>
      <c r="CD113" s="120">
        <v>2.5529964503123444E-2</v>
      </c>
      <c r="CF113" s="120">
        <v>0.18799997920907893</v>
      </c>
      <c r="CG113" s="120">
        <v>0.15999999942641643</v>
      </c>
      <c r="CH113" s="120">
        <v>0.15323502218471025</v>
      </c>
      <c r="CI113" s="120">
        <v>0.15299999855545338</v>
      </c>
      <c r="CJ113" s="120">
        <v>0.15599998770006659</v>
      </c>
      <c r="CK113" s="120">
        <v>0.15899997181665648</v>
      </c>
      <c r="CL113" s="120">
        <v>0.16899995528757486</v>
      </c>
      <c r="CM113" s="120">
        <v>0.19099997595025972</v>
      </c>
      <c r="CN113" s="120">
        <v>0.21299193615846468</v>
      </c>
      <c r="CO113" s="120">
        <v>0.23299555997849292</v>
      </c>
      <c r="CP113" s="120">
        <v>0.26599523168361899</v>
      </c>
      <c r="CQ113" s="120">
        <v>0.31397645710787936</v>
      </c>
      <c r="CR113" s="120">
        <v>0.38599299906250634</v>
      </c>
    </row>
    <row r="114" spans="1:96" ht="12.75" x14ac:dyDescent="0.2">
      <c r="A114">
        <v>-0.22900000000000001</v>
      </c>
      <c r="B114">
        <v>-0.22900000000000001</v>
      </c>
      <c r="C114">
        <v>-0.24</v>
      </c>
      <c r="D114">
        <v>-0.245</v>
      </c>
      <c r="E114">
        <v>-0.26100000000000001</v>
      </c>
      <c r="F114">
        <v>-0.26100000000000001</v>
      </c>
      <c r="G114">
        <v>-0.27600000000000002</v>
      </c>
      <c r="H114">
        <v>-0.26100000000000001</v>
      </c>
      <c r="I114">
        <v>-0.313</v>
      </c>
      <c r="J114">
        <v>-0.313</v>
      </c>
      <c r="K114">
        <v>-0.33400000000000002</v>
      </c>
      <c r="L114">
        <v>-0.34200000000000003</v>
      </c>
      <c r="M114">
        <v>-0.34200000000000003</v>
      </c>
      <c r="N114">
        <v>-0.34200000000000003</v>
      </c>
      <c r="O114">
        <v>-0.34300000000000003</v>
      </c>
      <c r="P114">
        <v>-0.34399999999999997</v>
      </c>
      <c r="Q114">
        <v>-0.34300000000000003</v>
      </c>
      <c r="R114">
        <v>-0.34499999999999997</v>
      </c>
      <c r="S114">
        <v>-0.34599999999999997</v>
      </c>
      <c r="T114">
        <v>-0.34499999999999997</v>
      </c>
      <c r="U114">
        <v>-0.34899999999999998</v>
      </c>
      <c r="V114">
        <f t="shared" si="58"/>
        <v>-0.33899999999999997</v>
      </c>
      <c r="W114">
        <f t="shared" si="71"/>
        <v>-0.24899999999999997</v>
      </c>
      <c r="X114">
        <v>-0.34899999999999998</v>
      </c>
      <c r="Y114">
        <v>-0.35</v>
      </c>
      <c r="Z114">
        <v>-0.34899999999999998</v>
      </c>
      <c r="AA114">
        <v>-0.34799999999999998</v>
      </c>
      <c r="AB114">
        <v>-0.34799999999999998</v>
      </c>
      <c r="AC114">
        <v>-0.35</v>
      </c>
      <c r="AD114">
        <v>-0.35</v>
      </c>
      <c r="AE114">
        <v>-0.35299999999999998</v>
      </c>
      <c r="AF114">
        <v>-0.35799999999999998</v>
      </c>
      <c r="AG114">
        <v>-0.36399999999999999</v>
      </c>
      <c r="AH114">
        <v>-0.36399999999999999</v>
      </c>
      <c r="AI114">
        <v>-0.36299999999999999</v>
      </c>
      <c r="AJ114">
        <v>-0.36299999999999999</v>
      </c>
      <c r="AK114">
        <v>-0.36299999999999999</v>
      </c>
      <c r="AN114" t="s">
        <v>101</v>
      </c>
      <c r="AO114" s="140">
        <v>20.8</v>
      </c>
      <c r="AP114" s="137">
        <v>18.2</v>
      </c>
      <c r="AQ114" s="140">
        <v>17.600000000000001</v>
      </c>
      <c r="AR114" s="140">
        <v>17.3</v>
      </c>
      <c r="AS114" s="129">
        <f t="shared" si="56"/>
        <v>17.350000000000001</v>
      </c>
      <c r="AT114" s="140">
        <v>17.399999999999999</v>
      </c>
      <c r="AU114" s="140">
        <v>17.8</v>
      </c>
      <c r="AV114" s="140">
        <v>19.100000000000001</v>
      </c>
      <c r="AW114" s="140">
        <v>20.6</v>
      </c>
      <c r="AX114" s="140">
        <v>22.1</v>
      </c>
      <c r="AY114" s="140">
        <v>24.6</v>
      </c>
      <c r="AZ114" s="140">
        <v>28.5</v>
      </c>
      <c r="BA114" s="140">
        <v>34.1</v>
      </c>
      <c r="BC114" s="111">
        <f t="shared" si="72"/>
        <v>0</v>
      </c>
      <c r="BD114" s="111">
        <f t="shared" si="59"/>
        <v>0</v>
      </c>
      <c r="BE114" s="111">
        <f t="shared" si="60"/>
        <v>0.10000000000000142</v>
      </c>
      <c r="BF114" s="111">
        <f t="shared" si="61"/>
        <v>0.10000000000000142</v>
      </c>
      <c r="BG114" s="111">
        <f t="shared" si="62"/>
        <v>0.10000000000000142</v>
      </c>
      <c r="BH114" s="111">
        <f t="shared" si="63"/>
        <v>9.9999999999997868E-2</v>
      </c>
      <c r="BI114" s="111">
        <f t="shared" si="64"/>
        <v>0.10000000000000142</v>
      </c>
      <c r="BJ114" s="111">
        <f t="shared" si="65"/>
        <v>0.10000000000000142</v>
      </c>
      <c r="BK114" s="111">
        <f t="shared" si="66"/>
        <v>0.10000000000000142</v>
      </c>
      <c r="BL114" s="111">
        <f t="shared" si="67"/>
        <v>0.20000000000000284</v>
      </c>
      <c r="BM114" s="111">
        <f t="shared" si="68"/>
        <v>0.10000000000000142</v>
      </c>
      <c r="BN114" s="111">
        <f t="shared" si="69"/>
        <v>0.10000000000000142</v>
      </c>
      <c r="BO114" s="111">
        <f t="shared" si="70"/>
        <v>0</v>
      </c>
      <c r="BR114" s="120">
        <v>7.1382661209713431E-3</v>
      </c>
      <c r="BS114" s="120">
        <v>6.912296128419532E-3</v>
      </c>
      <c r="BT114" s="120">
        <v>6.8446685711702083E-3</v>
      </c>
      <c r="BU114" s="120">
        <v>6.6591282643152349E-3</v>
      </c>
      <c r="BV114" s="120">
        <v>6.5435240929088848E-3</v>
      </c>
      <c r="BW114" s="120">
        <v>6.4425358203472121E-3</v>
      </c>
      <c r="BX114" s="120">
        <v>6.3641835346874556E-3</v>
      </c>
      <c r="BY114" s="120">
        <v>6.7670778884214525E-3</v>
      </c>
      <c r="BZ114" s="120">
        <v>7.4675096253038198E-3</v>
      </c>
      <c r="CA114" s="120">
        <v>8.3141716271223041E-3</v>
      </c>
      <c r="CB114" s="120">
        <v>1.0001145621696657E-2</v>
      </c>
      <c r="CC114" s="120">
        <v>1.3471980276893393E-2</v>
      </c>
      <c r="CD114" s="120">
        <v>2.1108273857863877E-2</v>
      </c>
      <c r="CF114" s="120">
        <v>0.25640317672870694</v>
      </c>
      <c r="CG114" s="120">
        <v>0.23683896726786816</v>
      </c>
      <c r="CH114" s="120">
        <v>0.22936113964583554</v>
      </c>
      <c r="CI114" s="120">
        <v>0.21827744948383521</v>
      </c>
      <c r="CJ114" s="120">
        <v>0.20999716573165753</v>
      </c>
      <c r="CK114" s="120">
        <v>0.20258191554585309</v>
      </c>
      <c r="CL114" s="120">
        <v>0.19253932009655117</v>
      </c>
      <c r="CM114" s="120">
        <v>0.19100002639631292</v>
      </c>
      <c r="CN114" s="120">
        <v>0.19815266291639722</v>
      </c>
      <c r="CO114" s="120">
        <v>0.20861476208768542</v>
      </c>
      <c r="CP114" s="120">
        <v>0.22733251832548201</v>
      </c>
      <c r="CQ114" s="120">
        <v>0.2608648920385413</v>
      </c>
      <c r="CR114" s="120">
        <v>0.3068195598517498</v>
      </c>
    </row>
    <row r="115" spans="1:96" ht="12.75" x14ac:dyDescent="0.2">
      <c r="A115">
        <v>-0.192</v>
      </c>
      <c r="B115">
        <v>-0.19500000000000001</v>
      </c>
      <c r="C115">
        <v>-0.221</v>
      </c>
      <c r="D115">
        <v>-0.223</v>
      </c>
      <c r="E115">
        <v>-0.23200000000000001</v>
      </c>
      <c r="F115">
        <v>-0.23200000000000001</v>
      </c>
      <c r="G115">
        <v>-0.24399999999999999</v>
      </c>
      <c r="H115">
        <v>-0.23200000000000001</v>
      </c>
      <c r="I115">
        <v>-0.26600000000000001</v>
      </c>
      <c r="J115">
        <v>-0.26600000000000001</v>
      </c>
      <c r="K115">
        <v>-0.27900000000000003</v>
      </c>
      <c r="L115">
        <v>-0.28699999999999998</v>
      </c>
      <c r="M115">
        <v>-0.28699999999999998</v>
      </c>
      <c r="N115">
        <v>-0.28799999999999998</v>
      </c>
      <c r="O115">
        <v>-0.28699999999999998</v>
      </c>
      <c r="P115">
        <v>-0.28899999999999998</v>
      </c>
      <c r="Q115">
        <v>-0.28999999999999998</v>
      </c>
      <c r="R115">
        <v>-0.29099999999999998</v>
      </c>
      <c r="S115">
        <v>-0.29199999999999998</v>
      </c>
      <c r="T115">
        <v>-0.29099999999999998</v>
      </c>
      <c r="U115">
        <v>-0.29199999999999998</v>
      </c>
      <c r="V115">
        <f t="shared" si="58"/>
        <v>-0.28199999999999997</v>
      </c>
      <c r="W115">
        <f t="shared" si="71"/>
        <v>-0.19199999999999998</v>
      </c>
      <c r="X115">
        <v>-0.29199999999999998</v>
      </c>
      <c r="Y115">
        <v>-0.29299999999999998</v>
      </c>
      <c r="Z115">
        <v>-0.29399999999999998</v>
      </c>
      <c r="AA115">
        <v>-0.29599999999999999</v>
      </c>
      <c r="AB115">
        <v>-0.29799999999999999</v>
      </c>
      <c r="AC115">
        <v>-0.29899999999999999</v>
      </c>
      <c r="AD115">
        <v>-0.29899999999999999</v>
      </c>
      <c r="AE115">
        <v>-0.30099999999999999</v>
      </c>
      <c r="AF115">
        <v>-0.309</v>
      </c>
      <c r="AG115">
        <v>-0.32200000000000001</v>
      </c>
      <c r="AH115">
        <v>-0.32100000000000001</v>
      </c>
      <c r="AI115">
        <v>-0.32100000000000001</v>
      </c>
      <c r="AJ115">
        <v>-0.32500000000000001</v>
      </c>
      <c r="AK115">
        <v>-0.32500000000000001</v>
      </c>
      <c r="AN115" t="s">
        <v>102</v>
      </c>
      <c r="AO115" s="140">
        <v>22.2</v>
      </c>
      <c r="AP115" s="140">
        <v>19.8</v>
      </c>
      <c r="AQ115" s="140">
        <v>19.100000000000001</v>
      </c>
      <c r="AR115" s="140">
        <v>18.8</v>
      </c>
      <c r="AS115" s="129">
        <f t="shared" si="56"/>
        <v>18.700000000000003</v>
      </c>
      <c r="AT115" s="140">
        <v>18.600000000000001</v>
      </c>
      <c r="AU115" s="140">
        <v>18.7</v>
      </c>
      <c r="AV115" s="140">
        <v>19.3</v>
      </c>
      <c r="AW115" s="140">
        <v>20.2</v>
      </c>
      <c r="AX115" s="140">
        <v>21.1</v>
      </c>
      <c r="AY115" s="140">
        <v>23</v>
      </c>
      <c r="AZ115" s="140">
        <v>26.1</v>
      </c>
      <c r="BA115" s="140">
        <v>30.6</v>
      </c>
      <c r="BC115" s="111">
        <f t="shared" si="72"/>
        <v>0</v>
      </c>
      <c r="BD115" s="111">
        <f t="shared" si="59"/>
        <v>0</v>
      </c>
      <c r="BE115" s="111">
        <f t="shared" si="60"/>
        <v>0</v>
      </c>
      <c r="BF115" s="111">
        <f t="shared" si="61"/>
        <v>0.10000000000000142</v>
      </c>
      <c r="BG115" s="111">
        <f t="shared" si="62"/>
        <v>0.10000000000000142</v>
      </c>
      <c r="BH115" s="111">
        <f t="shared" si="63"/>
        <v>0.10000000000000142</v>
      </c>
      <c r="BI115" s="111">
        <f t="shared" si="64"/>
        <v>9.9999999999997868E-2</v>
      </c>
      <c r="BJ115" s="111">
        <f t="shared" si="65"/>
        <v>0.10000000000000142</v>
      </c>
      <c r="BK115" s="111">
        <f t="shared" si="66"/>
        <v>9.9999999999997868E-2</v>
      </c>
      <c r="BL115" s="111">
        <f t="shared" si="67"/>
        <v>0</v>
      </c>
      <c r="BM115" s="111">
        <f t="shared" si="68"/>
        <v>0</v>
      </c>
      <c r="BN115" s="111">
        <f t="shared" si="69"/>
        <v>0</v>
      </c>
      <c r="BO115" s="111">
        <f t="shared" si="70"/>
        <v>-9.9999999999997868E-2</v>
      </c>
      <c r="BR115" s="120">
        <v>7.3445534719088343E-3</v>
      </c>
      <c r="BS115" s="120">
        <v>7.1368822258744448E-3</v>
      </c>
      <c r="BT115" s="120">
        <v>6.9540011839350942E-3</v>
      </c>
      <c r="BU115" s="120">
        <v>7.0152100913264065E-3</v>
      </c>
      <c r="BV115" s="120">
        <v>6.9818673877304425E-3</v>
      </c>
      <c r="BW115" s="120">
        <v>6.9433477908209008E-3</v>
      </c>
      <c r="BX115" s="120">
        <v>6.9934070760119711E-3</v>
      </c>
      <c r="BY115" s="120">
        <v>7.2121257889004873E-3</v>
      </c>
      <c r="BZ115" s="120">
        <v>7.7003556812552994E-3</v>
      </c>
      <c r="CA115" s="120">
        <v>8.2204978783479744E-3</v>
      </c>
      <c r="CB115" s="120">
        <v>9.7253628512066759E-3</v>
      </c>
      <c r="CC115" s="120">
        <v>1.2760468715585045E-2</v>
      </c>
      <c r="CD115" s="120">
        <v>1.973497849724715E-2</v>
      </c>
      <c r="CF115" s="120">
        <v>0.2539345518253342</v>
      </c>
      <c r="CG115" s="120">
        <v>0.23532788996816423</v>
      </c>
      <c r="CH115" s="120">
        <v>0.22415932350990345</v>
      </c>
      <c r="CI115" s="120">
        <v>0.2215257282488643</v>
      </c>
      <c r="CJ115" s="120">
        <v>0.2160405685276342</v>
      </c>
      <c r="CK115" s="120">
        <v>0.21066877157984504</v>
      </c>
      <c r="CL115" s="120">
        <v>0.20443663021398159</v>
      </c>
      <c r="CM115" s="120">
        <v>0.19691015106839485</v>
      </c>
      <c r="CN115" s="120">
        <v>0.19779405362275182</v>
      </c>
      <c r="CO115" s="120">
        <v>0.19972587523113297</v>
      </c>
      <c r="CP115" s="120">
        <v>0.21442700364579692</v>
      </c>
      <c r="CQ115" s="120">
        <v>0.24005397106843152</v>
      </c>
      <c r="CR115" s="120">
        <v>0.28002090103992699</v>
      </c>
    </row>
    <row r="116" spans="1:96" ht="12.75" x14ac:dyDescent="0.2">
      <c r="A116">
        <v>-0.16</v>
      </c>
      <c r="B116">
        <v>-0.16200000000000001</v>
      </c>
      <c r="C116">
        <v>-0.183</v>
      </c>
      <c r="D116">
        <v>-0.187</v>
      </c>
      <c r="E116">
        <v>-0.2</v>
      </c>
      <c r="F116">
        <v>-0.2</v>
      </c>
      <c r="G116">
        <v>-0.21299999999999999</v>
      </c>
      <c r="H116">
        <v>-0.2</v>
      </c>
      <c r="I116">
        <v>-0.22700000000000001</v>
      </c>
      <c r="J116">
        <v>-0.22700000000000001</v>
      </c>
      <c r="K116">
        <v>-0.24399999999999999</v>
      </c>
      <c r="L116">
        <v>-0.251</v>
      </c>
      <c r="M116">
        <v>-0.249</v>
      </c>
      <c r="N116">
        <v>-0.249</v>
      </c>
      <c r="O116">
        <v>-0.251</v>
      </c>
      <c r="P116">
        <v>-0.251</v>
      </c>
      <c r="Q116">
        <v>-0.251</v>
      </c>
      <c r="R116">
        <v>-0.253</v>
      </c>
      <c r="S116">
        <v>-0.255</v>
      </c>
      <c r="T116">
        <v>-0.253</v>
      </c>
      <c r="U116">
        <v>-0.25800000000000001</v>
      </c>
      <c r="V116">
        <f t="shared" si="58"/>
        <v>-0.248</v>
      </c>
      <c r="W116">
        <f t="shared" si="71"/>
        <v>-0.158</v>
      </c>
      <c r="X116">
        <v>-0.26</v>
      </c>
      <c r="Y116">
        <v>-0.25900000000000001</v>
      </c>
      <c r="Z116">
        <v>-0.25800000000000001</v>
      </c>
      <c r="AA116">
        <v>-0.25700000000000001</v>
      </c>
      <c r="AB116">
        <v>-0.25800000000000001</v>
      </c>
      <c r="AC116">
        <v>-0.26200000000000001</v>
      </c>
      <c r="AD116">
        <v>-0.26200000000000001</v>
      </c>
      <c r="AE116">
        <v>-0.26200000000000001</v>
      </c>
      <c r="AF116">
        <v>-0.26900000000000002</v>
      </c>
      <c r="AG116">
        <v>-0.28100000000000003</v>
      </c>
      <c r="AH116">
        <v>-0.28299999999999997</v>
      </c>
      <c r="AI116">
        <v>-0.28999999999999998</v>
      </c>
      <c r="AJ116">
        <v>-0.29099999999999998</v>
      </c>
      <c r="AK116">
        <v>-0.29199999999999998</v>
      </c>
      <c r="AN116" t="s">
        <v>103</v>
      </c>
      <c r="AO116" s="140">
        <v>23</v>
      </c>
      <c r="AP116" s="137">
        <v>20.8</v>
      </c>
      <c r="AQ116" s="140">
        <v>20.2</v>
      </c>
      <c r="AR116" s="140">
        <v>19.7</v>
      </c>
      <c r="AS116" s="129">
        <f t="shared" si="56"/>
        <v>19.549999999999997</v>
      </c>
      <c r="AT116" s="140">
        <v>19.399999999999999</v>
      </c>
      <c r="AU116" s="140">
        <v>19.2</v>
      </c>
      <c r="AV116" s="140">
        <v>19.3</v>
      </c>
      <c r="AW116" s="140">
        <v>19.7</v>
      </c>
      <c r="AX116" s="140">
        <v>20.3</v>
      </c>
      <c r="AY116" s="140">
        <v>21.7</v>
      </c>
      <c r="AZ116" s="140">
        <v>24.2</v>
      </c>
      <c r="BA116" s="140">
        <v>28.1</v>
      </c>
      <c r="BC116" s="111">
        <f t="shared" si="72"/>
        <v>0</v>
      </c>
      <c r="BD116" s="111">
        <f t="shared" si="59"/>
        <v>0</v>
      </c>
      <c r="BE116" s="111">
        <f t="shared" si="60"/>
        <v>9.9999999999997868E-2</v>
      </c>
      <c r="BF116" s="111">
        <f t="shared" si="61"/>
        <v>0</v>
      </c>
      <c r="BG116" s="111">
        <f t="shared" si="62"/>
        <v>4.9999999999997158E-2</v>
      </c>
      <c r="BH116" s="111">
        <f t="shared" si="63"/>
        <v>9.9999999999997868E-2</v>
      </c>
      <c r="BI116" s="111">
        <f t="shared" si="64"/>
        <v>9.9999999999997868E-2</v>
      </c>
      <c r="BJ116" s="111">
        <f t="shared" si="65"/>
        <v>0.10000000000000142</v>
      </c>
      <c r="BK116" s="111">
        <f t="shared" si="66"/>
        <v>0</v>
      </c>
      <c r="BL116" s="111">
        <f t="shared" si="67"/>
        <v>0</v>
      </c>
      <c r="BM116" s="111">
        <f t="shared" si="68"/>
        <v>0</v>
      </c>
      <c r="BN116" s="111">
        <f t="shared" si="69"/>
        <v>0</v>
      </c>
      <c r="BO116" s="111">
        <f t="shared" si="70"/>
        <v>-9.9999999999997868E-2</v>
      </c>
      <c r="BR116" s="120">
        <v>7.6923904048188264E-3</v>
      </c>
      <c r="BS116" s="120">
        <v>7.5916190437854041E-3</v>
      </c>
      <c r="BT116" s="120">
        <v>7.7130309247444061E-3</v>
      </c>
      <c r="BU116" s="120">
        <v>7.3931039630321087E-3</v>
      </c>
      <c r="BV116" s="120">
        <v>7.4168111079185696E-3</v>
      </c>
      <c r="BW116" s="120">
        <v>7.4336951461688406E-3</v>
      </c>
      <c r="BX116" s="120">
        <v>7.2550058612298627E-3</v>
      </c>
      <c r="BY116" s="120">
        <v>7.3298066669968461E-3</v>
      </c>
      <c r="BZ116" s="120">
        <v>7.5911318458781081E-3</v>
      </c>
      <c r="CA116" s="120">
        <v>8.1622197345448625E-3</v>
      </c>
      <c r="CB116" s="120">
        <v>9.4027242596876823E-3</v>
      </c>
      <c r="CC116" s="120">
        <v>1.2138932278001337E-2</v>
      </c>
      <c r="CD116" s="120">
        <v>1.8781073070151619E-2</v>
      </c>
      <c r="CF116" s="120">
        <v>0.25472242188352867</v>
      </c>
      <c r="CG116" s="120">
        <v>0.23997955453909131</v>
      </c>
      <c r="CH116" s="120">
        <v>0.23877440764800142</v>
      </c>
      <c r="CI116" s="120">
        <v>0.22373923904538856</v>
      </c>
      <c r="CJ116" s="120">
        <v>0.21998145416155568</v>
      </c>
      <c r="CK116" s="120">
        <v>0.21622800156500771</v>
      </c>
      <c r="CL116" s="120">
        <v>0.20313703639915462</v>
      </c>
      <c r="CM116" s="120">
        <v>0.19171755185024136</v>
      </c>
      <c r="CN116" s="120">
        <v>0.18682542427822701</v>
      </c>
      <c r="CO116" s="120">
        <v>0.19025925741907634</v>
      </c>
      <c r="CP116" s="120">
        <v>0.19900265430472719</v>
      </c>
      <c r="CQ116" s="120">
        <v>0.21961698952221584</v>
      </c>
      <c r="CR116" s="120">
        <v>0.25709403094058758</v>
      </c>
    </row>
    <row r="117" spans="1:96" ht="12.75" x14ac:dyDescent="0.2">
      <c r="A117">
        <v>-0.19400000000000001</v>
      </c>
      <c r="B117">
        <v>-0.214</v>
      </c>
      <c r="C117">
        <v>-0.22800000000000001</v>
      </c>
      <c r="D117">
        <v>-0.24199999999999999</v>
      </c>
      <c r="E117">
        <v>-0.24399999999999999</v>
      </c>
      <c r="F117">
        <v>-0.26600000000000001</v>
      </c>
      <c r="G117">
        <v>-0.26800000000000002</v>
      </c>
      <c r="H117" s="133">
        <v>-0.25800000000000001</v>
      </c>
      <c r="I117" s="134">
        <v>-0.23300000000000001</v>
      </c>
      <c r="J117" s="134">
        <v>-0.24399999999999999</v>
      </c>
      <c r="K117" s="135">
        <v>-0.248</v>
      </c>
      <c r="L117" s="135">
        <v>-0.253</v>
      </c>
      <c r="M117" s="135">
        <v>-0.253</v>
      </c>
      <c r="N117" s="135">
        <v>-0.249</v>
      </c>
      <c r="O117" s="135">
        <v>-0.254</v>
      </c>
      <c r="P117" s="135">
        <v>-0.253</v>
      </c>
      <c r="Q117" s="135">
        <v>-0.255</v>
      </c>
      <c r="R117" s="135">
        <v>-0.25600000000000001</v>
      </c>
      <c r="S117" s="135">
        <v>-0.25600000000000001</v>
      </c>
      <c r="T117" s="135">
        <v>-0.25700000000000001</v>
      </c>
      <c r="U117" s="135">
        <v>-0.25800000000000001</v>
      </c>
      <c r="V117" s="135">
        <f t="shared" si="58"/>
        <v>-0.248</v>
      </c>
      <c r="W117" s="135">
        <f t="shared" si="71"/>
        <v>-0.158</v>
      </c>
      <c r="X117" s="135">
        <v>-0.26300000000000001</v>
      </c>
      <c r="Y117" s="135">
        <v>-0.26200000000000001</v>
      </c>
      <c r="Z117" s="135">
        <v>-0.26200000000000001</v>
      </c>
      <c r="AA117" s="135">
        <v>-0.25800000000000001</v>
      </c>
      <c r="AB117" s="135">
        <v>-0.26100000000000001</v>
      </c>
      <c r="AC117" s="135">
        <v>-0.26400000000000001</v>
      </c>
      <c r="AD117" s="157">
        <v>-0.26400000000000001</v>
      </c>
      <c r="AE117" s="157">
        <v>-0.25800000000000001</v>
      </c>
      <c r="AF117" s="157">
        <v>-0.26500000000000001</v>
      </c>
      <c r="AG117" s="135">
        <v>-0.29199999999999998</v>
      </c>
      <c r="AH117" s="135">
        <v>-0.28699999999999998</v>
      </c>
      <c r="AI117" s="135">
        <v>-0.30399999999999999</v>
      </c>
      <c r="AJ117" s="135">
        <v>-0.31</v>
      </c>
      <c r="AK117" s="135">
        <v>-0.311</v>
      </c>
      <c r="AN117" t="s">
        <v>104</v>
      </c>
      <c r="AO117" s="140">
        <v>23.5</v>
      </c>
      <c r="AP117" s="140">
        <v>21.5</v>
      </c>
      <c r="AQ117" s="140">
        <v>20.8</v>
      </c>
      <c r="AR117" s="140">
        <v>20.3</v>
      </c>
      <c r="AS117" s="129">
        <f t="shared" si="56"/>
        <v>20.05</v>
      </c>
      <c r="AT117" s="140">
        <v>19.8</v>
      </c>
      <c r="AU117" s="140">
        <v>19.5</v>
      </c>
      <c r="AV117" s="140">
        <v>19.2</v>
      </c>
      <c r="AW117" s="140">
        <v>19.2</v>
      </c>
      <c r="AX117" s="140">
        <v>19.5</v>
      </c>
      <c r="AY117" s="140">
        <v>20.399999999999999</v>
      </c>
      <c r="AZ117" s="140">
        <v>22.4</v>
      </c>
      <c r="BA117" s="140">
        <v>25.7</v>
      </c>
      <c r="BC117" s="111">
        <f t="shared" si="72"/>
        <v>0</v>
      </c>
      <c r="BD117" s="111">
        <f t="shared" si="59"/>
        <v>0.10000000000000142</v>
      </c>
      <c r="BE117" s="111">
        <f t="shared" si="60"/>
        <v>0</v>
      </c>
      <c r="BF117" s="111">
        <f t="shared" si="61"/>
        <v>0</v>
      </c>
      <c r="BG117" s="111">
        <f t="shared" si="62"/>
        <v>5.0000000000000711E-2</v>
      </c>
      <c r="BH117" s="111">
        <f t="shared" si="63"/>
        <v>0.10000000000000142</v>
      </c>
      <c r="BI117" s="111">
        <f t="shared" si="64"/>
        <v>0.10000000000000142</v>
      </c>
      <c r="BJ117" s="111">
        <f t="shared" si="65"/>
        <v>0</v>
      </c>
      <c r="BK117" s="111">
        <f t="shared" si="66"/>
        <v>-0.10000000000000142</v>
      </c>
      <c r="BL117" s="111">
        <f t="shared" si="67"/>
        <v>-0.10000000000000142</v>
      </c>
      <c r="BM117" s="111">
        <f t="shared" si="68"/>
        <v>-0.10000000000000142</v>
      </c>
      <c r="BN117" s="111">
        <f t="shared" si="69"/>
        <v>-0.10000000000000142</v>
      </c>
      <c r="BO117" s="111">
        <f t="shared" si="70"/>
        <v>-0.19999999999999929</v>
      </c>
      <c r="BR117" s="120">
        <v>7.9754428703060869E-3</v>
      </c>
      <c r="BS117" s="120">
        <v>7.969746249049451E-3</v>
      </c>
      <c r="BT117" s="120">
        <v>7.6741394076086655E-3</v>
      </c>
      <c r="BU117" s="120">
        <v>7.7392346364433982E-3</v>
      </c>
      <c r="BV117" s="120">
        <v>7.6235165029183627E-3</v>
      </c>
      <c r="BW117" s="120">
        <v>7.5039916953183357E-3</v>
      </c>
      <c r="BX117" s="120">
        <v>7.5771024528779899E-3</v>
      </c>
      <c r="BY117" s="120">
        <v>7.4946524948034856E-3</v>
      </c>
      <c r="BZ117" s="120">
        <v>7.5993675759426296E-3</v>
      </c>
      <c r="CA117" s="120">
        <v>7.9208426597603895E-3</v>
      </c>
      <c r="CB117" s="120">
        <v>8.8388990365605886E-3</v>
      </c>
      <c r="CC117" s="120">
        <v>1.123446745672641E-2</v>
      </c>
      <c r="CD117" s="120">
        <v>1.6948204931147532E-2</v>
      </c>
      <c r="CF117" s="120">
        <v>0.25381234599522928</v>
      </c>
      <c r="CG117" s="120">
        <v>0.24228567527232894</v>
      </c>
      <c r="CH117" s="120">
        <v>0.22788971014873619</v>
      </c>
      <c r="CI117" s="120">
        <v>0.22533011472412925</v>
      </c>
      <c r="CJ117" s="120">
        <v>0.21743042992480674</v>
      </c>
      <c r="CK117" s="120">
        <v>0.20980406159811046</v>
      </c>
      <c r="CL117" s="120">
        <v>0.20432288929019601</v>
      </c>
      <c r="CM117" s="120">
        <v>0.18886211987120474</v>
      </c>
      <c r="CN117" s="120">
        <v>0.18028037430525568</v>
      </c>
      <c r="CO117" s="120">
        <v>0.17790182319650796</v>
      </c>
      <c r="CP117" s="120">
        <v>0.18037548753195359</v>
      </c>
      <c r="CQ117" s="120">
        <v>0.19626102593498546</v>
      </c>
      <c r="CR117" s="120">
        <v>0.22433280240616407</v>
      </c>
    </row>
    <row r="118" spans="1:96" ht="12.75" x14ac:dyDescent="0.2">
      <c r="A118">
        <v>-0.23499999999999999</v>
      </c>
      <c r="B118">
        <v>-0.25900000000000001</v>
      </c>
      <c r="C118">
        <v>-0.24099999999999999</v>
      </c>
      <c r="D118">
        <v>-0.253</v>
      </c>
      <c r="E118">
        <v>-0.254</v>
      </c>
      <c r="F118">
        <v>-0.28499999999999998</v>
      </c>
      <c r="G118">
        <v>-0.28399999999999997</v>
      </c>
      <c r="H118" s="133">
        <v>-0.27600000000000002</v>
      </c>
      <c r="I118" s="134">
        <v>-0.23499999999999999</v>
      </c>
      <c r="J118" s="134">
        <v>-0.248</v>
      </c>
      <c r="K118" s="135">
        <v>-0.253</v>
      </c>
      <c r="L118" s="135">
        <v>-0.255</v>
      </c>
      <c r="M118" s="135">
        <v>-0.25700000000000001</v>
      </c>
      <c r="N118" s="135">
        <v>-0.253</v>
      </c>
      <c r="O118" s="135">
        <v>-0.26</v>
      </c>
      <c r="P118" s="135">
        <v>-0.25700000000000001</v>
      </c>
      <c r="Q118" s="135">
        <v>-0.26</v>
      </c>
      <c r="R118" s="135">
        <v>-0.26100000000000001</v>
      </c>
      <c r="S118" s="135">
        <v>-0.26300000000000001</v>
      </c>
      <c r="T118" s="135">
        <v>-0.26300000000000001</v>
      </c>
      <c r="U118" s="135">
        <v>-0.26300000000000001</v>
      </c>
      <c r="V118" s="135">
        <f t="shared" si="58"/>
        <v>-0.253</v>
      </c>
      <c r="W118" s="135">
        <f t="shared" si="71"/>
        <v>-0.16300000000000001</v>
      </c>
      <c r="X118" s="135">
        <v>-0.26800000000000002</v>
      </c>
      <c r="Y118" s="135">
        <v>-0.26700000000000002</v>
      </c>
      <c r="Z118" s="135">
        <v>-0.26800000000000002</v>
      </c>
      <c r="AA118" s="135">
        <v>-0.26100000000000001</v>
      </c>
      <c r="AB118" s="135">
        <v>-0.26600000000000001</v>
      </c>
      <c r="AC118" s="135">
        <v>-0.26700000000000002</v>
      </c>
      <c r="AD118" s="157">
        <v>-0.26700000000000002</v>
      </c>
      <c r="AE118" s="157">
        <v>-0.26200000000000001</v>
      </c>
      <c r="AF118" s="157">
        <v>-0.26800000000000002</v>
      </c>
      <c r="AG118" s="135">
        <v>-0.30599999999999999</v>
      </c>
      <c r="AH118" s="135">
        <v>-0.29499999999999998</v>
      </c>
      <c r="AI118" s="135">
        <v>-0.32</v>
      </c>
      <c r="AJ118" s="135">
        <v>-0.32600000000000001</v>
      </c>
      <c r="AK118" s="135">
        <v>-0.33100000000000002</v>
      </c>
      <c r="AN118" t="s">
        <v>105</v>
      </c>
      <c r="AO118" s="137">
        <v>23.8</v>
      </c>
      <c r="AP118" s="140">
        <v>21.8</v>
      </c>
      <c r="AQ118" s="140">
        <v>21.2</v>
      </c>
      <c r="AR118" s="140">
        <v>20.7</v>
      </c>
      <c r="AS118" s="129">
        <f t="shared" si="56"/>
        <v>20.399999999999999</v>
      </c>
      <c r="AT118" s="140">
        <v>20.100000000000001</v>
      </c>
      <c r="AU118" s="140">
        <v>19.7</v>
      </c>
      <c r="AV118" s="140">
        <v>19.100000000000001</v>
      </c>
      <c r="AW118" s="140">
        <v>18.899999999999999</v>
      </c>
      <c r="AX118" s="140">
        <v>18.899999999999999</v>
      </c>
      <c r="AY118" s="140">
        <v>19.399999999999999</v>
      </c>
      <c r="AZ118" s="140">
        <v>20.9</v>
      </c>
      <c r="BA118" s="140">
        <v>23.7</v>
      </c>
      <c r="BC118" s="111">
        <f t="shared" si="72"/>
        <v>0</v>
      </c>
      <c r="BD118" s="111">
        <f t="shared" si="59"/>
        <v>0</v>
      </c>
      <c r="BE118" s="111">
        <f t="shared" si="60"/>
        <v>9.9999999999997868E-2</v>
      </c>
      <c r="BF118" s="111">
        <f t="shared" si="61"/>
        <v>9.9999999999997868E-2</v>
      </c>
      <c r="BG118" s="111">
        <f t="shared" si="62"/>
        <v>9.9999999999997868E-2</v>
      </c>
      <c r="BH118" s="111">
        <f t="shared" si="63"/>
        <v>0.10000000000000142</v>
      </c>
      <c r="BI118" s="111">
        <f t="shared" si="64"/>
        <v>9.9999999999997868E-2</v>
      </c>
      <c r="BJ118" s="111">
        <f t="shared" si="65"/>
        <v>0</v>
      </c>
      <c r="BK118" s="111">
        <f t="shared" si="66"/>
        <v>-0.10000000000000142</v>
      </c>
      <c r="BL118" s="111">
        <f t="shared" si="67"/>
        <v>-0.10000000000000142</v>
      </c>
      <c r="BM118" s="111">
        <f t="shared" si="68"/>
        <v>-0.20000000000000284</v>
      </c>
      <c r="BN118" s="111">
        <f t="shared" si="69"/>
        <v>-0.20000000000000284</v>
      </c>
      <c r="BO118" s="111">
        <f t="shared" si="70"/>
        <v>-0.19999999999999929</v>
      </c>
      <c r="BR118" s="120">
        <v>8.1268173932052649E-3</v>
      </c>
      <c r="BS118" s="120">
        <v>7.7544808445304467E-3</v>
      </c>
      <c r="BT118" s="120">
        <v>7.9929830629707748E-3</v>
      </c>
      <c r="BU118" s="120">
        <v>7.9395746442795321E-3</v>
      </c>
      <c r="BV118" s="120">
        <v>7.919997477135246E-3</v>
      </c>
      <c r="BW118" s="120">
        <v>7.8916798464462468E-3</v>
      </c>
      <c r="BX118" s="120">
        <v>7.81273826202185E-3</v>
      </c>
      <c r="BY118" s="120">
        <v>7.6617673349741473E-3</v>
      </c>
      <c r="BZ118" s="120">
        <v>7.8636057178998828E-3</v>
      </c>
      <c r="CA118" s="120">
        <v>7.9846995861173695E-3</v>
      </c>
      <c r="CB118" s="120">
        <v>8.7320411132122602E-3</v>
      </c>
      <c r="CC118" s="120">
        <v>1.0698889420455233E-2</v>
      </c>
      <c r="CD118" s="120">
        <v>1.5952768342463747E-2</v>
      </c>
      <c r="CF118" s="120">
        <v>0.25087164520855904</v>
      </c>
      <c r="CG118" s="120">
        <v>0.22825134482233431</v>
      </c>
      <c r="CH118" s="120">
        <v>0.23072441176841332</v>
      </c>
      <c r="CI118" s="120">
        <v>0.22437058799375725</v>
      </c>
      <c r="CJ118" s="120">
        <v>0.21942562977819488</v>
      </c>
      <c r="CK118" s="120">
        <v>0.21448173489456493</v>
      </c>
      <c r="CL118" s="120">
        <v>0.20459026054004475</v>
      </c>
      <c r="CM118" s="120">
        <v>0.18755384359421351</v>
      </c>
      <c r="CN118" s="120">
        <v>0.18138701785656244</v>
      </c>
      <c r="CO118" s="120">
        <v>0.17442406024416657</v>
      </c>
      <c r="CP118" s="120">
        <v>0.17344593515189163</v>
      </c>
      <c r="CQ118" s="120">
        <v>0.18205077155974705</v>
      </c>
      <c r="CR118" s="120">
        <v>0.20628551274316487</v>
      </c>
    </row>
    <row r="119" spans="1:96" ht="12.75" x14ac:dyDescent="0.2">
      <c r="A119">
        <v>-0.252</v>
      </c>
      <c r="B119">
        <v>-0.28000000000000003</v>
      </c>
      <c r="C119">
        <v>-0.25900000000000001</v>
      </c>
      <c r="D119">
        <v>-0.27300000000000002</v>
      </c>
      <c r="E119">
        <v>-0.27300000000000002</v>
      </c>
      <c r="F119">
        <v>-0.30299999999999999</v>
      </c>
      <c r="G119">
        <v>-0.29699999999999999</v>
      </c>
      <c r="H119" s="133">
        <v>-0.29199999999999998</v>
      </c>
      <c r="I119" s="134">
        <v>-0.23799999999999999</v>
      </c>
      <c r="J119" s="134">
        <v>-0.253</v>
      </c>
      <c r="K119" s="135">
        <v>-0.25800000000000001</v>
      </c>
      <c r="L119" s="135">
        <v>-0.26100000000000001</v>
      </c>
      <c r="M119" s="135">
        <v>-0.26200000000000001</v>
      </c>
      <c r="N119" s="135">
        <v>-0.25700000000000001</v>
      </c>
      <c r="O119" s="135">
        <v>-0.26400000000000001</v>
      </c>
      <c r="P119" s="135">
        <v>-0.25900000000000001</v>
      </c>
      <c r="Q119" s="135">
        <v>-0.26500000000000001</v>
      </c>
      <c r="R119" s="135">
        <v>-0.26600000000000001</v>
      </c>
      <c r="S119" s="135">
        <v>-0.26800000000000002</v>
      </c>
      <c r="T119" s="135">
        <v>-0.26800000000000002</v>
      </c>
      <c r="U119" s="135">
        <v>-0.26800000000000002</v>
      </c>
      <c r="V119" s="135">
        <f t="shared" si="58"/>
        <v>-0.25800000000000001</v>
      </c>
      <c r="W119" s="135">
        <f t="shared" si="71"/>
        <v>-0.16800000000000001</v>
      </c>
      <c r="X119" s="135">
        <v>-0.27300000000000002</v>
      </c>
      <c r="Y119" s="135">
        <v>-0.27200000000000002</v>
      </c>
      <c r="Z119" s="135">
        <v>-0.27200000000000002</v>
      </c>
      <c r="AA119" s="135">
        <v>-0.26400000000000001</v>
      </c>
      <c r="AB119" s="135">
        <v>-0.27300000000000002</v>
      </c>
      <c r="AC119" s="135">
        <v>-0.27100000000000002</v>
      </c>
      <c r="AD119" s="157">
        <v>-0.27100000000000002</v>
      </c>
      <c r="AE119" s="157">
        <v>-0.26600000000000001</v>
      </c>
      <c r="AF119" s="157">
        <v>-0.27200000000000002</v>
      </c>
      <c r="AG119" s="135">
        <v>-0.318</v>
      </c>
      <c r="AH119" s="135">
        <v>-0.30299999999999999</v>
      </c>
      <c r="AI119" s="135">
        <v>-0.33</v>
      </c>
      <c r="AJ119" s="135">
        <v>-0.33900000000000002</v>
      </c>
      <c r="AK119" s="135">
        <v>-0.34399999999999997</v>
      </c>
      <c r="AN119" t="s">
        <v>106</v>
      </c>
      <c r="AO119" s="140">
        <v>23.8</v>
      </c>
      <c r="AP119" s="140">
        <v>22</v>
      </c>
      <c r="AQ119" s="140">
        <v>21.3</v>
      </c>
      <c r="AR119" s="140">
        <v>20.9</v>
      </c>
      <c r="AS119" s="129">
        <f t="shared" si="56"/>
        <v>20.549999999999997</v>
      </c>
      <c r="AT119" s="140">
        <v>20.2</v>
      </c>
      <c r="AU119" s="140">
        <v>19.7</v>
      </c>
      <c r="AV119" s="140">
        <v>19</v>
      </c>
      <c r="AW119" s="140">
        <v>18.600000000000001</v>
      </c>
      <c r="AX119" s="140">
        <v>18.399999999999999</v>
      </c>
      <c r="AY119" s="140">
        <v>18.600000000000001</v>
      </c>
      <c r="AZ119" s="140">
        <v>19.600000000000001</v>
      </c>
      <c r="BA119" s="140">
        <v>22.1</v>
      </c>
      <c r="BC119" s="111">
        <f t="shared" si="72"/>
        <v>-9.9999999999997868E-2</v>
      </c>
      <c r="BD119" s="111">
        <f t="shared" si="59"/>
        <v>0</v>
      </c>
      <c r="BE119" s="111">
        <f t="shared" si="60"/>
        <v>0</v>
      </c>
      <c r="BF119" s="111">
        <f t="shared" si="61"/>
        <v>9.9999999999997868E-2</v>
      </c>
      <c r="BG119" s="111">
        <f t="shared" si="62"/>
        <v>4.9999999999997158E-2</v>
      </c>
      <c r="BH119" s="111">
        <f t="shared" si="63"/>
        <v>0</v>
      </c>
      <c r="BI119" s="111">
        <f t="shared" si="64"/>
        <v>0</v>
      </c>
      <c r="BJ119" s="111">
        <f t="shared" si="65"/>
        <v>0</v>
      </c>
      <c r="BK119" s="111">
        <f t="shared" si="66"/>
        <v>-9.9999999999997868E-2</v>
      </c>
      <c r="BL119" s="111">
        <f t="shared" si="67"/>
        <v>-0.20000000000000284</v>
      </c>
      <c r="BM119" s="111">
        <f t="shared" si="68"/>
        <v>-0.19999999999999929</v>
      </c>
      <c r="BN119" s="111">
        <f t="shared" si="69"/>
        <v>-0.29999999999999716</v>
      </c>
      <c r="BO119" s="111">
        <f t="shared" si="70"/>
        <v>-0.29999999999999716</v>
      </c>
      <c r="BR119" s="120">
        <v>7.7356373327644411E-3</v>
      </c>
      <c r="BS119" s="120">
        <v>8.0006781900284606E-3</v>
      </c>
      <c r="BT119" s="120">
        <v>7.5806669654208637E-3</v>
      </c>
      <c r="BU119" s="120">
        <v>7.8536654670693356E-3</v>
      </c>
      <c r="BV119" s="120">
        <v>7.7668233163767026E-3</v>
      </c>
      <c r="BW119" s="120">
        <v>7.6728895701561788E-3</v>
      </c>
      <c r="BX119" s="120">
        <v>7.5740658617597769E-3</v>
      </c>
      <c r="BY119" s="120">
        <v>7.7241891623330812E-3</v>
      </c>
      <c r="BZ119" s="120">
        <v>7.6950038455123959E-3</v>
      </c>
      <c r="CA119" s="120">
        <v>7.8190696143827891E-3</v>
      </c>
      <c r="CB119" s="120">
        <v>8.4254895854262313E-3</v>
      </c>
      <c r="CC119" s="120">
        <v>9.9094287305135312E-3</v>
      </c>
      <c r="CD119" s="120">
        <v>1.4935701883773906E-2</v>
      </c>
      <c r="CF119" s="120">
        <v>0.23362757813773044</v>
      </c>
      <c r="CG119" s="120">
        <v>0.23141242839085621</v>
      </c>
      <c r="CH119" s="120">
        <v>0.21405485453111428</v>
      </c>
      <c r="CI119" s="120">
        <v>0.21761817515400031</v>
      </c>
      <c r="CJ119" s="120">
        <v>0.21089499625266556</v>
      </c>
      <c r="CK119" s="120">
        <v>0.20430494604319532</v>
      </c>
      <c r="CL119" s="120">
        <v>0.19441126003747866</v>
      </c>
      <c r="CM119" s="120">
        <v>0.18562777336051042</v>
      </c>
      <c r="CN119" s="120">
        <v>0.17414269432097457</v>
      </c>
      <c r="CO119" s="120">
        <v>0.1676420050242223</v>
      </c>
      <c r="CP119" s="120">
        <v>0.16430108751657233</v>
      </c>
      <c r="CQ119" s="120">
        <v>0.16556632701226329</v>
      </c>
      <c r="CR119" s="120">
        <v>0.18988178191339217</v>
      </c>
    </row>
    <row r="120" spans="1:96" ht="12.75" x14ac:dyDescent="0.2">
      <c r="A120">
        <v>-0.26800000000000002</v>
      </c>
      <c r="B120">
        <v>-0.30099999999999999</v>
      </c>
      <c r="C120">
        <v>-0.27400000000000002</v>
      </c>
      <c r="D120">
        <v>-0.28899999999999998</v>
      </c>
      <c r="E120">
        <v>-0.28599999999999998</v>
      </c>
      <c r="F120">
        <v>-0.317</v>
      </c>
      <c r="G120">
        <v>-0.313</v>
      </c>
      <c r="H120" s="133">
        <v>-0.30599999999999999</v>
      </c>
      <c r="I120" s="134">
        <v>-0.245</v>
      </c>
      <c r="J120" s="134">
        <v>-0.26100000000000001</v>
      </c>
      <c r="K120" s="135">
        <v>-0.26600000000000001</v>
      </c>
      <c r="L120" s="135">
        <v>-0.26600000000000001</v>
      </c>
      <c r="M120" s="135">
        <v>-0.26700000000000002</v>
      </c>
      <c r="N120" s="135">
        <v>-0.26100000000000001</v>
      </c>
      <c r="O120" s="135">
        <v>-0.26800000000000002</v>
      </c>
      <c r="P120" s="135">
        <v>-0.26100000000000001</v>
      </c>
      <c r="Q120" s="135">
        <v>-0.26800000000000002</v>
      </c>
      <c r="R120" s="135">
        <v>-0.27</v>
      </c>
      <c r="S120" s="135">
        <v>-0.27300000000000002</v>
      </c>
      <c r="T120" s="135">
        <v>-0.27300000000000002</v>
      </c>
      <c r="U120" s="135">
        <v>-0.27300000000000002</v>
      </c>
      <c r="V120" s="135">
        <f t="shared" si="58"/>
        <v>-0.26300000000000001</v>
      </c>
      <c r="W120" s="135">
        <f t="shared" si="71"/>
        <v>-0.17300000000000001</v>
      </c>
      <c r="X120" s="135">
        <v>-0.27700000000000002</v>
      </c>
      <c r="Y120" s="135">
        <v>-0.27600000000000002</v>
      </c>
      <c r="Z120" s="135">
        <v>-0.27600000000000002</v>
      </c>
      <c r="AA120" s="135">
        <v>-0.26700000000000002</v>
      </c>
      <c r="AB120" s="135">
        <v>-0.27800000000000002</v>
      </c>
      <c r="AC120" s="135">
        <v>-0.27300000000000002</v>
      </c>
      <c r="AD120" s="157">
        <v>-0.27400000000000002</v>
      </c>
      <c r="AE120" s="157">
        <v>-0.26900000000000002</v>
      </c>
      <c r="AF120" s="157">
        <v>-0.27900000000000003</v>
      </c>
      <c r="AG120" s="135">
        <v>-0.32400000000000001</v>
      </c>
      <c r="AH120" s="135">
        <v>-0.311</v>
      </c>
      <c r="AI120" s="135">
        <v>-0.33800000000000002</v>
      </c>
      <c r="AJ120" s="135">
        <v>-0.34899999999999998</v>
      </c>
      <c r="AK120" s="135">
        <v>-0.35199999999999998</v>
      </c>
      <c r="AN120" t="s">
        <v>79</v>
      </c>
      <c r="AO120" s="140">
        <v>23.9</v>
      </c>
      <c r="AP120" s="140">
        <v>22.1</v>
      </c>
      <c r="AQ120" s="137">
        <v>21.4</v>
      </c>
      <c r="AR120" s="140">
        <v>20.9</v>
      </c>
      <c r="AS120" s="129">
        <f t="shared" si="56"/>
        <v>20.549999999999997</v>
      </c>
      <c r="AT120" s="140">
        <v>20.2</v>
      </c>
      <c r="AU120" s="140">
        <v>19.7</v>
      </c>
      <c r="AV120" s="140">
        <v>18.8</v>
      </c>
      <c r="AW120" s="140">
        <v>18.3</v>
      </c>
      <c r="AX120" s="140">
        <v>18</v>
      </c>
      <c r="AY120" s="140">
        <v>18</v>
      </c>
      <c r="AZ120" s="137">
        <v>18.7</v>
      </c>
      <c r="BA120" s="140">
        <v>21.1</v>
      </c>
      <c r="BC120" s="111">
        <f t="shared" si="72"/>
        <v>0</v>
      </c>
      <c r="BD120" s="111">
        <f t="shared" si="59"/>
        <v>0</v>
      </c>
      <c r="BE120" s="111">
        <f t="shared" si="60"/>
        <v>-0.10000000000000142</v>
      </c>
      <c r="BF120" s="111">
        <f t="shared" si="61"/>
        <v>-0.10000000000000142</v>
      </c>
      <c r="BG120" s="111">
        <f t="shared" si="62"/>
        <v>-5.0000000000004263E-2</v>
      </c>
      <c r="BH120" s="111">
        <f t="shared" si="63"/>
        <v>0</v>
      </c>
      <c r="BI120" s="111">
        <f t="shared" si="64"/>
        <v>0</v>
      </c>
      <c r="BJ120" s="111">
        <f t="shared" si="65"/>
        <v>-9.9999999999997868E-2</v>
      </c>
      <c r="BK120" s="111">
        <f t="shared" si="66"/>
        <v>-9.9999999999997868E-2</v>
      </c>
      <c r="BL120" s="111">
        <f t="shared" si="67"/>
        <v>-0.19999999999999929</v>
      </c>
      <c r="BM120" s="111">
        <f t="shared" si="68"/>
        <v>-0.30000000000000071</v>
      </c>
      <c r="BN120" s="111">
        <f t="shared" si="69"/>
        <v>-0.5</v>
      </c>
      <c r="BO120" s="111">
        <f t="shared" si="70"/>
        <v>-0.29999999999999716</v>
      </c>
      <c r="BR120" s="120">
        <v>8.3148335877781931E-3</v>
      </c>
      <c r="BS120" s="120">
        <v>7.9086235485741948E-3</v>
      </c>
      <c r="BT120" s="120">
        <v>7.9473306494773632E-3</v>
      </c>
      <c r="BU120" s="120">
        <v>7.5482168828997567E-3</v>
      </c>
      <c r="BV120" s="120">
        <v>7.6060311024463735E-3</v>
      </c>
      <c r="BW120" s="120">
        <v>7.656887077711185E-3</v>
      </c>
      <c r="BX120" s="120">
        <v>7.8037030440706633E-3</v>
      </c>
      <c r="BY120" s="120">
        <v>7.4455681032385805E-3</v>
      </c>
      <c r="BZ120" s="120">
        <v>7.5989310562683959E-3</v>
      </c>
      <c r="CA120" s="120">
        <v>7.7913001352160737E-3</v>
      </c>
      <c r="CB120" s="120">
        <v>8.3706163324902029E-3</v>
      </c>
      <c r="CC120" s="120">
        <v>9.9709396174745817E-3</v>
      </c>
      <c r="CD120" s="120">
        <v>1.5258575009381154E-2</v>
      </c>
      <c r="CF120" s="120">
        <v>0.24870365333128625</v>
      </c>
      <c r="CG120" s="120">
        <v>0.22546476638391788</v>
      </c>
      <c r="CH120" s="120">
        <v>0.2219564834073724</v>
      </c>
      <c r="CI120" s="120">
        <v>0.20605182716496723</v>
      </c>
      <c r="CJ120" s="120">
        <v>0.20365287441422664</v>
      </c>
      <c r="CK120" s="120">
        <v>0.20121014690286448</v>
      </c>
      <c r="CL120" s="120">
        <v>0.19789001109512833</v>
      </c>
      <c r="CM120" s="120">
        <v>0.17639190997925325</v>
      </c>
      <c r="CN120" s="120">
        <v>0.16971907576002837</v>
      </c>
      <c r="CO120" s="120">
        <v>0.16492677474933409</v>
      </c>
      <c r="CP120" s="120">
        <v>0.16122719954258921</v>
      </c>
      <c r="CQ120" s="120">
        <v>0.16476334055600558</v>
      </c>
      <c r="CR120" s="120">
        <v>0.1922905505134474</v>
      </c>
    </row>
    <row r="121" spans="1:96" ht="12.75" x14ac:dyDescent="0.2">
      <c r="A121">
        <v>-0.27800000000000002</v>
      </c>
      <c r="B121">
        <v>-0.315</v>
      </c>
      <c r="C121">
        <v>-0.28299999999999997</v>
      </c>
      <c r="D121">
        <v>-0.29699999999999999</v>
      </c>
      <c r="E121">
        <v>-0.29699999999999999</v>
      </c>
      <c r="F121">
        <v>-0.32900000000000001</v>
      </c>
      <c r="G121">
        <v>-0.33200000000000002</v>
      </c>
      <c r="H121" s="133">
        <v>-0.32</v>
      </c>
      <c r="I121" s="134">
        <v>-0.252</v>
      </c>
      <c r="J121" s="134">
        <v>-0.26900000000000002</v>
      </c>
      <c r="K121" s="135">
        <v>-0.27300000000000002</v>
      </c>
      <c r="L121" s="135">
        <v>-0.27200000000000002</v>
      </c>
      <c r="M121" s="135">
        <v>-0.27200000000000002</v>
      </c>
      <c r="N121" s="135">
        <v>-0.26600000000000001</v>
      </c>
      <c r="O121" s="135">
        <v>-0.27200000000000002</v>
      </c>
      <c r="P121" s="135">
        <v>-0.26200000000000001</v>
      </c>
      <c r="Q121" s="135">
        <v>-0.27</v>
      </c>
      <c r="R121" s="135">
        <v>-0.27300000000000002</v>
      </c>
      <c r="S121" s="135">
        <v>-0.27600000000000002</v>
      </c>
      <c r="T121" s="135">
        <v>-0.27600000000000002</v>
      </c>
      <c r="U121" s="135">
        <v>-0.27700000000000002</v>
      </c>
      <c r="V121" s="135">
        <f t="shared" si="58"/>
        <v>-0.26700000000000002</v>
      </c>
      <c r="W121" s="135">
        <f t="shared" si="71"/>
        <v>-0.17700000000000002</v>
      </c>
      <c r="X121" s="135">
        <v>-0.28100000000000003</v>
      </c>
      <c r="Y121" s="135">
        <v>-0.27900000000000003</v>
      </c>
      <c r="Z121" s="135">
        <v>-0.27900000000000003</v>
      </c>
      <c r="AA121" s="135">
        <v>-0.26900000000000002</v>
      </c>
      <c r="AB121" s="135">
        <v>-0.28000000000000003</v>
      </c>
      <c r="AC121" s="135">
        <v>-0.27700000000000002</v>
      </c>
      <c r="AD121" s="157">
        <v>-0.27700000000000002</v>
      </c>
      <c r="AE121" s="157">
        <v>-0.27400000000000002</v>
      </c>
      <c r="AF121" s="157">
        <v>-0.28799999999999998</v>
      </c>
      <c r="AG121" s="135">
        <v>-0.33400000000000002</v>
      </c>
      <c r="AH121" s="135">
        <v>-0.32400000000000001</v>
      </c>
      <c r="AI121" s="135">
        <v>-0.34599999999999997</v>
      </c>
      <c r="AJ121" s="135">
        <v>-0.35899999999999999</v>
      </c>
      <c r="AK121" s="135">
        <v>-0.36099999999999999</v>
      </c>
      <c r="AN121" t="s">
        <v>159</v>
      </c>
      <c r="AO121" s="137">
        <v>23.4</v>
      </c>
      <c r="AP121" s="140">
        <v>21.8</v>
      </c>
      <c r="AQ121" s="140">
        <v>21.2</v>
      </c>
      <c r="AR121" s="140">
        <v>20.7</v>
      </c>
      <c r="AS121" s="129">
        <f t="shared" si="56"/>
        <v>20.350000000000001</v>
      </c>
      <c r="AT121" s="140">
        <v>20</v>
      </c>
      <c r="AU121" s="140">
        <v>19.399999999999999</v>
      </c>
      <c r="AV121" s="140">
        <v>18.5</v>
      </c>
      <c r="AW121" s="140">
        <v>17.8</v>
      </c>
      <c r="AX121" s="140">
        <v>17.399999999999999</v>
      </c>
      <c r="AY121" s="140">
        <v>17</v>
      </c>
      <c r="AZ121" s="140">
        <v>17.3</v>
      </c>
      <c r="BA121" s="140">
        <v>18.7</v>
      </c>
      <c r="BC121" s="111">
        <f t="shared" si="72"/>
        <v>-0.10000000000000142</v>
      </c>
      <c r="BD121" s="111">
        <f t="shared" si="59"/>
        <v>-9.9999999999997868E-2</v>
      </c>
      <c r="BE121" s="111">
        <f t="shared" si="60"/>
        <v>-0.10000000000000142</v>
      </c>
      <c r="BF121" s="111">
        <f t="shared" si="61"/>
        <v>-0.10000000000000142</v>
      </c>
      <c r="BG121" s="111">
        <f t="shared" si="62"/>
        <v>-0.10000000000000142</v>
      </c>
      <c r="BH121" s="111">
        <f t="shared" si="63"/>
        <v>-0.10000000000000142</v>
      </c>
      <c r="BI121" s="111">
        <f t="shared" si="64"/>
        <v>-0.10000000000000142</v>
      </c>
      <c r="BJ121" s="111">
        <f t="shared" si="65"/>
        <v>-0.10000000000000142</v>
      </c>
      <c r="BK121" s="111">
        <f t="shared" si="66"/>
        <v>-0.19999999999999929</v>
      </c>
      <c r="BL121" s="111">
        <f t="shared" si="67"/>
        <v>-0.20000000000000284</v>
      </c>
      <c r="BM121" s="111">
        <f t="shared" si="68"/>
        <v>-0.39999999999999858</v>
      </c>
      <c r="BN121" s="111">
        <f t="shared" si="69"/>
        <v>-0.39999999999999858</v>
      </c>
      <c r="BO121" s="111">
        <f t="shared" si="70"/>
        <v>-0.40000000000000213</v>
      </c>
      <c r="BR121" s="120">
        <v>6.8097366201902033E-3</v>
      </c>
      <c r="BS121" s="120">
        <v>7.0643235588047203E-3</v>
      </c>
      <c r="BT121" s="120">
        <v>7.1385088966021337E-3</v>
      </c>
      <c r="BU121" s="120">
        <v>7.3309100014658304E-3</v>
      </c>
      <c r="BV121" s="120">
        <v>7.3265418581014204E-3</v>
      </c>
      <c r="BW121" s="120">
        <v>7.316867198049113E-3</v>
      </c>
      <c r="BX121" s="120">
        <v>7.1181391588532265E-3</v>
      </c>
      <c r="BY121" s="120">
        <v>7.5832560556440918E-3</v>
      </c>
      <c r="BZ121" s="120">
        <v>7.4483879001155757E-3</v>
      </c>
      <c r="CA121" s="120">
        <v>7.62130738928857E-3</v>
      </c>
      <c r="CB121" s="120">
        <v>7.7489679954886479E-3</v>
      </c>
      <c r="CC121" s="120">
        <v>8.9862819090807435E-3</v>
      </c>
      <c r="CD121" s="120">
        <v>1.0592486570016534E-2</v>
      </c>
      <c r="CF121" s="120">
        <v>0.19870826461086138</v>
      </c>
      <c r="CG121" s="120">
        <v>0.19764291974357415</v>
      </c>
      <c r="CH121" s="120">
        <v>0.19556986003350305</v>
      </c>
      <c r="CI121" s="120">
        <v>0.19713020921728691</v>
      </c>
      <c r="CJ121" s="120">
        <v>0.19315567760241448</v>
      </c>
      <c r="CK121" s="120">
        <v>0.18924341234981332</v>
      </c>
      <c r="CL121" s="120">
        <v>0.17735408822687102</v>
      </c>
      <c r="CM121" s="120">
        <v>0.17729989823168013</v>
      </c>
      <c r="CN121" s="120">
        <v>0.16396671344543728</v>
      </c>
      <c r="CO121" s="120">
        <v>0.15902893981177579</v>
      </c>
      <c r="CP121" s="120">
        <v>0.14697083684435336</v>
      </c>
      <c r="CQ121" s="120">
        <v>0.14619220764189683</v>
      </c>
      <c r="CR121" s="120">
        <v>0.1302905021116203</v>
      </c>
    </row>
    <row r="122" spans="1:96" ht="12.75" x14ac:dyDescent="0.2">
      <c r="A122">
        <v>-0.28399999999999997</v>
      </c>
      <c r="B122">
        <v>-0.32300000000000001</v>
      </c>
      <c r="C122">
        <v>-0.29099999999999998</v>
      </c>
      <c r="D122">
        <v>-0.30599999999999999</v>
      </c>
      <c r="E122">
        <v>-0.308</v>
      </c>
      <c r="F122">
        <v>-0.34100000000000003</v>
      </c>
      <c r="G122">
        <v>-0.34799999999999998</v>
      </c>
      <c r="H122" s="133">
        <v>-0.33400000000000002</v>
      </c>
      <c r="I122" s="134">
        <v>-0.25900000000000001</v>
      </c>
      <c r="J122" s="134">
        <v>-0.27700000000000002</v>
      </c>
      <c r="K122" s="135">
        <v>-0.27800000000000002</v>
      </c>
      <c r="L122" s="135">
        <v>-0.27700000000000002</v>
      </c>
      <c r="M122" s="135">
        <v>-0.27700000000000002</v>
      </c>
      <c r="N122" s="135">
        <v>-0.27100000000000002</v>
      </c>
      <c r="O122" s="135">
        <v>-0.27700000000000002</v>
      </c>
      <c r="P122" s="135">
        <v>-0.26700000000000002</v>
      </c>
      <c r="Q122" s="135">
        <v>-0.27500000000000002</v>
      </c>
      <c r="R122" s="135">
        <v>-0.27700000000000002</v>
      </c>
      <c r="S122" s="135">
        <v>-0.28100000000000003</v>
      </c>
      <c r="T122" s="135">
        <v>-0.28100000000000003</v>
      </c>
      <c r="U122" s="135">
        <v>-0.28399999999999997</v>
      </c>
      <c r="V122" s="135">
        <f t="shared" si="58"/>
        <v>-0.27399999999999997</v>
      </c>
      <c r="W122" s="135">
        <f t="shared" si="71"/>
        <v>-0.18399999999999997</v>
      </c>
      <c r="X122" s="135">
        <v>-0.28799999999999998</v>
      </c>
      <c r="Y122" s="135">
        <v>-0.28599999999999998</v>
      </c>
      <c r="Z122" s="135">
        <v>-0.28599999999999998</v>
      </c>
      <c r="AA122" s="135">
        <v>-0.27400000000000002</v>
      </c>
      <c r="AB122" s="135">
        <v>-0.28599999999999998</v>
      </c>
      <c r="AC122" s="135">
        <v>-0.28199999999999997</v>
      </c>
      <c r="AD122" s="157">
        <v>-0.28299999999999997</v>
      </c>
      <c r="AE122" s="157">
        <v>-0.27900000000000003</v>
      </c>
      <c r="AF122" s="157">
        <v>-0.29599999999999999</v>
      </c>
      <c r="AG122" s="135">
        <v>-0.34200000000000003</v>
      </c>
      <c r="AH122" s="135">
        <v>-0.33100000000000002</v>
      </c>
      <c r="AI122" s="135">
        <v>-0.35199999999999998</v>
      </c>
      <c r="AJ122" s="135">
        <v>-0.36699999999999999</v>
      </c>
      <c r="AK122" s="135">
        <v>-0.36899999999999999</v>
      </c>
      <c r="AN122" t="s">
        <v>107</v>
      </c>
      <c r="AO122" s="140">
        <v>22.7</v>
      </c>
      <c r="AP122" s="140">
        <v>21.3</v>
      </c>
      <c r="AQ122" s="140">
        <v>20.8</v>
      </c>
      <c r="AR122" s="140">
        <v>20.3</v>
      </c>
      <c r="AS122" s="129">
        <f t="shared" si="56"/>
        <v>19.950000000000003</v>
      </c>
      <c r="AT122" s="140">
        <v>19.600000000000001</v>
      </c>
      <c r="AU122" s="140">
        <v>19</v>
      </c>
      <c r="AV122" s="140">
        <v>18</v>
      </c>
      <c r="AW122" s="140">
        <v>17.3</v>
      </c>
      <c r="AX122" s="140">
        <v>16.8</v>
      </c>
      <c r="AY122" s="140">
        <v>16.2</v>
      </c>
      <c r="AZ122" s="140">
        <v>16</v>
      </c>
      <c r="BA122" s="140">
        <v>16.600000000000001</v>
      </c>
      <c r="BC122" s="111">
        <f t="shared" si="72"/>
        <v>-0.10000000000000142</v>
      </c>
      <c r="BD122" s="111">
        <f t="shared" si="59"/>
        <v>-9.9999999999997868E-2</v>
      </c>
      <c r="BE122" s="111">
        <f t="shared" si="60"/>
        <v>-9.9999999999997868E-2</v>
      </c>
      <c r="BF122" s="111">
        <f t="shared" si="61"/>
        <v>-9.9999999999997868E-2</v>
      </c>
      <c r="BG122" s="111">
        <f t="shared" si="62"/>
        <v>-9.9999999999994316E-2</v>
      </c>
      <c r="BH122" s="111">
        <f t="shared" si="63"/>
        <v>-9.9999999999997868E-2</v>
      </c>
      <c r="BI122" s="111">
        <f t="shared" si="64"/>
        <v>-0.10000000000000142</v>
      </c>
      <c r="BJ122" s="111">
        <f t="shared" si="65"/>
        <v>-0.19999999999999929</v>
      </c>
      <c r="BK122" s="111">
        <f t="shared" si="66"/>
        <v>-0.19999999999999929</v>
      </c>
      <c r="BL122" s="111">
        <f t="shared" si="67"/>
        <v>-0.30000000000000071</v>
      </c>
      <c r="BM122" s="111">
        <f t="shared" si="68"/>
        <v>-0.40000000000000213</v>
      </c>
      <c r="BN122" s="111">
        <f t="shared" si="69"/>
        <v>-0.30000000000000071</v>
      </c>
      <c r="BO122" s="111">
        <f t="shared" si="70"/>
        <v>-0.29999999999999716</v>
      </c>
      <c r="BR122" s="120">
        <v>7.2789512997518237E-3</v>
      </c>
      <c r="BS122" s="120">
        <v>7.1197158741371988E-3</v>
      </c>
      <c r="BT122" s="120">
        <v>7.1771676939331756E-3</v>
      </c>
      <c r="BU122" s="120">
        <v>6.9859648212484502E-3</v>
      </c>
      <c r="BV122" s="120">
        <v>7.0108191477280396E-3</v>
      </c>
      <c r="BW122" s="120">
        <v>7.0302339025994061E-3</v>
      </c>
      <c r="BX122" s="120">
        <v>7.2315337449525901E-3</v>
      </c>
      <c r="BY122" s="120">
        <v>6.9077754210479583E-3</v>
      </c>
      <c r="BZ122" s="120">
        <v>7.2794335983060315E-3</v>
      </c>
      <c r="CA122" s="120">
        <v>7.3558291181090715E-3</v>
      </c>
      <c r="CB122" s="120">
        <v>7.844948158653749E-3</v>
      </c>
      <c r="CC122" s="120">
        <v>8.5384429871578019E-3</v>
      </c>
      <c r="CD122" s="120">
        <v>1.1826653773609424E-2</v>
      </c>
      <c r="CF122" s="120">
        <v>0.2157206436021134</v>
      </c>
      <c r="CG122" s="120">
        <v>0.20134751567293546</v>
      </c>
      <c r="CH122" s="120">
        <v>0.1988078989354965</v>
      </c>
      <c r="CI122" s="120">
        <v>0.18930301101753758</v>
      </c>
      <c r="CJ122" s="120">
        <v>0.1862884064052778</v>
      </c>
      <c r="CK122" s="120">
        <v>0.1832940202406291</v>
      </c>
      <c r="CL122" s="120">
        <v>0.18198041046321792</v>
      </c>
      <c r="CM122" s="120">
        <v>0.16235274484521445</v>
      </c>
      <c r="CN122" s="120">
        <v>0.16140797774273305</v>
      </c>
      <c r="CO122" s="120">
        <v>0.15451599393248061</v>
      </c>
      <c r="CP122" s="120">
        <v>0.14993365177593246</v>
      </c>
      <c r="CQ122" s="120">
        <v>0.13979678112587596</v>
      </c>
      <c r="CR122" s="120">
        <v>0.1475219362670406</v>
      </c>
    </row>
    <row r="123" spans="1:96" ht="12.75" x14ac:dyDescent="0.2">
      <c r="A123">
        <v>-0.29099999999999998</v>
      </c>
      <c r="B123">
        <v>-0.33400000000000002</v>
      </c>
      <c r="C123">
        <v>-0.30199999999999999</v>
      </c>
      <c r="D123">
        <v>-0.316</v>
      </c>
      <c r="E123">
        <v>-0.32900000000000001</v>
      </c>
      <c r="F123">
        <v>-0.36499999999999999</v>
      </c>
      <c r="G123">
        <v>-0.38</v>
      </c>
      <c r="H123" s="133">
        <v>-0.35699999999999998</v>
      </c>
      <c r="I123" s="134">
        <v>-0.27100000000000002</v>
      </c>
      <c r="J123" s="134">
        <v>-0.29199999999999998</v>
      </c>
      <c r="K123" s="135">
        <v>-0.29399999999999998</v>
      </c>
      <c r="L123" s="135">
        <v>-0.29799999999999999</v>
      </c>
      <c r="M123" s="135">
        <v>-0.29899999999999999</v>
      </c>
      <c r="N123" s="135">
        <v>-0.28799999999999998</v>
      </c>
      <c r="O123" s="135">
        <v>-0.28999999999999998</v>
      </c>
      <c r="P123" s="135">
        <v>-0.27600000000000002</v>
      </c>
      <c r="Q123" s="135">
        <v>-0.28399999999999997</v>
      </c>
      <c r="R123" s="135">
        <v>-0.28799999999999998</v>
      </c>
      <c r="S123" s="135">
        <v>-0.29099999999999998</v>
      </c>
      <c r="T123" s="135">
        <v>-0.29099999999999998</v>
      </c>
      <c r="U123" s="135">
        <v>-0.29899999999999999</v>
      </c>
      <c r="V123" s="135">
        <f t="shared" si="58"/>
        <v>-0.28899999999999998</v>
      </c>
      <c r="W123" s="135">
        <f t="shared" si="71"/>
        <v>-0.19899999999999998</v>
      </c>
      <c r="X123" s="135">
        <v>-0.30199999999999999</v>
      </c>
      <c r="Y123" s="135">
        <v>-0.29899999999999999</v>
      </c>
      <c r="Z123" s="135">
        <v>-0.29899999999999999</v>
      </c>
      <c r="AA123" s="135">
        <v>-0.28199999999999997</v>
      </c>
      <c r="AB123" s="135">
        <v>-0.29699999999999999</v>
      </c>
      <c r="AC123" s="135">
        <v>-0.28899999999999998</v>
      </c>
      <c r="AD123" s="157">
        <v>-0.29099999999999998</v>
      </c>
      <c r="AE123" s="157">
        <v>-0.28999999999999998</v>
      </c>
      <c r="AF123" s="157">
        <v>-0.307</v>
      </c>
      <c r="AG123" s="135">
        <v>-0.35599999999999998</v>
      </c>
      <c r="AH123" s="135">
        <v>-0.34699999999999998</v>
      </c>
      <c r="AI123" s="135">
        <v>-0.36099999999999999</v>
      </c>
      <c r="AJ123" s="135">
        <v>-0.377</v>
      </c>
      <c r="AK123" s="135">
        <v>-0.38100000000000001</v>
      </c>
      <c r="AN123" t="s">
        <v>108</v>
      </c>
      <c r="AO123" s="140">
        <v>21.7</v>
      </c>
      <c r="AP123" s="140">
        <v>20.6</v>
      </c>
      <c r="AQ123" s="140">
        <v>20.100000000000001</v>
      </c>
      <c r="AR123" s="140">
        <v>19.7</v>
      </c>
      <c r="AS123" s="129">
        <f t="shared" si="56"/>
        <v>19.399999999999999</v>
      </c>
      <c r="AT123" s="140">
        <v>19.100000000000001</v>
      </c>
      <c r="AU123" s="140">
        <v>18.5</v>
      </c>
      <c r="AV123" s="140">
        <v>17.600000000000001</v>
      </c>
      <c r="AW123" s="140">
        <v>16.8</v>
      </c>
      <c r="AX123" s="140">
        <v>16.3</v>
      </c>
      <c r="AY123" s="140">
        <v>15.6</v>
      </c>
      <c r="AZ123" s="140">
        <v>15</v>
      </c>
      <c r="BA123" s="140">
        <v>14.8</v>
      </c>
      <c r="BC123" s="111">
        <f t="shared" si="72"/>
        <v>-0.30000000000000071</v>
      </c>
      <c r="BD123" s="111">
        <f t="shared" si="59"/>
        <v>-0.19999999999999929</v>
      </c>
      <c r="BE123" s="111">
        <f t="shared" si="60"/>
        <v>-0.29999999999999716</v>
      </c>
      <c r="BF123" s="111">
        <f t="shared" si="61"/>
        <v>-0.19999999999999929</v>
      </c>
      <c r="BG123" s="111">
        <f t="shared" si="62"/>
        <v>-0.20000000000000284</v>
      </c>
      <c r="BH123" s="111">
        <f t="shared" si="63"/>
        <v>-0.19999999999999929</v>
      </c>
      <c r="BI123" s="111">
        <f t="shared" si="64"/>
        <v>-0.19999999999999929</v>
      </c>
      <c r="BJ123" s="111">
        <f t="shared" si="65"/>
        <v>-0.19999999999999929</v>
      </c>
      <c r="BK123" s="111">
        <f t="shared" si="66"/>
        <v>-0.30000000000000071</v>
      </c>
      <c r="BL123" s="111">
        <f t="shared" si="67"/>
        <v>-0.30000000000000071</v>
      </c>
      <c r="BM123" s="111">
        <f t="shared" si="68"/>
        <v>-0.30000000000000071</v>
      </c>
      <c r="BN123" s="111">
        <f t="shared" si="69"/>
        <v>-0.30000000000000071</v>
      </c>
      <c r="BO123" s="111">
        <f t="shared" si="70"/>
        <v>-0.19999999999999929</v>
      </c>
      <c r="BR123" s="120">
        <v>5.9818153454349599E-3</v>
      </c>
      <c r="BS123" s="120">
        <v>6.2962569805366389E-3</v>
      </c>
      <c r="BT123" s="120">
        <v>6.190859669839629E-3</v>
      </c>
      <c r="BU123" s="120">
        <v>6.4493444460484162E-3</v>
      </c>
      <c r="BV123" s="120">
        <v>6.5332787505588226E-3</v>
      </c>
      <c r="BW123" s="120">
        <v>6.6153181035276676E-3</v>
      </c>
      <c r="BX123" s="120">
        <v>6.501355370986079E-3</v>
      </c>
      <c r="BY123" s="120">
        <v>7.0911639648537778E-3</v>
      </c>
      <c r="BZ123" s="120">
        <v>6.8313254075506652E-3</v>
      </c>
      <c r="CA123" s="120">
        <v>7.0918624517413162E-3</v>
      </c>
      <c r="CB123" s="120">
        <v>7.2962361859376787E-3</v>
      </c>
      <c r="CC123" s="120">
        <v>8.0039931362159127E-3</v>
      </c>
      <c r="CD123" s="120">
        <v>8.8206573875619747E-3</v>
      </c>
      <c r="CF123" s="120">
        <v>0.18401868992099196</v>
      </c>
      <c r="CG123" s="120">
        <v>0.18533341397137709</v>
      </c>
      <c r="CH123" s="120">
        <v>0.1781739310778814</v>
      </c>
      <c r="CI123" s="120">
        <v>0.181998558088448</v>
      </c>
      <c r="CJ123" s="120">
        <v>0.18076295765587624</v>
      </c>
      <c r="CK123" s="120">
        <v>0.17956742325527311</v>
      </c>
      <c r="CL123" s="120">
        <v>0.17000401697963244</v>
      </c>
      <c r="CM123" s="120">
        <v>0.1735595416512514</v>
      </c>
      <c r="CN123" s="120">
        <v>0.15723986676517021</v>
      </c>
      <c r="CO123" s="120">
        <v>0.15457837779153646</v>
      </c>
      <c r="CP123" s="120">
        <v>0.14440060710329286</v>
      </c>
      <c r="CQ123" s="120">
        <v>0.13534212430771106</v>
      </c>
      <c r="CR123" s="120">
        <v>0.1127717406622052</v>
      </c>
    </row>
    <row r="124" spans="1:96" ht="12.75" x14ac:dyDescent="0.2">
      <c r="A124">
        <v>-0.29299999999999998</v>
      </c>
      <c r="B124">
        <v>-0.33500000000000002</v>
      </c>
      <c r="C124">
        <v>-0.29799999999999999</v>
      </c>
      <c r="D124">
        <v>-0.313</v>
      </c>
      <c r="E124">
        <v>-0.33400000000000002</v>
      </c>
      <c r="F124">
        <v>-0.374</v>
      </c>
      <c r="G124">
        <v>-0.39</v>
      </c>
      <c r="H124" s="133">
        <v>-0.36499999999999999</v>
      </c>
      <c r="I124" s="134">
        <v>-0.27100000000000002</v>
      </c>
      <c r="J124" s="134">
        <v>-0.29499999999999998</v>
      </c>
      <c r="K124" s="135">
        <v>-0.29099999999999998</v>
      </c>
      <c r="L124" s="135">
        <v>-0.30199999999999999</v>
      </c>
      <c r="M124" s="135">
        <v>-0.30599999999999999</v>
      </c>
      <c r="N124" s="135">
        <v>-0.28999999999999998</v>
      </c>
      <c r="O124" s="135">
        <v>-0.29199999999999998</v>
      </c>
      <c r="P124" s="135">
        <v>-0.27400000000000002</v>
      </c>
      <c r="Q124" s="135">
        <v>-0.28499999999999998</v>
      </c>
      <c r="R124" s="135">
        <v>-0.28799999999999998</v>
      </c>
      <c r="S124" s="135">
        <v>-0.29399999999999998</v>
      </c>
      <c r="T124" s="135">
        <v>-0.29299999999999998</v>
      </c>
      <c r="U124" s="135">
        <v>-0.30499999999999999</v>
      </c>
      <c r="V124" s="135">
        <f t="shared" si="58"/>
        <v>-0.29499999999999998</v>
      </c>
      <c r="W124" s="135">
        <f t="shared" si="71"/>
        <v>-0.20499999999999999</v>
      </c>
      <c r="X124" s="135">
        <v>-0.308</v>
      </c>
      <c r="Y124" s="135">
        <v>-0.30399999999999999</v>
      </c>
      <c r="Z124" s="135">
        <v>-0.30399999999999999</v>
      </c>
      <c r="AA124" s="135">
        <v>-0.28399999999999997</v>
      </c>
      <c r="AB124" s="135">
        <v>-0.3</v>
      </c>
      <c r="AC124" s="135">
        <v>-0.29399999999999998</v>
      </c>
      <c r="AD124" s="157">
        <v>-0.29699999999999999</v>
      </c>
      <c r="AE124" s="157">
        <v>-0.30199999999999999</v>
      </c>
      <c r="AF124" s="157">
        <v>-0.32100000000000001</v>
      </c>
      <c r="AG124" s="135">
        <v>-0.36599999999999999</v>
      </c>
      <c r="AH124" s="135">
        <v>-0.36199999999999999</v>
      </c>
      <c r="AI124" s="135">
        <v>-0.373</v>
      </c>
      <c r="AJ124" s="135">
        <v>-0.38800000000000001</v>
      </c>
      <c r="AK124" s="135">
        <v>-0.39400000000000002</v>
      </c>
      <c r="AN124" t="s">
        <v>109</v>
      </c>
      <c r="AO124" s="140">
        <v>21.2</v>
      </c>
      <c r="AP124" s="140">
        <v>20.2</v>
      </c>
      <c r="AQ124" s="140">
        <v>19.8</v>
      </c>
      <c r="AR124" s="140">
        <v>19.399999999999999</v>
      </c>
      <c r="AS124" s="129">
        <f t="shared" si="56"/>
        <v>19.100000000000001</v>
      </c>
      <c r="AT124" s="140">
        <v>18.8</v>
      </c>
      <c r="AU124" s="140">
        <v>18.2</v>
      </c>
      <c r="AV124" s="140">
        <v>17.3</v>
      </c>
      <c r="AW124" s="140">
        <v>16.600000000000001</v>
      </c>
      <c r="AX124" s="140">
        <v>16.100000000000001</v>
      </c>
      <c r="AY124" s="140">
        <v>15.3</v>
      </c>
      <c r="AZ124" s="140">
        <v>14.6</v>
      </c>
      <c r="BA124" s="140">
        <v>14</v>
      </c>
      <c r="BC124" s="111">
        <f t="shared" si="72"/>
        <v>-0.30000000000000071</v>
      </c>
      <c r="BD124" s="111">
        <f t="shared" si="59"/>
        <v>-0.30000000000000071</v>
      </c>
      <c r="BE124" s="111">
        <f t="shared" si="60"/>
        <v>-0.30000000000000071</v>
      </c>
      <c r="BF124" s="111">
        <f t="shared" si="61"/>
        <v>-0.30000000000000071</v>
      </c>
      <c r="BG124" s="111">
        <f t="shared" si="62"/>
        <v>-0.25</v>
      </c>
      <c r="BH124" s="111">
        <f t="shared" si="63"/>
        <v>-0.19999999999999929</v>
      </c>
      <c r="BI124" s="111">
        <f t="shared" si="64"/>
        <v>-0.30000000000000071</v>
      </c>
      <c r="BJ124" s="111">
        <f t="shared" si="65"/>
        <v>-0.30000000000000071</v>
      </c>
      <c r="BK124" s="111">
        <f t="shared" si="66"/>
        <v>-0.29999999999999716</v>
      </c>
      <c r="BL124" s="111">
        <f t="shared" si="67"/>
        <v>-0.29999999999999716</v>
      </c>
      <c r="BM124" s="111">
        <f t="shared" si="68"/>
        <v>-0.29999999999999893</v>
      </c>
      <c r="BN124" s="111">
        <f t="shared" si="69"/>
        <v>-0.20000000000000107</v>
      </c>
      <c r="BO124" s="111">
        <f t="shared" si="70"/>
        <v>-0.19999999999999929</v>
      </c>
      <c r="BR124" s="120">
        <v>6.5944878355873211E-3</v>
      </c>
      <c r="BS124" s="120">
        <v>6.4285890852650712E-3</v>
      </c>
      <c r="BT124" s="120">
        <v>6.6714282011974772E-3</v>
      </c>
      <c r="BU124" s="120">
        <v>6.4634450355714364E-3</v>
      </c>
      <c r="BV124" s="120">
        <v>6.4400225484380581E-3</v>
      </c>
      <c r="BW124" s="120">
        <v>6.4085987782905689E-3</v>
      </c>
      <c r="BX124" s="120">
        <v>6.5402741615356837E-3</v>
      </c>
      <c r="BY124" s="120">
        <v>6.2464181103667983E-3</v>
      </c>
      <c r="BZ124" s="120">
        <v>6.8776804284597553E-3</v>
      </c>
      <c r="CA124" s="120">
        <v>6.9722340976703916E-3</v>
      </c>
      <c r="CB124" s="120">
        <v>7.2000866483505508E-3</v>
      </c>
      <c r="CC124" s="120">
        <v>8.0139300711235817E-3</v>
      </c>
      <c r="CD124" s="120">
        <v>1.0427523264924216E-2</v>
      </c>
      <c r="CF124" s="120">
        <v>0.21079978990683218</v>
      </c>
      <c r="CG124" s="120">
        <v>0.19589016253034294</v>
      </c>
      <c r="CH124" s="120">
        <v>0.19916308048011577</v>
      </c>
      <c r="CI124" s="120">
        <v>0.18872892848074535</v>
      </c>
      <c r="CJ124" s="120">
        <v>0.18420521174310439</v>
      </c>
      <c r="CK124" s="120">
        <v>0.17968347654961547</v>
      </c>
      <c r="CL124" s="120">
        <v>0.17653995835936886</v>
      </c>
      <c r="CM124" s="120">
        <v>0.15743110649789452</v>
      </c>
      <c r="CN124" s="120">
        <v>0.16322690974548149</v>
      </c>
      <c r="CO124" s="120">
        <v>0.15656627891946265</v>
      </c>
      <c r="CP124" s="120">
        <v>0.14645895064643696</v>
      </c>
      <c r="CQ124" s="120">
        <v>0.13919216053254452</v>
      </c>
      <c r="CR124" s="120">
        <v>0.13662542999783561</v>
      </c>
    </row>
    <row r="125" spans="1:96" ht="12.75" x14ac:dyDescent="0.2">
      <c r="A125">
        <v>-0.2505</v>
      </c>
      <c r="B125">
        <v>-0.27950000000000003</v>
      </c>
      <c r="C125">
        <v>-0.26300000000000001</v>
      </c>
      <c r="D125">
        <v>-0.27550000000000002</v>
      </c>
      <c r="E125">
        <v>-0.28299999999999997</v>
      </c>
      <c r="F125">
        <v>-0.307</v>
      </c>
      <c r="G125">
        <v>-0.3135</v>
      </c>
      <c r="H125" s="133">
        <v>-0.30399999999999999</v>
      </c>
      <c r="I125" s="134">
        <v>-0.252</v>
      </c>
      <c r="J125" s="134">
        <v>-0.26700000000000002</v>
      </c>
      <c r="K125" s="135">
        <v>-0.27250000000000002</v>
      </c>
      <c r="L125" s="135">
        <v>-0.27450000000000002</v>
      </c>
      <c r="M125" s="135">
        <v>-0.27500000000000002</v>
      </c>
      <c r="N125" s="135">
        <v>-0.27</v>
      </c>
      <c r="O125" s="135">
        <v>-0.27350000000000002</v>
      </c>
      <c r="P125" s="135">
        <v>-0.26650000000000001</v>
      </c>
      <c r="Q125" s="135">
        <v>-0.27150000000000002</v>
      </c>
      <c r="R125" s="135">
        <v>-0.27400000000000002</v>
      </c>
      <c r="S125" s="135">
        <v>-0.27650000000000002</v>
      </c>
      <c r="T125" s="135">
        <v>-0.27700000000000002</v>
      </c>
      <c r="U125" s="135">
        <v>-0.28050000000000003</v>
      </c>
      <c r="V125" s="135">
        <f t="shared" si="58"/>
        <v>-0.27050000000000002</v>
      </c>
      <c r="W125" s="135">
        <f t="shared" si="71"/>
        <v>-0.18050000000000002</v>
      </c>
      <c r="X125" s="135">
        <v>-0.28349999999999997</v>
      </c>
      <c r="Y125" s="135">
        <v>-0.28249999999999997</v>
      </c>
      <c r="Z125" s="135">
        <v>-0.28249999999999997</v>
      </c>
      <c r="AA125" s="135">
        <v>-0.27250000000000002</v>
      </c>
      <c r="AB125" s="135">
        <v>-0.28199999999999997</v>
      </c>
      <c r="AC125" s="135">
        <v>-0.27900000000000003</v>
      </c>
      <c r="AD125" s="157">
        <v>-0.28000000000000003</v>
      </c>
      <c r="AE125" s="157">
        <v>-0.27850000000000003</v>
      </c>
      <c r="AF125" s="157">
        <v>-0.28999999999999998</v>
      </c>
      <c r="AG125" s="135">
        <v>-0.32800000000000001</v>
      </c>
      <c r="AH125" s="135">
        <v>-0.31950000000000001</v>
      </c>
      <c r="AI125" s="135">
        <v>-0.33700000000000002</v>
      </c>
      <c r="AJ125" s="135">
        <v>-0.34699999999999998</v>
      </c>
      <c r="AK125" s="135">
        <v>-0.35049999999999998</v>
      </c>
      <c r="AN125" t="s">
        <v>110</v>
      </c>
      <c r="AO125" s="140">
        <v>20.8</v>
      </c>
      <c r="AP125" s="140">
        <v>19.899999999999999</v>
      </c>
      <c r="AQ125" s="140">
        <v>19.5</v>
      </c>
      <c r="AR125" s="140">
        <v>19.2</v>
      </c>
      <c r="AS125" s="129">
        <f t="shared" si="56"/>
        <v>18.850000000000001</v>
      </c>
      <c r="AT125" s="140">
        <v>18.5</v>
      </c>
      <c r="AU125" s="140">
        <v>18</v>
      </c>
      <c r="AV125" s="140">
        <v>17.100000000000001</v>
      </c>
      <c r="AW125" s="140">
        <v>16.5</v>
      </c>
      <c r="AX125" s="140">
        <v>15.9</v>
      </c>
      <c r="AY125" s="140">
        <v>15.1</v>
      </c>
      <c r="AZ125" s="140">
        <v>14.3</v>
      </c>
      <c r="BA125" s="140">
        <v>13.5</v>
      </c>
      <c r="BC125" s="111">
        <f t="shared" si="72"/>
        <v>-0.30000000000000071</v>
      </c>
      <c r="BD125" s="111">
        <f t="shared" si="59"/>
        <v>-0.30000000000000071</v>
      </c>
      <c r="BE125" s="111">
        <f t="shared" si="60"/>
        <v>-0.30000000000000071</v>
      </c>
      <c r="BF125" s="111">
        <f t="shared" si="61"/>
        <v>-0.19999999999999929</v>
      </c>
      <c r="BG125" s="111">
        <f t="shared" si="62"/>
        <v>-0.25</v>
      </c>
      <c r="BH125" s="111">
        <f t="shared" si="63"/>
        <v>-0.30000000000000071</v>
      </c>
      <c r="BI125" s="111">
        <f t="shared" si="64"/>
        <v>-0.30000000000000071</v>
      </c>
      <c r="BJ125" s="111">
        <f t="shared" si="65"/>
        <v>-0.29999999999999716</v>
      </c>
      <c r="BK125" s="111">
        <f t="shared" si="66"/>
        <v>-0.19999999999999929</v>
      </c>
      <c r="BL125" s="111">
        <f t="shared" si="67"/>
        <v>-0.29999999999999893</v>
      </c>
      <c r="BM125" s="111">
        <f t="shared" si="68"/>
        <v>-0.30000000000000071</v>
      </c>
      <c r="BN125" s="111">
        <f t="shared" si="69"/>
        <v>-0.19999999999999929</v>
      </c>
      <c r="BO125" s="111">
        <f t="shared" si="70"/>
        <v>-0.19999999999999929</v>
      </c>
      <c r="BR125" s="120">
        <v>5.5780865275406235E-3</v>
      </c>
      <c r="BS125" s="120">
        <v>5.8848874597149719E-3</v>
      </c>
      <c r="BT125" s="120">
        <v>5.6918110209299537E-3</v>
      </c>
      <c r="BU125" s="120">
        <v>6.1136889391142576E-3</v>
      </c>
      <c r="BV125" s="120">
        <v>6.0423075985188181E-3</v>
      </c>
      <c r="BW125" s="120">
        <v>5.9603956026822525E-3</v>
      </c>
      <c r="BX125" s="120">
        <v>6.1736638787047637E-3</v>
      </c>
      <c r="BY125" s="120">
        <v>6.5894653639752805E-3</v>
      </c>
      <c r="BZ125" s="120">
        <v>6.6277155615341414E-3</v>
      </c>
      <c r="CA125" s="120">
        <v>6.5049213869466044E-3</v>
      </c>
      <c r="CB125" s="120">
        <v>6.9010047444656624E-3</v>
      </c>
      <c r="CC125" s="120">
        <v>7.4052592247310887E-3</v>
      </c>
      <c r="CD125" s="120">
        <v>8.6287720751455285E-3</v>
      </c>
      <c r="CF125" s="120">
        <v>0.1808398323861434</v>
      </c>
      <c r="CG125" s="120">
        <v>0.18223668925290337</v>
      </c>
      <c r="CH125" s="120">
        <v>0.17209718288827974</v>
      </c>
      <c r="CI125" s="120">
        <v>0.18148115180489083</v>
      </c>
      <c r="CJ125" s="120">
        <v>0.17540383717053643</v>
      </c>
      <c r="CK125" s="120">
        <v>0.16932625125493975</v>
      </c>
      <c r="CL125" s="120">
        <v>0.16934833364426438</v>
      </c>
      <c r="CM125" s="120">
        <v>0.16857697468465294</v>
      </c>
      <c r="CN125" s="120">
        <v>0.15972340048821754</v>
      </c>
      <c r="CO125" s="120">
        <v>0.1478110353201289</v>
      </c>
      <c r="CP125" s="120">
        <v>0.14225931722676061</v>
      </c>
      <c r="CQ125" s="120">
        <v>0.13000683842329772</v>
      </c>
      <c r="CR125" s="120">
        <v>0.11436360876232353</v>
      </c>
    </row>
    <row r="126" spans="1:96" ht="12.75" x14ac:dyDescent="0.2">
      <c r="A126">
        <v>-0.25900000000000001</v>
      </c>
      <c r="B126">
        <v>-0.29399999999999998</v>
      </c>
      <c r="C126">
        <v>-0.26900000000000002</v>
      </c>
      <c r="D126">
        <v>-0.28050000000000003</v>
      </c>
      <c r="E126">
        <v>-0.29749999999999999</v>
      </c>
      <c r="F126">
        <v>-0.33700000000000002</v>
      </c>
      <c r="G126">
        <v>-0.34749999999999998</v>
      </c>
      <c r="H126" s="133">
        <v>-0.33100000000000002</v>
      </c>
      <c r="I126" s="134">
        <v>-0.255</v>
      </c>
      <c r="J126" s="134">
        <v>-0.27900000000000003</v>
      </c>
      <c r="K126" s="135">
        <v>-0.27500000000000002</v>
      </c>
      <c r="L126" s="135">
        <v>-0.28599999999999998</v>
      </c>
      <c r="M126" s="135">
        <v>-0.28899999999999998</v>
      </c>
      <c r="N126" s="135">
        <v>-0.27750000000000002</v>
      </c>
      <c r="O126" s="135">
        <v>-0.27950000000000003</v>
      </c>
      <c r="P126" s="135">
        <v>-0.26250000000000001</v>
      </c>
      <c r="Q126" s="135">
        <v>-0.27400000000000002</v>
      </c>
      <c r="R126" s="135">
        <v>-0.27600000000000002</v>
      </c>
      <c r="S126" s="135">
        <v>-0.28399999999999997</v>
      </c>
      <c r="T126" s="135">
        <v>-0.28399999999999997</v>
      </c>
      <c r="U126" s="135">
        <v>-0.29349999999999998</v>
      </c>
      <c r="V126" s="135">
        <f t="shared" si="58"/>
        <v>-0.28349999999999997</v>
      </c>
      <c r="W126" s="135">
        <f t="shared" si="71"/>
        <v>-0.19349999999999998</v>
      </c>
      <c r="X126" s="135">
        <v>-0.29499999999999998</v>
      </c>
      <c r="Y126" s="135">
        <v>-0.29449999999999998</v>
      </c>
      <c r="Z126" s="135">
        <v>-0.29299999999999998</v>
      </c>
      <c r="AA126" s="135">
        <v>-0.27650000000000002</v>
      </c>
      <c r="AB126" s="135">
        <v>-0.28949999999999998</v>
      </c>
      <c r="AC126" s="135">
        <v>-0.28849999999999998</v>
      </c>
      <c r="AD126" s="157">
        <v>-0.29299999999999998</v>
      </c>
      <c r="AE126" s="157">
        <v>-0.29699999999999999</v>
      </c>
      <c r="AF126" s="157">
        <v>-0.31</v>
      </c>
      <c r="AG126" s="135">
        <v>-0.35699999999999998</v>
      </c>
      <c r="AH126" s="135">
        <v>-0.34949999999999998</v>
      </c>
      <c r="AI126" s="135">
        <v>-0.36249999999999999</v>
      </c>
      <c r="AJ126" s="135">
        <v>-0.375</v>
      </c>
      <c r="AK126" s="135">
        <v>-0.38</v>
      </c>
    </row>
    <row r="127" spans="1:96" ht="12.75" x14ac:dyDescent="0.2">
      <c r="A127">
        <v>-0.20799999999999999</v>
      </c>
      <c r="B127">
        <v>-0.2465</v>
      </c>
      <c r="C127">
        <v>-0.22600000000000001</v>
      </c>
      <c r="D127">
        <v>-0.23799999999999999</v>
      </c>
      <c r="E127">
        <v>-0.25650000000000001</v>
      </c>
      <c r="F127">
        <v>-0.308</v>
      </c>
      <c r="G127">
        <v>-0.31850000000000001</v>
      </c>
      <c r="H127" s="133">
        <v>-0.307</v>
      </c>
      <c r="I127" s="134">
        <v>-0.218</v>
      </c>
      <c r="J127" s="134">
        <v>-0.248</v>
      </c>
      <c r="K127" s="135">
        <v>-0.24149999999999999</v>
      </c>
      <c r="L127" s="135">
        <v>-0.26200000000000001</v>
      </c>
      <c r="M127" s="135">
        <v>-0.26700000000000002</v>
      </c>
      <c r="N127" s="135">
        <v>-0.2495</v>
      </c>
      <c r="O127" s="135">
        <v>-0.24399999999999999</v>
      </c>
      <c r="P127" s="135">
        <v>-0.22750000000000001</v>
      </c>
      <c r="Q127" s="135">
        <v>-0.246</v>
      </c>
      <c r="R127" s="135">
        <v>-0.251</v>
      </c>
      <c r="S127" s="135">
        <v>-0.25900000000000001</v>
      </c>
      <c r="T127" s="135">
        <v>-0.25900000000000001</v>
      </c>
      <c r="U127" s="135">
        <v>-0.27400000000000002</v>
      </c>
      <c r="V127" s="135">
        <f t="shared" si="58"/>
        <v>-0.26400000000000001</v>
      </c>
      <c r="W127" s="135">
        <f t="shared" si="71"/>
        <v>-0.17400000000000002</v>
      </c>
      <c r="X127" s="135">
        <v>-0.27350000000000002</v>
      </c>
      <c r="Y127" s="135">
        <v>-0.27500000000000002</v>
      </c>
      <c r="Z127" s="135">
        <v>-0.27100000000000002</v>
      </c>
      <c r="AA127" s="135">
        <v>-0.251</v>
      </c>
      <c r="AB127" s="135">
        <v>-0.26650000000000001</v>
      </c>
      <c r="AC127" s="135">
        <v>-0.26800000000000002</v>
      </c>
      <c r="AD127" s="157">
        <v>-0.27500000000000002</v>
      </c>
      <c r="AE127" s="157">
        <v>-0.28899999999999998</v>
      </c>
      <c r="AF127" s="157">
        <v>-0.29899999999999999</v>
      </c>
      <c r="AG127" s="135">
        <v>-0.35599999999999998</v>
      </c>
      <c r="AH127" s="135">
        <v>-0.34799999999999998</v>
      </c>
      <c r="AI127" s="135">
        <v>-0.36249999999999999</v>
      </c>
      <c r="AJ127" s="135">
        <v>-0.3775</v>
      </c>
      <c r="AK127" s="135">
        <v>-0.38700000000000001</v>
      </c>
      <c r="AL127">
        <v>8.0299999999999994</v>
      </c>
      <c r="AO127">
        <v>-0.5</v>
      </c>
      <c r="AP127">
        <v>-0.25</v>
      </c>
      <c r="AQ127">
        <v>-0.13</v>
      </c>
      <c r="AR127">
        <v>0</v>
      </c>
      <c r="AS127">
        <v>0.125</v>
      </c>
      <c r="AT127" s="126">
        <v>0.25</v>
      </c>
      <c r="AU127" s="126">
        <v>0.5</v>
      </c>
      <c r="AV127" s="126">
        <v>1</v>
      </c>
      <c r="AW127" s="126">
        <v>1.5</v>
      </c>
      <c r="AX127" s="126">
        <v>2</v>
      </c>
      <c r="AY127" s="126">
        <v>3</v>
      </c>
      <c r="AZ127" s="126">
        <v>5</v>
      </c>
      <c r="BA127" s="126">
        <v>10</v>
      </c>
    </row>
    <row r="128" spans="1:96" ht="12.75" x14ac:dyDescent="0.2">
      <c r="A128">
        <v>-0.11700000000000001</v>
      </c>
      <c r="B128">
        <v>-0.1575</v>
      </c>
      <c r="C128">
        <v>-0.14699999999999999</v>
      </c>
      <c r="D128">
        <v>-0.1605</v>
      </c>
      <c r="E128">
        <v>-0.188</v>
      </c>
      <c r="F128">
        <v>-0.24399999999999999</v>
      </c>
      <c r="G128">
        <v>-0.2545</v>
      </c>
      <c r="H128" s="133">
        <v>-0.247</v>
      </c>
      <c r="I128" s="134">
        <v>-0.14499999999999999</v>
      </c>
      <c r="J128" s="134">
        <v>-0.186</v>
      </c>
      <c r="K128" s="135">
        <v>-0.18</v>
      </c>
      <c r="L128" s="135">
        <v>-0.20449999999999999</v>
      </c>
      <c r="M128" s="135">
        <v>-0.2165</v>
      </c>
      <c r="N128" s="135">
        <v>-0.189</v>
      </c>
      <c r="O128" s="135">
        <v>-0.17399999999999999</v>
      </c>
      <c r="P128" s="135">
        <v>-0.1565</v>
      </c>
      <c r="Q128" s="135">
        <v>-0.1915</v>
      </c>
      <c r="R128" s="135">
        <v>-0.19450000000000001</v>
      </c>
      <c r="S128" s="135">
        <v>-0.20549999999999999</v>
      </c>
      <c r="T128" s="135">
        <v>-0.20599999999999999</v>
      </c>
      <c r="U128" s="135">
        <v>-0.22900000000000001</v>
      </c>
      <c r="V128" s="135">
        <f t="shared" si="58"/>
        <v>-0.219</v>
      </c>
      <c r="W128" s="135">
        <f t="shared" si="71"/>
        <v>-0.129</v>
      </c>
      <c r="X128" s="135">
        <v>-0.22600000000000001</v>
      </c>
      <c r="Y128" s="135">
        <v>-0.22700000000000001</v>
      </c>
      <c r="Z128" s="135">
        <v>-0.219</v>
      </c>
      <c r="AA128" s="135">
        <v>-0.19750000000000001</v>
      </c>
      <c r="AB128" s="135">
        <v>-0.217</v>
      </c>
      <c r="AC128" s="135">
        <v>-0.221</v>
      </c>
      <c r="AD128" s="157">
        <v>-0.22700000000000001</v>
      </c>
      <c r="AE128" s="157">
        <v>-0.252</v>
      </c>
      <c r="AF128" s="157">
        <v>-0.253</v>
      </c>
      <c r="AG128" s="135">
        <v>-0.31950000000000001</v>
      </c>
      <c r="AH128" s="135">
        <v>-0.3175</v>
      </c>
      <c r="AI128" s="135">
        <v>-0.33400000000000002</v>
      </c>
      <c r="AJ128" s="135">
        <v>-0.35549999999999998</v>
      </c>
      <c r="AK128" s="135">
        <v>-0.3705</v>
      </c>
      <c r="AN128" t="s">
        <v>25</v>
      </c>
      <c r="AO128" s="140">
        <v>13.1</v>
      </c>
      <c r="AP128" s="140">
        <v>11.1</v>
      </c>
      <c r="AQ128" s="140">
        <v>11.9</v>
      </c>
      <c r="AR128" s="140">
        <v>13.4</v>
      </c>
      <c r="AS128" s="129">
        <f>(AR128+AT128)/2</f>
        <v>14.899999999999999</v>
      </c>
      <c r="AT128" s="140">
        <v>16.399999999999999</v>
      </c>
      <c r="AU128" s="140">
        <v>19.3</v>
      </c>
      <c r="AV128" s="140">
        <v>24.3</v>
      </c>
      <c r="AW128" s="140">
        <v>28.4</v>
      </c>
      <c r="AX128" s="140">
        <v>32</v>
      </c>
      <c r="AY128" s="140">
        <v>37.799999999999997</v>
      </c>
      <c r="AZ128" s="140">
        <v>46.5</v>
      </c>
      <c r="BA128" s="140">
        <v>60</v>
      </c>
      <c r="BC128" s="111">
        <f>AO128-AO111</f>
        <v>0.5</v>
      </c>
      <c r="BD128" s="111">
        <f t="shared" ref="BD128:BD142" si="73">AP128-AP111</f>
        <v>0</v>
      </c>
      <c r="BE128" s="111">
        <f t="shared" ref="BE128:BE142" si="74">AQ128-AQ111</f>
        <v>-0.19999999999999929</v>
      </c>
      <c r="BF128" s="111">
        <f t="shared" ref="BF128:BF142" si="75">AR128-AR111</f>
        <v>-0.29999999999999893</v>
      </c>
      <c r="BG128" s="111">
        <f t="shared" ref="BG128:BG142" si="76">AS128-AS111</f>
        <v>-0.35000000000000142</v>
      </c>
      <c r="BH128" s="111">
        <f t="shared" ref="BH128:BH142" si="77">AT128-AT111</f>
        <v>-0.40000000000000213</v>
      </c>
      <c r="BI128" s="111">
        <f t="shared" ref="BI128:BI142" si="78">AU128-AU111</f>
        <v>-0.30000000000000071</v>
      </c>
      <c r="BJ128" s="111">
        <f t="shared" ref="BJ128:BJ142" si="79">AV128-AV111</f>
        <v>-0.30000000000000071</v>
      </c>
      <c r="BK128" s="111">
        <f t="shared" ref="BK128:BK142" si="80">AW128-AW111</f>
        <v>-0.30000000000000071</v>
      </c>
      <c r="BL128" s="111">
        <f t="shared" ref="BL128:BL142" si="81">AX128-AX111</f>
        <v>-0.29999999999999716</v>
      </c>
      <c r="BM128" s="111">
        <f t="shared" ref="BM128:BM142" si="82">AY128-AY111</f>
        <v>0</v>
      </c>
      <c r="BN128" s="111">
        <f t="shared" ref="BN128:BN142" si="83">AZ128-AZ111</f>
        <v>-0.39999999999999858</v>
      </c>
      <c r="BO128" s="111">
        <f t="shared" ref="BO128:BO142" si="84">BA128-BA111</f>
        <v>-0.29999999999999716</v>
      </c>
    </row>
    <row r="129" spans="1:67" ht="12.75" x14ac:dyDescent="0.2">
      <c r="A129">
        <v>-2.5000000000000005E-3</v>
      </c>
      <c r="B129">
        <v>-4.8500000000000001E-2</v>
      </c>
      <c r="C129">
        <v>-4.7500000000000001E-2</v>
      </c>
      <c r="D129">
        <v>-6.25E-2</v>
      </c>
      <c r="E129">
        <v>-0.1</v>
      </c>
      <c r="F129">
        <v>-0.16600000000000001</v>
      </c>
      <c r="G129">
        <v>-0.16500000000000001</v>
      </c>
      <c r="H129" s="133">
        <v>-0.16200000000000001</v>
      </c>
      <c r="I129" s="134">
        <v>-4.9000000000000002E-2</v>
      </c>
      <c r="J129" s="134">
        <v>-0.10299999999999999</v>
      </c>
      <c r="K129" s="135">
        <v>-0.1</v>
      </c>
      <c r="L129" s="135">
        <v>-0.124</v>
      </c>
      <c r="M129" s="135">
        <v>-0.1434</v>
      </c>
      <c r="N129" s="135">
        <v>-0.104</v>
      </c>
      <c r="O129" s="135">
        <v>-7.7499999999999999E-2</v>
      </c>
      <c r="P129" s="135">
        <v>-6.4000000000000001E-2</v>
      </c>
      <c r="Q129" s="135">
        <v>-0.1125</v>
      </c>
      <c r="R129" s="135">
        <v>-0.1125</v>
      </c>
      <c r="S129" s="135">
        <v>-0.1275</v>
      </c>
      <c r="T129" s="135">
        <v>-0.128</v>
      </c>
      <c r="U129" s="135">
        <v>-0.157</v>
      </c>
      <c r="V129" s="135">
        <f t="shared" si="58"/>
        <v>-0.14699999999999999</v>
      </c>
      <c r="W129" s="135">
        <f t="shared" si="71"/>
        <v>-5.6999999999999995E-2</v>
      </c>
      <c r="X129" s="135">
        <v>-0.154</v>
      </c>
      <c r="Y129" s="135">
        <v>-0.1555</v>
      </c>
      <c r="Z129" s="135">
        <v>-0.14249999999999999</v>
      </c>
      <c r="AA129" s="135">
        <v>-0.1215</v>
      </c>
      <c r="AB129" s="135">
        <v>-0.14000000000000001</v>
      </c>
      <c r="AC129" s="135">
        <v>-0.14799999999999999</v>
      </c>
      <c r="AD129" s="157">
        <v>-0.154</v>
      </c>
      <c r="AE129" s="157">
        <v>-0.1865</v>
      </c>
      <c r="AF129" s="157">
        <v>-0.17100000000000001</v>
      </c>
      <c r="AG129" s="135">
        <v>-0.2495</v>
      </c>
      <c r="AH129" s="135">
        <v>-0.251</v>
      </c>
      <c r="AI129" s="135">
        <v>-0.27500000000000002</v>
      </c>
      <c r="AJ129" s="135">
        <v>-0.30199999999999999</v>
      </c>
      <c r="AK129" s="135">
        <v>-0.32350000000000001</v>
      </c>
      <c r="AN129" t="s">
        <v>157</v>
      </c>
      <c r="AO129" s="140">
        <v>14.6</v>
      </c>
      <c r="AP129" s="140">
        <v>12.5</v>
      </c>
      <c r="AQ129" s="140">
        <v>12.9</v>
      </c>
      <c r="AR129" s="140">
        <v>14</v>
      </c>
      <c r="AS129" s="129">
        <f t="shared" ref="AS129:AS142" si="85">(AR129+AT129)/2</f>
        <v>15.15</v>
      </c>
      <c r="AT129" s="140">
        <v>16.3</v>
      </c>
      <c r="AU129" s="140">
        <v>18.600000000000001</v>
      </c>
      <c r="AV129" s="140">
        <v>22.6</v>
      </c>
      <c r="AW129" s="140">
        <v>26</v>
      </c>
      <c r="AX129" s="140">
        <v>28.9</v>
      </c>
      <c r="AY129" s="140">
        <v>33.6</v>
      </c>
      <c r="AZ129" s="140">
        <v>40.4</v>
      </c>
      <c r="BA129" s="140">
        <v>50.6</v>
      </c>
      <c r="BC129" s="111">
        <f t="shared" ref="BC129:BC142" si="86">AO129-AO112</f>
        <v>0.19999999999999929</v>
      </c>
      <c r="BD129" s="111">
        <f t="shared" si="73"/>
        <v>-0.19999999999999929</v>
      </c>
      <c r="BE129" s="111">
        <f t="shared" si="74"/>
        <v>-0.5</v>
      </c>
      <c r="BF129" s="111">
        <f t="shared" si="75"/>
        <v>-0.5</v>
      </c>
      <c r="BG129" s="111">
        <f t="shared" si="76"/>
        <v>-0.54999999999999893</v>
      </c>
      <c r="BH129" s="111">
        <f t="shared" si="77"/>
        <v>-0.59999999999999787</v>
      </c>
      <c r="BI129" s="111">
        <f t="shared" si="78"/>
        <v>-0.59999999999999787</v>
      </c>
      <c r="BJ129" s="111">
        <f t="shared" si="79"/>
        <v>-0.59999999999999787</v>
      </c>
      <c r="BK129" s="111">
        <f t="shared" si="80"/>
        <v>-0.60000000000000142</v>
      </c>
      <c r="BL129" s="111">
        <f t="shared" si="81"/>
        <v>-0.60000000000000142</v>
      </c>
      <c r="BM129" s="111">
        <f t="shared" si="82"/>
        <v>-0.60000000000000142</v>
      </c>
      <c r="BN129" s="111">
        <f t="shared" si="83"/>
        <v>-0.60000000000000142</v>
      </c>
      <c r="BO129" s="111">
        <f t="shared" si="84"/>
        <v>-0.60000000000000142</v>
      </c>
    </row>
    <row r="130" spans="1:67" ht="12.75" x14ac:dyDescent="0.2">
      <c r="A130">
        <v>0.126</v>
      </c>
      <c r="B130">
        <v>7.9000000000000001E-2</v>
      </c>
      <c r="C130">
        <v>6.8500000000000005E-2</v>
      </c>
      <c r="D130">
        <v>5.5500000000000001E-2</v>
      </c>
      <c r="E130">
        <v>6.0000000000000001E-3</v>
      </c>
      <c r="F130">
        <v>-5.3999999999999999E-2</v>
      </c>
      <c r="G130">
        <v>-5.0500000000000003E-2</v>
      </c>
      <c r="H130" s="133">
        <v>-5.5E-2</v>
      </c>
      <c r="I130" s="134">
        <v>6.3E-2</v>
      </c>
      <c r="J130" s="134">
        <v>-3.0000000000000001E-3</v>
      </c>
      <c r="K130" s="135">
        <v>-3.0000000000000001E-3</v>
      </c>
      <c r="L130" s="135">
        <v>-2.1999999999999999E-2</v>
      </c>
      <c r="M130" s="135">
        <v>-4.5499999999999999E-2</v>
      </c>
      <c r="N130" s="135">
        <v>2E-3</v>
      </c>
      <c r="O130" s="135">
        <v>4.1500000000000002E-2</v>
      </c>
      <c r="P130" s="135">
        <v>5.1999999999999998E-2</v>
      </c>
      <c r="Q130" s="135">
        <v>-8.5000000000000006E-3</v>
      </c>
      <c r="R130" s="135">
        <v>-5.4999999999999997E-3</v>
      </c>
      <c r="S130" s="135">
        <v>-2.35E-2</v>
      </c>
      <c r="T130" s="135">
        <v>-0.05</v>
      </c>
      <c r="U130" s="135">
        <v>-0.06</v>
      </c>
      <c r="V130" s="135">
        <f t="shared" si="58"/>
        <v>-4.9999999999999996E-2</v>
      </c>
      <c r="W130" s="135">
        <f t="shared" si="71"/>
        <v>4.0000000000000008E-2</v>
      </c>
      <c r="X130" s="135">
        <v>-6.0499999999999998E-2</v>
      </c>
      <c r="Y130" s="135">
        <v>-5.8999999999999997E-2</v>
      </c>
      <c r="Z130" s="135">
        <v>-4.3499999999999997E-2</v>
      </c>
      <c r="AA130" s="135">
        <v>-2.2499999999999999E-2</v>
      </c>
      <c r="AB130" s="135">
        <v>-4.4499999999999998E-2</v>
      </c>
      <c r="AC130" s="135">
        <v>-5.3999999999999999E-2</v>
      </c>
      <c r="AD130" s="157">
        <v>-0.06</v>
      </c>
      <c r="AE130" s="157">
        <v>-9.9000000000000005E-2</v>
      </c>
      <c r="AF130" s="157">
        <v>-7.2499999999999995E-2</v>
      </c>
      <c r="AG130" s="135">
        <v>-0.1565</v>
      </c>
      <c r="AH130" s="135">
        <v>-0.16450000000000001</v>
      </c>
      <c r="AI130" s="135">
        <v>-0.19850000000000001</v>
      </c>
      <c r="AJ130" s="135">
        <v>-0.22450000000000001</v>
      </c>
      <c r="AK130" s="135">
        <v>-0.251</v>
      </c>
      <c r="AN130" t="s">
        <v>99</v>
      </c>
      <c r="AO130" s="140">
        <v>19</v>
      </c>
      <c r="AP130" s="140">
        <v>16</v>
      </c>
      <c r="AQ130" s="140">
        <v>15.2</v>
      </c>
      <c r="AR130" s="140">
        <v>15</v>
      </c>
      <c r="AS130" s="129">
        <f t="shared" si="85"/>
        <v>15.25</v>
      </c>
      <c r="AT130" s="140">
        <v>15.5</v>
      </c>
      <c r="AU130" s="140">
        <v>16.399999999999999</v>
      </c>
      <c r="AV130" s="140">
        <v>18.7</v>
      </c>
      <c r="AW130" s="140">
        <v>20.9</v>
      </c>
      <c r="AX130" s="140">
        <v>22.9</v>
      </c>
      <c r="AY130" s="140">
        <v>26.2</v>
      </c>
      <c r="AZ130" s="140">
        <v>31</v>
      </c>
      <c r="BA130" s="140">
        <v>38.200000000000003</v>
      </c>
      <c r="BC130" s="111">
        <f t="shared" si="86"/>
        <v>0.19999999999999929</v>
      </c>
      <c r="BD130" s="111">
        <f t="shared" si="73"/>
        <v>0</v>
      </c>
      <c r="BE130" s="111">
        <f t="shared" si="74"/>
        <v>-0.20000000000000107</v>
      </c>
      <c r="BF130" s="111">
        <f t="shared" si="75"/>
        <v>-0.30000000000000071</v>
      </c>
      <c r="BG130" s="111">
        <f t="shared" si="76"/>
        <v>-0.35000000000000142</v>
      </c>
      <c r="BH130" s="111">
        <f t="shared" si="77"/>
        <v>-0.40000000000000036</v>
      </c>
      <c r="BI130" s="111">
        <f t="shared" si="78"/>
        <v>-0.5</v>
      </c>
      <c r="BJ130" s="111">
        <f t="shared" si="79"/>
        <v>-0.40000000000000213</v>
      </c>
      <c r="BK130" s="111">
        <f t="shared" si="80"/>
        <v>-0.40000000000000213</v>
      </c>
      <c r="BL130" s="111">
        <f t="shared" si="81"/>
        <v>-0.40000000000000213</v>
      </c>
      <c r="BM130" s="111">
        <f t="shared" si="82"/>
        <v>-0.40000000000000213</v>
      </c>
      <c r="BN130" s="111">
        <f t="shared" si="83"/>
        <v>-0.39999999999999858</v>
      </c>
      <c r="BO130" s="111">
        <f t="shared" si="84"/>
        <v>-0.39999999999999858</v>
      </c>
    </row>
    <row r="131" spans="1:67" ht="12.75" x14ac:dyDescent="0.2">
      <c r="A131">
        <v>0.25900000000000001</v>
      </c>
      <c r="B131">
        <v>0.21</v>
      </c>
      <c r="C131">
        <v>0.192</v>
      </c>
      <c r="D131">
        <v>0.1825</v>
      </c>
      <c r="E131">
        <v>0.1195</v>
      </c>
      <c r="F131">
        <v>6.6000000000000003E-2</v>
      </c>
      <c r="G131">
        <v>7.8E-2</v>
      </c>
      <c r="H131" s="133">
        <v>6.8000000000000005E-2</v>
      </c>
      <c r="I131" s="134">
        <v>0.186</v>
      </c>
      <c r="J131" s="134">
        <v>0.109</v>
      </c>
      <c r="K131" s="135">
        <v>0.1105</v>
      </c>
      <c r="L131" s="135">
        <v>9.0999999999999998E-2</v>
      </c>
      <c r="M131" s="135">
        <v>6.7500000000000004E-2</v>
      </c>
      <c r="N131" s="135">
        <v>0.122</v>
      </c>
      <c r="O131" s="135">
        <v>0.17050000000000001</v>
      </c>
      <c r="P131" s="135">
        <v>0.17749999999999999</v>
      </c>
      <c r="Q131" s="135">
        <v>0.109</v>
      </c>
      <c r="R131" s="135">
        <v>0.111</v>
      </c>
      <c r="S131" s="135">
        <v>9.2999999999999999E-2</v>
      </c>
      <c r="T131" s="135">
        <v>9.2999999999999999E-2</v>
      </c>
      <c r="U131" s="135">
        <v>5.0500000000000003E-2</v>
      </c>
      <c r="V131" s="135">
        <f t="shared" si="58"/>
        <v>6.0500000000000005E-2</v>
      </c>
      <c r="W131" s="135">
        <f t="shared" si="71"/>
        <v>0.15050000000000002</v>
      </c>
      <c r="X131" s="135">
        <v>4.8500000000000001E-2</v>
      </c>
      <c r="Y131" s="135">
        <v>5.3999999999999999E-2</v>
      </c>
      <c r="Z131" s="135">
        <v>7.0000000000000007E-2</v>
      </c>
      <c r="AA131" s="135">
        <v>9.2499999999999999E-2</v>
      </c>
      <c r="AB131" s="135">
        <v>6.6000000000000003E-2</v>
      </c>
      <c r="AC131" s="135">
        <v>5.45E-2</v>
      </c>
      <c r="AD131" s="157">
        <v>5.0999999999999997E-2</v>
      </c>
      <c r="AE131" s="157">
        <v>4.0000000000000001E-3</v>
      </c>
      <c r="AF131" s="157">
        <v>4.1500000000000002E-2</v>
      </c>
      <c r="AG131" s="135">
        <v>-4.8000000000000001E-2</v>
      </c>
      <c r="AH131" s="135">
        <v>-6.4000000000000001E-2</v>
      </c>
      <c r="AI131" s="135">
        <v>-0.10150000000000001</v>
      </c>
      <c r="AJ131" s="135">
        <v>-0.1285</v>
      </c>
      <c r="AK131" s="135">
        <v>-0.16</v>
      </c>
      <c r="AN131" t="s">
        <v>101</v>
      </c>
      <c r="AO131" s="140">
        <v>20.8</v>
      </c>
      <c r="AP131" s="140">
        <v>18.100000000000001</v>
      </c>
      <c r="AQ131" s="140">
        <v>17.3</v>
      </c>
      <c r="AR131" s="140">
        <v>17</v>
      </c>
      <c r="AS131" s="129">
        <f t="shared" si="85"/>
        <v>17</v>
      </c>
      <c r="AT131" s="140">
        <v>17</v>
      </c>
      <c r="AU131" s="140">
        <v>17.399999999999999</v>
      </c>
      <c r="AV131" s="140">
        <v>18.7</v>
      </c>
      <c r="AW131" s="140">
        <v>20.2</v>
      </c>
      <c r="AX131" s="140">
        <v>21.7</v>
      </c>
      <c r="AY131" s="140">
        <v>24.3</v>
      </c>
      <c r="AZ131" s="140">
        <v>28.2</v>
      </c>
      <c r="BA131" s="140">
        <v>33.799999999999997</v>
      </c>
      <c r="BC131" s="111">
        <f t="shared" si="86"/>
        <v>0</v>
      </c>
      <c r="BD131" s="111">
        <f t="shared" si="73"/>
        <v>-9.9999999999997868E-2</v>
      </c>
      <c r="BE131" s="111">
        <f t="shared" si="74"/>
        <v>-0.30000000000000071</v>
      </c>
      <c r="BF131" s="111">
        <f t="shared" si="75"/>
        <v>-0.30000000000000071</v>
      </c>
      <c r="BG131" s="111">
        <f t="shared" si="76"/>
        <v>-0.35000000000000142</v>
      </c>
      <c r="BH131" s="111">
        <f t="shared" si="77"/>
        <v>-0.39999999999999858</v>
      </c>
      <c r="BI131" s="111">
        <f t="shared" si="78"/>
        <v>-0.40000000000000213</v>
      </c>
      <c r="BJ131" s="111">
        <f t="shared" si="79"/>
        <v>-0.40000000000000213</v>
      </c>
      <c r="BK131" s="111">
        <f t="shared" si="80"/>
        <v>-0.40000000000000213</v>
      </c>
      <c r="BL131" s="111">
        <f t="shared" si="81"/>
        <v>-0.40000000000000213</v>
      </c>
      <c r="BM131" s="111">
        <f t="shared" si="82"/>
        <v>-0.30000000000000071</v>
      </c>
      <c r="BN131" s="111">
        <f t="shared" si="83"/>
        <v>-0.30000000000000071</v>
      </c>
      <c r="BO131" s="111">
        <f t="shared" si="84"/>
        <v>-0.30000000000000426</v>
      </c>
    </row>
    <row r="132" spans="1:67" ht="12.75" x14ac:dyDescent="0.2">
      <c r="A132">
        <v>0.39100000000000001</v>
      </c>
      <c r="B132">
        <v>0.34150000000000003</v>
      </c>
      <c r="C132">
        <v>0.3135</v>
      </c>
      <c r="D132">
        <v>0.30649999999999999</v>
      </c>
      <c r="E132">
        <v>0.23499999999999999</v>
      </c>
      <c r="F132">
        <v>0.187</v>
      </c>
      <c r="G132">
        <v>0.20899999999999999</v>
      </c>
      <c r="H132" s="133">
        <v>0.19700000000000001</v>
      </c>
      <c r="I132" s="134">
        <v>0.312</v>
      </c>
      <c r="J132" s="134">
        <v>0.22700000000000001</v>
      </c>
      <c r="K132" s="135">
        <v>0.22600000000000001</v>
      </c>
      <c r="L132" s="135">
        <v>0.21049999999999999</v>
      </c>
      <c r="M132" s="135">
        <v>0.185</v>
      </c>
      <c r="N132" s="135">
        <v>0.2515</v>
      </c>
      <c r="O132" s="135">
        <v>0.30299999999999999</v>
      </c>
      <c r="P132" s="135">
        <v>0.308</v>
      </c>
      <c r="Q132" s="135">
        <v>0.23200000000000001</v>
      </c>
      <c r="R132" s="135">
        <v>0.23400000000000001</v>
      </c>
      <c r="S132" s="135">
        <v>0.216</v>
      </c>
      <c r="T132" s="135">
        <v>0.216</v>
      </c>
      <c r="U132" s="135">
        <v>0.16900000000000001</v>
      </c>
      <c r="V132" s="135">
        <f t="shared" si="58"/>
        <v>0.17900000000000002</v>
      </c>
      <c r="W132" s="135">
        <f t="shared" si="71"/>
        <v>0.26900000000000002</v>
      </c>
      <c r="X132" s="135">
        <v>0.16400000000000001</v>
      </c>
      <c r="Y132" s="135">
        <v>0.17150000000000001</v>
      </c>
      <c r="Z132" s="135">
        <v>0.191</v>
      </c>
      <c r="AA132" s="135">
        <v>0.21249999999999999</v>
      </c>
      <c r="AB132" s="135">
        <v>0.1845</v>
      </c>
      <c r="AC132" s="135">
        <v>0.17150000000000001</v>
      </c>
      <c r="AD132" s="157">
        <v>0.16800000000000001</v>
      </c>
      <c r="AE132" s="157">
        <v>0.1145</v>
      </c>
      <c r="AF132" s="157">
        <v>0.16350000000000001</v>
      </c>
      <c r="AG132" s="135">
        <v>6.7500000000000004E-2</v>
      </c>
      <c r="AH132" s="135">
        <v>4.4499999999999998E-2</v>
      </c>
      <c r="AI132" s="135">
        <v>3.5000000000000001E-3</v>
      </c>
      <c r="AJ132" s="135">
        <v>-2.35E-2</v>
      </c>
      <c r="AK132" s="135">
        <v>-5.6000000000000001E-2</v>
      </c>
      <c r="AN132" t="s">
        <v>102</v>
      </c>
      <c r="AO132" s="140">
        <v>22.1</v>
      </c>
      <c r="AP132" s="140">
        <v>19.7</v>
      </c>
      <c r="AQ132" s="140">
        <v>18.899999999999999</v>
      </c>
      <c r="AR132" s="140">
        <v>18.5</v>
      </c>
      <c r="AS132" s="129">
        <f t="shared" si="85"/>
        <v>18.399999999999999</v>
      </c>
      <c r="AT132" s="140">
        <v>18.3</v>
      </c>
      <c r="AU132" s="140">
        <v>18.399999999999999</v>
      </c>
      <c r="AV132" s="140">
        <v>18.899999999999999</v>
      </c>
      <c r="AW132" s="140">
        <v>19.8</v>
      </c>
      <c r="AX132" s="140">
        <v>20.8</v>
      </c>
      <c r="AY132" s="140">
        <v>22.7</v>
      </c>
      <c r="AZ132" s="140">
        <v>25.7</v>
      </c>
      <c r="BA132" s="140">
        <v>30.3</v>
      </c>
      <c r="BC132" s="111">
        <f t="shared" si="86"/>
        <v>-9.9999999999997868E-2</v>
      </c>
      <c r="BD132" s="111">
        <f t="shared" si="73"/>
        <v>-0.10000000000000142</v>
      </c>
      <c r="BE132" s="111">
        <f t="shared" si="74"/>
        <v>-0.20000000000000284</v>
      </c>
      <c r="BF132" s="111">
        <f t="shared" si="75"/>
        <v>-0.30000000000000071</v>
      </c>
      <c r="BG132" s="111">
        <f t="shared" si="76"/>
        <v>-0.30000000000000426</v>
      </c>
      <c r="BH132" s="111">
        <f t="shared" si="77"/>
        <v>-0.30000000000000071</v>
      </c>
      <c r="BI132" s="111">
        <f t="shared" si="78"/>
        <v>-0.30000000000000071</v>
      </c>
      <c r="BJ132" s="111">
        <f t="shared" si="79"/>
        <v>-0.40000000000000213</v>
      </c>
      <c r="BK132" s="111">
        <f t="shared" si="80"/>
        <v>-0.39999999999999858</v>
      </c>
      <c r="BL132" s="111">
        <f t="shared" si="81"/>
        <v>-0.30000000000000071</v>
      </c>
      <c r="BM132" s="111">
        <f t="shared" si="82"/>
        <v>-0.30000000000000071</v>
      </c>
      <c r="BN132" s="111">
        <f t="shared" si="83"/>
        <v>-0.40000000000000213</v>
      </c>
      <c r="BO132" s="111">
        <f t="shared" si="84"/>
        <v>-0.30000000000000071</v>
      </c>
    </row>
    <row r="133" spans="1:67" ht="12.75" x14ac:dyDescent="0.2">
      <c r="A133">
        <v>0.51649999999999996</v>
      </c>
      <c r="B133">
        <v>0.46700000000000003</v>
      </c>
      <c r="C133">
        <v>0.42749999999999999</v>
      </c>
      <c r="D133">
        <v>0.42349999999999999</v>
      </c>
      <c r="E133">
        <v>0.34499999999999997</v>
      </c>
      <c r="F133">
        <v>0.30099999999999999</v>
      </c>
      <c r="G133">
        <v>0.33250000000000002</v>
      </c>
      <c r="H133" s="133">
        <v>0.31900000000000001</v>
      </c>
      <c r="I133" s="134">
        <v>0.436</v>
      </c>
      <c r="J133" s="134">
        <v>0.34300000000000003</v>
      </c>
      <c r="K133" s="135">
        <v>0.33800000000000002</v>
      </c>
      <c r="L133" s="135">
        <v>0.32400000000000001</v>
      </c>
      <c r="M133" s="135">
        <v>0.29649999999999999</v>
      </c>
      <c r="N133" s="135">
        <v>0.3705</v>
      </c>
      <c r="O133" s="135">
        <v>0.42949999999999999</v>
      </c>
      <c r="P133" s="135">
        <v>0.433</v>
      </c>
      <c r="Q133" s="135">
        <v>0.35099999999999998</v>
      </c>
      <c r="R133" s="135">
        <v>0.35399999999999998</v>
      </c>
      <c r="S133" s="135">
        <v>0.33500000000000002</v>
      </c>
      <c r="T133" s="135">
        <v>0.33500000000000002</v>
      </c>
      <c r="U133" s="135">
        <v>0.28399999999999997</v>
      </c>
      <c r="V133" s="135">
        <f t="shared" si="58"/>
        <v>0.29399999999999998</v>
      </c>
      <c r="W133" s="135">
        <f t="shared" si="71"/>
        <v>0.38400000000000001</v>
      </c>
      <c r="X133" s="135">
        <v>0.27750000000000002</v>
      </c>
      <c r="Y133" s="135">
        <v>0.28799999999999998</v>
      </c>
      <c r="Z133" s="135">
        <v>0.31</v>
      </c>
      <c r="AA133" s="135">
        <v>0.33100000000000002</v>
      </c>
      <c r="AB133" s="135">
        <v>0.30099999999999999</v>
      </c>
      <c r="AC133" s="135">
        <v>0.28799999999999998</v>
      </c>
      <c r="AD133" s="157">
        <v>0.28699999999999998</v>
      </c>
      <c r="AE133" s="157">
        <v>0.22450000000000001</v>
      </c>
      <c r="AF133" s="157">
        <v>0.28050000000000003</v>
      </c>
      <c r="AG133" s="135">
        <v>0.1845</v>
      </c>
      <c r="AH133" s="135">
        <v>0.15049999999999999</v>
      </c>
      <c r="AI133" s="135">
        <v>0.11</v>
      </c>
      <c r="AJ133" s="135">
        <v>8.2500000000000004E-2</v>
      </c>
      <c r="AK133" s="135">
        <v>4.8000000000000001E-2</v>
      </c>
      <c r="AN133" t="s">
        <v>103</v>
      </c>
      <c r="AO133" s="140">
        <v>23</v>
      </c>
      <c r="AP133" s="140">
        <v>20.7</v>
      </c>
      <c r="AQ133" s="140">
        <v>20</v>
      </c>
      <c r="AR133" s="140">
        <v>19.5</v>
      </c>
      <c r="AS133" s="129">
        <f t="shared" si="85"/>
        <v>19.3</v>
      </c>
      <c r="AT133" s="140">
        <v>19.100000000000001</v>
      </c>
      <c r="AU133" s="140">
        <v>19</v>
      </c>
      <c r="AV133" s="140">
        <v>19</v>
      </c>
      <c r="AW133" s="140">
        <v>19.5</v>
      </c>
      <c r="AX133" s="140">
        <v>20.100000000000001</v>
      </c>
      <c r="AY133" s="140">
        <v>21.5</v>
      </c>
      <c r="AZ133" s="140">
        <v>24</v>
      </c>
      <c r="BA133" s="140">
        <v>28</v>
      </c>
      <c r="BC133" s="111">
        <f t="shared" si="86"/>
        <v>0</v>
      </c>
      <c r="BD133" s="111">
        <f t="shared" si="73"/>
        <v>-0.10000000000000142</v>
      </c>
      <c r="BE133" s="111">
        <f t="shared" si="74"/>
        <v>-0.19999999999999929</v>
      </c>
      <c r="BF133" s="111">
        <f t="shared" si="75"/>
        <v>-0.19999999999999929</v>
      </c>
      <c r="BG133" s="111">
        <f t="shared" si="76"/>
        <v>-0.24999999999999645</v>
      </c>
      <c r="BH133" s="111">
        <f t="shared" si="77"/>
        <v>-0.29999999999999716</v>
      </c>
      <c r="BI133" s="111">
        <f t="shared" si="78"/>
        <v>-0.19999999999999929</v>
      </c>
      <c r="BJ133" s="111">
        <f t="shared" si="79"/>
        <v>-0.30000000000000071</v>
      </c>
      <c r="BK133" s="111">
        <f t="shared" si="80"/>
        <v>-0.19999999999999929</v>
      </c>
      <c r="BL133" s="111">
        <f t="shared" si="81"/>
        <v>-0.19999999999999929</v>
      </c>
      <c r="BM133" s="111">
        <f t="shared" si="82"/>
        <v>-0.19999999999999929</v>
      </c>
      <c r="BN133" s="111">
        <f t="shared" si="83"/>
        <v>-0.19999999999999929</v>
      </c>
      <c r="BO133" s="111">
        <f t="shared" si="84"/>
        <v>-0.10000000000000142</v>
      </c>
    </row>
    <row r="134" spans="1:67" ht="12.75" x14ac:dyDescent="0.2">
      <c r="A134">
        <v>0.63049999999999995</v>
      </c>
      <c r="B134">
        <v>0.58150000000000002</v>
      </c>
      <c r="C134">
        <v>0.53</v>
      </c>
      <c r="D134">
        <v>0.52900000000000003</v>
      </c>
      <c r="E134">
        <v>0.443</v>
      </c>
      <c r="F134">
        <v>0.40500000000000003</v>
      </c>
      <c r="G134">
        <v>0.44650000000000001</v>
      </c>
      <c r="H134" s="133">
        <v>0.432</v>
      </c>
      <c r="I134" s="134">
        <v>0.54700000000000004</v>
      </c>
      <c r="J134" s="134">
        <v>0.45</v>
      </c>
      <c r="K134" s="135">
        <v>0.4405</v>
      </c>
      <c r="L134" s="135">
        <v>0.42749999999999999</v>
      </c>
      <c r="M134" s="135">
        <v>0.39800000000000002</v>
      </c>
      <c r="N134" s="135">
        <v>0.47749999999999998</v>
      </c>
      <c r="O134" s="135">
        <v>0.54449999999999998</v>
      </c>
      <c r="P134" s="135">
        <v>0.54600000000000004</v>
      </c>
      <c r="Q134" s="135">
        <v>0.46100000000000002</v>
      </c>
      <c r="R134" s="135">
        <v>0.46400000000000002</v>
      </c>
      <c r="S134" s="135">
        <v>0.443</v>
      </c>
      <c r="T134" s="135">
        <v>0.44400000000000001</v>
      </c>
      <c r="U134" s="135">
        <v>0.38900000000000001</v>
      </c>
      <c r="V134" s="135">
        <f t="shared" si="58"/>
        <v>0.39900000000000002</v>
      </c>
      <c r="W134" s="135">
        <f t="shared" si="71"/>
        <v>0.48899999999999999</v>
      </c>
      <c r="X134" s="135">
        <v>0.38400000000000001</v>
      </c>
      <c r="Y134" s="135">
        <v>0.39600000000000002</v>
      </c>
      <c r="Z134" s="135">
        <v>0.42049999999999998</v>
      </c>
      <c r="AA134" s="135">
        <v>0.4415</v>
      </c>
      <c r="AB134" s="135">
        <v>0.41099999999999998</v>
      </c>
      <c r="AC134" s="135">
        <v>0.40250000000000002</v>
      </c>
      <c r="AD134" s="157">
        <v>0.39700000000000002</v>
      </c>
      <c r="AE134" s="157">
        <v>0.32600000000000001</v>
      </c>
      <c r="AF134" s="157">
        <v>0.38900000000000001</v>
      </c>
      <c r="AG134" s="135">
        <v>0.28899999999999998</v>
      </c>
      <c r="AH134" s="135">
        <v>0.2475</v>
      </c>
      <c r="AI134" s="135">
        <v>0.20899999999999999</v>
      </c>
      <c r="AJ134" s="135">
        <v>0.182</v>
      </c>
      <c r="AK134" s="135">
        <v>0.14699999999999999</v>
      </c>
      <c r="AN134" t="s">
        <v>104</v>
      </c>
      <c r="AO134" s="140">
        <v>23.5</v>
      </c>
      <c r="AP134" s="140">
        <v>21.4</v>
      </c>
      <c r="AQ134" s="140">
        <v>20.7</v>
      </c>
      <c r="AR134" s="140">
        <v>20.100000000000001</v>
      </c>
      <c r="AS134" s="129">
        <f t="shared" si="85"/>
        <v>19.850000000000001</v>
      </c>
      <c r="AT134" s="140">
        <v>19.600000000000001</v>
      </c>
      <c r="AU134" s="140">
        <v>19.3</v>
      </c>
      <c r="AV134" s="140">
        <v>19</v>
      </c>
      <c r="AW134" s="140">
        <v>19</v>
      </c>
      <c r="AX134" s="140">
        <v>19.3</v>
      </c>
      <c r="AY134" s="140">
        <v>20.3</v>
      </c>
      <c r="AZ134" s="140">
        <v>22.2</v>
      </c>
      <c r="BA134" s="140">
        <v>25.6</v>
      </c>
      <c r="BC134" s="111">
        <f t="shared" si="86"/>
        <v>0</v>
      </c>
      <c r="BD134" s="111">
        <f t="shared" si="73"/>
        <v>-0.10000000000000142</v>
      </c>
      <c r="BE134" s="111">
        <f t="shared" si="74"/>
        <v>-0.10000000000000142</v>
      </c>
      <c r="BF134" s="111">
        <f t="shared" si="75"/>
        <v>-0.19999999999999929</v>
      </c>
      <c r="BG134" s="111">
        <f t="shared" si="76"/>
        <v>-0.19999999999999929</v>
      </c>
      <c r="BH134" s="111">
        <f t="shared" si="77"/>
        <v>-0.19999999999999929</v>
      </c>
      <c r="BI134" s="111">
        <f t="shared" si="78"/>
        <v>-0.19999999999999929</v>
      </c>
      <c r="BJ134" s="111">
        <f t="shared" si="79"/>
        <v>-0.19999999999999929</v>
      </c>
      <c r="BK134" s="111">
        <f t="shared" si="80"/>
        <v>-0.19999999999999929</v>
      </c>
      <c r="BL134" s="111">
        <f t="shared" si="81"/>
        <v>-0.19999999999999929</v>
      </c>
      <c r="BM134" s="111">
        <f t="shared" si="82"/>
        <v>-9.9999999999997868E-2</v>
      </c>
      <c r="BN134" s="111">
        <f t="shared" si="83"/>
        <v>-0.19999999999999929</v>
      </c>
      <c r="BO134" s="111">
        <f t="shared" si="84"/>
        <v>-9.9999999999997868E-2</v>
      </c>
    </row>
    <row r="135" spans="1:67" ht="12.75" x14ac:dyDescent="0.2">
      <c r="A135">
        <v>0.82599999999999996</v>
      </c>
      <c r="B135">
        <v>0.77500000000000002</v>
      </c>
      <c r="C135">
        <v>0.7</v>
      </c>
      <c r="D135">
        <v>0.70550000000000002</v>
      </c>
      <c r="E135">
        <v>0.60899999999999999</v>
      </c>
      <c r="F135">
        <v>0.58499999999999996</v>
      </c>
      <c r="G135">
        <v>0.63600000000000001</v>
      </c>
      <c r="H135" s="133">
        <v>0.625</v>
      </c>
      <c r="I135" s="134">
        <v>0.73699999999999999</v>
      </c>
      <c r="J135" s="134">
        <v>0.63300000000000001</v>
      </c>
      <c r="K135" s="135">
        <v>0.61550000000000005</v>
      </c>
      <c r="L135" s="135">
        <v>0.60799999999999998</v>
      </c>
      <c r="M135" s="135">
        <v>0.57850000000000001</v>
      </c>
      <c r="N135" s="135">
        <v>0.66300000000000003</v>
      </c>
      <c r="O135" s="135">
        <v>0.74099999999999999</v>
      </c>
      <c r="P135" s="135">
        <v>0.74150000000000005</v>
      </c>
      <c r="Q135" s="135">
        <v>0.64900000000000002</v>
      </c>
      <c r="R135" s="135">
        <v>0.65249999999999997</v>
      </c>
      <c r="S135" s="135">
        <v>0.63049999999999995</v>
      </c>
      <c r="T135" s="135">
        <v>0.63200000000000001</v>
      </c>
      <c r="U135" s="135">
        <v>0.57599999999999996</v>
      </c>
      <c r="V135" s="135">
        <f t="shared" si="58"/>
        <v>0.58599999999999997</v>
      </c>
      <c r="W135" s="135">
        <f t="shared" si="71"/>
        <v>0.67599999999999993</v>
      </c>
      <c r="X135" s="135">
        <v>0.56899999999999995</v>
      </c>
      <c r="Y135" s="135">
        <v>0.58350000000000002</v>
      </c>
      <c r="Z135" s="135">
        <v>0.61099999999999999</v>
      </c>
      <c r="AA135" s="135">
        <v>0.63100000000000001</v>
      </c>
      <c r="AB135" s="135">
        <v>0.60150000000000003</v>
      </c>
      <c r="AC135" s="135">
        <v>0.59250000000000003</v>
      </c>
      <c r="AD135" s="157">
        <v>0.58699999999999997</v>
      </c>
      <c r="AE135" s="157">
        <v>0.4995</v>
      </c>
      <c r="AF135" s="157">
        <v>0.57750000000000001</v>
      </c>
      <c r="AG135" s="135">
        <v>0.46300000000000002</v>
      </c>
      <c r="AH135" s="135">
        <v>0.41499999999999998</v>
      </c>
      <c r="AI135" s="135">
        <v>0.38150000000000001</v>
      </c>
      <c r="AJ135" s="135">
        <v>0.35549999999999998</v>
      </c>
      <c r="AK135" s="135">
        <v>0.3175</v>
      </c>
      <c r="AN135" t="s">
        <v>105</v>
      </c>
      <c r="AO135" s="140">
        <v>23.7</v>
      </c>
      <c r="AP135" s="140">
        <v>21.7</v>
      </c>
      <c r="AQ135" s="140">
        <v>21</v>
      </c>
      <c r="AR135" s="140">
        <v>20.5</v>
      </c>
      <c r="AS135" s="129">
        <f t="shared" si="85"/>
        <v>20.2</v>
      </c>
      <c r="AT135" s="140">
        <v>19.899999999999999</v>
      </c>
      <c r="AU135" s="140">
        <v>19.5</v>
      </c>
      <c r="AV135" s="140">
        <v>18.899999999999999</v>
      </c>
      <c r="AW135" s="140">
        <v>18.7</v>
      </c>
      <c r="AX135" s="140">
        <v>18.8</v>
      </c>
      <c r="AY135" s="140">
        <v>19.3</v>
      </c>
      <c r="AZ135" s="140">
        <v>20.7</v>
      </c>
      <c r="BA135" s="140">
        <v>23.6</v>
      </c>
      <c r="BC135" s="111">
        <f t="shared" si="86"/>
        <v>-0.10000000000000142</v>
      </c>
      <c r="BD135" s="111">
        <f t="shared" si="73"/>
        <v>-0.10000000000000142</v>
      </c>
      <c r="BE135" s="111">
        <f t="shared" si="74"/>
        <v>-0.19999999999999929</v>
      </c>
      <c r="BF135" s="111">
        <f t="shared" si="75"/>
        <v>-0.19999999999999929</v>
      </c>
      <c r="BG135" s="111">
        <f t="shared" si="76"/>
        <v>-0.19999999999999929</v>
      </c>
      <c r="BH135" s="111">
        <f t="shared" si="77"/>
        <v>-0.20000000000000284</v>
      </c>
      <c r="BI135" s="111">
        <f t="shared" si="78"/>
        <v>-0.19999999999999929</v>
      </c>
      <c r="BJ135" s="111">
        <f t="shared" si="79"/>
        <v>-0.20000000000000284</v>
      </c>
      <c r="BK135" s="111">
        <f t="shared" si="80"/>
        <v>-0.19999999999999929</v>
      </c>
      <c r="BL135" s="111">
        <f t="shared" si="81"/>
        <v>-9.9999999999997868E-2</v>
      </c>
      <c r="BM135" s="111">
        <f t="shared" si="82"/>
        <v>-9.9999999999997868E-2</v>
      </c>
      <c r="BN135" s="111">
        <f t="shared" si="83"/>
        <v>-0.19999999999999929</v>
      </c>
      <c r="BO135" s="111">
        <f t="shared" si="84"/>
        <v>-9.9999999999997868E-2</v>
      </c>
    </row>
    <row r="136" spans="1:67" ht="12.75" x14ac:dyDescent="0.2">
      <c r="A136">
        <v>1.034</v>
      </c>
      <c r="B136">
        <v>0.98099999999999998</v>
      </c>
      <c r="C136">
        <v>0.87649999999999995</v>
      </c>
      <c r="D136">
        <v>0.88649999999999995</v>
      </c>
      <c r="E136">
        <v>0.78049999999999997</v>
      </c>
      <c r="F136">
        <v>0.77200000000000002</v>
      </c>
      <c r="G136">
        <v>0.83150000000000002</v>
      </c>
      <c r="H136" s="133">
        <v>0.82799999999999996</v>
      </c>
      <c r="I136" s="134">
        <v>0.93300000000000005</v>
      </c>
      <c r="J136" s="134">
        <v>0.82299999999999995</v>
      </c>
      <c r="K136" s="135">
        <v>0.79849999999999999</v>
      </c>
      <c r="L136" s="135">
        <v>0.79849999999999999</v>
      </c>
      <c r="M136" s="135">
        <v>0.76800000000000002</v>
      </c>
      <c r="N136" s="135">
        <v>0.85950000000000004</v>
      </c>
      <c r="O136" s="135">
        <v>0.95</v>
      </c>
      <c r="P136" s="135">
        <v>0.95050000000000001</v>
      </c>
      <c r="Q136" s="135">
        <v>0.85199999999999998</v>
      </c>
      <c r="R136" s="135">
        <v>0.85550000000000004</v>
      </c>
      <c r="S136" s="135">
        <v>0.83399999999999996</v>
      </c>
      <c r="T136" s="135">
        <v>0.83499999999999996</v>
      </c>
      <c r="U136" s="135">
        <v>0.77649999999999997</v>
      </c>
      <c r="V136" s="135">
        <f t="shared" si="58"/>
        <v>0.78649999999999998</v>
      </c>
      <c r="W136" s="135">
        <f t="shared" si="71"/>
        <v>0.87649999999999995</v>
      </c>
      <c r="X136" s="135">
        <v>0.76749999999999996</v>
      </c>
      <c r="Y136" s="135">
        <v>0.78600000000000003</v>
      </c>
      <c r="Z136" s="135">
        <v>0.8175</v>
      </c>
      <c r="AA136" s="135">
        <v>0.83399999999999996</v>
      </c>
      <c r="AB136" s="135">
        <v>0.80600000000000005</v>
      </c>
      <c r="AC136" s="135">
        <v>0.79749999999999999</v>
      </c>
      <c r="AD136" s="157">
        <v>0.78900000000000003</v>
      </c>
      <c r="AE136" s="157">
        <v>0.68300000000000005</v>
      </c>
      <c r="AF136" s="157">
        <v>0.77400000000000002</v>
      </c>
      <c r="AG136" s="135">
        <v>0.64100000000000001</v>
      </c>
      <c r="AH136" s="135">
        <v>0.58199999999999996</v>
      </c>
      <c r="AI136" s="135">
        <v>0.5605</v>
      </c>
      <c r="AJ136" s="135">
        <v>0.53600000000000003</v>
      </c>
      <c r="AK136" s="135">
        <v>0.498</v>
      </c>
      <c r="AN136" t="s">
        <v>106</v>
      </c>
      <c r="AO136" s="140">
        <v>23.8</v>
      </c>
      <c r="AP136" s="140">
        <v>21.9</v>
      </c>
      <c r="AQ136" s="140">
        <v>21.2</v>
      </c>
      <c r="AR136" s="140">
        <v>20.7</v>
      </c>
      <c r="AS136" s="129">
        <f t="shared" si="85"/>
        <v>20.350000000000001</v>
      </c>
      <c r="AT136" s="140">
        <v>20</v>
      </c>
      <c r="AU136" s="140">
        <v>19.5</v>
      </c>
      <c r="AV136" s="140">
        <v>18.8</v>
      </c>
      <c r="AW136" s="140">
        <v>18.399999999999999</v>
      </c>
      <c r="AX136" s="140">
        <v>18.2</v>
      </c>
      <c r="AY136" s="140">
        <v>18.399999999999999</v>
      </c>
      <c r="AZ136" s="140">
        <v>19.5</v>
      </c>
      <c r="BA136" s="140">
        <v>21.9</v>
      </c>
      <c r="BC136" s="111">
        <f t="shared" si="86"/>
        <v>0</v>
      </c>
      <c r="BD136" s="111">
        <f t="shared" si="73"/>
        <v>-0.10000000000000142</v>
      </c>
      <c r="BE136" s="111">
        <f t="shared" si="74"/>
        <v>-0.10000000000000142</v>
      </c>
      <c r="BF136" s="111">
        <f t="shared" si="75"/>
        <v>-0.19999999999999929</v>
      </c>
      <c r="BG136" s="111">
        <f t="shared" si="76"/>
        <v>-0.19999999999999574</v>
      </c>
      <c r="BH136" s="111">
        <f t="shared" si="77"/>
        <v>-0.19999999999999929</v>
      </c>
      <c r="BI136" s="111">
        <f t="shared" si="78"/>
        <v>-0.19999999999999929</v>
      </c>
      <c r="BJ136" s="111">
        <f t="shared" si="79"/>
        <v>-0.19999999999999929</v>
      </c>
      <c r="BK136" s="111">
        <f t="shared" si="80"/>
        <v>-0.20000000000000284</v>
      </c>
      <c r="BL136" s="111">
        <f t="shared" si="81"/>
        <v>-0.19999999999999929</v>
      </c>
      <c r="BM136" s="111">
        <f t="shared" si="82"/>
        <v>-0.20000000000000284</v>
      </c>
      <c r="BN136" s="111">
        <f t="shared" si="83"/>
        <v>-0.10000000000000142</v>
      </c>
      <c r="BO136" s="111">
        <f t="shared" si="84"/>
        <v>-0.20000000000000284</v>
      </c>
    </row>
    <row r="137" spans="1:67" ht="12.75" x14ac:dyDescent="0.2">
      <c r="A137">
        <v>1.2095</v>
      </c>
      <c r="B137">
        <v>1.1555</v>
      </c>
      <c r="C137">
        <v>1.0169999999999999</v>
      </c>
      <c r="D137">
        <v>1.0349999999999999</v>
      </c>
      <c r="E137">
        <v>0.91249999999999998</v>
      </c>
      <c r="F137">
        <v>0.92400000000000004</v>
      </c>
      <c r="G137">
        <v>0.98750000000000004</v>
      </c>
      <c r="H137" s="133">
        <v>0.98699999999999999</v>
      </c>
      <c r="I137" s="134">
        <v>1.085</v>
      </c>
      <c r="J137" s="134">
        <v>0.97099999999999997</v>
      </c>
      <c r="K137" s="135">
        <v>0.94199999999999995</v>
      </c>
      <c r="L137" s="135">
        <v>0.95050000000000001</v>
      </c>
      <c r="M137" s="135">
        <v>0.92</v>
      </c>
      <c r="N137" s="135">
        <v>1.0165</v>
      </c>
      <c r="O137" s="135">
        <v>1.1220000000000001</v>
      </c>
      <c r="P137" s="135">
        <v>1.121</v>
      </c>
      <c r="Q137" s="135">
        <v>1.0165</v>
      </c>
      <c r="R137" s="135">
        <v>1.0225</v>
      </c>
      <c r="S137" s="135">
        <v>1.0009999999999999</v>
      </c>
      <c r="T137" s="135">
        <v>1.002</v>
      </c>
      <c r="U137" s="135">
        <v>0.94</v>
      </c>
      <c r="V137" s="135">
        <f t="shared" si="58"/>
        <v>0.95</v>
      </c>
      <c r="W137" s="135">
        <f t="shared" si="71"/>
        <v>1.04</v>
      </c>
      <c r="X137" s="135">
        <v>0.93200000000000005</v>
      </c>
      <c r="Y137" s="135">
        <v>0.95150000000000001</v>
      </c>
      <c r="Z137" s="135">
        <v>0.98699999999999999</v>
      </c>
      <c r="AA137" s="135">
        <v>1.002</v>
      </c>
      <c r="AB137" s="135">
        <v>0.97499999999999998</v>
      </c>
      <c r="AC137" s="135">
        <v>0.96950000000000003</v>
      </c>
      <c r="AD137" s="157">
        <v>0.95699999999999996</v>
      </c>
      <c r="AE137" s="157">
        <v>0.82899999999999996</v>
      </c>
      <c r="AF137" s="157">
        <v>0.92949999999999999</v>
      </c>
      <c r="AG137" s="135">
        <v>0.77449999999999997</v>
      </c>
      <c r="AH137" s="135">
        <v>0.70450000000000002</v>
      </c>
      <c r="AI137" s="135">
        <v>0.69599999999999995</v>
      </c>
      <c r="AJ137" s="135">
        <v>0.67449999999999999</v>
      </c>
      <c r="AK137" s="135">
        <v>0.63600000000000001</v>
      </c>
      <c r="AN137" t="s">
        <v>79</v>
      </c>
      <c r="AO137" s="140">
        <v>23.8</v>
      </c>
      <c r="AP137" s="140">
        <v>22</v>
      </c>
      <c r="AQ137" s="140">
        <v>21.3</v>
      </c>
      <c r="AR137" s="140">
        <v>20.8</v>
      </c>
      <c r="AS137" s="129">
        <f t="shared" si="85"/>
        <v>20.450000000000003</v>
      </c>
      <c r="AT137" s="140">
        <v>20.100000000000001</v>
      </c>
      <c r="AU137" s="140">
        <v>19.5</v>
      </c>
      <c r="AV137" s="140">
        <v>18.7</v>
      </c>
      <c r="AW137" s="140">
        <v>18.100000000000001</v>
      </c>
      <c r="AX137" s="140">
        <v>17.899999999999999</v>
      </c>
      <c r="AY137" s="140">
        <v>17.8</v>
      </c>
      <c r="AZ137" s="140">
        <v>18.7</v>
      </c>
      <c r="BA137" s="140">
        <v>20.9</v>
      </c>
      <c r="BC137" s="111">
        <f t="shared" si="86"/>
        <v>-9.9999999999997868E-2</v>
      </c>
      <c r="BD137" s="111">
        <f t="shared" si="73"/>
        <v>-0.10000000000000142</v>
      </c>
      <c r="BE137" s="111">
        <f t="shared" si="74"/>
        <v>-9.9999999999997868E-2</v>
      </c>
      <c r="BF137" s="111">
        <f t="shared" si="75"/>
        <v>-9.9999999999997868E-2</v>
      </c>
      <c r="BG137" s="111">
        <f t="shared" si="76"/>
        <v>-9.9999999999994316E-2</v>
      </c>
      <c r="BH137" s="111">
        <f t="shared" si="77"/>
        <v>-9.9999999999997868E-2</v>
      </c>
      <c r="BI137" s="111">
        <f t="shared" si="78"/>
        <v>-0.19999999999999929</v>
      </c>
      <c r="BJ137" s="111">
        <f t="shared" si="79"/>
        <v>-0.10000000000000142</v>
      </c>
      <c r="BK137" s="111">
        <f t="shared" si="80"/>
        <v>-0.19999999999999929</v>
      </c>
      <c r="BL137" s="111">
        <f t="shared" si="81"/>
        <v>-0.10000000000000142</v>
      </c>
      <c r="BM137" s="111">
        <f t="shared" si="82"/>
        <v>-0.19999999999999929</v>
      </c>
      <c r="BN137" s="111">
        <f t="shared" si="83"/>
        <v>0</v>
      </c>
      <c r="BO137" s="111">
        <f t="shared" si="84"/>
        <v>-0.20000000000000284</v>
      </c>
    </row>
    <row r="138" spans="1:67" ht="12.75" x14ac:dyDescent="0.2">
      <c r="A138">
        <v>1.2649999999999999</v>
      </c>
      <c r="B138">
        <v>1.2110000000000001</v>
      </c>
      <c r="C138">
        <v>1.0609999999999999</v>
      </c>
      <c r="D138">
        <v>1.0840000000000001</v>
      </c>
      <c r="E138">
        <v>0.95250000000000001</v>
      </c>
      <c r="F138">
        <v>0.97199999999999998</v>
      </c>
      <c r="G138">
        <v>1.0355000000000001</v>
      </c>
      <c r="H138" s="133">
        <v>1.036</v>
      </c>
      <c r="I138" s="134">
        <v>1.131</v>
      </c>
      <c r="J138" s="134">
        <v>1.0149999999999999</v>
      </c>
      <c r="K138" s="135">
        <v>0.98450000000000004</v>
      </c>
      <c r="L138" s="135">
        <v>0.99399999999999999</v>
      </c>
      <c r="M138" s="135">
        <v>0.96399999999999997</v>
      </c>
      <c r="N138" s="135">
        <v>1.0605</v>
      </c>
      <c r="O138" s="135">
        <v>1.177</v>
      </c>
      <c r="P138" s="135">
        <v>1.1745000000000001</v>
      </c>
      <c r="Q138" s="135">
        <v>1.0680000000000001</v>
      </c>
      <c r="R138" s="135">
        <v>1.0740000000000001</v>
      </c>
      <c r="S138" s="135">
        <v>1.0515000000000001</v>
      </c>
      <c r="T138" s="135">
        <v>1.0529999999999999</v>
      </c>
      <c r="U138" s="135">
        <v>0.99150000000000005</v>
      </c>
      <c r="V138" s="135">
        <f t="shared" si="58"/>
        <v>1.0015000000000001</v>
      </c>
      <c r="W138" s="135">
        <f t="shared" si="71"/>
        <v>1.0915000000000001</v>
      </c>
      <c r="X138" s="135">
        <v>0.98350000000000004</v>
      </c>
      <c r="Y138" s="135">
        <v>1.0024999999999999</v>
      </c>
      <c r="Z138" s="135">
        <v>1.0395000000000001</v>
      </c>
      <c r="AA138" s="135">
        <v>1.052</v>
      </c>
      <c r="AB138" s="135">
        <v>1.028</v>
      </c>
      <c r="AC138" s="135">
        <v>1.0245</v>
      </c>
      <c r="AD138" s="157">
        <v>1.012</v>
      </c>
      <c r="AE138" s="157">
        <v>0.87150000000000005</v>
      </c>
      <c r="AF138" s="157">
        <v>0.97650000000000003</v>
      </c>
      <c r="AG138" s="135">
        <v>0.81</v>
      </c>
      <c r="AH138" s="135">
        <v>0.73499999999999999</v>
      </c>
      <c r="AI138" s="135">
        <v>0.73450000000000004</v>
      </c>
      <c r="AJ138" s="135">
        <v>0.71399999999999997</v>
      </c>
      <c r="AK138" s="135">
        <v>0.67349999999999999</v>
      </c>
      <c r="AN138" t="s">
        <v>159</v>
      </c>
      <c r="AO138" s="140">
        <v>23.3</v>
      </c>
      <c r="AP138" s="140">
        <v>21.7</v>
      </c>
      <c r="AQ138" s="140">
        <v>21.1</v>
      </c>
      <c r="AR138" s="140">
        <v>20.6</v>
      </c>
      <c r="AS138" s="129">
        <f t="shared" si="85"/>
        <v>20.200000000000003</v>
      </c>
      <c r="AT138" s="140">
        <v>19.8</v>
      </c>
      <c r="AU138" s="140">
        <v>19.2</v>
      </c>
      <c r="AV138" s="140">
        <v>18.3</v>
      </c>
      <c r="AW138" s="140">
        <v>17.7</v>
      </c>
      <c r="AX138" s="140">
        <v>17.2</v>
      </c>
      <c r="AY138" s="140">
        <v>16.899999999999999</v>
      </c>
      <c r="AZ138" s="140">
        <f>(AZ137+AZ139)/2</f>
        <v>17.25</v>
      </c>
      <c r="BA138" s="140">
        <v>18.600000000000001</v>
      </c>
      <c r="BC138" s="111">
        <f t="shared" si="86"/>
        <v>-9.9999999999997868E-2</v>
      </c>
      <c r="BD138" s="111">
        <f t="shared" si="73"/>
        <v>-0.10000000000000142</v>
      </c>
      <c r="BE138" s="111">
        <f t="shared" si="74"/>
        <v>-9.9999999999997868E-2</v>
      </c>
      <c r="BF138" s="111">
        <f t="shared" si="75"/>
        <v>-9.9999999999997868E-2</v>
      </c>
      <c r="BG138" s="111">
        <f t="shared" si="76"/>
        <v>-0.14999999999999858</v>
      </c>
      <c r="BH138" s="111">
        <f t="shared" si="77"/>
        <v>-0.19999999999999929</v>
      </c>
      <c r="BI138" s="111">
        <f t="shared" si="78"/>
        <v>-0.19999999999999929</v>
      </c>
      <c r="BJ138" s="111">
        <f t="shared" si="79"/>
        <v>-0.19999999999999929</v>
      </c>
      <c r="BK138" s="111">
        <f t="shared" si="80"/>
        <v>-0.10000000000000142</v>
      </c>
      <c r="BL138" s="111">
        <f t="shared" si="81"/>
        <v>-0.19999999999999929</v>
      </c>
      <c r="BM138" s="111">
        <f t="shared" si="82"/>
        <v>-0.10000000000000142</v>
      </c>
      <c r="BN138" s="111">
        <f t="shared" si="83"/>
        <v>-5.0000000000000711E-2</v>
      </c>
      <c r="BO138" s="111">
        <f t="shared" si="84"/>
        <v>-9.9999999999997868E-2</v>
      </c>
    </row>
    <row r="139" spans="1:67" ht="12.75" x14ac:dyDescent="0.2">
      <c r="A139">
        <v>1.2815000000000001</v>
      </c>
      <c r="B139">
        <v>1.2295</v>
      </c>
      <c r="C139">
        <v>1.0714999999999999</v>
      </c>
      <c r="D139">
        <v>1.0965</v>
      </c>
      <c r="E139">
        <v>0.95650000000000002</v>
      </c>
      <c r="F139">
        <v>0.98599999999999999</v>
      </c>
      <c r="G139">
        <v>1.0475000000000001</v>
      </c>
      <c r="H139" s="133">
        <v>1.05</v>
      </c>
      <c r="I139" s="134">
        <v>1.1399999999999999</v>
      </c>
      <c r="J139" s="134">
        <v>1.0229999999999999</v>
      </c>
      <c r="K139" s="135">
        <v>0.99099999999999999</v>
      </c>
      <c r="L139" s="135">
        <v>1.0004999999999999</v>
      </c>
      <c r="M139" s="135">
        <v>0.97050000000000003</v>
      </c>
      <c r="N139" s="135">
        <v>1.0714999999999999</v>
      </c>
      <c r="O139" s="135">
        <v>1.1930000000000001</v>
      </c>
      <c r="P139" s="135">
        <v>1.1884999999999999</v>
      </c>
      <c r="Q139" s="135">
        <v>1.079</v>
      </c>
      <c r="R139" s="135">
        <v>1.085</v>
      </c>
      <c r="S139" s="135">
        <v>1.0625</v>
      </c>
      <c r="T139" s="135">
        <v>1.0640000000000001</v>
      </c>
      <c r="U139" s="135">
        <v>1.0004999999999999</v>
      </c>
      <c r="V139" s="135">
        <f t="shared" si="58"/>
        <v>1.0105</v>
      </c>
      <c r="W139" s="135">
        <f t="shared" si="71"/>
        <v>1.1005</v>
      </c>
      <c r="X139" s="135">
        <v>0.99350000000000005</v>
      </c>
      <c r="Y139" s="135">
        <v>1.0125</v>
      </c>
      <c r="Z139" s="135">
        <v>1.0505</v>
      </c>
      <c r="AA139" s="135">
        <v>1.0629999999999999</v>
      </c>
      <c r="AB139" s="135">
        <v>1.0415000000000001</v>
      </c>
      <c r="AC139" s="135">
        <v>1.0395000000000001</v>
      </c>
      <c r="AD139" s="157">
        <v>1.0269999999999999</v>
      </c>
      <c r="AE139" s="157">
        <v>0.877</v>
      </c>
      <c r="AF139" s="157">
        <v>0.98650000000000004</v>
      </c>
      <c r="AG139" s="135">
        <v>0.81</v>
      </c>
      <c r="AH139" s="135">
        <v>0.73299999999999998</v>
      </c>
      <c r="AI139" s="135">
        <v>0.74050000000000005</v>
      </c>
      <c r="AJ139" s="135">
        <v>0.71950000000000003</v>
      </c>
      <c r="AK139" s="135">
        <v>0.68</v>
      </c>
      <c r="AN139" t="s">
        <v>107</v>
      </c>
      <c r="AO139" s="140">
        <v>22.6</v>
      </c>
      <c r="AP139" s="140">
        <v>21.2</v>
      </c>
      <c r="AQ139" s="140">
        <v>20.6</v>
      </c>
      <c r="AR139" s="140">
        <v>20.100000000000001</v>
      </c>
      <c r="AS139" s="129">
        <f t="shared" si="85"/>
        <v>19.75</v>
      </c>
      <c r="AT139" s="140">
        <v>19.399999999999999</v>
      </c>
      <c r="AU139" s="140">
        <v>18.8</v>
      </c>
      <c r="AV139" s="140">
        <v>17.899999999999999</v>
      </c>
      <c r="AW139" s="140">
        <v>17.2</v>
      </c>
      <c r="AX139" s="140">
        <v>16.600000000000001</v>
      </c>
      <c r="AY139" s="140">
        <v>16.100000000000001</v>
      </c>
      <c r="AZ139" s="140">
        <v>15.8</v>
      </c>
      <c r="BA139" s="140">
        <v>16.399999999999999</v>
      </c>
      <c r="BC139" s="111">
        <f t="shared" si="86"/>
        <v>-9.9999999999997868E-2</v>
      </c>
      <c r="BD139" s="111">
        <f t="shared" si="73"/>
        <v>-0.10000000000000142</v>
      </c>
      <c r="BE139" s="111">
        <f t="shared" si="74"/>
        <v>-0.19999999999999929</v>
      </c>
      <c r="BF139" s="111">
        <f t="shared" si="75"/>
        <v>-0.19999999999999929</v>
      </c>
      <c r="BG139" s="111">
        <f t="shared" si="76"/>
        <v>-0.20000000000000284</v>
      </c>
      <c r="BH139" s="111">
        <f t="shared" si="77"/>
        <v>-0.20000000000000284</v>
      </c>
      <c r="BI139" s="111">
        <f t="shared" si="78"/>
        <v>-0.19999999999999929</v>
      </c>
      <c r="BJ139" s="111">
        <f t="shared" si="79"/>
        <v>-0.10000000000000142</v>
      </c>
      <c r="BK139" s="111">
        <f t="shared" si="80"/>
        <v>-0.10000000000000142</v>
      </c>
      <c r="BL139" s="111">
        <f t="shared" si="81"/>
        <v>-0.19999999999999929</v>
      </c>
      <c r="BM139" s="111">
        <f t="shared" si="82"/>
        <v>-9.9999999999997868E-2</v>
      </c>
      <c r="BN139" s="111">
        <f t="shared" si="83"/>
        <v>-0.19999999999999929</v>
      </c>
      <c r="BO139" s="111">
        <f t="shared" si="84"/>
        <v>-0.20000000000000284</v>
      </c>
    </row>
    <row r="140" spans="1:67" ht="12.75" x14ac:dyDescent="0.2">
      <c r="A140">
        <v>1.2889999999999999</v>
      </c>
      <c r="B140">
        <v>1.242</v>
      </c>
      <c r="C140">
        <v>1.046</v>
      </c>
      <c r="D140">
        <v>1.0880000000000001</v>
      </c>
      <c r="E140">
        <v>0.94299999999999995</v>
      </c>
      <c r="F140">
        <v>0.98499999999999999</v>
      </c>
      <c r="G140">
        <v>1.0409999999999999</v>
      </c>
      <c r="H140" s="133">
        <v>1.0429999999999999</v>
      </c>
      <c r="I140" s="134">
        <v>1.1319999999999999</v>
      </c>
      <c r="J140" s="134">
        <v>1.0109999999999999</v>
      </c>
      <c r="K140" s="135">
        <v>0.96299999999999997</v>
      </c>
      <c r="L140" s="135">
        <v>0.97499999999999998</v>
      </c>
      <c r="M140" s="135">
        <v>0.94699999999999995</v>
      </c>
      <c r="N140" s="135">
        <v>1.0529999999999999</v>
      </c>
      <c r="O140" s="135">
        <v>1.1779999999999999</v>
      </c>
      <c r="P140" s="135">
        <v>1.175</v>
      </c>
      <c r="Q140" s="135">
        <v>1.0640000000000001</v>
      </c>
      <c r="R140" s="135">
        <v>1.071</v>
      </c>
      <c r="S140" s="135">
        <v>1.0509999999999999</v>
      </c>
      <c r="T140" s="135">
        <v>1.0489999999999999</v>
      </c>
      <c r="U140" s="135">
        <v>0.98799999999999999</v>
      </c>
      <c r="V140" s="135">
        <f t="shared" si="58"/>
        <v>0.998</v>
      </c>
      <c r="W140" s="135">
        <f t="shared" si="71"/>
        <v>1.0880000000000001</v>
      </c>
      <c r="X140" s="135">
        <v>0.98399999999999999</v>
      </c>
      <c r="Y140" s="135">
        <v>1.006</v>
      </c>
      <c r="Z140" s="135">
        <v>1.044</v>
      </c>
      <c r="AA140" s="135">
        <v>1.0609999999999999</v>
      </c>
      <c r="AB140" s="135">
        <v>1.0409999999999999</v>
      </c>
      <c r="AC140" s="135">
        <v>1.0409999999999999</v>
      </c>
      <c r="AD140" s="157">
        <v>1.026</v>
      </c>
      <c r="AE140" s="157">
        <v>0.86699999999999999</v>
      </c>
      <c r="AF140" s="157">
        <v>0.98299999999999998</v>
      </c>
      <c r="AG140" s="135">
        <v>0.78900000000000003</v>
      </c>
      <c r="AH140" s="135">
        <v>0.70799999999999996</v>
      </c>
      <c r="AI140" s="135">
        <v>0.73799999999999999</v>
      </c>
      <c r="AJ140" s="135">
        <v>0.71899999999999997</v>
      </c>
      <c r="AK140" s="135">
        <v>0.68100000000000005</v>
      </c>
      <c r="AN140" t="s">
        <v>108</v>
      </c>
      <c r="AO140" s="140">
        <v>21.6</v>
      </c>
      <c r="AP140" s="140">
        <v>20.5</v>
      </c>
      <c r="AQ140" s="140">
        <v>20</v>
      </c>
      <c r="AR140" s="140">
        <v>19.600000000000001</v>
      </c>
      <c r="AS140" s="129">
        <f t="shared" si="85"/>
        <v>19.25</v>
      </c>
      <c r="AT140" s="140">
        <v>18.899999999999999</v>
      </c>
      <c r="AU140" s="140">
        <v>18.399999999999999</v>
      </c>
      <c r="AV140" s="140">
        <v>17.399999999999999</v>
      </c>
      <c r="AW140" s="140">
        <v>16.7</v>
      </c>
      <c r="AX140" s="140">
        <v>16.2</v>
      </c>
      <c r="AY140" s="140">
        <v>15.5</v>
      </c>
      <c r="AZ140" s="140">
        <v>14.9</v>
      </c>
      <c r="BA140" s="140">
        <v>14.7</v>
      </c>
      <c r="BC140" s="111">
        <f t="shared" si="86"/>
        <v>-9.9999999999997868E-2</v>
      </c>
      <c r="BD140" s="111">
        <f t="shared" si="73"/>
        <v>-0.10000000000000142</v>
      </c>
      <c r="BE140" s="111">
        <f t="shared" si="74"/>
        <v>-0.10000000000000142</v>
      </c>
      <c r="BF140" s="111">
        <f t="shared" si="75"/>
        <v>-9.9999999999997868E-2</v>
      </c>
      <c r="BG140" s="111">
        <f t="shared" si="76"/>
        <v>-0.14999999999999858</v>
      </c>
      <c r="BH140" s="111">
        <f t="shared" si="77"/>
        <v>-0.20000000000000284</v>
      </c>
      <c r="BI140" s="111">
        <f t="shared" si="78"/>
        <v>-0.10000000000000142</v>
      </c>
      <c r="BJ140" s="111">
        <f t="shared" si="79"/>
        <v>-0.20000000000000284</v>
      </c>
      <c r="BK140" s="111">
        <f t="shared" si="80"/>
        <v>-0.10000000000000142</v>
      </c>
      <c r="BL140" s="111">
        <f t="shared" si="81"/>
        <v>-0.10000000000000142</v>
      </c>
      <c r="BM140" s="111">
        <f t="shared" si="82"/>
        <v>-9.9999999999999645E-2</v>
      </c>
      <c r="BN140" s="111">
        <f t="shared" si="83"/>
        <v>-9.9999999999999645E-2</v>
      </c>
      <c r="BO140" s="111">
        <f t="shared" si="84"/>
        <v>-0.10000000000000142</v>
      </c>
    </row>
    <row r="141" spans="1:67" ht="12.75" x14ac:dyDescent="0.2">
      <c r="A141">
        <v>1.252</v>
      </c>
      <c r="B141">
        <v>1.204</v>
      </c>
      <c r="C141">
        <v>0.97399999999999998</v>
      </c>
      <c r="D141">
        <v>1.03</v>
      </c>
      <c r="E141">
        <v>0.88400000000000001</v>
      </c>
      <c r="F141">
        <v>0.93300000000000005</v>
      </c>
      <c r="G141">
        <v>0.98499999999999999</v>
      </c>
      <c r="H141" s="133">
        <v>0.98799999999999999</v>
      </c>
      <c r="I141" s="134">
        <v>1.071</v>
      </c>
      <c r="J141" s="134">
        <v>0.94499999999999995</v>
      </c>
      <c r="K141" s="135">
        <v>0.89100000000000001</v>
      </c>
      <c r="L141" s="135">
        <v>0.90700000000000003</v>
      </c>
      <c r="M141" s="135">
        <v>0.88100000000000001</v>
      </c>
      <c r="N141" s="135">
        <v>0.99199999999999999</v>
      </c>
      <c r="O141" s="135">
        <v>1.117</v>
      </c>
      <c r="P141" s="135">
        <v>1.111</v>
      </c>
      <c r="Q141" s="135">
        <v>1.002</v>
      </c>
      <c r="R141" s="135">
        <v>1.0089999999999999</v>
      </c>
      <c r="S141" s="135">
        <v>0.98899999999999999</v>
      </c>
      <c r="T141" s="135">
        <v>0.98699999999999999</v>
      </c>
      <c r="U141" s="135">
        <v>0.92800000000000005</v>
      </c>
      <c r="V141" s="135">
        <f t="shared" si="58"/>
        <v>0.93800000000000006</v>
      </c>
      <c r="W141" s="135">
        <f t="shared" si="71"/>
        <v>1.028</v>
      </c>
      <c r="X141" s="135">
        <v>0.92600000000000005</v>
      </c>
      <c r="Y141" s="135">
        <v>0.95199999999999996</v>
      </c>
      <c r="Z141" s="135">
        <v>0.99</v>
      </c>
      <c r="AA141" s="135">
        <v>1.0129999999999999</v>
      </c>
      <c r="AB141" s="135">
        <v>0.99199999999999999</v>
      </c>
      <c r="AC141" s="135">
        <v>0.99199999999999999</v>
      </c>
      <c r="AD141" s="157">
        <v>0.97699999999999998</v>
      </c>
      <c r="AE141" s="157">
        <v>0.81299999999999994</v>
      </c>
      <c r="AF141" s="157">
        <v>0.93</v>
      </c>
      <c r="AG141" s="135">
        <v>0.73299999999999998</v>
      </c>
      <c r="AH141" s="135">
        <v>0.65400000000000003</v>
      </c>
      <c r="AI141" s="135">
        <v>0.69799999999999995</v>
      </c>
      <c r="AJ141" s="135">
        <v>0.68</v>
      </c>
      <c r="AK141" s="135">
        <v>0.64600000000000002</v>
      </c>
      <c r="AN141" t="s">
        <v>109</v>
      </c>
      <c r="AO141" s="140">
        <v>21.1</v>
      </c>
      <c r="AP141" s="140">
        <v>20.100000000000001</v>
      </c>
      <c r="AQ141" s="140">
        <v>19.7</v>
      </c>
      <c r="AR141" s="140">
        <v>19.3</v>
      </c>
      <c r="AS141" s="129">
        <f t="shared" si="85"/>
        <v>19</v>
      </c>
      <c r="AT141" s="140">
        <v>18.7</v>
      </c>
      <c r="AU141" s="140">
        <v>18.100000000000001</v>
      </c>
      <c r="AV141" s="140">
        <v>17.2</v>
      </c>
      <c r="AW141" s="140">
        <v>16.5</v>
      </c>
      <c r="AX141" s="140">
        <v>16</v>
      </c>
      <c r="AY141" s="140">
        <v>15.2</v>
      </c>
      <c r="AZ141" s="140">
        <v>14.5</v>
      </c>
      <c r="BA141" s="140">
        <v>13.9</v>
      </c>
      <c r="BC141" s="111">
        <f t="shared" si="86"/>
        <v>-9.9999999999997868E-2</v>
      </c>
      <c r="BD141" s="111">
        <f t="shared" si="73"/>
        <v>-9.9999999999997868E-2</v>
      </c>
      <c r="BE141" s="111">
        <f t="shared" si="74"/>
        <v>-0.10000000000000142</v>
      </c>
      <c r="BF141" s="111">
        <f t="shared" si="75"/>
        <v>-9.9999999999997868E-2</v>
      </c>
      <c r="BG141" s="111">
        <f t="shared" si="76"/>
        <v>-0.10000000000000142</v>
      </c>
      <c r="BH141" s="111">
        <f t="shared" si="77"/>
        <v>-0.10000000000000142</v>
      </c>
      <c r="BI141" s="111">
        <f t="shared" si="78"/>
        <v>-9.9999999999997868E-2</v>
      </c>
      <c r="BJ141" s="111">
        <f t="shared" si="79"/>
        <v>-0.10000000000000142</v>
      </c>
      <c r="BK141" s="111">
        <f t="shared" si="80"/>
        <v>-0.10000000000000142</v>
      </c>
      <c r="BL141" s="111">
        <f t="shared" si="81"/>
        <v>-0.10000000000000142</v>
      </c>
      <c r="BM141" s="111">
        <f t="shared" si="82"/>
        <v>-0.10000000000000142</v>
      </c>
      <c r="BN141" s="111">
        <f t="shared" si="83"/>
        <v>-9.9999999999999645E-2</v>
      </c>
      <c r="BO141" s="111">
        <f t="shared" si="84"/>
        <v>-9.9999999999999645E-2</v>
      </c>
    </row>
    <row r="142" spans="1:67" ht="12.75" x14ac:dyDescent="0.2">
      <c r="AN142" t="s">
        <v>110</v>
      </c>
      <c r="AO142" s="140">
        <v>20.7</v>
      </c>
      <c r="AP142" s="140">
        <v>19.8</v>
      </c>
      <c r="AQ142" s="140">
        <v>19.399999999999999</v>
      </c>
      <c r="AR142" s="140">
        <v>19</v>
      </c>
      <c r="AS142" s="129">
        <f t="shared" si="85"/>
        <v>18.7</v>
      </c>
      <c r="AT142" s="140">
        <v>18.399999999999999</v>
      </c>
      <c r="AU142" s="140">
        <v>17.899999999999999</v>
      </c>
      <c r="AV142" s="140">
        <v>17</v>
      </c>
      <c r="AW142" s="140">
        <v>16.3</v>
      </c>
      <c r="AX142" s="140">
        <v>15.8</v>
      </c>
      <c r="AY142" s="140">
        <v>15</v>
      </c>
      <c r="AZ142" s="140">
        <v>14.2</v>
      </c>
      <c r="BA142" s="140">
        <v>13.4</v>
      </c>
      <c r="BC142" s="111">
        <f t="shared" si="86"/>
        <v>-0.10000000000000142</v>
      </c>
      <c r="BD142" s="111">
        <f t="shared" si="73"/>
        <v>-9.9999999999997868E-2</v>
      </c>
      <c r="BE142" s="111">
        <f t="shared" si="74"/>
        <v>-0.10000000000000142</v>
      </c>
      <c r="BF142" s="111">
        <f t="shared" si="75"/>
        <v>-0.19999999999999929</v>
      </c>
      <c r="BG142" s="111">
        <f t="shared" si="76"/>
        <v>-0.15000000000000213</v>
      </c>
      <c r="BH142" s="111">
        <f t="shared" si="77"/>
        <v>-0.10000000000000142</v>
      </c>
      <c r="BI142" s="111">
        <f t="shared" si="78"/>
        <v>-0.10000000000000142</v>
      </c>
      <c r="BJ142" s="111">
        <f t="shared" si="79"/>
        <v>-0.10000000000000142</v>
      </c>
      <c r="BK142" s="111">
        <f t="shared" si="80"/>
        <v>-0.19999999999999929</v>
      </c>
      <c r="BL142" s="111">
        <f t="shared" si="81"/>
        <v>-9.9999999999999645E-2</v>
      </c>
      <c r="BM142" s="111">
        <f t="shared" si="82"/>
        <v>-9.9999999999999645E-2</v>
      </c>
      <c r="BN142" s="111">
        <f t="shared" si="83"/>
        <v>-0.10000000000000142</v>
      </c>
      <c r="BO142" s="111">
        <f t="shared" si="84"/>
        <v>-9.9999999999999645E-2</v>
      </c>
    </row>
    <row r="144" spans="1:67" x14ac:dyDescent="0.2">
      <c r="AO144">
        <v>-0.5</v>
      </c>
      <c r="AP144">
        <v>-0.25</v>
      </c>
      <c r="AQ144">
        <v>-0.13</v>
      </c>
      <c r="AR144">
        <v>0</v>
      </c>
      <c r="AS144">
        <v>0.125</v>
      </c>
      <c r="AT144" s="126">
        <v>0.25</v>
      </c>
      <c r="AU144" s="126">
        <v>0.5</v>
      </c>
      <c r="AV144" s="126">
        <v>1</v>
      </c>
      <c r="AW144" s="126">
        <v>1.5</v>
      </c>
      <c r="AX144" s="126">
        <v>2</v>
      </c>
      <c r="AY144" s="126">
        <v>3</v>
      </c>
      <c r="AZ144" s="126">
        <v>5</v>
      </c>
      <c r="BA144" s="126">
        <v>10</v>
      </c>
    </row>
    <row r="145" spans="38:67" ht="12.75" x14ac:dyDescent="0.2">
      <c r="AL145">
        <v>15.03</v>
      </c>
      <c r="AN145" t="s">
        <v>25</v>
      </c>
      <c r="AO145" s="140">
        <v>10.3</v>
      </c>
      <c r="AP145" s="140">
        <v>7.1</v>
      </c>
      <c r="AQ145" s="140">
        <v>7.8</v>
      </c>
      <c r="AR145" s="140">
        <v>9.3000000000000007</v>
      </c>
      <c r="AS145" s="129">
        <f>(AR145+AT145)/2</f>
        <v>10.850000000000001</v>
      </c>
      <c r="AT145" s="140">
        <v>12.4</v>
      </c>
      <c r="AU145" s="140">
        <v>15.2</v>
      </c>
      <c r="AV145" s="140">
        <v>19.899999999999999</v>
      </c>
      <c r="AW145" s="140">
        <v>23.8</v>
      </c>
      <c r="AX145" s="140">
        <v>27.1</v>
      </c>
      <c r="AY145" s="140">
        <v>32.6</v>
      </c>
      <c r="AZ145" s="140">
        <v>40.700000000000003</v>
      </c>
      <c r="BA145" s="140">
        <v>53.2</v>
      </c>
      <c r="BC145" s="111">
        <f>AO145-AO128</f>
        <v>-2.7999999999999989</v>
      </c>
      <c r="BD145" s="111">
        <f t="shared" ref="BD145:BD159" si="87">AP145-AP128</f>
        <v>-4</v>
      </c>
      <c r="BE145" s="111">
        <f t="shared" ref="BE145:BE159" si="88">AQ145-AQ128</f>
        <v>-4.1000000000000005</v>
      </c>
      <c r="BF145" s="111">
        <f t="shared" ref="BF145:BF159" si="89">AR145-AR128</f>
        <v>-4.0999999999999996</v>
      </c>
      <c r="BG145" s="111">
        <f t="shared" ref="BG145:BG159" si="90">AS145-AS128</f>
        <v>-4.0499999999999972</v>
      </c>
      <c r="BH145" s="111">
        <f t="shared" ref="BH145:BH159" si="91">AT145-AT128</f>
        <v>-3.9999999999999982</v>
      </c>
      <c r="BI145" s="111">
        <f t="shared" ref="BI145:BI159" si="92">AU145-AU128</f>
        <v>-4.1000000000000014</v>
      </c>
      <c r="BJ145" s="111">
        <f t="shared" ref="BJ145:BJ159" si="93">AV145-AV128</f>
        <v>-4.4000000000000021</v>
      </c>
      <c r="BK145" s="111">
        <f t="shared" ref="BK145:BK159" si="94">AW145-AW128</f>
        <v>-4.5999999999999979</v>
      </c>
      <c r="BL145" s="111">
        <f t="shared" ref="BL145:BL159" si="95">AX145-AX128</f>
        <v>-4.8999999999999986</v>
      </c>
      <c r="BM145" s="111">
        <f t="shared" ref="BM145:BM159" si="96">AY145-AY128</f>
        <v>-5.1999999999999957</v>
      </c>
      <c r="BN145" s="111">
        <f t="shared" ref="BN145:BN159" si="97">AZ145-AZ128</f>
        <v>-5.7999999999999972</v>
      </c>
      <c r="BO145" s="111">
        <f t="shared" ref="BO145:BO159" si="98">BA145-BA128</f>
        <v>-6.7999999999999972</v>
      </c>
    </row>
    <row r="146" spans="38:67" ht="12.75" x14ac:dyDescent="0.2">
      <c r="AN146" t="s">
        <v>157</v>
      </c>
      <c r="AO146" s="140">
        <v>12.4</v>
      </c>
      <c r="AP146" s="140">
        <v>9.1999999999999993</v>
      </c>
      <c r="AQ146" s="140">
        <v>9.4</v>
      </c>
      <c r="AR146" s="140">
        <v>10.4</v>
      </c>
      <c r="AS146" s="129">
        <f t="shared" ref="AS146:AS159" si="99">(AR146+AT146)/2</f>
        <v>11.65</v>
      </c>
      <c r="AT146" s="140">
        <v>12.9</v>
      </c>
      <c r="AU146" s="140">
        <v>15.2</v>
      </c>
      <c r="AV146" s="140">
        <v>19.2</v>
      </c>
      <c r="AW146" s="140">
        <v>22.5</v>
      </c>
      <c r="AX146" s="140">
        <v>25.3</v>
      </c>
      <c r="AY146" s="140">
        <v>29.9</v>
      </c>
      <c r="AZ146" s="140">
        <v>36.5</v>
      </c>
      <c r="BA146" s="140">
        <v>46.4</v>
      </c>
      <c r="BC146" s="111">
        <f t="shared" ref="BC146:BC159" si="100">AO146-AO129</f>
        <v>-2.1999999999999993</v>
      </c>
      <c r="BD146" s="111">
        <f t="shared" si="87"/>
        <v>-3.3000000000000007</v>
      </c>
      <c r="BE146" s="111">
        <f t="shared" si="88"/>
        <v>-3.5</v>
      </c>
      <c r="BF146" s="111">
        <f t="shared" si="89"/>
        <v>-3.5999999999999996</v>
      </c>
      <c r="BG146" s="111">
        <f t="shared" si="90"/>
        <v>-3.5</v>
      </c>
      <c r="BH146" s="111">
        <f t="shared" si="91"/>
        <v>-3.4000000000000004</v>
      </c>
      <c r="BI146" s="111">
        <f t="shared" si="92"/>
        <v>-3.4000000000000021</v>
      </c>
      <c r="BJ146" s="111">
        <f t="shared" si="93"/>
        <v>-3.4000000000000021</v>
      </c>
      <c r="BK146" s="111">
        <f t="shared" si="94"/>
        <v>-3.5</v>
      </c>
      <c r="BL146" s="111">
        <f t="shared" si="95"/>
        <v>-3.5999999999999979</v>
      </c>
      <c r="BM146" s="111">
        <f t="shared" si="96"/>
        <v>-3.7000000000000028</v>
      </c>
      <c r="BN146" s="111">
        <f t="shared" si="97"/>
        <v>-3.8999999999999986</v>
      </c>
      <c r="BO146" s="111">
        <f t="shared" si="98"/>
        <v>-4.2000000000000028</v>
      </c>
    </row>
    <row r="147" spans="38:67" ht="12.75" x14ac:dyDescent="0.2">
      <c r="AN147" t="s">
        <v>99</v>
      </c>
      <c r="AO147" s="140">
        <v>16.2</v>
      </c>
      <c r="AP147" s="140">
        <v>12.8</v>
      </c>
      <c r="AQ147" s="140">
        <v>11.7</v>
      </c>
      <c r="AR147" s="140">
        <v>11.5</v>
      </c>
      <c r="AS147" s="129">
        <f t="shared" si="99"/>
        <v>11.8</v>
      </c>
      <c r="AT147" s="140">
        <v>12.1</v>
      </c>
      <c r="AU147" s="140">
        <v>13.1</v>
      </c>
      <c r="AV147" s="140">
        <v>15.4</v>
      </c>
      <c r="AW147" s="140">
        <v>17.600000000000001</v>
      </c>
      <c r="AX147" s="140">
        <v>19.5</v>
      </c>
      <c r="AY147" s="140">
        <v>22.8</v>
      </c>
      <c r="AZ147" s="140">
        <v>27.5</v>
      </c>
      <c r="BA147" s="140">
        <v>34.5</v>
      </c>
      <c r="BC147" s="111">
        <f t="shared" si="100"/>
        <v>-2.8000000000000007</v>
      </c>
      <c r="BD147" s="111">
        <f t="shared" si="87"/>
        <v>-3.1999999999999993</v>
      </c>
      <c r="BE147" s="111">
        <f t="shared" si="88"/>
        <v>-3.5</v>
      </c>
      <c r="BF147" s="111">
        <f t="shared" si="89"/>
        <v>-3.5</v>
      </c>
      <c r="BG147" s="111">
        <f t="shared" si="90"/>
        <v>-3.4499999999999993</v>
      </c>
      <c r="BH147" s="111">
        <f t="shared" si="91"/>
        <v>-3.4000000000000004</v>
      </c>
      <c r="BI147" s="111">
        <f t="shared" si="92"/>
        <v>-3.2999999999999989</v>
      </c>
      <c r="BJ147" s="111">
        <f t="shared" si="93"/>
        <v>-3.2999999999999989</v>
      </c>
      <c r="BK147" s="111">
        <f t="shared" si="94"/>
        <v>-3.2999999999999972</v>
      </c>
      <c r="BL147" s="111">
        <f t="shared" si="95"/>
        <v>-3.3999999999999986</v>
      </c>
      <c r="BM147" s="111">
        <f t="shared" si="96"/>
        <v>-3.3999999999999986</v>
      </c>
      <c r="BN147" s="111">
        <f t="shared" si="97"/>
        <v>-3.5</v>
      </c>
      <c r="BO147" s="111">
        <f t="shared" si="98"/>
        <v>-3.7000000000000028</v>
      </c>
    </row>
    <row r="148" spans="38:67" ht="12.75" x14ac:dyDescent="0.2">
      <c r="AN148" t="s">
        <v>101</v>
      </c>
      <c r="AO148" s="140">
        <v>18.3</v>
      </c>
      <c r="AP148" s="140">
        <v>15.2</v>
      </c>
      <c r="AQ148" s="140">
        <v>14.2</v>
      </c>
      <c r="AR148" s="140">
        <v>13.9</v>
      </c>
      <c r="AS148" s="129">
        <f t="shared" si="99"/>
        <v>14</v>
      </c>
      <c r="AT148" s="140">
        <v>14.1</v>
      </c>
      <c r="AU148" s="140">
        <v>14.6</v>
      </c>
      <c r="AV148" s="140">
        <v>15.8</v>
      </c>
      <c r="AW148" s="140">
        <v>17.3</v>
      </c>
      <c r="AX148" s="140">
        <v>18.8</v>
      </c>
      <c r="AY148" s="140">
        <v>21.3</v>
      </c>
      <c r="AZ148" s="140">
        <f>(AZ147+AZ149)/2</f>
        <v>25.3</v>
      </c>
      <c r="BA148" s="140">
        <v>30.5</v>
      </c>
      <c r="BC148" s="111">
        <f t="shared" si="100"/>
        <v>-2.5</v>
      </c>
      <c r="BD148" s="111">
        <f t="shared" si="87"/>
        <v>-2.9000000000000021</v>
      </c>
      <c r="BE148" s="111">
        <f t="shared" si="88"/>
        <v>-3.1000000000000014</v>
      </c>
      <c r="BF148" s="111">
        <f t="shared" si="89"/>
        <v>-3.0999999999999996</v>
      </c>
      <c r="BG148" s="111">
        <f t="shared" si="90"/>
        <v>-3</v>
      </c>
      <c r="BH148" s="111">
        <f t="shared" si="91"/>
        <v>-2.9000000000000004</v>
      </c>
      <c r="BI148" s="111">
        <f t="shared" si="92"/>
        <v>-2.7999999999999989</v>
      </c>
      <c r="BJ148" s="111">
        <f t="shared" si="93"/>
        <v>-2.8999999999999986</v>
      </c>
      <c r="BK148" s="111">
        <f t="shared" si="94"/>
        <v>-2.8999999999999986</v>
      </c>
      <c r="BL148" s="111">
        <f t="shared" si="95"/>
        <v>-2.8999999999999986</v>
      </c>
      <c r="BM148" s="111">
        <f t="shared" si="96"/>
        <v>-3</v>
      </c>
      <c r="BN148" s="111">
        <f t="shared" si="97"/>
        <v>-2.8999999999999986</v>
      </c>
      <c r="BO148" s="111">
        <f t="shared" si="98"/>
        <v>-3.2999999999999972</v>
      </c>
    </row>
    <row r="149" spans="38:67" ht="12.75" x14ac:dyDescent="0.2">
      <c r="AN149" t="s">
        <v>102</v>
      </c>
      <c r="AO149" s="140">
        <v>19.899999999999999</v>
      </c>
      <c r="AP149" s="140">
        <v>17.100000000000001</v>
      </c>
      <c r="AQ149" s="140">
        <v>16.2</v>
      </c>
      <c r="AR149" s="140">
        <v>15.8</v>
      </c>
      <c r="AS149" s="129">
        <f t="shared" si="99"/>
        <v>15.75</v>
      </c>
      <c r="AT149" s="140">
        <v>15.7</v>
      </c>
      <c r="AU149" s="140">
        <v>15.9</v>
      </c>
      <c r="AV149" s="140">
        <v>16.5</v>
      </c>
      <c r="AW149" s="140">
        <v>17.399999999999999</v>
      </c>
      <c r="AX149" s="140">
        <v>18.3</v>
      </c>
      <c r="AY149" s="140">
        <v>20.2</v>
      </c>
      <c r="AZ149" s="140">
        <v>23.1</v>
      </c>
      <c r="BA149" s="140">
        <v>27.6</v>
      </c>
      <c r="BC149" s="111">
        <f t="shared" si="100"/>
        <v>-2.2000000000000028</v>
      </c>
      <c r="BD149" s="111">
        <f t="shared" si="87"/>
        <v>-2.5999999999999979</v>
      </c>
      <c r="BE149" s="111">
        <f t="shared" si="88"/>
        <v>-2.6999999999999993</v>
      </c>
      <c r="BF149" s="111">
        <f t="shared" si="89"/>
        <v>-2.6999999999999993</v>
      </c>
      <c r="BG149" s="111">
        <f t="shared" si="90"/>
        <v>-2.6499999999999986</v>
      </c>
      <c r="BH149" s="111">
        <f t="shared" si="91"/>
        <v>-2.6000000000000014</v>
      </c>
      <c r="BI149" s="111">
        <f t="shared" si="92"/>
        <v>-2.4999999999999982</v>
      </c>
      <c r="BJ149" s="111">
        <f t="shared" si="93"/>
        <v>-2.3999999999999986</v>
      </c>
      <c r="BK149" s="111">
        <f t="shared" si="94"/>
        <v>-2.4000000000000021</v>
      </c>
      <c r="BL149" s="111">
        <f t="shared" si="95"/>
        <v>-2.5</v>
      </c>
      <c r="BM149" s="111">
        <f t="shared" si="96"/>
        <v>-2.5</v>
      </c>
      <c r="BN149" s="111">
        <f t="shared" si="97"/>
        <v>-2.5999999999999979</v>
      </c>
      <c r="BO149" s="111">
        <f t="shared" si="98"/>
        <v>-2.6999999999999993</v>
      </c>
    </row>
    <row r="150" spans="38:67" ht="12.75" x14ac:dyDescent="0.2">
      <c r="AN150" t="s">
        <v>103</v>
      </c>
      <c r="AO150" s="140">
        <v>21.1</v>
      </c>
      <c r="AP150" s="140">
        <v>18.5</v>
      </c>
      <c r="AQ150" s="140">
        <v>17.600000000000001</v>
      </c>
      <c r="AR150" s="140">
        <v>17.100000000000001</v>
      </c>
      <c r="AS150" s="129">
        <f t="shared" si="99"/>
        <v>17</v>
      </c>
      <c r="AT150" s="140">
        <v>16.899999999999999</v>
      </c>
      <c r="AU150" s="140">
        <v>16.8</v>
      </c>
      <c r="AV150" s="140">
        <v>16.899999999999999</v>
      </c>
      <c r="AW150" s="140">
        <v>17.399999999999999</v>
      </c>
      <c r="AX150" s="140">
        <v>18</v>
      </c>
      <c r="AY150" s="140">
        <v>19.399999999999999</v>
      </c>
      <c r="AZ150" s="140">
        <v>22</v>
      </c>
      <c r="BA150" s="140">
        <v>26</v>
      </c>
      <c r="BC150" s="111">
        <f t="shared" si="100"/>
        <v>-1.8999999999999986</v>
      </c>
      <c r="BD150" s="111">
        <f t="shared" si="87"/>
        <v>-2.1999999999999993</v>
      </c>
      <c r="BE150" s="111">
        <f t="shared" si="88"/>
        <v>-2.3999999999999986</v>
      </c>
      <c r="BF150" s="111">
        <f t="shared" si="89"/>
        <v>-2.3999999999999986</v>
      </c>
      <c r="BG150" s="111">
        <f t="shared" si="90"/>
        <v>-2.3000000000000007</v>
      </c>
      <c r="BH150" s="111">
        <f t="shared" si="91"/>
        <v>-2.2000000000000028</v>
      </c>
      <c r="BI150" s="111">
        <f t="shared" si="92"/>
        <v>-2.1999999999999993</v>
      </c>
      <c r="BJ150" s="111">
        <f t="shared" si="93"/>
        <v>-2.1000000000000014</v>
      </c>
      <c r="BK150" s="111">
        <f t="shared" si="94"/>
        <v>-2.1000000000000014</v>
      </c>
      <c r="BL150" s="111">
        <f t="shared" si="95"/>
        <v>-2.1000000000000014</v>
      </c>
      <c r="BM150" s="111">
        <f t="shared" si="96"/>
        <v>-2.1000000000000014</v>
      </c>
      <c r="BN150" s="111">
        <f t="shared" si="97"/>
        <v>-2</v>
      </c>
      <c r="BO150" s="111">
        <f t="shared" si="98"/>
        <v>-2</v>
      </c>
    </row>
    <row r="151" spans="38:67" ht="12.75" x14ac:dyDescent="0.2">
      <c r="AN151" t="s">
        <v>104</v>
      </c>
      <c r="AO151" s="140">
        <v>21.8</v>
      </c>
      <c r="AP151" s="140">
        <v>19.399999999999999</v>
      </c>
      <c r="AQ151" s="140">
        <v>18.600000000000001</v>
      </c>
      <c r="AR151" s="140">
        <v>18.100000000000001</v>
      </c>
      <c r="AS151" s="129">
        <f t="shared" si="99"/>
        <v>17.850000000000001</v>
      </c>
      <c r="AT151" s="140">
        <v>17.600000000000001</v>
      </c>
      <c r="AU151" s="140">
        <v>17.399999999999999</v>
      </c>
      <c r="AV151" s="140">
        <v>17.2</v>
      </c>
      <c r="AW151" s="140">
        <v>17.3</v>
      </c>
      <c r="AX151" s="140">
        <v>17.600000000000001</v>
      </c>
      <c r="AY151" s="140">
        <v>18.600000000000001</v>
      </c>
      <c r="AZ151" s="140">
        <v>20.7</v>
      </c>
      <c r="BA151" s="140">
        <v>24.2</v>
      </c>
      <c r="BC151" s="111">
        <f t="shared" si="100"/>
        <v>-1.6999999999999993</v>
      </c>
      <c r="BD151" s="111">
        <f t="shared" si="87"/>
        <v>-2</v>
      </c>
      <c r="BE151" s="111">
        <f t="shared" si="88"/>
        <v>-2.0999999999999979</v>
      </c>
      <c r="BF151" s="111">
        <f t="shared" si="89"/>
        <v>-2</v>
      </c>
      <c r="BG151" s="111">
        <f t="shared" si="90"/>
        <v>-2</v>
      </c>
      <c r="BH151" s="111">
        <f t="shared" si="91"/>
        <v>-2</v>
      </c>
      <c r="BI151" s="111">
        <f t="shared" si="92"/>
        <v>-1.9000000000000021</v>
      </c>
      <c r="BJ151" s="111">
        <f t="shared" si="93"/>
        <v>-1.8000000000000007</v>
      </c>
      <c r="BK151" s="111">
        <f t="shared" si="94"/>
        <v>-1.6999999999999993</v>
      </c>
      <c r="BL151" s="111">
        <f t="shared" si="95"/>
        <v>-1.6999999999999993</v>
      </c>
      <c r="BM151" s="111">
        <f t="shared" si="96"/>
        <v>-1.6999999999999993</v>
      </c>
      <c r="BN151" s="111">
        <f t="shared" si="97"/>
        <v>-1.5</v>
      </c>
      <c r="BO151" s="111">
        <f t="shared" si="98"/>
        <v>-1.4000000000000021</v>
      </c>
    </row>
    <row r="152" spans="38:67" ht="12.75" x14ac:dyDescent="0.2">
      <c r="AN152" t="s">
        <v>105</v>
      </c>
      <c r="AO152" s="140">
        <v>22.2</v>
      </c>
      <c r="AP152" s="140">
        <v>20</v>
      </c>
      <c r="AQ152" s="140">
        <v>19.2</v>
      </c>
      <c r="AR152" s="140">
        <v>18.7</v>
      </c>
      <c r="AS152" s="129">
        <f t="shared" si="99"/>
        <v>18.45</v>
      </c>
      <c r="AT152" s="140">
        <v>18.2</v>
      </c>
      <c r="AU152" s="140">
        <v>17.8</v>
      </c>
      <c r="AV152" s="140">
        <v>17.399999999999999</v>
      </c>
      <c r="AW152" s="140">
        <v>17.3</v>
      </c>
      <c r="AX152" s="140">
        <v>17.399999999999999</v>
      </c>
      <c r="AY152" s="140">
        <v>17.899999999999999</v>
      </c>
      <c r="AZ152" s="140">
        <v>19.5</v>
      </c>
      <c r="BA152" s="140">
        <v>22.4</v>
      </c>
      <c r="BC152" s="111">
        <f t="shared" si="100"/>
        <v>-1.5</v>
      </c>
      <c r="BD152" s="111">
        <f t="shared" si="87"/>
        <v>-1.6999999999999993</v>
      </c>
      <c r="BE152" s="111">
        <f t="shared" si="88"/>
        <v>-1.8000000000000007</v>
      </c>
      <c r="BF152" s="111">
        <f t="shared" si="89"/>
        <v>-1.8000000000000007</v>
      </c>
      <c r="BG152" s="111">
        <f t="shared" si="90"/>
        <v>-1.75</v>
      </c>
      <c r="BH152" s="111">
        <f t="shared" si="91"/>
        <v>-1.6999999999999993</v>
      </c>
      <c r="BI152" s="111">
        <f t="shared" si="92"/>
        <v>-1.6999999999999993</v>
      </c>
      <c r="BJ152" s="111">
        <f t="shared" si="93"/>
        <v>-1.5</v>
      </c>
      <c r="BK152" s="111">
        <f t="shared" si="94"/>
        <v>-1.3999999999999986</v>
      </c>
      <c r="BL152" s="111">
        <f t="shared" si="95"/>
        <v>-1.4000000000000021</v>
      </c>
      <c r="BM152" s="111">
        <f t="shared" si="96"/>
        <v>-1.4000000000000021</v>
      </c>
      <c r="BN152" s="111">
        <f t="shared" si="97"/>
        <v>-1.1999999999999993</v>
      </c>
      <c r="BO152" s="111">
        <f t="shared" si="98"/>
        <v>-1.2000000000000028</v>
      </c>
    </row>
    <row r="153" spans="38:67" ht="12.75" x14ac:dyDescent="0.2">
      <c r="AN153" t="s">
        <v>106</v>
      </c>
      <c r="AO153" s="140">
        <v>22.4</v>
      </c>
      <c r="AP153" s="140">
        <v>20.399999999999999</v>
      </c>
      <c r="AQ153" s="140">
        <v>19.600000000000001</v>
      </c>
      <c r="AR153" s="140">
        <v>19.100000000000001</v>
      </c>
      <c r="AS153" s="129">
        <f t="shared" si="99"/>
        <v>18.8</v>
      </c>
      <c r="AT153" s="140">
        <v>18.5</v>
      </c>
      <c r="AU153" s="140">
        <v>18.100000000000001</v>
      </c>
      <c r="AV153" s="140">
        <v>17.5</v>
      </c>
      <c r="AW153" s="140">
        <v>17.2</v>
      </c>
      <c r="AX153" s="140">
        <v>17.100000000000001</v>
      </c>
      <c r="AY153" s="140">
        <v>17.3</v>
      </c>
      <c r="AZ153" s="140">
        <v>18.5</v>
      </c>
      <c r="BA153" s="140">
        <v>21</v>
      </c>
      <c r="BC153" s="111">
        <f t="shared" si="100"/>
        <v>-1.4000000000000021</v>
      </c>
      <c r="BD153" s="111">
        <f t="shared" si="87"/>
        <v>-1.5</v>
      </c>
      <c r="BE153" s="111">
        <f t="shared" si="88"/>
        <v>-1.5999999999999979</v>
      </c>
      <c r="BF153" s="111">
        <f t="shared" si="89"/>
        <v>-1.5999999999999979</v>
      </c>
      <c r="BG153" s="111">
        <f t="shared" si="90"/>
        <v>-1.5500000000000007</v>
      </c>
      <c r="BH153" s="111">
        <f t="shared" si="91"/>
        <v>-1.5</v>
      </c>
      <c r="BI153" s="111">
        <f t="shared" si="92"/>
        <v>-1.3999999999999986</v>
      </c>
      <c r="BJ153" s="111">
        <f t="shared" si="93"/>
        <v>-1.3000000000000007</v>
      </c>
      <c r="BK153" s="111">
        <f t="shared" si="94"/>
        <v>-1.1999999999999993</v>
      </c>
      <c r="BL153" s="111">
        <f t="shared" si="95"/>
        <v>-1.0999999999999979</v>
      </c>
      <c r="BM153" s="111">
        <f t="shared" si="96"/>
        <v>-1.0999999999999979</v>
      </c>
      <c r="BN153" s="111">
        <f t="shared" si="97"/>
        <v>-1</v>
      </c>
      <c r="BO153" s="111">
        <f t="shared" si="98"/>
        <v>-0.89999999999999858</v>
      </c>
    </row>
    <row r="154" spans="38:67" ht="12.75" x14ac:dyDescent="0.2">
      <c r="AN154" t="s">
        <v>79</v>
      </c>
      <c r="AO154" s="140">
        <v>22.6</v>
      </c>
      <c r="AP154" s="140">
        <v>20.6</v>
      </c>
      <c r="AQ154" s="140">
        <v>19.899999999999999</v>
      </c>
      <c r="AR154" s="140">
        <v>19.399999999999999</v>
      </c>
      <c r="AS154" s="129">
        <f t="shared" si="99"/>
        <v>19.049999999999997</v>
      </c>
      <c r="AT154" s="140">
        <v>18.7</v>
      </c>
      <c r="AU154" s="140">
        <v>18.2</v>
      </c>
      <c r="AV154" s="140">
        <v>17.5</v>
      </c>
      <c r="AW154" s="140">
        <v>17.100000000000001</v>
      </c>
      <c r="AX154" s="140">
        <v>16.899999999999999</v>
      </c>
      <c r="AY154" s="140">
        <v>16.899999999999999</v>
      </c>
      <c r="AZ154" s="140">
        <v>17.899999999999999</v>
      </c>
      <c r="BA154" s="140">
        <v>20.2</v>
      </c>
      <c r="BC154" s="111">
        <f t="shared" si="100"/>
        <v>-1.1999999999999993</v>
      </c>
      <c r="BD154" s="111">
        <f t="shared" si="87"/>
        <v>-1.3999999999999986</v>
      </c>
      <c r="BE154" s="111">
        <f t="shared" si="88"/>
        <v>-1.4000000000000021</v>
      </c>
      <c r="BF154" s="111">
        <f t="shared" si="89"/>
        <v>-1.4000000000000021</v>
      </c>
      <c r="BG154" s="111">
        <f t="shared" si="90"/>
        <v>-1.4000000000000057</v>
      </c>
      <c r="BH154" s="111">
        <f t="shared" si="91"/>
        <v>-1.4000000000000021</v>
      </c>
      <c r="BI154" s="111">
        <f t="shared" si="92"/>
        <v>-1.3000000000000007</v>
      </c>
      <c r="BJ154" s="111">
        <f t="shared" si="93"/>
        <v>-1.1999999999999993</v>
      </c>
      <c r="BK154" s="111">
        <f t="shared" si="94"/>
        <v>-1</v>
      </c>
      <c r="BL154" s="111">
        <f t="shared" si="95"/>
        <v>-1</v>
      </c>
      <c r="BM154" s="111">
        <f t="shared" si="96"/>
        <v>-0.90000000000000213</v>
      </c>
      <c r="BN154" s="111">
        <f t="shared" si="97"/>
        <v>-0.80000000000000071</v>
      </c>
      <c r="BO154" s="111">
        <f t="shared" si="98"/>
        <v>-0.69999999999999929</v>
      </c>
    </row>
    <row r="155" spans="38:67" ht="12.75" x14ac:dyDescent="0.2">
      <c r="AN155" t="s">
        <v>159</v>
      </c>
      <c r="AO155" s="140">
        <v>22.3</v>
      </c>
      <c r="AP155" s="140">
        <v>20.6</v>
      </c>
      <c r="AQ155" s="140">
        <v>19.899999999999999</v>
      </c>
      <c r="AR155" s="140">
        <v>19.399999999999999</v>
      </c>
      <c r="AS155" s="129">
        <f t="shared" si="99"/>
        <v>19.049999999999997</v>
      </c>
      <c r="AT155" s="140">
        <v>18.7</v>
      </c>
      <c r="AU155" s="140">
        <v>18.2</v>
      </c>
      <c r="AV155" s="140">
        <v>17.399999999999999</v>
      </c>
      <c r="AW155" s="140">
        <v>16.8</v>
      </c>
      <c r="AX155" s="140">
        <v>16.399999999999999</v>
      </c>
      <c r="AY155" s="140">
        <v>16.2</v>
      </c>
      <c r="AZ155" s="140">
        <v>16.5</v>
      </c>
      <c r="BA155" s="140">
        <v>18</v>
      </c>
      <c r="BC155" s="111">
        <f t="shared" si="100"/>
        <v>-1</v>
      </c>
      <c r="BD155" s="111">
        <f t="shared" si="87"/>
        <v>-1.0999999999999979</v>
      </c>
      <c r="BE155" s="111">
        <f t="shared" si="88"/>
        <v>-1.2000000000000028</v>
      </c>
      <c r="BF155" s="111">
        <f t="shared" si="89"/>
        <v>-1.2000000000000028</v>
      </c>
      <c r="BG155" s="111">
        <f t="shared" si="90"/>
        <v>-1.1500000000000057</v>
      </c>
      <c r="BH155" s="111">
        <f t="shared" si="91"/>
        <v>-1.1000000000000014</v>
      </c>
      <c r="BI155" s="111">
        <f t="shared" si="92"/>
        <v>-1</v>
      </c>
      <c r="BJ155" s="111">
        <f t="shared" si="93"/>
        <v>-0.90000000000000213</v>
      </c>
      <c r="BK155" s="111">
        <f t="shared" si="94"/>
        <v>-0.89999999999999858</v>
      </c>
      <c r="BL155" s="111">
        <f t="shared" si="95"/>
        <v>-0.80000000000000071</v>
      </c>
      <c r="BM155" s="111">
        <f t="shared" si="96"/>
        <v>-0.69999999999999929</v>
      </c>
      <c r="BN155" s="111">
        <f t="shared" si="97"/>
        <v>-0.75</v>
      </c>
      <c r="BO155" s="111">
        <f t="shared" si="98"/>
        <v>-0.60000000000000142</v>
      </c>
    </row>
    <row r="156" spans="38:67" ht="12.75" x14ac:dyDescent="0.2">
      <c r="AN156" t="s">
        <v>107</v>
      </c>
      <c r="AO156" s="140">
        <v>21.7</v>
      </c>
      <c r="AP156" s="140">
        <v>20.3</v>
      </c>
      <c r="AQ156" s="140">
        <v>19.7</v>
      </c>
      <c r="AR156" s="140">
        <v>19.2</v>
      </c>
      <c r="AS156" s="129">
        <f t="shared" si="99"/>
        <v>18.850000000000001</v>
      </c>
      <c r="AT156" s="140">
        <v>18.5</v>
      </c>
      <c r="AU156" s="140">
        <v>18</v>
      </c>
      <c r="AV156" s="140">
        <v>17.100000000000001</v>
      </c>
      <c r="AW156" s="140">
        <v>16.5</v>
      </c>
      <c r="AX156" s="140">
        <v>16</v>
      </c>
      <c r="AY156" s="140">
        <v>15.5</v>
      </c>
      <c r="AZ156" s="140">
        <v>15.3</v>
      </c>
      <c r="BA156" s="140">
        <v>16</v>
      </c>
      <c r="BC156" s="111">
        <f t="shared" si="100"/>
        <v>-0.90000000000000213</v>
      </c>
      <c r="BD156" s="111">
        <f t="shared" si="87"/>
        <v>-0.89999999999999858</v>
      </c>
      <c r="BE156" s="111">
        <f t="shared" si="88"/>
        <v>-0.90000000000000213</v>
      </c>
      <c r="BF156" s="111">
        <f t="shared" si="89"/>
        <v>-0.90000000000000213</v>
      </c>
      <c r="BG156" s="111">
        <f t="shared" si="90"/>
        <v>-0.89999999999999858</v>
      </c>
      <c r="BH156" s="111">
        <f t="shared" si="91"/>
        <v>-0.89999999999999858</v>
      </c>
      <c r="BI156" s="111">
        <f t="shared" si="92"/>
        <v>-0.80000000000000071</v>
      </c>
      <c r="BJ156" s="111">
        <f t="shared" si="93"/>
        <v>-0.79999999999999716</v>
      </c>
      <c r="BK156" s="111">
        <f t="shared" si="94"/>
        <v>-0.69999999999999929</v>
      </c>
      <c r="BL156" s="111">
        <f t="shared" si="95"/>
        <v>-0.60000000000000142</v>
      </c>
      <c r="BM156" s="111">
        <f t="shared" si="96"/>
        <v>-0.60000000000000142</v>
      </c>
      <c r="BN156" s="111">
        <f t="shared" si="97"/>
        <v>-0.5</v>
      </c>
      <c r="BO156" s="111">
        <f t="shared" si="98"/>
        <v>-0.39999999999999858</v>
      </c>
    </row>
    <row r="157" spans="38:67" ht="12.75" x14ac:dyDescent="0.2">
      <c r="AN157" t="s">
        <v>108</v>
      </c>
      <c r="AO157" s="140">
        <v>21</v>
      </c>
      <c r="AP157" s="140">
        <v>19.8</v>
      </c>
      <c r="AQ157" s="140">
        <v>19.3</v>
      </c>
      <c r="AR157" s="140">
        <v>18.899999999999999</v>
      </c>
      <c r="AS157" s="129">
        <f t="shared" si="99"/>
        <v>18.549999999999997</v>
      </c>
      <c r="AT157" s="140">
        <v>18.2</v>
      </c>
      <c r="AU157" s="140">
        <v>17.7</v>
      </c>
      <c r="AV157" s="140">
        <v>16.8</v>
      </c>
      <c r="AW157" s="140">
        <v>16.2</v>
      </c>
      <c r="AX157" s="140">
        <v>15.7</v>
      </c>
      <c r="AY157" s="140">
        <v>15</v>
      </c>
      <c r="AZ157" s="140">
        <v>14.5</v>
      </c>
      <c r="BA157" s="140">
        <v>14.4</v>
      </c>
      <c r="BC157" s="111">
        <f t="shared" si="100"/>
        <v>-0.60000000000000142</v>
      </c>
      <c r="BD157" s="111">
        <f t="shared" si="87"/>
        <v>-0.69999999999999929</v>
      </c>
      <c r="BE157" s="111">
        <f t="shared" si="88"/>
        <v>-0.69999999999999929</v>
      </c>
      <c r="BF157" s="111">
        <f t="shared" si="89"/>
        <v>-0.70000000000000284</v>
      </c>
      <c r="BG157" s="111">
        <f t="shared" si="90"/>
        <v>-0.70000000000000284</v>
      </c>
      <c r="BH157" s="111">
        <f t="shared" si="91"/>
        <v>-0.69999999999999929</v>
      </c>
      <c r="BI157" s="111">
        <f t="shared" si="92"/>
        <v>-0.69999999999999929</v>
      </c>
      <c r="BJ157" s="111">
        <f t="shared" si="93"/>
        <v>-0.59999999999999787</v>
      </c>
      <c r="BK157" s="111">
        <f t="shared" si="94"/>
        <v>-0.5</v>
      </c>
      <c r="BL157" s="111">
        <f t="shared" si="95"/>
        <v>-0.5</v>
      </c>
      <c r="BM157" s="111">
        <f t="shared" si="96"/>
        <v>-0.5</v>
      </c>
      <c r="BN157" s="111">
        <f t="shared" si="97"/>
        <v>-0.40000000000000036</v>
      </c>
      <c r="BO157" s="111">
        <f t="shared" si="98"/>
        <v>-0.29999999999999893</v>
      </c>
    </row>
    <row r="158" spans="38:67" ht="12.75" x14ac:dyDescent="0.2">
      <c r="AN158" t="s">
        <v>109</v>
      </c>
      <c r="AO158" s="140">
        <v>20.5</v>
      </c>
      <c r="AP158" s="140">
        <v>19.5</v>
      </c>
      <c r="AQ158" s="140">
        <v>19.100000000000001</v>
      </c>
      <c r="AR158" s="140">
        <v>18.7</v>
      </c>
      <c r="AS158" s="129">
        <f t="shared" si="99"/>
        <v>18.399999999999999</v>
      </c>
      <c r="AT158" s="140">
        <v>18.100000000000001</v>
      </c>
      <c r="AU158" s="140">
        <v>17.600000000000001</v>
      </c>
      <c r="AV158" s="140">
        <v>16.7</v>
      </c>
      <c r="AW158" s="140">
        <v>16.100000000000001</v>
      </c>
      <c r="AX158" s="140">
        <v>15.5</v>
      </c>
      <c r="AY158" s="140">
        <v>14.8</v>
      </c>
      <c r="AZ158" s="140">
        <v>14.1</v>
      </c>
      <c r="BA158" s="140">
        <v>13.6</v>
      </c>
      <c r="BC158" s="111">
        <f t="shared" si="100"/>
        <v>-0.60000000000000142</v>
      </c>
      <c r="BD158" s="111">
        <f t="shared" si="87"/>
        <v>-0.60000000000000142</v>
      </c>
      <c r="BE158" s="111">
        <f t="shared" si="88"/>
        <v>-0.59999999999999787</v>
      </c>
      <c r="BF158" s="111">
        <f t="shared" si="89"/>
        <v>-0.60000000000000142</v>
      </c>
      <c r="BG158" s="111">
        <f t="shared" si="90"/>
        <v>-0.60000000000000142</v>
      </c>
      <c r="BH158" s="111">
        <f t="shared" si="91"/>
        <v>-0.59999999999999787</v>
      </c>
      <c r="BI158" s="111">
        <f t="shared" si="92"/>
        <v>-0.5</v>
      </c>
      <c r="BJ158" s="111">
        <f t="shared" si="93"/>
        <v>-0.5</v>
      </c>
      <c r="BK158" s="111">
        <f t="shared" si="94"/>
        <v>-0.39999999999999858</v>
      </c>
      <c r="BL158" s="111">
        <f t="shared" si="95"/>
        <v>-0.5</v>
      </c>
      <c r="BM158" s="111">
        <f t="shared" si="96"/>
        <v>-0.39999999999999858</v>
      </c>
      <c r="BN158" s="111">
        <f t="shared" si="97"/>
        <v>-0.40000000000000036</v>
      </c>
      <c r="BO158" s="111">
        <f t="shared" si="98"/>
        <v>-0.30000000000000071</v>
      </c>
    </row>
    <row r="159" spans="38:67" ht="12.75" x14ac:dyDescent="0.2">
      <c r="AN159" t="s">
        <v>110</v>
      </c>
      <c r="AO159" s="140">
        <v>20.2</v>
      </c>
      <c r="AP159" s="140">
        <v>19.2</v>
      </c>
      <c r="AQ159" s="140">
        <v>18.8</v>
      </c>
      <c r="AR159" s="140">
        <v>18.5</v>
      </c>
      <c r="AS159" s="129">
        <f t="shared" si="99"/>
        <v>18.2</v>
      </c>
      <c r="AT159" s="140">
        <v>17.899999999999999</v>
      </c>
      <c r="AU159" s="140">
        <v>17.399999999999999</v>
      </c>
      <c r="AV159" s="140">
        <v>16.600000000000001</v>
      </c>
      <c r="AW159" s="140">
        <v>15.9</v>
      </c>
      <c r="AX159" s="140">
        <v>15.4</v>
      </c>
      <c r="AY159" s="140">
        <v>14.7</v>
      </c>
      <c r="AZ159" s="140">
        <v>13.9</v>
      </c>
      <c r="BA159" s="140">
        <v>13.2</v>
      </c>
      <c r="BC159" s="111">
        <f t="shared" si="100"/>
        <v>-0.5</v>
      </c>
      <c r="BD159" s="111">
        <f t="shared" si="87"/>
        <v>-0.60000000000000142</v>
      </c>
      <c r="BE159" s="111">
        <f t="shared" si="88"/>
        <v>-0.59999999999999787</v>
      </c>
      <c r="BF159" s="111">
        <f t="shared" si="89"/>
        <v>-0.5</v>
      </c>
      <c r="BG159" s="111">
        <f t="shared" si="90"/>
        <v>-0.5</v>
      </c>
      <c r="BH159" s="111">
        <f t="shared" si="91"/>
        <v>-0.5</v>
      </c>
      <c r="BI159" s="111">
        <f t="shared" si="92"/>
        <v>-0.5</v>
      </c>
      <c r="BJ159" s="111">
        <f t="shared" si="93"/>
        <v>-0.39999999999999858</v>
      </c>
      <c r="BK159" s="111">
        <f t="shared" si="94"/>
        <v>-0.40000000000000036</v>
      </c>
      <c r="BL159" s="111">
        <f t="shared" si="95"/>
        <v>-0.40000000000000036</v>
      </c>
      <c r="BM159" s="111">
        <f t="shared" si="96"/>
        <v>-0.30000000000000071</v>
      </c>
      <c r="BN159" s="111">
        <f t="shared" si="97"/>
        <v>-0.29999999999999893</v>
      </c>
      <c r="BO159" s="111">
        <f t="shared" si="98"/>
        <v>-0.20000000000000107</v>
      </c>
    </row>
    <row r="161" spans="38:67" x14ac:dyDescent="0.2">
      <c r="AO161">
        <v>-0.5</v>
      </c>
      <c r="AP161">
        <v>-0.25</v>
      </c>
      <c r="AQ161">
        <v>-0.13</v>
      </c>
      <c r="AR161">
        <v>0</v>
      </c>
      <c r="AS161">
        <v>0.125</v>
      </c>
      <c r="AT161" s="126">
        <v>0.25</v>
      </c>
      <c r="AU161" s="126">
        <v>0.5</v>
      </c>
      <c r="AV161" s="126">
        <v>1</v>
      </c>
      <c r="AW161" s="126">
        <v>1.5</v>
      </c>
      <c r="AX161" s="126">
        <v>2</v>
      </c>
      <c r="AY161" s="126">
        <v>3</v>
      </c>
      <c r="AZ161" s="126">
        <v>5</v>
      </c>
      <c r="BA161" s="126">
        <v>10</v>
      </c>
    </row>
    <row r="162" spans="38:67" ht="12.75" x14ac:dyDescent="0.2">
      <c r="AL162" s="105" t="s">
        <v>286</v>
      </c>
      <c r="AN162" t="s">
        <v>25</v>
      </c>
      <c r="AO162" s="140">
        <v>9.3000000000000007</v>
      </c>
      <c r="AP162" s="140">
        <v>6.9</v>
      </c>
      <c r="AQ162" s="140">
        <v>7.8</v>
      </c>
      <c r="AR162" s="140">
        <v>9.3000000000000007</v>
      </c>
      <c r="AS162" s="129">
        <f>(AR162+AT162)/2</f>
        <v>10.75</v>
      </c>
      <c r="AT162" s="140">
        <v>12.2</v>
      </c>
      <c r="AU162" s="140">
        <v>14.9</v>
      </c>
      <c r="AV162" s="140">
        <v>19.3</v>
      </c>
      <c r="AW162" s="140">
        <v>22.9</v>
      </c>
      <c r="AX162" s="140">
        <v>26.1</v>
      </c>
      <c r="AY162" s="140">
        <v>31.2</v>
      </c>
      <c r="AZ162" s="140">
        <v>38.799999999999997</v>
      </c>
      <c r="BA162" s="140">
        <v>53.2</v>
      </c>
      <c r="BC162" s="111">
        <f>AO162-AO145</f>
        <v>-1</v>
      </c>
      <c r="BD162" s="111">
        <f t="shared" ref="BD162:BD176" si="101">AP162-AP145</f>
        <v>-0.19999999999999929</v>
      </c>
      <c r="BE162" s="111">
        <f t="shared" ref="BE162:BE176" si="102">AQ162-AQ145</f>
        <v>0</v>
      </c>
      <c r="BF162" s="111">
        <f t="shared" ref="BF162:BF176" si="103">AR162-AR145</f>
        <v>0</v>
      </c>
      <c r="BG162" s="111">
        <f t="shared" ref="BG162:BG176" si="104">AS162-AS145</f>
        <v>-0.10000000000000142</v>
      </c>
      <c r="BH162" s="111">
        <f t="shared" ref="BH162:BH176" si="105">AT162-AT145</f>
        <v>-0.20000000000000107</v>
      </c>
      <c r="BI162" s="111">
        <f t="shared" ref="BI162:BI176" si="106">AU162-AU145</f>
        <v>-0.29999999999999893</v>
      </c>
      <c r="BJ162" s="111">
        <f t="shared" ref="BJ162:BJ176" si="107">AV162-AV145</f>
        <v>-0.59999999999999787</v>
      </c>
      <c r="BK162" s="111">
        <f t="shared" ref="BK162:BK176" si="108">AW162-AW145</f>
        <v>-0.90000000000000213</v>
      </c>
      <c r="BL162" s="111">
        <f t="shared" ref="BL162:BL176" si="109">AX162-AX145</f>
        <v>-1</v>
      </c>
      <c r="BM162" s="111">
        <f t="shared" ref="BM162:BM176" si="110">AY162-AY145</f>
        <v>-1.4000000000000021</v>
      </c>
      <c r="BN162" s="111">
        <f t="shared" ref="BN162:BN176" si="111">AZ162-AZ145</f>
        <v>-1.9000000000000057</v>
      </c>
      <c r="BO162" s="111">
        <f t="shared" ref="BO162:BO176" si="112">BA162-BA145</f>
        <v>0</v>
      </c>
    </row>
    <row r="163" spans="38:67" ht="12.75" x14ac:dyDescent="0.2">
      <c r="AN163" t="s">
        <v>157</v>
      </c>
      <c r="AO163" s="140">
        <v>11</v>
      </c>
      <c r="AP163" s="140">
        <v>9.1</v>
      </c>
      <c r="AQ163" s="140">
        <v>9.6999999999999993</v>
      </c>
      <c r="AR163" s="140">
        <v>10.8</v>
      </c>
      <c r="AS163" s="129">
        <f t="shared" ref="AS163:AS176" si="113">(AR163+AT163)/2</f>
        <v>11.95</v>
      </c>
      <c r="AT163" s="140">
        <v>13.1</v>
      </c>
      <c r="AU163" s="140">
        <v>15.2</v>
      </c>
      <c r="AV163" s="140">
        <v>18.8</v>
      </c>
      <c r="AW163" s="140">
        <v>21.7</v>
      </c>
      <c r="AX163" s="140">
        <v>24.2</v>
      </c>
      <c r="AY163" s="140">
        <v>28.3</v>
      </c>
      <c r="AZ163" s="140">
        <v>34.1</v>
      </c>
      <c r="BA163" s="140">
        <v>46.4</v>
      </c>
      <c r="BC163" s="111">
        <f t="shared" ref="BC163:BC176" si="114">AO163-AO146</f>
        <v>-1.4000000000000004</v>
      </c>
      <c r="BD163" s="111">
        <f t="shared" si="101"/>
        <v>-9.9999999999999645E-2</v>
      </c>
      <c r="BE163" s="111">
        <f t="shared" si="102"/>
        <v>0.29999999999999893</v>
      </c>
      <c r="BF163" s="111">
        <f t="shared" si="103"/>
        <v>0.40000000000000036</v>
      </c>
      <c r="BG163" s="111">
        <f t="shared" si="104"/>
        <v>0.29999999999999893</v>
      </c>
      <c r="BH163" s="111">
        <f t="shared" si="105"/>
        <v>0.19999999999999929</v>
      </c>
      <c r="BI163" s="111">
        <f t="shared" si="106"/>
        <v>0</v>
      </c>
      <c r="BJ163" s="111">
        <f t="shared" si="107"/>
        <v>-0.39999999999999858</v>
      </c>
      <c r="BK163" s="111">
        <f t="shared" si="108"/>
        <v>-0.80000000000000071</v>
      </c>
      <c r="BL163" s="111">
        <f t="shared" si="109"/>
        <v>-1.1000000000000014</v>
      </c>
      <c r="BM163" s="111">
        <f t="shared" si="110"/>
        <v>-1.5999999999999979</v>
      </c>
      <c r="BN163" s="111">
        <f t="shared" si="111"/>
        <v>-2.3999999999999986</v>
      </c>
      <c r="BO163" s="111">
        <f t="shared" si="112"/>
        <v>0</v>
      </c>
    </row>
    <row r="164" spans="38:67" ht="12.75" x14ac:dyDescent="0.2">
      <c r="AN164" t="s">
        <v>99</v>
      </c>
      <c r="AO164" s="140">
        <v>14.2</v>
      </c>
      <c r="AP164" s="140">
        <v>11.8</v>
      </c>
      <c r="AQ164" s="140">
        <v>11.3</v>
      </c>
      <c r="AR164" s="140">
        <v>11.6</v>
      </c>
      <c r="AS164" s="129">
        <f t="shared" si="113"/>
        <v>12.2</v>
      </c>
      <c r="AT164" s="140">
        <v>12.8</v>
      </c>
      <c r="AU164" s="140">
        <v>14.2</v>
      </c>
      <c r="AV164" s="140">
        <v>16.7</v>
      </c>
      <c r="AW164" s="140">
        <v>18.899999999999999</v>
      </c>
      <c r="AX164" s="140">
        <v>20.8</v>
      </c>
      <c r="AY164" s="140">
        <v>23.9</v>
      </c>
      <c r="AZ164" s="140">
        <v>28.2</v>
      </c>
      <c r="BA164" s="140">
        <v>34.5</v>
      </c>
      <c r="BC164" s="111">
        <f t="shared" si="114"/>
        <v>-2</v>
      </c>
      <c r="BD164" s="111">
        <f t="shared" si="101"/>
        <v>-1</v>
      </c>
      <c r="BE164" s="111">
        <f t="shared" si="102"/>
        <v>-0.39999999999999858</v>
      </c>
      <c r="BF164" s="111">
        <f t="shared" si="103"/>
        <v>9.9999999999999645E-2</v>
      </c>
      <c r="BG164" s="111">
        <f t="shared" si="104"/>
        <v>0.39999999999999858</v>
      </c>
      <c r="BH164" s="111">
        <f t="shared" si="105"/>
        <v>0.70000000000000107</v>
      </c>
      <c r="BI164" s="111">
        <f t="shared" si="106"/>
        <v>1.0999999999999996</v>
      </c>
      <c r="BJ164" s="111">
        <f t="shared" si="107"/>
        <v>1.2999999999999989</v>
      </c>
      <c r="BK164" s="111">
        <f t="shared" si="108"/>
        <v>1.2999999999999972</v>
      </c>
      <c r="BL164" s="111">
        <f t="shared" si="109"/>
        <v>1.3000000000000007</v>
      </c>
      <c r="BM164" s="111">
        <f t="shared" si="110"/>
        <v>1.0999999999999979</v>
      </c>
      <c r="BN164" s="111">
        <f t="shared" si="111"/>
        <v>0.69999999999999929</v>
      </c>
      <c r="BO164" s="111">
        <f t="shared" si="112"/>
        <v>0</v>
      </c>
    </row>
    <row r="165" spans="38:67" ht="12.75" x14ac:dyDescent="0.2">
      <c r="AN165" t="s">
        <v>101</v>
      </c>
      <c r="AO165" s="140">
        <v>16.600000000000001</v>
      </c>
      <c r="AP165" s="140">
        <v>14.2</v>
      </c>
      <c r="AQ165" s="140">
        <v>13.7</v>
      </c>
      <c r="AR165" s="140">
        <v>13.8</v>
      </c>
      <c r="AS165" s="129">
        <f t="shared" si="113"/>
        <v>14.15</v>
      </c>
      <c r="AT165" s="140">
        <v>14.5</v>
      </c>
      <c r="AU165" s="140">
        <v>15.3</v>
      </c>
      <c r="AV165" s="140">
        <v>16.8</v>
      </c>
      <c r="AW165" s="140">
        <v>18.3</v>
      </c>
      <c r="AX165" s="140">
        <v>19.600000000000001</v>
      </c>
      <c r="AY165" s="140">
        <v>21.9</v>
      </c>
      <c r="AZ165" s="140">
        <v>25.3</v>
      </c>
      <c r="BA165" s="140">
        <v>30.5</v>
      </c>
      <c r="BC165" s="111">
        <f t="shared" si="114"/>
        <v>-1.6999999999999993</v>
      </c>
      <c r="BD165" s="111">
        <f t="shared" si="101"/>
        <v>-1</v>
      </c>
      <c r="BE165" s="111">
        <f t="shared" si="102"/>
        <v>-0.5</v>
      </c>
      <c r="BF165" s="111">
        <f t="shared" si="103"/>
        <v>-9.9999999999999645E-2</v>
      </c>
      <c r="BG165" s="111">
        <f t="shared" si="104"/>
        <v>0.15000000000000036</v>
      </c>
      <c r="BH165" s="111">
        <f t="shared" si="105"/>
        <v>0.40000000000000036</v>
      </c>
      <c r="BI165" s="111">
        <f t="shared" si="106"/>
        <v>0.70000000000000107</v>
      </c>
      <c r="BJ165" s="111">
        <f t="shared" si="107"/>
        <v>1</v>
      </c>
      <c r="BK165" s="111">
        <f t="shared" si="108"/>
        <v>1</v>
      </c>
      <c r="BL165" s="111">
        <f t="shared" si="109"/>
        <v>0.80000000000000071</v>
      </c>
      <c r="BM165" s="111">
        <f t="shared" si="110"/>
        <v>0.59999999999999787</v>
      </c>
      <c r="BN165" s="111">
        <f t="shared" si="111"/>
        <v>0</v>
      </c>
      <c r="BO165" s="111">
        <f t="shared" si="112"/>
        <v>0</v>
      </c>
    </row>
    <row r="166" spans="38:67" ht="12.75" x14ac:dyDescent="0.2">
      <c r="AN166" t="s">
        <v>102</v>
      </c>
      <c r="AO166" s="140">
        <v>18.5</v>
      </c>
      <c r="AP166" s="140">
        <v>16.3</v>
      </c>
      <c r="AQ166" s="140">
        <v>15.7</v>
      </c>
      <c r="AR166" s="140">
        <v>15.6</v>
      </c>
      <c r="AS166" s="129">
        <f t="shared" si="113"/>
        <v>15.8</v>
      </c>
      <c r="AT166" s="140">
        <v>16</v>
      </c>
      <c r="AU166" s="140">
        <v>16.399999999999999</v>
      </c>
      <c r="AV166" s="140">
        <v>17.2</v>
      </c>
      <c r="AW166" s="140">
        <v>18.100000000000001</v>
      </c>
      <c r="AX166" s="140">
        <v>19.100000000000001</v>
      </c>
      <c r="AY166" s="140">
        <v>20.8</v>
      </c>
      <c r="AZ166" s="140">
        <v>23.5</v>
      </c>
      <c r="BA166" s="140">
        <v>27.6</v>
      </c>
      <c r="BC166" s="111">
        <f t="shared" si="114"/>
        <v>-1.3999999999999986</v>
      </c>
      <c r="BD166" s="111">
        <f t="shared" si="101"/>
        <v>-0.80000000000000071</v>
      </c>
      <c r="BE166" s="111">
        <f t="shared" si="102"/>
        <v>-0.5</v>
      </c>
      <c r="BF166" s="111">
        <f t="shared" si="103"/>
        <v>-0.20000000000000107</v>
      </c>
      <c r="BG166" s="111">
        <f t="shared" si="104"/>
        <v>5.0000000000000711E-2</v>
      </c>
      <c r="BH166" s="111">
        <f t="shared" si="105"/>
        <v>0.30000000000000071</v>
      </c>
      <c r="BI166" s="111">
        <f t="shared" si="106"/>
        <v>0.49999999999999822</v>
      </c>
      <c r="BJ166" s="111">
        <f t="shared" si="107"/>
        <v>0.69999999999999929</v>
      </c>
      <c r="BK166" s="111">
        <f t="shared" si="108"/>
        <v>0.70000000000000284</v>
      </c>
      <c r="BL166" s="111">
        <f t="shared" si="109"/>
        <v>0.80000000000000071</v>
      </c>
      <c r="BM166" s="111">
        <f t="shared" si="110"/>
        <v>0.60000000000000142</v>
      </c>
      <c r="BN166" s="111">
        <f t="shared" si="111"/>
        <v>0.39999999999999858</v>
      </c>
      <c r="BO166" s="111">
        <f t="shared" si="112"/>
        <v>0</v>
      </c>
    </row>
    <row r="167" spans="38:67" ht="12.75" x14ac:dyDescent="0.2">
      <c r="AN167" t="s">
        <v>103</v>
      </c>
      <c r="AO167" s="140">
        <v>20</v>
      </c>
      <c r="AP167" s="140">
        <v>17.8</v>
      </c>
      <c r="AQ167" s="140">
        <v>17.2</v>
      </c>
      <c r="AR167" s="140">
        <v>17</v>
      </c>
      <c r="AS167" s="129">
        <f t="shared" si="113"/>
        <v>17.05</v>
      </c>
      <c r="AT167" s="140">
        <v>17.100000000000001</v>
      </c>
      <c r="AU167" s="140">
        <v>17.2</v>
      </c>
      <c r="AV167" s="140">
        <v>17.5</v>
      </c>
      <c r="AW167" s="140">
        <v>18</v>
      </c>
      <c r="AX167" s="140">
        <v>18.600000000000001</v>
      </c>
      <c r="AY167" s="140">
        <v>20</v>
      </c>
      <c r="AZ167" s="140">
        <v>22.3</v>
      </c>
      <c r="BA167" s="140">
        <v>26</v>
      </c>
      <c r="BC167" s="111">
        <f t="shared" si="114"/>
        <v>-1.1000000000000014</v>
      </c>
      <c r="BD167" s="111">
        <f t="shared" si="101"/>
        <v>-0.69999999999999929</v>
      </c>
      <c r="BE167" s="111">
        <f t="shared" si="102"/>
        <v>-0.40000000000000213</v>
      </c>
      <c r="BF167" s="111">
        <f t="shared" si="103"/>
        <v>-0.10000000000000142</v>
      </c>
      <c r="BG167" s="111">
        <f t="shared" si="104"/>
        <v>5.0000000000000711E-2</v>
      </c>
      <c r="BH167" s="111">
        <f t="shared" si="105"/>
        <v>0.20000000000000284</v>
      </c>
      <c r="BI167" s="111">
        <f t="shared" si="106"/>
        <v>0.39999999999999858</v>
      </c>
      <c r="BJ167" s="111">
        <f t="shared" si="107"/>
        <v>0.60000000000000142</v>
      </c>
      <c r="BK167" s="111">
        <f t="shared" si="108"/>
        <v>0.60000000000000142</v>
      </c>
      <c r="BL167" s="111">
        <f t="shared" si="109"/>
        <v>0.60000000000000142</v>
      </c>
      <c r="BM167" s="111">
        <f t="shared" si="110"/>
        <v>0.60000000000000142</v>
      </c>
      <c r="BN167" s="111">
        <f t="shared" si="111"/>
        <v>0.30000000000000071</v>
      </c>
      <c r="BO167" s="111">
        <f t="shared" si="112"/>
        <v>0</v>
      </c>
    </row>
    <row r="168" spans="38:67" ht="12.75" x14ac:dyDescent="0.2">
      <c r="AN168" t="s">
        <v>104</v>
      </c>
      <c r="AO168" s="140">
        <v>21</v>
      </c>
      <c r="AP168" s="140">
        <v>18.899999999999999</v>
      </c>
      <c r="AQ168" s="140">
        <v>18.3</v>
      </c>
      <c r="AR168" s="140">
        <v>18</v>
      </c>
      <c r="AS168" s="129">
        <f t="shared" si="113"/>
        <v>17.95</v>
      </c>
      <c r="AT168" s="140">
        <v>17.899999999999999</v>
      </c>
      <c r="AU168" s="140">
        <v>17.8</v>
      </c>
      <c r="AV168" s="140">
        <v>17.8</v>
      </c>
      <c r="AW168" s="140">
        <v>17.899999999999999</v>
      </c>
      <c r="AX168" s="140">
        <v>18.2</v>
      </c>
      <c r="AY168" s="140">
        <v>19.2</v>
      </c>
      <c r="AZ168" s="140">
        <v>21.1</v>
      </c>
      <c r="BA168" s="140">
        <v>24.2</v>
      </c>
      <c r="BC168" s="111">
        <f t="shared" si="114"/>
        <v>-0.80000000000000071</v>
      </c>
      <c r="BD168" s="111">
        <f t="shared" si="101"/>
        <v>-0.5</v>
      </c>
      <c r="BE168" s="111">
        <f t="shared" si="102"/>
        <v>-0.30000000000000071</v>
      </c>
      <c r="BF168" s="111">
        <f t="shared" si="103"/>
        <v>-0.10000000000000142</v>
      </c>
      <c r="BG168" s="111">
        <f t="shared" si="104"/>
        <v>9.9999999999997868E-2</v>
      </c>
      <c r="BH168" s="111">
        <f t="shared" si="105"/>
        <v>0.29999999999999716</v>
      </c>
      <c r="BI168" s="111">
        <f t="shared" si="106"/>
        <v>0.40000000000000213</v>
      </c>
      <c r="BJ168" s="111">
        <f t="shared" si="107"/>
        <v>0.60000000000000142</v>
      </c>
      <c r="BK168" s="111">
        <f t="shared" si="108"/>
        <v>0.59999999999999787</v>
      </c>
      <c r="BL168" s="111">
        <f t="shared" si="109"/>
        <v>0.59999999999999787</v>
      </c>
      <c r="BM168" s="111">
        <f t="shared" si="110"/>
        <v>0.59999999999999787</v>
      </c>
      <c r="BN168" s="111">
        <f t="shared" si="111"/>
        <v>0.40000000000000213</v>
      </c>
      <c r="BO168" s="111">
        <f t="shared" si="112"/>
        <v>0</v>
      </c>
    </row>
    <row r="169" spans="38:67" ht="12.75" x14ac:dyDescent="0.2">
      <c r="AN169" t="s">
        <v>105</v>
      </c>
      <c r="AO169" s="140">
        <v>21.6</v>
      </c>
      <c r="AP169" s="140">
        <v>19.600000000000001</v>
      </c>
      <c r="AQ169" s="140">
        <v>19</v>
      </c>
      <c r="AR169" s="140">
        <v>18.7</v>
      </c>
      <c r="AS169" s="129">
        <f t="shared" si="113"/>
        <v>18.549999999999997</v>
      </c>
      <c r="AT169" s="140">
        <v>18.399999999999999</v>
      </c>
      <c r="AU169" s="140">
        <v>18.2</v>
      </c>
      <c r="AV169" s="140">
        <v>17.899999999999999</v>
      </c>
      <c r="AW169" s="140">
        <v>17.8</v>
      </c>
      <c r="AX169" s="140">
        <v>17.899999999999999</v>
      </c>
      <c r="AY169" s="140">
        <v>18.5</v>
      </c>
      <c r="AZ169" s="140">
        <v>20</v>
      </c>
      <c r="BA169" s="140">
        <v>22.4</v>
      </c>
      <c r="BC169" s="111">
        <f t="shared" si="114"/>
        <v>-0.59999999999999787</v>
      </c>
      <c r="BD169" s="111">
        <f t="shared" si="101"/>
        <v>-0.39999999999999858</v>
      </c>
      <c r="BE169" s="111">
        <f t="shared" si="102"/>
        <v>-0.19999999999999929</v>
      </c>
      <c r="BF169" s="111">
        <f t="shared" si="103"/>
        <v>0</v>
      </c>
      <c r="BG169" s="111">
        <f t="shared" si="104"/>
        <v>9.9999999999997868E-2</v>
      </c>
      <c r="BH169" s="111">
        <f t="shared" si="105"/>
        <v>0.19999999999999929</v>
      </c>
      <c r="BI169" s="111">
        <f t="shared" si="106"/>
        <v>0.39999999999999858</v>
      </c>
      <c r="BJ169" s="111">
        <f t="shared" si="107"/>
        <v>0.5</v>
      </c>
      <c r="BK169" s="111">
        <f t="shared" si="108"/>
        <v>0.5</v>
      </c>
      <c r="BL169" s="111">
        <f t="shared" si="109"/>
        <v>0.5</v>
      </c>
      <c r="BM169" s="111">
        <f t="shared" si="110"/>
        <v>0.60000000000000142</v>
      </c>
      <c r="BN169" s="111">
        <f t="shared" si="111"/>
        <v>0.5</v>
      </c>
      <c r="BO169" s="111">
        <f t="shared" si="112"/>
        <v>0</v>
      </c>
    </row>
    <row r="170" spans="38:67" ht="12.75" x14ac:dyDescent="0.2">
      <c r="AN170" t="s">
        <v>106</v>
      </c>
      <c r="AO170" s="140">
        <v>22</v>
      </c>
      <c r="AP170" s="140">
        <v>20.100000000000001</v>
      </c>
      <c r="AQ170" s="140">
        <v>19.5</v>
      </c>
      <c r="AR170" s="140">
        <v>19.100000000000001</v>
      </c>
      <c r="AS170" s="129">
        <f t="shared" si="113"/>
        <v>18.899999999999999</v>
      </c>
      <c r="AT170" s="140">
        <v>18.7</v>
      </c>
      <c r="AU170" s="140">
        <v>18.399999999999999</v>
      </c>
      <c r="AV170" s="140">
        <v>18</v>
      </c>
      <c r="AW170" s="140">
        <v>17.7</v>
      </c>
      <c r="AX170" s="140">
        <v>17.600000000000001</v>
      </c>
      <c r="AY170" s="140">
        <v>17.899999999999999</v>
      </c>
      <c r="AZ170" s="140">
        <v>19</v>
      </c>
      <c r="BA170" s="140">
        <v>21</v>
      </c>
      <c r="BC170" s="111">
        <f t="shared" si="114"/>
        <v>-0.39999999999999858</v>
      </c>
      <c r="BD170" s="111">
        <f t="shared" si="101"/>
        <v>-0.29999999999999716</v>
      </c>
      <c r="BE170" s="111">
        <f t="shared" si="102"/>
        <v>-0.10000000000000142</v>
      </c>
      <c r="BF170" s="111">
        <f t="shared" si="103"/>
        <v>0</v>
      </c>
      <c r="BG170" s="111">
        <f t="shared" si="104"/>
        <v>9.9999999999997868E-2</v>
      </c>
      <c r="BH170" s="111">
        <f t="shared" si="105"/>
        <v>0.19999999999999929</v>
      </c>
      <c r="BI170" s="111">
        <f t="shared" si="106"/>
        <v>0.29999999999999716</v>
      </c>
      <c r="BJ170" s="111">
        <f t="shared" si="107"/>
        <v>0.5</v>
      </c>
      <c r="BK170" s="111">
        <f t="shared" si="108"/>
        <v>0.5</v>
      </c>
      <c r="BL170" s="111">
        <f t="shared" si="109"/>
        <v>0.5</v>
      </c>
      <c r="BM170" s="111">
        <f t="shared" si="110"/>
        <v>0.59999999999999787</v>
      </c>
      <c r="BN170" s="111">
        <f t="shared" si="111"/>
        <v>0.5</v>
      </c>
      <c r="BO170" s="111">
        <f t="shared" si="112"/>
        <v>0</v>
      </c>
    </row>
    <row r="171" spans="38:67" ht="12.75" x14ac:dyDescent="0.2">
      <c r="AN171" t="s">
        <v>79</v>
      </c>
      <c r="AO171" s="140">
        <v>22.2</v>
      </c>
      <c r="AP171" s="140">
        <v>20.399999999999999</v>
      </c>
      <c r="AQ171" s="140">
        <v>19.8</v>
      </c>
      <c r="AR171" s="140">
        <v>19.399999999999999</v>
      </c>
      <c r="AS171" s="129">
        <f t="shared" si="113"/>
        <v>19.2</v>
      </c>
      <c r="AT171" s="140">
        <v>19</v>
      </c>
      <c r="AU171" s="140">
        <v>18.600000000000001</v>
      </c>
      <c r="AV171" s="140">
        <v>18</v>
      </c>
      <c r="AW171" s="140">
        <v>17.600000000000001</v>
      </c>
      <c r="AX171" s="140">
        <v>17.399999999999999</v>
      </c>
      <c r="AY171" s="140">
        <v>17.399999999999999</v>
      </c>
      <c r="AZ171" s="140">
        <v>18.3</v>
      </c>
      <c r="BA171" s="140">
        <v>20.2</v>
      </c>
      <c r="BC171" s="111">
        <f t="shared" si="114"/>
        <v>-0.40000000000000213</v>
      </c>
      <c r="BD171" s="111">
        <f t="shared" si="101"/>
        <v>-0.20000000000000284</v>
      </c>
      <c r="BE171" s="111">
        <f t="shared" si="102"/>
        <v>-9.9999999999997868E-2</v>
      </c>
      <c r="BF171" s="111">
        <f t="shared" si="103"/>
        <v>0</v>
      </c>
      <c r="BG171" s="111">
        <f t="shared" si="104"/>
        <v>0.15000000000000213</v>
      </c>
      <c r="BH171" s="111">
        <f t="shared" si="105"/>
        <v>0.30000000000000071</v>
      </c>
      <c r="BI171" s="111">
        <f t="shared" si="106"/>
        <v>0.40000000000000213</v>
      </c>
      <c r="BJ171" s="111">
        <f t="shared" si="107"/>
        <v>0.5</v>
      </c>
      <c r="BK171" s="111">
        <f t="shared" si="108"/>
        <v>0.5</v>
      </c>
      <c r="BL171" s="111">
        <f t="shared" si="109"/>
        <v>0.5</v>
      </c>
      <c r="BM171" s="111">
        <f t="shared" si="110"/>
        <v>0.5</v>
      </c>
      <c r="BN171" s="111">
        <f t="shared" si="111"/>
        <v>0.40000000000000213</v>
      </c>
      <c r="BO171" s="111">
        <f t="shared" si="112"/>
        <v>0</v>
      </c>
    </row>
    <row r="172" spans="38:67" ht="12.75" x14ac:dyDescent="0.2">
      <c r="AN172" t="s">
        <v>159</v>
      </c>
      <c r="AO172" s="140">
        <v>22.1</v>
      </c>
      <c r="AP172" s="140">
        <v>20.5</v>
      </c>
      <c r="AQ172" s="140">
        <v>20</v>
      </c>
      <c r="AR172" s="140">
        <v>19.600000000000001</v>
      </c>
      <c r="AS172" s="129">
        <f t="shared" si="113"/>
        <v>19.3</v>
      </c>
      <c r="AT172" s="140">
        <v>19</v>
      </c>
      <c r="AU172" s="140">
        <v>18.600000000000001</v>
      </c>
      <c r="AV172" s="140">
        <v>17.8</v>
      </c>
      <c r="AW172" s="140">
        <v>17.3</v>
      </c>
      <c r="AX172" s="140">
        <v>16.899999999999999</v>
      </c>
      <c r="AY172" s="140">
        <v>16.600000000000001</v>
      </c>
      <c r="AZ172" s="140">
        <v>17</v>
      </c>
      <c r="BA172" s="140">
        <v>18</v>
      </c>
      <c r="BC172" s="111">
        <f t="shared" si="114"/>
        <v>-0.19999999999999929</v>
      </c>
      <c r="BD172" s="111">
        <f t="shared" si="101"/>
        <v>-0.10000000000000142</v>
      </c>
      <c r="BE172" s="111">
        <f t="shared" si="102"/>
        <v>0.10000000000000142</v>
      </c>
      <c r="BF172" s="111">
        <f t="shared" si="103"/>
        <v>0.20000000000000284</v>
      </c>
      <c r="BG172" s="111">
        <f t="shared" si="104"/>
        <v>0.25000000000000355</v>
      </c>
      <c r="BH172" s="111">
        <f t="shared" si="105"/>
        <v>0.30000000000000071</v>
      </c>
      <c r="BI172" s="111">
        <f t="shared" si="106"/>
        <v>0.40000000000000213</v>
      </c>
      <c r="BJ172" s="111">
        <f t="shared" si="107"/>
        <v>0.40000000000000213</v>
      </c>
      <c r="BK172" s="111">
        <f t="shared" si="108"/>
        <v>0.5</v>
      </c>
      <c r="BL172" s="111">
        <f t="shared" si="109"/>
        <v>0.5</v>
      </c>
      <c r="BM172" s="111">
        <f t="shared" si="110"/>
        <v>0.40000000000000213</v>
      </c>
      <c r="BN172" s="111">
        <f t="shared" si="111"/>
        <v>0.5</v>
      </c>
      <c r="BO172" s="111">
        <f t="shared" si="112"/>
        <v>0</v>
      </c>
    </row>
    <row r="173" spans="38:67" ht="12.75" x14ac:dyDescent="0.2">
      <c r="AN173" t="s">
        <v>107</v>
      </c>
      <c r="AO173" s="140">
        <v>21.7</v>
      </c>
      <c r="AP173" s="140">
        <v>20.3</v>
      </c>
      <c r="AQ173" s="140">
        <v>19.8</v>
      </c>
      <c r="AR173" s="140">
        <v>19.399999999999999</v>
      </c>
      <c r="AS173" s="129">
        <f t="shared" si="113"/>
        <v>19.100000000000001</v>
      </c>
      <c r="AT173" s="140">
        <v>18.8</v>
      </c>
      <c r="AU173" s="140">
        <v>18.3</v>
      </c>
      <c r="AV173" s="140">
        <v>17.5</v>
      </c>
      <c r="AW173" s="140">
        <v>16.899999999999999</v>
      </c>
      <c r="AX173" s="140">
        <v>16.399999999999999</v>
      </c>
      <c r="AY173" s="140">
        <v>15.9</v>
      </c>
      <c r="AZ173" s="140">
        <v>15.7</v>
      </c>
      <c r="BA173" s="140">
        <v>16</v>
      </c>
      <c r="BC173" s="111">
        <f t="shared" si="114"/>
        <v>0</v>
      </c>
      <c r="BD173" s="111">
        <f t="shared" si="101"/>
        <v>0</v>
      </c>
      <c r="BE173" s="111">
        <f t="shared" si="102"/>
        <v>0.10000000000000142</v>
      </c>
      <c r="BF173" s="111">
        <f t="shared" si="103"/>
        <v>0.19999999999999929</v>
      </c>
      <c r="BG173" s="111">
        <f t="shared" si="104"/>
        <v>0.25</v>
      </c>
      <c r="BH173" s="111">
        <f t="shared" si="105"/>
        <v>0.30000000000000071</v>
      </c>
      <c r="BI173" s="111">
        <f t="shared" si="106"/>
        <v>0.30000000000000071</v>
      </c>
      <c r="BJ173" s="111">
        <f t="shared" si="107"/>
        <v>0.39999999999999858</v>
      </c>
      <c r="BK173" s="111">
        <f t="shared" si="108"/>
        <v>0.39999999999999858</v>
      </c>
      <c r="BL173" s="111">
        <f t="shared" si="109"/>
        <v>0.39999999999999858</v>
      </c>
      <c r="BM173" s="111">
        <f t="shared" si="110"/>
        <v>0.40000000000000036</v>
      </c>
      <c r="BN173" s="111">
        <f t="shared" si="111"/>
        <v>0.39999999999999858</v>
      </c>
      <c r="BO173" s="111">
        <f t="shared" si="112"/>
        <v>0</v>
      </c>
    </row>
    <row r="174" spans="38:67" ht="12.75" x14ac:dyDescent="0.2">
      <c r="AN174" t="s">
        <v>108</v>
      </c>
      <c r="AO174" s="140">
        <v>21.1</v>
      </c>
      <c r="AP174" s="140">
        <v>19.899999999999999</v>
      </c>
      <c r="AQ174" s="140">
        <v>19.5</v>
      </c>
      <c r="AR174" s="140">
        <v>19.100000000000001</v>
      </c>
      <c r="AS174" s="129">
        <f t="shared" si="113"/>
        <v>18.8</v>
      </c>
      <c r="AT174" s="140">
        <v>18.5</v>
      </c>
      <c r="AU174" s="140">
        <v>18</v>
      </c>
      <c r="AV174" s="140">
        <v>17.2</v>
      </c>
      <c r="AW174" s="140">
        <v>16.600000000000001</v>
      </c>
      <c r="AX174" s="140">
        <v>16.100000000000001</v>
      </c>
      <c r="AY174" s="140">
        <v>15.4</v>
      </c>
      <c r="AZ174" s="140">
        <v>14.8</v>
      </c>
      <c r="BA174" s="140">
        <v>14.4</v>
      </c>
      <c r="BC174" s="111">
        <f t="shared" si="114"/>
        <v>0.10000000000000142</v>
      </c>
      <c r="BD174" s="111">
        <f t="shared" si="101"/>
        <v>9.9999999999997868E-2</v>
      </c>
      <c r="BE174" s="111">
        <f t="shared" si="102"/>
        <v>0.19999999999999929</v>
      </c>
      <c r="BF174" s="111">
        <f t="shared" si="103"/>
        <v>0.20000000000000284</v>
      </c>
      <c r="BG174" s="111">
        <f t="shared" si="104"/>
        <v>0.25000000000000355</v>
      </c>
      <c r="BH174" s="111">
        <f t="shared" si="105"/>
        <v>0.30000000000000071</v>
      </c>
      <c r="BI174" s="111">
        <f t="shared" si="106"/>
        <v>0.30000000000000071</v>
      </c>
      <c r="BJ174" s="111">
        <f t="shared" si="107"/>
        <v>0.39999999999999858</v>
      </c>
      <c r="BK174" s="111">
        <f t="shared" si="108"/>
        <v>0.40000000000000213</v>
      </c>
      <c r="BL174" s="111">
        <f t="shared" si="109"/>
        <v>0.40000000000000213</v>
      </c>
      <c r="BM174" s="111">
        <f t="shared" si="110"/>
        <v>0.40000000000000036</v>
      </c>
      <c r="BN174" s="111">
        <f t="shared" si="111"/>
        <v>0.30000000000000071</v>
      </c>
      <c r="BO174" s="111">
        <f t="shared" si="112"/>
        <v>0</v>
      </c>
    </row>
    <row r="175" spans="38:67" ht="12.75" x14ac:dyDescent="0.2">
      <c r="AN175" t="s">
        <v>109</v>
      </c>
      <c r="AO175" s="140">
        <v>20.7</v>
      </c>
      <c r="AP175" s="140">
        <v>19.7</v>
      </c>
      <c r="AQ175" s="140">
        <v>19.3</v>
      </c>
      <c r="AR175" s="140">
        <v>19</v>
      </c>
      <c r="AS175" s="129">
        <f t="shared" si="113"/>
        <v>18.7</v>
      </c>
      <c r="AT175" s="140">
        <v>18.399999999999999</v>
      </c>
      <c r="AU175" s="140">
        <v>17.899999999999999</v>
      </c>
      <c r="AV175" s="140">
        <v>17.100000000000001</v>
      </c>
      <c r="AW175" s="140">
        <v>16.399999999999999</v>
      </c>
      <c r="AX175" s="140">
        <v>15.9</v>
      </c>
      <c r="AY175" s="140">
        <v>15.2</v>
      </c>
      <c r="AZ175" s="140">
        <v>14.4</v>
      </c>
      <c r="BA175" s="140">
        <v>13.6</v>
      </c>
      <c r="BC175" s="111">
        <f t="shared" si="114"/>
        <v>0.19999999999999929</v>
      </c>
      <c r="BD175" s="111">
        <f t="shared" si="101"/>
        <v>0.19999999999999929</v>
      </c>
      <c r="BE175" s="111">
        <f t="shared" si="102"/>
        <v>0.19999999999999929</v>
      </c>
      <c r="BF175" s="111">
        <f t="shared" si="103"/>
        <v>0.30000000000000071</v>
      </c>
      <c r="BG175" s="111">
        <f t="shared" si="104"/>
        <v>0.30000000000000071</v>
      </c>
      <c r="BH175" s="111">
        <f t="shared" si="105"/>
        <v>0.29999999999999716</v>
      </c>
      <c r="BI175" s="111">
        <f t="shared" si="106"/>
        <v>0.29999999999999716</v>
      </c>
      <c r="BJ175" s="111">
        <f t="shared" si="107"/>
        <v>0.40000000000000213</v>
      </c>
      <c r="BK175" s="111">
        <f t="shared" si="108"/>
        <v>0.29999999999999716</v>
      </c>
      <c r="BL175" s="111">
        <f t="shared" si="109"/>
        <v>0.40000000000000036</v>
      </c>
      <c r="BM175" s="111">
        <f t="shared" si="110"/>
        <v>0.39999999999999858</v>
      </c>
      <c r="BN175" s="111">
        <f t="shared" si="111"/>
        <v>0.30000000000000071</v>
      </c>
      <c r="BO175" s="111">
        <f t="shared" si="112"/>
        <v>0</v>
      </c>
    </row>
    <row r="176" spans="38:67" ht="12.75" x14ac:dyDescent="0.2">
      <c r="AN176" t="s">
        <v>110</v>
      </c>
      <c r="AO176" s="140">
        <v>20.399999999999999</v>
      </c>
      <c r="AP176" s="140">
        <v>19.5</v>
      </c>
      <c r="AQ176" s="140">
        <v>19.100000000000001</v>
      </c>
      <c r="AR176" s="140">
        <v>18.8</v>
      </c>
      <c r="AS176" s="129">
        <f t="shared" si="113"/>
        <v>18.5</v>
      </c>
      <c r="AT176" s="140">
        <v>18.2</v>
      </c>
      <c r="AU176" s="140">
        <v>17.8</v>
      </c>
      <c r="AV176" s="140">
        <v>16.899999999999999</v>
      </c>
      <c r="AW176" s="140">
        <v>16.3</v>
      </c>
      <c r="AX176" s="140">
        <v>15.8</v>
      </c>
      <c r="AY176" s="140">
        <v>15</v>
      </c>
      <c r="AZ176" s="140">
        <v>14.2</v>
      </c>
      <c r="BA176" s="140">
        <v>13.2</v>
      </c>
      <c r="BC176" s="111">
        <f t="shared" si="114"/>
        <v>0.19999999999999929</v>
      </c>
      <c r="BD176" s="111">
        <f t="shared" si="101"/>
        <v>0.30000000000000071</v>
      </c>
      <c r="BE176" s="111">
        <f t="shared" si="102"/>
        <v>0.30000000000000071</v>
      </c>
      <c r="BF176" s="111">
        <f t="shared" si="103"/>
        <v>0.30000000000000071</v>
      </c>
      <c r="BG176" s="111">
        <f t="shared" si="104"/>
        <v>0.30000000000000071</v>
      </c>
      <c r="BH176" s="111">
        <f t="shared" si="105"/>
        <v>0.30000000000000071</v>
      </c>
      <c r="BI176" s="111">
        <f t="shared" si="106"/>
        <v>0.40000000000000213</v>
      </c>
      <c r="BJ176" s="111">
        <f t="shared" si="107"/>
        <v>0.29999999999999716</v>
      </c>
      <c r="BK176" s="111">
        <f t="shared" si="108"/>
        <v>0.40000000000000036</v>
      </c>
      <c r="BL176" s="111">
        <f t="shared" si="109"/>
        <v>0.40000000000000036</v>
      </c>
      <c r="BM176" s="111">
        <f t="shared" si="110"/>
        <v>0.30000000000000071</v>
      </c>
      <c r="BN176" s="111">
        <f t="shared" si="111"/>
        <v>0.29999999999999893</v>
      </c>
      <c r="BO176" s="111">
        <f t="shared" si="112"/>
        <v>0</v>
      </c>
    </row>
    <row r="178" spans="38:96" x14ac:dyDescent="0.2">
      <c r="AO178">
        <v>-0.5</v>
      </c>
      <c r="AP178">
        <v>-0.25</v>
      </c>
      <c r="AQ178">
        <v>-0.13</v>
      </c>
      <c r="AR178">
        <v>0</v>
      </c>
      <c r="AS178">
        <v>0.125</v>
      </c>
      <c r="AT178" s="126">
        <v>0.25</v>
      </c>
      <c r="AU178" s="126">
        <v>0.5</v>
      </c>
      <c r="AV178" s="126">
        <v>1</v>
      </c>
      <c r="AW178" s="126">
        <v>1.5</v>
      </c>
      <c r="AX178" s="126">
        <v>2</v>
      </c>
      <c r="AY178" s="126">
        <v>3</v>
      </c>
      <c r="AZ178" s="126">
        <v>5</v>
      </c>
      <c r="BA178" s="126">
        <v>10</v>
      </c>
    </row>
    <row r="179" spans="38:96" ht="12.75" x14ac:dyDescent="0.2">
      <c r="AL179" s="105" t="s">
        <v>291</v>
      </c>
      <c r="AN179" t="s">
        <v>25</v>
      </c>
      <c r="AO179" s="140">
        <v>9.5</v>
      </c>
      <c r="AP179" s="140">
        <v>7.4</v>
      </c>
      <c r="AQ179" s="140">
        <v>8.3000000000000007</v>
      </c>
      <c r="AR179" s="140">
        <v>9.9</v>
      </c>
      <c r="AS179" s="129">
        <f>(AR179+AT179)/2</f>
        <v>11.350000000000001</v>
      </c>
      <c r="AT179" s="140">
        <v>12.8</v>
      </c>
      <c r="AU179" s="140">
        <v>15.4</v>
      </c>
      <c r="AV179" s="140">
        <v>19.899999999999999</v>
      </c>
      <c r="AW179" s="140">
        <v>23.6</v>
      </c>
      <c r="AX179" s="140">
        <v>26.8</v>
      </c>
      <c r="AY179" s="140">
        <v>32</v>
      </c>
      <c r="AZ179" s="140">
        <v>39.700000000000003</v>
      </c>
      <c r="BA179" s="140">
        <v>51.6</v>
      </c>
      <c r="BC179" s="111">
        <f>AO179-AO162</f>
        <v>0.19999999999999929</v>
      </c>
      <c r="BD179" s="111">
        <f t="shared" ref="BD179:BD193" si="115">AP179-AP162</f>
        <v>0.5</v>
      </c>
      <c r="BE179" s="111">
        <f t="shared" ref="BE179:BE193" si="116">AQ179-AQ162</f>
        <v>0.50000000000000089</v>
      </c>
      <c r="BF179" s="111">
        <f t="shared" ref="BF179:BF193" si="117">AR179-AR162</f>
        <v>0.59999999999999964</v>
      </c>
      <c r="BG179" s="111">
        <f t="shared" ref="BG179:BG193" si="118">AS179-AS162</f>
        <v>0.60000000000000142</v>
      </c>
      <c r="BH179" s="111">
        <f t="shared" ref="BH179:BH193" si="119">AT179-AT162</f>
        <v>0.60000000000000142</v>
      </c>
      <c r="BI179" s="111">
        <f t="shared" ref="BI179:BI193" si="120">AU179-AU162</f>
        <v>0.5</v>
      </c>
      <c r="BJ179" s="111">
        <f t="shared" ref="BJ179:BJ193" si="121">AV179-AV162</f>
        <v>0.59999999999999787</v>
      </c>
      <c r="BK179" s="111">
        <f t="shared" ref="BK179:BK193" si="122">AW179-AW162</f>
        <v>0.70000000000000284</v>
      </c>
      <c r="BL179" s="111">
        <f t="shared" ref="BL179:BL193" si="123">AX179-AX162</f>
        <v>0.69999999999999929</v>
      </c>
      <c r="BM179" s="111">
        <f t="shared" ref="BM179:BM193" si="124">AY179-AY162</f>
        <v>0.80000000000000071</v>
      </c>
      <c r="BN179" s="111">
        <f t="shared" ref="BN179:BN193" si="125">AZ179-AZ162</f>
        <v>0.90000000000000568</v>
      </c>
      <c r="BO179" s="111">
        <f t="shared" ref="BO179:BO193" si="126">BA179-BA162</f>
        <v>-1.6000000000000014</v>
      </c>
      <c r="BR179" s="120">
        <v>2.474068711205962E-3</v>
      </c>
      <c r="BS179" s="120">
        <v>2.0011057379692777E-3</v>
      </c>
      <c r="BT179" s="120">
        <v>2.3199006503269739E-3</v>
      </c>
      <c r="BU179" s="120">
        <v>2.8260968342946431E-3</v>
      </c>
      <c r="BV179" s="120">
        <v>3.3070992398425382E-3</v>
      </c>
      <c r="BW179" s="120">
        <v>3.8042461420392097E-3</v>
      </c>
      <c r="BX179" s="120">
        <v>4.7541808279143076E-3</v>
      </c>
      <c r="BY179" s="120">
        <v>6.5860426608103798E-3</v>
      </c>
      <c r="BZ179" s="120">
        <v>8.3149997600469629E-3</v>
      </c>
      <c r="CA179" s="120">
        <v>9.9972860845240329E-3</v>
      </c>
      <c r="CB179" s="120">
        <v>1.3205611198250675E-2</v>
      </c>
      <c r="CC179" s="120">
        <v>1.9318395927237827E-2</v>
      </c>
      <c r="CD179" s="120">
        <v>3.3970860942532093E-2</v>
      </c>
      <c r="CF179" s="120">
        <v>9.5003714871068595E-2</v>
      </c>
      <c r="CG179" s="120">
        <v>7.3160169014185275E-2</v>
      </c>
      <c r="CH179" s="120">
        <v>8.3002649951743057E-2</v>
      </c>
      <c r="CI179" s="120">
        <v>9.9021955590571212E-2</v>
      </c>
      <c r="CJ179" s="120">
        <v>0.1135499621801363</v>
      </c>
      <c r="CK179" s="120">
        <v>0.12806652330088039</v>
      </c>
      <c r="CL179" s="120">
        <v>0.15410519376765366</v>
      </c>
      <c r="CM179" s="120">
        <v>0.19914289415096309</v>
      </c>
      <c r="CN179" s="120">
        <v>0.23615635539416413</v>
      </c>
      <c r="CO179" s="120">
        <v>0.26819420289040541</v>
      </c>
      <c r="CP179" s="120">
        <v>0.3203281869009576</v>
      </c>
      <c r="CQ179" s="120">
        <v>0.39764325092371794</v>
      </c>
      <c r="CR179" s="120">
        <v>0.52304379729082318</v>
      </c>
    </row>
    <row r="180" spans="38:96" ht="12.75" x14ac:dyDescent="0.2">
      <c r="AN180" t="s">
        <v>157</v>
      </c>
      <c r="AO180" s="140">
        <v>11.3</v>
      </c>
      <c r="AP180" s="140">
        <v>9.5</v>
      </c>
      <c r="AQ180" s="137">
        <v>10.199999999999999</v>
      </c>
      <c r="AR180" s="140">
        <v>11.3</v>
      </c>
      <c r="AS180" s="129">
        <f t="shared" ref="AS180:AS193" si="127">(AR180+AT180)/2</f>
        <v>12.45</v>
      </c>
      <c r="AT180" s="140">
        <v>13.6</v>
      </c>
      <c r="AU180" s="140">
        <v>15.7</v>
      </c>
      <c r="AV180" s="140">
        <v>19.2</v>
      </c>
      <c r="AW180" s="140">
        <v>22.2</v>
      </c>
      <c r="AX180" s="140">
        <v>24.7</v>
      </c>
      <c r="AY180" s="140">
        <v>28.8</v>
      </c>
      <c r="AZ180" s="140">
        <v>34.6</v>
      </c>
      <c r="BA180" s="140">
        <v>43.4</v>
      </c>
      <c r="BC180" s="111">
        <f t="shared" ref="BC180:BC193" si="128">AO180-AO163</f>
        <v>0.30000000000000071</v>
      </c>
      <c r="BD180" s="111">
        <f t="shared" si="115"/>
        <v>0.40000000000000036</v>
      </c>
      <c r="BE180" s="111">
        <f t="shared" si="116"/>
        <v>0.5</v>
      </c>
      <c r="BF180" s="111">
        <f t="shared" si="117"/>
        <v>0.5</v>
      </c>
      <c r="BG180" s="111">
        <f t="shared" si="118"/>
        <v>0.5</v>
      </c>
      <c r="BH180" s="111">
        <f t="shared" si="119"/>
        <v>0.5</v>
      </c>
      <c r="BI180" s="111">
        <f t="shared" si="120"/>
        <v>0.5</v>
      </c>
      <c r="BJ180" s="111">
        <f t="shared" si="121"/>
        <v>0.39999999999999858</v>
      </c>
      <c r="BK180" s="111">
        <f t="shared" si="122"/>
        <v>0.5</v>
      </c>
      <c r="BL180" s="111">
        <f t="shared" si="123"/>
        <v>0.5</v>
      </c>
      <c r="BM180" s="111">
        <f t="shared" si="124"/>
        <v>0.5</v>
      </c>
      <c r="BN180" s="111">
        <f t="shared" si="125"/>
        <v>0.5</v>
      </c>
      <c r="BO180" s="111">
        <f t="shared" si="126"/>
        <v>-3</v>
      </c>
      <c r="BR180" s="120">
        <v>3.3865346155394953E-3</v>
      </c>
      <c r="BS180" s="120">
        <v>3.3042945799197625E-3</v>
      </c>
      <c r="BT180" s="120">
        <v>3.3984297250979774E-3</v>
      </c>
      <c r="BU180" s="120">
        <v>3.5703806500736357E-3</v>
      </c>
      <c r="BV180" s="120">
        <v>3.8692380824150974E-3</v>
      </c>
      <c r="BW180" s="120">
        <v>4.2076711362146512E-3</v>
      </c>
      <c r="BX180" s="120">
        <v>4.9120006447658541E-3</v>
      </c>
      <c r="BY180" s="120">
        <v>6.264851210939967E-3</v>
      </c>
      <c r="BZ180" s="120">
        <v>7.6378935971413639E-3</v>
      </c>
      <c r="CA180" s="120">
        <v>8.9333328653619405E-3</v>
      </c>
      <c r="CB180" s="120">
        <v>1.1444648088861952E-2</v>
      </c>
      <c r="CC180" s="120">
        <v>1.6065180907896187E-2</v>
      </c>
      <c r="CD180" s="120">
        <v>2.6625230833255208E-2</v>
      </c>
      <c r="CF180" s="120">
        <v>0.12965774368542368</v>
      </c>
      <c r="CG180" s="120">
        <v>0.12071990141130988</v>
      </c>
      <c r="CH180" s="120">
        <v>0.12137628522030912</v>
      </c>
      <c r="CI180" s="120">
        <v>0.12477682274841594</v>
      </c>
      <c r="CJ180" s="120">
        <v>0.13242979445092604</v>
      </c>
      <c r="CK180" s="120">
        <v>0.14115184998986985</v>
      </c>
      <c r="CL180" s="120">
        <v>0.15861842601977383</v>
      </c>
      <c r="CM180" s="120">
        <v>0.18871482868755496</v>
      </c>
      <c r="CN180" s="120">
        <v>0.21616323073900603</v>
      </c>
      <c r="CO180" s="120">
        <v>0.23882145361796089</v>
      </c>
      <c r="CP180" s="120">
        <v>0.27676009948447361</v>
      </c>
      <c r="CQ180" s="120">
        <v>0.33000915346456094</v>
      </c>
      <c r="CR180" s="120">
        <v>0.40903934165751754</v>
      </c>
    </row>
    <row r="181" spans="38:96" ht="12.75" x14ac:dyDescent="0.2">
      <c r="AN181" t="s">
        <v>99</v>
      </c>
      <c r="AO181" s="140">
        <v>14.5</v>
      </c>
      <c r="AP181" s="140">
        <v>12</v>
      </c>
      <c r="AQ181" s="140">
        <v>11.6</v>
      </c>
      <c r="AR181" s="140">
        <v>11.9</v>
      </c>
      <c r="AS181" s="129">
        <f t="shared" si="127"/>
        <v>12.5</v>
      </c>
      <c r="AT181" s="140">
        <v>13.1</v>
      </c>
      <c r="AU181" s="140">
        <v>14.4</v>
      </c>
      <c r="AV181" s="140">
        <v>16.8</v>
      </c>
      <c r="AW181" s="140">
        <v>18.899999999999999</v>
      </c>
      <c r="AX181" s="140">
        <v>20.8</v>
      </c>
      <c r="AY181" s="140">
        <v>23.8</v>
      </c>
      <c r="AZ181" s="140">
        <v>28</v>
      </c>
      <c r="BA181" s="140">
        <v>34.1</v>
      </c>
      <c r="BC181" s="111">
        <f t="shared" si="128"/>
        <v>0.30000000000000071</v>
      </c>
      <c r="BD181" s="111">
        <f t="shared" si="115"/>
        <v>0.19999999999999929</v>
      </c>
      <c r="BE181" s="111">
        <f t="shared" si="116"/>
        <v>0.29999999999999893</v>
      </c>
      <c r="BF181" s="111">
        <f t="shared" si="117"/>
        <v>0.30000000000000071</v>
      </c>
      <c r="BG181" s="111">
        <f t="shared" si="118"/>
        <v>0.30000000000000071</v>
      </c>
      <c r="BH181" s="111">
        <f t="shared" si="119"/>
        <v>0.29999999999999893</v>
      </c>
      <c r="BI181" s="111">
        <f t="shared" si="120"/>
        <v>0.20000000000000107</v>
      </c>
      <c r="BJ181" s="111">
        <f t="shared" si="121"/>
        <v>0.10000000000000142</v>
      </c>
      <c r="BK181" s="111">
        <f t="shared" si="122"/>
        <v>0</v>
      </c>
      <c r="BL181" s="111">
        <f t="shared" si="123"/>
        <v>0</v>
      </c>
      <c r="BM181" s="111">
        <f t="shared" si="124"/>
        <v>-9.9999999999997868E-2</v>
      </c>
      <c r="BN181" s="111">
        <f t="shared" si="125"/>
        <v>-0.19999999999999929</v>
      </c>
      <c r="BO181" s="111">
        <f t="shared" si="126"/>
        <v>-0.39999999999999858</v>
      </c>
      <c r="BR181" s="120">
        <v>3.9090727365853825E-3</v>
      </c>
      <c r="BS181" s="120">
        <v>3.3891457807934473E-3</v>
      </c>
      <c r="BT181" s="120">
        <v>3.3329689327197664E-3</v>
      </c>
      <c r="BU181" s="120">
        <v>3.5125691340580417E-3</v>
      </c>
      <c r="BV181" s="120">
        <v>3.7687258047858553E-3</v>
      </c>
      <c r="BW181" s="120">
        <v>4.0315267628297331E-3</v>
      </c>
      <c r="BX181" s="120">
        <v>4.6073497347854349E-3</v>
      </c>
      <c r="BY181" s="120">
        <v>5.7669000512350407E-3</v>
      </c>
      <c r="BZ181" s="120">
        <v>6.9072131436751661E-3</v>
      </c>
      <c r="CA181" s="120">
        <v>8.0447992352457327E-3</v>
      </c>
      <c r="CB181" s="120">
        <v>1.017227836593344E-2</v>
      </c>
      <c r="CC181" s="120">
        <v>1.4078598434744103E-2</v>
      </c>
      <c r="CD181" s="120">
        <v>2.2877802437695185E-2</v>
      </c>
      <c r="CF181" s="120">
        <v>0.14500028952843333</v>
      </c>
      <c r="CG181" s="120">
        <v>0.12000285910835541</v>
      </c>
      <c r="CH181" s="120">
        <v>0.11541309587895651</v>
      </c>
      <c r="CI181" s="120">
        <v>0.11900086205322381</v>
      </c>
      <c r="CJ181" s="120">
        <v>0.12500000157424154</v>
      </c>
      <c r="CK181" s="120">
        <v>0.13100000466031339</v>
      </c>
      <c r="CL181" s="120">
        <v>0.14400000693170351</v>
      </c>
      <c r="CM181" s="120">
        <v>0.16800165203659514</v>
      </c>
      <c r="CN181" s="120">
        <v>0.18900467379876434</v>
      </c>
      <c r="CO181" s="120">
        <v>0.20800882827059208</v>
      </c>
      <c r="CP181" s="120">
        <v>0.23800016270690305</v>
      </c>
      <c r="CQ181" s="120">
        <v>0.2800021284369959</v>
      </c>
      <c r="CR181" s="120">
        <v>0.34103540294416812</v>
      </c>
    </row>
    <row r="182" spans="38:96" ht="12.75" x14ac:dyDescent="0.2">
      <c r="AN182" t="s">
        <v>101</v>
      </c>
      <c r="AO182" s="140">
        <v>16.7</v>
      </c>
      <c r="AP182" s="137">
        <v>14.4</v>
      </c>
      <c r="AQ182" s="140">
        <v>14</v>
      </c>
      <c r="AR182" s="140">
        <v>14.1</v>
      </c>
      <c r="AS182" s="129">
        <f t="shared" si="127"/>
        <v>14.399999999999999</v>
      </c>
      <c r="AT182" s="140">
        <v>14.7</v>
      </c>
      <c r="AU182" s="140">
        <v>15.5</v>
      </c>
      <c r="AV182" s="140">
        <v>17</v>
      </c>
      <c r="AW182" s="140">
        <v>18.399999999999999</v>
      </c>
      <c r="AX182" s="140">
        <v>19.600000000000001</v>
      </c>
      <c r="AY182" s="140">
        <v>21.8</v>
      </c>
      <c r="AZ182" s="140">
        <v>25</v>
      </c>
      <c r="BA182" s="140">
        <v>29.7</v>
      </c>
      <c r="BC182" s="111">
        <f t="shared" si="128"/>
        <v>9.9999999999997868E-2</v>
      </c>
      <c r="BD182" s="111">
        <f t="shared" si="115"/>
        <v>0.20000000000000107</v>
      </c>
      <c r="BE182" s="111">
        <f t="shared" si="116"/>
        <v>0.30000000000000071</v>
      </c>
      <c r="BF182" s="111">
        <f t="shared" si="117"/>
        <v>0.29999999999999893</v>
      </c>
      <c r="BG182" s="111">
        <f t="shared" si="118"/>
        <v>0.24999999999999822</v>
      </c>
      <c r="BH182" s="111">
        <f t="shared" si="119"/>
        <v>0.19999999999999929</v>
      </c>
      <c r="BI182" s="111">
        <f t="shared" si="120"/>
        <v>0.19999999999999929</v>
      </c>
      <c r="BJ182" s="111">
        <f t="shared" si="121"/>
        <v>0.19999999999999929</v>
      </c>
      <c r="BK182" s="111">
        <f t="shared" si="122"/>
        <v>9.9999999999997868E-2</v>
      </c>
      <c r="BL182" s="111">
        <f t="shared" si="123"/>
        <v>0</v>
      </c>
      <c r="BM182" s="111">
        <f t="shared" si="124"/>
        <v>-9.9999999999997868E-2</v>
      </c>
      <c r="BN182" s="111">
        <f t="shared" si="125"/>
        <v>-0.30000000000000071</v>
      </c>
      <c r="BO182" s="111">
        <f t="shared" si="126"/>
        <v>-0.80000000000000071</v>
      </c>
      <c r="BR182" s="120">
        <v>6.0823821054958567E-3</v>
      </c>
      <c r="BS182" s="120">
        <v>6.0131314937171138E-3</v>
      </c>
      <c r="BT182" s="120">
        <v>6.0248277183677871E-3</v>
      </c>
      <c r="BU182" s="120">
        <v>5.9312993859264264E-3</v>
      </c>
      <c r="BV182" s="120">
        <v>5.8090983824394E-3</v>
      </c>
      <c r="BW182" s="120">
        <v>5.7126289459355929E-3</v>
      </c>
      <c r="BX182" s="120">
        <v>5.759697237702659E-3</v>
      </c>
      <c r="BY182" s="120">
        <v>6.1637851018304934E-3</v>
      </c>
      <c r="BZ182" s="120">
        <v>6.7894533379126085E-3</v>
      </c>
      <c r="CA182" s="120">
        <v>7.4069575337196922E-3</v>
      </c>
      <c r="CB182" s="120">
        <v>8.8953161878915117E-3</v>
      </c>
      <c r="CC182" s="120">
        <v>1.1810604480552883E-2</v>
      </c>
      <c r="CD182" s="120">
        <v>1.8470021049378806E-2</v>
      </c>
      <c r="CF182" s="120">
        <v>0.21618925911945688</v>
      </c>
      <c r="CG182" s="120">
        <v>0.20402566523291776</v>
      </c>
      <c r="CH182" s="120">
        <v>0.19997543693335054</v>
      </c>
      <c r="CI182" s="120">
        <v>0.19263012577733496</v>
      </c>
      <c r="CJ182" s="120">
        <v>0.18470839818884469</v>
      </c>
      <c r="CK182" s="120">
        <v>0.17798002026389934</v>
      </c>
      <c r="CL182" s="120">
        <v>0.1727306056897937</v>
      </c>
      <c r="CM182" s="120">
        <v>0.17249857135829239</v>
      </c>
      <c r="CN182" s="120">
        <v>0.17863448155671444</v>
      </c>
      <c r="CO182" s="120">
        <v>0.18419418220018507</v>
      </c>
      <c r="CP182" s="120">
        <v>0.20039886612611346</v>
      </c>
      <c r="CQ182" s="120">
        <v>0.2264250778994609</v>
      </c>
      <c r="CR182" s="120">
        <v>0.26568780793137514</v>
      </c>
    </row>
    <row r="183" spans="38:96" ht="12.75" x14ac:dyDescent="0.2">
      <c r="AN183" t="s">
        <v>102</v>
      </c>
      <c r="AO183" s="137">
        <v>18.5</v>
      </c>
      <c r="AP183" s="140">
        <v>16.399999999999999</v>
      </c>
      <c r="AQ183" s="140">
        <v>15.9</v>
      </c>
      <c r="AR183" s="140">
        <v>15.9</v>
      </c>
      <c r="AS183" s="129">
        <f t="shared" si="127"/>
        <v>16.05</v>
      </c>
      <c r="AT183" s="140">
        <v>16.2</v>
      </c>
      <c r="AU183" s="140">
        <v>16.7</v>
      </c>
      <c r="AV183" s="140">
        <v>17.600000000000001</v>
      </c>
      <c r="AW183" s="140">
        <v>18.399999999999999</v>
      </c>
      <c r="AX183" s="140">
        <v>19.3</v>
      </c>
      <c r="AY183" s="140">
        <v>21</v>
      </c>
      <c r="AZ183" s="140">
        <v>23.5</v>
      </c>
      <c r="BA183" s="140">
        <v>27.2</v>
      </c>
      <c r="BC183" s="111">
        <f t="shared" si="128"/>
        <v>0</v>
      </c>
      <c r="BD183" s="111">
        <f t="shared" si="115"/>
        <v>9.9999999999997868E-2</v>
      </c>
      <c r="BE183" s="111">
        <f t="shared" si="116"/>
        <v>0.20000000000000107</v>
      </c>
      <c r="BF183" s="111">
        <f t="shared" si="117"/>
        <v>0.30000000000000071</v>
      </c>
      <c r="BG183" s="111">
        <f t="shared" si="118"/>
        <v>0.25</v>
      </c>
      <c r="BH183" s="111">
        <f t="shared" si="119"/>
        <v>0.19999999999999929</v>
      </c>
      <c r="BI183" s="111">
        <f t="shared" si="120"/>
        <v>0.30000000000000071</v>
      </c>
      <c r="BJ183" s="111">
        <f t="shared" si="121"/>
        <v>0.40000000000000213</v>
      </c>
      <c r="BK183" s="111">
        <f t="shared" si="122"/>
        <v>0.29999999999999716</v>
      </c>
      <c r="BL183" s="111">
        <f t="shared" si="123"/>
        <v>0.19999999999999929</v>
      </c>
      <c r="BM183" s="111">
        <f t="shared" si="124"/>
        <v>0.19999999999999929</v>
      </c>
      <c r="BN183" s="111">
        <f t="shared" si="125"/>
        <v>0</v>
      </c>
      <c r="BO183" s="111">
        <f t="shared" si="126"/>
        <v>-0.40000000000000213</v>
      </c>
      <c r="BR183" s="120">
        <v>6.6043256860790342E-3</v>
      </c>
      <c r="BS183" s="120">
        <v>6.5040974829843308E-3</v>
      </c>
      <c r="BT183" s="120">
        <v>6.3804938544523033E-3</v>
      </c>
      <c r="BU183" s="120">
        <v>6.4161815287244739E-3</v>
      </c>
      <c r="BV183" s="120">
        <v>6.4433623082603871E-3</v>
      </c>
      <c r="BW183" s="120">
        <v>6.4606928012715279E-3</v>
      </c>
      <c r="BX183" s="120">
        <v>6.5615590384095167E-3</v>
      </c>
      <c r="BY183" s="120">
        <v>6.8623120136424255E-3</v>
      </c>
      <c r="BZ183" s="120">
        <v>7.249282791130845E-3</v>
      </c>
      <c r="CA183" s="120">
        <v>7.9323532727565618E-3</v>
      </c>
      <c r="CB183" s="120">
        <v>9.3424117508815845E-3</v>
      </c>
      <c r="CC183" s="120">
        <v>1.2070133044435067E-2</v>
      </c>
      <c r="CD183" s="120">
        <v>1.8355924895875904E-2</v>
      </c>
      <c r="CF183" s="120">
        <v>0.22734072706943229</v>
      </c>
      <c r="CG183" s="120">
        <v>0.21362957935713767</v>
      </c>
      <c r="CH183" s="120">
        <v>0.2049326431128905</v>
      </c>
      <c r="CI183" s="120">
        <v>0.20185059308525213</v>
      </c>
      <c r="CJ183" s="120">
        <v>0.19869702416911367</v>
      </c>
      <c r="CK183" s="120">
        <v>0.19540284035106167</v>
      </c>
      <c r="CL183" s="120">
        <v>0.19122603514323863</v>
      </c>
      <c r="CM183" s="120">
        <v>0.18685386060850276</v>
      </c>
      <c r="CN183" s="120">
        <v>0.18568976696956113</v>
      </c>
      <c r="CO183" s="120">
        <v>0.19236128857423956</v>
      </c>
      <c r="CP183" s="120">
        <v>0.20559028606406282</v>
      </c>
      <c r="CQ183" s="120">
        <v>0.22664781070130913</v>
      </c>
      <c r="CR183" s="120">
        <v>0.25979577220797279</v>
      </c>
    </row>
    <row r="184" spans="38:96" ht="12.75" x14ac:dyDescent="0.2">
      <c r="AN184" t="s">
        <v>103</v>
      </c>
      <c r="AO184" s="137">
        <v>19.8</v>
      </c>
      <c r="AP184" s="140">
        <v>17.8</v>
      </c>
      <c r="AQ184" s="140">
        <v>17.3</v>
      </c>
      <c r="AR184" s="140">
        <v>17.2</v>
      </c>
      <c r="AS184" s="129">
        <f t="shared" si="127"/>
        <v>17.25</v>
      </c>
      <c r="AT184" s="140">
        <v>17.3</v>
      </c>
      <c r="AU184" s="140">
        <v>17.5</v>
      </c>
      <c r="AV184" s="140">
        <v>17.899999999999999</v>
      </c>
      <c r="AW184" s="140">
        <v>18.399999999999999</v>
      </c>
      <c r="AX184" s="140">
        <v>19</v>
      </c>
      <c r="AY184" s="140">
        <v>20.3</v>
      </c>
      <c r="AZ184" s="140">
        <v>22.4</v>
      </c>
      <c r="BA184" s="140">
        <v>25.8</v>
      </c>
      <c r="BC184" s="111">
        <f t="shared" si="128"/>
        <v>-0.19999999999999929</v>
      </c>
      <c r="BD184" s="111">
        <f t="shared" si="115"/>
        <v>0</v>
      </c>
      <c r="BE184" s="111">
        <f t="shared" si="116"/>
        <v>0.10000000000000142</v>
      </c>
      <c r="BF184" s="111">
        <f t="shared" si="117"/>
        <v>0.19999999999999929</v>
      </c>
      <c r="BG184" s="111">
        <f t="shared" si="118"/>
        <v>0.19999999999999929</v>
      </c>
      <c r="BH184" s="111">
        <f t="shared" si="119"/>
        <v>0.19999999999999929</v>
      </c>
      <c r="BI184" s="111">
        <f t="shared" si="120"/>
        <v>0.30000000000000071</v>
      </c>
      <c r="BJ184" s="111">
        <f t="shared" si="121"/>
        <v>0.39999999999999858</v>
      </c>
      <c r="BK184" s="111">
        <f t="shared" si="122"/>
        <v>0.39999999999999858</v>
      </c>
      <c r="BL184" s="111">
        <f t="shared" si="123"/>
        <v>0.39999999999999858</v>
      </c>
      <c r="BM184" s="111">
        <f t="shared" si="124"/>
        <v>0.30000000000000071</v>
      </c>
      <c r="BN184" s="111">
        <f t="shared" si="125"/>
        <v>9.9999999999997868E-2</v>
      </c>
      <c r="BO184" s="111">
        <f t="shared" si="126"/>
        <v>-0.19999999999999929</v>
      </c>
      <c r="BR184" s="120">
        <v>7.1809106577199622E-3</v>
      </c>
      <c r="BS184" s="120">
        <v>7.0405310446619703E-3</v>
      </c>
      <c r="BT184" s="120">
        <v>7.0617558925225084E-3</v>
      </c>
      <c r="BU184" s="120">
        <v>7.0204156440233983E-3</v>
      </c>
      <c r="BV184" s="120">
        <v>7.015300705680818E-3</v>
      </c>
      <c r="BW184" s="120">
        <v>7.003821689206104E-3</v>
      </c>
      <c r="BX184" s="120">
        <v>6.9126954457729281E-3</v>
      </c>
      <c r="BY184" s="120">
        <v>6.9838195624562574E-3</v>
      </c>
      <c r="BZ184" s="120">
        <v>7.4047383013145906E-3</v>
      </c>
      <c r="CA184" s="120">
        <v>7.853521092069108E-3</v>
      </c>
      <c r="CB184" s="120">
        <v>9.0421685591922409E-3</v>
      </c>
      <c r="CC184" s="120">
        <v>1.1617916468276542E-2</v>
      </c>
      <c r="CD184" s="120">
        <v>1.7944520732522781E-2</v>
      </c>
      <c r="CF184" s="120">
        <v>0.23914109318440793</v>
      </c>
      <c r="CG184" s="120">
        <v>0.22377724811192182</v>
      </c>
      <c r="CH184" s="120">
        <v>0.21968354552993638</v>
      </c>
      <c r="CI184" s="120">
        <v>0.21380275277469699</v>
      </c>
      <c r="CJ184" s="120">
        <v>0.20934054887158177</v>
      </c>
      <c r="CK184" s="120">
        <v>0.20491823301722109</v>
      </c>
      <c r="CL184" s="120">
        <v>0.19476040657486654</v>
      </c>
      <c r="CM184" s="120">
        <v>0.18378215007526813</v>
      </c>
      <c r="CN184" s="120">
        <v>0.18346091885461549</v>
      </c>
      <c r="CO184" s="120">
        <v>0.1841269552480212</v>
      </c>
      <c r="CP184" s="120">
        <v>0.19244414287781819</v>
      </c>
      <c r="CQ184" s="120">
        <v>0.21127154510825955</v>
      </c>
      <c r="CR184" s="120">
        <v>0.2467649815794071</v>
      </c>
    </row>
    <row r="185" spans="38:96" ht="12.75" x14ac:dyDescent="0.2">
      <c r="AN185" t="s">
        <v>104</v>
      </c>
      <c r="AO185" s="140">
        <v>20.7</v>
      </c>
      <c r="AP185" s="140">
        <v>18.8</v>
      </c>
      <c r="AQ185" s="140">
        <v>18.3</v>
      </c>
      <c r="AR185" s="140">
        <v>18.100000000000001</v>
      </c>
      <c r="AS185" s="129">
        <f t="shared" si="127"/>
        <v>18.05</v>
      </c>
      <c r="AT185" s="140">
        <v>18</v>
      </c>
      <c r="AU185" s="140">
        <v>18</v>
      </c>
      <c r="AV185" s="140">
        <v>18.100000000000001</v>
      </c>
      <c r="AW185" s="140">
        <v>18.3</v>
      </c>
      <c r="AX185" s="140">
        <v>18.600000000000001</v>
      </c>
      <c r="AY185" s="140">
        <v>19.5</v>
      </c>
      <c r="AZ185" s="140">
        <v>21.3</v>
      </c>
      <c r="BA185" s="140">
        <v>24.2</v>
      </c>
      <c r="BC185" s="111">
        <f t="shared" si="128"/>
        <v>-0.30000000000000071</v>
      </c>
      <c r="BD185" s="111">
        <f t="shared" si="115"/>
        <v>-9.9999999999997868E-2</v>
      </c>
      <c r="BE185" s="111">
        <f t="shared" si="116"/>
        <v>0</v>
      </c>
      <c r="BF185" s="111">
        <f t="shared" si="117"/>
        <v>0.10000000000000142</v>
      </c>
      <c r="BG185" s="111">
        <f t="shared" si="118"/>
        <v>0.10000000000000142</v>
      </c>
      <c r="BH185" s="111">
        <f t="shared" si="119"/>
        <v>0.10000000000000142</v>
      </c>
      <c r="BI185" s="111">
        <f t="shared" si="120"/>
        <v>0.19999999999999929</v>
      </c>
      <c r="BJ185" s="111">
        <f t="shared" si="121"/>
        <v>0.30000000000000071</v>
      </c>
      <c r="BK185" s="111">
        <f t="shared" si="122"/>
        <v>0.40000000000000213</v>
      </c>
      <c r="BL185" s="111">
        <f t="shared" si="123"/>
        <v>0.40000000000000213</v>
      </c>
      <c r="BM185" s="111">
        <f t="shared" si="124"/>
        <v>0.30000000000000071</v>
      </c>
      <c r="BN185" s="111">
        <f t="shared" si="125"/>
        <v>0.19999999999999929</v>
      </c>
      <c r="BO185" s="111">
        <f t="shared" si="126"/>
        <v>0</v>
      </c>
      <c r="BR185" s="120">
        <v>7.5186635673464685E-3</v>
      </c>
      <c r="BS185" s="120">
        <v>7.4300347636052505E-3</v>
      </c>
      <c r="BT185" s="120">
        <v>7.4084426874514555E-3</v>
      </c>
      <c r="BU185" s="120">
        <v>7.3351250990135132E-3</v>
      </c>
      <c r="BV185" s="120">
        <v>7.2901713758492699E-3</v>
      </c>
      <c r="BW185" s="120">
        <v>7.2381613404786851E-3</v>
      </c>
      <c r="BX185" s="120">
        <v>7.2099209948574185E-3</v>
      </c>
      <c r="BY185" s="120">
        <v>7.35590533928881E-3</v>
      </c>
      <c r="BZ185" s="120">
        <v>7.5437639334761507E-3</v>
      </c>
      <c r="CA185" s="120">
        <v>7.8434235706821009E-3</v>
      </c>
      <c r="CB185" s="120">
        <v>8.8007829310493592E-3</v>
      </c>
      <c r="CC185" s="120">
        <v>1.1225858241447366E-2</v>
      </c>
      <c r="CD185" s="120">
        <v>1.6721272141557518E-2</v>
      </c>
      <c r="CF185" s="120">
        <v>0.2406154966680846</v>
      </c>
      <c r="CG185" s="120">
        <v>0.22708000006520962</v>
      </c>
      <c r="CH185" s="120">
        <v>0.22154396592565484</v>
      </c>
      <c r="CI185" s="120">
        <v>0.21479072724012546</v>
      </c>
      <c r="CJ185" s="120">
        <v>0.20920148502124555</v>
      </c>
      <c r="CK185" s="120">
        <v>0.20369621461045798</v>
      </c>
      <c r="CL185" s="120">
        <v>0.19556797036897161</v>
      </c>
      <c r="CM185" s="120">
        <v>0.1866206244314472</v>
      </c>
      <c r="CN185" s="120">
        <v>0.18015497326553151</v>
      </c>
      <c r="CO185" s="120">
        <v>0.17736484408915326</v>
      </c>
      <c r="CP185" s="120">
        <v>0.1808245445651647</v>
      </c>
      <c r="CQ185" s="120">
        <v>0.19744052302195725</v>
      </c>
      <c r="CR185" s="120">
        <v>0.22263396371202424</v>
      </c>
    </row>
    <row r="186" spans="38:96" ht="12.75" x14ac:dyDescent="0.2">
      <c r="AN186" t="s">
        <v>105</v>
      </c>
      <c r="AO186" s="137">
        <v>21.3</v>
      </c>
      <c r="AP186" s="140">
        <v>19.5</v>
      </c>
      <c r="AQ186" s="140">
        <v>19</v>
      </c>
      <c r="AR186" s="140">
        <v>18.7</v>
      </c>
      <c r="AS186" s="129">
        <f t="shared" si="127"/>
        <v>18.600000000000001</v>
      </c>
      <c r="AT186" s="140">
        <v>18.5</v>
      </c>
      <c r="AU186" s="140">
        <v>18.399999999999999</v>
      </c>
      <c r="AV186" s="140">
        <v>18.2</v>
      </c>
      <c r="AW186" s="140">
        <v>18.2</v>
      </c>
      <c r="AX186" s="140">
        <v>18.3</v>
      </c>
      <c r="AY186" s="140">
        <v>18.899999999999999</v>
      </c>
      <c r="AZ186" s="140">
        <v>20.2</v>
      </c>
      <c r="BA186" s="140">
        <v>22.8</v>
      </c>
      <c r="BC186" s="111">
        <f t="shared" si="128"/>
        <v>-0.30000000000000071</v>
      </c>
      <c r="BD186" s="111">
        <f t="shared" si="115"/>
        <v>-0.10000000000000142</v>
      </c>
      <c r="BE186" s="111">
        <f t="shared" si="116"/>
        <v>0</v>
      </c>
      <c r="BF186" s="111">
        <f t="shared" si="117"/>
        <v>0</v>
      </c>
      <c r="BG186" s="111">
        <f t="shared" si="118"/>
        <v>5.0000000000004263E-2</v>
      </c>
      <c r="BH186" s="111">
        <f t="shared" si="119"/>
        <v>0.10000000000000142</v>
      </c>
      <c r="BI186" s="111">
        <f t="shared" si="120"/>
        <v>0.19999999999999929</v>
      </c>
      <c r="BJ186" s="111">
        <f t="shared" si="121"/>
        <v>0.30000000000000071</v>
      </c>
      <c r="BK186" s="111">
        <f t="shared" si="122"/>
        <v>0.39999999999999858</v>
      </c>
      <c r="BL186" s="111">
        <f t="shared" si="123"/>
        <v>0.40000000000000213</v>
      </c>
      <c r="BM186" s="111">
        <f t="shared" si="124"/>
        <v>0.39999999999999858</v>
      </c>
      <c r="BN186" s="111">
        <f t="shared" si="125"/>
        <v>0.19999999999999929</v>
      </c>
      <c r="BO186" s="111">
        <f t="shared" si="126"/>
        <v>0.40000000000000213</v>
      </c>
      <c r="BR186" s="120">
        <v>7.6693208619012842E-3</v>
      </c>
      <c r="BS186" s="120">
        <v>7.6110863868774524E-3</v>
      </c>
      <c r="BT186" s="120">
        <v>7.6057775901364338E-3</v>
      </c>
      <c r="BU186" s="120">
        <v>7.4783180058849534E-3</v>
      </c>
      <c r="BV186" s="120">
        <v>7.505835425133384E-3</v>
      </c>
      <c r="BW186" s="120">
        <v>7.5249081538421051E-3</v>
      </c>
      <c r="BX186" s="120">
        <v>7.5749021540282282E-3</v>
      </c>
      <c r="BY186" s="120">
        <v>7.4659293630045436E-3</v>
      </c>
      <c r="BZ186" s="120">
        <v>7.683939366486434E-3</v>
      </c>
      <c r="CA186" s="120">
        <v>7.9594720568239938E-3</v>
      </c>
      <c r="CB186" s="120">
        <v>8.8115791990956045E-3</v>
      </c>
      <c r="CC186" s="120">
        <v>1.058266060725215E-2</v>
      </c>
      <c r="CD186" s="120">
        <v>1.5986219192011646E-2</v>
      </c>
      <c r="CF186" s="120">
        <v>0.23911528494215925</v>
      </c>
      <c r="CG186" s="120">
        <v>0.22668492357560138</v>
      </c>
      <c r="CH186" s="120">
        <v>0.22173102849269921</v>
      </c>
      <c r="CI186" s="120">
        <v>0.2134400248345511</v>
      </c>
      <c r="CJ186" s="120">
        <v>0.21003968076728619</v>
      </c>
      <c r="CK186" s="120">
        <v>0.20658506221967166</v>
      </c>
      <c r="CL186" s="120">
        <v>0.20050695381818107</v>
      </c>
      <c r="CM186" s="120">
        <v>0.18468208228675451</v>
      </c>
      <c r="CN186" s="120">
        <v>0.17907979896726731</v>
      </c>
      <c r="CO186" s="120">
        <v>0.17572029990180987</v>
      </c>
      <c r="CP186" s="120">
        <v>0.17687148417679252</v>
      </c>
      <c r="CQ186" s="120">
        <v>0.18176528456399643</v>
      </c>
      <c r="CR186" s="120">
        <v>0.20860468832759069</v>
      </c>
    </row>
    <row r="187" spans="38:96" ht="12.75" x14ac:dyDescent="0.2">
      <c r="AN187" t="s">
        <v>106</v>
      </c>
      <c r="AO187" s="140">
        <v>21.6</v>
      </c>
      <c r="AP187" s="140">
        <v>19.899999999999999</v>
      </c>
      <c r="AQ187" s="140">
        <v>19.399999999999999</v>
      </c>
      <c r="AR187" s="140">
        <v>19.100000000000001</v>
      </c>
      <c r="AS187" s="129">
        <f t="shared" si="127"/>
        <v>18.950000000000003</v>
      </c>
      <c r="AT187" s="140">
        <v>18.8</v>
      </c>
      <c r="AU187" s="140">
        <v>18.5</v>
      </c>
      <c r="AV187" s="140">
        <v>18.2</v>
      </c>
      <c r="AW187" s="140">
        <v>18</v>
      </c>
      <c r="AX187" s="140">
        <v>18</v>
      </c>
      <c r="AY187" s="140">
        <v>18.3</v>
      </c>
      <c r="AZ187" s="140">
        <v>19.399999999999999</v>
      </c>
      <c r="BA187" s="140">
        <v>21.7</v>
      </c>
      <c r="BC187" s="111">
        <f t="shared" si="128"/>
        <v>-0.39999999999999858</v>
      </c>
      <c r="BD187" s="111">
        <f t="shared" si="115"/>
        <v>-0.20000000000000284</v>
      </c>
      <c r="BE187" s="111">
        <f t="shared" si="116"/>
        <v>-0.10000000000000142</v>
      </c>
      <c r="BF187" s="111">
        <f t="shared" si="117"/>
        <v>0</v>
      </c>
      <c r="BG187" s="111">
        <f t="shared" si="118"/>
        <v>5.0000000000004263E-2</v>
      </c>
      <c r="BH187" s="111">
        <f t="shared" si="119"/>
        <v>0.10000000000000142</v>
      </c>
      <c r="BI187" s="111">
        <f t="shared" si="120"/>
        <v>0.10000000000000142</v>
      </c>
      <c r="BJ187" s="111">
        <f t="shared" si="121"/>
        <v>0.19999999999999929</v>
      </c>
      <c r="BK187" s="111">
        <f t="shared" si="122"/>
        <v>0.30000000000000071</v>
      </c>
      <c r="BL187" s="111">
        <f t="shared" si="123"/>
        <v>0.39999999999999858</v>
      </c>
      <c r="BM187" s="111">
        <f t="shared" si="124"/>
        <v>0.40000000000000213</v>
      </c>
      <c r="BN187" s="111">
        <f t="shared" si="125"/>
        <v>0.39999999999999858</v>
      </c>
      <c r="BO187" s="111">
        <f t="shared" si="126"/>
        <v>0.69999999999999929</v>
      </c>
      <c r="BR187" s="120">
        <v>7.5100444137781875E-3</v>
      </c>
      <c r="BS187" s="120">
        <v>7.4811460172451551E-3</v>
      </c>
      <c r="BT187" s="120">
        <v>7.4653950856575788E-3</v>
      </c>
      <c r="BU187" s="120">
        <v>7.5565432474782755E-3</v>
      </c>
      <c r="BV187" s="120">
        <v>7.5316848784579248E-3</v>
      </c>
      <c r="BW187" s="120">
        <v>7.4990652521150563E-3</v>
      </c>
      <c r="BX187" s="120">
        <v>7.1863347163127651E-3</v>
      </c>
      <c r="BY187" s="120">
        <v>7.469285273608052E-3</v>
      </c>
      <c r="BZ187" s="120">
        <v>7.5055181110514745E-3</v>
      </c>
      <c r="CA187" s="120">
        <v>7.8417647512462763E-3</v>
      </c>
      <c r="CB187" s="120">
        <v>8.4290069789982568E-3</v>
      </c>
      <c r="CC187" s="120">
        <v>1.053372719631461E-2</v>
      </c>
      <c r="CD187" s="120">
        <v>1.545702392043637E-2</v>
      </c>
      <c r="CF187" s="120">
        <v>0.22902927414033453</v>
      </c>
      <c r="CG187" s="120">
        <v>0.21803553623263672</v>
      </c>
      <c r="CH187" s="120">
        <v>0.21296862064973876</v>
      </c>
      <c r="CI187" s="120">
        <v>0.21131139711290342</v>
      </c>
      <c r="CJ187" s="120">
        <v>0.20644611503013729</v>
      </c>
      <c r="CK187" s="120">
        <v>0.20161416142094005</v>
      </c>
      <c r="CL187" s="120">
        <v>0.18602174735351043</v>
      </c>
      <c r="CM187" s="120">
        <v>0.18111489401085637</v>
      </c>
      <c r="CN187" s="120">
        <v>0.17139526117286669</v>
      </c>
      <c r="CO187" s="120">
        <v>0.16972905856154466</v>
      </c>
      <c r="CP187" s="120">
        <v>0.16586205096597842</v>
      </c>
      <c r="CQ187" s="120">
        <v>0.17785626225199061</v>
      </c>
      <c r="CR187" s="120">
        <v>0.1983409148548089</v>
      </c>
    </row>
    <row r="188" spans="38:96" ht="12.75" x14ac:dyDescent="0.2">
      <c r="AN188" t="s">
        <v>79</v>
      </c>
      <c r="AO188" s="140">
        <v>21.8</v>
      </c>
      <c r="AP188" s="140">
        <v>20.2</v>
      </c>
      <c r="AQ188" s="140">
        <v>19.7</v>
      </c>
      <c r="AR188" s="140">
        <v>19.3</v>
      </c>
      <c r="AS188" s="129">
        <f t="shared" si="127"/>
        <v>19.100000000000001</v>
      </c>
      <c r="AT188" s="140">
        <v>18.899999999999999</v>
      </c>
      <c r="AU188" s="140">
        <v>18.600000000000001</v>
      </c>
      <c r="AV188" s="140">
        <v>18.2</v>
      </c>
      <c r="AW188" s="140">
        <v>17.899999999999999</v>
      </c>
      <c r="AX188" s="140">
        <v>17.7</v>
      </c>
      <c r="AY188" s="140">
        <v>17.899999999999999</v>
      </c>
      <c r="AZ188" s="140">
        <v>18.7</v>
      </c>
      <c r="BA188" s="140">
        <v>20.6</v>
      </c>
      <c r="BC188" s="111">
        <f t="shared" si="128"/>
        <v>-0.39999999999999858</v>
      </c>
      <c r="BD188" s="111">
        <f t="shared" si="115"/>
        <v>-0.19999999999999929</v>
      </c>
      <c r="BE188" s="111">
        <f t="shared" si="116"/>
        <v>-0.10000000000000142</v>
      </c>
      <c r="BF188" s="111">
        <f t="shared" si="117"/>
        <v>-9.9999999999997868E-2</v>
      </c>
      <c r="BG188" s="111">
        <f t="shared" si="118"/>
        <v>-9.9999999999997868E-2</v>
      </c>
      <c r="BH188" s="111">
        <f t="shared" si="119"/>
        <v>-0.10000000000000142</v>
      </c>
      <c r="BI188" s="111">
        <f t="shared" si="120"/>
        <v>0</v>
      </c>
      <c r="BJ188" s="111">
        <f t="shared" si="121"/>
        <v>0.19999999999999929</v>
      </c>
      <c r="BK188" s="111">
        <f t="shared" si="122"/>
        <v>0.29999999999999716</v>
      </c>
      <c r="BL188" s="111">
        <f t="shared" si="123"/>
        <v>0.30000000000000071</v>
      </c>
      <c r="BM188" s="111">
        <f t="shared" si="124"/>
        <v>0.5</v>
      </c>
      <c r="BN188" s="111">
        <f t="shared" si="125"/>
        <v>0.39999999999999858</v>
      </c>
      <c r="BO188" s="111">
        <f t="shared" si="126"/>
        <v>0.40000000000000213</v>
      </c>
      <c r="BR188" s="120">
        <v>7.5986826474300885E-3</v>
      </c>
      <c r="BS188" s="120">
        <v>7.6224906151234634E-3</v>
      </c>
      <c r="BT188" s="120">
        <v>7.6119903899011833E-3</v>
      </c>
      <c r="BU188" s="120">
        <v>7.3211777421821507E-3</v>
      </c>
      <c r="BV188" s="120">
        <v>7.2780316762083167E-3</v>
      </c>
      <c r="BW188" s="120">
        <v>7.2282471241746698E-3</v>
      </c>
      <c r="BX188" s="120">
        <v>7.5168009901576439E-3</v>
      </c>
      <c r="BY188" s="120">
        <v>7.5849005306749887E-3</v>
      </c>
      <c r="BZ188" s="120">
        <v>7.7755867453568545E-3</v>
      </c>
      <c r="CA188" s="120">
        <v>7.6947412721352351E-3</v>
      </c>
      <c r="CB188" s="120">
        <v>8.5770491572550126E-3</v>
      </c>
      <c r="CC188" s="120">
        <v>1.0018200484871273E-2</v>
      </c>
      <c r="CD188" s="120">
        <v>1.4120238255892913E-2</v>
      </c>
      <c r="CF188" s="120">
        <v>0.22972405059107323</v>
      </c>
      <c r="CG188" s="120">
        <v>0.22027436112892987</v>
      </c>
      <c r="CH188" s="120">
        <v>0.21532027547475585</v>
      </c>
      <c r="CI188" s="120">
        <v>0.20256909330854028</v>
      </c>
      <c r="CJ188" s="120">
        <v>0.19740078936482153</v>
      </c>
      <c r="CK188" s="120">
        <v>0.19230504615694394</v>
      </c>
      <c r="CL188" s="120">
        <v>0.19311035654112194</v>
      </c>
      <c r="CM188" s="120">
        <v>0.18230151545773712</v>
      </c>
      <c r="CN188" s="120">
        <v>0.17613532937601195</v>
      </c>
      <c r="CO188" s="120">
        <v>0.16499641112284216</v>
      </c>
      <c r="CP188" s="120">
        <v>0.16743096312602798</v>
      </c>
      <c r="CQ188" s="120">
        <v>0.16751516431218488</v>
      </c>
      <c r="CR188" s="120">
        <v>0.17941656750720852</v>
      </c>
    </row>
    <row r="189" spans="38:96" ht="12.75" x14ac:dyDescent="0.2">
      <c r="AN189" t="s">
        <v>159</v>
      </c>
      <c r="AO189" s="140">
        <v>21.8</v>
      </c>
      <c r="AP189" s="140">
        <v>20.3</v>
      </c>
      <c r="AQ189" s="140">
        <v>19.8</v>
      </c>
      <c r="AR189" s="140">
        <v>19.5</v>
      </c>
      <c r="AS189" s="129">
        <f t="shared" si="127"/>
        <v>19.25</v>
      </c>
      <c r="AT189" s="140">
        <v>19</v>
      </c>
      <c r="AU189" s="140">
        <v>18.600000000000001</v>
      </c>
      <c r="AV189" s="140">
        <v>18</v>
      </c>
      <c r="AW189" s="140">
        <v>17.5</v>
      </c>
      <c r="AX189" s="140">
        <v>17.2</v>
      </c>
      <c r="AY189" s="140">
        <v>17</v>
      </c>
      <c r="AZ189" s="140">
        <v>17.3</v>
      </c>
      <c r="BA189" s="140">
        <v>18.600000000000001</v>
      </c>
      <c r="BC189" s="111">
        <f t="shared" si="128"/>
        <v>-0.30000000000000071</v>
      </c>
      <c r="BD189" s="111">
        <f t="shared" si="115"/>
        <v>-0.19999999999999929</v>
      </c>
      <c r="BE189" s="111">
        <f t="shared" si="116"/>
        <v>-0.19999999999999929</v>
      </c>
      <c r="BF189" s="111">
        <f t="shared" si="117"/>
        <v>-0.10000000000000142</v>
      </c>
      <c r="BG189" s="111">
        <f t="shared" si="118"/>
        <v>-5.0000000000000711E-2</v>
      </c>
      <c r="BH189" s="111">
        <f t="shared" si="119"/>
        <v>0</v>
      </c>
      <c r="BI189" s="111">
        <f t="shared" si="120"/>
        <v>0</v>
      </c>
      <c r="BJ189" s="111">
        <f t="shared" si="121"/>
        <v>0.19999999999999929</v>
      </c>
      <c r="BK189" s="111">
        <f t="shared" si="122"/>
        <v>0.19999999999999929</v>
      </c>
      <c r="BL189" s="111">
        <f t="shared" si="123"/>
        <v>0.30000000000000071</v>
      </c>
      <c r="BM189" s="111">
        <f t="shared" si="124"/>
        <v>0.39999999999999858</v>
      </c>
      <c r="BN189" s="111">
        <f t="shared" si="125"/>
        <v>0.30000000000000071</v>
      </c>
      <c r="BO189" s="111">
        <f t="shared" si="126"/>
        <v>0.60000000000000142</v>
      </c>
      <c r="BR189" s="120">
        <v>7.1465356263231495E-3</v>
      </c>
      <c r="BS189" s="120">
        <v>7.0201579867747409E-3</v>
      </c>
      <c r="BT189" s="120">
        <v>6.9898064863971234E-3</v>
      </c>
      <c r="BU189" s="120">
        <v>7.4013727588978723E-3</v>
      </c>
      <c r="BV189" s="120">
        <v>7.4119493981932277E-3</v>
      </c>
      <c r="BW189" s="120">
        <v>7.4150885504267417E-3</v>
      </c>
      <c r="BX189" s="120">
        <v>7.2292102087585432E-3</v>
      </c>
      <c r="BY189" s="120">
        <v>7.2263612976283375E-3</v>
      </c>
      <c r="BZ189" s="120">
        <v>7.1819108239520773E-3</v>
      </c>
      <c r="CA189" s="120">
        <v>7.5690775420770113E-3</v>
      </c>
      <c r="CB189" s="120">
        <v>7.6581626483021008E-3</v>
      </c>
      <c r="CC189" s="120">
        <v>8.8358683691871064E-3</v>
      </c>
      <c r="CD189" s="120">
        <v>1.2256212651098795E-2</v>
      </c>
      <c r="CF189" s="120">
        <v>0.21117736292765818</v>
      </c>
      <c r="CG189" s="120">
        <v>0.19814637214981734</v>
      </c>
      <c r="CH189" s="120">
        <v>0.19312469624712744</v>
      </c>
      <c r="CI189" s="120">
        <v>0.2009665226641508</v>
      </c>
      <c r="CJ189" s="120">
        <v>0.19733269046053281</v>
      </c>
      <c r="CK189" s="120">
        <v>0.19369254477208608</v>
      </c>
      <c r="CL189" s="120">
        <v>0.18184357456119679</v>
      </c>
      <c r="CM189" s="120">
        <v>0.17010724420958634</v>
      </c>
      <c r="CN189" s="120">
        <v>0.15921855130389395</v>
      </c>
      <c r="CO189" s="120">
        <v>0.15923352778840222</v>
      </c>
      <c r="CP189" s="120">
        <v>0.14631453676098138</v>
      </c>
      <c r="CQ189" s="120">
        <v>0.14477774870468155</v>
      </c>
      <c r="CR189" s="120">
        <v>0.15276848135665394</v>
      </c>
    </row>
    <row r="190" spans="38:96" ht="12.75" x14ac:dyDescent="0.2">
      <c r="AN190" t="s">
        <v>107</v>
      </c>
      <c r="AO190" s="140">
        <v>21.5</v>
      </c>
      <c r="AP190" s="140">
        <v>20.2</v>
      </c>
      <c r="AQ190" s="140">
        <v>19.8</v>
      </c>
      <c r="AR190" s="140">
        <v>19.399999999999999</v>
      </c>
      <c r="AS190" s="129">
        <f t="shared" si="127"/>
        <v>19.149999999999999</v>
      </c>
      <c r="AT190" s="140">
        <v>18.899999999999999</v>
      </c>
      <c r="AU190" s="140">
        <v>18.399999999999999</v>
      </c>
      <c r="AV190" s="140">
        <v>17.7</v>
      </c>
      <c r="AW190" s="140">
        <v>17.100000000000001</v>
      </c>
      <c r="AX190" s="140">
        <v>16.7</v>
      </c>
      <c r="AY190" s="140">
        <v>16.3</v>
      </c>
      <c r="AZ190" s="140">
        <v>16</v>
      </c>
      <c r="BA190" s="140">
        <v>16.5</v>
      </c>
      <c r="BC190" s="111">
        <f t="shared" si="128"/>
        <v>-0.19999999999999929</v>
      </c>
      <c r="BD190" s="111">
        <f t="shared" si="115"/>
        <v>-0.10000000000000142</v>
      </c>
      <c r="BE190" s="111">
        <f t="shared" si="116"/>
        <v>0</v>
      </c>
      <c r="BF190" s="111">
        <f t="shared" si="117"/>
        <v>0</v>
      </c>
      <c r="BG190" s="111">
        <f t="shared" si="118"/>
        <v>4.9999999999997158E-2</v>
      </c>
      <c r="BH190" s="111">
        <f t="shared" si="119"/>
        <v>9.9999999999997868E-2</v>
      </c>
      <c r="BI190" s="111">
        <f t="shared" si="120"/>
        <v>9.9999999999997868E-2</v>
      </c>
      <c r="BJ190" s="111">
        <f t="shared" si="121"/>
        <v>0.19999999999999929</v>
      </c>
      <c r="BK190" s="111">
        <f t="shared" si="122"/>
        <v>0.20000000000000284</v>
      </c>
      <c r="BL190" s="111">
        <f t="shared" si="123"/>
        <v>0.30000000000000071</v>
      </c>
      <c r="BM190" s="111">
        <f t="shared" si="124"/>
        <v>0.40000000000000036</v>
      </c>
      <c r="BN190" s="111">
        <f t="shared" si="125"/>
        <v>0.30000000000000071</v>
      </c>
      <c r="BO190" s="111">
        <f t="shared" si="126"/>
        <v>0.5</v>
      </c>
      <c r="BR190" s="120">
        <v>6.8475487563935808E-3</v>
      </c>
      <c r="BS190" s="120">
        <v>6.9997357253808457E-3</v>
      </c>
      <c r="BT190" s="120">
        <v>7.1824526035324304E-3</v>
      </c>
      <c r="BU190" s="120">
        <v>6.7458553666248844E-3</v>
      </c>
      <c r="BV190" s="120">
        <v>6.8153529734962439E-3</v>
      </c>
      <c r="BW190" s="120">
        <v>6.8817151821252386E-3</v>
      </c>
      <c r="BX190" s="120">
        <v>6.9626464270182084E-3</v>
      </c>
      <c r="BY190" s="120">
        <v>7.1466821599172397E-3</v>
      </c>
      <c r="BZ190" s="120">
        <v>7.3532513667022197E-3</v>
      </c>
      <c r="CA190" s="120">
        <v>7.3489204795749051E-3</v>
      </c>
      <c r="CB190" s="120">
        <v>8.022282282394072E-3</v>
      </c>
      <c r="CC190" s="120">
        <v>8.5391254309536875E-3</v>
      </c>
      <c r="CD190" s="120">
        <v>1.0570758761158336E-2</v>
      </c>
      <c r="CF190" s="120">
        <v>0.2048311741089954</v>
      </c>
      <c r="CG190" s="120">
        <v>0.20027348044329257</v>
      </c>
      <c r="CH190" s="120">
        <v>0.20135607236405473</v>
      </c>
      <c r="CI190" s="120">
        <v>0.1847501969722021</v>
      </c>
      <c r="CJ190" s="120">
        <v>0.18305490211760536</v>
      </c>
      <c r="CK190" s="120">
        <v>0.18138513951722313</v>
      </c>
      <c r="CL190" s="120">
        <v>0.1770467368678218</v>
      </c>
      <c r="CM190" s="120">
        <v>0.17009592455326231</v>
      </c>
      <c r="CN190" s="120">
        <v>0.16494726995487236</v>
      </c>
      <c r="CO190" s="120">
        <v>0.15606238788571059</v>
      </c>
      <c r="CP190" s="120">
        <v>0.15507178008860792</v>
      </c>
      <c r="CQ190" s="120">
        <v>0.14122351776883107</v>
      </c>
      <c r="CR190" s="120">
        <v>0.13269586665959296</v>
      </c>
    </row>
    <row r="191" spans="38:96" ht="12.75" x14ac:dyDescent="0.2">
      <c r="AN191" t="s">
        <v>108</v>
      </c>
      <c r="AO191" s="140">
        <v>21.1</v>
      </c>
      <c r="AP191" s="140">
        <v>20</v>
      </c>
      <c r="AQ191" s="140">
        <v>19.600000000000001</v>
      </c>
      <c r="AR191" s="140">
        <v>19.2</v>
      </c>
      <c r="AS191" s="129">
        <f t="shared" si="127"/>
        <v>18.95</v>
      </c>
      <c r="AT191" s="140">
        <v>18.7</v>
      </c>
      <c r="AU191" s="140">
        <v>18.2</v>
      </c>
      <c r="AV191" s="140">
        <v>17.399999999999999</v>
      </c>
      <c r="AW191" s="140">
        <v>16.8</v>
      </c>
      <c r="AX191" s="140">
        <v>16.3</v>
      </c>
      <c r="AY191" s="140">
        <v>15.7</v>
      </c>
      <c r="AZ191" s="140">
        <v>15.1</v>
      </c>
      <c r="BA191" s="140">
        <v>14.8</v>
      </c>
      <c r="BC191" s="111">
        <f t="shared" si="128"/>
        <v>0</v>
      </c>
      <c r="BD191" s="111">
        <f t="shared" si="115"/>
        <v>0.10000000000000142</v>
      </c>
      <c r="BE191" s="111">
        <f t="shared" si="116"/>
        <v>0.10000000000000142</v>
      </c>
      <c r="BF191" s="111">
        <f t="shared" si="117"/>
        <v>9.9999999999997868E-2</v>
      </c>
      <c r="BG191" s="111">
        <f t="shared" si="118"/>
        <v>0.14999999999999858</v>
      </c>
      <c r="BH191" s="111">
        <f t="shared" si="119"/>
        <v>0.19999999999999929</v>
      </c>
      <c r="BI191" s="111">
        <f t="shared" si="120"/>
        <v>0.19999999999999929</v>
      </c>
      <c r="BJ191" s="111">
        <f t="shared" si="121"/>
        <v>0.19999999999999929</v>
      </c>
      <c r="BK191" s="111">
        <f t="shared" si="122"/>
        <v>0.19999999999999929</v>
      </c>
      <c r="BL191" s="111">
        <f t="shared" si="123"/>
        <v>0.19999999999999929</v>
      </c>
      <c r="BM191" s="111">
        <f t="shared" si="124"/>
        <v>0.29999999999999893</v>
      </c>
      <c r="BN191" s="111">
        <f t="shared" si="125"/>
        <v>0.29999999999999893</v>
      </c>
      <c r="BO191" s="111">
        <f t="shared" si="126"/>
        <v>0.40000000000000036</v>
      </c>
      <c r="BR191" s="120">
        <v>6.4911739275489997E-3</v>
      </c>
      <c r="BS191" s="120">
        <v>6.4729392623619339E-3</v>
      </c>
      <c r="BT191" s="120">
        <v>6.3398146569160442E-3</v>
      </c>
      <c r="BU191" s="120">
        <v>6.6760779330649516E-3</v>
      </c>
      <c r="BV191" s="120">
        <v>6.698597484638808E-3</v>
      </c>
      <c r="BW191" s="120">
        <v>6.7150366969984821E-3</v>
      </c>
      <c r="BX191" s="120">
        <v>6.7635015506295271E-3</v>
      </c>
      <c r="BY191" s="120">
        <v>6.7557465671276044E-3</v>
      </c>
      <c r="BZ191" s="120">
        <v>6.9088595056680715E-3</v>
      </c>
      <c r="CA191" s="120">
        <v>7.1010025459539699E-3</v>
      </c>
      <c r="CB191" s="120">
        <v>7.1125883745465678E-3</v>
      </c>
      <c r="CC191" s="120">
        <v>8.1219826639760753E-3</v>
      </c>
      <c r="CD191" s="120">
        <v>1.0010094307474985E-2</v>
      </c>
      <c r="CF191" s="120">
        <v>0.20265713095787724</v>
      </c>
      <c r="CG191" s="120">
        <v>0.19294873655015229</v>
      </c>
      <c r="CH191" s="120">
        <v>0.18482723602042059</v>
      </c>
      <c r="CI191" s="120">
        <v>0.19074818163411272</v>
      </c>
      <c r="CJ191" s="120">
        <v>0.18759200762186118</v>
      </c>
      <c r="CK191" s="120">
        <v>0.18443889655216619</v>
      </c>
      <c r="CL191" s="120">
        <v>0.17898096781199765</v>
      </c>
      <c r="CM191" s="120">
        <v>0.16701961841133098</v>
      </c>
      <c r="CN191" s="120">
        <v>0.16080541859105102</v>
      </c>
      <c r="CO191" s="120">
        <v>0.15642569583159846</v>
      </c>
      <c r="CP191" s="120">
        <v>0.14215330684703043</v>
      </c>
      <c r="CQ191" s="120">
        <v>0.13869764677682833</v>
      </c>
      <c r="CR191" s="120">
        <v>0.12918854857008868</v>
      </c>
    </row>
    <row r="192" spans="38:96" ht="12.75" x14ac:dyDescent="0.2">
      <c r="AN192" t="s">
        <v>109</v>
      </c>
      <c r="AO192" s="140">
        <v>20.8</v>
      </c>
      <c r="AP192" s="140">
        <v>19.8</v>
      </c>
      <c r="AQ192" s="140">
        <v>19.399999999999999</v>
      </c>
      <c r="AR192" s="140">
        <v>19.100000000000001</v>
      </c>
      <c r="AS192" s="129">
        <f t="shared" si="127"/>
        <v>18.8</v>
      </c>
      <c r="AT192" s="140">
        <v>18.5</v>
      </c>
      <c r="AU192" s="140">
        <v>18.100000000000001</v>
      </c>
      <c r="AV192" s="140">
        <v>17.3</v>
      </c>
      <c r="AW192" s="140">
        <v>16.7</v>
      </c>
      <c r="AX192" s="140">
        <v>16.2</v>
      </c>
      <c r="AY192" s="140">
        <v>15.5</v>
      </c>
      <c r="AZ192" s="140">
        <v>14.7</v>
      </c>
      <c r="BA192" s="140">
        <v>14.1</v>
      </c>
      <c r="BC192" s="111">
        <f t="shared" si="128"/>
        <v>0.10000000000000142</v>
      </c>
      <c r="BD192" s="111">
        <f t="shared" si="115"/>
        <v>0.10000000000000142</v>
      </c>
      <c r="BE192" s="111">
        <f t="shared" si="116"/>
        <v>9.9999999999997868E-2</v>
      </c>
      <c r="BF192" s="111">
        <f t="shared" si="117"/>
        <v>0.10000000000000142</v>
      </c>
      <c r="BG192" s="111">
        <f t="shared" si="118"/>
        <v>0.10000000000000142</v>
      </c>
      <c r="BH192" s="111">
        <f t="shared" si="119"/>
        <v>0.10000000000000142</v>
      </c>
      <c r="BI192" s="111">
        <f t="shared" si="120"/>
        <v>0.20000000000000284</v>
      </c>
      <c r="BJ192" s="111">
        <f t="shared" si="121"/>
        <v>0.19999999999999929</v>
      </c>
      <c r="BK192" s="111">
        <f t="shared" si="122"/>
        <v>0.30000000000000071</v>
      </c>
      <c r="BL192" s="111">
        <f t="shared" si="123"/>
        <v>0.29999999999999893</v>
      </c>
      <c r="BM192" s="111">
        <f t="shared" si="124"/>
        <v>0.30000000000000071</v>
      </c>
      <c r="BN192" s="111">
        <f t="shared" si="125"/>
        <v>0.29999999999999893</v>
      </c>
      <c r="BO192" s="111">
        <f t="shared" si="126"/>
        <v>0.5</v>
      </c>
      <c r="BR192" s="120">
        <v>6.1494778194132035E-3</v>
      </c>
      <c r="BS192" s="120">
        <v>6.2533865637986723E-3</v>
      </c>
      <c r="BT192" s="120">
        <v>6.3673393892678546E-3</v>
      </c>
      <c r="BU192" s="120">
        <v>6.3136078110190086E-3</v>
      </c>
      <c r="BV192" s="120">
        <v>6.2621734487163993E-3</v>
      </c>
      <c r="BW192" s="120">
        <v>6.2009976061428353E-3</v>
      </c>
      <c r="BX192" s="120">
        <v>6.5056287756813805E-3</v>
      </c>
      <c r="BY192" s="120">
        <v>6.7803827356708469E-3</v>
      </c>
      <c r="BZ192" s="120">
        <v>6.970895972899252E-3</v>
      </c>
      <c r="CA192" s="120">
        <v>7.1318697957397873E-3</v>
      </c>
      <c r="CB192" s="120">
        <v>7.6192252503725503E-3</v>
      </c>
      <c r="CC192" s="120">
        <v>7.9149634330558279E-3</v>
      </c>
      <c r="CD192" s="120">
        <v>9.9244719786648287E-3</v>
      </c>
      <c r="CF192" s="120">
        <v>0.19830470551826651</v>
      </c>
      <c r="CG192" s="120">
        <v>0.1923786705644849</v>
      </c>
      <c r="CH192" s="120">
        <v>0.19155149925606119</v>
      </c>
      <c r="CI192" s="120">
        <v>0.18622554545503531</v>
      </c>
      <c r="CJ192" s="120">
        <v>0.18079746718537062</v>
      </c>
      <c r="CK192" s="120">
        <v>0.17535761371449562</v>
      </c>
      <c r="CL192" s="120">
        <v>0.177549977460284</v>
      </c>
      <c r="CM192" s="120">
        <v>0.17281103927872854</v>
      </c>
      <c r="CN192" s="120">
        <v>0.16709613016347752</v>
      </c>
      <c r="CO192" s="120">
        <v>0.16173809474604961</v>
      </c>
      <c r="CP192" s="120">
        <v>0.15653687262625168</v>
      </c>
      <c r="CQ192" s="120">
        <v>0.13859080360776199</v>
      </c>
      <c r="CR192" s="120">
        <v>0.13118590189580126</v>
      </c>
    </row>
    <row r="193" spans="38:96" ht="12.75" x14ac:dyDescent="0.2">
      <c r="AN193" t="s">
        <v>110</v>
      </c>
      <c r="AO193" s="140">
        <v>20.5</v>
      </c>
      <c r="AP193" s="140">
        <v>19.600000000000001</v>
      </c>
      <c r="AQ193" s="140">
        <v>19.3</v>
      </c>
      <c r="AR193" s="140">
        <v>18.899999999999999</v>
      </c>
      <c r="AS193" s="129">
        <f t="shared" si="127"/>
        <v>18.649999999999999</v>
      </c>
      <c r="AT193" s="140">
        <v>18.399999999999999</v>
      </c>
      <c r="AU193" s="140">
        <v>17.899999999999999</v>
      </c>
      <c r="AV193" s="140">
        <v>17.100000000000001</v>
      </c>
      <c r="AW193" s="140">
        <v>16.5</v>
      </c>
      <c r="AX193" s="140">
        <v>16</v>
      </c>
      <c r="AY193" s="140">
        <v>15.3</v>
      </c>
      <c r="AZ193" s="140">
        <v>14.4</v>
      </c>
      <c r="BA193" s="140">
        <v>13.6</v>
      </c>
      <c r="BC193" s="111">
        <f t="shared" si="128"/>
        <v>0.10000000000000142</v>
      </c>
      <c r="BD193" s="111">
        <f t="shared" si="115"/>
        <v>0.10000000000000142</v>
      </c>
      <c r="BE193" s="111">
        <f t="shared" si="116"/>
        <v>0.19999999999999929</v>
      </c>
      <c r="BF193" s="111">
        <f t="shared" si="117"/>
        <v>9.9999999999997868E-2</v>
      </c>
      <c r="BG193" s="111">
        <f t="shared" si="118"/>
        <v>0.14999999999999858</v>
      </c>
      <c r="BH193" s="111">
        <f t="shared" si="119"/>
        <v>0.19999999999999929</v>
      </c>
      <c r="BI193" s="111">
        <f t="shared" si="120"/>
        <v>9.9999999999997868E-2</v>
      </c>
      <c r="BJ193" s="111">
        <f t="shared" si="121"/>
        <v>0.20000000000000284</v>
      </c>
      <c r="BK193" s="111">
        <f t="shared" si="122"/>
        <v>0.19999999999999929</v>
      </c>
      <c r="BL193" s="111">
        <f t="shared" si="123"/>
        <v>0.19999999999999929</v>
      </c>
      <c r="BM193" s="111">
        <f t="shared" si="124"/>
        <v>0.30000000000000071</v>
      </c>
      <c r="BN193" s="111">
        <f t="shared" si="125"/>
        <v>0.20000000000000107</v>
      </c>
      <c r="BO193" s="111">
        <f t="shared" si="126"/>
        <v>0.40000000000000036</v>
      </c>
      <c r="BR193" s="120">
        <v>5.832368724086991E-3</v>
      </c>
      <c r="BS193" s="120">
        <v>5.9250871111064347E-3</v>
      </c>
      <c r="BT193" s="120">
        <v>6.0901555263480987E-3</v>
      </c>
      <c r="BU193" s="120">
        <v>5.9336879739904742E-3</v>
      </c>
      <c r="BV193" s="120">
        <v>6.1487910821276014E-3</v>
      </c>
      <c r="BW193" s="120">
        <v>6.3699272280673827E-3</v>
      </c>
      <c r="BX193" s="120">
        <v>6.0080633447682297E-3</v>
      </c>
      <c r="BY193" s="120">
        <v>6.0259230318566509E-3</v>
      </c>
      <c r="BZ193" s="120">
        <v>6.1588995214788772E-3</v>
      </c>
      <c r="CA193" s="120">
        <v>6.3216963425059957E-3</v>
      </c>
      <c r="CB193" s="120">
        <v>6.5981522957515044E-3</v>
      </c>
      <c r="CC193" s="120">
        <v>7.456593844489475E-3</v>
      </c>
      <c r="CD193" s="120">
        <v>9.0556525484411163E-3</v>
      </c>
      <c r="CF193" s="120">
        <v>0.19195271200564781</v>
      </c>
      <c r="CG193" s="120">
        <v>0.18616734485137079</v>
      </c>
      <c r="CH193" s="120">
        <v>0.18768216622591327</v>
      </c>
      <c r="CI193" s="120">
        <v>0.17813689841370059</v>
      </c>
      <c r="CJ193" s="120">
        <v>0.18118759362971915</v>
      </c>
      <c r="CK193" s="120">
        <v>0.18434904761035198</v>
      </c>
      <c r="CL193" s="120">
        <v>0.16672025876952959</v>
      </c>
      <c r="CM193" s="120">
        <v>0.1560384206187328</v>
      </c>
      <c r="CN193" s="120">
        <v>0.14994300418665105</v>
      </c>
      <c r="CO193" s="120">
        <v>0.14549708832650371</v>
      </c>
      <c r="CP193" s="120">
        <v>0.13778767821086152</v>
      </c>
      <c r="CQ193" s="120">
        <v>0.13252795167721332</v>
      </c>
      <c r="CR193" s="120">
        <v>0.12115169468495342</v>
      </c>
    </row>
    <row r="195" spans="38:96" x14ac:dyDescent="0.2">
      <c r="AO195">
        <v>-0.5</v>
      </c>
      <c r="AP195">
        <v>-0.25</v>
      </c>
      <c r="AQ195">
        <v>-0.13</v>
      </c>
      <c r="AR195">
        <v>0</v>
      </c>
      <c r="AS195">
        <v>0.125</v>
      </c>
      <c r="AT195" s="126">
        <v>0.25</v>
      </c>
      <c r="AU195" s="126">
        <v>0.5</v>
      </c>
      <c r="AV195" s="126">
        <v>1</v>
      </c>
      <c r="AW195" s="126">
        <v>1.5</v>
      </c>
      <c r="AX195" s="126">
        <v>2</v>
      </c>
      <c r="AY195" s="126">
        <v>3</v>
      </c>
      <c r="AZ195" s="126">
        <v>5</v>
      </c>
      <c r="BA195" s="126">
        <v>10</v>
      </c>
    </row>
    <row r="196" spans="38:96" x14ac:dyDescent="0.2">
      <c r="AO196">
        <v>-0.5</v>
      </c>
      <c r="AP196">
        <v>-0.25</v>
      </c>
      <c r="AQ196">
        <v>-0.13</v>
      </c>
      <c r="AR196">
        <v>0</v>
      </c>
      <c r="AS196">
        <v>0.125</v>
      </c>
      <c r="AT196" s="126">
        <v>0.25</v>
      </c>
      <c r="AU196" s="126">
        <v>0.5</v>
      </c>
      <c r="AV196" s="126">
        <v>1</v>
      </c>
      <c r="AW196" s="126">
        <v>1.5</v>
      </c>
      <c r="AX196" s="126">
        <v>2</v>
      </c>
      <c r="AY196" s="126">
        <v>3</v>
      </c>
      <c r="AZ196" s="126">
        <v>5</v>
      </c>
      <c r="BA196" s="126">
        <v>10</v>
      </c>
    </row>
    <row r="197" spans="38:96" ht="12.75" x14ac:dyDescent="0.2">
      <c r="AL197" s="105" t="s">
        <v>288</v>
      </c>
      <c r="AN197" t="s">
        <v>25</v>
      </c>
      <c r="AO197" s="140">
        <v>9.1999999999999993</v>
      </c>
      <c r="AP197" s="140" t="e">
        <v>#REF!</v>
      </c>
      <c r="AQ197" s="140">
        <v>8.1999999999999993</v>
      </c>
      <c r="AR197" s="140">
        <v>9.8000000000000007</v>
      </c>
      <c r="AS197" s="129" t="e">
        <f>(AR197+AT197)/2</f>
        <v>#REF!</v>
      </c>
      <c r="AT197" s="140" t="e">
        <v>#REF!</v>
      </c>
      <c r="AU197" s="140">
        <v>15.3</v>
      </c>
      <c r="AV197" s="140">
        <v>19.8</v>
      </c>
      <c r="AW197" s="140">
        <v>23.5</v>
      </c>
      <c r="AX197" s="140">
        <v>26.6</v>
      </c>
      <c r="AY197" s="140">
        <v>31.8</v>
      </c>
      <c r="AZ197" s="140">
        <v>39.5</v>
      </c>
      <c r="BA197" s="140">
        <v>51.4</v>
      </c>
      <c r="BC197" s="111">
        <f>AO197-AO180</f>
        <v>-2.1000000000000014</v>
      </c>
      <c r="BD197" s="111" t="e">
        <f t="shared" ref="BD197:BD211" si="129">AP197-AP180</f>
        <v>#REF!</v>
      </c>
      <c r="BE197" s="111">
        <f t="shared" ref="BE197:BE211" si="130">AQ197-AQ180</f>
        <v>-2</v>
      </c>
      <c r="BF197" s="111">
        <f t="shared" ref="BF197:BF211" si="131">AR197-AR180</f>
        <v>-1.5</v>
      </c>
      <c r="BG197" s="111" t="e">
        <f t="shared" ref="BG197:BG211" si="132">AS197-AS180</f>
        <v>#REF!</v>
      </c>
      <c r="BH197" s="111" t="e">
        <f t="shared" ref="BH197:BH211" si="133">AT197-AT180</f>
        <v>#REF!</v>
      </c>
      <c r="BI197" s="111">
        <f t="shared" ref="BI197:BI211" si="134">AU197-AU180</f>
        <v>-0.39999999999999858</v>
      </c>
      <c r="BJ197" s="111">
        <f t="shared" ref="BJ197:BJ211" si="135">AV197-AV180</f>
        <v>0.60000000000000142</v>
      </c>
      <c r="BK197" s="111">
        <f t="shared" ref="BK197:BK211" si="136">AW197-AW180</f>
        <v>1.3000000000000007</v>
      </c>
      <c r="BL197" s="111">
        <f t="shared" ref="BL197:BL211" si="137">AX197-AX180</f>
        <v>1.9000000000000021</v>
      </c>
      <c r="BM197" s="111">
        <f t="shared" ref="BM197:BM211" si="138">AY197-AY180</f>
        <v>3</v>
      </c>
      <c r="BN197" s="111">
        <f t="shared" ref="BN197:BN211" si="139">AZ197-AZ180</f>
        <v>4.8999999999999986</v>
      </c>
      <c r="BO197" s="111">
        <f t="shared" ref="BO197:BO211" si="140">BA197-BA180</f>
        <v>8</v>
      </c>
    </row>
    <row r="198" spans="38:96" ht="12.75" x14ac:dyDescent="0.2">
      <c r="AN198" t="s">
        <v>157</v>
      </c>
      <c r="AO198" s="140">
        <v>11.1</v>
      </c>
      <c r="AP198" s="140" t="e">
        <v>#REF!</v>
      </c>
      <c r="AQ198" s="140">
        <v>10.3</v>
      </c>
      <c r="AR198" s="140">
        <v>11.5</v>
      </c>
      <c r="AS198" s="129">
        <f t="shared" ref="AS198:AS211" si="141">(AR198+AT198)/2</f>
        <v>12.65</v>
      </c>
      <c r="AT198" s="140">
        <v>13.8</v>
      </c>
      <c r="AU198" s="140">
        <v>15.9</v>
      </c>
      <c r="AV198" s="140">
        <v>19.399999999999999</v>
      </c>
      <c r="AW198" s="140" t="e">
        <v>#REF!</v>
      </c>
      <c r="AX198" s="140" t="e">
        <v>#REF!</v>
      </c>
      <c r="AY198" s="140" t="e">
        <v>#REF!</v>
      </c>
      <c r="AZ198" s="140" t="e">
        <v>#REF!</v>
      </c>
      <c r="BA198" s="140" t="e">
        <v>#REF!</v>
      </c>
      <c r="BC198" s="111">
        <f t="shared" ref="BC198:BC211" si="142">AO198-AO181</f>
        <v>-3.4000000000000004</v>
      </c>
      <c r="BD198" s="111" t="e">
        <f t="shared" si="129"/>
        <v>#REF!</v>
      </c>
      <c r="BE198" s="111">
        <f t="shared" si="130"/>
        <v>-1.2999999999999989</v>
      </c>
      <c r="BF198" s="111">
        <f t="shared" si="131"/>
        <v>-0.40000000000000036</v>
      </c>
      <c r="BG198" s="111">
        <f t="shared" si="132"/>
        <v>0.15000000000000036</v>
      </c>
      <c r="BH198" s="111">
        <f t="shared" si="133"/>
        <v>0.70000000000000107</v>
      </c>
      <c r="BI198" s="111">
        <f t="shared" si="134"/>
        <v>1.5</v>
      </c>
      <c r="BJ198" s="111">
        <f t="shared" si="135"/>
        <v>2.5999999999999979</v>
      </c>
      <c r="BK198" s="111" t="e">
        <f t="shared" si="136"/>
        <v>#REF!</v>
      </c>
      <c r="BL198" s="111" t="e">
        <f t="shared" si="137"/>
        <v>#REF!</v>
      </c>
      <c r="BM198" s="111" t="e">
        <f t="shared" si="138"/>
        <v>#REF!</v>
      </c>
      <c r="BN198" s="111" t="e">
        <f t="shared" si="139"/>
        <v>#REF!</v>
      </c>
      <c r="BO198" s="111" t="e">
        <f t="shared" si="140"/>
        <v>#REF!</v>
      </c>
    </row>
    <row r="199" spans="38:96" ht="12.75" x14ac:dyDescent="0.2">
      <c r="AN199" t="s">
        <v>99</v>
      </c>
      <c r="AO199" s="140">
        <v>14.3</v>
      </c>
      <c r="AP199" s="140">
        <v>12</v>
      </c>
      <c r="AQ199" s="140">
        <v>11.6</v>
      </c>
      <c r="AR199" s="140">
        <v>11.9</v>
      </c>
      <c r="AS199" s="129">
        <f t="shared" si="141"/>
        <v>12.55</v>
      </c>
      <c r="AT199" s="140">
        <v>13.2</v>
      </c>
      <c r="AU199" s="140">
        <v>14.5</v>
      </c>
      <c r="AV199" s="140">
        <v>17</v>
      </c>
      <c r="AW199" s="140">
        <v>19.100000000000001</v>
      </c>
      <c r="AX199" s="140">
        <v>21</v>
      </c>
      <c r="AY199" s="140">
        <v>23.9</v>
      </c>
      <c r="AZ199" s="140">
        <v>28.2</v>
      </c>
      <c r="BA199" s="140">
        <v>34.299999999999997</v>
      </c>
      <c r="BC199" s="111">
        <f t="shared" si="142"/>
        <v>-2.3999999999999986</v>
      </c>
      <c r="BD199" s="111">
        <f t="shared" si="129"/>
        <v>-2.4000000000000004</v>
      </c>
      <c r="BE199" s="111">
        <f t="shared" si="130"/>
        <v>-2.4000000000000004</v>
      </c>
      <c r="BF199" s="111">
        <f t="shared" si="131"/>
        <v>-2.1999999999999993</v>
      </c>
      <c r="BG199" s="111">
        <f t="shared" si="132"/>
        <v>-1.8499999999999979</v>
      </c>
      <c r="BH199" s="111">
        <f t="shared" si="133"/>
        <v>-1.5</v>
      </c>
      <c r="BI199" s="111">
        <f t="shared" si="134"/>
        <v>-1</v>
      </c>
      <c r="BJ199" s="111">
        <f t="shared" si="135"/>
        <v>0</v>
      </c>
      <c r="BK199" s="111">
        <f t="shared" si="136"/>
        <v>0.70000000000000284</v>
      </c>
      <c r="BL199" s="111">
        <f t="shared" si="137"/>
        <v>1.3999999999999986</v>
      </c>
      <c r="BM199" s="111">
        <f t="shared" si="138"/>
        <v>2.0999999999999979</v>
      </c>
      <c r="BN199" s="111">
        <f t="shared" si="139"/>
        <v>3.1999999999999993</v>
      </c>
      <c r="BO199" s="111">
        <f t="shared" si="140"/>
        <v>4.5999999999999979</v>
      </c>
    </row>
    <row r="200" spans="38:96" ht="12.75" x14ac:dyDescent="0.2">
      <c r="AN200" t="s">
        <v>101</v>
      </c>
      <c r="AO200" s="140">
        <v>16.5</v>
      </c>
      <c r="AP200" s="140">
        <v>14.4</v>
      </c>
      <c r="AQ200" s="140">
        <v>14</v>
      </c>
      <c r="AR200" s="140">
        <v>14.1</v>
      </c>
      <c r="AS200" s="129">
        <f t="shared" si="141"/>
        <v>14.45</v>
      </c>
      <c r="AT200" s="140">
        <v>14.8</v>
      </c>
      <c r="AU200" s="140">
        <v>15.6</v>
      </c>
      <c r="AV200" s="140">
        <v>17.100000000000001</v>
      </c>
      <c r="AW200" s="140">
        <v>18.5</v>
      </c>
      <c r="AX200" s="140">
        <v>19.8</v>
      </c>
      <c r="AY200" s="140">
        <v>22</v>
      </c>
      <c r="AZ200" s="140">
        <v>25.2</v>
      </c>
      <c r="BA200" s="140">
        <v>29.8</v>
      </c>
      <c r="BC200" s="111">
        <f t="shared" si="142"/>
        <v>-2</v>
      </c>
      <c r="BD200" s="111">
        <f t="shared" si="129"/>
        <v>-1.9999999999999982</v>
      </c>
      <c r="BE200" s="111">
        <f t="shared" si="130"/>
        <v>-1.9000000000000004</v>
      </c>
      <c r="BF200" s="111">
        <f t="shared" si="131"/>
        <v>-1.8000000000000007</v>
      </c>
      <c r="BG200" s="111">
        <f t="shared" si="132"/>
        <v>-1.6000000000000014</v>
      </c>
      <c r="BH200" s="111">
        <f t="shared" si="133"/>
        <v>-1.3999999999999986</v>
      </c>
      <c r="BI200" s="111">
        <f t="shared" si="134"/>
        <v>-1.0999999999999996</v>
      </c>
      <c r="BJ200" s="111">
        <f t="shared" si="135"/>
        <v>-0.5</v>
      </c>
      <c r="BK200" s="111">
        <f t="shared" si="136"/>
        <v>0.10000000000000142</v>
      </c>
      <c r="BL200" s="111">
        <f t="shared" si="137"/>
        <v>0.5</v>
      </c>
      <c r="BM200" s="111">
        <f t="shared" si="138"/>
        <v>1</v>
      </c>
      <c r="BN200" s="111">
        <f t="shared" si="139"/>
        <v>1.6999999999999993</v>
      </c>
      <c r="BO200" s="111">
        <f t="shared" si="140"/>
        <v>2.6000000000000014</v>
      </c>
    </row>
    <row r="201" spans="38:96" ht="12.75" x14ac:dyDescent="0.2">
      <c r="AN201" t="s">
        <v>102</v>
      </c>
      <c r="AO201" s="140">
        <v>18.399999999999999</v>
      </c>
      <c r="AP201" s="140">
        <v>16.399999999999999</v>
      </c>
      <c r="AQ201" s="140">
        <v>15.9</v>
      </c>
      <c r="AR201" s="140">
        <v>15.9</v>
      </c>
      <c r="AS201" s="129">
        <f t="shared" si="141"/>
        <v>16.100000000000001</v>
      </c>
      <c r="AT201" s="140">
        <v>16.3</v>
      </c>
      <c r="AU201" s="140">
        <v>16.8</v>
      </c>
      <c r="AV201" s="140">
        <v>17.7</v>
      </c>
      <c r="AW201" s="140">
        <v>18.600000000000001</v>
      </c>
      <c r="AX201" s="140">
        <v>19.5</v>
      </c>
      <c r="AY201" s="140">
        <v>21.1</v>
      </c>
      <c r="AZ201" s="140">
        <v>23.6</v>
      </c>
      <c r="BA201" s="140">
        <v>27.4</v>
      </c>
      <c r="BC201" s="111">
        <f t="shared" si="142"/>
        <v>-1.4000000000000021</v>
      </c>
      <c r="BD201" s="111">
        <f t="shared" si="129"/>
        <v>-1.4000000000000021</v>
      </c>
      <c r="BE201" s="111">
        <f t="shared" si="130"/>
        <v>-1.4000000000000004</v>
      </c>
      <c r="BF201" s="111">
        <f t="shared" si="131"/>
        <v>-1.2999999999999989</v>
      </c>
      <c r="BG201" s="111">
        <f t="shared" si="132"/>
        <v>-1.1499999999999986</v>
      </c>
      <c r="BH201" s="111">
        <f t="shared" si="133"/>
        <v>-1</v>
      </c>
      <c r="BI201" s="111">
        <f t="shared" si="134"/>
        <v>-0.69999999999999929</v>
      </c>
      <c r="BJ201" s="111">
        <f t="shared" si="135"/>
        <v>-0.19999999999999929</v>
      </c>
      <c r="BK201" s="111">
        <f t="shared" si="136"/>
        <v>0.20000000000000284</v>
      </c>
      <c r="BL201" s="111">
        <f t="shared" si="137"/>
        <v>0.5</v>
      </c>
      <c r="BM201" s="111">
        <f t="shared" si="138"/>
        <v>0.80000000000000071</v>
      </c>
      <c r="BN201" s="111">
        <f t="shared" si="139"/>
        <v>1.2000000000000028</v>
      </c>
      <c r="BO201" s="111">
        <f t="shared" si="140"/>
        <v>1.5999999999999979</v>
      </c>
    </row>
    <row r="202" spans="38:96" ht="12.75" x14ac:dyDescent="0.2">
      <c r="AN202" t="s">
        <v>103</v>
      </c>
      <c r="AO202" s="140">
        <v>19.7</v>
      </c>
      <c r="AP202" s="140">
        <v>17.8</v>
      </c>
      <c r="AQ202" s="140">
        <v>17.3</v>
      </c>
      <c r="AR202" s="140">
        <v>17.2</v>
      </c>
      <c r="AS202" s="129">
        <f t="shared" si="141"/>
        <v>17.25</v>
      </c>
      <c r="AT202" s="140">
        <v>17.3</v>
      </c>
      <c r="AU202" s="140">
        <v>17.5</v>
      </c>
      <c r="AV202" s="140">
        <v>18</v>
      </c>
      <c r="AW202" s="140">
        <v>18.5</v>
      </c>
      <c r="AX202" s="140">
        <v>19.100000000000001</v>
      </c>
      <c r="AY202" s="140">
        <v>20.3</v>
      </c>
      <c r="AZ202" s="140">
        <v>22.5</v>
      </c>
      <c r="BA202" s="140">
        <v>25.8</v>
      </c>
      <c r="BC202" s="111">
        <f t="shared" si="142"/>
        <v>-1</v>
      </c>
      <c r="BD202" s="111">
        <f t="shared" si="129"/>
        <v>-1</v>
      </c>
      <c r="BE202" s="111">
        <f t="shared" si="130"/>
        <v>-1</v>
      </c>
      <c r="BF202" s="111">
        <f t="shared" si="131"/>
        <v>-0.90000000000000213</v>
      </c>
      <c r="BG202" s="111">
        <f t="shared" si="132"/>
        <v>-0.80000000000000071</v>
      </c>
      <c r="BH202" s="111">
        <f t="shared" si="133"/>
        <v>-0.69999999999999929</v>
      </c>
      <c r="BI202" s="111">
        <f t="shared" si="134"/>
        <v>-0.5</v>
      </c>
      <c r="BJ202" s="111">
        <f t="shared" si="135"/>
        <v>-0.10000000000000142</v>
      </c>
      <c r="BK202" s="111">
        <f t="shared" si="136"/>
        <v>0.19999999999999929</v>
      </c>
      <c r="BL202" s="111">
        <f t="shared" si="137"/>
        <v>0.5</v>
      </c>
      <c r="BM202" s="111">
        <f t="shared" si="138"/>
        <v>0.80000000000000071</v>
      </c>
      <c r="BN202" s="111">
        <f t="shared" si="139"/>
        <v>1.1999999999999993</v>
      </c>
      <c r="BO202" s="111">
        <f t="shared" si="140"/>
        <v>1.6000000000000014</v>
      </c>
    </row>
    <row r="203" spans="38:96" ht="12.75" x14ac:dyDescent="0.2">
      <c r="AN203" t="s">
        <v>104</v>
      </c>
      <c r="AO203" s="140">
        <v>20.6</v>
      </c>
      <c r="AP203" s="140" t="e">
        <v>#REF!</v>
      </c>
      <c r="AQ203" s="140">
        <v>18.2</v>
      </c>
      <c r="AR203" s="140">
        <v>18</v>
      </c>
      <c r="AS203" s="129">
        <f t="shared" si="141"/>
        <v>18</v>
      </c>
      <c r="AT203" s="140">
        <v>18</v>
      </c>
      <c r="AU203" s="140">
        <v>18</v>
      </c>
      <c r="AV203" s="140">
        <v>18.100000000000001</v>
      </c>
      <c r="AW203" s="140">
        <v>18.3</v>
      </c>
      <c r="AX203" s="140">
        <v>18.600000000000001</v>
      </c>
      <c r="AY203" s="140">
        <v>19.5</v>
      </c>
      <c r="AZ203" s="140">
        <v>21.2</v>
      </c>
      <c r="BA203" s="140">
        <v>24.2</v>
      </c>
      <c r="BC203" s="111">
        <f t="shared" si="142"/>
        <v>-0.69999999999999929</v>
      </c>
      <c r="BD203" s="111" t="e">
        <f t="shared" si="129"/>
        <v>#REF!</v>
      </c>
      <c r="BE203" s="111">
        <f t="shared" si="130"/>
        <v>-0.80000000000000071</v>
      </c>
      <c r="BF203" s="111">
        <f t="shared" si="131"/>
        <v>-0.69999999999999929</v>
      </c>
      <c r="BG203" s="111">
        <f t="shared" si="132"/>
        <v>-0.60000000000000142</v>
      </c>
      <c r="BH203" s="111">
        <f t="shared" si="133"/>
        <v>-0.5</v>
      </c>
      <c r="BI203" s="111">
        <f t="shared" si="134"/>
        <v>-0.39999999999999858</v>
      </c>
      <c r="BJ203" s="111">
        <f t="shared" si="135"/>
        <v>-9.9999999999997868E-2</v>
      </c>
      <c r="BK203" s="111">
        <f t="shared" si="136"/>
        <v>0.10000000000000142</v>
      </c>
      <c r="BL203" s="111">
        <f t="shared" si="137"/>
        <v>0.30000000000000071</v>
      </c>
      <c r="BM203" s="111">
        <f t="shared" si="138"/>
        <v>0.60000000000000142</v>
      </c>
      <c r="BN203" s="111">
        <f t="shared" si="139"/>
        <v>1</v>
      </c>
      <c r="BO203" s="111">
        <f t="shared" si="140"/>
        <v>1.3999999999999986</v>
      </c>
    </row>
    <row r="204" spans="38:96" ht="12.75" x14ac:dyDescent="0.2">
      <c r="AN204" t="s">
        <v>105</v>
      </c>
      <c r="AO204" s="140" t="e">
        <v>#REF!</v>
      </c>
      <c r="AP204" s="140">
        <v>19.399999999999999</v>
      </c>
      <c r="AQ204" s="140">
        <v>18.899999999999999</v>
      </c>
      <c r="AR204" s="140">
        <v>18.600000000000001</v>
      </c>
      <c r="AS204" s="129">
        <f t="shared" si="141"/>
        <v>18.5</v>
      </c>
      <c r="AT204" s="140">
        <v>18.399999999999999</v>
      </c>
      <c r="AU204" s="140">
        <v>18.3</v>
      </c>
      <c r="AV204" s="140">
        <v>18.2</v>
      </c>
      <c r="AW204" s="140">
        <v>18.100000000000001</v>
      </c>
      <c r="AX204" s="140">
        <v>18.3</v>
      </c>
      <c r="AY204" s="140">
        <v>18.8</v>
      </c>
      <c r="AZ204" s="140">
        <v>20.2</v>
      </c>
      <c r="BA204" s="140">
        <v>22.7</v>
      </c>
      <c r="BC204" s="111" t="e">
        <f t="shared" si="142"/>
        <v>#REF!</v>
      </c>
      <c r="BD204" s="111">
        <f t="shared" si="129"/>
        <v>-0.5</v>
      </c>
      <c r="BE204" s="111">
        <f t="shared" si="130"/>
        <v>-0.5</v>
      </c>
      <c r="BF204" s="111">
        <f t="shared" si="131"/>
        <v>-0.5</v>
      </c>
      <c r="BG204" s="111">
        <f t="shared" si="132"/>
        <v>-0.45000000000000284</v>
      </c>
      <c r="BH204" s="111">
        <f t="shared" si="133"/>
        <v>-0.40000000000000213</v>
      </c>
      <c r="BI204" s="111">
        <f t="shared" si="134"/>
        <v>-0.19999999999999929</v>
      </c>
      <c r="BJ204" s="111">
        <f t="shared" si="135"/>
        <v>0</v>
      </c>
      <c r="BK204" s="111">
        <f t="shared" si="136"/>
        <v>0.10000000000000142</v>
      </c>
      <c r="BL204" s="111">
        <f t="shared" si="137"/>
        <v>0.30000000000000071</v>
      </c>
      <c r="BM204" s="111">
        <f t="shared" si="138"/>
        <v>0.5</v>
      </c>
      <c r="BN204" s="111">
        <f t="shared" si="139"/>
        <v>0.80000000000000071</v>
      </c>
      <c r="BO204" s="111">
        <f t="shared" si="140"/>
        <v>1</v>
      </c>
    </row>
    <row r="205" spans="38:96" ht="12.75" x14ac:dyDescent="0.2">
      <c r="AN205" t="s">
        <v>106</v>
      </c>
      <c r="AO205" s="140">
        <v>21.5</v>
      </c>
      <c r="AP205" s="140">
        <v>19.8</v>
      </c>
      <c r="AQ205" s="140">
        <v>19.3</v>
      </c>
      <c r="AR205" s="140">
        <v>19</v>
      </c>
      <c r="AS205" s="129">
        <f t="shared" si="141"/>
        <v>18.850000000000001</v>
      </c>
      <c r="AT205" s="140">
        <v>18.7</v>
      </c>
      <c r="AU205" s="140">
        <v>18.5</v>
      </c>
      <c r="AV205" s="140">
        <v>18.100000000000001</v>
      </c>
      <c r="AW205" s="140">
        <v>17.899999999999999</v>
      </c>
      <c r="AX205" s="140">
        <v>17.899999999999999</v>
      </c>
      <c r="AY205" s="140">
        <v>18.2</v>
      </c>
      <c r="AZ205" s="140">
        <v>19.3</v>
      </c>
      <c r="BA205" s="140">
        <v>21.6</v>
      </c>
      <c r="BC205" s="111">
        <f t="shared" si="142"/>
        <v>-0.30000000000000071</v>
      </c>
      <c r="BD205" s="111">
        <f t="shared" si="129"/>
        <v>-0.39999999999999858</v>
      </c>
      <c r="BE205" s="111">
        <f t="shared" si="130"/>
        <v>-0.39999999999999858</v>
      </c>
      <c r="BF205" s="111">
        <f t="shared" si="131"/>
        <v>-0.30000000000000071</v>
      </c>
      <c r="BG205" s="111">
        <f t="shared" si="132"/>
        <v>-0.25</v>
      </c>
      <c r="BH205" s="111">
        <f t="shared" si="133"/>
        <v>-0.19999999999999929</v>
      </c>
      <c r="BI205" s="111">
        <f t="shared" si="134"/>
        <v>-0.10000000000000142</v>
      </c>
      <c r="BJ205" s="111">
        <f t="shared" si="135"/>
        <v>-9.9999999999997868E-2</v>
      </c>
      <c r="BK205" s="111">
        <f t="shared" si="136"/>
        <v>0</v>
      </c>
      <c r="BL205" s="111">
        <f t="shared" si="137"/>
        <v>0.19999999999999929</v>
      </c>
      <c r="BM205" s="111">
        <f t="shared" si="138"/>
        <v>0.30000000000000071</v>
      </c>
      <c r="BN205" s="111">
        <f t="shared" si="139"/>
        <v>0.60000000000000142</v>
      </c>
      <c r="BO205" s="111">
        <f t="shared" si="140"/>
        <v>1</v>
      </c>
    </row>
    <row r="206" spans="38:96" ht="12.75" x14ac:dyDescent="0.2">
      <c r="AN206" t="s">
        <v>79</v>
      </c>
      <c r="AO206" s="140" t="e">
        <v>#REF!</v>
      </c>
      <c r="AP206" s="140">
        <v>20</v>
      </c>
      <c r="AQ206" s="140">
        <v>19.5</v>
      </c>
      <c r="AR206" s="140">
        <v>19.2</v>
      </c>
      <c r="AS206" s="129">
        <f t="shared" si="141"/>
        <v>19</v>
      </c>
      <c r="AT206" s="140">
        <v>18.8</v>
      </c>
      <c r="AU206" s="140">
        <v>18.5</v>
      </c>
      <c r="AV206" s="140">
        <v>18</v>
      </c>
      <c r="AW206" s="140">
        <v>17.7</v>
      </c>
      <c r="AX206" s="140">
        <v>17.600000000000001</v>
      </c>
      <c r="AY206" s="140">
        <v>17.7</v>
      </c>
      <c r="AZ206" s="140">
        <v>18.5</v>
      </c>
      <c r="BA206" s="140">
        <v>20.5</v>
      </c>
      <c r="BC206" s="111" t="e">
        <f t="shared" si="142"/>
        <v>#REF!</v>
      </c>
      <c r="BD206" s="111">
        <f t="shared" si="129"/>
        <v>-0.30000000000000071</v>
      </c>
      <c r="BE206" s="111">
        <f t="shared" si="130"/>
        <v>-0.30000000000000071</v>
      </c>
      <c r="BF206" s="111">
        <f t="shared" si="131"/>
        <v>-0.30000000000000071</v>
      </c>
      <c r="BG206" s="111">
        <f t="shared" si="132"/>
        <v>-0.25</v>
      </c>
      <c r="BH206" s="111">
        <f t="shared" si="133"/>
        <v>-0.19999999999999929</v>
      </c>
      <c r="BI206" s="111">
        <f t="shared" si="134"/>
        <v>-0.10000000000000142</v>
      </c>
      <c r="BJ206" s="111">
        <f t="shared" si="135"/>
        <v>0</v>
      </c>
      <c r="BK206" s="111">
        <f t="shared" si="136"/>
        <v>0.19999999999999929</v>
      </c>
      <c r="BL206" s="111">
        <f t="shared" si="137"/>
        <v>0.40000000000000213</v>
      </c>
      <c r="BM206" s="111">
        <f t="shared" si="138"/>
        <v>0.69999999999999929</v>
      </c>
      <c r="BN206" s="111">
        <f t="shared" si="139"/>
        <v>1.1999999999999993</v>
      </c>
      <c r="BO206" s="111">
        <f t="shared" si="140"/>
        <v>1.8999999999999986</v>
      </c>
    </row>
    <row r="207" spans="38:96" ht="12.75" x14ac:dyDescent="0.2">
      <c r="AN207" t="s">
        <v>159</v>
      </c>
      <c r="AO207" s="140">
        <v>21.6</v>
      </c>
      <c r="AP207" s="140">
        <v>20.100000000000001</v>
      </c>
      <c r="AQ207" s="140">
        <v>19.600000000000001</v>
      </c>
      <c r="AR207" s="140">
        <v>19.3</v>
      </c>
      <c r="AS207" s="129">
        <f t="shared" si="141"/>
        <v>19.05</v>
      </c>
      <c r="AT207" s="140">
        <v>18.8</v>
      </c>
      <c r="AU207" s="140">
        <v>18.399999999999999</v>
      </c>
      <c r="AV207" s="140">
        <v>17.8</v>
      </c>
      <c r="AW207" s="140">
        <v>17.3</v>
      </c>
      <c r="AX207" s="140">
        <v>17</v>
      </c>
      <c r="AY207" s="140">
        <v>16.8</v>
      </c>
      <c r="AZ207" s="140">
        <v>17.100000000000001</v>
      </c>
      <c r="BA207" s="140">
        <v>18.399999999999999</v>
      </c>
      <c r="BC207" s="111">
        <f t="shared" si="142"/>
        <v>0.10000000000000142</v>
      </c>
      <c r="BD207" s="111">
        <f t="shared" si="129"/>
        <v>-9.9999999999997868E-2</v>
      </c>
      <c r="BE207" s="111">
        <f t="shared" si="130"/>
        <v>-0.19999999999999929</v>
      </c>
      <c r="BF207" s="111">
        <f t="shared" si="131"/>
        <v>-9.9999999999997868E-2</v>
      </c>
      <c r="BG207" s="111">
        <f t="shared" si="132"/>
        <v>-9.9999999999997868E-2</v>
      </c>
      <c r="BH207" s="111">
        <f t="shared" si="133"/>
        <v>-9.9999999999997868E-2</v>
      </c>
      <c r="BI207" s="111">
        <f t="shared" si="134"/>
        <v>0</v>
      </c>
      <c r="BJ207" s="111">
        <f t="shared" si="135"/>
        <v>0.10000000000000142</v>
      </c>
      <c r="BK207" s="111">
        <f t="shared" si="136"/>
        <v>0.19999999999999929</v>
      </c>
      <c r="BL207" s="111">
        <f t="shared" si="137"/>
        <v>0.30000000000000071</v>
      </c>
      <c r="BM207" s="111">
        <f t="shared" si="138"/>
        <v>0.5</v>
      </c>
      <c r="BN207" s="111">
        <f t="shared" si="139"/>
        <v>1.1000000000000014</v>
      </c>
      <c r="BO207" s="111">
        <f t="shared" si="140"/>
        <v>1.8999999999999986</v>
      </c>
    </row>
    <row r="208" spans="38:96" ht="12.75" x14ac:dyDescent="0.2">
      <c r="AN208" t="s">
        <v>107</v>
      </c>
      <c r="AO208" s="140">
        <v>21.2</v>
      </c>
      <c r="AP208" s="140">
        <v>20</v>
      </c>
      <c r="AQ208" s="140">
        <v>19.5</v>
      </c>
      <c r="AR208" s="140">
        <v>19.2</v>
      </c>
      <c r="AS208" s="129">
        <f t="shared" si="141"/>
        <v>18.899999999999999</v>
      </c>
      <c r="AT208" s="140">
        <v>18.600000000000001</v>
      </c>
      <c r="AU208" s="140">
        <v>18.2</v>
      </c>
      <c r="AV208" s="140">
        <v>17.5</v>
      </c>
      <c r="AW208" s="140">
        <v>16.899999999999999</v>
      </c>
      <c r="AX208" s="140">
        <v>16.5</v>
      </c>
      <c r="AY208" s="140">
        <v>16</v>
      </c>
      <c r="AZ208" s="140">
        <v>15.8</v>
      </c>
      <c r="BA208" s="140">
        <v>16.3</v>
      </c>
      <c r="BC208" s="111">
        <f t="shared" si="142"/>
        <v>9.9999999999997868E-2</v>
      </c>
      <c r="BD208" s="111">
        <f t="shared" si="129"/>
        <v>0</v>
      </c>
      <c r="BE208" s="111">
        <f t="shared" si="130"/>
        <v>-0.10000000000000142</v>
      </c>
      <c r="BF208" s="111">
        <f t="shared" si="131"/>
        <v>0</v>
      </c>
      <c r="BG208" s="111">
        <f t="shared" si="132"/>
        <v>-5.0000000000000711E-2</v>
      </c>
      <c r="BH208" s="111">
        <f t="shared" si="133"/>
        <v>-9.9999999999997868E-2</v>
      </c>
      <c r="BI208" s="111">
        <f t="shared" si="134"/>
        <v>0</v>
      </c>
      <c r="BJ208" s="111">
        <f t="shared" si="135"/>
        <v>0.10000000000000142</v>
      </c>
      <c r="BK208" s="111">
        <f t="shared" si="136"/>
        <v>9.9999999999997868E-2</v>
      </c>
      <c r="BL208" s="111">
        <f t="shared" si="137"/>
        <v>0.19999999999999929</v>
      </c>
      <c r="BM208" s="111">
        <f t="shared" si="138"/>
        <v>0.30000000000000071</v>
      </c>
      <c r="BN208" s="111">
        <f t="shared" si="139"/>
        <v>0.70000000000000107</v>
      </c>
      <c r="BO208" s="111">
        <f t="shared" si="140"/>
        <v>1.5</v>
      </c>
    </row>
    <row r="209" spans="38:67" ht="12.75" x14ac:dyDescent="0.2">
      <c r="AN209" t="s">
        <v>108</v>
      </c>
      <c r="AO209" s="140">
        <v>20.7</v>
      </c>
      <c r="AP209" s="140">
        <v>19.600000000000001</v>
      </c>
      <c r="AQ209" s="140">
        <v>19.2</v>
      </c>
      <c r="AR209" s="140">
        <v>18.899999999999999</v>
      </c>
      <c r="AS209" s="129">
        <f t="shared" si="141"/>
        <v>18.649999999999999</v>
      </c>
      <c r="AT209" s="140">
        <v>18.399999999999999</v>
      </c>
      <c r="AU209" s="140">
        <v>17.899999999999999</v>
      </c>
      <c r="AV209" s="140">
        <v>17.100000000000001</v>
      </c>
      <c r="AW209" s="140">
        <v>16.5</v>
      </c>
      <c r="AX209" s="140">
        <v>16</v>
      </c>
      <c r="AY209" s="140">
        <v>15.4</v>
      </c>
      <c r="AZ209" s="140">
        <v>14.8</v>
      </c>
      <c r="BA209" s="140">
        <v>14.6</v>
      </c>
      <c r="BC209" s="111">
        <f t="shared" si="142"/>
        <v>-0.10000000000000142</v>
      </c>
      <c r="BD209" s="111">
        <f t="shared" si="129"/>
        <v>-0.19999999999999929</v>
      </c>
      <c r="BE209" s="111">
        <f t="shared" si="130"/>
        <v>-0.19999999999999929</v>
      </c>
      <c r="BF209" s="111">
        <f t="shared" si="131"/>
        <v>-0.20000000000000284</v>
      </c>
      <c r="BG209" s="111">
        <f t="shared" si="132"/>
        <v>-0.15000000000000213</v>
      </c>
      <c r="BH209" s="111">
        <f t="shared" si="133"/>
        <v>-0.10000000000000142</v>
      </c>
      <c r="BI209" s="111">
        <f t="shared" si="134"/>
        <v>-0.20000000000000284</v>
      </c>
      <c r="BJ209" s="111">
        <f t="shared" si="135"/>
        <v>-0.19999999999999929</v>
      </c>
      <c r="BK209" s="111">
        <f t="shared" si="136"/>
        <v>-0.19999999999999929</v>
      </c>
      <c r="BL209" s="111">
        <f t="shared" si="137"/>
        <v>-0.19999999999999929</v>
      </c>
      <c r="BM209" s="111">
        <f t="shared" si="138"/>
        <v>-9.9999999999999645E-2</v>
      </c>
      <c r="BN209" s="111">
        <f t="shared" si="139"/>
        <v>0.10000000000000142</v>
      </c>
      <c r="BO209" s="111">
        <f t="shared" si="140"/>
        <v>0.5</v>
      </c>
    </row>
    <row r="210" spans="38:67" ht="12.75" x14ac:dyDescent="0.2">
      <c r="AN210" t="s">
        <v>109</v>
      </c>
      <c r="AO210" s="140">
        <v>20.399999999999999</v>
      </c>
      <c r="AP210" s="140">
        <v>19.399999999999999</v>
      </c>
      <c r="AQ210" s="140">
        <v>19.100000000000001</v>
      </c>
      <c r="AR210" s="140">
        <v>18.7</v>
      </c>
      <c r="AS210" s="129">
        <f t="shared" si="141"/>
        <v>18.45</v>
      </c>
      <c r="AT210" s="140">
        <v>18.2</v>
      </c>
      <c r="AU210" s="140">
        <v>17.8</v>
      </c>
      <c r="AV210" s="140">
        <v>17</v>
      </c>
      <c r="AW210" s="140">
        <v>16.3</v>
      </c>
      <c r="AX210" s="140">
        <v>15.9</v>
      </c>
      <c r="AY210" s="140">
        <v>15.2</v>
      </c>
      <c r="AZ210" s="140">
        <v>14.4</v>
      </c>
      <c r="BA210" s="140">
        <v>13.8</v>
      </c>
      <c r="BC210" s="111">
        <f t="shared" si="142"/>
        <v>-0.10000000000000142</v>
      </c>
      <c r="BD210" s="111">
        <f t="shared" si="129"/>
        <v>-0.20000000000000284</v>
      </c>
      <c r="BE210" s="111">
        <f t="shared" si="130"/>
        <v>-0.19999999999999929</v>
      </c>
      <c r="BF210" s="111">
        <f t="shared" si="131"/>
        <v>-0.19999999999999929</v>
      </c>
      <c r="BG210" s="111">
        <f t="shared" si="132"/>
        <v>-0.19999999999999929</v>
      </c>
      <c r="BH210" s="111">
        <f t="shared" si="133"/>
        <v>-0.19999999999999929</v>
      </c>
      <c r="BI210" s="111">
        <f t="shared" si="134"/>
        <v>-9.9999999999997868E-2</v>
      </c>
      <c r="BJ210" s="111">
        <f t="shared" si="135"/>
        <v>-0.10000000000000142</v>
      </c>
      <c r="BK210" s="111">
        <f t="shared" si="136"/>
        <v>-0.19999999999999929</v>
      </c>
      <c r="BL210" s="111">
        <f t="shared" si="137"/>
        <v>-9.9999999999999645E-2</v>
      </c>
      <c r="BM210" s="111">
        <f t="shared" si="138"/>
        <v>-0.10000000000000142</v>
      </c>
      <c r="BN210" s="111">
        <f t="shared" si="139"/>
        <v>0</v>
      </c>
      <c r="BO210" s="111">
        <f t="shared" si="140"/>
        <v>0.20000000000000107</v>
      </c>
    </row>
    <row r="211" spans="38:67" ht="12.75" x14ac:dyDescent="0.2">
      <c r="AN211" t="s">
        <v>110</v>
      </c>
      <c r="AO211" s="140">
        <v>20.100000000000001</v>
      </c>
      <c r="AP211" s="140">
        <v>19.3</v>
      </c>
      <c r="AQ211" s="140">
        <v>18.899999999999999</v>
      </c>
      <c r="AR211" s="140">
        <v>18.600000000000001</v>
      </c>
      <c r="AS211" s="129">
        <f t="shared" si="141"/>
        <v>18.350000000000001</v>
      </c>
      <c r="AT211" s="140">
        <v>18.100000000000001</v>
      </c>
      <c r="AU211" s="140">
        <v>17.600000000000001</v>
      </c>
      <c r="AV211" s="140">
        <v>16.8</v>
      </c>
      <c r="AW211" s="140">
        <v>16.2</v>
      </c>
      <c r="AX211" s="140">
        <v>15.7</v>
      </c>
      <c r="AY211" s="140">
        <v>15</v>
      </c>
      <c r="AZ211" s="140">
        <v>14.2</v>
      </c>
      <c r="BA211" s="140">
        <v>13.4</v>
      </c>
      <c r="BC211" s="111">
        <f t="shared" si="142"/>
        <v>20.100000000000001</v>
      </c>
      <c r="BD211" s="111">
        <f t="shared" si="129"/>
        <v>19.3</v>
      </c>
      <c r="BE211" s="111">
        <f t="shared" si="130"/>
        <v>18.899999999999999</v>
      </c>
      <c r="BF211" s="111">
        <f t="shared" si="131"/>
        <v>18.600000000000001</v>
      </c>
      <c r="BG211" s="111">
        <f t="shared" si="132"/>
        <v>18.350000000000001</v>
      </c>
      <c r="BH211" s="111">
        <f t="shared" si="133"/>
        <v>18.100000000000001</v>
      </c>
      <c r="BI211" s="111">
        <f t="shared" si="134"/>
        <v>17.600000000000001</v>
      </c>
      <c r="BJ211" s="111">
        <f t="shared" si="135"/>
        <v>16.8</v>
      </c>
      <c r="BK211" s="111">
        <f t="shared" si="136"/>
        <v>16.2</v>
      </c>
      <c r="BL211" s="111">
        <f t="shared" si="137"/>
        <v>15.7</v>
      </c>
      <c r="BM211" s="111">
        <f t="shared" si="138"/>
        <v>15</v>
      </c>
      <c r="BN211" s="111">
        <f t="shared" si="139"/>
        <v>14.2</v>
      </c>
      <c r="BO211" s="111">
        <f t="shared" si="140"/>
        <v>13.4</v>
      </c>
    </row>
    <row r="213" spans="38:67" x14ac:dyDescent="0.2">
      <c r="AO213">
        <v>-0.5</v>
      </c>
      <c r="AP213">
        <v>-0.25</v>
      </c>
      <c r="AQ213">
        <v>-0.13</v>
      </c>
      <c r="AR213">
        <v>0</v>
      </c>
      <c r="AS213">
        <v>0.125</v>
      </c>
      <c r="AT213" s="126">
        <v>0.25</v>
      </c>
      <c r="AU213" s="126">
        <v>0.5</v>
      </c>
      <c r="AV213" s="126">
        <v>1</v>
      </c>
      <c r="AW213" s="126">
        <v>1.5</v>
      </c>
      <c r="AX213" s="126">
        <v>2</v>
      </c>
      <c r="AY213" s="126">
        <v>3</v>
      </c>
      <c r="AZ213" s="126">
        <v>5</v>
      </c>
      <c r="BA213" s="126">
        <v>10</v>
      </c>
    </row>
    <row r="214" spans="38:67" ht="12.75" x14ac:dyDescent="0.2">
      <c r="AL214" s="105" t="s">
        <v>287</v>
      </c>
      <c r="AN214" t="s">
        <v>25</v>
      </c>
      <c r="AO214" s="140">
        <v>9.4</v>
      </c>
      <c r="AP214" s="140">
        <v>7.2</v>
      </c>
      <c r="AQ214" s="140">
        <v>8.1999999999999993</v>
      </c>
      <c r="AR214" s="140">
        <v>9.6999999999999993</v>
      </c>
      <c r="AS214" s="129">
        <f>(AR214+AT214)/2</f>
        <v>11.149999999999999</v>
      </c>
      <c r="AT214" s="140">
        <v>12.6</v>
      </c>
      <c r="AU214" s="140">
        <v>15.3</v>
      </c>
      <c r="AV214" s="140">
        <v>19.7</v>
      </c>
      <c r="AW214" s="140">
        <v>23.4</v>
      </c>
      <c r="AX214" s="140">
        <v>26.6</v>
      </c>
      <c r="AY214" s="140">
        <v>31.8</v>
      </c>
      <c r="AZ214" s="140">
        <v>39.4</v>
      </c>
      <c r="BA214" s="140">
        <v>51.3</v>
      </c>
      <c r="BC214" s="111">
        <f>AO214-AO197</f>
        <v>0.20000000000000107</v>
      </c>
      <c r="BD214" s="111" t="e">
        <f t="shared" ref="BD214:BD228" si="143">AP214-AP197</f>
        <v>#REF!</v>
      </c>
      <c r="BE214" s="111">
        <f t="shared" ref="BE214:BE228" si="144">AQ214-AQ197</f>
        <v>0</v>
      </c>
      <c r="BF214" s="111">
        <f t="shared" ref="BF214:BF228" si="145">AR214-AR197</f>
        <v>-0.10000000000000142</v>
      </c>
      <c r="BG214" s="111" t="e">
        <f t="shared" ref="BG214:BG228" si="146">AS214-AS197</f>
        <v>#REF!</v>
      </c>
      <c r="BH214" s="111" t="e">
        <f t="shared" ref="BH214:BH228" si="147">AT214-AT197</f>
        <v>#REF!</v>
      </c>
      <c r="BI214" s="111">
        <f t="shared" ref="BI214:BI228" si="148">AU214-AU197</f>
        <v>0</v>
      </c>
      <c r="BJ214" s="111">
        <f t="shared" ref="BJ214:BJ228" si="149">AV214-AV197</f>
        <v>-0.10000000000000142</v>
      </c>
      <c r="BK214" s="111">
        <f t="shared" ref="BK214:BK228" si="150">AW214-AW197</f>
        <v>-0.10000000000000142</v>
      </c>
      <c r="BL214" s="111">
        <f t="shared" ref="BL214:BL228" si="151">AX214-AX197</f>
        <v>0</v>
      </c>
      <c r="BM214" s="111">
        <f t="shared" ref="BM214:BM228" si="152">AY214-AY197</f>
        <v>0</v>
      </c>
      <c r="BN214" s="111">
        <f t="shared" ref="BN214:BN228" si="153">AZ214-AZ197</f>
        <v>-0.10000000000000142</v>
      </c>
      <c r="BO214" s="111">
        <f t="shared" ref="BO214:BO228" si="154">BA214-BA197</f>
        <v>-0.10000000000000142</v>
      </c>
    </row>
    <row r="215" spans="38:67" ht="12.75" x14ac:dyDescent="0.2">
      <c r="AN215" t="s">
        <v>157</v>
      </c>
      <c r="AO215" s="140">
        <v>11.1</v>
      </c>
      <c r="AP215" s="140">
        <v>9.4</v>
      </c>
      <c r="AQ215" s="140">
        <v>10.199999999999999</v>
      </c>
      <c r="AR215" s="140">
        <v>11.3</v>
      </c>
      <c r="AS215" s="129">
        <f t="shared" ref="AS215:AS228" si="155">(AR215+AT215)/2</f>
        <v>12.45</v>
      </c>
      <c r="AT215" s="140">
        <v>13.6</v>
      </c>
      <c r="AU215" s="140">
        <v>15.7</v>
      </c>
      <c r="AV215" s="140">
        <v>19.3</v>
      </c>
      <c r="AW215" s="140">
        <v>22.3</v>
      </c>
      <c r="AX215" s="140">
        <v>24.8</v>
      </c>
      <c r="AY215" s="140">
        <v>28.8</v>
      </c>
      <c r="AZ215" s="140">
        <v>34.700000000000003</v>
      </c>
      <c r="BA215" s="140">
        <v>43.5</v>
      </c>
      <c r="BC215" s="111">
        <f t="shared" ref="BC215:BC228" si="156">AO215-AO198</f>
        <v>0</v>
      </c>
      <c r="BD215" s="111" t="e">
        <f t="shared" si="143"/>
        <v>#REF!</v>
      </c>
      <c r="BE215" s="111">
        <f t="shared" si="144"/>
        <v>-0.10000000000000142</v>
      </c>
      <c r="BF215" s="111">
        <f t="shared" si="145"/>
        <v>-0.19999999999999929</v>
      </c>
      <c r="BG215" s="111">
        <f t="shared" si="146"/>
        <v>-0.20000000000000107</v>
      </c>
      <c r="BH215" s="111">
        <f t="shared" si="147"/>
        <v>-0.20000000000000107</v>
      </c>
      <c r="BI215" s="111">
        <f t="shared" si="148"/>
        <v>-0.20000000000000107</v>
      </c>
      <c r="BJ215" s="111">
        <f t="shared" si="149"/>
        <v>-9.9999999999997868E-2</v>
      </c>
      <c r="BK215" s="111" t="e">
        <f t="shared" si="150"/>
        <v>#REF!</v>
      </c>
      <c r="BL215" s="111" t="e">
        <f t="shared" si="151"/>
        <v>#REF!</v>
      </c>
      <c r="BM215" s="111" t="e">
        <f t="shared" si="152"/>
        <v>#REF!</v>
      </c>
      <c r="BN215" s="111" t="e">
        <f t="shared" si="153"/>
        <v>#REF!</v>
      </c>
      <c r="BO215" s="111" t="e">
        <f t="shared" si="154"/>
        <v>#REF!</v>
      </c>
    </row>
    <row r="216" spans="38:67" ht="12.75" x14ac:dyDescent="0.2">
      <c r="AN216" t="s">
        <v>99</v>
      </c>
      <c r="AO216" s="140">
        <v>14.3</v>
      </c>
      <c r="AP216" s="140">
        <v>11.9</v>
      </c>
      <c r="AQ216" s="140">
        <v>11.5</v>
      </c>
      <c r="AR216" s="140">
        <v>11.8</v>
      </c>
      <c r="AS216" s="129">
        <f t="shared" si="155"/>
        <v>12.45</v>
      </c>
      <c r="AT216" s="140">
        <v>13.1</v>
      </c>
      <c r="AU216" s="140">
        <v>14.4</v>
      </c>
      <c r="AV216" s="140">
        <v>16.899999999999999</v>
      </c>
      <c r="AW216" s="140">
        <v>19</v>
      </c>
      <c r="AX216" s="140">
        <v>20.9</v>
      </c>
      <c r="AY216" s="140">
        <v>23.9</v>
      </c>
      <c r="AZ216" s="140">
        <v>28.1</v>
      </c>
      <c r="BA216" s="140">
        <v>34.200000000000003</v>
      </c>
      <c r="BC216" s="111">
        <f t="shared" si="156"/>
        <v>0</v>
      </c>
      <c r="BD216" s="111">
        <f t="shared" si="143"/>
        <v>-9.9999999999999645E-2</v>
      </c>
      <c r="BE216" s="111">
        <f t="shared" si="144"/>
        <v>-9.9999999999999645E-2</v>
      </c>
      <c r="BF216" s="111">
        <f t="shared" si="145"/>
        <v>-9.9999999999999645E-2</v>
      </c>
      <c r="BG216" s="111">
        <f t="shared" si="146"/>
        <v>-0.10000000000000142</v>
      </c>
      <c r="BH216" s="111">
        <f t="shared" si="147"/>
        <v>-9.9999999999999645E-2</v>
      </c>
      <c r="BI216" s="111">
        <f t="shared" si="148"/>
        <v>-9.9999999999999645E-2</v>
      </c>
      <c r="BJ216" s="111">
        <f t="shared" si="149"/>
        <v>-0.10000000000000142</v>
      </c>
      <c r="BK216" s="111">
        <f t="shared" si="150"/>
        <v>-0.10000000000000142</v>
      </c>
      <c r="BL216" s="111">
        <f t="shared" si="151"/>
        <v>-0.10000000000000142</v>
      </c>
      <c r="BM216" s="111">
        <f t="shared" si="152"/>
        <v>0</v>
      </c>
      <c r="BN216" s="111">
        <f t="shared" si="153"/>
        <v>-9.9999999999997868E-2</v>
      </c>
      <c r="BO216" s="111">
        <f t="shared" si="154"/>
        <v>-9.9999999999994316E-2</v>
      </c>
    </row>
    <row r="217" spans="38:67" ht="12.75" x14ac:dyDescent="0.2">
      <c r="AN217" t="s">
        <v>101</v>
      </c>
      <c r="AO217" s="140">
        <v>16.5</v>
      </c>
      <c r="AP217" s="140">
        <v>14.3</v>
      </c>
      <c r="AQ217" s="140">
        <v>13.9</v>
      </c>
      <c r="AR217" s="140">
        <v>14</v>
      </c>
      <c r="AS217" s="129">
        <f t="shared" si="155"/>
        <v>14.35</v>
      </c>
      <c r="AT217" s="140">
        <v>14.7</v>
      </c>
      <c r="AU217" s="140">
        <v>15.5</v>
      </c>
      <c r="AV217" s="140">
        <v>17</v>
      </c>
      <c r="AW217" s="140">
        <v>18.399999999999999</v>
      </c>
      <c r="AX217" s="140">
        <v>19.600000000000001</v>
      </c>
      <c r="AY217" s="140">
        <v>21.8</v>
      </c>
      <c r="AZ217" s="140">
        <v>25</v>
      </c>
      <c r="BA217" s="140">
        <v>29.6</v>
      </c>
      <c r="BC217" s="111">
        <f t="shared" si="156"/>
        <v>0</v>
      </c>
      <c r="BD217" s="111">
        <f t="shared" si="143"/>
        <v>-9.9999999999999645E-2</v>
      </c>
      <c r="BE217" s="111">
        <f t="shared" si="144"/>
        <v>-9.9999999999999645E-2</v>
      </c>
      <c r="BF217" s="111">
        <f t="shared" si="145"/>
        <v>-9.9999999999999645E-2</v>
      </c>
      <c r="BG217" s="111">
        <f t="shared" si="146"/>
        <v>-9.9999999999999645E-2</v>
      </c>
      <c r="BH217" s="111">
        <f t="shared" si="147"/>
        <v>-0.10000000000000142</v>
      </c>
      <c r="BI217" s="111">
        <f t="shared" si="148"/>
        <v>-9.9999999999999645E-2</v>
      </c>
      <c r="BJ217" s="111">
        <f t="shared" si="149"/>
        <v>-0.10000000000000142</v>
      </c>
      <c r="BK217" s="111">
        <f t="shared" si="150"/>
        <v>-0.10000000000000142</v>
      </c>
      <c r="BL217" s="111">
        <f t="shared" si="151"/>
        <v>-0.19999999999999929</v>
      </c>
      <c r="BM217" s="111">
        <f t="shared" si="152"/>
        <v>-0.19999999999999929</v>
      </c>
      <c r="BN217" s="111">
        <f t="shared" si="153"/>
        <v>-0.19999999999999929</v>
      </c>
      <c r="BO217" s="111">
        <f t="shared" si="154"/>
        <v>-0.19999999999999929</v>
      </c>
    </row>
    <row r="218" spans="38:67" ht="12.75" x14ac:dyDescent="0.2">
      <c r="AN218" t="s">
        <v>102</v>
      </c>
      <c r="AO218" s="140">
        <v>18.3</v>
      </c>
      <c r="AP218" s="140">
        <v>16.3</v>
      </c>
      <c r="AQ218" s="140">
        <v>15.8</v>
      </c>
      <c r="AR218" s="140">
        <v>15.8</v>
      </c>
      <c r="AS218" s="129">
        <f t="shared" si="155"/>
        <v>16</v>
      </c>
      <c r="AT218" s="140">
        <v>16.2</v>
      </c>
      <c r="AU218" s="140">
        <v>16.600000000000001</v>
      </c>
      <c r="AV218" s="140">
        <v>17.5</v>
      </c>
      <c r="AW218" s="140">
        <v>18.399999999999999</v>
      </c>
      <c r="AX218" s="140">
        <v>19.3</v>
      </c>
      <c r="AY218" s="140">
        <v>20.9</v>
      </c>
      <c r="AZ218" s="140">
        <v>23.4</v>
      </c>
      <c r="BA218" s="140">
        <v>27.2</v>
      </c>
      <c r="BC218" s="111">
        <f t="shared" si="156"/>
        <v>-9.9999999999997868E-2</v>
      </c>
      <c r="BD218" s="111">
        <f t="shared" si="143"/>
        <v>-9.9999999999997868E-2</v>
      </c>
      <c r="BE218" s="111">
        <f t="shared" si="144"/>
        <v>-9.9999999999999645E-2</v>
      </c>
      <c r="BF218" s="111">
        <f t="shared" si="145"/>
        <v>-9.9999999999999645E-2</v>
      </c>
      <c r="BG218" s="111">
        <f t="shared" si="146"/>
        <v>-0.10000000000000142</v>
      </c>
      <c r="BH218" s="111">
        <f t="shared" si="147"/>
        <v>-0.10000000000000142</v>
      </c>
      <c r="BI218" s="111">
        <f t="shared" si="148"/>
        <v>-0.19999999999999929</v>
      </c>
      <c r="BJ218" s="111">
        <f t="shared" si="149"/>
        <v>-0.19999999999999929</v>
      </c>
      <c r="BK218" s="111">
        <f t="shared" si="150"/>
        <v>-0.20000000000000284</v>
      </c>
      <c r="BL218" s="111">
        <f t="shared" si="151"/>
        <v>-0.19999999999999929</v>
      </c>
      <c r="BM218" s="111">
        <f t="shared" si="152"/>
        <v>-0.20000000000000284</v>
      </c>
      <c r="BN218" s="111">
        <f t="shared" si="153"/>
        <v>-0.20000000000000284</v>
      </c>
      <c r="BO218" s="111">
        <f t="shared" si="154"/>
        <v>-0.19999999999999929</v>
      </c>
    </row>
    <row r="219" spans="38:67" ht="12.75" x14ac:dyDescent="0.2">
      <c r="AN219" t="s">
        <v>103</v>
      </c>
      <c r="AO219" s="140">
        <v>19.600000000000001</v>
      </c>
      <c r="AP219" s="140">
        <v>17.600000000000001</v>
      </c>
      <c r="AQ219" s="140">
        <v>17.2</v>
      </c>
      <c r="AR219" s="140">
        <v>17</v>
      </c>
      <c r="AS219" s="129">
        <f t="shared" si="155"/>
        <v>17.100000000000001</v>
      </c>
      <c r="AT219" s="140">
        <v>17.2</v>
      </c>
      <c r="AU219" s="140">
        <v>17.399999999999999</v>
      </c>
      <c r="AV219" s="140">
        <v>17.8</v>
      </c>
      <c r="AW219" s="140">
        <v>18.3</v>
      </c>
      <c r="AX219" s="140">
        <v>18.899999999999999</v>
      </c>
      <c r="AY219" s="140">
        <v>20.100000000000001</v>
      </c>
      <c r="AZ219" s="140">
        <v>22.3</v>
      </c>
      <c r="BA219" s="140">
        <v>25.6</v>
      </c>
      <c r="BC219" s="111">
        <f t="shared" si="156"/>
        <v>-9.9999999999997868E-2</v>
      </c>
      <c r="BD219" s="111">
        <f t="shared" si="143"/>
        <v>-0.19999999999999929</v>
      </c>
      <c r="BE219" s="111">
        <f t="shared" si="144"/>
        <v>-0.10000000000000142</v>
      </c>
      <c r="BF219" s="111">
        <f t="shared" si="145"/>
        <v>-0.19999999999999929</v>
      </c>
      <c r="BG219" s="111">
        <f t="shared" si="146"/>
        <v>-0.14999999999999858</v>
      </c>
      <c r="BH219" s="111">
        <f t="shared" si="147"/>
        <v>-0.10000000000000142</v>
      </c>
      <c r="BI219" s="111">
        <f t="shared" si="148"/>
        <v>-0.10000000000000142</v>
      </c>
      <c r="BJ219" s="111">
        <f t="shared" si="149"/>
        <v>-0.19999999999999929</v>
      </c>
      <c r="BK219" s="111">
        <f t="shared" si="150"/>
        <v>-0.19999999999999929</v>
      </c>
      <c r="BL219" s="111">
        <f t="shared" si="151"/>
        <v>-0.20000000000000284</v>
      </c>
      <c r="BM219" s="111">
        <f t="shared" si="152"/>
        <v>-0.19999999999999929</v>
      </c>
      <c r="BN219" s="111">
        <f t="shared" si="153"/>
        <v>-0.19999999999999929</v>
      </c>
      <c r="BO219" s="111">
        <f t="shared" si="154"/>
        <v>-0.19999999999999929</v>
      </c>
    </row>
    <row r="220" spans="38:67" ht="12.75" x14ac:dyDescent="0.2">
      <c r="AN220" t="s">
        <v>104</v>
      </c>
      <c r="AO220" s="140">
        <v>20.5</v>
      </c>
      <c r="AP220" s="140">
        <v>18.600000000000001</v>
      </c>
      <c r="AQ220" s="140">
        <v>18.100000000000001</v>
      </c>
      <c r="AR220" s="140">
        <v>17.899999999999999</v>
      </c>
      <c r="AS220" s="129">
        <f t="shared" si="155"/>
        <v>17.850000000000001</v>
      </c>
      <c r="AT220" s="140">
        <v>17.8</v>
      </c>
      <c r="AU220" s="140">
        <v>17.899999999999999</v>
      </c>
      <c r="AV220" s="140">
        <v>17.899999999999999</v>
      </c>
      <c r="AW220" s="140">
        <v>18.100000000000001</v>
      </c>
      <c r="AX220" s="140">
        <v>18.5</v>
      </c>
      <c r="AY220" s="140">
        <v>19.3</v>
      </c>
      <c r="AZ220" s="140">
        <v>21.1</v>
      </c>
      <c r="BA220" s="140">
        <v>24</v>
      </c>
      <c r="BC220" s="111">
        <f t="shared" si="156"/>
        <v>-0.10000000000000142</v>
      </c>
      <c r="BD220" s="111" t="e">
        <f t="shared" si="143"/>
        <v>#REF!</v>
      </c>
      <c r="BE220" s="111">
        <f t="shared" si="144"/>
        <v>-9.9999999999997868E-2</v>
      </c>
      <c r="BF220" s="111">
        <f t="shared" si="145"/>
        <v>-0.10000000000000142</v>
      </c>
      <c r="BG220" s="111">
        <f t="shared" si="146"/>
        <v>-0.14999999999999858</v>
      </c>
      <c r="BH220" s="111">
        <f t="shared" si="147"/>
        <v>-0.19999999999999929</v>
      </c>
      <c r="BI220" s="111">
        <f t="shared" si="148"/>
        <v>-0.10000000000000142</v>
      </c>
      <c r="BJ220" s="111">
        <f t="shared" si="149"/>
        <v>-0.20000000000000284</v>
      </c>
      <c r="BK220" s="111">
        <f t="shared" si="150"/>
        <v>-0.19999999999999929</v>
      </c>
      <c r="BL220" s="111">
        <f t="shared" si="151"/>
        <v>-0.10000000000000142</v>
      </c>
      <c r="BM220" s="111">
        <f t="shared" si="152"/>
        <v>-0.19999999999999929</v>
      </c>
      <c r="BN220" s="111">
        <f t="shared" si="153"/>
        <v>-9.9999999999997868E-2</v>
      </c>
      <c r="BO220" s="111">
        <f t="shared" si="154"/>
        <v>-0.19999999999999929</v>
      </c>
    </row>
    <row r="221" spans="38:67" ht="12.75" x14ac:dyDescent="0.2">
      <c r="AN221" t="s">
        <v>105</v>
      </c>
      <c r="AO221" s="140">
        <v>21</v>
      </c>
      <c r="AP221" s="140">
        <v>19.3</v>
      </c>
      <c r="AQ221" s="140">
        <v>18.8</v>
      </c>
      <c r="AR221" s="140">
        <v>18.5</v>
      </c>
      <c r="AS221" s="129">
        <f t="shared" si="155"/>
        <v>18.399999999999999</v>
      </c>
      <c r="AT221" s="140">
        <v>18.3</v>
      </c>
      <c r="AU221" s="140">
        <v>18.2</v>
      </c>
      <c r="AV221" s="140">
        <v>18</v>
      </c>
      <c r="AW221" s="140">
        <v>18</v>
      </c>
      <c r="AX221" s="140">
        <v>18.100000000000001</v>
      </c>
      <c r="AY221" s="140">
        <v>18.600000000000001</v>
      </c>
      <c r="AZ221" s="140">
        <v>20</v>
      </c>
      <c r="BA221" s="140">
        <v>22.6</v>
      </c>
      <c r="BC221" s="111" t="e">
        <f t="shared" si="156"/>
        <v>#REF!</v>
      </c>
      <c r="BD221" s="111">
        <f t="shared" si="143"/>
        <v>-9.9999999999997868E-2</v>
      </c>
      <c r="BE221" s="111">
        <f t="shared" si="144"/>
        <v>-9.9999999999997868E-2</v>
      </c>
      <c r="BF221" s="111">
        <f t="shared" si="145"/>
        <v>-0.10000000000000142</v>
      </c>
      <c r="BG221" s="111">
        <f t="shared" si="146"/>
        <v>-0.10000000000000142</v>
      </c>
      <c r="BH221" s="111">
        <f t="shared" si="147"/>
        <v>-9.9999999999997868E-2</v>
      </c>
      <c r="BI221" s="111">
        <f t="shared" si="148"/>
        <v>-0.10000000000000142</v>
      </c>
      <c r="BJ221" s="111">
        <f t="shared" si="149"/>
        <v>-0.19999999999999929</v>
      </c>
      <c r="BK221" s="111">
        <f t="shared" si="150"/>
        <v>-0.10000000000000142</v>
      </c>
      <c r="BL221" s="111">
        <f t="shared" si="151"/>
        <v>-0.19999999999999929</v>
      </c>
      <c r="BM221" s="111">
        <f t="shared" si="152"/>
        <v>-0.19999999999999929</v>
      </c>
      <c r="BN221" s="111">
        <f t="shared" si="153"/>
        <v>-0.19999999999999929</v>
      </c>
      <c r="BO221" s="111">
        <f t="shared" si="154"/>
        <v>-9.9999999999997868E-2</v>
      </c>
    </row>
    <row r="222" spans="38:67" ht="12.75" x14ac:dyDescent="0.2">
      <c r="AN222" t="s">
        <v>106</v>
      </c>
      <c r="AO222" s="140">
        <v>21.4</v>
      </c>
      <c r="AP222" s="140">
        <v>19.7</v>
      </c>
      <c r="AQ222" s="140">
        <v>19.2</v>
      </c>
      <c r="AR222" s="140">
        <v>18.899999999999999</v>
      </c>
      <c r="AS222" s="129">
        <f t="shared" si="155"/>
        <v>18.75</v>
      </c>
      <c r="AT222" s="140">
        <v>18.600000000000001</v>
      </c>
      <c r="AU222" s="140">
        <v>18.3</v>
      </c>
      <c r="AV222" s="140">
        <v>18</v>
      </c>
      <c r="AW222" s="140">
        <v>17.8</v>
      </c>
      <c r="AX222" s="140">
        <v>17.8</v>
      </c>
      <c r="AY222" s="140">
        <v>18.100000000000001</v>
      </c>
      <c r="AZ222" s="140">
        <v>19.2</v>
      </c>
      <c r="BA222" s="140">
        <v>21.5</v>
      </c>
      <c r="BC222" s="111">
        <f t="shared" si="156"/>
        <v>-0.10000000000000142</v>
      </c>
      <c r="BD222" s="111">
        <f t="shared" si="143"/>
        <v>-0.10000000000000142</v>
      </c>
      <c r="BE222" s="111">
        <f t="shared" si="144"/>
        <v>-0.10000000000000142</v>
      </c>
      <c r="BF222" s="111">
        <f t="shared" si="145"/>
        <v>-0.10000000000000142</v>
      </c>
      <c r="BG222" s="111">
        <f t="shared" si="146"/>
        <v>-0.10000000000000142</v>
      </c>
      <c r="BH222" s="111">
        <f t="shared" si="147"/>
        <v>-9.9999999999997868E-2</v>
      </c>
      <c r="BI222" s="111">
        <f t="shared" si="148"/>
        <v>-0.19999999999999929</v>
      </c>
      <c r="BJ222" s="111">
        <f t="shared" si="149"/>
        <v>-0.10000000000000142</v>
      </c>
      <c r="BK222" s="111">
        <f t="shared" si="150"/>
        <v>-9.9999999999997868E-2</v>
      </c>
      <c r="BL222" s="111">
        <f t="shared" si="151"/>
        <v>-9.9999999999997868E-2</v>
      </c>
      <c r="BM222" s="111">
        <f t="shared" si="152"/>
        <v>-9.9999999999997868E-2</v>
      </c>
      <c r="BN222" s="111">
        <f t="shared" si="153"/>
        <v>-0.10000000000000142</v>
      </c>
      <c r="BO222" s="111">
        <f t="shared" si="154"/>
        <v>-0.10000000000000142</v>
      </c>
    </row>
    <row r="223" spans="38:67" ht="12.75" x14ac:dyDescent="0.2">
      <c r="AN223" t="s">
        <v>79</v>
      </c>
      <c r="AO223" s="140">
        <v>21.5</v>
      </c>
      <c r="AP223" s="140">
        <v>19.899999999999999</v>
      </c>
      <c r="AQ223" s="140">
        <v>19.399999999999999</v>
      </c>
      <c r="AR223" s="140">
        <v>19.100000000000001</v>
      </c>
      <c r="AS223" s="129">
        <f t="shared" si="155"/>
        <v>18.899999999999999</v>
      </c>
      <c r="AT223" s="140">
        <v>18.7</v>
      </c>
      <c r="AU223" s="140">
        <v>18.399999999999999</v>
      </c>
      <c r="AV223" s="140">
        <v>17.899999999999999</v>
      </c>
      <c r="AW223" s="140">
        <v>17.600000000000001</v>
      </c>
      <c r="AX223" s="140">
        <v>17.5</v>
      </c>
      <c r="AY223" s="140">
        <v>17.600000000000001</v>
      </c>
      <c r="AZ223" s="140">
        <v>18.399999999999999</v>
      </c>
      <c r="BA223" s="140">
        <v>20.399999999999999</v>
      </c>
      <c r="BC223" s="111" t="e">
        <f t="shared" si="156"/>
        <v>#REF!</v>
      </c>
      <c r="BD223" s="111">
        <f t="shared" si="143"/>
        <v>-0.10000000000000142</v>
      </c>
      <c r="BE223" s="111">
        <f t="shared" si="144"/>
        <v>-0.10000000000000142</v>
      </c>
      <c r="BF223" s="111">
        <f t="shared" si="145"/>
        <v>-9.9999999999997868E-2</v>
      </c>
      <c r="BG223" s="111">
        <f t="shared" si="146"/>
        <v>-0.10000000000000142</v>
      </c>
      <c r="BH223" s="111">
        <f t="shared" si="147"/>
        <v>-0.10000000000000142</v>
      </c>
      <c r="BI223" s="111">
        <f t="shared" si="148"/>
        <v>-0.10000000000000142</v>
      </c>
      <c r="BJ223" s="111">
        <f t="shared" si="149"/>
        <v>-0.10000000000000142</v>
      </c>
      <c r="BK223" s="111">
        <f t="shared" si="150"/>
        <v>-9.9999999999997868E-2</v>
      </c>
      <c r="BL223" s="111">
        <f t="shared" si="151"/>
        <v>-0.10000000000000142</v>
      </c>
      <c r="BM223" s="111">
        <f t="shared" si="152"/>
        <v>-9.9999999999997868E-2</v>
      </c>
      <c r="BN223" s="111">
        <f t="shared" si="153"/>
        <v>-0.10000000000000142</v>
      </c>
      <c r="BO223" s="111">
        <f t="shared" si="154"/>
        <v>-0.10000000000000142</v>
      </c>
    </row>
    <row r="224" spans="38:67" ht="12.75" x14ac:dyDescent="0.2">
      <c r="AN224" t="s">
        <v>159</v>
      </c>
      <c r="AO224" s="140">
        <v>21.5</v>
      </c>
      <c r="AP224" s="140">
        <v>20</v>
      </c>
      <c r="AQ224" s="140">
        <v>19.5</v>
      </c>
      <c r="AR224" s="140">
        <v>19.2</v>
      </c>
      <c r="AS224" s="129">
        <f t="shared" si="155"/>
        <v>18.95</v>
      </c>
      <c r="AT224" s="140">
        <v>18.7</v>
      </c>
      <c r="AU224" s="140">
        <v>18.3</v>
      </c>
      <c r="AV224" s="140">
        <v>17.7</v>
      </c>
      <c r="AW224" s="140">
        <v>17.2</v>
      </c>
      <c r="AX224" s="140">
        <v>16.899999999999999</v>
      </c>
      <c r="AY224" s="140">
        <v>16.7</v>
      </c>
      <c r="AZ224" s="140">
        <v>17</v>
      </c>
      <c r="BA224" s="140">
        <v>18.3</v>
      </c>
      <c r="BC224" s="111">
        <f t="shared" si="156"/>
        <v>-0.10000000000000142</v>
      </c>
      <c r="BD224" s="111">
        <f t="shared" si="143"/>
        <v>-0.10000000000000142</v>
      </c>
      <c r="BE224" s="111">
        <f t="shared" si="144"/>
        <v>-0.10000000000000142</v>
      </c>
      <c r="BF224" s="111">
        <f t="shared" si="145"/>
        <v>-0.10000000000000142</v>
      </c>
      <c r="BG224" s="111">
        <f t="shared" si="146"/>
        <v>-0.10000000000000142</v>
      </c>
      <c r="BH224" s="111">
        <f t="shared" si="147"/>
        <v>-0.10000000000000142</v>
      </c>
      <c r="BI224" s="111">
        <f t="shared" si="148"/>
        <v>-9.9999999999997868E-2</v>
      </c>
      <c r="BJ224" s="111">
        <f t="shared" si="149"/>
        <v>-0.10000000000000142</v>
      </c>
      <c r="BK224" s="111">
        <f t="shared" si="150"/>
        <v>-0.10000000000000142</v>
      </c>
      <c r="BL224" s="111">
        <f t="shared" si="151"/>
        <v>-0.10000000000000142</v>
      </c>
      <c r="BM224" s="111">
        <f t="shared" si="152"/>
        <v>-0.10000000000000142</v>
      </c>
      <c r="BN224" s="111">
        <f t="shared" si="153"/>
        <v>-0.10000000000000142</v>
      </c>
      <c r="BO224" s="111">
        <f t="shared" si="154"/>
        <v>-9.9999999999997868E-2</v>
      </c>
    </row>
    <row r="225" spans="38:67" ht="12.75" x14ac:dyDescent="0.2">
      <c r="AN225" t="s">
        <v>107</v>
      </c>
      <c r="AO225" s="140">
        <v>21.1</v>
      </c>
      <c r="AP225" s="140">
        <v>19.8</v>
      </c>
      <c r="AQ225" s="140">
        <v>19.399999999999999</v>
      </c>
      <c r="AR225" s="140">
        <v>19</v>
      </c>
      <c r="AS225" s="129">
        <f t="shared" si="155"/>
        <v>18.75</v>
      </c>
      <c r="AT225" s="140">
        <v>18.5</v>
      </c>
      <c r="AU225" s="140">
        <v>18.100000000000001</v>
      </c>
      <c r="AV225" s="140">
        <v>17.399999999999999</v>
      </c>
      <c r="AW225" s="140">
        <v>16.8</v>
      </c>
      <c r="AX225" s="140">
        <v>16.399999999999999</v>
      </c>
      <c r="AY225" s="140">
        <v>15.9</v>
      </c>
      <c r="AZ225" s="140">
        <v>15.7</v>
      </c>
      <c r="BA225" s="140">
        <v>16.2</v>
      </c>
      <c r="BC225" s="111">
        <f t="shared" si="156"/>
        <v>-9.9999999999997868E-2</v>
      </c>
      <c r="BD225" s="111">
        <f t="shared" si="143"/>
        <v>-0.19999999999999929</v>
      </c>
      <c r="BE225" s="111">
        <f t="shared" si="144"/>
        <v>-0.10000000000000142</v>
      </c>
      <c r="BF225" s="111">
        <f t="shared" si="145"/>
        <v>-0.19999999999999929</v>
      </c>
      <c r="BG225" s="111">
        <f t="shared" si="146"/>
        <v>-0.14999999999999858</v>
      </c>
      <c r="BH225" s="111">
        <f t="shared" si="147"/>
        <v>-0.10000000000000142</v>
      </c>
      <c r="BI225" s="111">
        <f t="shared" si="148"/>
        <v>-9.9999999999997868E-2</v>
      </c>
      <c r="BJ225" s="111">
        <f t="shared" si="149"/>
        <v>-0.10000000000000142</v>
      </c>
      <c r="BK225" s="111">
        <f t="shared" si="150"/>
        <v>-9.9999999999997868E-2</v>
      </c>
      <c r="BL225" s="111">
        <f t="shared" si="151"/>
        <v>-0.10000000000000142</v>
      </c>
      <c r="BM225" s="111">
        <f t="shared" si="152"/>
        <v>-9.9999999999999645E-2</v>
      </c>
      <c r="BN225" s="111">
        <f t="shared" si="153"/>
        <v>-0.10000000000000142</v>
      </c>
      <c r="BO225" s="111">
        <f t="shared" si="154"/>
        <v>-0.10000000000000142</v>
      </c>
    </row>
    <row r="226" spans="38:67" ht="12.75" x14ac:dyDescent="0.2">
      <c r="AN226" t="s">
        <v>108</v>
      </c>
      <c r="AO226" s="140">
        <v>20.6</v>
      </c>
      <c r="AP226" s="140">
        <v>19.5</v>
      </c>
      <c r="AQ226" s="140">
        <v>19.100000000000001</v>
      </c>
      <c r="AR226" s="140">
        <v>18.8</v>
      </c>
      <c r="AS226" s="129">
        <f t="shared" si="155"/>
        <v>18.5</v>
      </c>
      <c r="AT226" s="140">
        <v>18.2</v>
      </c>
      <c r="AU226" s="140">
        <v>17.8</v>
      </c>
      <c r="AV226" s="140">
        <v>17</v>
      </c>
      <c r="AW226" s="140">
        <v>16.399999999999999</v>
      </c>
      <c r="AX226" s="140">
        <v>15.9</v>
      </c>
      <c r="AY226" s="140">
        <v>15.3</v>
      </c>
      <c r="AZ226" s="140">
        <v>14.7</v>
      </c>
      <c r="BA226" s="140">
        <v>14.5</v>
      </c>
      <c r="BC226" s="111">
        <f t="shared" si="156"/>
        <v>-9.9999999999997868E-2</v>
      </c>
      <c r="BD226" s="111">
        <f t="shared" si="143"/>
        <v>-0.10000000000000142</v>
      </c>
      <c r="BE226" s="111">
        <f t="shared" si="144"/>
        <v>-9.9999999999997868E-2</v>
      </c>
      <c r="BF226" s="111">
        <f t="shared" si="145"/>
        <v>-9.9999999999997868E-2</v>
      </c>
      <c r="BG226" s="111">
        <f t="shared" si="146"/>
        <v>-0.14999999999999858</v>
      </c>
      <c r="BH226" s="111">
        <f t="shared" si="147"/>
        <v>-0.19999999999999929</v>
      </c>
      <c r="BI226" s="111">
        <f t="shared" si="148"/>
        <v>-9.9999999999997868E-2</v>
      </c>
      <c r="BJ226" s="111">
        <f t="shared" si="149"/>
        <v>-0.10000000000000142</v>
      </c>
      <c r="BK226" s="111">
        <f t="shared" si="150"/>
        <v>-0.10000000000000142</v>
      </c>
      <c r="BL226" s="111">
        <f t="shared" si="151"/>
        <v>-9.9999999999999645E-2</v>
      </c>
      <c r="BM226" s="111">
        <f t="shared" si="152"/>
        <v>-9.9999999999999645E-2</v>
      </c>
      <c r="BN226" s="111">
        <f t="shared" si="153"/>
        <v>-0.10000000000000142</v>
      </c>
      <c r="BO226" s="111">
        <f t="shared" si="154"/>
        <v>-9.9999999999999645E-2</v>
      </c>
    </row>
    <row r="227" spans="38:67" ht="12.75" x14ac:dyDescent="0.2">
      <c r="AN227" t="s">
        <v>109</v>
      </c>
      <c r="AO227" s="140">
        <v>20.3</v>
      </c>
      <c r="AP227" s="140">
        <v>19.3</v>
      </c>
      <c r="AQ227" s="140">
        <v>19</v>
      </c>
      <c r="AR227" s="140">
        <v>18.600000000000001</v>
      </c>
      <c r="AS227" s="129">
        <f t="shared" si="155"/>
        <v>18.350000000000001</v>
      </c>
      <c r="AT227" s="140">
        <v>18.100000000000001</v>
      </c>
      <c r="AU227" s="140">
        <v>17.7</v>
      </c>
      <c r="AV227" s="140">
        <v>16.899999999999999</v>
      </c>
      <c r="AW227" s="140">
        <v>16.2</v>
      </c>
      <c r="AX227" s="140">
        <v>15.7</v>
      </c>
      <c r="AY227" s="140">
        <v>15.1</v>
      </c>
      <c r="AZ227" s="140">
        <v>14.3</v>
      </c>
      <c r="BA227" s="140">
        <v>13.8</v>
      </c>
      <c r="BC227" s="111">
        <f t="shared" si="156"/>
        <v>-9.9999999999997868E-2</v>
      </c>
      <c r="BD227" s="111">
        <f t="shared" si="143"/>
        <v>-9.9999999999997868E-2</v>
      </c>
      <c r="BE227" s="111">
        <f t="shared" si="144"/>
        <v>-0.10000000000000142</v>
      </c>
      <c r="BF227" s="111">
        <f t="shared" si="145"/>
        <v>-9.9999999999997868E-2</v>
      </c>
      <c r="BG227" s="111">
        <f t="shared" si="146"/>
        <v>-9.9999999999997868E-2</v>
      </c>
      <c r="BH227" s="111">
        <f t="shared" si="147"/>
        <v>-9.9999999999997868E-2</v>
      </c>
      <c r="BI227" s="111">
        <f t="shared" si="148"/>
        <v>-0.10000000000000142</v>
      </c>
      <c r="BJ227" s="111">
        <f t="shared" si="149"/>
        <v>-0.10000000000000142</v>
      </c>
      <c r="BK227" s="111">
        <f t="shared" si="150"/>
        <v>-0.10000000000000142</v>
      </c>
      <c r="BL227" s="111">
        <f t="shared" si="151"/>
        <v>-0.20000000000000107</v>
      </c>
      <c r="BM227" s="111">
        <f t="shared" si="152"/>
        <v>-9.9999999999999645E-2</v>
      </c>
      <c r="BN227" s="111">
        <f t="shared" si="153"/>
        <v>-9.9999999999999645E-2</v>
      </c>
      <c r="BO227" s="111">
        <f t="shared" si="154"/>
        <v>0</v>
      </c>
    </row>
    <row r="228" spans="38:67" ht="12.75" x14ac:dyDescent="0.2">
      <c r="AN228" t="s">
        <v>110</v>
      </c>
      <c r="AO228" s="140">
        <v>20</v>
      </c>
      <c r="AP228" s="140">
        <v>19.2</v>
      </c>
      <c r="AQ228" s="140">
        <v>18.8</v>
      </c>
      <c r="AR228" s="140">
        <v>18.5</v>
      </c>
      <c r="AS228" s="129">
        <f t="shared" si="155"/>
        <v>18.25</v>
      </c>
      <c r="AT228" s="140">
        <v>18</v>
      </c>
      <c r="AU228" s="140">
        <v>17.5</v>
      </c>
      <c r="AV228" s="140">
        <v>16.7</v>
      </c>
      <c r="AW228" s="140">
        <v>16.100000000000001</v>
      </c>
      <c r="AX228" s="140">
        <v>15.6</v>
      </c>
      <c r="AY228" s="140">
        <v>14.9</v>
      </c>
      <c r="AZ228" s="140">
        <v>14.1</v>
      </c>
      <c r="BA228" s="140">
        <v>13.3</v>
      </c>
      <c r="BC228" s="111">
        <f t="shared" si="156"/>
        <v>-0.10000000000000142</v>
      </c>
      <c r="BD228" s="111">
        <f t="shared" si="143"/>
        <v>-0.10000000000000142</v>
      </c>
      <c r="BE228" s="111">
        <f t="shared" si="144"/>
        <v>-9.9999999999997868E-2</v>
      </c>
      <c r="BF228" s="111">
        <f t="shared" si="145"/>
        <v>-0.10000000000000142</v>
      </c>
      <c r="BG228" s="111">
        <f t="shared" si="146"/>
        <v>-0.10000000000000142</v>
      </c>
      <c r="BH228" s="111">
        <f t="shared" si="147"/>
        <v>-0.10000000000000142</v>
      </c>
      <c r="BI228" s="111">
        <f t="shared" si="148"/>
        <v>-0.10000000000000142</v>
      </c>
      <c r="BJ228" s="111">
        <f t="shared" si="149"/>
        <v>-0.10000000000000142</v>
      </c>
      <c r="BK228" s="111">
        <f t="shared" si="150"/>
        <v>-9.9999999999997868E-2</v>
      </c>
      <c r="BL228" s="111">
        <f t="shared" si="151"/>
        <v>-9.9999999999999645E-2</v>
      </c>
      <c r="BM228" s="111">
        <f t="shared" si="152"/>
        <v>-9.9999999999999645E-2</v>
      </c>
      <c r="BN228" s="111">
        <f t="shared" si="153"/>
        <v>-9.9999999999999645E-2</v>
      </c>
      <c r="BO228" s="111">
        <f t="shared" si="154"/>
        <v>-9.9999999999999645E-2</v>
      </c>
    </row>
    <row r="230" spans="38:67" x14ac:dyDescent="0.2">
      <c r="AO230">
        <v>-0.5</v>
      </c>
      <c r="AP230">
        <v>-0.25</v>
      </c>
      <c r="AQ230">
        <v>-0.13</v>
      </c>
      <c r="AR230">
        <v>0</v>
      </c>
      <c r="AS230">
        <v>0.125</v>
      </c>
      <c r="AT230" s="126">
        <v>0.25</v>
      </c>
      <c r="AU230" s="126">
        <v>0.5</v>
      </c>
      <c r="AV230" s="126">
        <v>1</v>
      </c>
      <c r="AW230" s="126">
        <v>1.5</v>
      </c>
      <c r="AX230" s="126">
        <v>2</v>
      </c>
      <c r="AY230" s="126">
        <v>3</v>
      </c>
      <c r="AZ230" s="126">
        <v>5</v>
      </c>
      <c r="BA230" s="126">
        <v>10</v>
      </c>
    </row>
    <row r="231" spans="38:67" ht="12.75" x14ac:dyDescent="0.2">
      <c r="AL231" s="105" t="s">
        <v>292</v>
      </c>
      <c r="AN231" t="s">
        <v>25</v>
      </c>
      <c r="AO231" s="140">
        <v>9.3000000000000007</v>
      </c>
      <c r="AP231" s="140">
        <f>AP214</f>
        <v>7.2</v>
      </c>
      <c r="AQ231" s="140">
        <f t="shared" ref="AQ231:AR231" si="157">AQ214</f>
        <v>8.1999999999999993</v>
      </c>
      <c r="AR231" s="140">
        <f t="shared" si="157"/>
        <v>9.6999999999999993</v>
      </c>
      <c r="AS231" s="129">
        <f>(AR231+AT231)/2</f>
        <v>11.149999999999999</v>
      </c>
      <c r="AT231" s="140">
        <f t="shared" ref="AT231:AX231" si="158">AT214</f>
        <v>12.6</v>
      </c>
      <c r="AU231" s="140">
        <f t="shared" si="158"/>
        <v>15.3</v>
      </c>
      <c r="AV231" s="140">
        <f t="shared" si="158"/>
        <v>19.7</v>
      </c>
      <c r="AW231" s="140">
        <f t="shared" si="158"/>
        <v>23.4</v>
      </c>
      <c r="AX231" s="140">
        <f t="shared" si="158"/>
        <v>26.6</v>
      </c>
      <c r="AY231" s="140">
        <v>31.7</v>
      </c>
      <c r="AZ231" s="140">
        <f t="shared" ref="AZ231:BA231" si="159">AZ214</f>
        <v>39.4</v>
      </c>
      <c r="BA231" s="140">
        <f t="shared" si="159"/>
        <v>51.3</v>
      </c>
      <c r="BC231" s="111">
        <f>AO231-AO214</f>
        <v>-9.9999999999999645E-2</v>
      </c>
      <c r="BD231" s="111">
        <f t="shared" ref="BD231:BD245" si="160">AP231-AP214</f>
        <v>0</v>
      </c>
      <c r="BE231" s="111">
        <f t="shared" ref="BE231:BE245" si="161">AQ231-AQ214</f>
        <v>0</v>
      </c>
      <c r="BF231" s="111">
        <f t="shared" ref="BF231:BF245" si="162">AR231-AR214</f>
        <v>0</v>
      </c>
      <c r="BG231" s="111">
        <f t="shared" ref="BG231:BG245" si="163">AS231-AS214</f>
        <v>0</v>
      </c>
      <c r="BH231" s="111">
        <f t="shared" ref="BH231:BH245" si="164">AT231-AT214</f>
        <v>0</v>
      </c>
      <c r="BI231" s="111">
        <f t="shared" ref="BI231:BI245" si="165">AU231-AU214</f>
        <v>0</v>
      </c>
      <c r="BJ231" s="111">
        <f t="shared" ref="BJ231:BJ245" si="166">AV231-AV214</f>
        <v>0</v>
      </c>
      <c r="BK231" s="111">
        <f t="shared" ref="BK231:BK245" si="167">AW231-AW214</f>
        <v>0</v>
      </c>
      <c r="BL231" s="111">
        <f t="shared" ref="BL231:BL245" si="168">AX231-AX214</f>
        <v>0</v>
      </c>
      <c r="BM231" s="111">
        <f t="shared" ref="BM231:BM245" si="169">AY231-AY214</f>
        <v>-0.10000000000000142</v>
      </c>
      <c r="BN231" s="111">
        <f t="shared" ref="BN231:BN245" si="170">AZ231-AZ214</f>
        <v>0</v>
      </c>
      <c r="BO231" s="111">
        <f t="shared" ref="BO231:BO245" si="171">BA231-BA214</f>
        <v>0</v>
      </c>
    </row>
    <row r="232" spans="38:67" ht="12.75" x14ac:dyDescent="0.2">
      <c r="AN232" t="s">
        <v>157</v>
      </c>
      <c r="AO232" s="140">
        <v>11</v>
      </c>
      <c r="AP232" s="140">
        <f>AP215</f>
        <v>9.4</v>
      </c>
      <c r="AQ232" s="140">
        <v>10.199999999999999</v>
      </c>
      <c r="AR232" s="140">
        <v>11.3</v>
      </c>
      <c r="AS232" s="129">
        <f t="shared" ref="AS232:AS245" si="172">(AR232+AT232)/2</f>
        <v>12.5</v>
      </c>
      <c r="AT232" s="140">
        <v>13.7</v>
      </c>
      <c r="AU232" s="140">
        <v>15.8</v>
      </c>
      <c r="AV232" s="140">
        <f>AV215</f>
        <v>19.3</v>
      </c>
      <c r="AW232" s="140">
        <v>22.3</v>
      </c>
      <c r="AX232" s="140">
        <v>24.8</v>
      </c>
      <c r="AY232" s="140">
        <v>28.9</v>
      </c>
      <c r="AZ232" s="140">
        <v>34.799999999999997</v>
      </c>
      <c r="BA232" s="140">
        <v>43.5</v>
      </c>
      <c r="BC232" s="111">
        <f t="shared" ref="BC232:BC245" si="173">AO232-AO215</f>
        <v>-9.9999999999999645E-2</v>
      </c>
      <c r="BD232" s="111">
        <f t="shared" si="160"/>
        <v>0</v>
      </c>
      <c r="BE232" s="111">
        <f t="shared" si="161"/>
        <v>0</v>
      </c>
      <c r="BF232" s="111">
        <f t="shared" si="162"/>
        <v>0</v>
      </c>
      <c r="BG232" s="111">
        <f t="shared" si="163"/>
        <v>5.0000000000000711E-2</v>
      </c>
      <c r="BH232" s="111">
        <f t="shared" si="164"/>
        <v>9.9999999999999645E-2</v>
      </c>
      <c r="BI232" s="111">
        <f t="shared" si="165"/>
        <v>0.10000000000000142</v>
      </c>
      <c r="BJ232" s="111">
        <f t="shared" si="166"/>
        <v>0</v>
      </c>
      <c r="BK232" s="111">
        <f t="shared" si="167"/>
        <v>0</v>
      </c>
      <c r="BL232" s="111">
        <f t="shared" si="168"/>
        <v>0</v>
      </c>
      <c r="BM232" s="111">
        <f t="shared" si="169"/>
        <v>9.9999999999997868E-2</v>
      </c>
      <c r="BN232" s="111">
        <f t="shared" si="170"/>
        <v>9.9999999999994316E-2</v>
      </c>
      <c r="BO232" s="111">
        <f t="shared" si="171"/>
        <v>0</v>
      </c>
    </row>
    <row r="233" spans="38:67" ht="12.75" x14ac:dyDescent="0.2">
      <c r="AN233" t="s">
        <v>99</v>
      </c>
      <c r="AO233" s="140">
        <v>14.3</v>
      </c>
      <c r="AP233" s="140">
        <v>11.9</v>
      </c>
      <c r="AQ233" s="140">
        <v>11.6</v>
      </c>
      <c r="AR233" s="140">
        <v>11.9</v>
      </c>
      <c r="AS233" s="129">
        <f t="shared" si="172"/>
        <v>12.55</v>
      </c>
      <c r="AT233" s="140">
        <v>13.2</v>
      </c>
      <c r="AU233" s="140">
        <v>14.5</v>
      </c>
      <c r="AV233" s="140">
        <v>17</v>
      </c>
      <c r="AW233" s="140">
        <v>19.100000000000001</v>
      </c>
      <c r="AX233" s="140">
        <v>21</v>
      </c>
      <c r="AY233" s="140">
        <v>24</v>
      </c>
      <c r="AZ233" s="140">
        <v>28.2</v>
      </c>
      <c r="BA233" s="140">
        <v>34.299999999999997</v>
      </c>
      <c r="BC233" s="111">
        <f t="shared" si="173"/>
        <v>0</v>
      </c>
      <c r="BD233" s="111">
        <f t="shared" si="160"/>
        <v>0</v>
      </c>
      <c r="BE233" s="111">
        <f t="shared" si="161"/>
        <v>9.9999999999999645E-2</v>
      </c>
      <c r="BF233" s="111">
        <f t="shared" si="162"/>
        <v>9.9999999999999645E-2</v>
      </c>
      <c r="BG233" s="111">
        <f t="shared" si="163"/>
        <v>0.10000000000000142</v>
      </c>
      <c r="BH233" s="111">
        <f t="shared" si="164"/>
        <v>9.9999999999999645E-2</v>
      </c>
      <c r="BI233" s="111">
        <f t="shared" si="165"/>
        <v>9.9999999999999645E-2</v>
      </c>
      <c r="BJ233" s="111">
        <f t="shared" si="166"/>
        <v>0.10000000000000142</v>
      </c>
      <c r="BK233" s="111">
        <f t="shared" si="167"/>
        <v>0.10000000000000142</v>
      </c>
      <c r="BL233" s="111">
        <f t="shared" si="168"/>
        <v>0.10000000000000142</v>
      </c>
      <c r="BM233" s="111">
        <f t="shared" si="169"/>
        <v>0.10000000000000142</v>
      </c>
      <c r="BN233" s="111">
        <f t="shared" si="170"/>
        <v>9.9999999999997868E-2</v>
      </c>
      <c r="BO233" s="111">
        <f t="shared" si="171"/>
        <v>9.9999999999994316E-2</v>
      </c>
    </row>
    <row r="234" spans="38:67" ht="12.75" x14ac:dyDescent="0.2">
      <c r="AN234" t="s">
        <v>101</v>
      </c>
      <c r="AO234" s="140">
        <v>16.399999999999999</v>
      </c>
      <c r="AP234" s="140">
        <v>14.3</v>
      </c>
      <c r="AQ234" s="140">
        <v>13.9</v>
      </c>
      <c r="AR234" s="140">
        <v>14</v>
      </c>
      <c r="AS234" s="129">
        <f t="shared" si="172"/>
        <v>14.4</v>
      </c>
      <c r="AT234" s="140">
        <v>14.8</v>
      </c>
      <c r="AU234" s="140">
        <v>15.6</v>
      </c>
      <c r="AV234" s="140">
        <v>17.100000000000001</v>
      </c>
      <c r="AW234" s="140">
        <v>18.5</v>
      </c>
      <c r="AX234" s="140">
        <v>19.8</v>
      </c>
      <c r="AY234" s="140">
        <v>22</v>
      </c>
      <c r="AZ234" s="140">
        <v>25.2</v>
      </c>
      <c r="BA234" s="140">
        <v>29.8</v>
      </c>
      <c r="BC234" s="111">
        <f t="shared" si="173"/>
        <v>-0.10000000000000142</v>
      </c>
      <c r="BD234" s="111">
        <f t="shared" si="160"/>
        <v>0</v>
      </c>
      <c r="BE234" s="111">
        <f t="shared" si="161"/>
        <v>0</v>
      </c>
      <c r="BF234" s="111">
        <f t="shared" si="162"/>
        <v>0</v>
      </c>
      <c r="BG234" s="111">
        <f t="shared" si="163"/>
        <v>5.0000000000000711E-2</v>
      </c>
      <c r="BH234" s="111">
        <f t="shared" si="164"/>
        <v>0.10000000000000142</v>
      </c>
      <c r="BI234" s="111">
        <f t="shared" si="165"/>
        <v>9.9999999999999645E-2</v>
      </c>
      <c r="BJ234" s="111">
        <f t="shared" si="166"/>
        <v>0.10000000000000142</v>
      </c>
      <c r="BK234" s="111">
        <f t="shared" si="167"/>
        <v>0.10000000000000142</v>
      </c>
      <c r="BL234" s="111">
        <f t="shared" si="168"/>
        <v>0.19999999999999929</v>
      </c>
      <c r="BM234" s="111">
        <f t="shared" si="169"/>
        <v>0.19999999999999929</v>
      </c>
      <c r="BN234" s="111">
        <f t="shared" si="170"/>
        <v>0.19999999999999929</v>
      </c>
      <c r="BO234" s="111">
        <f t="shared" si="171"/>
        <v>0.19999999999999929</v>
      </c>
    </row>
    <row r="235" spans="38:67" ht="12.75" x14ac:dyDescent="0.2">
      <c r="AN235" t="s">
        <v>102</v>
      </c>
      <c r="AO235" s="140">
        <v>18.3</v>
      </c>
      <c r="AP235" s="140">
        <v>16.3</v>
      </c>
      <c r="AQ235" s="140">
        <v>15.9</v>
      </c>
      <c r="AR235" s="140">
        <v>15.8</v>
      </c>
      <c r="AS235" s="129">
        <f t="shared" si="172"/>
        <v>16.05</v>
      </c>
      <c r="AT235" s="140">
        <v>16.3</v>
      </c>
      <c r="AU235" s="140">
        <v>16.8</v>
      </c>
      <c r="AV235" s="140">
        <v>17.7</v>
      </c>
      <c r="AW235" s="140">
        <v>18.600000000000001</v>
      </c>
      <c r="AX235" s="140">
        <v>19.5</v>
      </c>
      <c r="AY235" s="140">
        <v>21.1</v>
      </c>
      <c r="AZ235" s="140">
        <v>23.7</v>
      </c>
      <c r="BA235" s="140">
        <v>27.4</v>
      </c>
      <c r="BC235" s="111">
        <f t="shared" si="173"/>
        <v>0</v>
      </c>
      <c r="BD235" s="111">
        <f t="shared" si="160"/>
        <v>0</v>
      </c>
      <c r="BE235" s="111">
        <f t="shared" si="161"/>
        <v>9.9999999999999645E-2</v>
      </c>
      <c r="BF235" s="111">
        <f t="shared" si="162"/>
        <v>0</v>
      </c>
      <c r="BG235" s="111">
        <f t="shared" si="163"/>
        <v>5.0000000000000711E-2</v>
      </c>
      <c r="BH235" s="111">
        <f t="shared" si="164"/>
        <v>0.10000000000000142</v>
      </c>
      <c r="BI235" s="111">
        <f t="shared" si="165"/>
        <v>0.19999999999999929</v>
      </c>
      <c r="BJ235" s="111">
        <f t="shared" si="166"/>
        <v>0.19999999999999929</v>
      </c>
      <c r="BK235" s="111">
        <f t="shared" si="167"/>
        <v>0.20000000000000284</v>
      </c>
      <c r="BL235" s="111">
        <f t="shared" si="168"/>
        <v>0.19999999999999929</v>
      </c>
      <c r="BM235" s="111">
        <f t="shared" si="169"/>
        <v>0.20000000000000284</v>
      </c>
      <c r="BN235" s="111">
        <f t="shared" si="170"/>
        <v>0.30000000000000071</v>
      </c>
      <c r="BO235" s="111">
        <f t="shared" si="171"/>
        <v>0.19999999999999929</v>
      </c>
    </row>
    <row r="236" spans="38:67" ht="12.75" x14ac:dyDescent="0.2">
      <c r="AN236" t="s">
        <v>103</v>
      </c>
      <c r="AO236" s="140">
        <f>AO219</f>
        <v>19.600000000000001</v>
      </c>
      <c r="AP236" s="140">
        <v>17.7</v>
      </c>
      <c r="AQ236" s="140">
        <v>17.2</v>
      </c>
      <c r="AR236" s="140">
        <v>17.100000000000001</v>
      </c>
      <c r="AS236" s="129">
        <f t="shared" si="172"/>
        <v>17.200000000000003</v>
      </c>
      <c r="AT236" s="140">
        <v>17.3</v>
      </c>
      <c r="AU236" s="140">
        <v>17.5</v>
      </c>
      <c r="AV236" s="140">
        <v>18</v>
      </c>
      <c r="AW236" s="140">
        <v>18.5</v>
      </c>
      <c r="AX236" s="140">
        <v>19.2</v>
      </c>
      <c r="AY236" s="140">
        <v>20.399999999999999</v>
      </c>
      <c r="AZ236" s="140">
        <v>22.5</v>
      </c>
      <c r="BA236" s="140">
        <v>25.8</v>
      </c>
      <c r="BC236" s="111">
        <f t="shared" si="173"/>
        <v>0</v>
      </c>
      <c r="BD236" s="111">
        <f t="shared" si="160"/>
        <v>9.9999999999997868E-2</v>
      </c>
      <c r="BE236" s="111">
        <f t="shared" si="161"/>
        <v>0</v>
      </c>
      <c r="BF236" s="111">
        <f t="shared" si="162"/>
        <v>0.10000000000000142</v>
      </c>
      <c r="BG236" s="111">
        <f t="shared" si="163"/>
        <v>0.10000000000000142</v>
      </c>
      <c r="BH236" s="111">
        <f t="shared" si="164"/>
        <v>0.10000000000000142</v>
      </c>
      <c r="BI236" s="111">
        <f t="shared" si="165"/>
        <v>0.10000000000000142</v>
      </c>
      <c r="BJ236" s="111">
        <f t="shared" si="166"/>
        <v>0.19999999999999929</v>
      </c>
      <c r="BK236" s="111">
        <f t="shared" si="167"/>
        <v>0.19999999999999929</v>
      </c>
      <c r="BL236" s="111">
        <f t="shared" si="168"/>
        <v>0.30000000000000071</v>
      </c>
      <c r="BM236" s="111">
        <f t="shared" si="169"/>
        <v>0.29999999999999716</v>
      </c>
      <c r="BN236" s="111">
        <f t="shared" si="170"/>
        <v>0.19999999999999929</v>
      </c>
      <c r="BO236" s="111">
        <f t="shared" si="171"/>
        <v>0.19999999999999929</v>
      </c>
    </row>
    <row r="237" spans="38:67" ht="12.75" x14ac:dyDescent="0.2">
      <c r="AN237" t="s">
        <v>104</v>
      </c>
      <c r="AO237" s="140">
        <v>20.5</v>
      </c>
      <c r="AP237" s="140">
        <v>18.7</v>
      </c>
      <c r="AQ237" s="140">
        <v>18.2</v>
      </c>
      <c r="AR237" s="140">
        <v>18</v>
      </c>
      <c r="AS237" s="129">
        <f t="shared" si="172"/>
        <v>18</v>
      </c>
      <c r="AT237" s="140">
        <v>18</v>
      </c>
      <c r="AU237" s="140">
        <v>18</v>
      </c>
      <c r="AV237" s="140">
        <v>18.100000000000001</v>
      </c>
      <c r="AW237" s="140">
        <v>18.3</v>
      </c>
      <c r="AX237" s="140">
        <v>18.7</v>
      </c>
      <c r="AY237" s="140">
        <v>19.600000000000001</v>
      </c>
      <c r="AZ237" s="140">
        <v>21.3</v>
      </c>
      <c r="BA237" s="140">
        <v>24.2</v>
      </c>
      <c r="BC237" s="111">
        <f t="shared" si="173"/>
        <v>0</v>
      </c>
      <c r="BD237" s="111">
        <f t="shared" si="160"/>
        <v>9.9999999999997868E-2</v>
      </c>
      <c r="BE237" s="111">
        <f t="shared" si="161"/>
        <v>9.9999999999997868E-2</v>
      </c>
      <c r="BF237" s="111">
        <f t="shared" si="162"/>
        <v>0.10000000000000142</v>
      </c>
      <c r="BG237" s="111">
        <f t="shared" si="163"/>
        <v>0.14999999999999858</v>
      </c>
      <c r="BH237" s="111">
        <f t="shared" si="164"/>
        <v>0.19999999999999929</v>
      </c>
      <c r="BI237" s="111">
        <f t="shared" si="165"/>
        <v>0.10000000000000142</v>
      </c>
      <c r="BJ237" s="111">
        <f t="shared" si="166"/>
        <v>0.20000000000000284</v>
      </c>
      <c r="BK237" s="111">
        <f t="shared" si="167"/>
        <v>0.19999999999999929</v>
      </c>
      <c r="BL237" s="111">
        <f t="shared" si="168"/>
        <v>0.19999999999999929</v>
      </c>
      <c r="BM237" s="111">
        <f t="shared" si="169"/>
        <v>0.30000000000000071</v>
      </c>
      <c r="BN237" s="111">
        <f t="shared" si="170"/>
        <v>0.19999999999999929</v>
      </c>
      <c r="BO237" s="111">
        <f t="shared" si="171"/>
        <v>0.19999999999999929</v>
      </c>
    </row>
    <row r="238" spans="38:67" ht="12.75" x14ac:dyDescent="0.2">
      <c r="AN238" t="s">
        <v>105</v>
      </c>
      <c r="AO238" s="140">
        <v>21.1</v>
      </c>
      <c r="AP238" s="140">
        <v>19.399999999999999</v>
      </c>
      <c r="AQ238" s="140">
        <v>18.899999999999999</v>
      </c>
      <c r="AR238" s="140">
        <v>18.600000000000001</v>
      </c>
      <c r="AS238" s="129">
        <f t="shared" si="172"/>
        <v>18.5</v>
      </c>
      <c r="AT238" s="140">
        <v>18.399999999999999</v>
      </c>
      <c r="AU238" s="140">
        <v>18.3</v>
      </c>
      <c r="AV238" s="140">
        <v>18.2</v>
      </c>
      <c r="AW238" s="140">
        <v>18.2</v>
      </c>
      <c r="AX238" s="140">
        <v>18.3</v>
      </c>
      <c r="AY238" s="140">
        <v>18.899999999999999</v>
      </c>
      <c r="AZ238" s="140">
        <v>20.2</v>
      </c>
      <c r="BA238" s="140">
        <v>22.8</v>
      </c>
      <c r="BC238" s="111">
        <f t="shared" si="173"/>
        <v>0.10000000000000142</v>
      </c>
      <c r="BD238" s="111">
        <f t="shared" si="160"/>
        <v>9.9999999999997868E-2</v>
      </c>
      <c r="BE238" s="111">
        <f t="shared" si="161"/>
        <v>9.9999999999997868E-2</v>
      </c>
      <c r="BF238" s="111">
        <f t="shared" si="162"/>
        <v>0.10000000000000142</v>
      </c>
      <c r="BG238" s="111">
        <f t="shared" si="163"/>
        <v>0.10000000000000142</v>
      </c>
      <c r="BH238" s="111">
        <f t="shared" si="164"/>
        <v>9.9999999999997868E-2</v>
      </c>
      <c r="BI238" s="111">
        <f t="shared" si="165"/>
        <v>0.10000000000000142</v>
      </c>
      <c r="BJ238" s="111">
        <f t="shared" si="166"/>
        <v>0.19999999999999929</v>
      </c>
      <c r="BK238" s="111">
        <f t="shared" si="167"/>
        <v>0.19999999999999929</v>
      </c>
      <c r="BL238" s="111">
        <f t="shared" si="168"/>
        <v>0.19999999999999929</v>
      </c>
      <c r="BM238" s="111">
        <f t="shared" si="169"/>
        <v>0.29999999999999716</v>
      </c>
      <c r="BN238" s="111">
        <f t="shared" si="170"/>
        <v>0.19999999999999929</v>
      </c>
      <c r="BO238" s="111">
        <f t="shared" si="171"/>
        <v>0.19999999999999929</v>
      </c>
    </row>
    <row r="239" spans="38:67" ht="12.75" x14ac:dyDescent="0.2">
      <c r="AN239" t="s">
        <v>106</v>
      </c>
      <c r="AO239" s="140">
        <v>21.5</v>
      </c>
      <c r="AP239" s="140">
        <v>19.8</v>
      </c>
      <c r="AQ239" s="140">
        <v>19.3</v>
      </c>
      <c r="AR239" s="140">
        <v>19</v>
      </c>
      <c r="AS239" s="129">
        <f t="shared" si="172"/>
        <v>18.850000000000001</v>
      </c>
      <c r="AT239" s="140">
        <v>18.7</v>
      </c>
      <c r="AU239" s="140">
        <v>18.5</v>
      </c>
      <c r="AV239" s="140">
        <v>18.2</v>
      </c>
      <c r="AW239" s="140">
        <v>18</v>
      </c>
      <c r="AX239" s="140">
        <v>18</v>
      </c>
      <c r="AY239" s="140">
        <v>18.3</v>
      </c>
      <c r="AZ239" s="140">
        <v>19.399999999999999</v>
      </c>
      <c r="BA239" s="140">
        <v>21.6</v>
      </c>
      <c r="BC239" s="111">
        <f t="shared" si="173"/>
        <v>0.10000000000000142</v>
      </c>
      <c r="BD239" s="111">
        <f t="shared" si="160"/>
        <v>0.10000000000000142</v>
      </c>
      <c r="BE239" s="111">
        <f t="shared" si="161"/>
        <v>0.10000000000000142</v>
      </c>
      <c r="BF239" s="111">
        <f t="shared" si="162"/>
        <v>0.10000000000000142</v>
      </c>
      <c r="BG239" s="111">
        <f t="shared" si="163"/>
        <v>0.10000000000000142</v>
      </c>
      <c r="BH239" s="111">
        <f t="shared" si="164"/>
        <v>9.9999999999997868E-2</v>
      </c>
      <c r="BI239" s="111">
        <f t="shared" si="165"/>
        <v>0.19999999999999929</v>
      </c>
      <c r="BJ239" s="111">
        <f t="shared" si="166"/>
        <v>0.19999999999999929</v>
      </c>
      <c r="BK239" s="111">
        <f t="shared" si="167"/>
        <v>0.19999999999999929</v>
      </c>
      <c r="BL239" s="111">
        <f t="shared" si="168"/>
        <v>0.19999999999999929</v>
      </c>
      <c r="BM239" s="111">
        <f t="shared" si="169"/>
        <v>0.19999999999999929</v>
      </c>
      <c r="BN239" s="111">
        <f t="shared" si="170"/>
        <v>0.19999999999999929</v>
      </c>
      <c r="BO239" s="111">
        <f t="shared" si="171"/>
        <v>0.10000000000000142</v>
      </c>
    </row>
    <row r="240" spans="38:67" ht="12.75" x14ac:dyDescent="0.2">
      <c r="AN240" t="s">
        <v>79</v>
      </c>
      <c r="AO240" s="140">
        <v>21.6</v>
      </c>
      <c r="AP240" s="140">
        <v>20</v>
      </c>
      <c r="AQ240" s="140">
        <v>19.5</v>
      </c>
      <c r="AR240" s="140">
        <v>19.2</v>
      </c>
      <c r="AS240" s="129">
        <f t="shared" si="172"/>
        <v>19</v>
      </c>
      <c r="AT240" s="140">
        <v>18.8</v>
      </c>
      <c r="AU240" s="140">
        <v>18.600000000000001</v>
      </c>
      <c r="AV240" s="140">
        <v>18.100000000000001</v>
      </c>
      <c r="AW240" s="140">
        <v>17.8</v>
      </c>
      <c r="AX240" s="140">
        <v>17.600000000000001</v>
      </c>
      <c r="AY240" s="140">
        <v>17.8</v>
      </c>
      <c r="AZ240" s="140">
        <v>18.600000000000001</v>
      </c>
      <c r="BA240" s="140">
        <v>20.6</v>
      </c>
      <c r="BC240" s="111">
        <f t="shared" si="173"/>
        <v>0.10000000000000142</v>
      </c>
      <c r="BD240" s="111">
        <f t="shared" si="160"/>
        <v>0.10000000000000142</v>
      </c>
      <c r="BE240" s="111">
        <f t="shared" si="161"/>
        <v>0.10000000000000142</v>
      </c>
      <c r="BF240" s="111">
        <f t="shared" si="162"/>
        <v>9.9999999999997868E-2</v>
      </c>
      <c r="BG240" s="111">
        <f t="shared" si="163"/>
        <v>0.10000000000000142</v>
      </c>
      <c r="BH240" s="111">
        <f t="shared" si="164"/>
        <v>0.10000000000000142</v>
      </c>
      <c r="BI240" s="111">
        <f t="shared" si="165"/>
        <v>0.20000000000000284</v>
      </c>
      <c r="BJ240" s="111">
        <f t="shared" si="166"/>
        <v>0.20000000000000284</v>
      </c>
      <c r="BK240" s="111">
        <f t="shared" si="167"/>
        <v>0.19999999999999929</v>
      </c>
      <c r="BL240" s="111">
        <f t="shared" si="168"/>
        <v>0.10000000000000142</v>
      </c>
      <c r="BM240" s="111">
        <f t="shared" si="169"/>
        <v>0.19999999999999929</v>
      </c>
      <c r="BN240" s="111">
        <f t="shared" si="170"/>
        <v>0.20000000000000284</v>
      </c>
      <c r="BO240" s="111">
        <f t="shared" si="171"/>
        <v>0.20000000000000284</v>
      </c>
    </row>
    <row r="241" spans="38:67" ht="12.75" x14ac:dyDescent="0.2">
      <c r="AN241" t="s">
        <v>159</v>
      </c>
      <c r="AO241" s="140">
        <v>21.6</v>
      </c>
      <c r="AP241" s="140">
        <v>20.100000000000001</v>
      </c>
      <c r="AQ241" s="140">
        <v>19.600000000000001</v>
      </c>
      <c r="AR241" s="140">
        <v>19.3</v>
      </c>
      <c r="AS241" s="129">
        <f t="shared" si="172"/>
        <v>19.05</v>
      </c>
      <c r="AT241" s="140">
        <v>18.8</v>
      </c>
      <c r="AU241" s="140">
        <v>18.5</v>
      </c>
      <c r="AV241" s="140">
        <v>17.8</v>
      </c>
      <c r="AW241" s="140">
        <v>17.399999999999999</v>
      </c>
      <c r="AX241" s="140">
        <v>17.100000000000001</v>
      </c>
      <c r="AY241" s="140">
        <v>16.899999999999999</v>
      </c>
      <c r="AZ241" s="140">
        <v>17.2</v>
      </c>
      <c r="BA241" s="140">
        <v>18.399999999999999</v>
      </c>
      <c r="BC241" s="111">
        <f t="shared" si="173"/>
        <v>0.10000000000000142</v>
      </c>
      <c r="BD241" s="111">
        <f t="shared" si="160"/>
        <v>0.10000000000000142</v>
      </c>
      <c r="BE241" s="111">
        <f t="shared" si="161"/>
        <v>0.10000000000000142</v>
      </c>
      <c r="BF241" s="111">
        <f t="shared" si="162"/>
        <v>0.10000000000000142</v>
      </c>
      <c r="BG241" s="111">
        <f t="shared" si="163"/>
        <v>0.10000000000000142</v>
      </c>
      <c r="BH241" s="111">
        <f t="shared" si="164"/>
        <v>0.10000000000000142</v>
      </c>
      <c r="BI241" s="111">
        <f t="shared" si="165"/>
        <v>0.19999999999999929</v>
      </c>
      <c r="BJ241" s="111">
        <f t="shared" si="166"/>
        <v>0.10000000000000142</v>
      </c>
      <c r="BK241" s="111">
        <f t="shared" si="167"/>
        <v>0.19999999999999929</v>
      </c>
      <c r="BL241" s="111">
        <f t="shared" si="168"/>
        <v>0.20000000000000284</v>
      </c>
      <c r="BM241" s="111">
        <f t="shared" si="169"/>
        <v>0.19999999999999929</v>
      </c>
      <c r="BN241" s="111">
        <f t="shared" si="170"/>
        <v>0.19999999999999929</v>
      </c>
      <c r="BO241" s="111">
        <f t="shared" si="171"/>
        <v>9.9999999999997868E-2</v>
      </c>
    </row>
    <row r="242" spans="38:67" ht="12.75" x14ac:dyDescent="0.2">
      <c r="AN242" t="s">
        <v>107</v>
      </c>
      <c r="AO242" s="140">
        <v>21.2</v>
      </c>
      <c r="AP242" s="140">
        <v>19.899999999999999</v>
      </c>
      <c r="AQ242" s="140">
        <v>19.5</v>
      </c>
      <c r="AR242" s="140">
        <v>19.100000000000001</v>
      </c>
      <c r="AS242" s="129">
        <f t="shared" si="172"/>
        <v>18.850000000000001</v>
      </c>
      <c r="AT242" s="140">
        <v>18.600000000000001</v>
      </c>
      <c r="AU242" s="140">
        <v>18.2</v>
      </c>
      <c r="AV242" s="140">
        <v>17.5</v>
      </c>
      <c r="AW242" s="140">
        <v>16.899999999999999</v>
      </c>
      <c r="AX242" s="140">
        <v>16.5</v>
      </c>
      <c r="AY242" s="140">
        <v>16</v>
      </c>
      <c r="AZ242" s="140">
        <v>15.8</v>
      </c>
      <c r="BA242" s="140">
        <v>16.3</v>
      </c>
      <c r="BC242" s="111">
        <f t="shared" si="173"/>
        <v>9.9999999999997868E-2</v>
      </c>
      <c r="BD242" s="111">
        <f t="shared" si="160"/>
        <v>9.9999999999997868E-2</v>
      </c>
      <c r="BE242" s="111">
        <f t="shared" si="161"/>
        <v>0.10000000000000142</v>
      </c>
      <c r="BF242" s="111">
        <f t="shared" si="162"/>
        <v>0.10000000000000142</v>
      </c>
      <c r="BG242" s="111">
        <f t="shared" si="163"/>
        <v>0.10000000000000142</v>
      </c>
      <c r="BH242" s="111">
        <f t="shared" si="164"/>
        <v>0.10000000000000142</v>
      </c>
      <c r="BI242" s="111">
        <f t="shared" si="165"/>
        <v>9.9999999999997868E-2</v>
      </c>
      <c r="BJ242" s="111">
        <f t="shared" si="166"/>
        <v>0.10000000000000142</v>
      </c>
      <c r="BK242" s="111">
        <f t="shared" si="167"/>
        <v>9.9999999999997868E-2</v>
      </c>
      <c r="BL242" s="111">
        <f t="shared" si="168"/>
        <v>0.10000000000000142</v>
      </c>
      <c r="BM242" s="111">
        <f t="shared" si="169"/>
        <v>9.9999999999999645E-2</v>
      </c>
      <c r="BN242" s="111">
        <f t="shared" si="170"/>
        <v>0.10000000000000142</v>
      </c>
      <c r="BO242" s="111">
        <f t="shared" si="171"/>
        <v>0.10000000000000142</v>
      </c>
    </row>
    <row r="243" spans="38:67" ht="12.75" x14ac:dyDescent="0.2">
      <c r="AN243" t="s">
        <v>108</v>
      </c>
      <c r="AO243" s="140">
        <v>20.7</v>
      </c>
      <c r="AP243" s="140">
        <v>19.600000000000001</v>
      </c>
      <c r="AQ243" s="140">
        <v>19.2</v>
      </c>
      <c r="AR243" s="140">
        <v>18.899999999999999</v>
      </c>
      <c r="AS243" s="129">
        <f t="shared" si="172"/>
        <v>18.600000000000001</v>
      </c>
      <c r="AT243" s="140">
        <v>18.3</v>
      </c>
      <c r="AU243" s="140">
        <v>17.899999999999999</v>
      </c>
      <c r="AV243" s="140">
        <v>17.100000000000001</v>
      </c>
      <c r="AW243" s="140">
        <v>16.5</v>
      </c>
      <c r="AX243" s="140">
        <v>16</v>
      </c>
      <c r="AY243" s="140">
        <v>15.4</v>
      </c>
      <c r="AZ243" s="140">
        <v>14.8</v>
      </c>
      <c r="BA243" s="140">
        <v>14.6</v>
      </c>
      <c r="BC243" s="111">
        <f t="shared" si="173"/>
        <v>9.9999999999997868E-2</v>
      </c>
      <c r="BD243" s="111">
        <f t="shared" si="160"/>
        <v>0.10000000000000142</v>
      </c>
      <c r="BE243" s="111">
        <f t="shared" si="161"/>
        <v>9.9999999999997868E-2</v>
      </c>
      <c r="BF243" s="111">
        <f t="shared" si="162"/>
        <v>9.9999999999997868E-2</v>
      </c>
      <c r="BG243" s="111">
        <f t="shared" si="163"/>
        <v>0.10000000000000142</v>
      </c>
      <c r="BH243" s="111">
        <f t="shared" si="164"/>
        <v>0.10000000000000142</v>
      </c>
      <c r="BI243" s="111">
        <f t="shared" si="165"/>
        <v>9.9999999999997868E-2</v>
      </c>
      <c r="BJ243" s="111">
        <f t="shared" si="166"/>
        <v>0.10000000000000142</v>
      </c>
      <c r="BK243" s="111">
        <f t="shared" si="167"/>
        <v>0.10000000000000142</v>
      </c>
      <c r="BL243" s="111">
        <f t="shared" si="168"/>
        <v>9.9999999999999645E-2</v>
      </c>
      <c r="BM243" s="111">
        <f t="shared" si="169"/>
        <v>9.9999999999999645E-2</v>
      </c>
      <c r="BN243" s="111">
        <f t="shared" si="170"/>
        <v>0.10000000000000142</v>
      </c>
      <c r="BO243" s="111">
        <f t="shared" si="171"/>
        <v>9.9999999999999645E-2</v>
      </c>
    </row>
    <row r="244" spans="38:67" ht="12.75" x14ac:dyDescent="0.2">
      <c r="AN244" t="s">
        <v>109</v>
      </c>
      <c r="AO244" s="140">
        <v>20.399999999999999</v>
      </c>
      <c r="AP244" s="140">
        <v>19.399999999999999</v>
      </c>
      <c r="AQ244" s="140">
        <v>19.100000000000001</v>
      </c>
      <c r="AR244" s="140">
        <v>18.7</v>
      </c>
      <c r="AS244" s="129">
        <f t="shared" si="172"/>
        <v>18.45</v>
      </c>
      <c r="AT244" s="140">
        <v>18.2</v>
      </c>
      <c r="AU244" s="140">
        <v>17.8</v>
      </c>
      <c r="AV244" s="140">
        <v>17</v>
      </c>
      <c r="AW244" s="140">
        <v>16.3</v>
      </c>
      <c r="AX244" s="140">
        <v>15.9</v>
      </c>
      <c r="AY244" s="140">
        <v>15.2</v>
      </c>
      <c r="AZ244" s="140">
        <v>14.4</v>
      </c>
      <c r="BA244" s="140">
        <f>BA227</f>
        <v>13.8</v>
      </c>
      <c r="BC244" s="111">
        <f t="shared" si="173"/>
        <v>9.9999999999997868E-2</v>
      </c>
      <c r="BD244" s="111">
        <f t="shared" si="160"/>
        <v>9.9999999999997868E-2</v>
      </c>
      <c r="BE244" s="111">
        <f t="shared" si="161"/>
        <v>0.10000000000000142</v>
      </c>
      <c r="BF244" s="111">
        <f t="shared" si="162"/>
        <v>9.9999999999997868E-2</v>
      </c>
      <c r="BG244" s="111">
        <f t="shared" si="163"/>
        <v>9.9999999999997868E-2</v>
      </c>
      <c r="BH244" s="111">
        <f t="shared" si="164"/>
        <v>9.9999999999997868E-2</v>
      </c>
      <c r="BI244" s="111">
        <f t="shared" si="165"/>
        <v>0.10000000000000142</v>
      </c>
      <c r="BJ244" s="111">
        <f t="shared" si="166"/>
        <v>0.10000000000000142</v>
      </c>
      <c r="BK244" s="111">
        <f t="shared" si="167"/>
        <v>0.10000000000000142</v>
      </c>
      <c r="BL244" s="111">
        <f t="shared" si="168"/>
        <v>0.20000000000000107</v>
      </c>
      <c r="BM244" s="111">
        <f t="shared" si="169"/>
        <v>9.9999999999999645E-2</v>
      </c>
      <c r="BN244" s="111">
        <f t="shared" si="170"/>
        <v>9.9999999999999645E-2</v>
      </c>
      <c r="BO244" s="111">
        <f t="shared" si="171"/>
        <v>0</v>
      </c>
    </row>
    <row r="245" spans="38:67" ht="12.75" x14ac:dyDescent="0.2">
      <c r="AN245" t="s">
        <v>110</v>
      </c>
      <c r="AO245" s="140">
        <v>20.100000000000001</v>
      </c>
      <c r="AP245" s="140">
        <v>19.3</v>
      </c>
      <c r="AQ245" s="140">
        <v>18.899999999999999</v>
      </c>
      <c r="AR245" s="140">
        <v>18.600000000000001</v>
      </c>
      <c r="AS245" s="129">
        <f t="shared" si="172"/>
        <v>18.350000000000001</v>
      </c>
      <c r="AT245" s="140">
        <v>18.100000000000001</v>
      </c>
      <c r="AU245" s="140">
        <v>17.600000000000001</v>
      </c>
      <c r="AV245" s="140">
        <v>16.8</v>
      </c>
      <c r="AW245" s="140">
        <v>16.2</v>
      </c>
      <c r="AX245" s="140">
        <v>15.7</v>
      </c>
      <c r="AY245" s="140">
        <v>15</v>
      </c>
      <c r="AZ245" s="140">
        <v>14.2</v>
      </c>
      <c r="BA245" s="140">
        <v>13.4</v>
      </c>
      <c r="BC245" s="111">
        <f t="shared" si="173"/>
        <v>0.10000000000000142</v>
      </c>
      <c r="BD245" s="111">
        <f t="shared" si="160"/>
        <v>0.10000000000000142</v>
      </c>
      <c r="BE245" s="111">
        <f t="shared" si="161"/>
        <v>9.9999999999997868E-2</v>
      </c>
      <c r="BF245" s="111">
        <f t="shared" si="162"/>
        <v>0.10000000000000142</v>
      </c>
      <c r="BG245" s="111">
        <f t="shared" si="163"/>
        <v>0.10000000000000142</v>
      </c>
      <c r="BH245" s="111">
        <f t="shared" si="164"/>
        <v>0.10000000000000142</v>
      </c>
      <c r="BI245" s="111">
        <f t="shared" si="165"/>
        <v>0.10000000000000142</v>
      </c>
      <c r="BJ245" s="111">
        <f t="shared" si="166"/>
        <v>0.10000000000000142</v>
      </c>
      <c r="BK245" s="111">
        <f t="shared" si="167"/>
        <v>9.9999999999997868E-2</v>
      </c>
      <c r="BL245" s="111">
        <f t="shared" si="168"/>
        <v>9.9999999999999645E-2</v>
      </c>
      <c r="BM245" s="111">
        <f t="shared" si="169"/>
        <v>9.9999999999999645E-2</v>
      </c>
      <c r="BN245" s="111">
        <f t="shared" si="170"/>
        <v>9.9999999999999645E-2</v>
      </c>
      <c r="BO245" s="111">
        <f t="shared" si="171"/>
        <v>9.9999999999999645E-2</v>
      </c>
    </row>
    <row r="247" spans="38:67" x14ac:dyDescent="0.2">
      <c r="AO247">
        <v>-0.5</v>
      </c>
      <c r="AP247">
        <v>-0.25</v>
      </c>
      <c r="AQ247">
        <v>-0.13</v>
      </c>
      <c r="AR247">
        <v>0</v>
      </c>
      <c r="AS247">
        <v>0.125</v>
      </c>
      <c r="AT247" s="126">
        <v>0.25</v>
      </c>
      <c r="AU247" s="126">
        <v>0.5</v>
      </c>
      <c r="AV247" s="126">
        <v>1</v>
      </c>
      <c r="AW247" s="126">
        <v>1.5</v>
      </c>
      <c r="AX247" s="126">
        <v>2</v>
      </c>
      <c r="AY247" s="126">
        <v>3</v>
      </c>
      <c r="AZ247" s="126">
        <v>5</v>
      </c>
      <c r="BA247" s="126">
        <v>10</v>
      </c>
    </row>
    <row r="248" spans="38:67" ht="12.75" x14ac:dyDescent="0.2">
      <c r="AL248" s="105" t="s">
        <v>290</v>
      </c>
      <c r="AN248" t="s">
        <v>25</v>
      </c>
      <c r="AO248" s="140">
        <v>10.1</v>
      </c>
      <c r="AP248" s="140">
        <v>7.4</v>
      </c>
      <c r="AQ248" s="140">
        <v>8</v>
      </c>
      <c r="AR248" s="140">
        <v>9.3000000000000007</v>
      </c>
      <c r="AS248" s="129">
        <f>(AR248+AT248)/2</f>
        <v>10.7</v>
      </c>
      <c r="AT248" s="140">
        <v>12.1</v>
      </c>
      <c r="AU248" s="140">
        <v>14.7</v>
      </c>
      <c r="AV248" s="140">
        <v>19</v>
      </c>
      <c r="AW248" s="140">
        <v>22.6</v>
      </c>
      <c r="AX248" s="140">
        <v>25.7</v>
      </c>
      <c r="AY248" s="140">
        <v>30.7</v>
      </c>
      <c r="AZ248" s="140">
        <v>38.200000000000003</v>
      </c>
      <c r="BA248" s="140">
        <v>49.8</v>
      </c>
      <c r="BC248" s="111">
        <f>AO248-AO231</f>
        <v>0.79999999999999893</v>
      </c>
      <c r="BD248" s="111">
        <f t="shared" ref="BD248:BD262" si="174">AP248-AP231</f>
        <v>0.20000000000000018</v>
      </c>
      <c r="BE248" s="111">
        <f t="shared" ref="BE248:BE262" si="175">AQ248-AQ231</f>
        <v>-0.19999999999999929</v>
      </c>
      <c r="BF248" s="111">
        <f t="shared" ref="BF248:BF262" si="176">AR248-AR231</f>
        <v>-0.39999999999999858</v>
      </c>
      <c r="BG248" s="111">
        <f t="shared" ref="BG248:BG262" si="177">AS248-AS231</f>
        <v>-0.44999999999999929</v>
      </c>
      <c r="BH248" s="111">
        <f t="shared" ref="BH248:BH262" si="178">AT248-AT231</f>
        <v>-0.5</v>
      </c>
      <c r="BI248" s="111">
        <f t="shared" ref="BI248:BI262" si="179">AU248-AU231</f>
        <v>-0.60000000000000142</v>
      </c>
      <c r="BJ248" s="111">
        <f t="shared" ref="BJ248:BJ262" si="180">AV248-AV231</f>
        <v>-0.69999999999999929</v>
      </c>
      <c r="BK248" s="111">
        <f t="shared" ref="BK248:BK262" si="181">AW248-AW231</f>
        <v>-0.79999999999999716</v>
      </c>
      <c r="BL248" s="111">
        <f t="shared" ref="BL248:BL262" si="182">AX248-AX231</f>
        <v>-0.90000000000000213</v>
      </c>
      <c r="BM248" s="111">
        <f t="shared" ref="BM248:BM262" si="183">AY248-AY231</f>
        <v>-1</v>
      </c>
      <c r="BN248" s="111">
        <f t="shared" ref="BN248:BN262" si="184">AZ248-AZ231</f>
        <v>-1.1999999999999957</v>
      </c>
      <c r="BO248" s="111">
        <f t="shared" ref="BO248:BO262" si="185">BA248-BA231</f>
        <v>-1.5</v>
      </c>
    </row>
    <row r="249" spans="38:67" ht="12.75" x14ac:dyDescent="0.2">
      <c r="AN249" t="s">
        <v>157</v>
      </c>
      <c r="AO249" s="140">
        <v>12.1</v>
      </c>
      <c r="AP249" s="140">
        <v>9.6999999999999993</v>
      </c>
      <c r="AQ249" s="140">
        <v>10.1</v>
      </c>
      <c r="AR249" s="140">
        <v>11.1</v>
      </c>
      <c r="AS249" s="129">
        <f t="shared" ref="AS249:AS262" si="186">(AR249+AT249)/2</f>
        <v>12.2</v>
      </c>
      <c r="AT249" s="140">
        <v>13.3</v>
      </c>
      <c r="AU249" s="140">
        <v>15.5</v>
      </c>
      <c r="AV249" s="140">
        <v>19.100000000000001</v>
      </c>
      <c r="AW249" s="140">
        <v>22.2</v>
      </c>
      <c r="AX249" s="140">
        <v>24.8</v>
      </c>
      <c r="AY249" s="140">
        <v>29</v>
      </c>
      <c r="AZ249" s="140">
        <v>35.1</v>
      </c>
      <c r="BA249" s="140">
        <v>44.2</v>
      </c>
      <c r="BC249" s="111">
        <f t="shared" ref="BC249:BC262" si="187">AO249-AO232</f>
        <v>1.0999999999999996</v>
      </c>
      <c r="BD249" s="111">
        <f t="shared" si="174"/>
        <v>0.29999999999999893</v>
      </c>
      <c r="BE249" s="111">
        <f t="shared" si="175"/>
        <v>-9.9999999999999645E-2</v>
      </c>
      <c r="BF249" s="111">
        <f t="shared" si="176"/>
        <v>-0.20000000000000107</v>
      </c>
      <c r="BG249" s="111">
        <f t="shared" si="177"/>
        <v>-0.30000000000000071</v>
      </c>
      <c r="BH249" s="111">
        <f t="shared" si="178"/>
        <v>-0.39999999999999858</v>
      </c>
      <c r="BI249" s="111">
        <f t="shared" si="179"/>
        <v>-0.30000000000000071</v>
      </c>
      <c r="BJ249" s="111">
        <f t="shared" si="180"/>
        <v>-0.19999999999999929</v>
      </c>
      <c r="BK249" s="111">
        <f t="shared" si="181"/>
        <v>-0.10000000000000142</v>
      </c>
      <c r="BL249" s="111">
        <f t="shared" si="182"/>
        <v>0</v>
      </c>
      <c r="BM249" s="111">
        <f t="shared" si="183"/>
        <v>0.10000000000000142</v>
      </c>
      <c r="BN249" s="111">
        <f t="shared" si="184"/>
        <v>0.30000000000000426</v>
      </c>
      <c r="BO249" s="111">
        <f t="shared" si="185"/>
        <v>0.70000000000000284</v>
      </c>
    </row>
    <row r="250" spans="38:67" ht="12.75" x14ac:dyDescent="0.2">
      <c r="AN250" t="s">
        <v>99</v>
      </c>
      <c r="AO250" s="140">
        <v>15</v>
      </c>
      <c r="AP250" s="140">
        <v>12.3</v>
      </c>
      <c r="AQ250" s="140">
        <v>11.7</v>
      </c>
      <c r="AR250" s="140">
        <v>11.7</v>
      </c>
      <c r="AS250" s="129">
        <f t="shared" si="186"/>
        <v>12.3</v>
      </c>
      <c r="AT250" s="140">
        <v>12.9</v>
      </c>
      <c r="AU250" s="140">
        <v>14.3</v>
      </c>
      <c r="AV250" s="140">
        <v>16.8</v>
      </c>
      <c r="AW250" s="140">
        <v>19</v>
      </c>
      <c r="AX250" s="140">
        <v>20.9</v>
      </c>
      <c r="AY250" s="140">
        <v>24</v>
      </c>
      <c r="AZ250" s="140">
        <v>28.4</v>
      </c>
      <c r="BA250" s="140">
        <v>34.799999999999997</v>
      </c>
      <c r="BC250" s="111">
        <f t="shared" si="187"/>
        <v>0.69999999999999929</v>
      </c>
      <c r="BD250" s="111">
        <f t="shared" si="174"/>
        <v>0.40000000000000036</v>
      </c>
      <c r="BE250" s="111">
        <f t="shared" si="175"/>
        <v>9.9999999999999645E-2</v>
      </c>
      <c r="BF250" s="111">
        <f t="shared" si="176"/>
        <v>-0.20000000000000107</v>
      </c>
      <c r="BG250" s="111">
        <f t="shared" si="177"/>
        <v>-0.25</v>
      </c>
      <c r="BH250" s="111">
        <f t="shared" si="178"/>
        <v>-0.29999999999999893</v>
      </c>
      <c r="BI250" s="111">
        <f t="shared" si="179"/>
        <v>-0.19999999999999929</v>
      </c>
      <c r="BJ250" s="111">
        <f t="shared" si="180"/>
        <v>-0.19999999999999929</v>
      </c>
      <c r="BK250" s="111">
        <f t="shared" si="181"/>
        <v>-0.10000000000000142</v>
      </c>
      <c r="BL250" s="111">
        <f t="shared" si="182"/>
        <v>-0.10000000000000142</v>
      </c>
      <c r="BM250" s="111">
        <f t="shared" si="183"/>
        <v>0</v>
      </c>
      <c r="BN250" s="111">
        <f t="shared" si="184"/>
        <v>0.19999999999999929</v>
      </c>
      <c r="BO250" s="111">
        <f t="shared" si="185"/>
        <v>0.5</v>
      </c>
    </row>
    <row r="251" spans="38:67" ht="12.75" x14ac:dyDescent="0.2">
      <c r="AN251" t="s">
        <v>101</v>
      </c>
      <c r="AO251" s="140">
        <v>17</v>
      </c>
      <c r="AP251" s="140">
        <v>14.6</v>
      </c>
      <c r="AQ251" s="140">
        <v>14</v>
      </c>
      <c r="AR251" s="140">
        <v>13.9</v>
      </c>
      <c r="AS251" s="129">
        <f t="shared" si="186"/>
        <v>14.25</v>
      </c>
      <c r="AT251" s="140">
        <v>14.6</v>
      </c>
      <c r="AU251" s="140">
        <v>15.4</v>
      </c>
      <c r="AV251" s="140">
        <v>16.899999999999999</v>
      </c>
      <c r="AW251" s="140">
        <v>18.399999999999999</v>
      </c>
      <c r="AX251" s="140">
        <v>19.8</v>
      </c>
      <c r="AY251" s="140">
        <v>22.1</v>
      </c>
      <c r="AZ251" s="140">
        <v>25.5</v>
      </c>
      <c r="BA251" s="140">
        <v>30.4</v>
      </c>
      <c r="BC251" s="111">
        <f t="shared" si="187"/>
        <v>0.60000000000000142</v>
      </c>
      <c r="BD251" s="111">
        <f t="shared" si="174"/>
        <v>0.29999999999999893</v>
      </c>
      <c r="BE251" s="111">
        <f t="shared" si="175"/>
        <v>9.9999999999999645E-2</v>
      </c>
      <c r="BF251" s="111">
        <f t="shared" si="176"/>
        <v>-9.9999999999999645E-2</v>
      </c>
      <c r="BG251" s="111">
        <f t="shared" si="177"/>
        <v>-0.15000000000000036</v>
      </c>
      <c r="BH251" s="111">
        <f t="shared" si="178"/>
        <v>-0.20000000000000107</v>
      </c>
      <c r="BI251" s="111">
        <f t="shared" si="179"/>
        <v>-0.19999999999999929</v>
      </c>
      <c r="BJ251" s="111">
        <f t="shared" si="180"/>
        <v>-0.20000000000000284</v>
      </c>
      <c r="BK251" s="111">
        <f t="shared" si="181"/>
        <v>-0.10000000000000142</v>
      </c>
      <c r="BL251" s="111">
        <f t="shared" si="182"/>
        <v>0</v>
      </c>
      <c r="BM251" s="111">
        <f t="shared" si="183"/>
        <v>0.10000000000000142</v>
      </c>
      <c r="BN251" s="111">
        <f t="shared" si="184"/>
        <v>0.30000000000000071</v>
      </c>
      <c r="BO251" s="111">
        <f t="shared" si="185"/>
        <v>0.59999999999999787</v>
      </c>
    </row>
    <row r="252" spans="38:67" ht="12.75" x14ac:dyDescent="0.2">
      <c r="AN252" t="s">
        <v>102</v>
      </c>
      <c r="AO252" s="140">
        <v>18.600000000000001</v>
      </c>
      <c r="AP252" s="140">
        <v>16.399999999999999</v>
      </c>
      <c r="AQ252" s="140">
        <v>15.8</v>
      </c>
      <c r="AR252" s="140">
        <v>15.7</v>
      </c>
      <c r="AS252" s="129">
        <f t="shared" si="186"/>
        <v>15.85</v>
      </c>
      <c r="AT252" s="140">
        <v>16</v>
      </c>
      <c r="AU252" s="140">
        <v>16.5</v>
      </c>
      <c r="AV252" s="140">
        <v>17.399999999999999</v>
      </c>
      <c r="AW252" s="140">
        <v>18.3</v>
      </c>
      <c r="AX252" s="140">
        <v>19.2</v>
      </c>
      <c r="AY252" s="140">
        <v>20.8</v>
      </c>
      <c r="AZ252" s="140">
        <v>23.4</v>
      </c>
      <c r="BA252" s="140">
        <v>27.3</v>
      </c>
      <c r="BC252" s="111">
        <f t="shared" si="187"/>
        <v>0.30000000000000071</v>
      </c>
      <c r="BD252" s="111">
        <f t="shared" si="174"/>
        <v>9.9999999999997868E-2</v>
      </c>
      <c r="BE252" s="111">
        <f t="shared" si="175"/>
        <v>-9.9999999999999645E-2</v>
      </c>
      <c r="BF252" s="111">
        <f t="shared" si="176"/>
        <v>-0.10000000000000142</v>
      </c>
      <c r="BG252" s="111">
        <f t="shared" si="177"/>
        <v>-0.20000000000000107</v>
      </c>
      <c r="BH252" s="111">
        <f t="shared" si="178"/>
        <v>-0.30000000000000071</v>
      </c>
      <c r="BI252" s="111">
        <f t="shared" si="179"/>
        <v>-0.30000000000000071</v>
      </c>
      <c r="BJ252" s="111">
        <f t="shared" si="180"/>
        <v>-0.30000000000000071</v>
      </c>
      <c r="BK252" s="111">
        <f t="shared" si="181"/>
        <v>-0.30000000000000071</v>
      </c>
      <c r="BL252" s="111">
        <f t="shared" si="182"/>
        <v>-0.30000000000000071</v>
      </c>
      <c r="BM252" s="111">
        <f t="shared" si="183"/>
        <v>-0.30000000000000071</v>
      </c>
      <c r="BN252" s="111">
        <f t="shared" si="184"/>
        <v>-0.30000000000000071</v>
      </c>
      <c r="BO252" s="111">
        <f t="shared" si="185"/>
        <v>-9.9999999999997868E-2</v>
      </c>
    </row>
    <row r="253" spans="38:67" ht="12.75" x14ac:dyDescent="0.2">
      <c r="AN253" t="s">
        <v>103</v>
      </c>
      <c r="AO253" s="140">
        <v>19.899999999999999</v>
      </c>
      <c r="AP253" s="140">
        <v>17.8</v>
      </c>
      <c r="AQ253" s="140">
        <v>17.2</v>
      </c>
      <c r="AR253" s="140">
        <v>17</v>
      </c>
      <c r="AS253" s="129">
        <f t="shared" si="186"/>
        <v>17.05</v>
      </c>
      <c r="AT253" s="140">
        <v>17.100000000000001</v>
      </c>
      <c r="AU253" s="140">
        <v>17.2</v>
      </c>
      <c r="AV253" s="140">
        <v>17.600000000000001</v>
      </c>
      <c r="AW253" s="140">
        <v>18.100000000000001</v>
      </c>
      <c r="AX253" s="140">
        <v>18.7</v>
      </c>
      <c r="AY253" s="140">
        <v>20</v>
      </c>
      <c r="AZ253" s="140">
        <v>22.1</v>
      </c>
      <c r="BA253" s="140">
        <v>25.5</v>
      </c>
      <c r="BC253" s="111">
        <f t="shared" si="187"/>
        <v>0.29999999999999716</v>
      </c>
      <c r="BD253" s="111">
        <f t="shared" si="174"/>
        <v>0.10000000000000142</v>
      </c>
      <c r="BE253" s="111">
        <f t="shared" si="175"/>
        <v>0</v>
      </c>
      <c r="BF253" s="111">
        <f t="shared" si="176"/>
        <v>-0.10000000000000142</v>
      </c>
      <c r="BG253" s="111">
        <f t="shared" si="177"/>
        <v>-0.15000000000000213</v>
      </c>
      <c r="BH253" s="111">
        <f t="shared" si="178"/>
        <v>-0.19999999999999929</v>
      </c>
      <c r="BI253" s="111">
        <f t="shared" si="179"/>
        <v>-0.30000000000000071</v>
      </c>
      <c r="BJ253" s="111">
        <f t="shared" si="180"/>
        <v>-0.39999999999999858</v>
      </c>
      <c r="BK253" s="111">
        <f t="shared" si="181"/>
        <v>-0.39999999999999858</v>
      </c>
      <c r="BL253" s="111">
        <f t="shared" si="182"/>
        <v>-0.5</v>
      </c>
      <c r="BM253" s="111">
        <f t="shared" si="183"/>
        <v>-0.39999999999999858</v>
      </c>
      <c r="BN253" s="111">
        <f t="shared" si="184"/>
        <v>-0.39999999999999858</v>
      </c>
      <c r="BO253" s="111">
        <f t="shared" si="185"/>
        <v>-0.30000000000000071</v>
      </c>
    </row>
    <row r="254" spans="38:67" ht="12.75" x14ac:dyDescent="0.2">
      <c r="AN254" t="s">
        <v>104</v>
      </c>
      <c r="AO254" s="140">
        <v>20.7</v>
      </c>
      <c r="AP254" s="140">
        <v>18.8</v>
      </c>
      <c r="AQ254" s="140">
        <v>18.100000000000001</v>
      </c>
      <c r="AR254" s="140">
        <v>17.8</v>
      </c>
      <c r="AS254" s="129">
        <f t="shared" si="186"/>
        <v>17.75</v>
      </c>
      <c r="AT254" s="140">
        <v>17.7</v>
      </c>
      <c r="AU254" s="140">
        <v>17.8</v>
      </c>
      <c r="AV254" s="140">
        <v>17.8</v>
      </c>
      <c r="AW254" s="140">
        <v>18</v>
      </c>
      <c r="AX254" s="140">
        <v>18.3</v>
      </c>
      <c r="AY254" s="140">
        <v>19.100000000000001</v>
      </c>
      <c r="AZ254" s="140">
        <v>20.9</v>
      </c>
      <c r="BA254" s="140">
        <v>23.9</v>
      </c>
      <c r="BC254" s="111">
        <f t="shared" si="187"/>
        <v>0.19999999999999929</v>
      </c>
      <c r="BD254" s="111">
        <f t="shared" si="174"/>
        <v>0.10000000000000142</v>
      </c>
      <c r="BE254" s="111">
        <f t="shared" si="175"/>
        <v>-9.9999999999997868E-2</v>
      </c>
      <c r="BF254" s="111">
        <f t="shared" si="176"/>
        <v>-0.19999999999999929</v>
      </c>
      <c r="BG254" s="111">
        <f t="shared" si="177"/>
        <v>-0.25</v>
      </c>
      <c r="BH254" s="111">
        <f t="shared" si="178"/>
        <v>-0.30000000000000071</v>
      </c>
      <c r="BI254" s="111">
        <f t="shared" si="179"/>
        <v>-0.19999999999999929</v>
      </c>
      <c r="BJ254" s="111">
        <f t="shared" si="180"/>
        <v>-0.30000000000000071</v>
      </c>
      <c r="BK254" s="111">
        <f t="shared" si="181"/>
        <v>-0.30000000000000071</v>
      </c>
      <c r="BL254" s="111">
        <f t="shared" si="182"/>
        <v>-0.39999999999999858</v>
      </c>
      <c r="BM254" s="111">
        <f t="shared" si="183"/>
        <v>-0.5</v>
      </c>
      <c r="BN254" s="111">
        <f t="shared" si="184"/>
        <v>-0.40000000000000213</v>
      </c>
      <c r="BO254" s="111">
        <f t="shared" si="185"/>
        <v>-0.30000000000000071</v>
      </c>
    </row>
    <row r="255" spans="38:67" ht="12.75" x14ac:dyDescent="0.2">
      <c r="AN255" t="s">
        <v>105</v>
      </c>
      <c r="AO255" s="140">
        <v>21.2</v>
      </c>
      <c r="AP255" s="140">
        <v>19.399999999999999</v>
      </c>
      <c r="AQ255" s="140">
        <v>18.8</v>
      </c>
      <c r="AR255" s="140">
        <v>18.399999999999999</v>
      </c>
      <c r="AS255" s="129">
        <f t="shared" si="186"/>
        <v>18.299999999999997</v>
      </c>
      <c r="AT255" s="140">
        <v>18.2</v>
      </c>
      <c r="AU255" s="140">
        <v>18.100000000000001</v>
      </c>
      <c r="AV255" s="140">
        <v>17.899999999999999</v>
      </c>
      <c r="AW255" s="140">
        <v>17.8</v>
      </c>
      <c r="AX255" s="140">
        <v>17.899999999999999</v>
      </c>
      <c r="AY255" s="140">
        <v>18.399999999999999</v>
      </c>
      <c r="AZ255" s="140">
        <v>19.8</v>
      </c>
      <c r="BA255" s="140">
        <v>22.4</v>
      </c>
      <c r="BC255" s="111">
        <f t="shared" si="187"/>
        <v>9.9999999999997868E-2</v>
      </c>
      <c r="BD255" s="111">
        <f t="shared" si="174"/>
        <v>0</v>
      </c>
      <c r="BE255" s="111">
        <f t="shared" si="175"/>
        <v>-9.9999999999997868E-2</v>
      </c>
      <c r="BF255" s="111">
        <f t="shared" si="176"/>
        <v>-0.20000000000000284</v>
      </c>
      <c r="BG255" s="111">
        <f t="shared" si="177"/>
        <v>-0.20000000000000284</v>
      </c>
      <c r="BH255" s="111">
        <f t="shared" si="178"/>
        <v>-0.19999999999999929</v>
      </c>
      <c r="BI255" s="111">
        <f t="shared" si="179"/>
        <v>-0.19999999999999929</v>
      </c>
      <c r="BJ255" s="111">
        <f t="shared" si="180"/>
        <v>-0.30000000000000071</v>
      </c>
      <c r="BK255" s="111">
        <f t="shared" si="181"/>
        <v>-0.39999999999999858</v>
      </c>
      <c r="BL255" s="111">
        <f t="shared" si="182"/>
        <v>-0.40000000000000213</v>
      </c>
      <c r="BM255" s="111">
        <f t="shared" si="183"/>
        <v>-0.5</v>
      </c>
      <c r="BN255" s="111">
        <f t="shared" si="184"/>
        <v>-0.39999999999999858</v>
      </c>
      <c r="BO255" s="111">
        <f t="shared" si="185"/>
        <v>-0.40000000000000213</v>
      </c>
    </row>
    <row r="256" spans="38:67" ht="12.75" x14ac:dyDescent="0.2">
      <c r="AN256" t="s">
        <v>106</v>
      </c>
      <c r="AO256" s="140">
        <v>21.6</v>
      </c>
      <c r="AP256" s="140">
        <v>19.8</v>
      </c>
      <c r="AQ256" s="140">
        <v>19.2</v>
      </c>
      <c r="AR256" s="140">
        <v>18.8</v>
      </c>
      <c r="AS256" s="129">
        <f t="shared" si="186"/>
        <v>18.649999999999999</v>
      </c>
      <c r="AT256" s="140">
        <v>18.5</v>
      </c>
      <c r="AU256" s="140">
        <v>18.3</v>
      </c>
      <c r="AV256" s="140">
        <v>17.899999999999999</v>
      </c>
      <c r="AW256" s="140">
        <v>17.600000000000001</v>
      </c>
      <c r="AX256" s="140">
        <v>17.600000000000001</v>
      </c>
      <c r="AY256" s="140">
        <v>17.899999999999999</v>
      </c>
      <c r="AZ256" s="140">
        <v>18.899999999999999</v>
      </c>
      <c r="BA256" s="140">
        <v>21.3</v>
      </c>
      <c r="BC256" s="111">
        <f t="shared" si="187"/>
        <v>0.10000000000000142</v>
      </c>
      <c r="BD256" s="111">
        <f t="shared" si="174"/>
        <v>0</v>
      </c>
      <c r="BE256" s="111">
        <f t="shared" si="175"/>
        <v>-0.10000000000000142</v>
      </c>
      <c r="BF256" s="111">
        <f t="shared" si="176"/>
        <v>-0.19999999999999929</v>
      </c>
      <c r="BG256" s="111">
        <f t="shared" si="177"/>
        <v>-0.20000000000000284</v>
      </c>
      <c r="BH256" s="111">
        <f t="shared" si="178"/>
        <v>-0.19999999999999929</v>
      </c>
      <c r="BI256" s="111">
        <f t="shared" si="179"/>
        <v>-0.19999999999999929</v>
      </c>
      <c r="BJ256" s="111">
        <f t="shared" si="180"/>
        <v>-0.30000000000000071</v>
      </c>
      <c r="BK256" s="111">
        <f t="shared" si="181"/>
        <v>-0.39999999999999858</v>
      </c>
      <c r="BL256" s="111">
        <f t="shared" si="182"/>
        <v>-0.39999999999999858</v>
      </c>
      <c r="BM256" s="111">
        <f t="shared" si="183"/>
        <v>-0.40000000000000213</v>
      </c>
      <c r="BN256" s="111">
        <f t="shared" si="184"/>
        <v>-0.5</v>
      </c>
      <c r="BO256" s="111">
        <f t="shared" si="185"/>
        <v>-0.30000000000000071</v>
      </c>
    </row>
    <row r="257" spans="38:67" ht="12.75" x14ac:dyDescent="0.2">
      <c r="AN257" t="s">
        <v>79</v>
      </c>
      <c r="AO257" s="140">
        <v>21.7</v>
      </c>
      <c r="AP257" s="140">
        <v>20</v>
      </c>
      <c r="AQ257" s="140">
        <v>19.399999999999999</v>
      </c>
      <c r="AR257" s="140">
        <v>19</v>
      </c>
      <c r="AS257" s="129">
        <f t="shared" si="186"/>
        <v>18.8</v>
      </c>
      <c r="AT257" s="140">
        <v>18.600000000000001</v>
      </c>
      <c r="AU257" s="140">
        <v>18.3</v>
      </c>
      <c r="AV257" s="140">
        <v>17.8</v>
      </c>
      <c r="AW257" s="140">
        <v>17.5</v>
      </c>
      <c r="AX257" s="140">
        <v>17.3</v>
      </c>
      <c r="AY257" s="140">
        <v>17.399999999999999</v>
      </c>
      <c r="AZ257" s="140">
        <v>18.2</v>
      </c>
      <c r="BA257" s="140">
        <v>20.2</v>
      </c>
      <c r="BC257" s="111">
        <f t="shared" si="187"/>
        <v>9.9999999999997868E-2</v>
      </c>
      <c r="BD257" s="111">
        <f t="shared" si="174"/>
        <v>0</v>
      </c>
      <c r="BE257" s="111">
        <f t="shared" si="175"/>
        <v>-0.10000000000000142</v>
      </c>
      <c r="BF257" s="111">
        <f t="shared" si="176"/>
        <v>-0.19999999999999929</v>
      </c>
      <c r="BG257" s="111">
        <f t="shared" si="177"/>
        <v>-0.19999999999999929</v>
      </c>
      <c r="BH257" s="111">
        <f t="shared" si="178"/>
        <v>-0.19999999999999929</v>
      </c>
      <c r="BI257" s="111">
        <f t="shared" si="179"/>
        <v>-0.30000000000000071</v>
      </c>
      <c r="BJ257" s="111">
        <f t="shared" si="180"/>
        <v>-0.30000000000000071</v>
      </c>
      <c r="BK257" s="111">
        <f t="shared" si="181"/>
        <v>-0.30000000000000071</v>
      </c>
      <c r="BL257" s="111">
        <f t="shared" si="182"/>
        <v>-0.30000000000000071</v>
      </c>
      <c r="BM257" s="111">
        <f t="shared" si="183"/>
        <v>-0.40000000000000213</v>
      </c>
      <c r="BN257" s="111">
        <f t="shared" si="184"/>
        <v>-0.40000000000000213</v>
      </c>
      <c r="BO257" s="111">
        <f t="shared" si="185"/>
        <v>-0.40000000000000213</v>
      </c>
    </row>
    <row r="258" spans="38:67" ht="12.75" x14ac:dyDescent="0.2">
      <c r="AN258" t="s">
        <v>159</v>
      </c>
      <c r="AO258" s="140">
        <v>21.6</v>
      </c>
      <c r="AP258" s="140">
        <v>20.100000000000001</v>
      </c>
      <c r="AQ258" s="140">
        <v>19.5</v>
      </c>
      <c r="AR258" s="140">
        <v>19.100000000000001</v>
      </c>
      <c r="AS258" s="129">
        <f t="shared" si="186"/>
        <v>18.899999999999999</v>
      </c>
      <c r="AT258" s="140">
        <v>18.7</v>
      </c>
      <c r="AU258" s="140">
        <v>18.3</v>
      </c>
      <c r="AV258" s="140">
        <v>17.600000000000001</v>
      </c>
      <c r="AW258" s="140">
        <v>17.100000000000001</v>
      </c>
      <c r="AX258" s="140">
        <v>16.8</v>
      </c>
      <c r="AY258" s="140">
        <v>16.5</v>
      </c>
      <c r="AZ258" s="140">
        <v>16.8</v>
      </c>
      <c r="BA258" s="140">
        <v>18.100000000000001</v>
      </c>
      <c r="BC258" s="111">
        <f t="shared" si="187"/>
        <v>0</v>
      </c>
      <c r="BD258" s="111">
        <f t="shared" si="174"/>
        <v>0</v>
      </c>
      <c r="BE258" s="111">
        <f t="shared" si="175"/>
        <v>-0.10000000000000142</v>
      </c>
      <c r="BF258" s="111">
        <f t="shared" si="176"/>
        <v>-0.19999999999999929</v>
      </c>
      <c r="BG258" s="111">
        <f t="shared" si="177"/>
        <v>-0.15000000000000213</v>
      </c>
      <c r="BH258" s="111">
        <f t="shared" si="178"/>
        <v>-0.10000000000000142</v>
      </c>
      <c r="BI258" s="111">
        <f t="shared" si="179"/>
        <v>-0.19999999999999929</v>
      </c>
      <c r="BJ258" s="111">
        <f t="shared" si="180"/>
        <v>-0.19999999999999929</v>
      </c>
      <c r="BK258" s="111">
        <f t="shared" si="181"/>
        <v>-0.29999999999999716</v>
      </c>
      <c r="BL258" s="111">
        <f t="shared" si="182"/>
        <v>-0.30000000000000071</v>
      </c>
      <c r="BM258" s="111">
        <f t="shared" si="183"/>
        <v>-0.39999999999999858</v>
      </c>
      <c r="BN258" s="111">
        <f t="shared" si="184"/>
        <v>-0.39999999999999858</v>
      </c>
      <c r="BO258" s="111">
        <f t="shared" si="185"/>
        <v>-0.29999999999999716</v>
      </c>
    </row>
    <row r="259" spans="38:67" ht="12.75" x14ac:dyDescent="0.2">
      <c r="AN259" t="s">
        <v>107</v>
      </c>
      <c r="AO259" s="140">
        <v>21.2</v>
      </c>
      <c r="AP259" s="140">
        <v>19.899999999999999</v>
      </c>
      <c r="AQ259" s="140">
        <v>19.399999999999999</v>
      </c>
      <c r="AR259" s="140">
        <v>19</v>
      </c>
      <c r="AS259" s="129">
        <f t="shared" si="186"/>
        <v>18.75</v>
      </c>
      <c r="AT259" s="140">
        <v>18.5</v>
      </c>
      <c r="AU259" s="140">
        <v>18</v>
      </c>
      <c r="AV259" s="140">
        <v>17.3</v>
      </c>
      <c r="AW259" s="140">
        <v>16.7</v>
      </c>
      <c r="AX259" s="140">
        <v>16.3</v>
      </c>
      <c r="AY259" s="140">
        <v>15.8</v>
      </c>
      <c r="AZ259" s="140">
        <v>15.5</v>
      </c>
      <c r="BA259" s="140">
        <v>16.100000000000001</v>
      </c>
      <c r="BC259" s="111">
        <f t="shared" si="187"/>
        <v>0</v>
      </c>
      <c r="BD259" s="111">
        <f t="shared" si="174"/>
        <v>0</v>
      </c>
      <c r="BE259" s="111">
        <f t="shared" si="175"/>
        <v>-0.10000000000000142</v>
      </c>
      <c r="BF259" s="111">
        <f t="shared" si="176"/>
        <v>-0.10000000000000142</v>
      </c>
      <c r="BG259" s="111">
        <f t="shared" si="177"/>
        <v>-0.10000000000000142</v>
      </c>
      <c r="BH259" s="111">
        <f t="shared" si="178"/>
        <v>-0.10000000000000142</v>
      </c>
      <c r="BI259" s="111">
        <f t="shared" si="179"/>
        <v>-0.19999999999999929</v>
      </c>
      <c r="BJ259" s="111">
        <f t="shared" si="180"/>
        <v>-0.19999999999999929</v>
      </c>
      <c r="BK259" s="111">
        <f t="shared" si="181"/>
        <v>-0.19999999999999929</v>
      </c>
      <c r="BL259" s="111">
        <f t="shared" si="182"/>
        <v>-0.19999999999999929</v>
      </c>
      <c r="BM259" s="111">
        <f t="shared" si="183"/>
        <v>-0.19999999999999929</v>
      </c>
      <c r="BN259" s="111">
        <f t="shared" si="184"/>
        <v>-0.30000000000000071</v>
      </c>
      <c r="BO259" s="111">
        <f t="shared" si="185"/>
        <v>-0.19999999999999929</v>
      </c>
    </row>
    <row r="260" spans="38:67" ht="12.75" x14ac:dyDescent="0.2">
      <c r="AN260" t="s">
        <v>108</v>
      </c>
      <c r="AO260" s="140">
        <v>20.6</v>
      </c>
      <c r="AP260" s="140">
        <v>19.5</v>
      </c>
      <c r="AQ260" s="140">
        <v>19.100000000000001</v>
      </c>
      <c r="AR260" s="140">
        <v>18.7</v>
      </c>
      <c r="AS260" s="129">
        <f t="shared" si="186"/>
        <v>18.45</v>
      </c>
      <c r="AT260" s="140">
        <v>18.2</v>
      </c>
      <c r="AU260" s="140">
        <v>17.7</v>
      </c>
      <c r="AV260" s="140">
        <v>16.899999999999999</v>
      </c>
      <c r="AW260" s="140">
        <v>16.3</v>
      </c>
      <c r="AX260" s="140">
        <v>15.8</v>
      </c>
      <c r="AY260" s="140">
        <v>15.2</v>
      </c>
      <c r="AZ260" s="140">
        <v>14.6</v>
      </c>
      <c r="BA260" s="140">
        <v>14.4</v>
      </c>
      <c r="BC260" s="111">
        <f t="shared" si="187"/>
        <v>-9.9999999999997868E-2</v>
      </c>
      <c r="BD260" s="111">
        <f t="shared" si="174"/>
        <v>-0.10000000000000142</v>
      </c>
      <c r="BE260" s="111">
        <f t="shared" si="175"/>
        <v>-9.9999999999997868E-2</v>
      </c>
      <c r="BF260" s="111">
        <f t="shared" si="176"/>
        <v>-0.19999999999999929</v>
      </c>
      <c r="BG260" s="111">
        <f t="shared" si="177"/>
        <v>-0.15000000000000213</v>
      </c>
      <c r="BH260" s="111">
        <f t="shared" si="178"/>
        <v>-0.10000000000000142</v>
      </c>
      <c r="BI260" s="111">
        <f t="shared" si="179"/>
        <v>-0.19999999999999929</v>
      </c>
      <c r="BJ260" s="111">
        <f t="shared" si="180"/>
        <v>-0.20000000000000284</v>
      </c>
      <c r="BK260" s="111">
        <f t="shared" si="181"/>
        <v>-0.19999999999999929</v>
      </c>
      <c r="BL260" s="111">
        <f t="shared" si="182"/>
        <v>-0.19999999999999929</v>
      </c>
      <c r="BM260" s="111">
        <f t="shared" si="183"/>
        <v>-0.20000000000000107</v>
      </c>
      <c r="BN260" s="111">
        <f t="shared" si="184"/>
        <v>-0.20000000000000107</v>
      </c>
      <c r="BO260" s="111">
        <f t="shared" si="185"/>
        <v>-0.19999999999999929</v>
      </c>
    </row>
    <row r="261" spans="38:67" ht="12.75" x14ac:dyDescent="0.2">
      <c r="AN261" t="s">
        <v>109</v>
      </c>
      <c r="AO261" s="140">
        <v>20.3</v>
      </c>
      <c r="AP261" s="140">
        <v>19.3</v>
      </c>
      <c r="AQ261" s="140">
        <v>18.899999999999999</v>
      </c>
      <c r="AR261" s="140">
        <v>18.600000000000001</v>
      </c>
      <c r="AS261" s="129">
        <f t="shared" si="186"/>
        <v>18.3</v>
      </c>
      <c r="AT261" s="140">
        <v>18</v>
      </c>
      <c r="AU261" s="140">
        <v>17.600000000000001</v>
      </c>
      <c r="AV261" s="140">
        <v>16.8</v>
      </c>
      <c r="AW261" s="140">
        <v>16.100000000000001</v>
      </c>
      <c r="AX261" s="140">
        <v>15.6</v>
      </c>
      <c r="AY261" s="140">
        <v>14.9</v>
      </c>
      <c r="AZ261" s="140">
        <v>14.2</v>
      </c>
      <c r="BA261" s="140">
        <v>13.6</v>
      </c>
      <c r="BC261" s="111">
        <f t="shared" si="187"/>
        <v>-9.9999999999997868E-2</v>
      </c>
      <c r="BD261" s="111">
        <f t="shared" si="174"/>
        <v>-9.9999999999997868E-2</v>
      </c>
      <c r="BE261" s="111">
        <f t="shared" si="175"/>
        <v>-0.20000000000000284</v>
      </c>
      <c r="BF261" s="111">
        <f t="shared" si="176"/>
        <v>-9.9999999999997868E-2</v>
      </c>
      <c r="BG261" s="111">
        <f t="shared" si="177"/>
        <v>-0.14999999999999858</v>
      </c>
      <c r="BH261" s="111">
        <f t="shared" si="178"/>
        <v>-0.19999999999999929</v>
      </c>
      <c r="BI261" s="111">
        <f t="shared" si="179"/>
        <v>-0.19999999999999929</v>
      </c>
      <c r="BJ261" s="111">
        <f t="shared" si="180"/>
        <v>-0.19999999999999929</v>
      </c>
      <c r="BK261" s="111">
        <f t="shared" si="181"/>
        <v>-0.19999999999999929</v>
      </c>
      <c r="BL261" s="111">
        <f t="shared" si="182"/>
        <v>-0.30000000000000071</v>
      </c>
      <c r="BM261" s="111">
        <f t="shared" si="183"/>
        <v>-0.29999999999999893</v>
      </c>
      <c r="BN261" s="111">
        <f t="shared" si="184"/>
        <v>-0.20000000000000107</v>
      </c>
      <c r="BO261" s="111">
        <f t="shared" si="185"/>
        <v>-0.20000000000000107</v>
      </c>
    </row>
    <row r="262" spans="38:67" ht="12.75" x14ac:dyDescent="0.2">
      <c r="AN262" t="s">
        <v>110</v>
      </c>
      <c r="AO262" s="140">
        <v>20</v>
      </c>
      <c r="AP262" s="140">
        <v>19.100000000000001</v>
      </c>
      <c r="AQ262" s="140">
        <v>18.7</v>
      </c>
      <c r="AR262" s="140">
        <v>18.399999999999999</v>
      </c>
      <c r="AS262" s="129">
        <f t="shared" si="186"/>
        <v>18.149999999999999</v>
      </c>
      <c r="AT262" s="140">
        <v>17.899999999999999</v>
      </c>
      <c r="AU262" s="140">
        <v>17.399999999999999</v>
      </c>
      <c r="AV262" s="140">
        <v>16.600000000000001</v>
      </c>
      <c r="AW262" s="140">
        <v>16</v>
      </c>
      <c r="AX262" s="140">
        <v>15.5</v>
      </c>
      <c r="AY262" s="140">
        <v>14.8</v>
      </c>
      <c r="AZ262" s="140">
        <v>13.9</v>
      </c>
      <c r="BA262" s="140">
        <v>13.2</v>
      </c>
      <c r="BC262" s="111">
        <f t="shared" si="187"/>
        <v>-0.10000000000000142</v>
      </c>
      <c r="BD262" s="111">
        <f t="shared" si="174"/>
        <v>-0.19999999999999929</v>
      </c>
      <c r="BE262" s="111">
        <f t="shared" si="175"/>
        <v>-0.19999999999999929</v>
      </c>
      <c r="BF262" s="111">
        <f t="shared" si="176"/>
        <v>-0.20000000000000284</v>
      </c>
      <c r="BG262" s="111">
        <f t="shared" si="177"/>
        <v>-0.20000000000000284</v>
      </c>
      <c r="BH262" s="111">
        <f t="shared" si="178"/>
        <v>-0.20000000000000284</v>
      </c>
      <c r="BI262" s="111">
        <f t="shared" si="179"/>
        <v>-0.20000000000000284</v>
      </c>
      <c r="BJ262" s="111">
        <f t="shared" si="180"/>
        <v>-0.19999999999999929</v>
      </c>
      <c r="BK262" s="111">
        <f t="shared" si="181"/>
        <v>-0.19999999999999929</v>
      </c>
      <c r="BL262" s="111">
        <f t="shared" si="182"/>
        <v>-0.19999999999999929</v>
      </c>
      <c r="BM262" s="111">
        <f t="shared" si="183"/>
        <v>-0.19999999999999929</v>
      </c>
      <c r="BN262" s="111">
        <f t="shared" si="184"/>
        <v>-0.29999999999999893</v>
      </c>
      <c r="BO262" s="111">
        <f t="shared" si="185"/>
        <v>-0.20000000000000107</v>
      </c>
    </row>
    <row r="264" spans="38:67" x14ac:dyDescent="0.2">
      <c r="AO264">
        <v>-0.5</v>
      </c>
      <c r="AP264">
        <v>-0.25</v>
      </c>
      <c r="AQ264">
        <v>-0.13</v>
      </c>
      <c r="AR264">
        <v>0</v>
      </c>
      <c r="AS264">
        <v>0.125</v>
      </c>
      <c r="AT264" s="126">
        <v>0.25</v>
      </c>
      <c r="AU264" s="126">
        <v>0.5</v>
      </c>
      <c r="AV264" s="126">
        <v>1</v>
      </c>
      <c r="AW264" s="126">
        <v>1.5</v>
      </c>
      <c r="AX264" s="126">
        <v>2</v>
      </c>
      <c r="AY264" s="126">
        <v>3</v>
      </c>
      <c r="AZ264" s="126">
        <v>5</v>
      </c>
      <c r="BA264" s="126">
        <v>10</v>
      </c>
    </row>
    <row r="265" spans="38:67" ht="12.75" x14ac:dyDescent="0.2">
      <c r="AL265" s="105" t="s">
        <v>293</v>
      </c>
      <c r="AN265" t="s">
        <v>25</v>
      </c>
      <c r="AO265" s="140">
        <v>10</v>
      </c>
      <c r="AP265" s="140">
        <f t="shared" ref="AP265:AP267" si="188">AP248</f>
        <v>7.4</v>
      </c>
      <c r="AQ265" s="140">
        <v>8</v>
      </c>
      <c r="AR265" s="140">
        <f>AR248</f>
        <v>9.3000000000000007</v>
      </c>
      <c r="AS265" s="129">
        <f t="shared" ref="AS265:AS279" si="189">(AR265+AT265)/2</f>
        <v>10.7</v>
      </c>
      <c r="AT265" s="140">
        <f>AT248</f>
        <v>12.1</v>
      </c>
      <c r="AU265" s="140">
        <v>14.7</v>
      </c>
      <c r="AV265" s="140">
        <v>19.100000000000001</v>
      </c>
      <c r="AW265" s="140">
        <v>22.7</v>
      </c>
      <c r="AX265" s="140">
        <v>25.8</v>
      </c>
      <c r="AY265" s="140">
        <f>AY248</f>
        <v>30.7</v>
      </c>
      <c r="AZ265" s="140">
        <f>AZ248</f>
        <v>38.200000000000003</v>
      </c>
      <c r="BA265" s="140">
        <v>49.9</v>
      </c>
      <c r="BC265" s="111">
        <f>AO265-AO248</f>
        <v>-9.9999999999999645E-2</v>
      </c>
      <c r="BD265" s="111">
        <f t="shared" ref="BD265:BD279" si="190">AP265-AP248</f>
        <v>0</v>
      </c>
      <c r="BE265" s="111">
        <f t="shared" ref="BE265:BE279" si="191">AQ265-AQ248</f>
        <v>0</v>
      </c>
      <c r="BF265" s="111">
        <f t="shared" ref="BF265:BF279" si="192">AR265-AR248</f>
        <v>0</v>
      </c>
      <c r="BG265" s="111">
        <f t="shared" ref="BG265:BG279" si="193">AS265-AS248</f>
        <v>0</v>
      </c>
      <c r="BH265" s="111">
        <f t="shared" ref="BH265:BH279" si="194">AT265-AT248</f>
        <v>0</v>
      </c>
      <c r="BI265" s="111">
        <f t="shared" ref="BI265:BI279" si="195">AU265-AU248</f>
        <v>0</v>
      </c>
      <c r="BJ265" s="111">
        <f t="shared" ref="BJ265:BJ279" si="196">AV265-AV248</f>
        <v>0.10000000000000142</v>
      </c>
      <c r="BK265" s="111">
        <f t="shared" ref="BK265:BK279" si="197">AW265-AW248</f>
        <v>9.9999999999997868E-2</v>
      </c>
      <c r="BL265" s="111">
        <f t="shared" ref="BL265:BL279" si="198">AX265-AX248</f>
        <v>0.10000000000000142</v>
      </c>
      <c r="BM265" s="111">
        <f t="shared" ref="BM265:BM279" si="199">AY265-AY248</f>
        <v>0</v>
      </c>
      <c r="BN265" s="111">
        <f t="shared" ref="BN265:BN279" si="200">AZ265-AZ248</f>
        <v>0</v>
      </c>
      <c r="BO265" s="111">
        <f t="shared" ref="BO265:BO279" si="201">BA265-BA248</f>
        <v>0.10000000000000142</v>
      </c>
    </row>
    <row r="266" spans="38:67" ht="12.75" x14ac:dyDescent="0.2">
      <c r="AN266" t="s">
        <v>157</v>
      </c>
      <c r="AO266" s="140">
        <v>12</v>
      </c>
      <c r="AP266" s="140">
        <f t="shared" si="188"/>
        <v>9.6999999999999993</v>
      </c>
      <c r="AQ266" s="140">
        <f>AQ249</f>
        <v>10.1</v>
      </c>
      <c r="AR266" s="140">
        <v>11.1</v>
      </c>
      <c r="AS266" s="129">
        <f t="shared" si="189"/>
        <v>12.2</v>
      </c>
      <c r="AT266" s="140">
        <v>13.3</v>
      </c>
      <c r="AU266" s="140">
        <v>15.4</v>
      </c>
      <c r="AV266" s="140">
        <v>19.100000000000001</v>
      </c>
      <c r="AW266" s="140">
        <v>22.1</v>
      </c>
      <c r="AX266" s="140">
        <v>24.7</v>
      </c>
      <c r="AY266" s="140">
        <v>28.9</v>
      </c>
      <c r="AZ266" s="140">
        <v>35</v>
      </c>
      <c r="BA266" s="140">
        <v>44</v>
      </c>
      <c r="BC266" s="111">
        <f t="shared" ref="BC266:BC279" si="202">AO266-AO249</f>
        <v>-9.9999999999999645E-2</v>
      </c>
      <c r="BD266" s="111">
        <f t="shared" si="190"/>
        <v>0</v>
      </c>
      <c r="BE266" s="111">
        <f t="shared" si="191"/>
        <v>0</v>
      </c>
      <c r="BF266" s="111">
        <f t="shared" si="192"/>
        <v>0</v>
      </c>
      <c r="BG266" s="111">
        <f t="shared" si="193"/>
        <v>0</v>
      </c>
      <c r="BH266" s="111">
        <f t="shared" si="194"/>
        <v>0</v>
      </c>
      <c r="BI266" s="111">
        <f t="shared" si="195"/>
        <v>-9.9999999999999645E-2</v>
      </c>
      <c r="BJ266" s="111">
        <f t="shared" si="196"/>
        <v>0</v>
      </c>
      <c r="BK266" s="111">
        <f t="shared" si="197"/>
        <v>-9.9999999999997868E-2</v>
      </c>
      <c r="BL266" s="111">
        <f t="shared" si="198"/>
        <v>-0.10000000000000142</v>
      </c>
      <c r="BM266" s="111">
        <f t="shared" si="199"/>
        <v>-0.10000000000000142</v>
      </c>
      <c r="BN266" s="111">
        <f t="shared" si="200"/>
        <v>-0.10000000000000142</v>
      </c>
      <c r="BO266" s="111">
        <f t="shared" si="201"/>
        <v>-0.20000000000000284</v>
      </c>
    </row>
    <row r="267" spans="38:67" ht="12.75" x14ac:dyDescent="0.2">
      <c r="AN267" t="s">
        <v>99</v>
      </c>
      <c r="AO267" s="140">
        <f>AO250</f>
        <v>15</v>
      </c>
      <c r="AP267" s="140">
        <f t="shared" si="188"/>
        <v>12.3</v>
      </c>
      <c r="AQ267" s="140">
        <v>11.7</v>
      </c>
      <c r="AR267" s="140">
        <v>11.8</v>
      </c>
      <c r="AS267" s="129">
        <f t="shared" si="189"/>
        <v>12.3</v>
      </c>
      <c r="AT267" s="140">
        <v>12.8</v>
      </c>
      <c r="AU267" s="140">
        <v>14.1</v>
      </c>
      <c r="AV267" s="140">
        <v>16.5</v>
      </c>
      <c r="AW267" s="140">
        <v>18.7</v>
      </c>
      <c r="AX267" s="140">
        <v>20.5</v>
      </c>
      <c r="AY267" s="140">
        <v>23.6</v>
      </c>
      <c r="AZ267" s="140">
        <v>28</v>
      </c>
      <c r="BA267" s="140">
        <v>34.200000000000003</v>
      </c>
      <c r="BC267" s="111">
        <f t="shared" si="202"/>
        <v>0</v>
      </c>
      <c r="BD267" s="111">
        <f t="shared" si="190"/>
        <v>0</v>
      </c>
      <c r="BE267" s="111">
        <f t="shared" si="191"/>
        <v>0</v>
      </c>
      <c r="BF267" s="111">
        <f t="shared" si="192"/>
        <v>0.10000000000000142</v>
      </c>
      <c r="BG267" s="111">
        <f t="shared" si="193"/>
        <v>0</v>
      </c>
      <c r="BH267" s="111">
        <f t="shared" si="194"/>
        <v>-9.9999999999999645E-2</v>
      </c>
      <c r="BI267" s="111">
        <f t="shared" si="195"/>
        <v>-0.20000000000000107</v>
      </c>
      <c r="BJ267" s="111">
        <f t="shared" si="196"/>
        <v>-0.30000000000000071</v>
      </c>
      <c r="BK267" s="111">
        <f t="shared" si="197"/>
        <v>-0.30000000000000071</v>
      </c>
      <c r="BL267" s="111">
        <f t="shared" si="198"/>
        <v>-0.39999999999999858</v>
      </c>
      <c r="BM267" s="111">
        <f t="shared" si="199"/>
        <v>-0.39999999999999858</v>
      </c>
      <c r="BN267" s="111">
        <f t="shared" si="200"/>
        <v>-0.39999999999999858</v>
      </c>
      <c r="BO267" s="111">
        <f t="shared" si="201"/>
        <v>-0.59999999999999432</v>
      </c>
    </row>
    <row r="268" spans="38:67" ht="12.75" x14ac:dyDescent="0.2">
      <c r="AN268" t="s">
        <v>101</v>
      </c>
      <c r="AO268" s="140">
        <v>17</v>
      </c>
      <c r="AP268" s="140">
        <v>14.6</v>
      </c>
      <c r="AQ268" s="140">
        <v>14</v>
      </c>
      <c r="AR268" s="140">
        <v>13.9</v>
      </c>
      <c r="AS268" s="129">
        <f t="shared" si="189"/>
        <v>14.2</v>
      </c>
      <c r="AT268" s="140">
        <v>14.5</v>
      </c>
      <c r="AU268" s="140">
        <v>15.2</v>
      </c>
      <c r="AV268" s="140">
        <v>16.5</v>
      </c>
      <c r="AW268" s="140">
        <v>17.8</v>
      </c>
      <c r="AX268" s="140">
        <v>19</v>
      </c>
      <c r="AY268" s="140">
        <v>21.2</v>
      </c>
      <c r="AZ268" s="140">
        <v>24.4</v>
      </c>
      <c r="BA268" s="140">
        <v>29.1</v>
      </c>
      <c r="BC268" s="111">
        <f t="shared" si="202"/>
        <v>0</v>
      </c>
      <c r="BD268" s="111">
        <f t="shared" si="190"/>
        <v>0</v>
      </c>
      <c r="BE268" s="111">
        <f t="shared" si="191"/>
        <v>0</v>
      </c>
      <c r="BF268" s="111">
        <f t="shared" si="192"/>
        <v>0</v>
      </c>
      <c r="BG268" s="111">
        <f t="shared" si="193"/>
        <v>-5.0000000000000711E-2</v>
      </c>
      <c r="BH268" s="111">
        <f t="shared" si="194"/>
        <v>-9.9999999999999645E-2</v>
      </c>
      <c r="BI268" s="111">
        <f t="shared" si="195"/>
        <v>-0.20000000000000107</v>
      </c>
      <c r="BJ268" s="111">
        <f t="shared" si="196"/>
        <v>-0.39999999999999858</v>
      </c>
      <c r="BK268" s="111">
        <f t="shared" si="197"/>
        <v>-0.59999999999999787</v>
      </c>
      <c r="BL268" s="111">
        <f t="shared" si="198"/>
        <v>-0.80000000000000071</v>
      </c>
      <c r="BM268" s="111">
        <f t="shared" si="199"/>
        <v>-0.90000000000000213</v>
      </c>
      <c r="BN268" s="111">
        <f t="shared" si="200"/>
        <v>-1.1000000000000014</v>
      </c>
      <c r="BO268" s="111">
        <f t="shared" si="201"/>
        <v>-1.2999999999999972</v>
      </c>
    </row>
    <row r="269" spans="38:67" ht="12.75" x14ac:dyDescent="0.2">
      <c r="AN269" t="s">
        <v>102</v>
      </c>
      <c r="AO269" s="140">
        <v>18.600000000000001</v>
      </c>
      <c r="AP269" s="140">
        <v>16.399999999999999</v>
      </c>
      <c r="AQ269" s="140">
        <v>15.8</v>
      </c>
      <c r="AR269" s="140">
        <v>15.6</v>
      </c>
      <c r="AS269" s="129">
        <f t="shared" si="189"/>
        <v>15.75</v>
      </c>
      <c r="AT269" s="140">
        <v>15.9</v>
      </c>
      <c r="AU269" s="140">
        <v>16.2</v>
      </c>
      <c r="AV269" s="140">
        <v>16.899999999999999</v>
      </c>
      <c r="AW269" s="140">
        <v>17.7</v>
      </c>
      <c r="AX269" s="140">
        <v>18.5</v>
      </c>
      <c r="AY269" s="140">
        <v>20.100000000000001</v>
      </c>
      <c r="AZ269" s="140">
        <v>22.6</v>
      </c>
      <c r="BA269" s="140">
        <v>26.4</v>
      </c>
      <c r="BC269" s="111">
        <f t="shared" si="202"/>
        <v>0</v>
      </c>
      <c r="BD269" s="111">
        <f t="shared" si="190"/>
        <v>0</v>
      </c>
      <c r="BE269" s="111">
        <f t="shared" si="191"/>
        <v>0</v>
      </c>
      <c r="BF269" s="111">
        <f t="shared" si="192"/>
        <v>-9.9999999999999645E-2</v>
      </c>
      <c r="BG269" s="111">
        <f t="shared" si="193"/>
        <v>-9.9999999999999645E-2</v>
      </c>
      <c r="BH269" s="111">
        <f t="shared" si="194"/>
        <v>-9.9999999999999645E-2</v>
      </c>
      <c r="BI269" s="111">
        <f t="shared" si="195"/>
        <v>-0.30000000000000071</v>
      </c>
      <c r="BJ269" s="111">
        <f t="shared" si="196"/>
        <v>-0.5</v>
      </c>
      <c r="BK269" s="111">
        <f t="shared" si="197"/>
        <v>-0.60000000000000142</v>
      </c>
      <c r="BL269" s="111">
        <f t="shared" si="198"/>
        <v>-0.69999999999999929</v>
      </c>
      <c r="BM269" s="111">
        <f t="shared" si="199"/>
        <v>-0.69999999999999929</v>
      </c>
      <c r="BN269" s="111">
        <f t="shared" si="200"/>
        <v>-0.79999999999999716</v>
      </c>
      <c r="BO269" s="111">
        <f t="shared" si="201"/>
        <v>-0.90000000000000213</v>
      </c>
    </row>
    <row r="270" spans="38:67" ht="12.75" x14ac:dyDescent="0.2">
      <c r="AN270" t="s">
        <v>103</v>
      </c>
      <c r="AO270" s="140">
        <v>19.8</v>
      </c>
      <c r="AP270" s="140">
        <v>17.7</v>
      </c>
      <c r="AQ270" s="140">
        <v>17.100000000000001</v>
      </c>
      <c r="AR270" s="140">
        <v>16.899999999999999</v>
      </c>
      <c r="AS270" s="129">
        <f t="shared" si="189"/>
        <v>16.899999999999999</v>
      </c>
      <c r="AT270" s="140">
        <v>16.899999999999999</v>
      </c>
      <c r="AU270" s="140">
        <v>17</v>
      </c>
      <c r="AV270" s="140">
        <v>17.3</v>
      </c>
      <c r="AW270" s="140">
        <v>17.7</v>
      </c>
      <c r="AX270" s="140">
        <v>18.2</v>
      </c>
      <c r="AY270" s="140">
        <v>19.399999999999999</v>
      </c>
      <c r="AZ270" s="140">
        <v>21.5</v>
      </c>
      <c r="BA270" s="140">
        <v>24.9</v>
      </c>
      <c r="BC270" s="111">
        <f t="shared" si="202"/>
        <v>-9.9999999999997868E-2</v>
      </c>
      <c r="BD270" s="111">
        <f t="shared" si="190"/>
        <v>-0.10000000000000142</v>
      </c>
      <c r="BE270" s="111">
        <f t="shared" si="191"/>
        <v>-9.9999999999997868E-2</v>
      </c>
      <c r="BF270" s="111">
        <f t="shared" si="192"/>
        <v>-0.10000000000000142</v>
      </c>
      <c r="BG270" s="111">
        <f t="shared" si="193"/>
        <v>-0.15000000000000213</v>
      </c>
      <c r="BH270" s="111">
        <f t="shared" si="194"/>
        <v>-0.20000000000000284</v>
      </c>
      <c r="BI270" s="111">
        <f t="shared" si="195"/>
        <v>-0.19999999999999929</v>
      </c>
      <c r="BJ270" s="111">
        <f t="shared" si="196"/>
        <v>-0.30000000000000071</v>
      </c>
      <c r="BK270" s="111">
        <f t="shared" si="197"/>
        <v>-0.40000000000000213</v>
      </c>
      <c r="BL270" s="111">
        <f t="shared" si="198"/>
        <v>-0.5</v>
      </c>
      <c r="BM270" s="111">
        <f t="shared" si="199"/>
        <v>-0.60000000000000142</v>
      </c>
      <c r="BN270" s="111">
        <f t="shared" si="200"/>
        <v>-0.60000000000000142</v>
      </c>
      <c r="BO270" s="111">
        <f t="shared" si="201"/>
        <v>-0.60000000000000142</v>
      </c>
    </row>
    <row r="271" spans="38:67" ht="12.75" x14ac:dyDescent="0.2">
      <c r="AN271" t="s">
        <v>104</v>
      </c>
      <c r="AO271" s="140">
        <v>20.7</v>
      </c>
      <c r="AP271" s="140">
        <v>18.7</v>
      </c>
      <c r="AQ271" s="140">
        <v>18.100000000000001</v>
      </c>
      <c r="AR271" s="140">
        <v>17.7</v>
      </c>
      <c r="AS271" s="129">
        <f t="shared" si="189"/>
        <v>17.649999999999999</v>
      </c>
      <c r="AT271" s="140">
        <v>17.600000000000001</v>
      </c>
      <c r="AU271" s="140">
        <v>17.5</v>
      </c>
      <c r="AV271" s="140">
        <v>17.399999999999999</v>
      </c>
      <c r="AW271" s="140">
        <v>17.5</v>
      </c>
      <c r="AX271" s="140">
        <v>17.8</v>
      </c>
      <c r="AY271" s="140">
        <v>18.600000000000001</v>
      </c>
      <c r="AZ271" s="140">
        <v>20.3</v>
      </c>
      <c r="BA271" s="140">
        <v>23.3</v>
      </c>
      <c r="BC271" s="111">
        <f t="shared" si="202"/>
        <v>0</v>
      </c>
      <c r="BD271" s="111">
        <f t="shared" si="190"/>
        <v>-0.10000000000000142</v>
      </c>
      <c r="BE271" s="111">
        <f t="shared" si="191"/>
        <v>0</v>
      </c>
      <c r="BF271" s="111">
        <f t="shared" si="192"/>
        <v>-0.10000000000000142</v>
      </c>
      <c r="BG271" s="111">
        <f t="shared" si="193"/>
        <v>-0.10000000000000142</v>
      </c>
      <c r="BH271" s="111">
        <f t="shared" si="194"/>
        <v>-9.9999999999997868E-2</v>
      </c>
      <c r="BI271" s="111">
        <f t="shared" si="195"/>
        <v>-0.30000000000000071</v>
      </c>
      <c r="BJ271" s="111">
        <f t="shared" si="196"/>
        <v>-0.40000000000000213</v>
      </c>
      <c r="BK271" s="111">
        <f t="shared" si="197"/>
        <v>-0.5</v>
      </c>
      <c r="BL271" s="111">
        <f t="shared" si="198"/>
        <v>-0.5</v>
      </c>
      <c r="BM271" s="111">
        <f t="shared" si="199"/>
        <v>-0.5</v>
      </c>
      <c r="BN271" s="111">
        <f t="shared" si="200"/>
        <v>-0.59999999999999787</v>
      </c>
      <c r="BO271" s="111">
        <f t="shared" si="201"/>
        <v>-0.59999999999999787</v>
      </c>
    </row>
    <row r="272" spans="38:67" ht="12.75" x14ac:dyDescent="0.2">
      <c r="AN272" t="s">
        <v>105</v>
      </c>
      <c r="AO272" s="140">
        <v>21.2</v>
      </c>
      <c r="AP272" s="140">
        <v>19.3</v>
      </c>
      <c r="AQ272" s="140">
        <v>18.7</v>
      </c>
      <c r="AR272" s="140">
        <v>18.399999999999999</v>
      </c>
      <c r="AS272" s="129">
        <f t="shared" si="189"/>
        <v>18.25</v>
      </c>
      <c r="AT272" s="140">
        <v>18.100000000000001</v>
      </c>
      <c r="AU272" s="140">
        <v>17.899999999999999</v>
      </c>
      <c r="AV272" s="140">
        <v>17.600000000000001</v>
      </c>
      <c r="AW272" s="140">
        <v>17.5</v>
      </c>
      <c r="AX272" s="140">
        <v>17.5</v>
      </c>
      <c r="AY272" s="140">
        <v>18</v>
      </c>
      <c r="AZ272" s="140">
        <v>19.3</v>
      </c>
      <c r="BA272" s="140">
        <v>22</v>
      </c>
      <c r="BC272" s="111">
        <f t="shared" si="202"/>
        <v>0</v>
      </c>
      <c r="BD272" s="111">
        <f t="shared" si="190"/>
        <v>-9.9999999999997868E-2</v>
      </c>
      <c r="BE272" s="111">
        <f t="shared" si="191"/>
        <v>-0.10000000000000142</v>
      </c>
      <c r="BF272" s="111">
        <f t="shared" si="192"/>
        <v>0</v>
      </c>
      <c r="BG272" s="111">
        <f t="shared" si="193"/>
        <v>-4.9999999999997158E-2</v>
      </c>
      <c r="BH272" s="111">
        <f t="shared" si="194"/>
        <v>-9.9999999999997868E-2</v>
      </c>
      <c r="BI272" s="111">
        <f t="shared" si="195"/>
        <v>-0.20000000000000284</v>
      </c>
      <c r="BJ272" s="111">
        <f t="shared" si="196"/>
        <v>-0.29999999999999716</v>
      </c>
      <c r="BK272" s="111">
        <f t="shared" si="197"/>
        <v>-0.30000000000000071</v>
      </c>
      <c r="BL272" s="111">
        <f t="shared" si="198"/>
        <v>-0.39999999999999858</v>
      </c>
      <c r="BM272" s="111">
        <f t="shared" si="199"/>
        <v>-0.39999999999999858</v>
      </c>
      <c r="BN272" s="111">
        <f t="shared" si="200"/>
        <v>-0.5</v>
      </c>
      <c r="BO272" s="111">
        <f t="shared" si="201"/>
        <v>-0.39999999999999858</v>
      </c>
    </row>
    <row r="273" spans="38:96" ht="12.75" x14ac:dyDescent="0.2">
      <c r="AN273" t="s">
        <v>106</v>
      </c>
      <c r="AO273" s="140">
        <v>21.5</v>
      </c>
      <c r="AP273" s="140">
        <v>19.7</v>
      </c>
      <c r="AQ273" s="140">
        <v>19.100000000000001</v>
      </c>
      <c r="AR273" s="140">
        <v>18.8</v>
      </c>
      <c r="AS273" s="129">
        <f t="shared" si="189"/>
        <v>18.600000000000001</v>
      </c>
      <c r="AT273" s="140">
        <v>18.399999999999999</v>
      </c>
      <c r="AU273" s="140">
        <v>18.100000000000001</v>
      </c>
      <c r="AV273" s="140">
        <v>17.600000000000001</v>
      </c>
      <c r="AW273" s="140">
        <v>17.3</v>
      </c>
      <c r="AX273" s="140">
        <v>17.2</v>
      </c>
      <c r="AY273" s="140">
        <v>17.5</v>
      </c>
      <c r="AZ273" s="140">
        <v>18.5</v>
      </c>
      <c r="BA273" s="140">
        <v>20.9</v>
      </c>
      <c r="BC273" s="111">
        <f t="shared" si="202"/>
        <v>-0.10000000000000142</v>
      </c>
      <c r="BD273" s="111">
        <f t="shared" si="190"/>
        <v>-0.10000000000000142</v>
      </c>
      <c r="BE273" s="111">
        <f t="shared" si="191"/>
        <v>-9.9999999999997868E-2</v>
      </c>
      <c r="BF273" s="111">
        <f t="shared" si="192"/>
        <v>0</v>
      </c>
      <c r="BG273" s="111">
        <f t="shared" si="193"/>
        <v>-4.9999999999997158E-2</v>
      </c>
      <c r="BH273" s="111">
        <f t="shared" si="194"/>
        <v>-0.10000000000000142</v>
      </c>
      <c r="BI273" s="111">
        <f t="shared" si="195"/>
        <v>-0.19999999999999929</v>
      </c>
      <c r="BJ273" s="111">
        <f t="shared" si="196"/>
        <v>-0.29999999999999716</v>
      </c>
      <c r="BK273" s="111">
        <f t="shared" si="197"/>
        <v>-0.30000000000000071</v>
      </c>
      <c r="BL273" s="111">
        <f t="shared" si="198"/>
        <v>-0.40000000000000213</v>
      </c>
      <c r="BM273" s="111">
        <f t="shared" si="199"/>
        <v>-0.39999999999999858</v>
      </c>
      <c r="BN273" s="111">
        <f t="shared" si="200"/>
        <v>-0.39999999999999858</v>
      </c>
      <c r="BO273" s="111">
        <f t="shared" si="201"/>
        <v>-0.40000000000000213</v>
      </c>
    </row>
    <row r="274" spans="38:96" ht="12.75" x14ac:dyDescent="0.2">
      <c r="AN274" t="s">
        <v>79</v>
      </c>
      <c r="AO274" s="140">
        <f t="shared" ref="AO274:AO275" si="203">AO257</f>
        <v>21.7</v>
      </c>
      <c r="AP274" s="140">
        <f>AP257</f>
        <v>20</v>
      </c>
      <c r="AQ274" s="140">
        <v>19.399999999999999</v>
      </c>
      <c r="AR274" s="140">
        <v>19</v>
      </c>
      <c r="AS274" s="129">
        <f t="shared" si="189"/>
        <v>18.75</v>
      </c>
      <c r="AT274" s="140">
        <v>18.5</v>
      </c>
      <c r="AU274" s="140">
        <v>18.2</v>
      </c>
      <c r="AV274" s="140">
        <v>17.600000000000001</v>
      </c>
      <c r="AW274" s="140">
        <v>17.2</v>
      </c>
      <c r="AX274" s="140">
        <v>17</v>
      </c>
      <c r="AY274" s="140">
        <v>17</v>
      </c>
      <c r="AZ274" s="140">
        <v>17.8</v>
      </c>
      <c r="BA274" s="140">
        <v>19.8</v>
      </c>
      <c r="BC274" s="111">
        <f t="shared" si="202"/>
        <v>0</v>
      </c>
      <c r="BD274" s="111">
        <f t="shared" si="190"/>
        <v>0</v>
      </c>
      <c r="BE274" s="111">
        <f t="shared" si="191"/>
        <v>0</v>
      </c>
      <c r="BF274" s="111">
        <f t="shared" si="192"/>
        <v>0</v>
      </c>
      <c r="BG274" s="111">
        <f t="shared" si="193"/>
        <v>-5.0000000000000711E-2</v>
      </c>
      <c r="BH274" s="111">
        <f t="shared" si="194"/>
        <v>-0.10000000000000142</v>
      </c>
      <c r="BI274" s="111">
        <f t="shared" si="195"/>
        <v>-0.10000000000000142</v>
      </c>
      <c r="BJ274" s="111">
        <f t="shared" si="196"/>
        <v>-0.19999999999999929</v>
      </c>
      <c r="BK274" s="111">
        <f t="shared" si="197"/>
        <v>-0.30000000000000071</v>
      </c>
      <c r="BL274" s="111">
        <f t="shared" si="198"/>
        <v>-0.30000000000000071</v>
      </c>
      <c r="BM274" s="111">
        <f t="shared" si="199"/>
        <v>-0.39999999999999858</v>
      </c>
      <c r="BN274" s="111">
        <f t="shared" si="200"/>
        <v>-0.39999999999999858</v>
      </c>
      <c r="BO274" s="111">
        <f t="shared" si="201"/>
        <v>-0.39999999999999858</v>
      </c>
    </row>
    <row r="275" spans="38:96" ht="12.75" x14ac:dyDescent="0.2">
      <c r="AN275" t="s">
        <v>159</v>
      </c>
      <c r="AO275" s="140">
        <f t="shared" si="203"/>
        <v>21.6</v>
      </c>
      <c r="AP275" s="140">
        <v>20</v>
      </c>
      <c r="AQ275" s="140">
        <v>19.5</v>
      </c>
      <c r="AR275" s="140">
        <v>19.100000000000001</v>
      </c>
      <c r="AS275" s="129">
        <f t="shared" si="189"/>
        <v>18.850000000000001</v>
      </c>
      <c r="AT275" s="140">
        <v>18.600000000000001</v>
      </c>
      <c r="AU275" s="140">
        <v>18.100000000000001</v>
      </c>
      <c r="AV275" s="140">
        <v>17.399999999999999</v>
      </c>
      <c r="AW275" s="140">
        <v>16.899999999999999</v>
      </c>
      <c r="AX275" s="140">
        <v>16.5</v>
      </c>
      <c r="AY275" s="140">
        <v>16.3</v>
      </c>
      <c r="AZ275" s="140">
        <v>16.5</v>
      </c>
      <c r="BA275" s="140">
        <v>17.8</v>
      </c>
      <c r="BC275" s="111">
        <f t="shared" si="202"/>
        <v>0</v>
      </c>
      <c r="BD275" s="111">
        <f t="shared" si="190"/>
        <v>-0.10000000000000142</v>
      </c>
      <c r="BE275" s="111">
        <f t="shared" si="191"/>
        <v>0</v>
      </c>
      <c r="BF275" s="111">
        <f t="shared" si="192"/>
        <v>0</v>
      </c>
      <c r="BG275" s="111">
        <f t="shared" si="193"/>
        <v>-4.9999999999997158E-2</v>
      </c>
      <c r="BH275" s="111">
        <f t="shared" si="194"/>
        <v>-9.9999999999997868E-2</v>
      </c>
      <c r="BI275" s="111">
        <f t="shared" si="195"/>
        <v>-0.19999999999999929</v>
      </c>
      <c r="BJ275" s="111">
        <f t="shared" si="196"/>
        <v>-0.20000000000000284</v>
      </c>
      <c r="BK275" s="111">
        <f t="shared" si="197"/>
        <v>-0.20000000000000284</v>
      </c>
      <c r="BL275" s="111">
        <f t="shared" si="198"/>
        <v>-0.30000000000000071</v>
      </c>
      <c r="BM275" s="111">
        <f t="shared" si="199"/>
        <v>-0.19999999999999929</v>
      </c>
      <c r="BN275" s="111">
        <f t="shared" si="200"/>
        <v>-0.30000000000000071</v>
      </c>
      <c r="BO275" s="111">
        <f t="shared" si="201"/>
        <v>-0.30000000000000071</v>
      </c>
    </row>
    <row r="276" spans="38:96" ht="12.75" x14ac:dyDescent="0.2">
      <c r="AN276" t="s">
        <v>107</v>
      </c>
      <c r="AO276" s="140">
        <v>21.1</v>
      </c>
      <c r="AP276" s="140">
        <v>19.8</v>
      </c>
      <c r="AQ276" s="140">
        <v>19.3</v>
      </c>
      <c r="AR276" s="140">
        <v>18.899999999999999</v>
      </c>
      <c r="AS276" s="129">
        <f t="shared" si="189"/>
        <v>18.649999999999999</v>
      </c>
      <c r="AT276" s="140">
        <v>18.399999999999999</v>
      </c>
      <c r="AU276" s="140">
        <v>17.899999999999999</v>
      </c>
      <c r="AV276" s="140">
        <v>17.100000000000001</v>
      </c>
      <c r="AW276" s="140">
        <v>16.5</v>
      </c>
      <c r="AX276" s="140">
        <v>16.100000000000001</v>
      </c>
      <c r="AY276" s="140">
        <v>15.5</v>
      </c>
      <c r="AZ276" s="140">
        <v>15.3</v>
      </c>
      <c r="BA276" s="140">
        <v>15.8</v>
      </c>
      <c r="BC276" s="111">
        <f t="shared" si="202"/>
        <v>-9.9999999999997868E-2</v>
      </c>
      <c r="BD276" s="111">
        <f t="shared" si="190"/>
        <v>-9.9999999999997868E-2</v>
      </c>
      <c r="BE276" s="111">
        <f t="shared" si="191"/>
        <v>-9.9999999999997868E-2</v>
      </c>
      <c r="BF276" s="111">
        <f t="shared" si="192"/>
        <v>-0.10000000000000142</v>
      </c>
      <c r="BG276" s="111">
        <f t="shared" si="193"/>
        <v>-0.10000000000000142</v>
      </c>
      <c r="BH276" s="111">
        <f t="shared" si="194"/>
        <v>-0.10000000000000142</v>
      </c>
      <c r="BI276" s="111">
        <f t="shared" si="195"/>
        <v>-0.10000000000000142</v>
      </c>
      <c r="BJ276" s="111">
        <f t="shared" si="196"/>
        <v>-0.19999999999999929</v>
      </c>
      <c r="BK276" s="111">
        <f t="shared" si="197"/>
        <v>-0.19999999999999929</v>
      </c>
      <c r="BL276" s="111">
        <f t="shared" si="198"/>
        <v>-0.19999999999999929</v>
      </c>
      <c r="BM276" s="111">
        <f t="shared" si="199"/>
        <v>-0.30000000000000071</v>
      </c>
      <c r="BN276" s="111">
        <f t="shared" si="200"/>
        <v>-0.19999999999999929</v>
      </c>
      <c r="BO276" s="111">
        <f t="shared" si="201"/>
        <v>-0.30000000000000071</v>
      </c>
    </row>
    <row r="277" spans="38:96" ht="12.75" x14ac:dyDescent="0.2">
      <c r="AN277" t="s">
        <v>108</v>
      </c>
      <c r="AO277" s="140">
        <v>20.5</v>
      </c>
      <c r="AP277" s="140">
        <v>19.399999999999999</v>
      </c>
      <c r="AQ277" s="140">
        <v>19</v>
      </c>
      <c r="AR277" s="140">
        <v>18.600000000000001</v>
      </c>
      <c r="AS277" s="129">
        <f t="shared" si="189"/>
        <v>18.399999999999999</v>
      </c>
      <c r="AT277" s="140">
        <f>AT260</f>
        <v>18.2</v>
      </c>
      <c r="AU277" s="140">
        <v>17.600000000000001</v>
      </c>
      <c r="AV277" s="140">
        <v>16.8</v>
      </c>
      <c r="AW277" s="140">
        <v>16.100000000000001</v>
      </c>
      <c r="AX277" s="140">
        <v>15.6</v>
      </c>
      <c r="AY277" s="140">
        <v>15</v>
      </c>
      <c r="AZ277" s="140">
        <v>14.4</v>
      </c>
      <c r="BA277" s="140">
        <v>14.2</v>
      </c>
      <c r="BC277" s="111">
        <f t="shared" si="202"/>
        <v>-0.10000000000000142</v>
      </c>
      <c r="BD277" s="111">
        <f t="shared" si="190"/>
        <v>-0.10000000000000142</v>
      </c>
      <c r="BE277" s="111">
        <f t="shared" si="191"/>
        <v>-0.10000000000000142</v>
      </c>
      <c r="BF277" s="111">
        <f t="shared" si="192"/>
        <v>-9.9999999999997868E-2</v>
      </c>
      <c r="BG277" s="111">
        <f t="shared" si="193"/>
        <v>-5.0000000000000711E-2</v>
      </c>
      <c r="BH277" s="111">
        <f t="shared" si="194"/>
        <v>0</v>
      </c>
      <c r="BI277" s="111">
        <f t="shared" si="195"/>
        <v>-9.9999999999997868E-2</v>
      </c>
      <c r="BJ277" s="111">
        <f t="shared" si="196"/>
        <v>-9.9999999999997868E-2</v>
      </c>
      <c r="BK277" s="111">
        <f t="shared" si="197"/>
        <v>-0.19999999999999929</v>
      </c>
      <c r="BL277" s="111">
        <f t="shared" si="198"/>
        <v>-0.20000000000000107</v>
      </c>
      <c r="BM277" s="111">
        <f t="shared" si="199"/>
        <v>-0.19999999999999929</v>
      </c>
      <c r="BN277" s="111">
        <f t="shared" si="200"/>
        <v>-0.19999999999999929</v>
      </c>
      <c r="BO277" s="111">
        <f t="shared" si="201"/>
        <v>-0.20000000000000107</v>
      </c>
    </row>
    <row r="278" spans="38:96" ht="12.75" x14ac:dyDescent="0.2">
      <c r="AN278" t="s">
        <v>109</v>
      </c>
      <c r="AO278" s="140">
        <v>20.2</v>
      </c>
      <c r="AP278" s="140">
        <v>19.2</v>
      </c>
      <c r="AQ278" s="140">
        <v>18.8</v>
      </c>
      <c r="AR278" s="140">
        <v>18.5</v>
      </c>
      <c r="AS278" s="129">
        <f t="shared" si="189"/>
        <v>18.2</v>
      </c>
      <c r="AT278" s="140">
        <v>17.899999999999999</v>
      </c>
      <c r="AU278" s="140">
        <v>17.399999999999999</v>
      </c>
      <c r="AV278" s="140">
        <v>16.600000000000001</v>
      </c>
      <c r="AW278" s="140">
        <v>16</v>
      </c>
      <c r="AX278" s="140">
        <f>AX261</f>
        <v>15.6</v>
      </c>
      <c r="AY278" s="140">
        <f>AY261</f>
        <v>14.9</v>
      </c>
      <c r="AZ278" s="140">
        <v>14</v>
      </c>
      <c r="BA278" s="140">
        <v>13.5</v>
      </c>
      <c r="BC278" s="111">
        <f t="shared" si="202"/>
        <v>-0.10000000000000142</v>
      </c>
      <c r="BD278" s="111">
        <f t="shared" si="190"/>
        <v>-0.10000000000000142</v>
      </c>
      <c r="BE278" s="111">
        <f t="shared" si="191"/>
        <v>-9.9999999999997868E-2</v>
      </c>
      <c r="BF278" s="111">
        <f t="shared" si="192"/>
        <v>-0.10000000000000142</v>
      </c>
      <c r="BG278" s="111">
        <f t="shared" si="193"/>
        <v>-0.10000000000000142</v>
      </c>
      <c r="BH278" s="111">
        <f t="shared" si="194"/>
        <v>-0.10000000000000142</v>
      </c>
      <c r="BI278" s="111">
        <f t="shared" si="195"/>
        <v>-0.20000000000000284</v>
      </c>
      <c r="BJ278" s="111">
        <f t="shared" si="196"/>
        <v>-0.19999999999999929</v>
      </c>
      <c r="BK278" s="111">
        <f t="shared" si="197"/>
        <v>-0.10000000000000142</v>
      </c>
      <c r="BL278" s="111">
        <f t="shared" si="198"/>
        <v>0</v>
      </c>
      <c r="BM278" s="111">
        <f t="shared" si="199"/>
        <v>0</v>
      </c>
      <c r="BN278" s="111">
        <f t="shared" si="200"/>
        <v>-0.19999999999999929</v>
      </c>
      <c r="BO278" s="111">
        <f t="shared" si="201"/>
        <v>-9.9999999999999645E-2</v>
      </c>
    </row>
    <row r="279" spans="38:96" ht="12.75" x14ac:dyDescent="0.2">
      <c r="AN279" t="s">
        <v>110</v>
      </c>
      <c r="AO279" s="140">
        <v>19.899999999999999</v>
      </c>
      <c r="AP279" s="140">
        <v>19</v>
      </c>
      <c r="AQ279" s="140">
        <v>18.600000000000001</v>
      </c>
      <c r="AR279" s="140">
        <v>18.3</v>
      </c>
      <c r="AS279" s="129">
        <f t="shared" si="189"/>
        <v>18</v>
      </c>
      <c r="AT279" s="140">
        <v>17.7</v>
      </c>
      <c r="AU279" s="140">
        <v>17.3</v>
      </c>
      <c r="AV279" s="140">
        <v>16.5</v>
      </c>
      <c r="AW279" s="140">
        <v>15.8</v>
      </c>
      <c r="AX279" s="140">
        <v>15.3</v>
      </c>
      <c r="AY279" s="140">
        <v>14.6</v>
      </c>
      <c r="AZ279" s="140">
        <f>AZ262</f>
        <v>13.9</v>
      </c>
      <c r="BA279" s="140">
        <v>13</v>
      </c>
      <c r="BC279" s="111">
        <f t="shared" si="202"/>
        <v>-0.10000000000000142</v>
      </c>
      <c r="BD279" s="111">
        <f t="shared" si="190"/>
        <v>-0.10000000000000142</v>
      </c>
      <c r="BE279" s="111">
        <f t="shared" si="191"/>
        <v>-9.9999999999997868E-2</v>
      </c>
      <c r="BF279" s="111">
        <f t="shared" si="192"/>
        <v>-9.9999999999997868E-2</v>
      </c>
      <c r="BG279" s="111">
        <f t="shared" si="193"/>
        <v>-0.14999999999999858</v>
      </c>
      <c r="BH279" s="111">
        <f t="shared" si="194"/>
        <v>-0.19999999999999929</v>
      </c>
      <c r="BI279" s="111">
        <f t="shared" si="195"/>
        <v>-9.9999999999997868E-2</v>
      </c>
      <c r="BJ279" s="111">
        <f t="shared" si="196"/>
        <v>-0.10000000000000142</v>
      </c>
      <c r="BK279" s="111">
        <f t="shared" si="197"/>
        <v>-0.19999999999999929</v>
      </c>
      <c r="BL279" s="111">
        <f t="shared" si="198"/>
        <v>-0.19999999999999929</v>
      </c>
      <c r="BM279" s="111">
        <f t="shared" si="199"/>
        <v>-0.20000000000000107</v>
      </c>
      <c r="BN279" s="111">
        <f t="shared" si="200"/>
        <v>0</v>
      </c>
      <c r="BO279" s="111">
        <f t="shared" si="201"/>
        <v>-0.19999999999999929</v>
      </c>
    </row>
    <row r="281" spans="38:96" x14ac:dyDescent="0.2">
      <c r="AO281">
        <v>-0.5</v>
      </c>
      <c r="AP281">
        <v>-0.25</v>
      </c>
      <c r="AQ281">
        <v>-0.13</v>
      </c>
      <c r="AR281">
        <v>0</v>
      </c>
      <c r="AS281">
        <v>0.125</v>
      </c>
      <c r="AT281" s="126">
        <v>0.25</v>
      </c>
      <c r="AU281" s="126">
        <v>0.5</v>
      </c>
      <c r="AV281" s="126">
        <v>1</v>
      </c>
      <c r="AW281" s="126">
        <v>1.5</v>
      </c>
      <c r="AX281" s="126">
        <v>2</v>
      </c>
      <c r="AY281" s="126">
        <v>3</v>
      </c>
      <c r="AZ281" s="126">
        <v>5</v>
      </c>
      <c r="BA281" s="126">
        <v>10</v>
      </c>
      <c r="BR281" s="106" t="s">
        <v>295</v>
      </c>
    </row>
    <row r="282" spans="38:96" ht="12.75" x14ac:dyDescent="0.2">
      <c r="AL282" s="105" t="s">
        <v>297</v>
      </c>
      <c r="AN282" t="s">
        <v>25</v>
      </c>
      <c r="AO282" s="142">
        <v>9.6999999999999993</v>
      </c>
      <c r="AP282" s="142">
        <v>7</v>
      </c>
      <c r="AQ282" s="142">
        <v>7.7</v>
      </c>
      <c r="AR282" s="142">
        <v>9</v>
      </c>
      <c r="AS282" s="129">
        <f t="shared" ref="AS282:AS296" si="204">(AR282+AT282)/2</f>
        <v>10.4</v>
      </c>
      <c r="AT282" s="142">
        <v>11.8</v>
      </c>
      <c r="AU282" s="142">
        <v>14.4</v>
      </c>
      <c r="AV282" s="142">
        <v>18.7</v>
      </c>
      <c r="AW282" s="142">
        <v>22.2</v>
      </c>
      <c r="AX282" s="142">
        <v>25.3</v>
      </c>
      <c r="AY282" s="142">
        <v>30.3</v>
      </c>
      <c r="AZ282" s="142">
        <v>37.700000000000003</v>
      </c>
      <c r="BA282" s="142">
        <v>49.3</v>
      </c>
      <c r="BC282" s="111">
        <f>AO282-AO265</f>
        <v>-0.30000000000000071</v>
      </c>
      <c r="BD282" s="111">
        <f t="shared" ref="BD282:BD296" si="205">AP282-AP265</f>
        <v>-0.40000000000000036</v>
      </c>
      <c r="BE282" s="111">
        <f t="shared" ref="BE282:BE296" si="206">AQ282-AQ265</f>
        <v>-0.29999999999999982</v>
      </c>
      <c r="BF282" s="111">
        <f t="shared" ref="BF282:BF296" si="207">AR282-AR265</f>
        <v>-0.30000000000000071</v>
      </c>
      <c r="BG282" s="111">
        <f t="shared" ref="BG282:BG296" si="208">AS282-AS265</f>
        <v>-0.29999999999999893</v>
      </c>
      <c r="BH282" s="111">
        <f t="shared" ref="BH282:BH296" si="209">AT282-AT265</f>
        <v>-0.29999999999999893</v>
      </c>
      <c r="BI282" s="111">
        <f t="shared" ref="BI282:BI296" si="210">AU282-AU265</f>
        <v>-0.29999999999999893</v>
      </c>
      <c r="BJ282" s="111">
        <f t="shared" ref="BJ282:BJ296" si="211">AV282-AV265</f>
        <v>-0.40000000000000213</v>
      </c>
      <c r="BK282" s="111">
        <f t="shared" ref="BK282:BK296" si="212">AW282-AW265</f>
        <v>-0.5</v>
      </c>
      <c r="BL282" s="111">
        <f t="shared" ref="BL282:BL296" si="213">AX282-AX265</f>
        <v>-0.5</v>
      </c>
      <c r="BM282" s="111">
        <f t="shared" ref="BM282:BM296" si="214">AY282-AY265</f>
        <v>-0.39999999999999858</v>
      </c>
      <c r="BN282" s="111">
        <f t="shared" ref="BN282:BN296" si="215">AZ282-AZ265</f>
        <v>-0.5</v>
      </c>
      <c r="BO282" s="111">
        <f t="shared" ref="BO282:BO296" si="216">BA282-BA265</f>
        <v>-0.60000000000000142</v>
      </c>
      <c r="BR282" s="120">
        <v>2.7990511760376223E-3</v>
      </c>
      <c r="BS282" s="120">
        <v>1.9189851038117526E-3</v>
      </c>
      <c r="BT282" s="120">
        <v>2.1927078615193254E-3</v>
      </c>
      <c r="BU282" s="120">
        <v>2.6113721833468505E-3</v>
      </c>
      <c r="BV282" s="120">
        <v>3.0769910221444142E-3</v>
      </c>
      <c r="BW282" s="120">
        <v>3.5592209270490505E-3</v>
      </c>
      <c r="BX282" s="120">
        <v>4.5093179259036069E-3</v>
      </c>
      <c r="BY282" s="120">
        <v>6.2781058764280638E-3</v>
      </c>
      <c r="BZ282" s="120">
        <v>7.9605238082395575E-3</v>
      </c>
      <c r="CA282" s="120">
        <v>9.604502703022726E-3</v>
      </c>
      <c r="CB282" s="120">
        <v>1.2731081575830108E-2</v>
      </c>
      <c r="CC282" s="120">
        <v>1.8728229385132442E-2</v>
      </c>
      <c r="CD282" s="120">
        <v>3.3372468726213009E-2</v>
      </c>
      <c r="CF282" s="120">
        <v>0.10741141716136082</v>
      </c>
      <c r="CG282" s="120">
        <v>7.0171916687237837E-2</v>
      </c>
      <c r="CH282" s="120">
        <v>7.844867224492777E-2</v>
      </c>
      <c r="CI282" s="120">
        <v>9.1465532004108174E-2</v>
      </c>
      <c r="CJ282" s="120">
        <v>0.10558930829823097</v>
      </c>
      <c r="CK282" s="120">
        <v>0.11973262238816412</v>
      </c>
      <c r="CL282" s="120">
        <v>0.14603636456429986</v>
      </c>
      <c r="CM282" s="120">
        <v>0.18963200087727217</v>
      </c>
      <c r="CN282" s="120">
        <v>0.22520617136385618</v>
      </c>
      <c r="CO282" s="120">
        <v>0.25773810591059965</v>
      </c>
      <c r="CP282" s="120">
        <v>0.3087209847150631</v>
      </c>
      <c r="CQ282" s="120">
        <v>0.38568702846007435</v>
      </c>
      <c r="CR282" s="120">
        <v>0.50618836360405706</v>
      </c>
    </row>
    <row r="283" spans="38:96" ht="12.75" x14ac:dyDescent="0.2">
      <c r="AN283" t="s">
        <v>157</v>
      </c>
      <c r="AO283" s="142">
        <v>11.6</v>
      </c>
      <c r="AP283" s="142">
        <v>9.3000000000000007</v>
      </c>
      <c r="AQ283" s="142">
        <v>9.8000000000000007</v>
      </c>
      <c r="AR283" s="142">
        <v>10.8</v>
      </c>
      <c r="AS283" s="129">
        <f t="shared" si="204"/>
        <v>11.850000000000001</v>
      </c>
      <c r="AT283" s="142">
        <v>12.9</v>
      </c>
      <c r="AU283" s="142">
        <v>14.8</v>
      </c>
      <c r="AV283" s="142">
        <v>18.3</v>
      </c>
      <c r="AW283" s="142">
        <v>21.1</v>
      </c>
      <c r="AX283" s="142">
        <v>23.6</v>
      </c>
      <c r="AY283" s="142">
        <v>27.5</v>
      </c>
      <c r="AZ283" s="142">
        <v>33.299999999999997</v>
      </c>
      <c r="BA283" s="142">
        <v>41.8</v>
      </c>
      <c r="BC283" s="111">
        <f t="shared" ref="BC283:BC296" si="217">AO283-AO266</f>
        <v>-0.40000000000000036</v>
      </c>
      <c r="BD283" s="111">
        <f t="shared" si="205"/>
        <v>-0.39999999999999858</v>
      </c>
      <c r="BE283" s="111">
        <f t="shared" si="206"/>
        <v>-0.29999999999999893</v>
      </c>
      <c r="BF283" s="111">
        <f t="shared" si="207"/>
        <v>-0.29999999999999893</v>
      </c>
      <c r="BG283" s="111">
        <f t="shared" si="208"/>
        <v>-0.34999999999999787</v>
      </c>
      <c r="BH283" s="111">
        <f t="shared" si="209"/>
        <v>-0.40000000000000036</v>
      </c>
      <c r="BI283" s="111">
        <f t="shared" si="210"/>
        <v>-0.59999999999999964</v>
      </c>
      <c r="BJ283" s="111">
        <f t="shared" si="211"/>
        <v>-0.80000000000000071</v>
      </c>
      <c r="BK283" s="111">
        <f t="shared" si="212"/>
        <v>-1</v>
      </c>
      <c r="BL283" s="111">
        <f t="shared" si="213"/>
        <v>-1.0999999999999979</v>
      </c>
      <c r="BM283" s="111">
        <f t="shared" si="214"/>
        <v>-1.3999999999999986</v>
      </c>
      <c r="BN283" s="111">
        <f t="shared" si="215"/>
        <v>-1.7000000000000028</v>
      </c>
      <c r="BO283" s="111">
        <f t="shared" si="216"/>
        <v>-2.2000000000000028</v>
      </c>
      <c r="BR283" s="120">
        <v>3.2405008605307165E-3</v>
      </c>
      <c r="BS283" s="120">
        <v>3.2803146662306669E-3</v>
      </c>
      <c r="BT283" s="120">
        <v>3.3008100848478704E-3</v>
      </c>
      <c r="BU283" s="120">
        <v>3.4753602937328183E-3</v>
      </c>
      <c r="BV283" s="120">
        <v>3.7203589954265958E-3</v>
      </c>
      <c r="BW283" s="120">
        <v>4.0104617309499333E-3</v>
      </c>
      <c r="BX283" s="120">
        <v>4.6059475024141988E-3</v>
      </c>
      <c r="BY283" s="120">
        <v>5.9636663787400526E-3</v>
      </c>
      <c r="BZ283" s="120">
        <v>7.2305516274594655E-3</v>
      </c>
      <c r="CA283" s="120">
        <v>8.5108034712829336E-3</v>
      </c>
      <c r="CB283" s="120">
        <v>1.0882966626784793E-2</v>
      </c>
      <c r="CC283" s="120">
        <v>1.5419660727753661E-2</v>
      </c>
      <c r="CD283" s="120">
        <v>2.5414562695409683E-2</v>
      </c>
      <c r="CF283" s="120">
        <v>0.12435579431639664</v>
      </c>
      <c r="CG283" s="120">
        <v>0.12005136471055841</v>
      </c>
      <c r="CH283" s="120">
        <v>0.11811663888576786</v>
      </c>
      <c r="CI283" s="120">
        <v>0.12171691331136039</v>
      </c>
      <c r="CJ283" s="120">
        <v>0.12761345812845395</v>
      </c>
      <c r="CK283" s="120">
        <v>0.13483523736611533</v>
      </c>
      <c r="CL283" s="120">
        <v>0.14906285094740981</v>
      </c>
      <c r="CM283" s="120">
        <v>0.18002771653990973</v>
      </c>
      <c r="CN283" s="120">
        <v>0.20532610251815658</v>
      </c>
      <c r="CO283" s="120">
        <v>0.22787458543090469</v>
      </c>
      <c r="CP283" s="120">
        <v>0.26366105269005941</v>
      </c>
      <c r="CQ283" s="120">
        <v>0.31708851245312553</v>
      </c>
      <c r="CR283" s="120">
        <v>0.3941876477426971</v>
      </c>
    </row>
    <row r="284" spans="38:96" ht="12.75" x14ac:dyDescent="0.2">
      <c r="AN284" t="s">
        <v>99</v>
      </c>
      <c r="AO284" s="142">
        <v>14.7</v>
      </c>
      <c r="AP284" s="142">
        <v>12.2</v>
      </c>
      <c r="AQ284" s="142">
        <v>11.6</v>
      </c>
      <c r="AR284" s="142">
        <v>11.6</v>
      </c>
      <c r="AS284" s="129">
        <f t="shared" si="204"/>
        <v>12.05</v>
      </c>
      <c r="AT284" s="142">
        <v>12.5</v>
      </c>
      <c r="AU284" s="142">
        <v>13.6</v>
      </c>
      <c r="AV284" s="142">
        <v>15.7</v>
      </c>
      <c r="AW284" s="142">
        <v>17.5</v>
      </c>
      <c r="AX284" s="142">
        <v>19.2</v>
      </c>
      <c r="AY284" s="142">
        <v>21.9</v>
      </c>
      <c r="AZ284" s="142">
        <v>25.9</v>
      </c>
      <c r="BA284" s="142">
        <v>31.7</v>
      </c>
      <c r="BC284" s="111">
        <f t="shared" si="217"/>
        <v>-0.30000000000000071</v>
      </c>
      <c r="BD284" s="111">
        <f t="shared" si="205"/>
        <v>-0.10000000000000142</v>
      </c>
      <c r="BE284" s="111">
        <f t="shared" si="206"/>
        <v>-9.9999999999999645E-2</v>
      </c>
      <c r="BF284" s="111">
        <f t="shared" si="207"/>
        <v>-0.20000000000000107</v>
      </c>
      <c r="BG284" s="111">
        <f t="shared" si="208"/>
        <v>-0.25</v>
      </c>
      <c r="BH284" s="111">
        <f t="shared" si="209"/>
        <v>-0.30000000000000071</v>
      </c>
      <c r="BI284" s="111">
        <f t="shared" si="210"/>
        <v>-0.5</v>
      </c>
      <c r="BJ284" s="111">
        <f t="shared" si="211"/>
        <v>-0.80000000000000071</v>
      </c>
      <c r="BK284" s="111">
        <f t="shared" si="212"/>
        <v>-1.1999999999999993</v>
      </c>
      <c r="BL284" s="111">
        <f t="shared" si="213"/>
        <v>-1.3000000000000007</v>
      </c>
      <c r="BM284" s="111">
        <f t="shared" si="214"/>
        <v>-1.7000000000000028</v>
      </c>
      <c r="BN284" s="111">
        <f t="shared" si="215"/>
        <v>-2.1000000000000014</v>
      </c>
      <c r="BO284" s="111">
        <f t="shared" si="216"/>
        <v>-2.5000000000000036</v>
      </c>
      <c r="BR284" s="120">
        <v>3.9675768038794183E-3</v>
      </c>
      <c r="BS284" s="120">
        <v>3.4496358988772217E-3</v>
      </c>
      <c r="BT284" s="120">
        <v>3.3473927210026372E-3</v>
      </c>
      <c r="BU284" s="120">
        <v>3.4284662759776516E-3</v>
      </c>
      <c r="BV284" s="120">
        <v>3.6382330165995046E-3</v>
      </c>
      <c r="BW284" s="120">
        <v>3.8529930901020884E-3</v>
      </c>
      <c r="BX284" s="120">
        <v>4.3594204706230294E-3</v>
      </c>
      <c r="BY284" s="120">
        <v>5.4012410455054252E-3</v>
      </c>
      <c r="BZ284" s="120">
        <v>6.4113411333877593E-3</v>
      </c>
      <c r="CA284" s="120">
        <v>7.4453673127683716E-3</v>
      </c>
      <c r="CB284" s="120">
        <v>9.386711816032331E-3</v>
      </c>
      <c r="CC284" s="120">
        <v>1.3060554053408849E-2</v>
      </c>
      <c r="CD284" s="120">
        <v>2.1335272181784444E-2</v>
      </c>
      <c r="CF284" s="120">
        <v>0.14700015560058072</v>
      </c>
      <c r="CG284" s="120">
        <v>0.12200240350054524</v>
      </c>
      <c r="CH284" s="120">
        <v>0.11577457300667023</v>
      </c>
      <c r="CI284" s="120">
        <v>0.11600121524328316</v>
      </c>
      <c r="CJ284" s="120">
        <v>0.12050000580377547</v>
      </c>
      <c r="CK284" s="120">
        <v>0.12500004335221637</v>
      </c>
      <c r="CL284" s="120">
        <v>0.13600029697838542</v>
      </c>
      <c r="CM284" s="120">
        <v>0.15700174432029754</v>
      </c>
      <c r="CN284" s="120">
        <v>0.17500747739618552</v>
      </c>
      <c r="CO284" s="120">
        <v>0.19201609069719919</v>
      </c>
      <c r="CP284" s="120">
        <v>0.21900051825722355</v>
      </c>
      <c r="CQ284" s="120">
        <v>0.25900342349087685</v>
      </c>
      <c r="CR284" s="120">
        <v>0.31706515371270194</v>
      </c>
    </row>
    <row r="285" spans="38:96" ht="12.75" x14ac:dyDescent="0.2">
      <c r="AN285" t="s">
        <v>101</v>
      </c>
      <c r="AO285" s="142">
        <v>16.7</v>
      </c>
      <c r="AP285" s="142">
        <v>14.4</v>
      </c>
      <c r="AQ285" s="142">
        <v>13.8</v>
      </c>
      <c r="AR285" s="142">
        <v>13.8</v>
      </c>
      <c r="AS285" s="129">
        <f t="shared" si="204"/>
        <v>14.05</v>
      </c>
      <c r="AT285" s="142">
        <v>14.3</v>
      </c>
      <c r="AU285" s="142">
        <v>14.9</v>
      </c>
      <c r="AV285" s="142">
        <v>16.100000000000001</v>
      </c>
      <c r="AW285" s="142">
        <v>17.3</v>
      </c>
      <c r="AX285" s="142">
        <v>18.399999999999999</v>
      </c>
      <c r="AY285" s="142">
        <v>20.399999999999999</v>
      </c>
      <c r="AZ285" s="142">
        <v>23.3</v>
      </c>
      <c r="BA285" s="142">
        <v>27.6</v>
      </c>
      <c r="BC285" s="111">
        <f t="shared" si="217"/>
        <v>-0.30000000000000071</v>
      </c>
      <c r="BD285" s="111">
        <f t="shared" si="205"/>
        <v>-0.19999999999999929</v>
      </c>
      <c r="BE285" s="111">
        <f t="shared" si="206"/>
        <v>-0.19999999999999929</v>
      </c>
      <c r="BF285" s="111">
        <f t="shared" si="207"/>
        <v>-9.9999999999999645E-2</v>
      </c>
      <c r="BG285" s="111">
        <f t="shared" si="208"/>
        <v>-0.14999999999999858</v>
      </c>
      <c r="BH285" s="111">
        <f t="shared" si="209"/>
        <v>-0.19999999999999929</v>
      </c>
      <c r="BI285" s="111">
        <f t="shared" si="210"/>
        <v>-0.29999999999999893</v>
      </c>
      <c r="BJ285" s="111">
        <f t="shared" si="211"/>
        <v>-0.39999999999999858</v>
      </c>
      <c r="BK285" s="111">
        <f t="shared" si="212"/>
        <v>-0.5</v>
      </c>
      <c r="BL285" s="111">
        <f t="shared" si="213"/>
        <v>-0.60000000000000142</v>
      </c>
      <c r="BM285" s="111">
        <f t="shared" si="214"/>
        <v>-0.80000000000000071</v>
      </c>
      <c r="BN285" s="111">
        <f t="shared" si="215"/>
        <v>-1.0999999999999979</v>
      </c>
      <c r="BO285" s="111">
        <f t="shared" si="216"/>
        <v>-1.5</v>
      </c>
      <c r="BR285" s="120">
        <v>6.0305824050099002E-3</v>
      </c>
      <c r="BS285" s="120">
        <v>5.9322865254863326E-3</v>
      </c>
      <c r="BT285" s="120">
        <v>5.8734215882391399E-3</v>
      </c>
      <c r="BU285" s="120">
        <v>5.8891728742237531E-3</v>
      </c>
      <c r="BV285" s="120">
        <v>5.8025719403810901E-3</v>
      </c>
      <c r="BW285" s="120">
        <v>5.7317878563515039E-3</v>
      </c>
      <c r="BX285" s="120">
        <v>5.6814570380397476E-3</v>
      </c>
      <c r="BY285" s="120">
        <v>5.9664739585076152E-3</v>
      </c>
      <c r="BZ285" s="120">
        <v>6.5581146930460306E-3</v>
      </c>
      <c r="CA285" s="120">
        <v>7.1841782670722925E-3</v>
      </c>
      <c r="CB285" s="120">
        <v>8.6310441971004966E-3</v>
      </c>
      <c r="CC285" s="120">
        <v>1.135446241603298E-2</v>
      </c>
      <c r="CD285" s="120">
        <v>1.7622056483645E-2</v>
      </c>
      <c r="CF285" s="120">
        <v>0.21235699699007277</v>
      </c>
      <c r="CG285" s="120">
        <v>0.19944296973305381</v>
      </c>
      <c r="CH285" s="120">
        <v>0.19315868119313823</v>
      </c>
      <c r="CI285" s="120">
        <v>0.18959717316723326</v>
      </c>
      <c r="CJ285" s="120">
        <v>0.18292007557883055</v>
      </c>
      <c r="CK285" s="120">
        <v>0.17707480727621097</v>
      </c>
      <c r="CL285" s="120">
        <v>0.16892124652757781</v>
      </c>
      <c r="CM285" s="120">
        <v>0.16553804398729691</v>
      </c>
      <c r="CN285" s="120">
        <v>0.17111037552565925</v>
      </c>
      <c r="CO285" s="120">
        <v>0.177216368110828</v>
      </c>
      <c r="CP285" s="120">
        <v>0.19296218903433773</v>
      </c>
      <c r="CQ285" s="120">
        <v>0.21599370129850448</v>
      </c>
      <c r="CR285" s="120">
        <v>0.25121078034766298</v>
      </c>
    </row>
    <row r="286" spans="38:96" ht="12.75" x14ac:dyDescent="0.2">
      <c r="AN286" t="s">
        <v>102</v>
      </c>
      <c r="AO286" s="142">
        <v>18.399999999999999</v>
      </c>
      <c r="AP286" s="142">
        <v>16.2</v>
      </c>
      <c r="AQ286" s="142">
        <v>15.7</v>
      </c>
      <c r="AR286" s="142">
        <v>15.5</v>
      </c>
      <c r="AS286" s="129">
        <f t="shared" si="204"/>
        <v>15.65</v>
      </c>
      <c r="AT286" s="142">
        <v>15.8</v>
      </c>
      <c r="AU286" s="142">
        <v>16.100000000000001</v>
      </c>
      <c r="AV286" s="142">
        <v>16.8</v>
      </c>
      <c r="AW286" s="142">
        <v>17.5</v>
      </c>
      <c r="AX286" s="142">
        <v>18.3</v>
      </c>
      <c r="AY286" s="142">
        <v>19.899999999999999</v>
      </c>
      <c r="AZ286" s="142">
        <v>22.3</v>
      </c>
      <c r="BA286" s="142">
        <v>26</v>
      </c>
      <c r="BC286" s="111">
        <f t="shared" si="217"/>
        <v>-0.20000000000000284</v>
      </c>
      <c r="BD286" s="111">
        <f t="shared" si="205"/>
        <v>-0.19999999999999929</v>
      </c>
      <c r="BE286" s="111">
        <f t="shared" si="206"/>
        <v>-0.10000000000000142</v>
      </c>
      <c r="BF286" s="111">
        <f t="shared" si="207"/>
        <v>-9.9999999999999645E-2</v>
      </c>
      <c r="BG286" s="111">
        <f t="shared" si="208"/>
        <v>-9.9999999999999645E-2</v>
      </c>
      <c r="BH286" s="111">
        <f t="shared" si="209"/>
        <v>-9.9999999999999645E-2</v>
      </c>
      <c r="BI286" s="111">
        <f t="shared" si="210"/>
        <v>-9.9999999999997868E-2</v>
      </c>
      <c r="BJ286" s="111">
        <f t="shared" si="211"/>
        <v>-9.9999999999997868E-2</v>
      </c>
      <c r="BK286" s="111">
        <f t="shared" si="212"/>
        <v>-0.19999999999999929</v>
      </c>
      <c r="BL286" s="111">
        <f t="shared" si="213"/>
        <v>-0.19999999999999929</v>
      </c>
      <c r="BM286" s="111">
        <f t="shared" si="214"/>
        <v>-0.20000000000000284</v>
      </c>
      <c r="BN286" s="111">
        <f t="shared" si="215"/>
        <v>-0.30000000000000071</v>
      </c>
      <c r="BO286" s="111">
        <f t="shared" si="216"/>
        <v>-0.39999999999999858</v>
      </c>
      <c r="BR286" s="120">
        <v>6.6679167424850243E-3</v>
      </c>
      <c r="BS286" s="120">
        <v>6.4329911026669295E-3</v>
      </c>
      <c r="BT286" s="120">
        <v>6.5073415909993474E-3</v>
      </c>
      <c r="BU286" s="120">
        <v>6.3202026050049476E-3</v>
      </c>
      <c r="BV286" s="120">
        <v>6.366814352606753E-3</v>
      </c>
      <c r="BW286" s="120">
        <v>6.4043323387119799E-3</v>
      </c>
      <c r="BX286" s="120">
        <v>6.4207347148474035E-3</v>
      </c>
      <c r="BY286" s="120">
        <v>6.7010511616959244E-3</v>
      </c>
      <c r="BZ286" s="120">
        <v>7.0895364969412707E-3</v>
      </c>
      <c r="CA286" s="120">
        <v>7.7070522153914398E-3</v>
      </c>
      <c r="CB286" s="120">
        <v>9.0974828398765317E-3</v>
      </c>
      <c r="CC286" s="120">
        <v>1.1855930198007113E-2</v>
      </c>
      <c r="CD286" s="120">
        <v>1.8319674943651987E-2</v>
      </c>
      <c r="CF286" s="120">
        <v>0.22546217089190912</v>
      </c>
      <c r="CG286" s="120">
        <v>0.20749830646999459</v>
      </c>
      <c r="CH286" s="120">
        <v>0.20545701559447846</v>
      </c>
      <c r="CI286" s="120">
        <v>0.19527046080167884</v>
      </c>
      <c r="CJ286" s="120">
        <v>0.19286138161766478</v>
      </c>
      <c r="CK286" s="120">
        <v>0.19030413364158194</v>
      </c>
      <c r="CL286" s="120">
        <v>0.18386653933201266</v>
      </c>
      <c r="CM286" s="120">
        <v>0.1793754673281476</v>
      </c>
      <c r="CN286" s="120">
        <v>0.17857875509689827</v>
      </c>
      <c r="CO286" s="120">
        <v>0.18380555010396568</v>
      </c>
      <c r="CP286" s="120">
        <v>0.19698599627236354</v>
      </c>
      <c r="CQ286" s="120">
        <v>0.21931811129500747</v>
      </c>
      <c r="CR286" s="120">
        <v>0.25609977640387399</v>
      </c>
    </row>
    <row r="287" spans="38:96" ht="12.75" x14ac:dyDescent="0.2">
      <c r="AN287" t="s">
        <v>103</v>
      </c>
      <c r="AO287" s="142">
        <v>19.600000000000001</v>
      </c>
      <c r="AP287" s="142">
        <v>17.600000000000001</v>
      </c>
      <c r="AQ287" s="142">
        <v>17.100000000000001</v>
      </c>
      <c r="AR287" s="142">
        <v>16.8</v>
      </c>
      <c r="AS287" s="129">
        <f t="shared" si="204"/>
        <v>16.8</v>
      </c>
      <c r="AT287" s="142">
        <v>16.8</v>
      </c>
      <c r="AU287" s="142">
        <v>16.899999999999999</v>
      </c>
      <c r="AV287" s="142">
        <v>17.2</v>
      </c>
      <c r="AW287" s="142">
        <v>17.600000000000001</v>
      </c>
      <c r="AX287" s="142">
        <v>18.100000000000001</v>
      </c>
      <c r="AY287" s="142">
        <v>19.3</v>
      </c>
      <c r="AZ287" s="142">
        <v>21.4</v>
      </c>
      <c r="BA287" s="142">
        <v>24.8</v>
      </c>
      <c r="BC287" s="111">
        <f t="shared" si="217"/>
        <v>-0.19999999999999929</v>
      </c>
      <c r="BD287" s="111">
        <f t="shared" si="205"/>
        <v>-9.9999999999997868E-2</v>
      </c>
      <c r="BE287" s="111">
        <f t="shared" si="206"/>
        <v>0</v>
      </c>
      <c r="BF287" s="111">
        <f t="shared" si="207"/>
        <v>-9.9999999999997868E-2</v>
      </c>
      <c r="BG287" s="111">
        <f t="shared" si="208"/>
        <v>-9.9999999999997868E-2</v>
      </c>
      <c r="BH287" s="111">
        <f t="shared" si="209"/>
        <v>-9.9999999999997868E-2</v>
      </c>
      <c r="BI287" s="111">
        <f t="shared" si="210"/>
        <v>-0.10000000000000142</v>
      </c>
      <c r="BJ287" s="111">
        <f t="shared" si="211"/>
        <v>-0.10000000000000142</v>
      </c>
      <c r="BK287" s="111">
        <f t="shared" si="212"/>
        <v>-9.9999999999997868E-2</v>
      </c>
      <c r="BL287" s="111">
        <f t="shared" si="213"/>
        <v>-9.9999999999997868E-2</v>
      </c>
      <c r="BM287" s="111">
        <f t="shared" si="214"/>
        <v>-9.9999999999997868E-2</v>
      </c>
      <c r="BN287" s="111">
        <f t="shared" si="215"/>
        <v>-0.10000000000000142</v>
      </c>
      <c r="BO287" s="111">
        <f t="shared" si="216"/>
        <v>-9.9999999999997868E-2</v>
      </c>
      <c r="BR287" s="120">
        <v>7.2284482052206445E-3</v>
      </c>
      <c r="BS287" s="120">
        <v>7.2365058123127256E-3</v>
      </c>
      <c r="BT287" s="120">
        <v>7.1896364052618216E-3</v>
      </c>
      <c r="BU287" s="120">
        <v>7.1247022408042603E-3</v>
      </c>
      <c r="BV287" s="120">
        <v>7.0132388125079383E-3</v>
      </c>
      <c r="BW287" s="120">
        <v>6.8984927839863871E-3</v>
      </c>
      <c r="BX287" s="120">
        <v>6.8799361456229422E-3</v>
      </c>
      <c r="BY287" s="120">
        <v>6.9710687971697239E-3</v>
      </c>
      <c r="BZ287" s="120">
        <v>7.3207024344852959E-3</v>
      </c>
      <c r="CA287" s="120">
        <v>7.730327311419454E-3</v>
      </c>
      <c r="CB287" s="120">
        <v>8.8635894659633736E-3</v>
      </c>
      <c r="CC287" s="120">
        <v>1.1468309209175125E-2</v>
      </c>
      <c r="CD287" s="120">
        <v>1.7669063560179516E-2</v>
      </c>
      <c r="CF287" s="120">
        <v>0.23441086567555161</v>
      </c>
      <c r="CG287" s="120">
        <v>0.22427702293695931</v>
      </c>
      <c r="CH287" s="120">
        <v>0.2179789326196514</v>
      </c>
      <c r="CI287" s="120">
        <v>0.21158120804575975</v>
      </c>
      <c r="CJ287" s="120">
        <v>0.20400285470583576</v>
      </c>
      <c r="CK287" s="120">
        <v>0.19669614388664894</v>
      </c>
      <c r="CL287" s="120">
        <v>0.18902576682353558</v>
      </c>
      <c r="CM287" s="120">
        <v>0.17899428796762593</v>
      </c>
      <c r="CN287" s="120">
        <v>0.17702681634162631</v>
      </c>
      <c r="CO287" s="120">
        <v>0.1769641671209205</v>
      </c>
      <c r="CP287" s="120">
        <v>0.18428913833406368</v>
      </c>
      <c r="CQ287" s="120">
        <v>0.20394869262266127</v>
      </c>
      <c r="CR287" s="120">
        <v>0.23784426019135887</v>
      </c>
    </row>
    <row r="288" spans="38:96" ht="12.75" x14ac:dyDescent="0.2">
      <c r="AN288" t="s">
        <v>104</v>
      </c>
      <c r="AO288" s="142">
        <v>20.5</v>
      </c>
      <c r="AP288" s="142">
        <v>18.600000000000001</v>
      </c>
      <c r="AQ288" s="142">
        <v>18</v>
      </c>
      <c r="AR288" s="142">
        <v>17.7</v>
      </c>
      <c r="AS288" s="129">
        <f t="shared" si="204"/>
        <v>17.600000000000001</v>
      </c>
      <c r="AT288" s="142">
        <v>17.5</v>
      </c>
      <c r="AU288" s="142">
        <v>17.5</v>
      </c>
      <c r="AV288" s="142">
        <v>17.399999999999999</v>
      </c>
      <c r="AW288" s="142">
        <v>17.5</v>
      </c>
      <c r="AX288" s="142">
        <v>17.8</v>
      </c>
      <c r="AY288" s="142">
        <v>18.600000000000001</v>
      </c>
      <c r="AZ288" s="142">
        <v>20.3</v>
      </c>
      <c r="BA288" s="142">
        <v>23.3</v>
      </c>
      <c r="BC288" s="111">
        <f t="shared" si="217"/>
        <v>-0.19999999999999929</v>
      </c>
      <c r="BD288" s="111">
        <f t="shared" si="205"/>
        <v>-9.9999999999997868E-2</v>
      </c>
      <c r="BE288" s="111">
        <f t="shared" si="206"/>
        <v>-0.10000000000000142</v>
      </c>
      <c r="BF288" s="111">
        <f t="shared" si="207"/>
        <v>0</v>
      </c>
      <c r="BG288" s="111">
        <f t="shared" si="208"/>
        <v>-4.9999999999997158E-2</v>
      </c>
      <c r="BH288" s="111">
        <f t="shared" si="209"/>
        <v>-0.10000000000000142</v>
      </c>
      <c r="BI288" s="111">
        <f t="shared" si="210"/>
        <v>0</v>
      </c>
      <c r="BJ288" s="111">
        <f t="shared" si="211"/>
        <v>0</v>
      </c>
      <c r="BK288" s="111">
        <f t="shared" si="212"/>
        <v>0</v>
      </c>
      <c r="BL288" s="111">
        <f t="shared" si="213"/>
        <v>0</v>
      </c>
      <c r="BM288" s="111">
        <f t="shared" si="214"/>
        <v>0</v>
      </c>
      <c r="BN288" s="111">
        <f t="shared" si="215"/>
        <v>0</v>
      </c>
      <c r="BO288" s="111">
        <f t="shared" si="216"/>
        <v>0</v>
      </c>
      <c r="BR288" s="120">
        <v>8.0798271492566152E-3</v>
      </c>
      <c r="BS288" s="120">
        <v>7.8660537431158462E-3</v>
      </c>
      <c r="BT288" s="120">
        <v>7.6270756799729916E-3</v>
      </c>
      <c r="BU288" s="120">
        <v>7.6463416929070938E-3</v>
      </c>
      <c r="BV288" s="120">
        <v>7.5787232033246972E-3</v>
      </c>
      <c r="BW288" s="120">
        <v>7.5033344516981836E-3</v>
      </c>
      <c r="BX288" s="120">
        <v>7.5438799523713821E-3</v>
      </c>
      <c r="BY288" s="120">
        <v>7.3453512941139016E-3</v>
      </c>
      <c r="BZ288" s="120">
        <v>7.450481119611033E-3</v>
      </c>
      <c r="CA288" s="120">
        <v>7.8350711688823342E-3</v>
      </c>
      <c r="CB288" s="120">
        <v>8.7104474460151949E-3</v>
      </c>
      <c r="CC288" s="120">
        <v>1.092043767032936E-2</v>
      </c>
      <c r="CD288" s="120">
        <v>1.6541101156945667E-2</v>
      </c>
      <c r="CF288" s="120">
        <v>0.25336923433517461</v>
      </c>
      <c r="CG288" s="120">
        <v>0.23538193301581503</v>
      </c>
      <c r="CH288" s="120">
        <v>0.2231652614919129</v>
      </c>
      <c r="CI288" s="120">
        <v>0.21917804284179351</v>
      </c>
      <c r="CJ288" s="120">
        <v>0.21294990149116846</v>
      </c>
      <c r="CK288" s="120">
        <v>0.20679369373298415</v>
      </c>
      <c r="CL288" s="120">
        <v>0.20047471242509787</v>
      </c>
      <c r="CM288" s="120">
        <v>0.18241545646518989</v>
      </c>
      <c r="CN288" s="120">
        <v>0.17420922357545424</v>
      </c>
      <c r="CO288" s="120">
        <v>0.17359663976237477</v>
      </c>
      <c r="CP288" s="120">
        <v>0.17543593274914471</v>
      </c>
      <c r="CQ288" s="120">
        <v>0.18834542452333514</v>
      </c>
      <c r="CR288" s="120">
        <v>0.21650140542089319</v>
      </c>
    </row>
    <row r="289" spans="38:96" ht="12.75" x14ac:dyDescent="0.2">
      <c r="AN289" t="s">
        <v>105</v>
      </c>
      <c r="AO289" s="142">
        <v>21.1</v>
      </c>
      <c r="AP289" s="142">
        <v>19.3</v>
      </c>
      <c r="AQ289" s="142">
        <v>18.7</v>
      </c>
      <c r="AR289" s="142">
        <v>18.3</v>
      </c>
      <c r="AS289" s="129">
        <f t="shared" si="204"/>
        <v>18.149999999999999</v>
      </c>
      <c r="AT289" s="142">
        <v>18</v>
      </c>
      <c r="AU289" s="142">
        <v>17.899999999999999</v>
      </c>
      <c r="AV289" s="142">
        <v>17.600000000000001</v>
      </c>
      <c r="AW289" s="142">
        <v>17.399999999999999</v>
      </c>
      <c r="AX289" s="142">
        <v>17.5</v>
      </c>
      <c r="AY289" s="142">
        <v>18</v>
      </c>
      <c r="AZ289" s="142">
        <v>19.3</v>
      </c>
      <c r="BA289" s="142">
        <v>21.9</v>
      </c>
      <c r="BC289" s="111">
        <f t="shared" si="217"/>
        <v>-9.9999999999997868E-2</v>
      </c>
      <c r="BD289" s="111">
        <f t="shared" si="205"/>
        <v>0</v>
      </c>
      <c r="BE289" s="111">
        <f t="shared" si="206"/>
        <v>0</v>
      </c>
      <c r="BF289" s="111">
        <f t="shared" si="207"/>
        <v>-9.9999999999997868E-2</v>
      </c>
      <c r="BG289" s="111">
        <f t="shared" si="208"/>
        <v>-0.10000000000000142</v>
      </c>
      <c r="BH289" s="111">
        <f t="shared" si="209"/>
        <v>-0.10000000000000142</v>
      </c>
      <c r="BI289" s="111">
        <f t="shared" si="210"/>
        <v>0</v>
      </c>
      <c r="BJ289" s="111">
        <f t="shared" si="211"/>
        <v>0</v>
      </c>
      <c r="BK289" s="111">
        <f t="shared" si="212"/>
        <v>-0.10000000000000142</v>
      </c>
      <c r="BL289" s="111">
        <f t="shared" si="213"/>
        <v>0</v>
      </c>
      <c r="BM289" s="111">
        <f t="shared" si="214"/>
        <v>0</v>
      </c>
      <c r="BN289" s="111">
        <f t="shared" si="215"/>
        <v>0</v>
      </c>
      <c r="BO289" s="111">
        <f t="shared" si="216"/>
        <v>-0.10000000000000142</v>
      </c>
      <c r="BR289" s="120">
        <v>7.2811236286516442E-3</v>
      </c>
      <c r="BS289" s="120">
        <v>7.3429669104590036E-3</v>
      </c>
      <c r="BT289" s="120">
        <v>7.3980701621836238E-3</v>
      </c>
      <c r="BU289" s="120">
        <v>7.2089385682013278E-3</v>
      </c>
      <c r="BV289" s="120">
        <v>7.2383960997883419E-3</v>
      </c>
      <c r="BW289" s="120">
        <v>7.2543082249804606E-3</v>
      </c>
      <c r="BX289" s="120">
        <v>7.2979817233255577E-3</v>
      </c>
      <c r="BY289" s="120">
        <v>7.4336220315059679E-3</v>
      </c>
      <c r="BZ289" s="120">
        <v>7.4010900902569511E-3</v>
      </c>
      <c r="CA289" s="120">
        <v>7.6462196233350911E-3</v>
      </c>
      <c r="CB289" s="120">
        <v>8.4585403618864553E-3</v>
      </c>
      <c r="CC289" s="120">
        <v>1.0393948464055282E-2</v>
      </c>
      <c r="CD289" s="120">
        <v>1.5534490589954016E-2</v>
      </c>
      <c r="CF289" s="120">
        <v>0.22001789207089067</v>
      </c>
      <c r="CG289" s="120">
        <v>0.21234620129050447</v>
      </c>
      <c r="CH289" s="120">
        <v>0.20960175795077787</v>
      </c>
      <c r="CI289" s="120">
        <v>0.19992591353158554</v>
      </c>
      <c r="CJ289" s="120">
        <v>0.19686352410557278</v>
      </c>
      <c r="CK289" s="120">
        <v>0.19360777910745891</v>
      </c>
      <c r="CL289" s="120">
        <v>0.18786151850737853</v>
      </c>
      <c r="CM289" s="120">
        <v>0.17921020758716452</v>
      </c>
      <c r="CN289" s="120">
        <v>0.1680680637396004</v>
      </c>
      <c r="CO289" s="120">
        <v>0.16452550525634621</v>
      </c>
      <c r="CP289" s="120">
        <v>0.16561256597426005</v>
      </c>
      <c r="CQ289" s="120">
        <v>0.17446900120095798</v>
      </c>
      <c r="CR289" s="120">
        <v>0.19826197690848005</v>
      </c>
    </row>
    <row r="290" spans="38:96" ht="12.75" x14ac:dyDescent="0.2">
      <c r="AN290" t="s">
        <v>106</v>
      </c>
      <c r="AO290" s="142">
        <v>21.4</v>
      </c>
      <c r="AP290" s="142">
        <v>19.7</v>
      </c>
      <c r="AQ290" s="142">
        <v>19.100000000000001</v>
      </c>
      <c r="AR290" s="142">
        <v>18.7</v>
      </c>
      <c r="AS290" s="129">
        <f t="shared" si="204"/>
        <v>18.549999999999997</v>
      </c>
      <c r="AT290" s="142">
        <v>18.399999999999999</v>
      </c>
      <c r="AU290" s="142">
        <v>18.100000000000001</v>
      </c>
      <c r="AV290" s="142">
        <v>17.600000000000001</v>
      </c>
      <c r="AW290" s="142">
        <v>17.3</v>
      </c>
      <c r="AX290" s="142">
        <v>17.2</v>
      </c>
      <c r="AY290" s="142">
        <v>17.5</v>
      </c>
      <c r="AZ290" s="142">
        <v>18.5</v>
      </c>
      <c r="BA290" s="142">
        <v>20.9</v>
      </c>
      <c r="BC290" s="111">
        <f t="shared" si="217"/>
        <v>-0.10000000000000142</v>
      </c>
      <c r="BD290" s="111">
        <f t="shared" si="205"/>
        <v>0</v>
      </c>
      <c r="BE290" s="111">
        <f t="shared" si="206"/>
        <v>0</v>
      </c>
      <c r="BF290" s="111">
        <f t="shared" si="207"/>
        <v>-0.10000000000000142</v>
      </c>
      <c r="BG290" s="111">
        <f t="shared" si="208"/>
        <v>-5.0000000000004263E-2</v>
      </c>
      <c r="BH290" s="111">
        <f t="shared" si="209"/>
        <v>0</v>
      </c>
      <c r="BI290" s="111">
        <f t="shared" si="210"/>
        <v>0</v>
      </c>
      <c r="BJ290" s="111">
        <f t="shared" si="211"/>
        <v>0</v>
      </c>
      <c r="BK290" s="111">
        <f t="shared" si="212"/>
        <v>0</v>
      </c>
      <c r="BL290" s="111">
        <f t="shared" si="213"/>
        <v>0</v>
      </c>
      <c r="BM290" s="111">
        <f t="shared" si="214"/>
        <v>0</v>
      </c>
      <c r="BN290" s="111">
        <f t="shared" si="215"/>
        <v>0</v>
      </c>
      <c r="BO290" s="111">
        <f t="shared" si="216"/>
        <v>0</v>
      </c>
      <c r="BR290" s="120">
        <v>7.8370115848980845E-3</v>
      </c>
      <c r="BS290" s="120">
        <v>7.7682973619583153E-3</v>
      </c>
      <c r="BT290" s="120">
        <v>7.6859435075362515E-3</v>
      </c>
      <c r="BU290" s="120">
        <v>7.7486509136216334E-3</v>
      </c>
      <c r="BV290" s="120">
        <v>7.8375618457531965E-3</v>
      </c>
      <c r="BW290" s="120">
        <v>7.9188107618069232E-3</v>
      </c>
      <c r="BX290" s="120">
        <v>7.5729852231058012E-3</v>
      </c>
      <c r="BY290" s="120">
        <v>7.4053371409806366E-3</v>
      </c>
      <c r="BZ290" s="120">
        <v>7.6351268538361839E-3</v>
      </c>
      <c r="CA290" s="120">
        <v>7.7072016801872376E-3</v>
      </c>
      <c r="CB290" s="120">
        <v>8.4436522889256797E-3</v>
      </c>
      <c r="CC290" s="120">
        <v>1.0227583093628425E-2</v>
      </c>
      <c r="CD290" s="120">
        <v>1.5421478664261627E-2</v>
      </c>
      <c r="CF290" s="120">
        <v>0.2329507087259273</v>
      </c>
      <c r="CG290" s="120">
        <v>0.22064070426931934</v>
      </c>
      <c r="CH290" s="120">
        <v>0.21360406487660169</v>
      </c>
      <c r="CI290" s="120">
        <v>0.21111621742126035</v>
      </c>
      <c r="CJ290" s="120">
        <v>0.20945948459668245</v>
      </c>
      <c r="CK290" s="120">
        <v>0.20771292823946161</v>
      </c>
      <c r="CL290" s="120">
        <v>0.19129415994315341</v>
      </c>
      <c r="CM290" s="120">
        <v>0.17493893789400203</v>
      </c>
      <c r="CN290" s="120">
        <v>0.17010467348311067</v>
      </c>
      <c r="CO290" s="120">
        <v>0.16269575701434319</v>
      </c>
      <c r="CP290" s="120">
        <v>0.16225248257403646</v>
      </c>
      <c r="CQ290" s="120">
        <v>0.16864246261016408</v>
      </c>
      <c r="CR290" s="120">
        <v>0.19384005533149873</v>
      </c>
    </row>
    <row r="291" spans="38:96" ht="12.75" x14ac:dyDescent="0.2">
      <c r="AN291" t="s">
        <v>79</v>
      </c>
      <c r="AO291" s="142">
        <v>21.6</v>
      </c>
      <c r="AP291" s="142">
        <v>19.899999999999999</v>
      </c>
      <c r="AQ291" s="142">
        <v>19.3</v>
      </c>
      <c r="AR291" s="142">
        <v>18.899999999999999</v>
      </c>
      <c r="AS291" s="129">
        <f t="shared" si="204"/>
        <v>18.7</v>
      </c>
      <c r="AT291" s="142">
        <v>18.5</v>
      </c>
      <c r="AU291" s="142">
        <v>18.2</v>
      </c>
      <c r="AV291" s="142">
        <v>17.600000000000001</v>
      </c>
      <c r="AW291" s="142">
        <v>17.2</v>
      </c>
      <c r="AX291" s="142">
        <v>17</v>
      </c>
      <c r="AY291" s="142">
        <v>17</v>
      </c>
      <c r="AZ291" s="142">
        <v>17.8</v>
      </c>
      <c r="BA291" s="142">
        <v>19.8</v>
      </c>
      <c r="BC291" s="111">
        <f t="shared" si="217"/>
        <v>-9.9999999999997868E-2</v>
      </c>
      <c r="BD291" s="111">
        <f t="shared" si="205"/>
        <v>-0.10000000000000142</v>
      </c>
      <c r="BE291" s="111">
        <f t="shared" si="206"/>
        <v>-9.9999999999997868E-2</v>
      </c>
      <c r="BF291" s="111">
        <f t="shared" si="207"/>
        <v>-0.10000000000000142</v>
      </c>
      <c r="BG291" s="111">
        <f t="shared" si="208"/>
        <v>-5.0000000000000711E-2</v>
      </c>
      <c r="BH291" s="111">
        <f t="shared" si="209"/>
        <v>0</v>
      </c>
      <c r="BI291" s="111">
        <f t="shared" si="210"/>
        <v>0</v>
      </c>
      <c r="BJ291" s="111">
        <f t="shared" si="211"/>
        <v>0</v>
      </c>
      <c r="BK291" s="111">
        <f t="shared" si="212"/>
        <v>0</v>
      </c>
      <c r="BL291" s="111">
        <f t="shared" si="213"/>
        <v>0</v>
      </c>
      <c r="BM291" s="111">
        <f t="shared" si="214"/>
        <v>0</v>
      </c>
      <c r="BN291" s="111">
        <f t="shared" si="215"/>
        <v>0</v>
      </c>
      <c r="BO291" s="111">
        <f t="shared" si="216"/>
        <v>0</v>
      </c>
      <c r="BR291" s="120">
        <v>7.7089890807482539E-3</v>
      </c>
      <c r="BS291" s="120">
        <v>7.4303528218491038E-3</v>
      </c>
      <c r="BT291" s="120">
        <v>7.3841608303763578E-3</v>
      </c>
      <c r="BU291" s="120">
        <v>7.3639848185105229E-3</v>
      </c>
      <c r="BV291" s="120">
        <v>7.2720005738226004E-3</v>
      </c>
      <c r="BW291" s="120">
        <v>7.1723734236772262E-3</v>
      </c>
      <c r="BX291" s="120">
        <v>7.4631473854335877E-3</v>
      </c>
      <c r="BY291" s="120">
        <v>7.5450056539328337E-3</v>
      </c>
      <c r="BZ291" s="120">
        <v>7.584647238389408E-3</v>
      </c>
      <c r="CA291" s="120">
        <v>7.7870564712925741E-3</v>
      </c>
      <c r="CB291" s="120">
        <v>8.0264695187588705E-3</v>
      </c>
      <c r="CC291" s="120">
        <v>9.7350575140839907E-3</v>
      </c>
      <c r="CD291" s="120">
        <v>1.3736342061830114E-2</v>
      </c>
      <c r="CF291" s="120">
        <v>0.22612893195511855</v>
      </c>
      <c r="CG291" s="120">
        <v>0.20812689016513661</v>
      </c>
      <c r="CH291" s="120">
        <v>0.20250748038275987</v>
      </c>
      <c r="CI291" s="120">
        <v>0.19786177927082463</v>
      </c>
      <c r="CJ291" s="120">
        <v>0.19151191295264544</v>
      </c>
      <c r="CK291" s="120">
        <v>0.18525873959258377</v>
      </c>
      <c r="CL291" s="120">
        <v>0.18624121962209514</v>
      </c>
      <c r="CM291" s="120">
        <v>0.17635152607621829</v>
      </c>
      <c r="CN291" s="120">
        <v>0.16707267768491424</v>
      </c>
      <c r="CO291" s="120">
        <v>0.16262587428542641</v>
      </c>
      <c r="CP291" s="120">
        <v>0.15243721407567859</v>
      </c>
      <c r="CQ291" s="120">
        <v>0.15874409499108361</v>
      </c>
      <c r="CR291" s="120">
        <v>0.17045455739234783</v>
      </c>
    </row>
    <row r="292" spans="38:96" ht="12.75" x14ac:dyDescent="0.2">
      <c r="AN292" t="s">
        <v>159</v>
      </c>
      <c r="AO292" s="142">
        <v>21.5</v>
      </c>
      <c r="AP292" s="141">
        <v>19.899999999999999</v>
      </c>
      <c r="AQ292" s="142">
        <v>19.399999999999999</v>
      </c>
      <c r="AR292" s="142">
        <v>19</v>
      </c>
      <c r="AS292" s="129">
        <f t="shared" si="204"/>
        <v>18.75</v>
      </c>
      <c r="AT292" s="142">
        <v>18.5</v>
      </c>
      <c r="AU292" s="142">
        <v>18.100000000000001</v>
      </c>
      <c r="AV292" s="142">
        <v>17.399999999999999</v>
      </c>
      <c r="AW292" s="142">
        <v>16.899999999999999</v>
      </c>
      <c r="AX292" s="142">
        <v>16.5</v>
      </c>
      <c r="AY292" s="142">
        <v>16.2</v>
      </c>
      <c r="AZ292" s="142">
        <v>16.5</v>
      </c>
      <c r="BA292" s="142">
        <v>17.8</v>
      </c>
      <c r="BC292" s="111">
        <f t="shared" si="217"/>
        <v>-0.10000000000000142</v>
      </c>
      <c r="BD292" s="111">
        <f t="shared" si="205"/>
        <v>-0.10000000000000142</v>
      </c>
      <c r="BE292" s="111">
        <f t="shared" si="206"/>
        <v>-0.10000000000000142</v>
      </c>
      <c r="BF292" s="111">
        <f t="shared" si="207"/>
        <v>-0.10000000000000142</v>
      </c>
      <c r="BG292" s="111">
        <f t="shared" si="208"/>
        <v>-0.10000000000000142</v>
      </c>
      <c r="BH292" s="111">
        <f t="shared" si="209"/>
        <v>-0.10000000000000142</v>
      </c>
      <c r="BI292" s="111">
        <f t="shared" si="210"/>
        <v>0</v>
      </c>
      <c r="BJ292" s="111">
        <f t="shared" si="211"/>
        <v>0</v>
      </c>
      <c r="BK292" s="111">
        <f t="shared" si="212"/>
        <v>0</v>
      </c>
      <c r="BL292" s="111">
        <f t="shared" si="213"/>
        <v>0</v>
      </c>
      <c r="BM292" s="111">
        <f t="shared" si="214"/>
        <v>-0.10000000000000142</v>
      </c>
      <c r="BN292" s="111">
        <f t="shared" si="215"/>
        <v>0</v>
      </c>
      <c r="BO292" s="111">
        <f t="shared" si="216"/>
        <v>0</v>
      </c>
      <c r="BR292" s="120">
        <v>7.3626653808352514E-3</v>
      </c>
      <c r="BS292" s="120">
        <v>7.2914252839794795E-3</v>
      </c>
      <c r="BT292" s="120">
        <v>7.4398576906343364E-3</v>
      </c>
      <c r="BU292" s="120">
        <v>7.4315576212896691E-3</v>
      </c>
      <c r="BV292" s="120">
        <v>7.4444062497268917E-3</v>
      </c>
      <c r="BW292" s="120">
        <v>7.4527696306877483E-3</v>
      </c>
      <c r="BX292" s="120">
        <v>7.2209480051855235E-3</v>
      </c>
      <c r="BY292" s="120">
        <v>7.2662343605814734E-3</v>
      </c>
      <c r="BZ292" s="120">
        <v>7.4257951489882989E-3</v>
      </c>
      <c r="CA292" s="120">
        <v>7.3615881629674855E-3</v>
      </c>
      <c r="CB292" s="120">
        <v>7.8364719977451862E-3</v>
      </c>
      <c r="CC292" s="120">
        <v>8.7897640660258014E-3</v>
      </c>
      <c r="CD292" s="120">
        <v>1.1997505368689701E-2</v>
      </c>
      <c r="CF292" s="120">
        <v>0.2113059815123785</v>
      </c>
      <c r="CG292" s="120">
        <v>0.2001200720378834</v>
      </c>
      <c r="CH292" s="120">
        <v>0.2001351958637127</v>
      </c>
      <c r="CI292" s="120">
        <v>0.19590907879893657</v>
      </c>
      <c r="CJ292" s="120">
        <v>0.19249590364663255</v>
      </c>
      <c r="CK292" s="120">
        <v>0.18914568491043626</v>
      </c>
      <c r="CL292" s="120">
        <v>0.17648901117669694</v>
      </c>
      <c r="CM292" s="120">
        <v>0.16631697018490979</v>
      </c>
      <c r="CN292" s="120">
        <v>0.16034896623423375</v>
      </c>
      <c r="CO292" s="120">
        <v>0.1505872202330289</v>
      </c>
      <c r="CP292" s="120">
        <v>0.146035378845807</v>
      </c>
      <c r="CQ292" s="120">
        <v>0.14048953971857317</v>
      </c>
      <c r="CR292" s="120">
        <v>0.14616569261156301</v>
      </c>
    </row>
    <row r="293" spans="38:96" ht="12.75" x14ac:dyDescent="0.2">
      <c r="AN293" t="s">
        <v>107</v>
      </c>
      <c r="AO293" s="142">
        <v>21.1</v>
      </c>
      <c r="AP293" s="142">
        <v>19.8</v>
      </c>
      <c r="AQ293" s="142">
        <v>19.3</v>
      </c>
      <c r="AR293" s="142">
        <v>18.899999999999999</v>
      </c>
      <c r="AS293" s="129">
        <f t="shared" si="204"/>
        <v>18.600000000000001</v>
      </c>
      <c r="AT293" s="142">
        <v>18.3</v>
      </c>
      <c r="AU293" s="142">
        <v>17.899999999999999</v>
      </c>
      <c r="AV293" s="142">
        <v>17.100000000000001</v>
      </c>
      <c r="AW293" s="142">
        <v>16.5</v>
      </c>
      <c r="AX293" s="142">
        <v>16</v>
      </c>
      <c r="AY293" s="142">
        <v>15.5</v>
      </c>
      <c r="AZ293" s="142">
        <v>15.3</v>
      </c>
      <c r="BA293" s="142">
        <v>15.8</v>
      </c>
      <c r="BC293" s="111">
        <f t="shared" si="217"/>
        <v>0</v>
      </c>
      <c r="BD293" s="111">
        <f t="shared" si="205"/>
        <v>0</v>
      </c>
      <c r="BE293" s="111">
        <f t="shared" si="206"/>
        <v>0</v>
      </c>
      <c r="BF293" s="111">
        <f t="shared" si="207"/>
        <v>0</v>
      </c>
      <c r="BG293" s="111">
        <f t="shared" si="208"/>
        <v>-4.9999999999997158E-2</v>
      </c>
      <c r="BH293" s="111">
        <f t="shared" si="209"/>
        <v>-9.9999999999997868E-2</v>
      </c>
      <c r="BI293" s="111">
        <f t="shared" si="210"/>
        <v>0</v>
      </c>
      <c r="BJ293" s="111">
        <f t="shared" si="211"/>
        <v>0</v>
      </c>
      <c r="BK293" s="111">
        <f t="shared" si="212"/>
        <v>0</v>
      </c>
      <c r="BL293" s="111">
        <f t="shared" si="213"/>
        <v>-0.10000000000000142</v>
      </c>
      <c r="BM293" s="111">
        <f t="shared" si="214"/>
        <v>0</v>
      </c>
      <c r="BN293" s="111">
        <f t="shared" si="215"/>
        <v>0</v>
      </c>
      <c r="BO293" s="111">
        <f t="shared" si="216"/>
        <v>0</v>
      </c>
      <c r="BR293" s="120">
        <v>6.5283494253607572E-3</v>
      </c>
      <c r="BS293" s="120">
        <v>6.8110364559393665E-3</v>
      </c>
      <c r="BT293" s="120">
        <v>6.6598437233468845E-3</v>
      </c>
      <c r="BU293" s="120">
        <v>6.664373893789907E-3</v>
      </c>
      <c r="BV293" s="120">
        <v>6.6194924278984817E-3</v>
      </c>
      <c r="BW293" s="120">
        <v>6.5652907245996248E-3</v>
      </c>
      <c r="BX293" s="120">
        <v>6.9071985241413933E-3</v>
      </c>
      <c r="BY293" s="120">
        <v>6.9776688998469498E-3</v>
      </c>
      <c r="BZ293" s="120">
        <v>7.0229542869652863E-3</v>
      </c>
      <c r="CA293" s="120">
        <v>7.2386704600009609E-3</v>
      </c>
      <c r="CB293" s="120">
        <v>7.5222213469420783E-3</v>
      </c>
      <c r="CC293" s="120">
        <v>8.3633877693298705E-3</v>
      </c>
      <c r="CD293" s="120">
        <v>1.0500337529183964E-2</v>
      </c>
      <c r="CF293" s="120">
        <v>0.18798442576600682</v>
      </c>
      <c r="CG293" s="120">
        <v>0.18784192923517712</v>
      </c>
      <c r="CH293" s="120">
        <v>0.17968243315094004</v>
      </c>
      <c r="CI293" s="120">
        <v>0.1761975317895858</v>
      </c>
      <c r="CJ293" s="120">
        <v>0.17155871911980664</v>
      </c>
      <c r="CK293" s="120">
        <v>0.16690391018548628</v>
      </c>
      <c r="CL293" s="120">
        <v>0.16974535668647692</v>
      </c>
      <c r="CM293" s="120">
        <v>0.16059406882911278</v>
      </c>
      <c r="CN293" s="120">
        <v>0.15234715371276086</v>
      </c>
      <c r="CO293" s="120">
        <v>0.1489153219736537</v>
      </c>
      <c r="CP293" s="120">
        <v>0.14078137650093833</v>
      </c>
      <c r="CQ293" s="120">
        <v>0.13431035468456548</v>
      </c>
      <c r="CR293" s="120">
        <v>0.12830758721361651</v>
      </c>
    </row>
    <row r="294" spans="38:96" ht="12.75" x14ac:dyDescent="0.2">
      <c r="AN294" t="s">
        <v>108</v>
      </c>
      <c r="AO294" s="142">
        <v>20.399999999999999</v>
      </c>
      <c r="AP294" s="142">
        <v>19.399999999999999</v>
      </c>
      <c r="AQ294" s="142">
        <v>18.899999999999999</v>
      </c>
      <c r="AR294" s="142">
        <v>18.600000000000001</v>
      </c>
      <c r="AS294" s="129">
        <f t="shared" si="204"/>
        <v>18.3</v>
      </c>
      <c r="AT294" s="142">
        <v>18</v>
      </c>
      <c r="AU294" s="142">
        <v>17.5</v>
      </c>
      <c r="AV294" s="142">
        <v>16.7</v>
      </c>
      <c r="AW294" s="142">
        <v>16.100000000000001</v>
      </c>
      <c r="AX294" s="142">
        <v>15.6</v>
      </c>
      <c r="AY294" s="142">
        <v>14.9</v>
      </c>
      <c r="AZ294" s="142">
        <v>14.3</v>
      </c>
      <c r="BA294" s="142">
        <v>14.1</v>
      </c>
      <c r="BC294" s="111">
        <f t="shared" si="217"/>
        <v>-0.10000000000000142</v>
      </c>
      <c r="BD294" s="111">
        <f t="shared" si="205"/>
        <v>0</v>
      </c>
      <c r="BE294" s="111">
        <f t="shared" si="206"/>
        <v>-0.10000000000000142</v>
      </c>
      <c r="BF294" s="111">
        <f t="shared" si="207"/>
        <v>0</v>
      </c>
      <c r="BG294" s="111">
        <f t="shared" si="208"/>
        <v>-9.9999999999997868E-2</v>
      </c>
      <c r="BH294" s="111">
        <f t="shared" si="209"/>
        <v>-0.19999999999999929</v>
      </c>
      <c r="BI294" s="111">
        <f t="shared" si="210"/>
        <v>-0.10000000000000142</v>
      </c>
      <c r="BJ294" s="111">
        <f t="shared" si="211"/>
        <v>-0.10000000000000142</v>
      </c>
      <c r="BK294" s="111">
        <f t="shared" si="212"/>
        <v>0</v>
      </c>
      <c r="BL294" s="111">
        <f t="shared" si="213"/>
        <v>0</v>
      </c>
      <c r="BM294" s="111">
        <f t="shared" si="214"/>
        <v>-9.9999999999999645E-2</v>
      </c>
      <c r="BN294" s="111">
        <f t="shared" si="215"/>
        <v>-9.9999999999999645E-2</v>
      </c>
      <c r="BO294" s="111">
        <f t="shared" si="216"/>
        <v>-9.9999999999999645E-2</v>
      </c>
      <c r="BR294" s="120">
        <v>6.4325365522940204E-3</v>
      </c>
      <c r="BS294" s="120">
        <v>6.441853561559025E-3</v>
      </c>
      <c r="BT294" s="120">
        <v>6.4867021097643083E-3</v>
      </c>
      <c r="BU294" s="120">
        <v>6.6453105420337588E-3</v>
      </c>
      <c r="BV294" s="120">
        <v>6.713193912259623E-3</v>
      </c>
      <c r="BW294" s="120">
        <v>6.7794237547669301E-3</v>
      </c>
      <c r="BX294" s="120">
        <v>6.4674139336956347E-3</v>
      </c>
      <c r="BY294" s="120">
        <v>6.6352794989517887E-3</v>
      </c>
      <c r="BZ294" s="120">
        <v>6.8828390595897515E-3</v>
      </c>
      <c r="CA294" s="120">
        <v>7.0037975619070209E-3</v>
      </c>
      <c r="CB294" s="120">
        <v>7.1758584117012723E-3</v>
      </c>
      <c r="CC294" s="120">
        <v>7.6696006497171685E-3</v>
      </c>
      <c r="CD294" s="120">
        <v>9.5200243784429907E-3</v>
      </c>
      <c r="CF294" s="120">
        <v>0.19332017057493056</v>
      </c>
      <c r="CG294" s="120">
        <v>0.18512015582200242</v>
      </c>
      <c r="CH294" s="120">
        <v>0.18240657263761012</v>
      </c>
      <c r="CI294" s="120">
        <v>0.18319402609453125</v>
      </c>
      <c r="CJ294" s="120">
        <v>0.181448320881296</v>
      </c>
      <c r="CK294" s="120">
        <v>0.17976801217449678</v>
      </c>
      <c r="CL294" s="120">
        <v>0.16510877141911773</v>
      </c>
      <c r="CM294" s="120">
        <v>0.15848256014485007</v>
      </c>
      <c r="CN294" s="120">
        <v>0.15490878808566177</v>
      </c>
      <c r="CO294" s="120">
        <v>0.14930573533379671</v>
      </c>
      <c r="CP294" s="120">
        <v>0.1389686117770107</v>
      </c>
      <c r="CQ294" s="120">
        <v>0.12703662571691873</v>
      </c>
      <c r="CR294" s="120">
        <v>0.11957999551171133</v>
      </c>
    </row>
    <row r="295" spans="38:96" ht="12.75" x14ac:dyDescent="0.2">
      <c r="AN295" t="s">
        <v>109</v>
      </c>
      <c r="AO295" s="142">
        <v>20.100000000000001</v>
      </c>
      <c r="AP295" s="142">
        <v>19.100000000000001</v>
      </c>
      <c r="AQ295" s="142">
        <v>18.8</v>
      </c>
      <c r="AR295" s="142">
        <v>18.399999999999999</v>
      </c>
      <c r="AS295" s="129">
        <f t="shared" si="204"/>
        <v>18.149999999999999</v>
      </c>
      <c r="AT295" s="142">
        <v>17.899999999999999</v>
      </c>
      <c r="AU295" s="142">
        <v>17.399999999999999</v>
      </c>
      <c r="AV295" s="142">
        <v>16.600000000000001</v>
      </c>
      <c r="AW295" s="142">
        <v>15.9</v>
      </c>
      <c r="AX295" s="142">
        <v>15.4</v>
      </c>
      <c r="AY295" s="142">
        <v>14.7</v>
      </c>
      <c r="AZ295" s="142">
        <v>14</v>
      </c>
      <c r="BA295" s="142">
        <v>13.4</v>
      </c>
      <c r="BC295" s="111">
        <f t="shared" si="217"/>
        <v>-9.9999999999997868E-2</v>
      </c>
      <c r="BD295" s="111">
        <f t="shared" si="205"/>
        <v>-9.9999999999997868E-2</v>
      </c>
      <c r="BE295" s="111">
        <f t="shared" si="206"/>
        <v>0</v>
      </c>
      <c r="BF295" s="111">
        <f t="shared" si="207"/>
        <v>-0.10000000000000142</v>
      </c>
      <c r="BG295" s="111">
        <f t="shared" si="208"/>
        <v>-5.0000000000000711E-2</v>
      </c>
      <c r="BH295" s="111">
        <f t="shared" si="209"/>
        <v>0</v>
      </c>
      <c r="BI295" s="111">
        <f t="shared" si="210"/>
        <v>0</v>
      </c>
      <c r="BJ295" s="111">
        <f t="shared" si="211"/>
        <v>0</v>
      </c>
      <c r="BK295" s="111">
        <f t="shared" si="212"/>
        <v>-9.9999999999999645E-2</v>
      </c>
      <c r="BL295" s="111">
        <f t="shared" si="213"/>
        <v>-0.19999999999999929</v>
      </c>
      <c r="BM295" s="111">
        <f t="shared" si="214"/>
        <v>-0.20000000000000107</v>
      </c>
      <c r="BN295" s="111">
        <f t="shared" si="215"/>
        <v>0</v>
      </c>
      <c r="BO295" s="111">
        <f t="shared" si="216"/>
        <v>-9.9999999999999645E-2</v>
      </c>
      <c r="BR295" s="120">
        <v>6.1790331566384353E-3</v>
      </c>
      <c r="BS295" s="120">
        <v>6.082723965230471E-3</v>
      </c>
      <c r="BT295" s="120">
        <v>6.4128509832956362E-3</v>
      </c>
      <c r="BU295" s="120">
        <v>6.1122453320460292E-3</v>
      </c>
      <c r="BV295" s="120">
        <v>6.2065244824396877E-3</v>
      </c>
      <c r="BW295" s="120">
        <v>6.2986970377051019E-3</v>
      </c>
      <c r="BX295" s="120">
        <v>6.6423632904434376E-3</v>
      </c>
      <c r="BY295" s="120">
        <v>6.7412687601239732E-3</v>
      </c>
      <c r="BZ295" s="120">
        <v>6.5391975681559416E-3</v>
      </c>
      <c r="CA295" s="120">
        <v>6.7151552065189682E-3</v>
      </c>
      <c r="CB295" s="120">
        <v>7.2158526822288811E-3</v>
      </c>
      <c r="CC295" s="120">
        <v>8.1172466229790588E-3</v>
      </c>
      <c r="CD295" s="120">
        <v>9.6829985137940507E-3</v>
      </c>
      <c r="CF295" s="120">
        <v>0.19337258089910084</v>
      </c>
      <c r="CG295" s="120">
        <v>0.18132290194410994</v>
      </c>
      <c r="CH295" s="120">
        <v>0.18761866593611426</v>
      </c>
      <c r="CI295" s="120">
        <v>0.17474310012863928</v>
      </c>
      <c r="CJ295" s="120">
        <v>0.1740248414617169</v>
      </c>
      <c r="CK295" s="120">
        <v>0.17332450568361116</v>
      </c>
      <c r="CL295" s="120">
        <v>0.17610988028747748</v>
      </c>
      <c r="CM295" s="120">
        <v>0.16700924104195602</v>
      </c>
      <c r="CN295" s="120">
        <v>0.15223817717876739</v>
      </c>
      <c r="CO295" s="120">
        <v>0.1479588047605371</v>
      </c>
      <c r="CP295" s="120">
        <v>0.14432187283523099</v>
      </c>
      <c r="CQ295" s="120">
        <v>0.13867842739653077</v>
      </c>
      <c r="CR295" s="120">
        <v>0.1249724295721177</v>
      </c>
    </row>
    <row r="296" spans="38:96" ht="12.75" x14ac:dyDescent="0.2">
      <c r="AN296" t="s">
        <v>110</v>
      </c>
      <c r="AO296" s="142">
        <v>19.8</v>
      </c>
      <c r="AP296" s="142">
        <v>18.899999999999999</v>
      </c>
      <c r="AQ296" s="142">
        <v>18.600000000000001</v>
      </c>
      <c r="AR296" s="142">
        <v>18.2</v>
      </c>
      <c r="AS296" s="129">
        <f t="shared" si="204"/>
        <v>17.95</v>
      </c>
      <c r="AT296" s="142">
        <v>17.7</v>
      </c>
      <c r="AU296" s="142">
        <v>17.2</v>
      </c>
      <c r="AV296" s="142">
        <v>16.399999999999999</v>
      </c>
      <c r="AW296" s="142">
        <v>15.8</v>
      </c>
      <c r="AX296" s="142">
        <v>15.3</v>
      </c>
      <c r="AY296" s="142">
        <v>14.6</v>
      </c>
      <c r="AZ296" s="142">
        <v>13.7</v>
      </c>
      <c r="BA296" s="142">
        <v>13</v>
      </c>
      <c r="BC296" s="111">
        <f t="shared" si="217"/>
        <v>-9.9999999999997868E-2</v>
      </c>
      <c r="BD296" s="111">
        <f t="shared" si="205"/>
        <v>-0.10000000000000142</v>
      </c>
      <c r="BE296" s="111">
        <f t="shared" si="206"/>
        <v>0</v>
      </c>
      <c r="BF296" s="111">
        <f t="shared" si="207"/>
        <v>-0.10000000000000142</v>
      </c>
      <c r="BG296" s="111">
        <f t="shared" si="208"/>
        <v>-5.0000000000000711E-2</v>
      </c>
      <c r="BH296" s="111">
        <f t="shared" si="209"/>
        <v>0</v>
      </c>
      <c r="BI296" s="111">
        <f t="shared" si="210"/>
        <v>-0.10000000000000142</v>
      </c>
      <c r="BJ296" s="111">
        <f t="shared" si="211"/>
        <v>-0.10000000000000142</v>
      </c>
      <c r="BK296" s="111">
        <f t="shared" si="212"/>
        <v>0</v>
      </c>
      <c r="BL296" s="111">
        <f t="shared" si="213"/>
        <v>0</v>
      </c>
      <c r="BM296" s="111">
        <f t="shared" si="214"/>
        <v>0</v>
      </c>
      <c r="BN296" s="111">
        <f t="shared" si="215"/>
        <v>-0.20000000000000107</v>
      </c>
      <c r="BO296" s="111">
        <f t="shared" si="216"/>
        <v>0</v>
      </c>
      <c r="BR296" s="120">
        <v>5.8122870519570994E-3</v>
      </c>
      <c r="BS296" s="120">
        <v>6.043858252814868E-3</v>
      </c>
      <c r="BT296" s="120">
        <v>5.8283604327622604E-3</v>
      </c>
      <c r="BU296" s="120">
        <v>6.0527896877188535E-3</v>
      </c>
      <c r="BV296" s="120">
        <v>6.0357462383093911E-3</v>
      </c>
      <c r="BW296" s="120">
        <v>6.0121903177128757E-3</v>
      </c>
      <c r="BX296" s="120">
        <v>5.8120062728140619E-3</v>
      </c>
      <c r="BY296" s="120">
        <v>5.9325690891578516E-3</v>
      </c>
      <c r="BZ296" s="120">
        <v>6.6246651442957265E-3</v>
      </c>
      <c r="CA296" s="120">
        <v>6.7556990008058098E-3</v>
      </c>
      <c r="CB296" s="120">
        <v>6.981546441553515E-3</v>
      </c>
      <c r="CC296" s="120">
        <v>6.9244202891369649E-3</v>
      </c>
      <c r="CD296" s="120">
        <v>9.1517879324681424E-3</v>
      </c>
      <c r="CF296" s="120">
        <v>0.18346021718378952</v>
      </c>
      <c r="CG296" s="120">
        <v>0.18253726814448637</v>
      </c>
      <c r="CH296" s="120">
        <v>0.17175206033071461</v>
      </c>
      <c r="CI296" s="120">
        <v>0.17479714845739455</v>
      </c>
      <c r="CJ296" s="120">
        <v>0.17068714789510581</v>
      </c>
      <c r="CK296" s="120">
        <v>0.16659633699065302</v>
      </c>
      <c r="CL296" s="120">
        <v>0.15509456244966885</v>
      </c>
      <c r="CM296" s="120">
        <v>0.14783781228196541</v>
      </c>
      <c r="CN296" s="120">
        <v>0.15586902817796303</v>
      </c>
      <c r="CO296" s="120">
        <v>0.15037938691506131</v>
      </c>
      <c r="CP296" s="120">
        <v>0.14097924616159882</v>
      </c>
      <c r="CQ296" s="120">
        <v>0.11894687386011923</v>
      </c>
      <c r="CR296" s="120">
        <v>0.11902620483737726</v>
      </c>
    </row>
    <row r="298" spans="38:96" x14ac:dyDescent="0.2">
      <c r="AO298">
        <v>-0.5</v>
      </c>
      <c r="AP298">
        <v>-0.25</v>
      </c>
      <c r="AQ298">
        <v>-0.13</v>
      </c>
      <c r="AR298">
        <v>0</v>
      </c>
      <c r="AS298">
        <v>0.125</v>
      </c>
      <c r="AT298" s="126">
        <v>0.25</v>
      </c>
      <c r="AU298" s="126">
        <v>0.5</v>
      </c>
      <c r="AV298" s="126">
        <v>1</v>
      </c>
      <c r="AW298" s="126">
        <v>1.5</v>
      </c>
      <c r="AX298" s="126">
        <v>2</v>
      </c>
      <c r="AY298" s="126">
        <v>3</v>
      </c>
      <c r="AZ298" s="126">
        <v>5</v>
      </c>
      <c r="BA298" s="126">
        <v>10</v>
      </c>
      <c r="BR298" s="106" t="s">
        <v>295</v>
      </c>
    </row>
    <row r="299" spans="38:96" ht="12.75" x14ac:dyDescent="0.2">
      <c r="AL299" s="105" t="s">
        <v>298</v>
      </c>
      <c r="AN299" t="s">
        <v>25</v>
      </c>
      <c r="AO299" s="143">
        <v>9.6999999999999993</v>
      </c>
      <c r="AP299" s="143">
        <v>7</v>
      </c>
      <c r="AQ299" s="143">
        <v>7.6</v>
      </c>
      <c r="AR299" s="143">
        <v>9.1</v>
      </c>
      <c r="AS299" s="129">
        <f t="shared" ref="AS299:AS313" si="218">(AR299+AT299)/2</f>
        <v>10.45</v>
      </c>
      <c r="AT299" s="141">
        <v>11.8</v>
      </c>
      <c r="AU299" s="143">
        <v>14.4</v>
      </c>
      <c r="AV299" s="143">
        <v>18.8</v>
      </c>
      <c r="AW299" s="143">
        <v>22.4</v>
      </c>
      <c r="AX299" s="143">
        <v>25.4</v>
      </c>
      <c r="AY299" s="143">
        <v>30.5</v>
      </c>
      <c r="AZ299" s="143">
        <v>37.9</v>
      </c>
      <c r="BA299" s="143">
        <v>49.5</v>
      </c>
      <c r="BC299" s="111">
        <f>AO299-AO282</f>
        <v>0</v>
      </c>
      <c r="BD299" s="111">
        <f t="shared" ref="BD299:BD313" si="219">AP299-AP282</f>
        <v>0</v>
      </c>
      <c r="BE299" s="111">
        <f t="shared" ref="BE299:BE313" si="220">AQ299-AQ282</f>
        <v>-0.10000000000000053</v>
      </c>
      <c r="BF299" s="111">
        <f t="shared" ref="BF299:BF313" si="221">AR299-AR282</f>
        <v>9.9999999999999645E-2</v>
      </c>
      <c r="BG299" s="111">
        <f t="shared" ref="BG299:BG313" si="222">AS299-AS282</f>
        <v>4.9999999999998934E-2</v>
      </c>
      <c r="BH299" s="111">
        <f t="shared" ref="BH299:BH313" si="223">AT299-AT282</f>
        <v>0</v>
      </c>
      <c r="BI299" s="111">
        <f t="shared" ref="BI299:BI313" si="224">AU299-AU282</f>
        <v>0</v>
      </c>
      <c r="BJ299" s="111">
        <f t="shared" ref="BJ299:BJ313" si="225">AV299-AV282</f>
        <v>0.10000000000000142</v>
      </c>
      <c r="BK299" s="111">
        <f t="shared" ref="BK299:BK313" si="226">AW299-AW282</f>
        <v>0.19999999999999929</v>
      </c>
      <c r="BL299" s="111">
        <f t="shared" ref="BL299:BL313" si="227">AX299-AX282</f>
        <v>9.9999999999997868E-2</v>
      </c>
      <c r="BM299" s="111">
        <f t="shared" ref="BM299:BM313" si="228">AY299-AY282</f>
        <v>0.19999999999999929</v>
      </c>
      <c r="BN299" s="111">
        <f t="shared" ref="BN299:BN313" si="229">AZ299-AZ282</f>
        <v>0.19999999999999574</v>
      </c>
      <c r="BO299" s="111">
        <f t="shared" ref="BO299:BO313" si="230">BA299-BA282</f>
        <v>0.20000000000000284</v>
      </c>
      <c r="BR299" s="120">
        <v>2.5345436353774935E-3</v>
      </c>
      <c r="BS299" s="120">
        <v>1.8761799643125414E-3</v>
      </c>
      <c r="BT299" s="120">
        <v>2.1296915270642949E-3</v>
      </c>
      <c r="BU299" s="120">
        <v>2.603985620184756E-3</v>
      </c>
      <c r="BV299" s="120">
        <v>3.0523195340918206E-3</v>
      </c>
      <c r="BW299" s="120">
        <v>3.5161797129689741E-3</v>
      </c>
      <c r="BX299" s="120">
        <v>4.4572171296550413E-3</v>
      </c>
      <c r="BY299" s="120">
        <v>6.238533066701731E-3</v>
      </c>
      <c r="BZ299" s="120">
        <v>7.9139439463865903E-3</v>
      </c>
      <c r="CA299" s="120">
        <v>9.5084576759924995E-3</v>
      </c>
      <c r="CB299" s="120">
        <v>1.2603770760071806E-2</v>
      </c>
      <c r="CC299" s="120">
        <v>1.8540947091281117E-2</v>
      </c>
      <c r="CD299" s="120">
        <v>3.3038744038950879E-2</v>
      </c>
      <c r="CF299" s="120">
        <v>9.7038214578060958E-2</v>
      </c>
      <c r="CG299" s="120">
        <v>6.8461131222058311E-2</v>
      </c>
      <c r="CH299" s="120">
        <v>7.6022597172010833E-2</v>
      </c>
      <c r="CI299" s="120">
        <v>9.0997793848607469E-2</v>
      </c>
      <c r="CJ299" s="120">
        <v>0.10453341521524867</v>
      </c>
      <c r="CK299" s="120">
        <v>0.11801330904874067</v>
      </c>
      <c r="CL299" s="120">
        <v>0.14401787149806156</v>
      </c>
      <c r="CM299" s="120">
        <v>0.18773568086849945</v>
      </c>
      <c r="CN299" s="120">
        <v>0.22398012076746218</v>
      </c>
      <c r="CO299" s="120">
        <v>0.25406500897255396</v>
      </c>
      <c r="CP299" s="120">
        <v>0.30563377486791249</v>
      </c>
      <c r="CQ299" s="120">
        <v>0.38183015817547361</v>
      </c>
      <c r="CR299" s="120">
        <v>0.50618836360405706</v>
      </c>
    </row>
    <row r="300" spans="38:96" ht="12.75" x14ac:dyDescent="0.2">
      <c r="AN300" t="s">
        <v>157</v>
      </c>
      <c r="AO300" s="143">
        <v>11.5</v>
      </c>
      <c r="AP300" s="141">
        <v>9.3000000000000007</v>
      </c>
      <c r="AQ300" s="143">
        <v>9.5</v>
      </c>
      <c r="AR300" s="143">
        <v>10.6</v>
      </c>
      <c r="AS300" s="129">
        <f t="shared" si="218"/>
        <v>11.649999999999999</v>
      </c>
      <c r="AT300" s="143">
        <v>12.7</v>
      </c>
      <c r="AU300" s="143">
        <v>14.8</v>
      </c>
      <c r="AV300" s="143">
        <v>18.399999999999999</v>
      </c>
      <c r="AW300" s="143">
        <v>21.3</v>
      </c>
      <c r="AX300" s="143">
        <v>23.8</v>
      </c>
      <c r="AY300" s="143">
        <v>27.9</v>
      </c>
      <c r="AZ300" s="143">
        <v>33.799999999999997</v>
      </c>
      <c r="BA300" s="143">
        <v>42.5</v>
      </c>
      <c r="BC300" s="111">
        <f t="shared" ref="BC300:BC313" si="231">AO300-AO283</f>
        <v>-9.9999999999999645E-2</v>
      </c>
      <c r="BD300" s="111">
        <f t="shared" si="219"/>
        <v>0</v>
      </c>
      <c r="BE300" s="111">
        <f t="shared" si="220"/>
        <v>-0.30000000000000071</v>
      </c>
      <c r="BF300" s="111">
        <f t="shared" si="221"/>
        <v>-0.20000000000000107</v>
      </c>
      <c r="BG300" s="111">
        <f t="shared" si="222"/>
        <v>-0.20000000000000284</v>
      </c>
      <c r="BH300" s="111">
        <f t="shared" si="223"/>
        <v>-0.20000000000000107</v>
      </c>
      <c r="BI300" s="111">
        <f t="shared" si="224"/>
        <v>0</v>
      </c>
      <c r="BJ300" s="111">
        <f t="shared" si="225"/>
        <v>9.9999999999997868E-2</v>
      </c>
      <c r="BK300" s="111">
        <f t="shared" si="226"/>
        <v>0.19999999999999929</v>
      </c>
      <c r="BL300" s="111">
        <f t="shared" si="227"/>
        <v>0.19999999999999929</v>
      </c>
      <c r="BM300" s="111">
        <f t="shared" si="228"/>
        <v>0.39999999999999858</v>
      </c>
      <c r="BN300" s="111">
        <f t="shared" si="229"/>
        <v>0.5</v>
      </c>
      <c r="BO300" s="111">
        <f t="shared" si="230"/>
        <v>0.70000000000000284</v>
      </c>
      <c r="BR300" s="120">
        <v>3.4566491880093984E-3</v>
      </c>
      <c r="BS300" s="120">
        <v>3.3586642997051426E-3</v>
      </c>
      <c r="BT300" s="120">
        <v>3.2222537664146054E-3</v>
      </c>
      <c r="BU300" s="120">
        <v>3.4076995526835432E-3</v>
      </c>
      <c r="BV300" s="120">
        <v>3.6683895190646161E-3</v>
      </c>
      <c r="BW300" s="120">
        <v>3.9703571136404337E-3</v>
      </c>
      <c r="BX300" s="120">
        <v>4.667672067077965E-3</v>
      </c>
      <c r="BY300" s="120">
        <v>6.0708011687952475E-3</v>
      </c>
      <c r="BZ300" s="120">
        <v>7.3950563816701379E-3</v>
      </c>
      <c r="CA300" s="120">
        <v>8.7044023532867991E-3</v>
      </c>
      <c r="CB300" s="120">
        <v>1.1214655493798679E-2</v>
      </c>
      <c r="CC300" s="120">
        <v>1.5887235807695781E-2</v>
      </c>
      <c r="CD300" s="120">
        <v>2.6260733592180716E-2</v>
      </c>
      <c r="CF300" s="120">
        <v>0.13184920301797748</v>
      </c>
      <c r="CG300" s="120">
        <v>0.12221351660279893</v>
      </c>
      <c r="CH300" s="120">
        <v>0.11462802415741323</v>
      </c>
      <c r="CI300" s="120">
        <v>0.11863792220572106</v>
      </c>
      <c r="CJ300" s="120">
        <v>0.12506332382820071</v>
      </c>
      <c r="CK300" s="120">
        <v>0.13271183188899163</v>
      </c>
      <c r="CL300" s="120">
        <v>0.15016492010662674</v>
      </c>
      <c r="CM300" s="120">
        <v>0.1823140152244607</v>
      </c>
      <c r="CN300" s="120">
        <v>0.20857128390107116</v>
      </c>
      <c r="CO300" s="120">
        <v>0.23205629387992366</v>
      </c>
      <c r="CP300" s="120">
        <v>0.27000367587325796</v>
      </c>
      <c r="CQ300" s="120">
        <v>0.3248036084785727</v>
      </c>
      <c r="CR300" s="120">
        <v>0.40300851518119568</v>
      </c>
    </row>
    <row r="301" spans="38:96" ht="12.75" x14ac:dyDescent="0.2">
      <c r="AN301" t="s">
        <v>99</v>
      </c>
      <c r="AO301" s="143">
        <v>14.5</v>
      </c>
      <c r="AP301" s="143">
        <v>12.1</v>
      </c>
      <c r="AQ301" s="143">
        <v>11.5</v>
      </c>
      <c r="AR301" s="143">
        <v>11.5</v>
      </c>
      <c r="AS301" s="129">
        <f t="shared" si="218"/>
        <v>12.05</v>
      </c>
      <c r="AT301" s="143">
        <v>12.6</v>
      </c>
      <c r="AU301" s="143">
        <v>13.7</v>
      </c>
      <c r="AV301" s="143">
        <v>15.9</v>
      </c>
      <c r="AW301" s="143">
        <v>17.8</v>
      </c>
      <c r="AX301" s="143">
        <v>19.5</v>
      </c>
      <c r="AY301" s="143">
        <v>22.3</v>
      </c>
      <c r="AZ301" s="143">
        <v>26.3</v>
      </c>
      <c r="BA301" s="143">
        <v>32.200000000000003</v>
      </c>
      <c r="BC301" s="111">
        <f t="shared" si="231"/>
        <v>-0.19999999999999929</v>
      </c>
      <c r="BD301" s="111">
        <f t="shared" si="219"/>
        <v>-9.9999999999999645E-2</v>
      </c>
      <c r="BE301" s="111">
        <f t="shared" si="220"/>
        <v>-9.9999999999999645E-2</v>
      </c>
      <c r="BF301" s="111">
        <f t="shared" si="221"/>
        <v>-9.9999999999999645E-2</v>
      </c>
      <c r="BG301" s="111">
        <f t="shared" si="222"/>
        <v>0</v>
      </c>
      <c r="BH301" s="111">
        <f t="shared" si="223"/>
        <v>9.9999999999999645E-2</v>
      </c>
      <c r="BI301" s="111">
        <f t="shared" si="224"/>
        <v>9.9999999999999645E-2</v>
      </c>
      <c r="BJ301" s="111">
        <f t="shared" si="225"/>
        <v>0.20000000000000107</v>
      </c>
      <c r="BK301" s="111">
        <f t="shared" si="226"/>
        <v>0.30000000000000071</v>
      </c>
      <c r="BL301" s="111">
        <f t="shared" si="227"/>
        <v>0.30000000000000071</v>
      </c>
      <c r="BM301" s="111">
        <f t="shared" si="228"/>
        <v>0.40000000000000213</v>
      </c>
      <c r="BN301" s="111">
        <f t="shared" si="229"/>
        <v>0.40000000000000213</v>
      </c>
      <c r="BO301" s="111">
        <f t="shared" si="230"/>
        <v>0.50000000000000355</v>
      </c>
      <c r="BR301" s="120">
        <v>3.9285187903188379E-3</v>
      </c>
      <c r="BS301" s="120">
        <v>3.4335132469487648E-3</v>
      </c>
      <c r="BT301" s="120">
        <v>3.3293416408660902E-3</v>
      </c>
      <c r="BU301" s="120">
        <v>3.4102665856195666E-3</v>
      </c>
      <c r="BV301" s="120">
        <v>3.6500430124017436E-3</v>
      </c>
      <c r="BW301" s="120">
        <v>3.8960141621873115E-3</v>
      </c>
      <c r="BX301" s="120">
        <v>4.4047725658240937E-3</v>
      </c>
      <c r="BY301" s="120">
        <v>5.485347227329641E-3</v>
      </c>
      <c r="BZ301" s="120">
        <v>6.5381773861652136E-3</v>
      </c>
      <c r="CA301" s="120">
        <v>7.5805176782728859E-3</v>
      </c>
      <c r="CB301" s="120">
        <v>9.5792621222983831E-3</v>
      </c>
      <c r="CC301" s="120">
        <v>1.3290476648160148E-2</v>
      </c>
      <c r="CD301" s="120">
        <v>2.1721303047946217E-2</v>
      </c>
      <c r="CF301" s="120">
        <v>0.14500279883473896</v>
      </c>
      <c r="CG301" s="120">
        <v>0.12099984766990957</v>
      </c>
      <c r="CH301" s="120">
        <v>0.11475688150988357</v>
      </c>
      <c r="CI301" s="120">
        <v>0.11499995289653783</v>
      </c>
      <c r="CJ301" s="120">
        <v>0.12050000580377547</v>
      </c>
      <c r="CK301" s="120">
        <v>0.12599953029757172</v>
      </c>
      <c r="CL301" s="120">
        <v>0.13699873273614707</v>
      </c>
      <c r="CM301" s="120">
        <v>0.15900515317720781</v>
      </c>
      <c r="CN301" s="120">
        <v>0.17799972313084797</v>
      </c>
      <c r="CO301" s="120">
        <v>0.19499973379606045</v>
      </c>
      <c r="CP301" s="120">
        <v>0.22299856416607106</v>
      </c>
      <c r="CQ301" s="120">
        <v>0.26299883083174397</v>
      </c>
      <c r="CR301" s="120">
        <v>0.32212680287641121</v>
      </c>
    </row>
    <row r="302" spans="38:96" ht="12.75" x14ac:dyDescent="0.2">
      <c r="AN302" t="s">
        <v>101</v>
      </c>
      <c r="AO302" s="143">
        <v>16.3</v>
      </c>
      <c r="AP302" s="143">
        <v>14.2</v>
      </c>
      <c r="AQ302" s="143">
        <v>13.6</v>
      </c>
      <c r="AR302" s="143">
        <v>13.6</v>
      </c>
      <c r="AS302" s="129">
        <f t="shared" si="218"/>
        <v>13.899999999999999</v>
      </c>
      <c r="AT302" s="143">
        <v>14.2</v>
      </c>
      <c r="AU302" s="143">
        <v>14.9</v>
      </c>
      <c r="AV302" s="143">
        <v>16.2</v>
      </c>
      <c r="AW302" s="143">
        <v>17.399999999999999</v>
      </c>
      <c r="AX302" s="143">
        <v>18.5</v>
      </c>
      <c r="AY302" s="143">
        <v>20.399999999999999</v>
      </c>
      <c r="AZ302" s="143">
        <v>23.2</v>
      </c>
      <c r="BA302" s="143">
        <v>27.5</v>
      </c>
      <c r="BC302" s="111">
        <f t="shared" si="231"/>
        <v>-0.39999999999999858</v>
      </c>
      <c r="BD302" s="111">
        <f t="shared" si="219"/>
        <v>-0.20000000000000107</v>
      </c>
      <c r="BE302" s="111">
        <f t="shared" si="220"/>
        <v>-0.20000000000000107</v>
      </c>
      <c r="BF302" s="111">
        <f t="shared" si="221"/>
        <v>-0.20000000000000107</v>
      </c>
      <c r="BG302" s="111">
        <f t="shared" si="222"/>
        <v>-0.15000000000000213</v>
      </c>
      <c r="BH302" s="111">
        <f t="shared" si="223"/>
        <v>-0.10000000000000142</v>
      </c>
      <c r="BI302" s="111">
        <f t="shared" si="224"/>
        <v>0</v>
      </c>
      <c r="BJ302" s="111">
        <f t="shared" si="225"/>
        <v>9.9999999999997868E-2</v>
      </c>
      <c r="BK302" s="111">
        <f t="shared" si="226"/>
        <v>9.9999999999997868E-2</v>
      </c>
      <c r="BL302" s="111">
        <f t="shared" si="227"/>
        <v>0.10000000000000142</v>
      </c>
      <c r="BM302" s="111">
        <f t="shared" si="228"/>
        <v>0</v>
      </c>
      <c r="BN302" s="111">
        <f t="shared" si="229"/>
        <v>-0.10000000000000142</v>
      </c>
      <c r="BO302" s="111">
        <f t="shared" si="230"/>
        <v>-0.10000000000000142</v>
      </c>
      <c r="BR302" s="120">
        <v>5.8110272224277922E-3</v>
      </c>
      <c r="BS302" s="120">
        <v>5.831773968972327E-3</v>
      </c>
      <c r="BT302" s="120">
        <v>5.7838167883052551E-3</v>
      </c>
      <c r="BU302" s="120">
        <v>5.8112855218971369E-3</v>
      </c>
      <c r="BV302" s="120">
        <v>5.7115431219699128E-3</v>
      </c>
      <c r="BW302" s="120">
        <v>5.6320649875825964E-3</v>
      </c>
      <c r="BX302" s="120">
        <v>5.6748900548928847E-3</v>
      </c>
      <c r="BY302" s="120">
        <v>5.9886947227742902E-3</v>
      </c>
      <c r="BZ302" s="120">
        <v>6.5405767452957316E-3</v>
      </c>
      <c r="CA302" s="120">
        <v>7.1634819616838534E-3</v>
      </c>
      <c r="CB302" s="120">
        <v>8.4877148211793766E-3</v>
      </c>
      <c r="CC302" s="120">
        <v>1.1070564846359994E-2</v>
      </c>
      <c r="CD302" s="120">
        <v>1.7031436300819162E-2</v>
      </c>
      <c r="CF302" s="120">
        <v>0.203789889913536</v>
      </c>
      <c r="CG302" s="120">
        <v>0.19535021148744486</v>
      </c>
      <c r="CH302" s="120">
        <v>0.18952538896283627</v>
      </c>
      <c r="CI302" s="120">
        <v>0.18642202742948291</v>
      </c>
      <c r="CJ302" s="120">
        <v>0.17938819826200392</v>
      </c>
      <c r="CK302" s="120">
        <v>0.1733349933006588</v>
      </c>
      <c r="CL302" s="120">
        <v>0.16813031701206688</v>
      </c>
      <c r="CM302" s="120">
        <v>0.16556199934124002</v>
      </c>
      <c r="CN302" s="120">
        <v>0.17001158031756411</v>
      </c>
      <c r="CO302" s="120">
        <v>0.17604627344180154</v>
      </c>
      <c r="CP302" s="120">
        <v>0.18890103888156445</v>
      </c>
      <c r="CQ302" s="120">
        <v>0.2094982418219572</v>
      </c>
      <c r="CR302" s="120">
        <v>0.24143330729330781</v>
      </c>
    </row>
    <row r="303" spans="38:96" ht="12.75" x14ac:dyDescent="0.2">
      <c r="AN303" t="s">
        <v>102</v>
      </c>
      <c r="AO303" s="141">
        <v>18.399999999999999</v>
      </c>
      <c r="AP303" s="141">
        <v>16.2</v>
      </c>
      <c r="AQ303" s="143">
        <v>15.4</v>
      </c>
      <c r="AR303" s="143">
        <v>15.3</v>
      </c>
      <c r="AS303" s="129">
        <f t="shared" si="218"/>
        <v>15.45</v>
      </c>
      <c r="AT303" s="143">
        <v>15.6</v>
      </c>
      <c r="AU303" s="143">
        <v>16</v>
      </c>
      <c r="AV303" s="143">
        <v>16.8</v>
      </c>
      <c r="AW303" s="143">
        <v>17.5</v>
      </c>
      <c r="AX303" s="143">
        <v>18.3</v>
      </c>
      <c r="AY303" s="143">
        <v>19.899999999999999</v>
      </c>
      <c r="AZ303" s="143">
        <v>22.3</v>
      </c>
      <c r="BA303" s="143">
        <v>26</v>
      </c>
      <c r="BC303" s="111">
        <f t="shared" si="231"/>
        <v>0</v>
      </c>
      <c r="BD303" s="111">
        <f t="shared" si="219"/>
        <v>0</v>
      </c>
      <c r="BE303" s="111">
        <f t="shared" si="220"/>
        <v>-0.29999999999999893</v>
      </c>
      <c r="BF303" s="111">
        <f t="shared" si="221"/>
        <v>-0.19999999999999929</v>
      </c>
      <c r="BG303" s="111">
        <f t="shared" si="222"/>
        <v>-0.20000000000000107</v>
      </c>
      <c r="BH303" s="111">
        <f t="shared" si="223"/>
        <v>-0.20000000000000107</v>
      </c>
      <c r="BI303" s="111">
        <f t="shared" si="224"/>
        <v>-0.10000000000000142</v>
      </c>
      <c r="BJ303" s="111">
        <f t="shared" si="225"/>
        <v>0</v>
      </c>
      <c r="BK303" s="111">
        <f t="shared" si="226"/>
        <v>0</v>
      </c>
      <c r="BL303" s="111">
        <f t="shared" si="227"/>
        <v>0</v>
      </c>
      <c r="BM303" s="111">
        <f t="shared" si="228"/>
        <v>0</v>
      </c>
      <c r="BN303" s="111">
        <f t="shared" si="229"/>
        <v>0</v>
      </c>
      <c r="BO303" s="111">
        <f t="shared" si="230"/>
        <v>0</v>
      </c>
      <c r="BR303" s="120">
        <v>7.0196900160786734E-3</v>
      </c>
      <c r="BS303" s="120">
        <v>6.6351971316425942E-3</v>
      </c>
      <c r="BT303" s="120">
        <v>6.3234080153576353E-3</v>
      </c>
      <c r="BU303" s="120">
        <v>6.2755585290323315E-3</v>
      </c>
      <c r="BV303" s="120">
        <v>6.2847301888920163E-3</v>
      </c>
      <c r="BW303" s="120">
        <v>6.2852319482208999E-3</v>
      </c>
      <c r="BX303" s="120">
        <v>6.3235962496797698E-3</v>
      </c>
      <c r="BY303" s="120">
        <v>6.6478760862387328E-3</v>
      </c>
      <c r="BZ303" s="120">
        <v>7.045500046224791E-3</v>
      </c>
      <c r="CA303" s="120">
        <v>7.661753466435741E-3</v>
      </c>
      <c r="CB303" s="120">
        <v>9.1214059732837652E-3</v>
      </c>
      <c r="CC303" s="120">
        <v>1.1937012355915084E-2</v>
      </c>
      <c r="CD303" s="120">
        <v>1.8438705306088279E-2</v>
      </c>
      <c r="CF303" s="120">
        <v>0.23827654379835836</v>
      </c>
      <c r="CG303" s="120">
        <v>0.21466335128820171</v>
      </c>
      <c r="CH303" s="120">
        <v>0.19994789260271909</v>
      </c>
      <c r="CI303" s="120">
        <v>0.19428414688485224</v>
      </c>
      <c r="CJ303" s="120">
        <v>0.19073568399378169</v>
      </c>
      <c r="CK303" s="120">
        <v>0.18710164034527549</v>
      </c>
      <c r="CL303" s="120">
        <v>0.18139894424608186</v>
      </c>
      <c r="CM303" s="120">
        <v>0.17828006537674049</v>
      </c>
      <c r="CN303" s="120">
        <v>0.17781960494621279</v>
      </c>
      <c r="CO303" s="120">
        <v>0.18308298621039337</v>
      </c>
      <c r="CP303" s="120">
        <v>0.19797207907207104</v>
      </c>
      <c r="CQ303" s="120">
        <v>0.22140160776395446</v>
      </c>
      <c r="CR303" s="120">
        <v>0.2583389850943093</v>
      </c>
    </row>
    <row r="304" spans="38:96" ht="12.75" x14ac:dyDescent="0.2">
      <c r="AN304" t="s">
        <v>103</v>
      </c>
      <c r="AO304" s="143">
        <v>19.3</v>
      </c>
      <c r="AP304" s="143">
        <v>17.399999999999999</v>
      </c>
      <c r="AQ304" s="143">
        <v>16.8</v>
      </c>
      <c r="AR304" s="143">
        <v>16.600000000000001</v>
      </c>
      <c r="AS304" s="129">
        <f t="shared" si="218"/>
        <v>16.600000000000001</v>
      </c>
      <c r="AT304" s="143">
        <v>16.600000000000001</v>
      </c>
      <c r="AU304" s="143">
        <v>16.8</v>
      </c>
      <c r="AV304" s="143">
        <v>17.100000000000001</v>
      </c>
      <c r="AW304" s="143">
        <v>17.5</v>
      </c>
      <c r="AX304" s="143">
        <v>18</v>
      </c>
      <c r="AY304" s="143">
        <v>19.2</v>
      </c>
      <c r="AZ304" s="143">
        <v>21.3</v>
      </c>
      <c r="BA304" s="143">
        <v>24.7</v>
      </c>
      <c r="BC304" s="111">
        <f t="shared" si="231"/>
        <v>-0.30000000000000071</v>
      </c>
      <c r="BD304" s="111">
        <f t="shared" si="219"/>
        <v>-0.20000000000000284</v>
      </c>
      <c r="BE304" s="111">
        <f t="shared" si="220"/>
        <v>-0.30000000000000071</v>
      </c>
      <c r="BF304" s="111">
        <f t="shared" si="221"/>
        <v>-0.19999999999999929</v>
      </c>
      <c r="BG304" s="111">
        <f t="shared" si="222"/>
        <v>-0.19999999999999929</v>
      </c>
      <c r="BH304" s="111">
        <f t="shared" si="223"/>
        <v>-0.19999999999999929</v>
      </c>
      <c r="BI304" s="111">
        <f t="shared" si="224"/>
        <v>-9.9999999999997868E-2</v>
      </c>
      <c r="BJ304" s="111">
        <f t="shared" si="225"/>
        <v>-9.9999999999997868E-2</v>
      </c>
      <c r="BK304" s="111">
        <f t="shared" si="226"/>
        <v>-0.10000000000000142</v>
      </c>
      <c r="BL304" s="111">
        <f t="shared" si="227"/>
        <v>-0.10000000000000142</v>
      </c>
      <c r="BM304" s="111">
        <f t="shared" si="228"/>
        <v>-0.10000000000000142</v>
      </c>
      <c r="BN304" s="111">
        <f t="shared" si="229"/>
        <v>-9.9999999999997868E-2</v>
      </c>
      <c r="BO304" s="111">
        <f t="shared" si="230"/>
        <v>-0.10000000000000142</v>
      </c>
      <c r="BR304" s="120">
        <v>6.6440263126774125E-3</v>
      </c>
      <c r="BS304" s="120">
        <v>6.8324255406765535E-3</v>
      </c>
      <c r="BT304" s="120">
        <v>7.1245593785222014E-3</v>
      </c>
      <c r="BU304" s="120">
        <v>7.0598461149357422E-3</v>
      </c>
      <c r="BV304" s="120">
        <v>6.9606768350535678E-3</v>
      </c>
      <c r="BW304" s="120">
        <v>6.8556093434370257E-3</v>
      </c>
      <c r="BX304" s="120">
        <v>6.8720780395473673E-3</v>
      </c>
      <c r="BY304" s="120">
        <v>6.8474673696417585E-3</v>
      </c>
      <c r="BZ304" s="120">
        <v>7.2008778111832912E-3</v>
      </c>
      <c r="CA304" s="120">
        <v>7.6124471137656042E-3</v>
      </c>
      <c r="CB304" s="120">
        <v>8.7209089699639072E-3</v>
      </c>
      <c r="CC304" s="120">
        <v>1.1300833072120523E-2</v>
      </c>
      <c r="CD304" s="120">
        <v>1.7469592188448044E-2</v>
      </c>
      <c r="CF304" s="120">
        <v>0.21460001102383822</v>
      </c>
      <c r="CG304" s="120">
        <v>0.21127771598428285</v>
      </c>
      <c r="CH304" s="120">
        <v>0.21604518884156554</v>
      </c>
      <c r="CI304" s="120">
        <v>0.20963675371398488</v>
      </c>
      <c r="CJ304" s="120">
        <v>0.20247902900122955</v>
      </c>
      <c r="CK304" s="120">
        <v>0.19549640596987741</v>
      </c>
      <c r="CL304" s="120">
        <v>0.18885568297197219</v>
      </c>
      <c r="CM304" s="120">
        <v>0.17577274150706995</v>
      </c>
      <c r="CN304" s="120">
        <v>0.17407468613267943</v>
      </c>
      <c r="CO304" s="120">
        <v>0.17420391059360624</v>
      </c>
      <c r="CP304" s="120">
        <v>0.18119916324250915</v>
      </c>
      <c r="CQ304" s="120">
        <v>0.20077525221216702</v>
      </c>
      <c r="CR304" s="120">
        <v>0.23494636105670552</v>
      </c>
    </row>
    <row r="305" spans="38:96" ht="12.75" x14ac:dyDescent="0.2">
      <c r="AN305" t="s">
        <v>104</v>
      </c>
      <c r="AO305" s="143">
        <v>20.2</v>
      </c>
      <c r="AP305" s="143">
        <v>18.399999999999999</v>
      </c>
      <c r="AQ305" s="143">
        <v>17.8</v>
      </c>
      <c r="AR305" s="143">
        <v>17.5</v>
      </c>
      <c r="AS305" s="129">
        <f t="shared" si="218"/>
        <v>17.45</v>
      </c>
      <c r="AT305" s="143">
        <v>17.399999999999999</v>
      </c>
      <c r="AU305" s="143">
        <v>17.3</v>
      </c>
      <c r="AV305" s="143">
        <v>17.3</v>
      </c>
      <c r="AW305" s="143">
        <v>17.399999999999999</v>
      </c>
      <c r="AX305" s="143">
        <v>17.7</v>
      </c>
      <c r="AY305" s="143">
        <v>18.5</v>
      </c>
      <c r="AZ305" s="143">
        <v>20.2</v>
      </c>
      <c r="BA305" s="143">
        <v>23.2</v>
      </c>
      <c r="BC305" s="111">
        <f t="shared" si="231"/>
        <v>-0.30000000000000071</v>
      </c>
      <c r="BD305" s="111">
        <f t="shared" si="219"/>
        <v>-0.20000000000000284</v>
      </c>
      <c r="BE305" s="111">
        <f t="shared" si="220"/>
        <v>-0.19999999999999929</v>
      </c>
      <c r="BF305" s="111">
        <f t="shared" si="221"/>
        <v>-0.19999999999999929</v>
      </c>
      <c r="BG305" s="111">
        <f t="shared" si="222"/>
        <v>-0.15000000000000213</v>
      </c>
      <c r="BH305" s="111">
        <f t="shared" si="223"/>
        <v>-0.10000000000000142</v>
      </c>
      <c r="BI305" s="111">
        <f t="shared" si="224"/>
        <v>-0.19999999999999929</v>
      </c>
      <c r="BJ305" s="111">
        <f t="shared" si="225"/>
        <v>-9.9999999999997868E-2</v>
      </c>
      <c r="BK305" s="111">
        <f t="shared" si="226"/>
        <v>-0.10000000000000142</v>
      </c>
      <c r="BL305" s="111">
        <f t="shared" si="227"/>
        <v>-0.10000000000000142</v>
      </c>
      <c r="BM305" s="111">
        <f t="shared" si="228"/>
        <v>-0.10000000000000142</v>
      </c>
      <c r="BN305" s="111">
        <f t="shared" si="229"/>
        <v>-0.10000000000000142</v>
      </c>
      <c r="BO305" s="111">
        <f t="shared" si="230"/>
        <v>-0.10000000000000142</v>
      </c>
      <c r="BR305" s="120">
        <v>7.7129909153374815E-3</v>
      </c>
      <c r="BS305" s="120">
        <v>7.5620280000705141E-3</v>
      </c>
      <c r="BT305" s="120">
        <v>7.4121228355941799E-3</v>
      </c>
      <c r="BU305" s="120">
        <v>7.2967729196471397E-3</v>
      </c>
      <c r="BV305" s="120">
        <v>7.3543390125939299E-3</v>
      </c>
      <c r="BW305" s="120">
        <v>7.399255194609774E-3</v>
      </c>
      <c r="BX305" s="120">
        <v>7.0964781158871877E-3</v>
      </c>
      <c r="BY305" s="120">
        <v>7.1817539048151949E-3</v>
      </c>
      <c r="BZ305" s="120">
        <v>7.3094826044241296E-3</v>
      </c>
      <c r="CA305" s="120">
        <v>7.7045351694830779E-3</v>
      </c>
      <c r="CB305" s="120">
        <v>8.5953128280913497E-3</v>
      </c>
      <c r="CC305" s="120">
        <v>1.080594928897931E-2</v>
      </c>
      <c r="CD305" s="120">
        <v>1.6396412056616551E-2</v>
      </c>
      <c r="CF305" s="120">
        <v>0.24234421004025453</v>
      </c>
      <c r="CG305" s="120">
        <v>0.22672440004336614</v>
      </c>
      <c r="CH305" s="120">
        <v>0.21721424128044253</v>
      </c>
      <c r="CI305" s="120">
        <v>0.20937941337892224</v>
      </c>
      <c r="CJ305" s="120">
        <v>0.20697262505270775</v>
      </c>
      <c r="CK305" s="120">
        <v>0.20434888947379209</v>
      </c>
      <c r="CL305" s="120">
        <v>0.18871442883672751</v>
      </c>
      <c r="CM305" s="120">
        <v>0.17871197128860652</v>
      </c>
      <c r="CN305" s="120">
        <v>0.17127747742113675</v>
      </c>
      <c r="CO305" s="120">
        <v>0.17107253896197566</v>
      </c>
      <c r="CP305" s="120">
        <v>0.17351653402710771</v>
      </c>
      <c r="CQ305" s="120">
        <v>0.1868036860571004</v>
      </c>
      <c r="CR305" s="120">
        <v>0.21505161406607748</v>
      </c>
    </row>
    <row r="306" spans="38:96" ht="12.75" x14ac:dyDescent="0.2">
      <c r="AN306" t="s">
        <v>105</v>
      </c>
      <c r="AO306" s="143">
        <v>20.8</v>
      </c>
      <c r="AP306" s="143">
        <v>19</v>
      </c>
      <c r="AQ306" s="143">
        <v>18.399999999999999</v>
      </c>
      <c r="AR306" s="143">
        <v>18.100000000000001</v>
      </c>
      <c r="AS306" s="129">
        <f t="shared" si="218"/>
        <v>17.950000000000003</v>
      </c>
      <c r="AT306" s="143">
        <v>17.8</v>
      </c>
      <c r="AU306" s="143">
        <v>17.7</v>
      </c>
      <c r="AV306" s="143">
        <v>17.399999999999999</v>
      </c>
      <c r="AW306" s="143">
        <v>17.3</v>
      </c>
      <c r="AX306" s="143">
        <v>17.399999999999999</v>
      </c>
      <c r="AY306" s="143">
        <v>17.8</v>
      </c>
      <c r="AZ306" s="143">
        <v>19.2</v>
      </c>
      <c r="BA306" s="143">
        <v>21.8</v>
      </c>
      <c r="BC306" s="111">
        <f t="shared" si="231"/>
        <v>-0.30000000000000071</v>
      </c>
      <c r="BD306" s="111">
        <f t="shared" si="219"/>
        <v>-0.30000000000000071</v>
      </c>
      <c r="BE306" s="111">
        <f t="shared" si="220"/>
        <v>-0.30000000000000071</v>
      </c>
      <c r="BF306" s="111">
        <f t="shared" si="221"/>
        <v>-0.19999999999999929</v>
      </c>
      <c r="BG306" s="111">
        <f t="shared" si="222"/>
        <v>-0.19999999999999574</v>
      </c>
      <c r="BH306" s="111">
        <f t="shared" si="223"/>
        <v>-0.19999999999999929</v>
      </c>
      <c r="BI306" s="111">
        <f t="shared" si="224"/>
        <v>-0.19999999999999929</v>
      </c>
      <c r="BJ306" s="111">
        <f t="shared" si="225"/>
        <v>-0.20000000000000284</v>
      </c>
      <c r="BK306" s="111">
        <f t="shared" si="226"/>
        <v>-9.9999999999997868E-2</v>
      </c>
      <c r="BL306" s="111">
        <f t="shared" si="227"/>
        <v>-0.10000000000000142</v>
      </c>
      <c r="BM306" s="111">
        <f t="shared" si="228"/>
        <v>-0.19999999999999929</v>
      </c>
      <c r="BN306" s="111">
        <f t="shared" si="229"/>
        <v>-0.10000000000000142</v>
      </c>
      <c r="BO306" s="111">
        <f t="shared" si="230"/>
        <v>-9.9999999999997868E-2</v>
      </c>
      <c r="BR306" s="120">
        <v>7.6681415364716959E-3</v>
      </c>
      <c r="BS306" s="120">
        <v>7.4317276123455232E-3</v>
      </c>
      <c r="BT306" s="120">
        <v>7.4175028222473582E-3</v>
      </c>
      <c r="BU306" s="120">
        <v>7.4940394551899457E-3</v>
      </c>
      <c r="BV306" s="120">
        <v>7.3523745971828718E-3</v>
      </c>
      <c r="BW306" s="120">
        <v>7.2023024923839694E-3</v>
      </c>
      <c r="BX306" s="120">
        <v>7.5238146588955893E-3</v>
      </c>
      <c r="BY306" s="120">
        <v>7.3292219948632668E-3</v>
      </c>
      <c r="BZ306" s="120">
        <v>7.4809589861284534E-3</v>
      </c>
      <c r="CA306" s="120">
        <v>7.7026783520461658E-3</v>
      </c>
      <c r="CB306" s="120">
        <v>8.3018108140822389E-3</v>
      </c>
      <c r="CC306" s="120">
        <v>1.0411869848530221E-2</v>
      </c>
      <c r="CD306" s="120">
        <v>1.5553424327038354E-2</v>
      </c>
      <c r="CF306" s="120">
        <v>0.23241318601955749</v>
      </c>
      <c r="CG306" s="120">
        <v>0.21515744049612309</v>
      </c>
      <c r="CH306" s="120">
        <v>0.21033677496032463</v>
      </c>
      <c r="CI306" s="120">
        <v>0.20832418566819469</v>
      </c>
      <c r="CJ306" s="120">
        <v>0.20022798357115745</v>
      </c>
      <c r="CK306" s="120">
        <v>0.19228322366964776</v>
      </c>
      <c r="CL306" s="120">
        <v>0.19407028810672283</v>
      </c>
      <c r="CM306" s="120">
        <v>0.17672519040283871</v>
      </c>
      <c r="CN306" s="120">
        <v>0.17001397941770402</v>
      </c>
      <c r="CO306" s="120">
        <v>0.16584866161487524</v>
      </c>
      <c r="CP306" s="120">
        <v>0.16252303413950797</v>
      </c>
      <c r="CQ306" s="120">
        <v>0.17483759349282646</v>
      </c>
      <c r="CR306" s="120">
        <v>0.1985963624413816</v>
      </c>
    </row>
    <row r="307" spans="38:96" ht="12.75" x14ac:dyDescent="0.2">
      <c r="AN307" t="s">
        <v>106</v>
      </c>
      <c r="AO307" s="143">
        <v>21.2</v>
      </c>
      <c r="AP307" s="143">
        <v>19.399999999999999</v>
      </c>
      <c r="AQ307" s="143">
        <v>18.899999999999999</v>
      </c>
      <c r="AR307" s="143">
        <v>18.5</v>
      </c>
      <c r="AS307" s="129">
        <f t="shared" si="218"/>
        <v>18.3</v>
      </c>
      <c r="AT307" s="143">
        <v>18.100000000000001</v>
      </c>
      <c r="AU307" s="143">
        <v>17.899999999999999</v>
      </c>
      <c r="AV307" s="143">
        <v>17.399999999999999</v>
      </c>
      <c r="AW307" s="143">
        <v>17.2</v>
      </c>
      <c r="AX307" s="143">
        <v>17.100000000000001</v>
      </c>
      <c r="AY307" s="143">
        <v>17.3</v>
      </c>
      <c r="AZ307" s="143">
        <v>18.399999999999999</v>
      </c>
      <c r="BA307" s="143">
        <v>20.8</v>
      </c>
      <c r="BC307" s="111">
        <f t="shared" si="231"/>
        <v>-0.19999999999999929</v>
      </c>
      <c r="BD307" s="111">
        <f t="shared" si="219"/>
        <v>-0.30000000000000071</v>
      </c>
      <c r="BE307" s="111">
        <f t="shared" si="220"/>
        <v>-0.20000000000000284</v>
      </c>
      <c r="BF307" s="111">
        <f t="shared" si="221"/>
        <v>-0.19999999999999929</v>
      </c>
      <c r="BG307" s="111">
        <f t="shared" si="222"/>
        <v>-0.24999999999999645</v>
      </c>
      <c r="BH307" s="111">
        <f t="shared" si="223"/>
        <v>-0.29999999999999716</v>
      </c>
      <c r="BI307" s="111">
        <f t="shared" si="224"/>
        <v>-0.20000000000000284</v>
      </c>
      <c r="BJ307" s="111">
        <f t="shared" si="225"/>
        <v>-0.20000000000000284</v>
      </c>
      <c r="BK307" s="111">
        <f t="shared" si="226"/>
        <v>-0.10000000000000142</v>
      </c>
      <c r="BL307" s="111">
        <f t="shared" si="227"/>
        <v>-9.9999999999997868E-2</v>
      </c>
      <c r="BM307" s="111">
        <f t="shared" si="228"/>
        <v>-0.19999999999999929</v>
      </c>
      <c r="BN307" s="111">
        <f t="shared" si="229"/>
        <v>-0.10000000000000142</v>
      </c>
      <c r="BO307" s="111">
        <f t="shared" si="230"/>
        <v>-9.9999999999997868E-2</v>
      </c>
      <c r="BR307" s="120">
        <v>7.8123357811464003E-3</v>
      </c>
      <c r="BS307" s="120">
        <v>7.5780597206742979E-3</v>
      </c>
      <c r="BT307" s="120">
        <v>7.80131710566433E-3</v>
      </c>
      <c r="BU307" s="120">
        <v>7.5367491005107236E-3</v>
      </c>
      <c r="BV307" s="120">
        <v>7.5352163271000501E-3</v>
      </c>
      <c r="BW307" s="120">
        <v>7.5237111347769784E-3</v>
      </c>
      <c r="BX307" s="120">
        <v>7.3738101839529672E-3</v>
      </c>
      <c r="BY307" s="120">
        <v>7.3095506418446015E-3</v>
      </c>
      <c r="BZ307" s="120">
        <v>7.5308653853535064E-3</v>
      </c>
      <c r="CA307" s="120">
        <v>7.6082907714212422E-3</v>
      </c>
      <c r="CB307" s="120">
        <v>8.3466738961750532E-3</v>
      </c>
      <c r="CC307" s="120">
        <v>1.0123462467492855E-2</v>
      </c>
      <c r="CD307" s="120">
        <v>1.5285818067925633E-2</v>
      </c>
      <c r="CF307" s="120">
        <v>0.23272839780344479</v>
      </c>
      <c r="CG307" s="120">
        <v>0.21559319725148107</v>
      </c>
      <c r="CH307" s="120">
        <v>0.21750639513717884</v>
      </c>
      <c r="CI307" s="120">
        <v>0.20560418352619941</v>
      </c>
      <c r="CJ307" s="120">
        <v>0.20160556325839782</v>
      </c>
      <c r="CK307" s="120">
        <v>0.1975419116909585</v>
      </c>
      <c r="CL307" s="120">
        <v>0.18652293559178337</v>
      </c>
      <c r="CM307" s="120">
        <v>0.1730763718631658</v>
      </c>
      <c r="CN307" s="120">
        <v>0.16813457413249741</v>
      </c>
      <c r="CO307" s="120">
        <v>0.16095101934912046</v>
      </c>
      <c r="CP307" s="120">
        <v>0.16075959660392902</v>
      </c>
      <c r="CQ307" s="120">
        <v>0.16726702014250483</v>
      </c>
      <c r="CR307" s="120">
        <v>0.19246525761517647</v>
      </c>
    </row>
    <row r="308" spans="38:96" ht="12.75" x14ac:dyDescent="0.2">
      <c r="AN308" t="s">
        <v>79</v>
      </c>
      <c r="AO308" s="143">
        <v>21.3</v>
      </c>
      <c r="AP308" s="143">
        <v>19.7</v>
      </c>
      <c r="AQ308" s="143">
        <v>19.100000000000001</v>
      </c>
      <c r="AR308" s="143">
        <v>18.7</v>
      </c>
      <c r="AS308" s="129">
        <f t="shared" si="218"/>
        <v>18.5</v>
      </c>
      <c r="AT308" s="143">
        <v>18.3</v>
      </c>
      <c r="AU308" s="143">
        <v>18</v>
      </c>
      <c r="AV308" s="143">
        <v>17.399999999999999</v>
      </c>
      <c r="AW308" s="143">
        <v>17</v>
      </c>
      <c r="AX308" s="143">
        <v>16.8</v>
      </c>
      <c r="AY308" s="143">
        <v>16.899999999999999</v>
      </c>
      <c r="AZ308" s="143">
        <v>17.7</v>
      </c>
      <c r="BA308" s="143">
        <v>19.7</v>
      </c>
      <c r="BC308" s="111">
        <f t="shared" si="231"/>
        <v>-0.30000000000000071</v>
      </c>
      <c r="BD308" s="111">
        <f t="shared" si="219"/>
        <v>-0.19999999999999929</v>
      </c>
      <c r="BE308" s="111">
        <f t="shared" si="220"/>
        <v>-0.19999999999999929</v>
      </c>
      <c r="BF308" s="111">
        <f t="shared" si="221"/>
        <v>-0.19999999999999929</v>
      </c>
      <c r="BG308" s="111">
        <f t="shared" si="222"/>
        <v>-0.19999999999999929</v>
      </c>
      <c r="BH308" s="111">
        <f t="shared" si="223"/>
        <v>-0.19999999999999929</v>
      </c>
      <c r="BI308" s="111">
        <f t="shared" si="224"/>
        <v>-0.19999999999999929</v>
      </c>
      <c r="BJ308" s="111">
        <f t="shared" si="225"/>
        <v>-0.20000000000000284</v>
      </c>
      <c r="BK308" s="111">
        <f t="shared" si="226"/>
        <v>-0.19999999999999929</v>
      </c>
      <c r="BL308" s="111">
        <f t="shared" si="227"/>
        <v>-0.19999999999999929</v>
      </c>
      <c r="BM308" s="111">
        <f t="shared" si="228"/>
        <v>-0.10000000000000142</v>
      </c>
      <c r="BN308" s="111">
        <f t="shared" si="229"/>
        <v>-0.10000000000000142</v>
      </c>
      <c r="BO308" s="111">
        <f t="shared" si="230"/>
        <v>-0.10000000000000142</v>
      </c>
      <c r="BR308" s="120">
        <v>7.3151666068999527E-3</v>
      </c>
      <c r="BS308" s="120">
        <v>7.6584572609636461E-3</v>
      </c>
      <c r="BT308" s="120">
        <v>7.2373605318198182E-3</v>
      </c>
      <c r="BU308" s="120">
        <v>7.3252341135272726E-3</v>
      </c>
      <c r="BV308" s="120">
        <v>7.406151876532807E-3</v>
      </c>
      <c r="BW308" s="120">
        <v>7.4801329835922203E-3</v>
      </c>
      <c r="BX308" s="120">
        <v>7.411575265057836E-3</v>
      </c>
      <c r="BY308" s="120">
        <v>7.4502503758646184E-3</v>
      </c>
      <c r="BZ308" s="120">
        <v>7.2375691371877916E-3</v>
      </c>
      <c r="CA308" s="120">
        <v>7.4494135276506057E-3</v>
      </c>
      <c r="CB308" s="120">
        <v>8.1834541326924089E-3</v>
      </c>
      <c r="CC308" s="120">
        <v>9.6697229025944666E-3</v>
      </c>
      <c r="CD308" s="120">
        <v>1.3642131882526021E-2</v>
      </c>
      <c r="CF308" s="120">
        <v>0.21441303752070795</v>
      </c>
      <c r="CG308" s="120">
        <v>0.21511647674213522</v>
      </c>
      <c r="CH308" s="120">
        <v>0.19859362736751179</v>
      </c>
      <c r="CI308" s="120">
        <v>0.19711166380718137</v>
      </c>
      <c r="CJ308" s="120">
        <v>0.19548893369250267</v>
      </c>
      <c r="CK308" s="120">
        <v>0.19379520984622245</v>
      </c>
      <c r="CL308" s="120">
        <v>0.18521214118039045</v>
      </c>
      <c r="CM308" s="120">
        <v>0.17430831441718742</v>
      </c>
      <c r="CN308" s="120">
        <v>0.15945789619632</v>
      </c>
      <c r="CO308" s="120">
        <v>0.1556156622222791</v>
      </c>
      <c r="CP308" s="120">
        <v>0.15567214431861268</v>
      </c>
      <c r="CQ308" s="120">
        <v>0.15784083526775322</v>
      </c>
      <c r="CR308" s="120">
        <v>0.16945362183364002</v>
      </c>
    </row>
    <row r="309" spans="38:96" ht="12.75" x14ac:dyDescent="0.2">
      <c r="AN309" t="s">
        <v>159</v>
      </c>
      <c r="AO309" s="143">
        <v>21.2</v>
      </c>
      <c r="AP309" s="143">
        <v>19.8</v>
      </c>
      <c r="AQ309" s="143">
        <v>19.2</v>
      </c>
      <c r="AR309" s="143">
        <v>18.8</v>
      </c>
      <c r="AS309" s="129">
        <f t="shared" si="218"/>
        <v>18.55</v>
      </c>
      <c r="AT309" s="143">
        <v>18.3</v>
      </c>
      <c r="AU309" s="143">
        <v>17.899999999999999</v>
      </c>
      <c r="AV309" s="143">
        <v>17.2</v>
      </c>
      <c r="AW309" s="143">
        <v>16.7</v>
      </c>
      <c r="AX309" s="143">
        <v>16.399999999999999</v>
      </c>
      <c r="AY309" s="143">
        <v>16.100000000000001</v>
      </c>
      <c r="AZ309" s="143">
        <v>16.399999999999999</v>
      </c>
      <c r="BA309" s="143">
        <v>17.7</v>
      </c>
      <c r="BC309" s="111">
        <f t="shared" si="231"/>
        <v>-0.30000000000000071</v>
      </c>
      <c r="BD309" s="111">
        <f t="shared" si="219"/>
        <v>-9.9999999999997868E-2</v>
      </c>
      <c r="BE309" s="111">
        <f t="shared" si="220"/>
        <v>-0.19999999999999929</v>
      </c>
      <c r="BF309" s="111">
        <f t="shared" si="221"/>
        <v>-0.19999999999999929</v>
      </c>
      <c r="BG309" s="111">
        <f t="shared" si="222"/>
        <v>-0.19999999999999929</v>
      </c>
      <c r="BH309" s="111">
        <f t="shared" si="223"/>
        <v>-0.19999999999999929</v>
      </c>
      <c r="BI309" s="111">
        <f t="shared" si="224"/>
        <v>-0.20000000000000284</v>
      </c>
      <c r="BJ309" s="111">
        <f t="shared" si="225"/>
        <v>-0.19999999999999929</v>
      </c>
      <c r="BK309" s="111">
        <f t="shared" si="226"/>
        <v>-0.19999999999999929</v>
      </c>
      <c r="BL309" s="111">
        <f t="shared" si="227"/>
        <v>-0.10000000000000142</v>
      </c>
      <c r="BM309" s="111">
        <f t="shared" si="228"/>
        <v>-9.9999999999997868E-2</v>
      </c>
      <c r="BN309" s="111">
        <f t="shared" si="229"/>
        <v>-0.10000000000000142</v>
      </c>
      <c r="BO309" s="111">
        <f t="shared" si="230"/>
        <v>-0.10000000000000142</v>
      </c>
      <c r="BR309" s="120">
        <v>7.1613769264084531E-3</v>
      </c>
      <c r="BS309" s="120">
        <v>7.0532178632044589E-3</v>
      </c>
      <c r="BT309" s="120">
        <v>7.2005828574628703E-3</v>
      </c>
      <c r="BU309" s="120">
        <v>7.14260598586624E-3</v>
      </c>
      <c r="BV309" s="120">
        <v>7.0645152321050977E-3</v>
      </c>
      <c r="BW309" s="120">
        <v>6.9797360348368594E-3</v>
      </c>
      <c r="BX309" s="120">
        <v>6.978568708917705E-3</v>
      </c>
      <c r="BY309" s="120">
        <v>7.0752714549089293E-3</v>
      </c>
      <c r="BZ309" s="120">
        <v>7.3996190032446056E-3</v>
      </c>
      <c r="CA309" s="120">
        <v>7.5779714627775985E-3</v>
      </c>
      <c r="CB309" s="120">
        <v>7.6124334685317065E-3</v>
      </c>
      <c r="CC309" s="120">
        <v>8.70673095046459E-3</v>
      </c>
      <c r="CD309" s="120">
        <v>1.1919212136545048E-2</v>
      </c>
      <c r="CF309" s="120">
        <v>0.20538732542856472</v>
      </c>
      <c r="CG309" s="120">
        <v>0.19323745115032306</v>
      </c>
      <c r="CH309" s="120">
        <v>0.19349660662256102</v>
      </c>
      <c r="CI309" s="120">
        <v>0.18798807456049557</v>
      </c>
      <c r="CJ309" s="120">
        <v>0.18225593748387001</v>
      </c>
      <c r="CK309" s="120">
        <v>0.17662072834494108</v>
      </c>
      <c r="CL309" s="120">
        <v>0.17036884513804357</v>
      </c>
      <c r="CM309" s="120">
        <v>0.16185190284313553</v>
      </c>
      <c r="CN309" s="120">
        <v>0.1598484792113872</v>
      </c>
      <c r="CO309" s="120">
        <v>0.15522452875816112</v>
      </c>
      <c r="CP309" s="120">
        <v>0.14175456162519201</v>
      </c>
      <c r="CQ309" s="120">
        <v>0.13916124995316578</v>
      </c>
      <c r="CR309" s="120">
        <v>0.14521946776442343</v>
      </c>
    </row>
    <row r="310" spans="38:96" ht="12.75" x14ac:dyDescent="0.2">
      <c r="AN310" t="s">
        <v>107</v>
      </c>
      <c r="AO310" s="143">
        <v>20.9</v>
      </c>
      <c r="AP310" s="143">
        <v>19.600000000000001</v>
      </c>
      <c r="AQ310" s="143">
        <v>19.100000000000001</v>
      </c>
      <c r="AR310" s="143">
        <v>18.7</v>
      </c>
      <c r="AS310" s="129">
        <f t="shared" si="218"/>
        <v>18.45</v>
      </c>
      <c r="AT310" s="143">
        <v>18.2</v>
      </c>
      <c r="AU310" s="143">
        <v>17.7</v>
      </c>
      <c r="AV310" s="143">
        <v>16.899999999999999</v>
      </c>
      <c r="AW310" s="143">
        <v>16.3</v>
      </c>
      <c r="AX310" s="143">
        <v>15.9</v>
      </c>
      <c r="AY310" s="143">
        <v>15.4</v>
      </c>
      <c r="AZ310" s="143">
        <v>15.1</v>
      </c>
      <c r="BA310" s="143">
        <v>15.7</v>
      </c>
      <c r="BC310" s="111">
        <f t="shared" si="231"/>
        <v>-0.20000000000000284</v>
      </c>
      <c r="BD310" s="111">
        <f t="shared" si="219"/>
        <v>-0.19999999999999929</v>
      </c>
      <c r="BE310" s="111">
        <f t="shared" si="220"/>
        <v>-0.19999999999999929</v>
      </c>
      <c r="BF310" s="111">
        <f t="shared" si="221"/>
        <v>-0.19999999999999929</v>
      </c>
      <c r="BG310" s="111">
        <f t="shared" si="222"/>
        <v>-0.15000000000000213</v>
      </c>
      <c r="BH310" s="111">
        <f t="shared" si="223"/>
        <v>-0.10000000000000142</v>
      </c>
      <c r="BI310" s="111">
        <f t="shared" si="224"/>
        <v>-0.19999999999999929</v>
      </c>
      <c r="BJ310" s="111">
        <f t="shared" si="225"/>
        <v>-0.20000000000000284</v>
      </c>
      <c r="BK310" s="111">
        <f t="shared" si="226"/>
        <v>-0.19999999999999929</v>
      </c>
      <c r="BL310" s="111">
        <f t="shared" si="227"/>
        <v>-9.9999999999999645E-2</v>
      </c>
      <c r="BM310" s="111">
        <f t="shared" si="228"/>
        <v>-9.9999999999999645E-2</v>
      </c>
      <c r="BN310" s="111">
        <f t="shared" si="229"/>
        <v>-0.20000000000000107</v>
      </c>
      <c r="BO310" s="111">
        <f t="shared" si="230"/>
        <v>-0.10000000000000142</v>
      </c>
      <c r="BR310" s="120">
        <v>6.8820232934717887E-3</v>
      </c>
      <c r="BS310" s="120">
        <v>6.84806757813113E-3</v>
      </c>
      <c r="BT310" s="120">
        <v>6.8420094065779957E-3</v>
      </c>
      <c r="BU310" s="120">
        <v>6.8678240326758904E-3</v>
      </c>
      <c r="BV310" s="120">
        <v>6.9898433598903215E-3</v>
      </c>
      <c r="BW310" s="120">
        <v>7.1082430025700529E-3</v>
      </c>
      <c r="BX310" s="120">
        <v>7.0337223282648598E-3</v>
      </c>
      <c r="BY310" s="120">
        <v>7.0379902492626002E-3</v>
      </c>
      <c r="BZ310" s="120">
        <v>6.9455449860546942E-3</v>
      </c>
      <c r="CA310" s="120">
        <v>7.0531377905831668E-3</v>
      </c>
      <c r="CB310" s="120">
        <v>7.630726983600975E-3</v>
      </c>
      <c r="CC310" s="120">
        <v>8.1123228372628562E-3</v>
      </c>
      <c r="CD310" s="120">
        <v>1.0491638913442503E-2</v>
      </c>
      <c r="CF310" s="120">
        <v>0.1985607593003714</v>
      </c>
      <c r="CG310" s="120">
        <v>0.18898218141610898</v>
      </c>
      <c r="CH310" s="120">
        <v>0.18477547456576029</v>
      </c>
      <c r="CI310" s="120">
        <v>0.18180832978697642</v>
      </c>
      <c r="CJ310" s="120">
        <v>0.18157287861145302</v>
      </c>
      <c r="CK310" s="120">
        <v>0.18129586684110668</v>
      </c>
      <c r="CL310" s="120">
        <v>0.17297546324251412</v>
      </c>
      <c r="CM310" s="120">
        <v>0.16201634356425287</v>
      </c>
      <c r="CN310" s="120">
        <v>0.15058904704196271</v>
      </c>
      <c r="CO310" s="120">
        <v>0.14496641619060546</v>
      </c>
      <c r="CP310" s="120">
        <v>0.14288046704200039</v>
      </c>
      <c r="CQ310" s="120">
        <v>0.1302025539818209</v>
      </c>
      <c r="CR310" s="120">
        <v>0.12818739543260441</v>
      </c>
    </row>
    <row r="311" spans="38:96" ht="12.75" x14ac:dyDescent="0.2">
      <c r="AN311" t="s">
        <v>108</v>
      </c>
      <c r="AO311" s="143">
        <v>20.2</v>
      </c>
      <c r="AP311" s="143">
        <v>19.2</v>
      </c>
      <c r="AQ311" s="143">
        <v>18.7</v>
      </c>
      <c r="AR311" s="143">
        <v>18.399999999999999</v>
      </c>
      <c r="AS311" s="129">
        <f t="shared" si="218"/>
        <v>18.149999999999999</v>
      </c>
      <c r="AT311" s="143">
        <v>17.899999999999999</v>
      </c>
      <c r="AU311" s="143">
        <v>17.399999999999999</v>
      </c>
      <c r="AV311" s="143">
        <v>16.600000000000001</v>
      </c>
      <c r="AW311" s="143">
        <v>15.9</v>
      </c>
      <c r="AX311" s="143">
        <v>15.5</v>
      </c>
      <c r="AY311" s="143">
        <v>14.8</v>
      </c>
      <c r="AZ311" s="143">
        <v>14.2</v>
      </c>
      <c r="BA311" s="143">
        <v>14.1</v>
      </c>
      <c r="BC311" s="111">
        <f t="shared" si="231"/>
        <v>-0.19999999999999929</v>
      </c>
      <c r="BD311" s="111">
        <f t="shared" si="219"/>
        <v>-0.19999999999999929</v>
      </c>
      <c r="BE311" s="111">
        <f t="shared" si="220"/>
        <v>-0.19999999999999929</v>
      </c>
      <c r="BF311" s="111">
        <f t="shared" si="221"/>
        <v>-0.20000000000000284</v>
      </c>
      <c r="BG311" s="111">
        <f t="shared" si="222"/>
        <v>-0.15000000000000213</v>
      </c>
      <c r="BH311" s="111">
        <f t="shared" si="223"/>
        <v>-0.10000000000000142</v>
      </c>
      <c r="BI311" s="111">
        <f t="shared" si="224"/>
        <v>-0.10000000000000142</v>
      </c>
      <c r="BJ311" s="111">
        <f t="shared" si="225"/>
        <v>-9.9999999999997868E-2</v>
      </c>
      <c r="BK311" s="111">
        <f t="shared" si="226"/>
        <v>-0.20000000000000107</v>
      </c>
      <c r="BL311" s="111">
        <f t="shared" si="227"/>
        <v>-9.9999999999999645E-2</v>
      </c>
      <c r="BM311" s="111">
        <f t="shared" si="228"/>
        <v>-9.9999999999999645E-2</v>
      </c>
      <c r="BN311" s="111">
        <f t="shared" si="229"/>
        <v>-0.10000000000000142</v>
      </c>
      <c r="BO311" s="111">
        <f t="shared" si="230"/>
        <v>0</v>
      </c>
      <c r="BR311" s="120">
        <v>6.0438906096056027E-3</v>
      </c>
      <c r="BS311" s="120">
        <v>6.2879651133881317E-3</v>
      </c>
      <c r="BT311" s="120">
        <v>6.2173468558077054E-3</v>
      </c>
      <c r="BU311" s="120">
        <v>6.3564341245452467E-3</v>
      </c>
      <c r="BV311" s="120">
        <v>6.322748276364927E-3</v>
      </c>
      <c r="BW311" s="120">
        <v>6.2835699887044474E-3</v>
      </c>
      <c r="BX311" s="120">
        <v>6.4264559323581145E-3</v>
      </c>
      <c r="BY311" s="120">
        <v>6.6463619254914586E-3</v>
      </c>
      <c r="BZ311" s="120">
        <v>6.7821411019665309E-3</v>
      </c>
      <c r="CA311" s="120">
        <v>7.0644743810209651E-3</v>
      </c>
      <c r="CB311" s="120">
        <v>6.9917921260946028E-3</v>
      </c>
      <c r="CC311" s="120">
        <v>7.9090406710464051E-3</v>
      </c>
      <c r="CD311" s="120">
        <v>9.7381985740676406E-3</v>
      </c>
      <c r="CF311" s="120">
        <v>0.18157810491336382</v>
      </c>
      <c r="CG311" s="120">
        <v>0.18066586829877751</v>
      </c>
      <c r="CH311" s="120">
        <v>0.17482909009487824</v>
      </c>
      <c r="CI311" s="120">
        <v>0.17519034355865806</v>
      </c>
      <c r="CJ311" s="120">
        <v>0.1708249556626745</v>
      </c>
      <c r="CK311" s="120">
        <v>0.16652880279243579</v>
      </c>
      <c r="CL311" s="120">
        <v>0.16422985886091235</v>
      </c>
      <c r="CM311" s="120">
        <v>0.15893314780837317</v>
      </c>
      <c r="CN311" s="120">
        <v>0.15272741160190234</v>
      </c>
      <c r="CO311" s="120">
        <v>0.15073508574078651</v>
      </c>
      <c r="CP311" s="120">
        <v>0.13546952970701487</v>
      </c>
      <c r="CQ311" s="120">
        <v>0.13112388485102988</v>
      </c>
      <c r="CR311" s="120">
        <v>0.12246172058220567</v>
      </c>
    </row>
    <row r="312" spans="38:96" ht="12.75" x14ac:dyDescent="0.2">
      <c r="AN312" t="s">
        <v>109</v>
      </c>
      <c r="AO312" s="143">
        <v>19.899999999999999</v>
      </c>
      <c r="AP312" s="143">
        <v>19</v>
      </c>
      <c r="AQ312" s="143">
        <v>18.600000000000001</v>
      </c>
      <c r="AR312" s="143">
        <v>18.2</v>
      </c>
      <c r="AS312" s="129">
        <f t="shared" si="218"/>
        <v>17.95</v>
      </c>
      <c r="AT312" s="143">
        <v>17.7</v>
      </c>
      <c r="AU312" s="143">
        <v>17.2</v>
      </c>
      <c r="AV312" s="143">
        <v>16.399999999999999</v>
      </c>
      <c r="AW312" s="143">
        <v>15.8</v>
      </c>
      <c r="AX312" s="143">
        <v>15.3</v>
      </c>
      <c r="AY312" s="143">
        <v>14.6</v>
      </c>
      <c r="AZ312" s="143">
        <v>13.9</v>
      </c>
      <c r="BA312" s="143">
        <v>13.3</v>
      </c>
      <c r="BC312" s="111">
        <f t="shared" si="231"/>
        <v>-0.20000000000000284</v>
      </c>
      <c r="BD312" s="111">
        <f t="shared" si="219"/>
        <v>-0.10000000000000142</v>
      </c>
      <c r="BE312" s="111">
        <f t="shared" si="220"/>
        <v>-0.19999999999999929</v>
      </c>
      <c r="BF312" s="111">
        <f t="shared" si="221"/>
        <v>-0.19999999999999929</v>
      </c>
      <c r="BG312" s="111">
        <f t="shared" si="222"/>
        <v>-0.19999999999999929</v>
      </c>
      <c r="BH312" s="111">
        <f t="shared" si="223"/>
        <v>-0.19999999999999929</v>
      </c>
      <c r="BI312" s="111">
        <f t="shared" si="224"/>
        <v>-0.19999999999999929</v>
      </c>
      <c r="BJ312" s="111">
        <f t="shared" si="225"/>
        <v>-0.20000000000000284</v>
      </c>
      <c r="BK312" s="111">
        <f t="shared" si="226"/>
        <v>-9.9999999999999645E-2</v>
      </c>
      <c r="BL312" s="111">
        <f t="shared" si="227"/>
        <v>-9.9999999999999645E-2</v>
      </c>
      <c r="BM312" s="111">
        <f t="shared" si="228"/>
        <v>-9.9999999999999645E-2</v>
      </c>
      <c r="BN312" s="111">
        <f t="shared" si="229"/>
        <v>-9.9999999999999645E-2</v>
      </c>
      <c r="BO312" s="111">
        <f t="shared" si="230"/>
        <v>-9.9999999999999645E-2</v>
      </c>
      <c r="BR312" s="120">
        <v>6.3666001553737894E-3</v>
      </c>
      <c r="BS312" s="120">
        <v>6.2903973076937503E-3</v>
      </c>
      <c r="BT312" s="120">
        <v>6.4993724570306883E-3</v>
      </c>
      <c r="BU312" s="120">
        <v>6.2119475859006706E-3</v>
      </c>
      <c r="BV312" s="120">
        <v>6.2993390381615279E-3</v>
      </c>
      <c r="BW312" s="120">
        <v>6.3831088117204653E-3</v>
      </c>
      <c r="BX312" s="120">
        <v>6.3500526404677432E-3</v>
      </c>
      <c r="BY312" s="120">
        <v>6.3825590315231932E-3</v>
      </c>
      <c r="BZ312" s="120">
        <v>6.744873720705479E-3</v>
      </c>
      <c r="CA312" s="120">
        <v>6.5756946290460843E-3</v>
      </c>
      <c r="CB312" s="120">
        <v>7.2675548256593159E-3</v>
      </c>
      <c r="CC312" s="120">
        <v>7.816838182522828E-3</v>
      </c>
      <c r="CD312" s="120">
        <v>9.0855050378674477E-3</v>
      </c>
      <c r="CF312" s="120">
        <v>0.19920299538789404</v>
      </c>
      <c r="CG312" s="120">
        <v>0.18792042834435926</v>
      </c>
      <c r="CH312" s="120">
        <v>0.19013057736637382</v>
      </c>
      <c r="CI312" s="120">
        <v>0.17758825234514819</v>
      </c>
      <c r="CJ312" s="120">
        <v>0.1764842317283144</v>
      </c>
      <c r="CK312" s="120">
        <v>0.17536493448583412</v>
      </c>
      <c r="CL312" s="120">
        <v>0.1680935445209927</v>
      </c>
      <c r="CM312" s="120">
        <v>0.15788726000903899</v>
      </c>
      <c r="CN312" s="120">
        <v>0.15725818634222513</v>
      </c>
      <c r="CO312" s="120">
        <v>0.14495275344531239</v>
      </c>
      <c r="CP312" s="120">
        <v>0.1453932120913517</v>
      </c>
      <c r="CQ312" s="120">
        <v>0.13364262467005841</v>
      </c>
      <c r="CR312" s="120">
        <v>0.11724471624378034</v>
      </c>
    </row>
    <row r="313" spans="38:96" ht="12.75" x14ac:dyDescent="0.2">
      <c r="AN313" t="s">
        <v>110</v>
      </c>
      <c r="AO313" s="143">
        <v>19.600000000000001</v>
      </c>
      <c r="AP313" s="143">
        <v>18.7</v>
      </c>
      <c r="AQ313" s="143">
        <v>18.399999999999999</v>
      </c>
      <c r="AR313" s="143">
        <v>18.100000000000001</v>
      </c>
      <c r="AS313" s="129">
        <f t="shared" si="218"/>
        <v>17.8</v>
      </c>
      <c r="AT313" s="143">
        <v>17.5</v>
      </c>
      <c r="AU313" s="143">
        <v>17.100000000000001</v>
      </c>
      <c r="AV313" s="143">
        <v>16.3</v>
      </c>
      <c r="AW313" s="143">
        <v>15.7</v>
      </c>
      <c r="AX313" s="143">
        <v>15.1</v>
      </c>
      <c r="AY313" s="143">
        <v>14.4</v>
      </c>
      <c r="AZ313" s="143">
        <v>13.6</v>
      </c>
      <c r="BA313" s="143">
        <v>12.9</v>
      </c>
      <c r="BC313" s="111">
        <f t="shared" si="231"/>
        <v>-0.19999999999999929</v>
      </c>
      <c r="BD313" s="111">
        <f t="shared" si="219"/>
        <v>-0.19999999999999929</v>
      </c>
      <c r="BE313" s="111">
        <f t="shared" si="220"/>
        <v>-0.20000000000000284</v>
      </c>
      <c r="BF313" s="111">
        <f t="shared" si="221"/>
        <v>-9.9999999999997868E-2</v>
      </c>
      <c r="BG313" s="111">
        <f t="shared" si="222"/>
        <v>-0.14999999999999858</v>
      </c>
      <c r="BH313" s="111">
        <f t="shared" si="223"/>
        <v>-0.19999999999999929</v>
      </c>
      <c r="BI313" s="111">
        <f t="shared" si="224"/>
        <v>-9.9999999999997868E-2</v>
      </c>
      <c r="BJ313" s="111">
        <f t="shared" si="225"/>
        <v>-9.9999999999997868E-2</v>
      </c>
      <c r="BK313" s="111">
        <f t="shared" si="226"/>
        <v>-0.10000000000000142</v>
      </c>
      <c r="BL313" s="111">
        <f t="shared" si="227"/>
        <v>-0.20000000000000107</v>
      </c>
      <c r="BM313" s="111">
        <f t="shared" si="228"/>
        <v>-0.19999999999999929</v>
      </c>
      <c r="BN313" s="111">
        <f t="shared" si="229"/>
        <v>-9.9999999999999645E-2</v>
      </c>
      <c r="BO313" s="111">
        <f t="shared" si="230"/>
        <v>-9.9999999999999645E-2</v>
      </c>
      <c r="BR313" s="120">
        <v>5.5343412768476289E-3</v>
      </c>
      <c r="BS313" s="120">
        <v>5.5481632727651395E-3</v>
      </c>
      <c r="BT313" s="120">
        <v>5.6217260231955449E-3</v>
      </c>
      <c r="BU313" s="120">
        <v>6.1034437819515704E-3</v>
      </c>
      <c r="BV313" s="120">
        <v>5.9586649171162985E-3</v>
      </c>
      <c r="BW313" s="120">
        <v>5.7995910138150114E-3</v>
      </c>
      <c r="BX313" s="120">
        <v>6.200601458793289E-3</v>
      </c>
      <c r="BY313" s="120">
        <v>6.3917438323521656E-3</v>
      </c>
      <c r="BZ313" s="120">
        <v>6.3616528734710296E-3</v>
      </c>
      <c r="CA313" s="120">
        <v>6.4029998058557488E-3</v>
      </c>
      <c r="CB313" s="120">
        <v>6.4391962538680458E-3</v>
      </c>
      <c r="CC313" s="120">
        <v>7.0463532318331438E-3</v>
      </c>
      <c r="CD313" s="120">
        <v>9.4440534525786421E-3</v>
      </c>
      <c r="CF313" s="120">
        <v>0.1751663310445811</v>
      </c>
      <c r="CG313" s="120">
        <v>0.16724156719660288</v>
      </c>
      <c r="CH313" s="120">
        <v>0.16609519810566509</v>
      </c>
      <c r="CI313" s="120">
        <v>0.17722747017358489</v>
      </c>
      <c r="CJ313" s="120">
        <v>0.16928203697045283</v>
      </c>
      <c r="CK313" s="120">
        <v>0.16131221406279464</v>
      </c>
      <c r="CL313" s="120">
        <v>0.16657372221614344</v>
      </c>
      <c r="CM313" s="120">
        <v>0.1603103250897531</v>
      </c>
      <c r="CN313" s="120">
        <v>0.14992368723885235</v>
      </c>
      <c r="CO313" s="120">
        <v>0.14246809036742025</v>
      </c>
      <c r="CP313" s="120">
        <v>0.13003598880194039</v>
      </c>
      <c r="CQ313" s="120">
        <v>0.12128848080745339</v>
      </c>
      <c r="CR313" s="120">
        <v>0.1231165116565946</v>
      </c>
    </row>
    <row r="315" spans="38:96" x14ac:dyDescent="0.2">
      <c r="AO315">
        <v>-0.5</v>
      </c>
      <c r="AP315">
        <v>-0.25</v>
      </c>
      <c r="AQ315">
        <v>-0.13</v>
      </c>
      <c r="AR315">
        <v>0</v>
      </c>
      <c r="AS315">
        <v>0.125</v>
      </c>
      <c r="AT315" s="126">
        <v>0.25</v>
      </c>
      <c r="AU315" s="126">
        <v>0.5</v>
      </c>
      <c r="AV315" s="126">
        <v>1</v>
      </c>
      <c r="AW315" s="126">
        <v>1.5</v>
      </c>
      <c r="AX315" s="126">
        <v>2</v>
      </c>
      <c r="AY315" s="126">
        <v>3</v>
      </c>
      <c r="AZ315" s="126">
        <v>5</v>
      </c>
      <c r="BA315" s="126">
        <v>10</v>
      </c>
      <c r="BR315" s="106" t="s">
        <v>295</v>
      </c>
    </row>
    <row r="316" spans="38:96" ht="12.75" x14ac:dyDescent="0.2">
      <c r="AL316" s="105" t="s">
        <v>299</v>
      </c>
      <c r="AN316" t="s">
        <v>25</v>
      </c>
      <c r="AO316" s="144">
        <v>9.6</v>
      </c>
      <c r="AP316" s="144">
        <v>7</v>
      </c>
      <c r="AQ316" s="144">
        <v>7.7</v>
      </c>
      <c r="AR316" s="144">
        <v>9.1</v>
      </c>
      <c r="AS316" s="129">
        <f t="shared" ref="AS316:AS330" si="232">(AR316+AT316)/2</f>
        <v>10.55</v>
      </c>
      <c r="AT316" s="144">
        <v>12</v>
      </c>
      <c r="AU316" s="144">
        <v>14.5</v>
      </c>
      <c r="AV316" s="144">
        <v>18.899999999999999</v>
      </c>
      <c r="AW316" s="144">
        <v>22.5</v>
      </c>
      <c r="AX316" s="144">
        <v>25.5</v>
      </c>
      <c r="AY316" s="144">
        <v>30.6</v>
      </c>
      <c r="AZ316" s="144">
        <v>38.1</v>
      </c>
      <c r="BA316" s="144">
        <v>49.7</v>
      </c>
      <c r="BC316" s="111">
        <f>AO316-AO299</f>
        <v>-9.9999999999999645E-2</v>
      </c>
      <c r="BD316" s="111">
        <f t="shared" ref="BD316:BD330" si="233">AP316-AP299</f>
        <v>0</v>
      </c>
      <c r="BE316" s="111">
        <f t="shared" ref="BE316:BE330" si="234">AQ316-AQ299</f>
        <v>0.10000000000000053</v>
      </c>
      <c r="BF316" s="111">
        <f t="shared" ref="BF316:BF330" si="235">AR316-AR299</f>
        <v>0</v>
      </c>
      <c r="BG316" s="111">
        <f t="shared" ref="BG316:BG330" si="236">AS316-AS299</f>
        <v>0.10000000000000142</v>
      </c>
      <c r="BH316" s="111">
        <f t="shared" ref="BH316:BH330" si="237">AT316-AT299</f>
        <v>0.19999999999999929</v>
      </c>
      <c r="BI316" s="111">
        <f t="shared" ref="BI316:BI330" si="238">AU316-AU299</f>
        <v>9.9999999999999645E-2</v>
      </c>
      <c r="BJ316" s="111">
        <f t="shared" ref="BJ316:BJ330" si="239">AV316-AV299</f>
        <v>9.9999999999997868E-2</v>
      </c>
      <c r="BK316" s="111">
        <f t="shared" ref="BK316:BK330" si="240">AW316-AW299</f>
        <v>0.10000000000000142</v>
      </c>
      <c r="BL316" s="111">
        <f t="shared" ref="BL316:BL330" si="241">AX316-AX299</f>
        <v>0.10000000000000142</v>
      </c>
      <c r="BM316" s="111">
        <f t="shared" ref="BM316:BM330" si="242">AY316-AY299</f>
        <v>0.10000000000000142</v>
      </c>
      <c r="BN316" s="111">
        <f t="shared" ref="BN316:BN330" si="243">AZ316-AZ299</f>
        <v>0.20000000000000284</v>
      </c>
      <c r="BO316" s="111">
        <f t="shared" ref="BO316:BO330" si="244">BA316-BA299</f>
        <v>0.20000000000000284</v>
      </c>
      <c r="BR316" s="120">
        <v>2.5091981990237183E-3</v>
      </c>
      <c r="BS316" s="120">
        <v>1.8741926525284755E-3</v>
      </c>
      <c r="BT316" s="120">
        <v>2.1573787415556864E-3</v>
      </c>
      <c r="BU316" s="120">
        <v>2.6057895960002833E-3</v>
      </c>
      <c r="BV316" s="120">
        <v>3.0828427294327387E-3</v>
      </c>
      <c r="BW316" s="120">
        <v>3.5811188219681519E-3</v>
      </c>
      <c r="BX316" s="120">
        <v>4.4949506433590953E-3</v>
      </c>
      <c r="BY316" s="120">
        <v>6.2832656892378826E-3</v>
      </c>
      <c r="BZ316" s="120">
        <v>7.9647993490390197E-3</v>
      </c>
      <c r="CA316" s="120">
        <v>9.556980862089311E-3</v>
      </c>
      <c r="CB316" s="120">
        <v>1.2603770760071806E-2</v>
      </c>
      <c r="CC316" s="120">
        <v>1.8540947091281117E-2</v>
      </c>
      <c r="CD316" s="120">
        <v>3.3038744038950879E-2</v>
      </c>
      <c r="CF316" s="120">
        <v>9.6000566873987642E-2</v>
      </c>
      <c r="CG316" s="120">
        <v>6.8423683134239674E-2</v>
      </c>
      <c r="CH316" s="120">
        <v>7.7001271501327975E-2</v>
      </c>
      <c r="CI316" s="120">
        <v>9.0997793848607469E-2</v>
      </c>
      <c r="CJ316" s="120">
        <v>0.10549904241064233</v>
      </c>
      <c r="CK316" s="120">
        <v>0.12002244279872185</v>
      </c>
      <c r="CL316" s="120">
        <v>0.14499323984937412</v>
      </c>
      <c r="CM316" s="120">
        <v>0.18898797369297585</v>
      </c>
      <c r="CN316" s="120">
        <v>0.22498090310150837</v>
      </c>
      <c r="CO316" s="120">
        <v>0.25406500897255396</v>
      </c>
      <c r="CP316" s="120">
        <v>0.30563377486791249</v>
      </c>
      <c r="CQ316" s="120">
        <v>0.38183015817547361</v>
      </c>
      <c r="CR316" s="120">
        <v>0.50618836360405706</v>
      </c>
    </row>
    <row r="317" spans="38:96" ht="12.75" x14ac:dyDescent="0.2">
      <c r="AN317" t="s">
        <v>157</v>
      </c>
      <c r="AO317" s="144">
        <v>11.4</v>
      </c>
      <c r="AP317" s="144">
        <v>9.1</v>
      </c>
      <c r="AQ317" s="144">
        <v>9.6</v>
      </c>
      <c r="AR317" s="144">
        <v>10.6</v>
      </c>
      <c r="AS317" s="129">
        <f t="shared" si="232"/>
        <v>11.7</v>
      </c>
      <c r="AT317" s="144">
        <v>12.8</v>
      </c>
      <c r="AU317" s="144">
        <v>14.9</v>
      </c>
      <c r="AV317" s="144">
        <v>18.399999999999999</v>
      </c>
      <c r="AW317" s="144">
        <v>21.4</v>
      </c>
      <c r="AX317" s="144">
        <v>23.9</v>
      </c>
      <c r="AY317" s="144">
        <v>28</v>
      </c>
      <c r="AZ317" s="144">
        <v>33.9</v>
      </c>
      <c r="BA317" s="144">
        <v>42.7</v>
      </c>
      <c r="BC317" s="111">
        <f t="shared" ref="BC317:BC330" si="245">AO317-AO300</f>
        <v>-9.9999999999999645E-2</v>
      </c>
      <c r="BD317" s="111">
        <f t="shared" si="233"/>
        <v>-0.20000000000000107</v>
      </c>
      <c r="BE317" s="111">
        <f t="shared" si="234"/>
        <v>9.9999999999999645E-2</v>
      </c>
      <c r="BF317" s="111">
        <f t="shared" si="235"/>
        <v>0</v>
      </c>
      <c r="BG317" s="111">
        <f t="shared" si="236"/>
        <v>5.0000000000000711E-2</v>
      </c>
      <c r="BH317" s="111">
        <f t="shared" si="237"/>
        <v>0.10000000000000142</v>
      </c>
      <c r="BI317" s="111">
        <f t="shared" si="238"/>
        <v>9.9999999999999645E-2</v>
      </c>
      <c r="BJ317" s="111">
        <f t="shared" si="239"/>
        <v>0</v>
      </c>
      <c r="BK317" s="111">
        <f t="shared" si="240"/>
        <v>9.9999999999997868E-2</v>
      </c>
      <c r="BL317" s="111">
        <f t="shared" si="241"/>
        <v>9.9999999999997868E-2</v>
      </c>
      <c r="BM317" s="111">
        <f t="shared" si="242"/>
        <v>0.10000000000000142</v>
      </c>
      <c r="BN317" s="111">
        <f t="shared" si="243"/>
        <v>0.10000000000000142</v>
      </c>
      <c r="BO317" s="111">
        <f t="shared" si="244"/>
        <v>0.20000000000000284</v>
      </c>
      <c r="BR317" s="120">
        <v>3.4059536352643144E-3</v>
      </c>
      <c r="BS317" s="120">
        <v>3.2121647818894108E-3</v>
      </c>
      <c r="BT317" s="120">
        <v>3.2264580956286541E-3</v>
      </c>
      <c r="BU317" s="120">
        <v>3.3876244956381877E-3</v>
      </c>
      <c r="BV317" s="120">
        <v>3.656777854843815E-3</v>
      </c>
      <c r="BW317" s="120">
        <v>3.9635315468816755E-3</v>
      </c>
      <c r="BX317" s="120">
        <v>4.6750498473964669E-3</v>
      </c>
      <c r="BY317" s="120">
        <v>6.0225354861328292E-3</v>
      </c>
      <c r="BZ317" s="120">
        <v>7.3913422638381496E-3</v>
      </c>
      <c r="CA317" s="120">
        <v>8.7004232754587831E-3</v>
      </c>
      <c r="CB317" s="120">
        <v>1.1227715129858229E-2</v>
      </c>
      <c r="CC317" s="120">
        <v>1.5897745894403716E-2</v>
      </c>
      <c r="CD317" s="120">
        <v>2.636099517171947E-2</v>
      </c>
      <c r="CF317" s="120">
        <v>0.13056682059131686</v>
      </c>
      <c r="CG317" s="120">
        <v>0.11737505913955261</v>
      </c>
      <c r="CH317" s="120">
        <v>0.11530356955240631</v>
      </c>
      <c r="CI317" s="120">
        <v>0.11850754207225304</v>
      </c>
      <c r="CJ317" s="120">
        <v>0.12526725135850567</v>
      </c>
      <c r="CK317" s="120">
        <v>0.13315162604020325</v>
      </c>
      <c r="CL317" s="120">
        <v>0.15120279530711109</v>
      </c>
      <c r="CM317" s="120">
        <v>0.18171453236290028</v>
      </c>
      <c r="CN317" s="120">
        <v>0.20952312118397146</v>
      </c>
      <c r="CO317" s="120">
        <v>0.233401096343826</v>
      </c>
      <c r="CP317" s="120">
        <v>0.27141948661863685</v>
      </c>
      <c r="CQ317" s="120">
        <v>0.32627374642977064</v>
      </c>
      <c r="CR317" s="120">
        <v>0.40563360469112958</v>
      </c>
    </row>
    <row r="318" spans="38:96" ht="12.75" x14ac:dyDescent="0.2">
      <c r="AN318" t="s">
        <v>99</v>
      </c>
      <c r="AO318" s="144">
        <v>14.4</v>
      </c>
      <c r="AP318" s="144">
        <v>12</v>
      </c>
      <c r="AQ318" s="144">
        <v>11.5</v>
      </c>
      <c r="AR318" s="144">
        <v>11.6</v>
      </c>
      <c r="AS318" s="129">
        <f t="shared" si="232"/>
        <v>12.149999999999999</v>
      </c>
      <c r="AT318" s="144">
        <v>12.7</v>
      </c>
      <c r="AU318" s="144">
        <v>14</v>
      </c>
      <c r="AV318" s="144">
        <v>16.2</v>
      </c>
      <c r="AW318" s="144">
        <v>18.100000000000001</v>
      </c>
      <c r="AX318" s="144">
        <v>19.8</v>
      </c>
      <c r="AY318" s="144">
        <v>22.6</v>
      </c>
      <c r="AZ318" s="144">
        <v>26.6</v>
      </c>
      <c r="BA318" s="144">
        <v>32.4</v>
      </c>
      <c r="BC318" s="111">
        <f t="shared" si="245"/>
        <v>-9.9999999999999645E-2</v>
      </c>
      <c r="BD318" s="111">
        <f t="shared" si="233"/>
        <v>-9.9999999999999645E-2</v>
      </c>
      <c r="BE318" s="111">
        <f t="shared" si="234"/>
        <v>0</v>
      </c>
      <c r="BF318" s="111">
        <f t="shared" si="235"/>
        <v>9.9999999999999645E-2</v>
      </c>
      <c r="BG318" s="111">
        <f t="shared" si="236"/>
        <v>9.9999999999997868E-2</v>
      </c>
      <c r="BH318" s="111">
        <f t="shared" si="237"/>
        <v>9.9999999999999645E-2</v>
      </c>
      <c r="BI318" s="111">
        <f t="shared" si="238"/>
        <v>0.30000000000000071</v>
      </c>
      <c r="BJ318" s="111">
        <f t="shared" si="239"/>
        <v>0.29999999999999893</v>
      </c>
      <c r="BK318" s="111">
        <f t="shared" si="240"/>
        <v>0.30000000000000071</v>
      </c>
      <c r="BL318" s="111">
        <f t="shared" si="241"/>
        <v>0.30000000000000071</v>
      </c>
      <c r="BM318" s="111">
        <f t="shared" si="242"/>
        <v>0.30000000000000071</v>
      </c>
      <c r="BN318" s="111">
        <f t="shared" si="243"/>
        <v>0.30000000000000071</v>
      </c>
      <c r="BO318" s="111">
        <f t="shared" si="244"/>
        <v>0.19999999999999574</v>
      </c>
      <c r="BR318" s="120">
        <v>3.8917853340604443E-3</v>
      </c>
      <c r="BS318" s="120">
        <v>3.3963871121218143E-3</v>
      </c>
      <c r="BT318" s="120">
        <v>3.32761649705749E-3</v>
      </c>
      <c r="BU318" s="120">
        <v>3.4301080541697714E-3</v>
      </c>
      <c r="BV318" s="120">
        <v>3.6691970604060516E-3</v>
      </c>
      <c r="BW318" s="120">
        <v>3.9141973119544565E-3</v>
      </c>
      <c r="BX318" s="120">
        <v>4.4845165786571621E-3</v>
      </c>
      <c r="BY318" s="120">
        <v>5.5654403007139586E-3</v>
      </c>
      <c r="BZ318" s="120">
        <v>6.6188748341913777E-3</v>
      </c>
      <c r="CA318" s="120">
        <v>7.6616283903365905E-3</v>
      </c>
      <c r="CB318" s="120">
        <v>9.6614895604281367E-3</v>
      </c>
      <c r="CC318" s="120">
        <v>1.3375783955201221E-2</v>
      </c>
      <c r="CD318" s="120">
        <v>2.1739109989002043E-2</v>
      </c>
      <c r="CF318" s="120">
        <v>0.14404835794773765</v>
      </c>
      <c r="CG318" s="120">
        <v>0.12000955315919691</v>
      </c>
      <c r="CH318" s="120">
        <v>0.11499701829561114</v>
      </c>
      <c r="CI318" s="120">
        <v>0.11599069456767511</v>
      </c>
      <c r="CJ318" s="120">
        <v>0.12148586314135258</v>
      </c>
      <c r="CK318" s="120">
        <v>0.12697675367888406</v>
      </c>
      <c r="CL318" s="120">
        <v>0.13995856486747424</v>
      </c>
      <c r="CM318" s="120">
        <v>0.16192706491549597</v>
      </c>
      <c r="CN318" s="120">
        <v>0.18089453620155518</v>
      </c>
      <c r="CO318" s="120">
        <v>0.19786918098417497</v>
      </c>
      <c r="CP318" s="120">
        <v>0.22585008553014452</v>
      </c>
      <c r="CQ318" s="120">
        <v>0.26578253522424389</v>
      </c>
      <c r="CR318" s="120">
        <v>0.32366308391566745</v>
      </c>
    </row>
    <row r="319" spans="38:96" ht="12.75" x14ac:dyDescent="0.2">
      <c r="AN319" t="s">
        <v>101</v>
      </c>
      <c r="AO319" s="144">
        <v>16.399999999999999</v>
      </c>
      <c r="AP319" s="144">
        <v>14.3</v>
      </c>
      <c r="AQ319" s="144">
        <v>13.7</v>
      </c>
      <c r="AR319" s="144">
        <v>13.8</v>
      </c>
      <c r="AS319" s="129">
        <f t="shared" si="232"/>
        <v>14.15</v>
      </c>
      <c r="AT319" s="144">
        <v>14.5</v>
      </c>
      <c r="AU319" s="144">
        <v>15.3</v>
      </c>
      <c r="AV319" s="144">
        <v>16.600000000000001</v>
      </c>
      <c r="AW319" s="144">
        <v>17.899999999999999</v>
      </c>
      <c r="AX319" s="144">
        <v>19</v>
      </c>
      <c r="AY319" s="144">
        <v>20.9</v>
      </c>
      <c r="AZ319" s="144">
        <v>23.7</v>
      </c>
      <c r="BA319" s="144">
        <v>27.9</v>
      </c>
      <c r="BC319" s="111">
        <f t="shared" si="245"/>
        <v>9.9999999999997868E-2</v>
      </c>
      <c r="BD319" s="111">
        <f t="shared" si="233"/>
        <v>0.10000000000000142</v>
      </c>
      <c r="BE319" s="111">
        <f t="shared" si="234"/>
        <v>9.9999999999999645E-2</v>
      </c>
      <c r="BF319" s="111">
        <f t="shared" si="235"/>
        <v>0.20000000000000107</v>
      </c>
      <c r="BG319" s="111">
        <f t="shared" si="236"/>
        <v>0.25000000000000178</v>
      </c>
      <c r="BH319" s="111">
        <f t="shared" si="237"/>
        <v>0.30000000000000071</v>
      </c>
      <c r="BI319" s="111">
        <f t="shared" si="238"/>
        <v>0.40000000000000036</v>
      </c>
      <c r="BJ319" s="111">
        <f t="shared" si="239"/>
        <v>0.40000000000000213</v>
      </c>
      <c r="BK319" s="111">
        <f t="shared" si="240"/>
        <v>0.5</v>
      </c>
      <c r="BL319" s="111">
        <f t="shared" si="241"/>
        <v>0.5</v>
      </c>
      <c r="BM319" s="111">
        <f t="shared" si="242"/>
        <v>0.5</v>
      </c>
      <c r="BN319" s="111">
        <f t="shared" si="243"/>
        <v>0.5</v>
      </c>
      <c r="BO319" s="111">
        <f t="shared" si="244"/>
        <v>0.39999999999999858</v>
      </c>
      <c r="BR319" s="120">
        <v>5.834178937181498E-3</v>
      </c>
      <c r="BS319" s="120">
        <v>5.8794436979949559E-3</v>
      </c>
      <c r="BT319" s="120">
        <v>5.7667486874051063E-3</v>
      </c>
      <c r="BU319" s="120">
        <v>5.8336588527032841E-3</v>
      </c>
      <c r="BV319" s="120">
        <v>5.7931502851159321E-3</v>
      </c>
      <c r="BW319" s="120">
        <v>5.7646377367991854E-3</v>
      </c>
      <c r="BX319" s="120">
        <v>5.7855823260856672E-3</v>
      </c>
      <c r="BY319" s="120">
        <v>6.0867618369758051E-3</v>
      </c>
      <c r="BZ319" s="120">
        <v>6.7002351034982852E-3</v>
      </c>
      <c r="CA319" s="120">
        <v>7.313091718277368E-3</v>
      </c>
      <c r="CB319" s="120">
        <v>8.6278637093358534E-3</v>
      </c>
      <c r="CC319" s="120">
        <v>1.1211194171373463E-2</v>
      </c>
      <c r="CD319" s="120">
        <v>1.7153086449278432E-2</v>
      </c>
      <c r="CF319" s="120">
        <v>0.20796559909847878</v>
      </c>
      <c r="CG319" s="120">
        <v>0.20010156468625789</v>
      </c>
      <c r="CH319" s="120">
        <v>0.19192849616708327</v>
      </c>
      <c r="CI319" s="120">
        <v>0.19008099942881027</v>
      </c>
      <c r="CJ319" s="120">
        <v>0.18485939777286017</v>
      </c>
      <c r="CK319" s="120">
        <v>0.18028751652123992</v>
      </c>
      <c r="CL319" s="120">
        <v>0.17415987403459321</v>
      </c>
      <c r="CM319" s="120">
        <v>0.17095945908927837</v>
      </c>
      <c r="CN319" s="120">
        <v>0.17695175186159987</v>
      </c>
      <c r="CO319" s="120">
        <v>0.18256879067917908</v>
      </c>
      <c r="CP319" s="120">
        <v>0.19498858506696184</v>
      </c>
      <c r="CQ319" s="120">
        <v>0.21537431863519285</v>
      </c>
      <c r="CR319" s="120">
        <v>0.24705277437903764</v>
      </c>
    </row>
    <row r="320" spans="38:96" ht="12.75" x14ac:dyDescent="0.2">
      <c r="AN320" t="s">
        <v>102</v>
      </c>
      <c r="AO320" s="144">
        <v>18.100000000000001</v>
      </c>
      <c r="AP320" s="144">
        <v>16.2</v>
      </c>
      <c r="AQ320" s="144">
        <v>15.6</v>
      </c>
      <c r="AR320" s="144">
        <v>15.6</v>
      </c>
      <c r="AS320" s="129">
        <f t="shared" si="232"/>
        <v>15.8</v>
      </c>
      <c r="AT320" s="144">
        <v>16</v>
      </c>
      <c r="AU320" s="144">
        <v>16.399999999999999</v>
      </c>
      <c r="AV320" s="144">
        <v>17.3</v>
      </c>
      <c r="AW320" s="144">
        <v>18.100000000000001</v>
      </c>
      <c r="AX320" s="144">
        <v>18.899999999999999</v>
      </c>
      <c r="AY320" s="144">
        <v>20.5</v>
      </c>
      <c r="AZ320" s="144">
        <v>22.9</v>
      </c>
      <c r="BA320" s="144">
        <v>26.6</v>
      </c>
      <c r="BC320" s="111">
        <f t="shared" si="245"/>
        <v>-0.29999999999999716</v>
      </c>
      <c r="BD320" s="111">
        <f t="shared" si="233"/>
        <v>0</v>
      </c>
      <c r="BE320" s="111">
        <f t="shared" si="234"/>
        <v>0.19999999999999929</v>
      </c>
      <c r="BF320" s="111">
        <f t="shared" si="235"/>
        <v>0.29999999999999893</v>
      </c>
      <c r="BG320" s="111">
        <f t="shared" si="236"/>
        <v>0.35000000000000142</v>
      </c>
      <c r="BH320" s="111">
        <f t="shared" si="237"/>
        <v>0.40000000000000036</v>
      </c>
      <c r="BI320" s="111">
        <f t="shared" si="238"/>
        <v>0.39999999999999858</v>
      </c>
      <c r="BJ320" s="111">
        <f t="shared" si="239"/>
        <v>0.5</v>
      </c>
      <c r="BK320" s="111">
        <f t="shared" si="240"/>
        <v>0.60000000000000142</v>
      </c>
      <c r="BL320" s="111">
        <f t="shared" si="241"/>
        <v>0.59999999999999787</v>
      </c>
      <c r="BM320" s="111">
        <f t="shared" si="242"/>
        <v>0.60000000000000142</v>
      </c>
      <c r="BN320" s="111">
        <f t="shared" si="243"/>
        <v>0.59999999999999787</v>
      </c>
      <c r="BO320" s="111">
        <f t="shared" si="244"/>
        <v>0.60000000000000142</v>
      </c>
      <c r="BR320" s="120">
        <v>6.4396720436911623E-3</v>
      </c>
      <c r="BS320" s="120">
        <v>6.3703889043830375E-3</v>
      </c>
      <c r="BT320" s="120">
        <v>6.3418890691296281E-3</v>
      </c>
      <c r="BU320" s="120">
        <v>6.3259614944001031E-3</v>
      </c>
      <c r="BV320" s="120">
        <v>6.3444979913812203E-3</v>
      </c>
      <c r="BW320" s="120">
        <v>6.3576543974125958E-3</v>
      </c>
      <c r="BX320" s="120">
        <v>6.3401981057279542E-3</v>
      </c>
      <c r="BY320" s="120">
        <v>6.7915973602038701E-3</v>
      </c>
      <c r="BZ320" s="120">
        <v>7.2201781853447455E-3</v>
      </c>
      <c r="CA320" s="120">
        <v>7.8399627646707493E-3</v>
      </c>
      <c r="CB320" s="120">
        <v>9.3058646155478649E-3</v>
      </c>
      <c r="CC320" s="120">
        <v>1.2135607202740602E-2</v>
      </c>
      <c r="CD320" s="120">
        <v>1.8721322054753846E-2</v>
      </c>
      <c r="CF320" s="120">
        <v>0.22145860882823312</v>
      </c>
      <c r="CG320" s="120">
        <v>0.20903788917575933</v>
      </c>
      <c r="CH320" s="120">
        <v>0.20361873333093863</v>
      </c>
      <c r="CI320" s="120">
        <v>0.19884315419621926</v>
      </c>
      <c r="CJ320" s="120">
        <v>0.19545085869132825</v>
      </c>
      <c r="CK320" s="120">
        <v>0.19207121208936373</v>
      </c>
      <c r="CL320" s="120">
        <v>0.18451338541346618</v>
      </c>
      <c r="CM320" s="120">
        <v>0.18477599351655677</v>
      </c>
      <c r="CN320" s="120">
        <v>0.18480474327446839</v>
      </c>
      <c r="CO320" s="120">
        <v>0.18994328482957523</v>
      </c>
      <c r="CP320" s="120">
        <v>0.20470128237380608</v>
      </c>
      <c r="CQ320" s="120">
        <v>0.22796450311834321</v>
      </c>
      <c r="CR320" s="120">
        <v>0.2652582925397774</v>
      </c>
    </row>
    <row r="321" spans="38:96" ht="12.75" x14ac:dyDescent="0.2">
      <c r="AN321" t="s">
        <v>103</v>
      </c>
      <c r="AO321" s="144">
        <v>19.5</v>
      </c>
      <c r="AP321" s="144">
        <v>17.600000000000001</v>
      </c>
      <c r="AQ321" s="144">
        <v>17</v>
      </c>
      <c r="AR321" s="144">
        <v>16.8</v>
      </c>
      <c r="AS321" s="129">
        <f t="shared" si="232"/>
        <v>16.899999999999999</v>
      </c>
      <c r="AT321" s="144">
        <v>17</v>
      </c>
      <c r="AU321" s="144">
        <v>17.2</v>
      </c>
      <c r="AV321" s="144">
        <v>17.600000000000001</v>
      </c>
      <c r="AW321" s="144">
        <v>18.100000000000001</v>
      </c>
      <c r="AX321" s="144">
        <v>18.600000000000001</v>
      </c>
      <c r="AY321" s="144">
        <v>19.8</v>
      </c>
      <c r="AZ321" s="144">
        <v>21.9</v>
      </c>
      <c r="BA321" s="144">
        <v>25.2</v>
      </c>
      <c r="BC321" s="111">
        <f t="shared" si="245"/>
        <v>0.19999999999999929</v>
      </c>
      <c r="BD321" s="111">
        <f t="shared" si="233"/>
        <v>0.20000000000000284</v>
      </c>
      <c r="BE321" s="111">
        <f t="shared" si="234"/>
        <v>0.19999999999999929</v>
      </c>
      <c r="BF321" s="111">
        <f t="shared" si="235"/>
        <v>0.19999999999999929</v>
      </c>
      <c r="BG321" s="111">
        <f t="shared" si="236"/>
        <v>0.29999999999999716</v>
      </c>
      <c r="BH321" s="111">
        <f t="shared" si="237"/>
        <v>0.39999999999999858</v>
      </c>
      <c r="BI321" s="111">
        <f t="shared" si="238"/>
        <v>0.39999999999999858</v>
      </c>
      <c r="BJ321" s="111">
        <f t="shared" si="239"/>
        <v>0.5</v>
      </c>
      <c r="BK321" s="111">
        <f t="shared" si="240"/>
        <v>0.60000000000000142</v>
      </c>
      <c r="BL321" s="111">
        <f t="shared" si="241"/>
        <v>0.60000000000000142</v>
      </c>
      <c r="BM321" s="111">
        <f t="shared" si="242"/>
        <v>0.60000000000000142</v>
      </c>
      <c r="BN321" s="111">
        <f t="shared" si="243"/>
        <v>0.59999999999999787</v>
      </c>
      <c r="BO321" s="111">
        <f t="shared" si="244"/>
        <v>0.5</v>
      </c>
      <c r="BR321" s="120">
        <v>7.286835992085754E-3</v>
      </c>
      <c r="BS321" s="120">
        <v>7.0658646058728014E-3</v>
      </c>
      <c r="BT321" s="120">
        <v>7.0151669277715252E-3</v>
      </c>
      <c r="BU321" s="120">
        <v>6.8160618811265554E-3</v>
      </c>
      <c r="BV321" s="120">
        <v>6.8287690085279285E-3</v>
      </c>
      <c r="BW321" s="120">
        <v>6.8370129232258976E-3</v>
      </c>
      <c r="BX321" s="120">
        <v>6.8902330418387555E-3</v>
      </c>
      <c r="BY321" s="120">
        <v>6.9029951007071166E-3</v>
      </c>
      <c r="BZ321" s="120">
        <v>7.3126367268652199E-3</v>
      </c>
      <c r="CA321" s="120">
        <v>7.7328121617619263E-3</v>
      </c>
      <c r="CB321" s="120">
        <v>8.8499031377847655E-3</v>
      </c>
      <c r="CC321" s="120">
        <v>1.1442279610213423E-2</v>
      </c>
      <c r="CD321" s="120">
        <v>1.7476360269643023E-2</v>
      </c>
      <c r="CF321" s="120">
        <v>0.24083722384560727</v>
      </c>
      <c r="CG321" s="120">
        <v>0.22281675242162413</v>
      </c>
      <c r="CH321" s="120">
        <v>0.21641337181597659</v>
      </c>
      <c r="CI321" s="120">
        <v>0.20575839647220093</v>
      </c>
      <c r="CJ321" s="120">
        <v>0.20202038855331925</v>
      </c>
      <c r="CK321" s="120">
        <v>0.19835948601507555</v>
      </c>
      <c r="CL321" s="120">
        <v>0.19265515892263038</v>
      </c>
      <c r="CM321" s="120">
        <v>0.18021086989713317</v>
      </c>
      <c r="CN321" s="120">
        <v>0.17975082860657662</v>
      </c>
      <c r="CO321" s="120">
        <v>0.17988540279216467</v>
      </c>
      <c r="CP321" s="120">
        <v>0.1868357332048497</v>
      </c>
      <c r="CQ321" s="120">
        <v>0.20640387355313655</v>
      </c>
      <c r="CR321" s="120">
        <v>0.23826060437291932</v>
      </c>
    </row>
    <row r="322" spans="38:96" ht="12.75" x14ac:dyDescent="0.2">
      <c r="AN322" t="s">
        <v>104</v>
      </c>
      <c r="AO322" s="144">
        <v>20.399999999999999</v>
      </c>
      <c r="AP322" s="144">
        <v>18.5</v>
      </c>
      <c r="AQ322" s="144">
        <v>18</v>
      </c>
      <c r="AR322" s="144">
        <v>17.7</v>
      </c>
      <c r="AS322" s="129">
        <f t="shared" si="232"/>
        <v>17.7</v>
      </c>
      <c r="AT322" s="144">
        <v>17.7</v>
      </c>
      <c r="AU322" s="144">
        <v>17.7</v>
      </c>
      <c r="AV322" s="144">
        <v>17.8</v>
      </c>
      <c r="AW322" s="144">
        <v>17.899999999999999</v>
      </c>
      <c r="AX322" s="144">
        <v>18.2</v>
      </c>
      <c r="AY322" s="144">
        <v>19.100000000000001</v>
      </c>
      <c r="AZ322" s="144">
        <v>20.8</v>
      </c>
      <c r="BA322" s="144">
        <v>23.7</v>
      </c>
      <c r="BC322" s="111">
        <f t="shared" si="245"/>
        <v>0.19999999999999929</v>
      </c>
      <c r="BD322" s="111">
        <f t="shared" si="233"/>
        <v>0.10000000000000142</v>
      </c>
      <c r="BE322" s="111">
        <f t="shared" si="234"/>
        <v>0.19999999999999929</v>
      </c>
      <c r="BF322" s="111">
        <f t="shared" si="235"/>
        <v>0.19999999999999929</v>
      </c>
      <c r="BG322" s="111">
        <f t="shared" si="236"/>
        <v>0.25</v>
      </c>
      <c r="BH322" s="111">
        <f t="shared" si="237"/>
        <v>0.30000000000000071</v>
      </c>
      <c r="BI322" s="111">
        <f t="shared" si="238"/>
        <v>0.39999999999999858</v>
      </c>
      <c r="BJ322" s="111">
        <f t="shared" si="239"/>
        <v>0.5</v>
      </c>
      <c r="BK322" s="111">
        <f t="shared" si="240"/>
        <v>0.5</v>
      </c>
      <c r="BL322" s="111">
        <f t="shared" si="241"/>
        <v>0.5</v>
      </c>
      <c r="BM322" s="111">
        <f t="shared" si="242"/>
        <v>0.60000000000000142</v>
      </c>
      <c r="BN322" s="111">
        <f t="shared" si="243"/>
        <v>0.60000000000000142</v>
      </c>
      <c r="BO322" s="111">
        <f t="shared" si="244"/>
        <v>0.5</v>
      </c>
      <c r="BR322" s="120">
        <v>7.4276554010204738E-3</v>
      </c>
      <c r="BS322" s="120">
        <v>7.2064508979266129E-3</v>
      </c>
      <c r="BT322" s="120">
        <v>7.3638453248860477E-3</v>
      </c>
      <c r="BU322" s="120">
        <v>7.2951036356017135E-3</v>
      </c>
      <c r="BV322" s="120">
        <v>7.2583984596963523E-3</v>
      </c>
      <c r="BW322" s="120">
        <v>7.2150290516871073E-3</v>
      </c>
      <c r="BX322" s="120">
        <v>7.126531016533059E-3</v>
      </c>
      <c r="BY322" s="120">
        <v>7.2797352070999429E-3</v>
      </c>
      <c r="BZ322" s="120">
        <v>7.300726005445071E-3</v>
      </c>
      <c r="CA322" s="120">
        <v>7.7162883314520975E-3</v>
      </c>
      <c r="CB322" s="120">
        <v>8.7821381304950385E-3</v>
      </c>
      <c r="CC322" s="120">
        <v>1.1017379127399737E-2</v>
      </c>
      <c r="CD322" s="120">
        <v>1.6626219967243189E-2</v>
      </c>
      <c r="CF322" s="120">
        <v>0.23626118385226416</v>
      </c>
      <c r="CG322" s="120">
        <v>0.21883239852439246</v>
      </c>
      <c r="CH322" s="120">
        <v>0.21905671163482041</v>
      </c>
      <c r="CI322" s="120">
        <v>0.21256173998052028</v>
      </c>
      <c r="CJ322" s="120">
        <v>0.20727366074525627</v>
      </c>
      <c r="CK322" s="120">
        <v>0.20205406061340778</v>
      </c>
      <c r="CL322" s="120">
        <v>0.19227903445586675</v>
      </c>
      <c r="CM322" s="120">
        <v>0.18377371074492757</v>
      </c>
      <c r="CN322" s="120">
        <v>0.17341614790465193</v>
      </c>
      <c r="CO322" s="120">
        <v>0.17365358679999393</v>
      </c>
      <c r="CP322" s="120">
        <v>0.17970316419534663</v>
      </c>
      <c r="CQ322" s="120">
        <v>0.19293797503518947</v>
      </c>
      <c r="CR322" s="120">
        <v>0.22070676298928066</v>
      </c>
    </row>
    <row r="323" spans="38:96" ht="12.75" x14ac:dyDescent="0.2">
      <c r="AN323" t="s">
        <v>105</v>
      </c>
      <c r="AO323" s="144">
        <v>21</v>
      </c>
      <c r="AP323" s="144">
        <v>19.2</v>
      </c>
      <c r="AQ323" s="144">
        <v>18.7</v>
      </c>
      <c r="AR323" s="144">
        <v>18.399999999999999</v>
      </c>
      <c r="AS323" s="129">
        <f t="shared" si="232"/>
        <v>18.299999999999997</v>
      </c>
      <c r="AT323" s="144">
        <v>18.2</v>
      </c>
      <c r="AU323" s="144">
        <v>18</v>
      </c>
      <c r="AV323" s="144">
        <v>17.8</v>
      </c>
      <c r="AW323" s="144">
        <v>17.8</v>
      </c>
      <c r="AX323" s="144">
        <v>17.899999999999999</v>
      </c>
      <c r="AY323" s="144">
        <v>18.399999999999999</v>
      </c>
      <c r="AZ323" s="144">
        <v>19.8</v>
      </c>
      <c r="BA323" s="144">
        <v>22.3</v>
      </c>
      <c r="BC323" s="111">
        <f t="shared" si="245"/>
        <v>0.19999999999999929</v>
      </c>
      <c r="BD323" s="111">
        <f t="shared" si="233"/>
        <v>0.19999999999999929</v>
      </c>
      <c r="BE323" s="111">
        <f t="shared" si="234"/>
        <v>0.30000000000000071</v>
      </c>
      <c r="BF323" s="111">
        <f t="shared" si="235"/>
        <v>0.29999999999999716</v>
      </c>
      <c r="BG323" s="111">
        <f t="shared" si="236"/>
        <v>0.34999999999999432</v>
      </c>
      <c r="BH323" s="111">
        <f t="shared" si="237"/>
        <v>0.39999999999999858</v>
      </c>
      <c r="BI323" s="111">
        <f t="shared" si="238"/>
        <v>0.30000000000000071</v>
      </c>
      <c r="BJ323" s="111">
        <f t="shared" si="239"/>
        <v>0.40000000000000213</v>
      </c>
      <c r="BK323" s="111">
        <f t="shared" si="240"/>
        <v>0.5</v>
      </c>
      <c r="BL323" s="111">
        <f t="shared" si="241"/>
        <v>0.5</v>
      </c>
      <c r="BM323" s="111">
        <f t="shared" si="242"/>
        <v>0.59999999999999787</v>
      </c>
      <c r="BN323" s="111">
        <f t="shared" si="243"/>
        <v>0.60000000000000142</v>
      </c>
      <c r="BO323" s="111">
        <f t="shared" si="244"/>
        <v>0.5</v>
      </c>
      <c r="BR323" s="120">
        <v>7.6699128398736004E-3</v>
      </c>
      <c r="BS323" s="120">
        <v>7.6518652663377998E-3</v>
      </c>
      <c r="BT323" s="120">
        <v>7.5845242073703254E-3</v>
      </c>
      <c r="BU323" s="120">
        <v>7.6485213097579755E-3</v>
      </c>
      <c r="BV323" s="120">
        <v>7.568396292634119E-3</v>
      </c>
      <c r="BW323" s="120">
        <v>7.4792774831710512E-3</v>
      </c>
      <c r="BX323" s="120">
        <v>7.3006288222130693E-3</v>
      </c>
      <c r="BY323" s="120">
        <v>7.1908302747569139E-3</v>
      </c>
      <c r="BZ323" s="120">
        <v>7.6235542016935519E-3</v>
      </c>
      <c r="CA323" s="120">
        <v>7.8564764311615312E-3</v>
      </c>
      <c r="CB323" s="120">
        <v>8.4836790056412315E-3</v>
      </c>
      <c r="CC323" s="120">
        <v>1.0615124505619017E-2</v>
      </c>
      <c r="CD323" s="120">
        <v>1.5726005249918865E-2</v>
      </c>
      <c r="CF323" s="120">
        <v>0.236780593883893</v>
      </c>
      <c r="CG323" s="120">
        <v>0.22577768958708982</v>
      </c>
      <c r="CH323" s="120">
        <v>0.21892031530689979</v>
      </c>
      <c r="CI323" s="120">
        <v>0.21633716682133167</v>
      </c>
      <c r="CJ323" s="120">
        <v>0.20979206184232302</v>
      </c>
      <c r="CK323" s="120">
        <v>0.20331068397403323</v>
      </c>
      <c r="CL323" s="120">
        <v>0.19121863173108533</v>
      </c>
      <c r="CM323" s="120">
        <v>0.17605073438600297</v>
      </c>
      <c r="CN323" s="120">
        <v>0.17606561212815036</v>
      </c>
      <c r="CO323" s="120">
        <v>0.17185222269662548</v>
      </c>
      <c r="CP323" s="120">
        <v>0.16862009628585126</v>
      </c>
      <c r="CQ323" s="120">
        <v>0.18084373611128285</v>
      </c>
      <c r="CR323" s="120">
        <v>0.20343802421722051</v>
      </c>
    </row>
    <row r="324" spans="38:96" ht="12.75" x14ac:dyDescent="0.2">
      <c r="AN324" t="s">
        <v>106</v>
      </c>
      <c r="AO324" s="144">
        <v>21.3</v>
      </c>
      <c r="AP324" s="144">
        <v>19.600000000000001</v>
      </c>
      <c r="AQ324" s="144">
        <v>19.100000000000001</v>
      </c>
      <c r="AR324" s="144">
        <v>18.8</v>
      </c>
      <c r="AS324" s="129">
        <f t="shared" si="232"/>
        <v>18.649999999999999</v>
      </c>
      <c r="AT324" s="144">
        <v>18.5</v>
      </c>
      <c r="AU324" s="144">
        <v>18.2</v>
      </c>
      <c r="AV324" s="144">
        <v>17.8</v>
      </c>
      <c r="AW324" s="144">
        <v>17.600000000000001</v>
      </c>
      <c r="AX324" s="144">
        <v>17.600000000000001</v>
      </c>
      <c r="AY324" s="144">
        <v>17.899999999999999</v>
      </c>
      <c r="AZ324" s="144">
        <v>18.899999999999999</v>
      </c>
      <c r="BA324" s="144">
        <v>21.2</v>
      </c>
      <c r="BC324" s="111">
        <f t="shared" si="245"/>
        <v>0.10000000000000142</v>
      </c>
      <c r="BD324" s="111">
        <f t="shared" si="233"/>
        <v>0.20000000000000284</v>
      </c>
      <c r="BE324" s="111">
        <f t="shared" si="234"/>
        <v>0.20000000000000284</v>
      </c>
      <c r="BF324" s="111">
        <f t="shared" si="235"/>
        <v>0.30000000000000071</v>
      </c>
      <c r="BG324" s="111">
        <f t="shared" si="236"/>
        <v>0.34999999999999787</v>
      </c>
      <c r="BH324" s="111">
        <f t="shared" si="237"/>
        <v>0.39999999999999858</v>
      </c>
      <c r="BI324" s="111">
        <f t="shared" si="238"/>
        <v>0.30000000000000071</v>
      </c>
      <c r="BJ324" s="111">
        <f t="shared" si="239"/>
        <v>0.40000000000000213</v>
      </c>
      <c r="BK324" s="111">
        <f t="shared" si="240"/>
        <v>0.40000000000000213</v>
      </c>
      <c r="BL324" s="111">
        <f t="shared" si="241"/>
        <v>0.5</v>
      </c>
      <c r="BM324" s="111">
        <f t="shared" si="242"/>
        <v>0.59999999999999787</v>
      </c>
      <c r="BN324" s="111">
        <f t="shared" si="243"/>
        <v>0.5</v>
      </c>
      <c r="BO324" s="111">
        <f t="shared" si="244"/>
        <v>0.39999999999999858</v>
      </c>
      <c r="BR324" s="120">
        <v>7.4885112788070883E-3</v>
      </c>
      <c r="BS324" s="120">
        <v>7.4433058492358352E-3</v>
      </c>
      <c r="BT324" s="120">
        <v>7.4447120778093484E-3</v>
      </c>
      <c r="BU324" s="120">
        <v>7.4700200499553584E-3</v>
      </c>
      <c r="BV324" s="120">
        <v>7.4742384421153706E-3</v>
      </c>
      <c r="BW324" s="120">
        <v>7.4708067400953175E-3</v>
      </c>
      <c r="BX324" s="120">
        <v>7.4497441269483376E-3</v>
      </c>
      <c r="BY324" s="120">
        <v>7.4335948369759208E-3</v>
      </c>
      <c r="BZ324" s="120">
        <v>7.3863133259505411E-3</v>
      </c>
      <c r="CA324" s="120">
        <v>7.7298789637496321E-3</v>
      </c>
      <c r="CB324" s="120">
        <v>8.5435115786285428E-3</v>
      </c>
      <c r="CC324" s="120">
        <v>1.0119530305670204E-2</v>
      </c>
      <c r="CD324" s="120">
        <v>1.5228311725893352E-2</v>
      </c>
      <c r="CF324" s="120">
        <v>0.22607038061507195</v>
      </c>
      <c r="CG324" s="120">
        <v>0.21474659914993122</v>
      </c>
      <c r="CH324" s="120">
        <v>0.21031935608722738</v>
      </c>
      <c r="CI324" s="120">
        <v>0.20677458728370698</v>
      </c>
      <c r="CJ324" s="120">
        <v>0.20286718818436608</v>
      </c>
      <c r="CK324" s="120">
        <v>0.19895495793507142</v>
      </c>
      <c r="CL324" s="120">
        <v>0.19132230777442555</v>
      </c>
      <c r="CM324" s="120">
        <v>0.17864506330548816</v>
      </c>
      <c r="CN324" s="120">
        <v>0.16711479881411381</v>
      </c>
      <c r="CO324" s="120">
        <v>0.16581322367613532</v>
      </c>
      <c r="CP324" s="120">
        <v>0.16682263607236797</v>
      </c>
      <c r="CQ324" s="120">
        <v>0.16930210489330852</v>
      </c>
      <c r="CR324" s="120">
        <v>0.19394705050521099</v>
      </c>
    </row>
    <row r="325" spans="38:96" ht="12.75" x14ac:dyDescent="0.2">
      <c r="AN325" t="s">
        <v>79</v>
      </c>
      <c r="AO325" s="144">
        <v>21.5</v>
      </c>
      <c r="AP325" s="144">
        <v>19.899999999999999</v>
      </c>
      <c r="AQ325" s="144">
        <v>19.3</v>
      </c>
      <c r="AR325" s="144">
        <v>19</v>
      </c>
      <c r="AS325" s="129">
        <f t="shared" si="232"/>
        <v>18.8</v>
      </c>
      <c r="AT325" s="144">
        <v>18.600000000000001</v>
      </c>
      <c r="AU325" s="144">
        <v>18.3</v>
      </c>
      <c r="AV325" s="144">
        <v>17.8</v>
      </c>
      <c r="AW325" s="144">
        <v>17.5</v>
      </c>
      <c r="AX325" s="144">
        <v>17.3</v>
      </c>
      <c r="AY325" s="144">
        <v>17.399999999999999</v>
      </c>
      <c r="AZ325" s="141">
        <v>17.7</v>
      </c>
      <c r="BA325" s="144">
        <v>20.2</v>
      </c>
      <c r="BC325" s="111">
        <f t="shared" si="245"/>
        <v>0.19999999999999929</v>
      </c>
      <c r="BD325" s="111">
        <f t="shared" si="233"/>
        <v>0.19999999999999929</v>
      </c>
      <c r="BE325" s="111">
        <f t="shared" si="234"/>
        <v>0.19999999999999929</v>
      </c>
      <c r="BF325" s="111">
        <f t="shared" si="235"/>
        <v>0.30000000000000071</v>
      </c>
      <c r="BG325" s="111">
        <f t="shared" si="236"/>
        <v>0.30000000000000071</v>
      </c>
      <c r="BH325" s="111">
        <f t="shared" si="237"/>
        <v>0.30000000000000071</v>
      </c>
      <c r="BI325" s="111">
        <f t="shared" si="238"/>
        <v>0.30000000000000071</v>
      </c>
      <c r="BJ325" s="111">
        <f t="shared" si="239"/>
        <v>0.40000000000000213</v>
      </c>
      <c r="BK325" s="111">
        <f t="shared" si="240"/>
        <v>0.5</v>
      </c>
      <c r="BL325" s="111">
        <f t="shared" si="241"/>
        <v>0.5</v>
      </c>
      <c r="BM325" s="111">
        <f t="shared" si="242"/>
        <v>0.5</v>
      </c>
      <c r="BN325" s="111">
        <f t="shared" si="243"/>
        <v>0</v>
      </c>
      <c r="BO325" s="111">
        <f t="shared" si="244"/>
        <v>0.5</v>
      </c>
      <c r="BR325" s="120">
        <v>7.616758719327571E-3</v>
      </c>
      <c r="BS325" s="120">
        <v>7.6445597269206248E-3</v>
      </c>
      <c r="BT325" s="120">
        <v>7.305141107264458E-3</v>
      </c>
      <c r="BU325" s="120">
        <v>7.3441960391097847E-3</v>
      </c>
      <c r="BV325" s="120">
        <v>7.2837988826144348E-3</v>
      </c>
      <c r="BW325" s="120">
        <v>7.2162971133925722E-3</v>
      </c>
      <c r="BX325" s="120">
        <v>7.4001502364476942E-3</v>
      </c>
      <c r="BY325" s="120">
        <v>7.4979070255359126E-3</v>
      </c>
      <c r="BZ325" s="120">
        <v>7.7025875060217474E-3</v>
      </c>
      <c r="CA325" s="120">
        <v>7.6089701198328056E-3</v>
      </c>
      <c r="CB325" s="120">
        <v>8.1382408046039856E-3</v>
      </c>
      <c r="CC325" s="120">
        <v>8.4723984885570047E-3</v>
      </c>
      <c r="CD325" s="120">
        <v>1.4301727031991543E-2</v>
      </c>
      <c r="CF325" s="120">
        <v>0.22702022897013052</v>
      </c>
      <c r="CG325" s="120">
        <v>0.21786607261229296</v>
      </c>
      <c r="CH325" s="120">
        <v>0.20344825655473694</v>
      </c>
      <c r="CI325" s="120">
        <v>0.20045424995677866</v>
      </c>
      <c r="CJ325" s="120">
        <v>0.19486319174255298</v>
      </c>
      <c r="CK325" s="120">
        <v>0.18936413715042941</v>
      </c>
      <c r="CL325" s="120">
        <v>0.18742840945237366</v>
      </c>
      <c r="CM325" s="120">
        <v>0.17778446865185221</v>
      </c>
      <c r="CN325" s="120">
        <v>0.17222004253339526</v>
      </c>
      <c r="CO325" s="120">
        <v>0.1610660479866404</v>
      </c>
      <c r="CP325" s="120">
        <v>0.15670178139150323</v>
      </c>
      <c r="CQ325" s="120">
        <v>0.13947605193113577</v>
      </c>
      <c r="CR325" s="120">
        <v>0.17984927888460039</v>
      </c>
    </row>
    <row r="326" spans="38:96" ht="12.75" x14ac:dyDescent="0.2">
      <c r="AN326" t="s">
        <v>159</v>
      </c>
      <c r="AO326" s="144">
        <v>21.4</v>
      </c>
      <c r="AP326" s="144">
        <v>20</v>
      </c>
      <c r="AQ326" s="144">
        <v>19.5</v>
      </c>
      <c r="AR326" s="144">
        <v>19.100000000000001</v>
      </c>
      <c r="AS326" s="129">
        <f t="shared" si="232"/>
        <v>18.850000000000001</v>
      </c>
      <c r="AT326" s="144">
        <v>18.600000000000001</v>
      </c>
      <c r="AU326" s="144">
        <v>18.2</v>
      </c>
      <c r="AV326" s="144">
        <v>17.600000000000001</v>
      </c>
      <c r="AW326" s="144">
        <v>17.100000000000001</v>
      </c>
      <c r="AX326" s="144">
        <v>16.8</v>
      </c>
      <c r="AY326" s="144">
        <v>16.5</v>
      </c>
      <c r="AZ326" s="144">
        <v>16.8</v>
      </c>
      <c r="BA326" s="144">
        <v>18.100000000000001</v>
      </c>
      <c r="BC326" s="111">
        <f t="shared" si="245"/>
        <v>0.19999999999999929</v>
      </c>
      <c r="BD326" s="111">
        <f t="shared" si="233"/>
        <v>0.19999999999999929</v>
      </c>
      <c r="BE326" s="111">
        <f t="shared" si="234"/>
        <v>0.30000000000000071</v>
      </c>
      <c r="BF326" s="111">
        <f t="shared" si="235"/>
        <v>0.30000000000000071</v>
      </c>
      <c r="BG326" s="111">
        <f t="shared" si="236"/>
        <v>0.30000000000000071</v>
      </c>
      <c r="BH326" s="111">
        <f t="shared" si="237"/>
        <v>0.30000000000000071</v>
      </c>
      <c r="BI326" s="111">
        <f t="shared" si="238"/>
        <v>0.30000000000000071</v>
      </c>
      <c r="BJ326" s="111">
        <f t="shared" si="239"/>
        <v>0.40000000000000213</v>
      </c>
      <c r="BK326" s="111">
        <f t="shared" si="240"/>
        <v>0.40000000000000213</v>
      </c>
      <c r="BL326" s="111">
        <f t="shared" si="241"/>
        <v>0.40000000000000213</v>
      </c>
      <c r="BM326" s="111">
        <f t="shared" si="242"/>
        <v>0.39999999999999858</v>
      </c>
      <c r="BN326" s="111">
        <f t="shared" si="243"/>
        <v>0.40000000000000213</v>
      </c>
      <c r="BO326" s="111">
        <f t="shared" si="244"/>
        <v>0.40000000000000213</v>
      </c>
      <c r="BR326" s="120">
        <v>6.900927933478288E-3</v>
      </c>
      <c r="BS326" s="120">
        <v>6.9831756494400108E-3</v>
      </c>
      <c r="BT326" s="120">
        <v>7.3270460987325042E-3</v>
      </c>
      <c r="BU326" s="120">
        <v>7.1183133115211529E-3</v>
      </c>
      <c r="BV326" s="120">
        <v>7.1304653604012842E-3</v>
      </c>
      <c r="BW326" s="120">
        <v>7.1369288220393757E-3</v>
      </c>
      <c r="BX326" s="120">
        <v>7.0002479544808158E-3</v>
      </c>
      <c r="BY326" s="120">
        <v>7.1483558566152608E-3</v>
      </c>
      <c r="BZ326" s="120">
        <v>7.0804261375287071E-3</v>
      </c>
      <c r="CA326" s="120">
        <v>7.4671835533399447E-3</v>
      </c>
      <c r="CB326" s="120">
        <v>7.6702641614460566E-3</v>
      </c>
      <c r="CC326" s="120">
        <v>1.0131872253556747E-2</v>
      </c>
      <c r="CD326" s="120">
        <v>1.1537062795371259E-2</v>
      </c>
      <c r="CF326" s="120">
        <v>0.20112334185446271</v>
      </c>
      <c r="CG326" s="120">
        <v>0.19472941194581722</v>
      </c>
      <c r="CH326" s="120">
        <v>0.20057383234736148</v>
      </c>
      <c r="CI326" s="120">
        <v>0.19069421123937386</v>
      </c>
      <c r="CJ326" s="120">
        <v>0.18734803407634937</v>
      </c>
      <c r="CK326" s="120">
        <v>0.1840164687074628</v>
      </c>
      <c r="CL326" s="120">
        <v>0.17394608825900088</v>
      </c>
      <c r="CM326" s="120">
        <v>0.16639020442671645</v>
      </c>
      <c r="CN326" s="120">
        <v>0.15522740234000265</v>
      </c>
      <c r="CO326" s="120">
        <v>0.15538284863197641</v>
      </c>
      <c r="CP326" s="120">
        <v>0.14515396592141619</v>
      </c>
      <c r="CQ326" s="120">
        <v>0.16521052300945296</v>
      </c>
      <c r="CR326" s="120">
        <v>0.14225372876280123</v>
      </c>
    </row>
    <row r="327" spans="38:96" ht="12.75" x14ac:dyDescent="0.2">
      <c r="AN327" t="s">
        <v>107</v>
      </c>
      <c r="AO327" s="144">
        <v>21.1</v>
      </c>
      <c r="AP327" s="144">
        <v>19.8</v>
      </c>
      <c r="AQ327" s="144">
        <v>19.3</v>
      </c>
      <c r="AR327" s="144">
        <v>19</v>
      </c>
      <c r="AS327" s="129">
        <f t="shared" si="232"/>
        <v>18.7</v>
      </c>
      <c r="AT327" s="144">
        <v>18.399999999999999</v>
      </c>
      <c r="AU327" s="144">
        <v>18</v>
      </c>
      <c r="AV327" s="144">
        <v>17.2</v>
      </c>
      <c r="AW327" s="144">
        <v>16.7</v>
      </c>
      <c r="AX327" s="144">
        <v>16.2</v>
      </c>
      <c r="AY327" s="144">
        <v>15.7</v>
      </c>
      <c r="AZ327" s="144">
        <v>15.5</v>
      </c>
      <c r="BA327" s="144">
        <v>16</v>
      </c>
      <c r="BC327" s="111">
        <f t="shared" si="245"/>
        <v>0.20000000000000284</v>
      </c>
      <c r="BD327" s="111">
        <f t="shared" si="233"/>
        <v>0.19999999999999929</v>
      </c>
      <c r="BE327" s="111">
        <f t="shared" si="234"/>
        <v>0.19999999999999929</v>
      </c>
      <c r="BF327" s="111">
        <f t="shared" si="235"/>
        <v>0.30000000000000071</v>
      </c>
      <c r="BG327" s="111">
        <f t="shared" si="236"/>
        <v>0.25</v>
      </c>
      <c r="BH327" s="111">
        <f t="shared" si="237"/>
        <v>0.19999999999999929</v>
      </c>
      <c r="BI327" s="111">
        <f t="shared" si="238"/>
        <v>0.30000000000000071</v>
      </c>
      <c r="BJ327" s="111">
        <f t="shared" si="239"/>
        <v>0.30000000000000071</v>
      </c>
      <c r="BK327" s="111">
        <f t="shared" si="240"/>
        <v>0.39999999999999858</v>
      </c>
      <c r="BL327" s="111">
        <f t="shared" si="241"/>
        <v>0.29999999999999893</v>
      </c>
      <c r="BM327" s="111">
        <f t="shared" si="242"/>
        <v>0.29999999999999893</v>
      </c>
      <c r="BN327" s="111">
        <f t="shared" si="243"/>
        <v>0.40000000000000036</v>
      </c>
      <c r="BO327" s="111">
        <f t="shared" si="244"/>
        <v>0.30000000000000071</v>
      </c>
      <c r="BR327" s="120">
        <v>6.996594326452275E-3</v>
      </c>
      <c r="BS327" s="120">
        <v>6.8439885447253417E-3</v>
      </c>
      <c r="BT327" s="120">
        <v>6.5446634944154218E-3</v>
      </c>
      <c r="BU327" s="120">
        <v>6.899727790267601E-3</v>
      </c>
      <c r="BV327" s="120">
        <v>6.8505728273162382E-3</v>
      </c>
      <c r="BW327" s="120">
        <v>6.7941566149298787E-3</v>
      </c>
      <c r="BX327" s="120">
        <v>7.0555811805019372E-3</v>
      </c>
      <c r="BY327" s="120">
        <v>6.8819528764821891E-3</v>
      </c>
      <c r="BZ327" s="120">
        <v>7.3231250283003393E-3</v>
      </c>
      <c r="CA327" s="120">
        <v>7.0743605426432116E-3</v>
      </c>
      <c r="CB327" s="120">
        <v>7.5690214147574727E-3</v>
      </c>
      <c r="CC327" s="120">
        <v>7.3549142450369566E-3</v>
      </c>
      <c r="CD327" s="120">
        <v>1.0787050817921466E-2</v>
      </c>
      <c r="CF327" s="120">
        <v>0.20482413149010745</v>
      </c>
      <c r="CG327" s="120">
        <v>0.19134687737395384</v>
      </c>
      <c r="CH327" s="120">
        <v>0.17871854744332763</v>
      </c>
      <c r="CI327" s="120">
        <v>0.18503739405141312</v>
      </c>
      <c r="CJ327" s="120">
        <v>0.1800675357964398</v>
      </c>
      <c r="CK327" s="120">
        <v>0.17515639961853616</v>
      </c>
      <c r="CL327" s="120">
        <v>0.17568679765125708</v>
      </c>
      <c r="CM327" s="120">
        <v>0.16023087248046086</v>
      </c>
      <c r="CN327" s="120">
        <v>0.16097112877469411</v>
      </c>
      <c r="CO327" s="120">
        <v>0.14711349554987987</v>
      </c>
      <c r="CP327" s="120">
        <v>0.14328027025504037</v>
      </c>
      <c r="CQ327" s="120">
        <v>0.11878959070567062</v>
      </c>
      <c r="CR327" s="120">
        <v>0.13324308333098139</v>
      </c>
    </row>
    <row r="328" spans="38:96" ht="12.75" x14ac:dyDescent="0.2">
      <c r="AN328" t="s">
        <v>108</v>
      </c>
      <c r="AO328" s="144">
        <v>20.5</v>
      </c>
      <c r="AP328" s="144">
        <v>19.399999999999999</v>
      </c>
      <c r="AQ328" s="144">
        <v>19</v>
      </c>
      <c r="AR328" s="144">
        <v>18.7</v>
      </c>
      <c r="AS328" s="129">
        <f t="shared" si="232"/>
        <v>18.399999999999999</v>
      </c>
      <c r="AT328" s="144">
        <v>18.100000000000001</v>
      </c>
      <c r="AU328" s="144">
        <v>17.7</v>
      </c>
      <c r="AV328" s="144">
        <v>16.899999999999999</v>
      </c>
      <c r="AW328" s="144">
        <v>16.3</v>
      </c>
      <c r="AX328" s="144">
        <v>15.8</v>
      </c>
      <c r="AY328" s="144">
        <v>15.1</v>
      </c>
      <c r="AZ328" s="144">
        <v>14.5</v>
      </c>
      <c r="BA328" s="144">
        <v>14.3</v>
      </c>
      <c r="BC328" s="111">
        <f t="shared" si="245"/>
        <v>0.30000000000000071</v>
      </c>
      <c r="BD328" s="111">
        <f t="shared" si="233"/>
        <v>0.19999999999999929</v>
      </c>
      <c r="BE328" s="111">
        <f t="shared" si="234"/>
        <v>0.30000000000000071</v>
      </c>
      <c r="BF328" s="111">
        <f t="shared" si="235"/>
        <v>0.30000000000000071</v>
      </c>
      <c r="BG328" s="111">
        <f t="shared" si="236"/>
        <v>0.25</v>
      </c>
      <c r="BH328" s="111">
        <f t="shared" si="237"/>
        <v>0.20000000000000284</v>
      </c>
      <c r="BI328" s="111">
        <f t="shared" si="238"/>
        <v>0.30000000000000071</v>
      </c>
      <c r="BJ328" s="111">
        <f t="shared" si="239"/>
        <v>0.29999999999999716</v>
      </c>
      <c r="BK328" s="111">
        <f t="shared" si="240"/>
        <v>0.40000000000000036</v>
      </c>
      <c r="BL328" s="111">
        <f t="shared" si="241"/>
        <v>0.30000000000000071</v>
      </c>
      <c r="BM328" s="111">
        <f t="shared" si="242"/>
        <v>0.29999999999999893</v>
      </c>
      <c r="BN328" s="111">
        <f t="shared" si="243"/>
        <v>0.30000000000000071</v>
      </c>
      <c r="BO328" s="111">
        <f t="shared" si="244"/>
        <v>0.20000000000000107</v>
      </c>
      <c r="BR328" s="120">
        <v>6.0529109466490386E-3</v>
      </c>
      <c r="BS328" s="120">
        <v>6.2344429665445169E-3</v>
      </c>
      <c r="BT328" s="120">
        <v>6.5744045471673755E-3</v>
      </c>
      <c r="BU328" s="120">
        <v>6.3442502254860292E-3</v>
      </c>
      <c r="BV328" s="120">
        <v>6.4176781046139889E-3</v>
      </c>
      <c r="BW328" s="120">
        <v>6.4879339546552841E-3</v>
      </c>
      <c r="BX328" s="120">
        <v>6.4416234638702084E-3</v>
      </c>
      <c r="BY328" s="120">
        <v>6.8205055793018428E-3</v>
      </c>
      <c r="BZ328" s="120">
        <v>6.6282055958262814E-3</v>
      </c>
      <c r="CA328" s="120">
        <v>7.1317481005308521E-3</v>
      </c>
      <c r="CB328" s="120">
        <v>7.1601398702070881E-3</v>
      </c>
      <c r="CC328" s="120">
        <v>8.5135767325266593E-3</v>
      </c>
      <c r="CD328" s="120">
        <v>9.419563726085144E-3</v>
      </c>
      <c r="CF328" s="120">
        <v>0.18525793441426025</v>
      </c>
      <c r="CG328" s="120">
        <v>0.1823496287213531</v>
      </c>
      <c r="CH328" s="120">
        <v>0.1884499347722714</v>
      </c>
      <c r="CI328" s="120">
        <v>0.17801884960453832</v>
      </c>
      <c r="CJ328" s="120">
        <v>0.17653933487103332</v>
      </c>
      <c r="CK328" s="120">
        <v>0.17506647219892979</v>
      </c>
      <c r="CL328" s="120">
        <v>0.16754447821787363</v>
      </c>
      <c r="CM328" s="120">
        <v>0.16594189444761251</v>
      </c>
      <c r="CN328" s="120">
        <v>0.15175953262365202</v>
      </c>
      <c r="CO328" s="120">
        <v>0.15468731540160152</v>
      </c>
      <c r="CP328" s="120">
        <v>0.14098553951940734</v>
      </c>
      <c r="CQ328" s="120">
        <v>0.14345288057719127</v>
      </c>
      <c r="CR328" s="120">
        <v>0.11999627857963335</v>
      </c>
    </row>
    <row r="329" spans="38:96" ht="12.75" x14ac:dyDescent="0.2">
      <c r="AN329" t="s">
        <v>109</v>
      </c>
      <c r="AO329" s="144">
        <v>20.2</v>
      </c>
      <c r="AP329" s="144">
        <v>19.2</v>
      </c>
      <c r="AQ329" s="144">
        <v>18.899999999999999</v>
      </c>
      <c r="AR329" s="144">
        <v>18.5</v>
      </c>
      <c r="AS329" s="129">
        <f t="shared" si="232"/>
        <v>18.25</v>
      </c>
      <c r="AT329" s="144">
        <v>18</v>
      </c>
      <c r="AU329" s="144">
        <v>17.5</v>
      </c>
      <c r="AV329" s="144">
        <v>16.7</v>
      </c>
      <c r="AW329" s="144">
        <v>16.100000000000001</v>
      </c>
      <c r="AX329" s="144">
        <v>15.6</v>
      </c>
      <c r="AY329" s="144">
        <v>14.9</v>
      </c>
      <c r="AZ329" s="144">
        <v>14.2</v>
      </c>
      <c r="BA329" s="144">
        <v>13.6</v>
      </c>
      <c r="BC329" s="111">
        <f t="shared" si="245"/>
        <v>0.30000000000000071</v>
      </c>
      <c r="BD329" s="111">
        <f t="shared" si="233"/>
        <v>0.19999999999999929</v>
      </c>
      <c r="BE329" s="111">
        <f t="shared" si="234"/>
        <v>0.29999999999999716</v>
      </c>
      <c r="BF329" s="111">
        <f t="shared" si="235"/>
        <v>0.30000000000000071</v>
      </c>
      <c r="BG329" s="111">
        <f t="shared" si="236"/>
        <v>0.30000000000000071</v>
      </c>
      <c r="BH329" s="111">
        <f t="shared" si="237"/>
        <v>0.30000000000000071</v>
      </c>
      <c r="BI329" s="111">
        <f t="shared" si="238"/>
        <v>0.30000000000000071</v>
      </c>
      <c r="BJ329" s="111">
        <f t="shared" si="239"/>
        <v>0.30000000000000071</v>
      </c>
      <c r="BK329" s="111">
        <f t="shared" si="240"/>
        <v>0.30000000000000071</v>
      </c>
      <c r="BL329" s="111">
        <f t="shared" si="241"/>
        <v>0.29999999999999893</v>
      </c>
      <c r="BM329" s="111">
        <f t="shared" si="242"/>
        <v>0.30000000000000071</v>
      </c>
      <c r="BN329" s="111">
        <f t="shared" si="243"/>
        <v>0.29999999999999893</v>
      </c>
      <c r="BO329" s="111">
        <f t="shared" si="244"/>
        <v>0.29999999999999893</v>
      </c>
      <c r="BR329" s="120">
        <v>6.3561420336230908E-3</v>
      </c>
      <c r="BS329" s="120">
        <v>6.2841185890611445E-3</v>
      </c>
      <c r="BT329" s="120">
        <v>6.2272874313964305E-3</v>
      </c>
      <c r="BU329" s="120">
        <v>6.2408823568745175E-3</v>
      </c>
      <c r="BV329" s="120">
        <v>6.331524032647526E-3</v>
      </c>
      <c r="BW329" s="120">
        <v>6.4210923427467361E-3</v>
      </c>
      <c r="BX329" s="120">
        <v>6.3761790878904424E-3</v>
      </c>
      <c r="BY329" s="120">
        <v>6.2984334607653096E-3</v>
      </c>
      <c r="BZ329" s="120">
        <v>6.731086947454017E-3</v>
      </c>
      <c r="CA329" s="120">
        <v>6.6076930306131912E-3</v>
      </c>
      <c r="CB329" s="120">
        <v>7.2406365756105045E-3</v>
      </c>
      <c r="CC329" s="120">
        <v>7.483105205022763E-3</v>
      </c>
      <c r="CD329" s="120">
        <v>9.8638842502575663E-3</v>
      </c>
      <c r="CF329" s="120">
        <v>0.20155307997346503</v>
      </c>
      <c r="CG329" s="120">
        <v>0.19014300559940084</v>
      </c>
      <c r="CH329" s="120">
        <v>0.18454923389952396</v>
      </c>
      <c r="CI329" s="120">
        <v>0.18071571377213203</v>
      </c>
      <c r="CJ329" s="120">
        <v>0.17980282754131416</v>
      </c>
      <c r="CK329" s="120">
        <v>0.1789489428198999</v>
      </c>
      <c r="CL329" s="120">
        <v>0.17089503563322017</v>
      </c>
      <c r="CM329" s="120">
        <v>0.15774179675305106</v>
      </c>
      <c r="CN329" s="120">
        <v>0.15860873842008097</v>
      </c>
      <c r="CO329" s="120">
        <v>0.14738029899211569</v>
      </c>
      <c r="CP329" s="120">
        <v>0.14653340310978977</v>
      </c>
      <c r="CQ329" s="120">
        <v>0.12933901067143547</v>
      </c>
      <c r="CR329" s="120">
        <v>0.12866395862015401</v>
      </c>
    </row>
    <row r="330" spans="38:96" ht="12.75" x14ac:dyDescent="0.2">
      <c r="AN330" t="s">
        <v>110</v>
      </c>
      <c r="AO330" s="144">
        <v>19.899999999999999</v>
      </c>
      <c r="AP330" s="144">
        <v>19</v>
      </c>
      <c r="AQ330" s="144">
        <v>18.7</v>
      </c>
      <c r="AR330" s="144">
        <v>18.399999999999999</v>
      </c>
      <c r="AS330" s="129">
        <f t="shared" si="232"/>
        <v>18.100000000000001</v>
      </c>
      <c r="AT330" s="144">
        <v>17.8</v>
      </c>
      <c r="AU330" s="144">
        <v>17.399999999999999</v>
      </c>
      <c r="AV330" s="144">
        <v>16.600000000000001</v>
      </c>
      <c r="AW330" s="144">
        <v>16</v>
      </c>
      <c r="AX330" s="144">
        <v>15.5</v>
      </c>
      <c r="AY330" s="144">
        <v>14.7</v>
      </c>
      <c r="AZ330" s="144">
        <v>13.9</v>
      </c>
      <c r="BA330" s="144">
        <v>13.2</v>
      </c>
      <c r="BC330" s="111">
        <f t="shared" si="245"/>
        <v>0.29999999999999716</v>
      </c>
      <c r="BD330" s="111">
        <f t="shared" si="233"/>
        <v>0.30000000000000071</v>
      </c>
      <c r="BE330" s="111">
        <f t="shared" si="234"/>
        <v>0.30000000000000071</v>
      </c>
      <c r="BF330" s="111">
        <f t="shared" si="235"/>
        <v>0.29999999999999716</v>
      </c>
      <c r="BG330" s="111">
        <f t="shared" si="236"/>
        <v>0.30000000000000071</v>
      </c>
      <c r="BH330" s="111">
        <f t="shared" si="237"/>
        <v>0.30000000000000071</v>
      </c>
      <c r="BI330" s="111">
        <f t="shared" si="238"/>
        <v>0.29999999999999716</v>
      </c>
      <c r="BJ330" s="111">
        <f t="shared" si="239"/>
        <v>0.30000000000000071</v>
      </c>
      <c r="BK330" s="111">
        <f t="shared" si="240"/>
        <v>0.30000000000000071</v>
      </c>
      <c r="BL330" s="111">
        <f t="shared" si="241"/>
        <v>0.40000000000000036</v>
      </c>
      <c r="BM330" s="111">
        <f t="shared" si="242"/>
        <v>0.29999999999999893</v>
      </c>
      <c r="BN330" s="111">
        <f t="shared" si="243"/>
        <v>0.30000000000000071</v>
      </c>
      <c r="BO330" s="111">
        <f t="shared" si="244"/>
        <v>0.29999999999999893</v>
      </c>
      <c r="BR330" s="120">
        <v>5.5246850244653374E-3</v>
      </c>
      <c r="BS330" s="120">
        <v>5.7411414735677535E-3</v>
      </c>
      <c r="BT330" s="120">
        <v>5.8393213324426348E-3</v>
      </c>
      <c r="BU330" s="120">
        <v>6.0778702807393978E-3</v>
      </c>
      <c r="BV330" s="120">
        <v>5.9377472336761879E-3</v>
      </c>
      <c r="BW330" s="120">
        <v>5.7818699514912983E-3</v>
      </c>
      <c r="BX330" s="120">
        <v>6.1950613001836973E-3</v>
      </c>
      <c r="BY330" s="120">
        <v>6.491808780436272E-3</v>
      </c>
      <c r="BZ330" s="120">
        <v>6.4197698702792216E-3</v>
      </c>
      <c r="CA330" s="120">
        <v>6.802618627036512E-3</v>
      </c>
      <c r="CB330" s="120">
        <v>6.5578341929772412E-3</v>
      </c>
      <c r="CC330" s="120">
        <v>7.4604257293788036E-3</v>
      </c>
      <c r="CD330" s="120">
        <v>9.0583280379873208E-3</v>
      </c>
      <c r="CF330" s="120">
        <v>0.17860147720786074</v>
      </c>
      <c r="CG330" s="120">
        <v>0.17717979457340427</v>
      </c>
      <c r="CH330" s="120">
        <v>0.17606367162689085</v>
      </c>
      <c r="CI330" s="120">
        <v>0.18011397529304163</v>
      </c>
      <c r="CJ330" s="120">
        <v>0.17203376537559653</v>
      </c>
      <c r="CK330" s="120">
        <v>0.16388085922299223</v>
      </c>
      <c r="CL330" s="120">
        <v>0.16976797921551681</v>
      </c>
      <c r="CM330" s="120">
        <v>0.16595226020865342</v>
      </c>
      <c r="CN330" s="120">
        <v>0.15437764415936464</v>
      </c>
      <c r="CO330" s="120">
        <v>0.15460018060969166</v>
      </c>
      <c r="CP330" s="120">
        <v>0.13484659548585973</v>
      </c>
      <c r="CQ330" s="120">
        <v>0.13060563493431074</v>
      </c>
      <c r="CR330" s="120">
        <v>0.11989234547226248</v>
      </c>
    </row>
    <row r="332" spans="38:96" x14ac:dyDescent="0.2">
      <c r="AO332">
        <v>-0.5</v>
      </c>
      <c r="AP332">
        <v>-0.25</v>
      </c>
      <c r="AQ332">
        <v>-0.13</v>
      </c>
      <c r="AR332">
        <v>0</v>
      </c>
      <c r="AS332">
        <v>0.125</v>
      </c>
      <c r="AT332" s="126">
        <v>0.25</v>
      </c>
      <c r="AU332" s="126">
        <v>0.5</v>
      </c>
      <c r="AV332" s="126">
        <v>1</v>
      </c>
      <c r="AW332" s="126">
        <v>1.5</v>
      </c>
      <c r="AX332" s="126">
        <v>2</v>
      </c>
      <c r="AY332" s="126">
        <v>3</v>
      </c>
      <c r="AZ332" s="126">
        <v>5</v>
      </c>
      <c r="BA332" s="126">
        <v>10</v>
      </c>
      <c r="BR332" s="106" t="s">
        <v>295</v>
      </c>
    </row>
    <row r="333" spans="38:96" ht="12.75" x14ac:dyDescent="0.2">
      <c r="AL333" s="105" t="s">
        <v>300</v>
      </c>
      <c r="AN333" t="s">
        <v>25</v>
      </c>
      <c r="AO333" s="146">
        <v>9.8000000000000007</v>
      </c>
      <c r="AP333" s="146">
        <v>7.2</v>
      </c>
      <c r="AQ333" s="146">
        <v>8</v>
      </c>
      <c r="AR333" s="146">
        <v>9.4</v>
      </c>
      <c r="AS333" s="129">
        <f t="shared" ref="AS333:AS347" si="246">(AR333+AT333)/2</f>
        <v>10.8</v>
      </c>
      <c r="AT333" s="146">
        <v>12.2</v>
      </c>
      <c r="AU333" s="146">
        <v>14.8</v>
      </c>
      <c r="AV333" s="146">
        <v>19.100000000000001</v>
      </c>
      <c r="AW333" s="146">
        <v>22.8</v>
      </c>
      <c r="AX333" s="146">
        <v>25.9</v>
      </c>
      <c r="AY333" s="146">
        <v>30.9</v>
      </c>
      <c r="AZ333" s="146">
        <v>38.5</v>
      </c>
      <c r="BA333" s="146">
        <v>50.1</v>
      </c>
      <c r="BC333" s="111">
        <f>AO333-AO316</f>
        <v>0.20000000000000107</v>
      </c>
      <c r="BD333" s="111">
        <f t="shared" ref="BD333:BD347" si="247">AP333-AP316</f>
        <v>0.20000000000000018</v>
      </c>
      <c r="BE333" s="111">
        <f t="shared" ref="BE333:BE347" si="248">AQ333-AQ316</f>
        <v>0.29999999999999982</v>
      </c>
      <c r="BF333" s="111">
        <f t="shared" ref="BF333:BF347" si="249">AR333-AR316</f>
        <v>0.30000000000000071</v>
      </c>
      <c r="BG333" s="111">
        <f t="shared" ref="BG333:BG347" si="250">AS333-AS316</f>
        <v>0.25</v>
      </c>
      <c r="BH333" s="111">
        <f t="shared" ref="BH333:BH347" si="251">AT333-AT316</f>
        <v>0.19999999999999929</v>
      </c>
      <c r="BI333" s="111">
        <f t="shared" ref="BI333:BI347" si="252">AU333-AU316</f>
        <v>0.30000000000000071</v>
      </c>
      <c r="BJ333" s="111">
        <f t="shared" ref="BJ333:BJ347" si="253">AV333-AV316</f>
        <v>0.20000000000000284</v>
      </c>
      <c r="BK333" s="111">
        <f t="shared" ref="BK333:BK347" si="254">AW333-AW316</f>
        <v>0.30000000000000071</v>
      </c>
      <c r="BL333" s="111">
        <f t="shared" ref="BL333:BL347" si="255">AX333-AX316</f>
        <v>0.39999999999999858</v>
      </c>
      <c r="BM333" s="111">
        <f t="shared" ref="BM333:BM347" si="256">AY333-AY316</f>
        <v>0.29999999999999716</v>
      </c>
      <c r="BN333" s="111">
        <f t="shared" ref="BN333:BN347" si="257">AZ333-AZ316</f>
        <v>0.39999999999999858</v>
      </c>
      <c r="BO333" s="111">
        <f t="shared" ref="BO333:BO347" si="258">BA333-BA316</f>
        <v>0.39999999999999858</v>
      </c>
      <c r="BR333" s="120">
        <v>2.5091981990237183E-3</v>
      </c>
      <c r="BS333" s="120">
        <v>2.0981336313824839E-3</v>
      </c>
      <c r="BT333" s="120">
        <v>2.3275600119143937E-3</v>
      </c>
      <c r="BU333" s="120">
        <v>2.7518333216557645E-3</v>
      </c>
      <c r="BV333" s="120">
        <v>3.2079637443544317E-3</v>
      </c>
      <c r="BW333" s="120">
        <v>3.6851706374043274E-3</v>
      </c>
      <c r="BX333" s="120">
        <v>4.6287227676423829E-3</v>
      </c>
      <c r="BY333" s="120">
        <v>6.3890798131328586E-3</v>
      </c>
      <c r="BZ333" s="120">
        <v>8.1101090008645349E-3</v>
      </c>
      <c r="CA333" s="120">
        <v>9.7472546933351448E-3</v>
      </c>
      <c r="CB333" s="120">
        <v>1.2850049447046357E-2</v>
      </c>
      <c r="CC333" s="120">
        <v>1.8726356562193926E-2</v>
      </c>
      <c r="CD333" s="120">
        <v>3.3038744038950879E-2</v>
      </c>
      <c r="CF333" s="120">
        <v>9.6077137964160064E-2</v>
      </c>
      <c r="CG333" s="120">
        <v>7.6646051606447441E-2</v>
      </c>
      <c r="CH333" s="120">
        <v>8.3135014307634647E-2</v>
      </c>
      <c r="CI333" s="120">
        <v>9.6174817344341385E-2</v>
      </c>
      <c r="CJ333" s="120">
        <v>0.10979869203184728</v>
      </c>
      <c r="CK333" s="120">
        <v>0.1236189895263818</v>
      </c>
      <c r="CL333" s="120">
        <v>0.14944023761538797</v>
      </c>
      <c r="CM333" s="120">
        <v>0.19235287151304459</v>
      </c>
      <c r="CN333" s="120">
        <v>0.2293134458969214</v>
      </c>
      <c r="CO333" s="120">
        <v>0.26045210915058381</v>
      </c>
      <c r="CP333" s="120">
        <v>0.30869011261659163</v>
      </c>
      <c r="CQ333" s="120">
        <v>0.38183015817547361</v>
      </c>
      <c r="CR333" s="120">
        <v>0.50618836360405706</v>
      </c>
    </row>
    <row r="334" spans="38:96" ht="12.75" x14ac:dyDescent="0.2">
      <c r="AN334" t="s">
        <v>157</v>
      </c>
      <c r="AO334" s="146">
        <v>11.7</v>
      </c>
      <c r="AP334" s="146">
        <v>9.5</v>
      </c>
      <c r="AQ334" s="146">
        <v>9.9</v>
      </c>
      <c r="AR334" s="146">
        <v>11</v>
      </c>
      <c r="AS334" s="129">
        <f t="shared" si="246"/>
        <v>12.1</v>
      </c>
      <c r="AT334" s="146">
        <v>13.2</v>
      </c>
      <c r="AU334" s="146">
        <v>15.2</v>
      </c>
      <c r="AV334" s="146">
        <v>18.8</v>
      </c>
      <c r="AW334" s="146">
        <v>21.8</v>
      </c>
      <c r="AX334" s="146">
        <v>24.3</v>
      </c>
      <c r="AY334" s="146">
        <v>28.4</v>
      </c>
      <c r="AZ334" s="146">
        <v>34.299999999999997</v>
      </c>
      <c r="BA334" s="146">
        <v>43.1</v>
      </c>
      <c r="BC334" s="111">
        <f t="shared" ref="BC334:BC347" si="259">AO334-AO317</f>
        <v>0.29999999999999893</v>
      </c>
      <c r="BD334" s="111">
        <f t="shared" si="247"/>
        <v>0.40000000000000036</v>
      </c>
      <c r="BE334" s="111">
        <f t="shared" si="248"/>
        <v>0.30000000000000071</v>
      </c>
      <c r="BF334" s="111">
        <f t="shared" si="249"/>
        <v>0.40000000000000036</v>
      </c>
      <c r="BG334" s="111">
        <f t="shared" si="250"/>
        <v>0.40000000000000036</v>
      </c>
      <c r="BH334" s="111">
        <f t="shared" si="251"/>
        <v>0.39999999999999858</v>
      </c>
      <c r="BI334" s="111">
        <f t="shared" si="252"/>
        <v>0.29999999999999893</v>
      </c>
      <c r="BJ334" s="111">
        <f t="shared" si="253"/>
        <v>0.40000000000000213</v>
      </c>
      <c r="BK334" s="111">
        <f t="shared" si="254"/>
        <v>0.40000000000000213</v>
      </c>
      <c r="BL334" s="111">
        <f t="shared" si="255"/>
        <v>0.40000000000000213</v>
      </c>
      <c r="BM334" s="111">
        <f t="shared" si="256"/>
        <v>0.39999999999999858</v>
      </c>
      <c r="BN334" s="111">
        <f t="shared" si="257"/>
        <v>0.39999999999999858</v>
      </c>
      <c r="BO334" s="111">
        <f t="shared" si="258"/>
        <v>0.39999999999999858</v>
      </c>
      <c r="BR334" s="120">
        <v>3.5324566834941868E-3</v>
      </c>
      <c r="BS334" s="120">
        <v>3.2999286702355152E-3</v>
      </c>
      <c r="BT334" s="120">
        <v>3.2816203312395712E-3</v>
      </c>
      <c r="BU334" s="120">
        <v>3.5092036055126537E-3</v>
      </c>
      <c r="BV334" s="120">
        <v>3.787840379768296E-3</v>
      </c>
      <c r="BW334" s="120">
        <v>4.105139408867425E-3</v>
      </c>
      <c r="BX334" s="120">
        <v>4.7516415941181505E-3</v>
      </c>
      <c r="BY334" s="120">
        <v>6.1677261833742066E-3</v>
      </c>
      <c r="BZ334" s="120">
        <v>7.5287763558694381E-3</v>
      </c>
      <c r="CA334" s="120">
        <v>8.8279793543010292E-3</v>
      </c>
      <c r="CB334" s="120">
        <v>1.1353276753348048E-2</v>
      </c>
      <c r="CC334" s="120">
        <v>1.6083998078532318E-2</v>
      </c>
      <c r="CD334" s="120">
        <v>2.6707891229028453E-2</v>
      </c>
      <c r="CF334" s="120">
        <v>0.13542722088176304</v>
      </c>
      <c r="CG334" s="120">
        <v>0.12061105847937996</v>
      </c>
      <c r="CH334" s="120">
        <v>0.1172942668365845</v>
      </c>
      <c r="CI334" s="120">
        <v>0.12277711667904076</v>
      </c>
      <c r="CJ334" s="120">
        <v>0.1298202205700352</v>
      </c>
      <c r="CK334" s="120">
        <v>0.13791926838424945</v>
      </c>
      <c r="CL334" s="120">
        <v>0.15369182263065503</v>
      </c>
      <c r="CM334" s="120">
        <v>0.18610563532798391</v>
      </c>
      <c r="CN334" s="120">
        <v>0.21343575035671375</v>
      </c>
      <c r="CO334" s="120">
        <v>0.23639667641322004</v>
      </c>
      <c r="CP334" s="120">
        <v>0.27578191918821837</v>
      </c>
      <c r="CQ334" s="120">
        <v>0.33175757974111031</v>
      </c>
      <c r="CR334" s="120">
        <v>0.41118977276335478</v>
      </c>
    </row>
    <row r="335" spans="38:96" ht="12.75" x14ac:dyDescent="0.2">
      <c r="AN335" t="s">
        <v>99</v>
      </c>
      <c r="AO335" s="146">
        <v>14.5</v>
      </c>
      <c r="AP335" s="146">
        <v>12.1</v>
      </c>
      <c r="AQ335" s="146">
        <v>11.6</v>
      </c>
      <c r="AR335" s="146">
        <v>11.7</v>
      </c>
      <c r="AS335" s="129">
        <f t="shared" si="246"/>
        <v>12.3</v>
      </c>
      <c r="AT335" s="146">
        <v>12.9</v>
      </c>
      <c r="AU335" s="146">
        <v>14.1</v>
      </c>
      <c r="AV335" s="146">
        <v>16.3</v>
      </c>
      <c r="AW335" s="146">
        <v>18.3</v>
      </c>
      <c r="AX335" s="146">
        <v>20</v>
      </c>
      <c r="AY335" s="146">
        <v>22.7</v>
      </c>
      <c r="AZ335" s="146">
        <v>26.7</v>
      </c>
      <c r="BA335" s="146">
        <v>32.6</v>
      </c>
      <c r="BC335" s="111">
        <f t="shared" si="259"/>
        <v>9.9999999999999645E-2</v>
      </c>
      <c r="BD335" s="111">
        <f t="shared" si="247"/>
        <v>9.9999999999999645E-2</v>
      </c>
      <c r="BE335" s="111">
        <f t="shared" si="248"/>
        <v>9.9999999999999645E-2</v>
      </c>
      <c r="BF335" s="111">
        <f t="shared" si="249"/>
        <v>9.9999999999999645E-2</v>
      </c>
      <c r="BG335" s="111">
        <f t="shared" si="250"/>
        <v>0.15000000000000213</v>
      </c>
      <c r="BH335" s="111">
        <f t="shared" si="251"/>
        <v>0.20000000000000107</v>
      </c>
      <c r="BI335" s="111">
        <f t="shared" si="252"/>
        <v>9.9999999999999645E-2</v>
      </c>
      <c r="BJ335" s="111">
        <f t="shared" si="253"/>
        <v>0.10000000000000142</v>
      </c>
      <c r="BK335" s="111">
        <f t="shared" si="254"/>
        <v>0.19999999999999929</v>
      </c>
      <c r="BL335" s="111">
        <f t="shared" si="255"/>
        <v>0.19999999999999929</v>
      </c>
      <c r="BM335" s="111">
        <f t="shared" si="256"/>
        <v>9.9999999999997868E-2</v>
      </c>
      <c r="BN335" s="111">
        <f t="shared" si="257"/>
        <v>9.9999999999997868E-2</v>
      </c>
      <c r="BO335" s="111">
        <f t="shared" si="258"/>
        <v>0.20000000000000284</v>
      </c>
      <c r="BR335" s="120">
        <v>3.7589343037316295E-3</v>
      </c>
      <c r="BS335" s="120">
        <v>3.3220820261051598E-3</v>
      </c>
      <c r="BT335" s="120">
        <v>3.2992966997378074E-3</v>
      </c>
      <c r="BU335" s="120">
        <v>3.4104676963892691E-3</v>
      </c>
      <c r="BV335" s="120">
        <v>3.6695613517392523E-3</v>
      </c>
      <c r="BW335" s="120">
        <v>3.9334432509602951E-3</v>
      </c>
      <c r="BX335" s="120">
        <v>4.477356302650802E-3</v>
      </c>
      <c r="BY335" s="120">
        <v>5.5634990680443674E-3</v>
      </c>
      <c r="BZ335" s="120">
        <v>6.6564103830832871E-3</v>
      </c>
      <c r="CA335" s="120">
        <v>7.7041476775937812E-3</v>
      </c>
      <c r="CB335" s="120">
        <v>9.6709964012855702E-3</v>
      </c>
      <c r="CC335" s="120">
        <v>1.3393455098090274E-2</v>
      </c>
      <c r="CD335" s="120">
        <v>2.1836443399114402E-2</v>
      </c>
      <c r="CF335" s="120">
        <v>0.1390991645758235</v>
      </c>
      <c r="CG335" s="120">
        <v>0.1173742773084698</v>
      </c>
      <c r="CH335" s="120">
        <v>0.11400948227006277</v>
      </c>
      <c r="CI335" s="120">
        <v>0.1153132481233177</v>
      </c>
      <c r="CJ335" s="120">
        <v>0.12148141488755054</v>
      </c>
      <c r="CK335" s="120">
        <v>0.1275844033153759</v>
      </c>
      <c r="CL335" s="120">
        <v>0.13971079689826787</v>
      </c>
      <c r="CM335" s="120">
        <v>0.16185013851890578</v>
      </c>
      <c r="CN335" s="120">
        <v>0.18192328170757552</v>
      </c>
      <c r="CO335" s="120">
        <v>0.19897431057964823</v>
      </c>
      <c r="CP335" s="120">
        <v>0.226050848073229</v>
      </c>
      <c r="CQ335" s="120">
        <v>0.26612741452126537</v>
      </c>
      <c r="CR335" s="120">
        <v>0.3251993750161622</v>
      </c>
    </row>
    <row r="336" spans="38:96" ht="12.75" x14ac:dyDescent="0.2">
      <c r="AN336" t="s">
        <v>101</v>
      </c>
      <c r="AO336" s="146">
        <v>16.399999999999999</v>
      </c>
      <c r="AP336" s="146">
        <v>14.3</v>
      </c>
      <c r="AQ336" s="146">
        <v>13.8</v>
      </c>
      <c r="AR336" s="146">
        <v>13.9</v>
      </c>
      <c r="AS336" s="129">
        <f t="shared" si="246"/>
        <v>14.25</v>
      </c>
      <c r="AT336" s="146">
        <v>14.6</v>
      </c>
      <c r="AU336" s="146">
        <v>15.3</v>
      </c>
      <c r="AV336" s="146">
        <v>16.7</v>
      </c>
      <c r="AW336" s="146">
        <v>17.899999999999999</v>
      </c>
      <c r="AX336" s="146">
        <v>19</v>
      </c>
      <c r="AY336" s="146">
        <v>20.9</v>
      </c>
      <c r="AZ336" s="146">
        <v>23.7</v>
      </c>
      <c r="BA336" s="146">
        <v>27.9</v>
      </c>
      <c r="BC336" s="111">
        <f t="shared" si="259"/>
        <v>0</v>
      </c>
      <c r="BD336" s="111">
        <f t="shared" si="247"/>
        <v>0</v>
      </c>
      <c r="BE336" s="111">
        <f t="shared" si="248"/>
        <v>0.10000000000000142</v>
      </c>
      <c r="BF336" s="111">
        <f t="shared" si="249"/>
        <v>9.9999999999999645E-2</v>
      </c>
      <c r="BG336" s="111">
        <f t="shared" si="250"/>
        <v>9.9999999999999645E-2</v>
      </c>
      <c r="BH336" s="111">
        <f t="shared" si="251"/>
        <v>9.9999999999999645E-2</v>
      </c>
      <c r="BI336" s="111">
        <f t="shared" si="252"/>
        <v>0</v>
      </c>
      <c r="BJ336" s="111">
        <f t="shared" si="253"/>
        <v>9.9999999999997868E-2</v>
      </c>
      <c r="BK336" s="111">
        <f t="shared" si="254"/>
        <v>0</v>
      </c>
      <c r="BL336" s="111">
        <f t="shared" si="255"/>
        <v>0</v>
      </c>
      <c r="BM336" s="111">
        <f t="shared" si="256"/>
        <v>0</v>
      </c>
      <c r="BN336" s="111">
        <f t="shared" si="257"/>
        <v>0</v>
      </c>
      <c r="BO336" s="111">
        <f t="shared" si="258"/>
        <v>0</v>
      </c>
      <c r="BR336" s="120">
        <v>5.882701055834676E-3</v>
      </c>
      <c r="BS336" s="120">
        <v>5.8851957123358129E-3</v>
      </c>
      <c r="BT336" s="120">
        <v>5.8499868423898052E-3</v>
      </c>
      <c r="BU336" s="120">
        <v>5.9085919934038318E-3</v>
      </c>
      <c r="BV336" s="120">
        <v>5.8310735115140906E-3</v>
      </c>
      <c r="BW336" s="120">
        <v>5.7731972507462414E-3</v>
      </c>
      <c r="BX336" s="120">
        <v>5.7646792408254837E-3</v>
      </c>
      <c r="BY336" s="120">
        <v>6.1507975872325937E-3</v>
      </c>
      <c r="BZ336" s="120">
        <v>6.650969715369554E-3</v>
      </c>
      <c r="CA336" s="120">
        <v>7.2655077896096416E-3</v>
      </c>
      <c r="CB336" s="120">
        <v>8.6213592518352301E-3</v>
      </c>
      <c r="CC336" s="120">
        <v>1.1205727676881442E-2</v>
      </c>
      <c r="CD336" s="120">
        <v>1.7053619496021286E-2</v>
      </c>
      <c r="CF336" s="120">
        <v>0.20979133656944651</v>
      </c>
      <c r="CG336" s="120">
        <v>0.20034108015089744</v>
      </c>
      <c r="CH336" s="120">
        <v>0.19477016104987227</v>
      </c>
      <c r="CI336" s="120">
        <v>0.192587194364542</v>
      </c>
      <c r="CJ336" s="120">
        <v>0.18611077499660253</v>
      </c>
      <c r="CK336" s="120">
        <v>0.1805764548555478</v>
      </c>
      <c r="CL336" s="120">
        <v>0.1735465329033567</v>
      </c>
      <c r="CM336" s="120">
        <v>0.17281572572326453</v>
      </c>
      <c r="CN336" s="120">
        <v>0.17562533223766016</v>
      </c>
      <c r="CO336" s="120">
        <v>0.18135601508615901</v>
      </c>
      <c r="CP336" s="120">
        <v>0.19488084785024645</v>
      </c>
      <c r="CQ336" s="120">
        <v>0.21537431863519285</v>
      </c>
      <c r="CR336" s="120">
        <v>0.24519656203405724</v>
      </c>
    </row>
    <row r="337" spans="38:96" ht="12.75" x14ac:dyDescent="0.2">
      <c r="AN337" t="s">
        <v>102</v>
      </c>
      <c r="AO337" s="146">
        <v>18.2</v>
      </c>
      <c r="AP337" s="146">
        <v>16.2</v>
      </c>
      <c r="AQ337" s="146">
        <v>15.7</v>
      </c>
      <c r="AR337" s="146">
        <v>15.6</v>
      </c>
      <c r="AS337" s="129">
        <f t="shared" si="246"/>
        <v>15.8</v>
      </c>
      <c r="AT337" s="146">
        <v>16</v>
      </c>
      <c r="AU337" s="146">
        <v>16.5</v>
      </c>
      <c r="AV337" s="146">
        <v>17.3</v>
      </c>
      <c r="AW337" s="146">
        <v>18.100000000000001</v>
      </c>
      <c r="AX337" s="146">
        <v>18.899999999999999</v>
      </c>
      <c r="AY337" s="146">
        <v>20.399999999999999</v>
      </c>
      <c r="AZ337" s="146">
        <v>22.9</v>
      </c>
      <c r="BA337" s="146">
        <v>26.5</v>
      </c>
      <c r="BC337" s="111">
        <f t="shared" si="259"/>
        <v>9.9999999999997868E-2</v>
      </c>
      <c r="BD337" s="111">
        <f t="shared" si="247"/>
        <v>0</v>
      </c>
      <c r="BE337" s="111">
        <f t="shared" si="248"/>
        <v>9.9999999999999645E-2</v>
      </c>
      <c r="BF337" s="111">
        <f t="shared" si="249"/>
        <v>0</v>
      </c>
      <c r="BG337" s="111">
        <f t="shared" si="250"/>
        <v>0</v>
      </c>
      <c r="BH337" s="111">
        <f t="shared" si="251"/>
        <v>0</v>
      </c>
      <c r="BI337" s="111">
        <f t="shared" si="252"/>
        <v>0.10000000000000142</v>
      </c>
      <c r="BJ337" s="111">
        <f t="shared" si="253"/>
        <v>0</v>
      </c>
      <c r="BK337" s="111">
        <f t="shared" si="254"/>
        <v>0</v>
      </c>
      <c r="BL337" s="111">
        <f t="shared" si="255"/>
        <v>0</v>
      </c>
      <c r="BM337" s="111">
        <f t="shared" si="256"/>
        <v>-0.10000000000000142</v>
      </c>
      <c r="BN337" s="111">
        <f t="shared" si="257"/>
        <v>0</v>
      </c>
      <c r="BO337" s="111">
        <f t="shared" si="258"/>
        <v>-0.10000000000000142</v>
      </c>
      <c r="BR337" s="120">
        <v>6.7356355946893978E-3</v>
      </c>
      <c r="BS337" s="120">
        <v>6.5345205803741847E-3</v>
      </c>
      <c r="BT337" s="120">
        <v>6.504724652455266E-3</v>
      </c>
      <c r="BU337" s="120">
        <v>6.3451621022355981E-3</v>
      </c>
      <c r="BV337" s="120">
        <v>6.3670675300068506E-3</v>
      </c>
      <c r="BW337" s="120">
        <v>6.3849377117787065E-3</v>
      </c>
      <c r="BX337" s="120">
        <v>6.5636361979763474E-3</v>
      </c>
      <c r="BY337" s="120">
        <v>6.7947798670726445E-3</v>
      </c>
      <c r="BZ337" s="120">
        <v>7.3062583441413208E-3</v>
      </c>
      <c r="CA337" s="120">
        <v>7.9203228899153814E-3</v>
      </c>
      <c r="CB337" s="120">
        <v>9.2748868004087857E-3</v>
      </c>
      <c r="CC337" s="120">
        <v>1.2196122568486191E-2</v>
      </c>
      <c r="CD337" s="120">
        <v>1.8688624145227029E-2</v>
      </c>
      <c r="CF337" s="120">
        <v>0.23189202769761114</v>
      </c>
      <c r="CG337" s="120">
        <v>0.21455031547942965</v>
      </c>
      <c r="CH337" s="120">
        <v>0.20893433258681798</v>
      </c>
      <c r="CI337" s="120">
        <v>0.19942646611117609</v>
      </c>
      <c r="CJ337" s="120">
        <v>0.19614169981777924</v>
      </c>
      <c r="CK337" s="120">
        <v>0.19290556722950855</v>
      </c>
      <c r="CL337" s="120">
        <v>0.19114645951638878</v>
      </c>
      <c r="CM337" s="120">
        <v>0.18483693891427658</v>
      </c>
      <c r="CN337" s="120">
        <v>0.1870693344727139</v>
      </c>
      <c r="CO337" s="120">
        <v>0.19194755967501997</v>
      </c>
      <c r="CP337" s="120">
        <v>0.20399136190857695</v>
      </c>
      <c r="CQ337" s="120">
        <v>0.22908591698547198</v>
      </c>
      <c r="CR337" s="120">
        <v>0.26494014009981731</v>
      </c>
    </row>
    <row r="338" spans="38:96" ht="12.75" x14ac:dyDescent="0.2">
      <c r="AN338" t="s">
        <v>103</v>
      </c>
      <c r="AO338" s="146">
        <v>19.5</v>
      </c>
      <c r="AP338" s="146">
        <v>17.600000000000001</v>
      </c>
      <c r="AQ338" s="146">
        <v>17.100000000000001</v>
      </c>
      <c r="AR338" s="146">
        <v>16.899999999999999</v>
      </c>
      <c r="AS338" s="129">
        <f t="shared" si="246"/>
        <v>16.95</v>
      </c>
      <c r="AT338" s="146">
        <v>17</v>
      </c>
      <c r="AU338" s="146">
        <v>17.2</v>
      </c>
      <c r="AV338" s="146">
        <v>17.600000000000001</v>
      </c>
      <c r="AW338" s="146">
        <v>18</v>
      </c>
      <c r="AX338" s="146">
        <v>18.600000000000001</v>
      </c>
      <c r="AY338" s="146">
        <v>19.8</v>
      </c>
      <c r="AZ338" s="146">
        <v>21.9</v>
      </c>
      <c r="BA338" s="146">
        <v>25.2</v>
      </c>
      <c r="BC338" s="111">
        <f t="shared" si="259"/>
        <v>0</v>
      </c>
      <c r="BD338" s="111">
        <f t="shared" si="247"/>
        <v>0</v>
      </c>
      <c r="BE338" s="111">
        <f t="shared" si="248"/>
        <v>0.10000000000000142</v>
      </c>
      <c r="BF338" s="111">
        <f t="shared" si="249"/>
        <v>9.9999999999997868E-2</v>
      </c>
      <c r="BG338" s="111">
        <f t="shared" si="250"/>
        <v>5.0000000000000711E-2</v>
      </c>
      <c r="BH338" s="111">
        <f t="shared" si="251"/>
        <v>0</v>
      </c>
      <c r="BI338" s="111">
        <f t="shared" si="252"/>
        <v>0</v>
      </c>
      <c r="BJ338" s="111">
        <f t="shared" si="253"/>
        <v>0</v>
      </c>
      <c r="BK338" s="111">
        <f t="shared" si="254"/>
        <v>-0.10000000000000142</v>
      </c>
      <c r="BL338" s="111">
        <f t="shared" si="255"/>
        <v>0</v>
      </c>
      <c r="BM338" s="111">
        <f t="shared" si="256"/>
        <v>0</v>
      </c>
      <c r="BN338" s="111">
        <f t="shared" si="257"/>
        <v>0</v>
      </c>
      <c r="BO338" s="111">
        <f t="shared" si="258"/>
        <v>0</v>
      </c>
      <c r="BR338" s="120">
        <v>7.1185138890279605E-3</v>
      </c>
      <c r="BS338" s="120">
        <v>7.0458165310292456E-3</v>
      </c>
      <c r="BT338" s="120">
        <v>7.0336653653320395E-3</v>
      </c>
      <c r="BU338" s="120">
        <v>7.0075409937519709E-3</v>
      </c>
      <c r="BV338" s="120">
        <v>6.931926661452658E-3</v>
      </c>
      <c r="BW338" s="120">
        <v>6.8529879303072258E-3</v>
      </c>
      <c r="BX338" s="120">
        <v>6.7307085166637987E-3</v>
      </c>
      <c r="BY338" s="120">
        <v>6.9240546599515654E-3</v>
      </c>
      <c r="BZ338" s="120">
        <v>7.1784349314894871E-3</v>
      </c>
      <c r="CA338" s="120">
        <v>7.7302835197606886E-3</v>
      </c>
      <c r="CB338" s="120">
        <v>8.9493084656938268E-3</v>
      </c>
      <c r="CC338" s="120">
        <v>1.1453158203485964E-2</v>
      </c>
      <c r="CD338" s="120">
        <v>1.7587972687021915E-2</v>
      </c>
      <c r="CF338" s="120">
        <v>0.23405994041317077</v>
      </c>
      <c r="CG338" s="120">
        <v>0.22128335002999508</v>
      </c>
      <c r="CH338" s="120">
        <v>0.21616438952441622</v>
      </c>
      <c r="CI338" s="120">
        <v>0.21096107615120668</v>
      </c>
      <c r="CJ338" s="120">
        <v>0.20442596792490872</v>
      </c>
      <c r="CK338" s="120">
        <v>0.19811790032628407</v>
      </c>
      <c r="CL338" s="120">
        <v>0.1873301940925087</v>
      </c>
      <c r="CM338" s="120">
        <v>0.18014653866051533</v>
      </c>
      <c r="CN338" s="120">
        <v>0.17572041837992555</v>
      </c>
      <c r="CO338" s="120">
        <v>0.17918079980330598</v>
      </c>
      <c r="CP338" s="120">
        <v>0.18838569341288075</v>
      </c>
      <c r="CQ338" s="120">
        <v>0.20593908182815482</v>
      </c>
      <c r="CR338" s="120">
        <v>0.23910692936636885</v>
      </c>
    </row>
    <row r="339" spans="38:96" ht="12.75" x14ac:dyDescent="0.2">
      <c r="AN339" t="s">
        <v>104</v>
      </c>
      <c r="AO339" s="146">
        <v>20.399999999999999</v>
      </c>
      <c r="AP339" s="146">
        <v>18.600000000000001</v>
      </c>
      <c r="AQ339" s="146">
        <v>18</v>
      </c>
      <c r="AR339" s="146">
        <v>17.8</v>
      </c>
      <c r="AS339" s="129">
        <f t="shared" si="246"/>
        <v>17.75</v>
      </c>
      <c r="AT339" s="146">
        <v>17.7</v>
      </c>
      <c r="AU339" s="146">
        <v>17.7</v>
      </c>
      <c r="AV339" s="146">
        <v>17.7</v>
      </c>
      <c r="AW339" s="146">
        <v>17.899999999999999</v>
      </c>
      <c r="AX339" s="146">
        <v>18.2</v>
      </c>
      <c r="AY339" s="146">
        <v>19</v>
      </c>
      <c r="AZ339" s="146">
        <v>20.7</v>
      </c>
      <c r="BA339" s="146">
        <v>23.7</v>
      </c>
      <c r="BC339" s="111">
        <f t="shared" si="259"/>
        <v>0</v>
      </c>
      <c r="BD339" s="111">
        <f t="shared" si="247"/>
        <v>0.10000000000000142</v>
      </c>
      <c r="BE339" s="111">
        <f t="shared" si="248"/>
        <v>0</v>
      </c>
      <c r="BF339" s="111">
        <f t="shared" si="249"/>
        <v>0.10000000000000142</v>
      </c>
      <c r="BG339" s="111">
        <f t="shared" si="250"/>
        <v>5.0000000000000711E-2</v>
      </c>
      <c r="BH339" s="111">
        <f t="shared" si="251"/>
        <v>0</v>
      </c>
      <c r="BI339" s="111">
        <f t="shared" si="252"/>
        <v>0</v>
      </c>
      <c r="BJ339" s="111">
        <f t="shared" si="253"/>
        <v>-0.10000000000000142</v>
      </c>
      <c r="BK339" s="111">
        <f t="shared" si="254"/>
        <v>0</v>
      </c>
      <c r="BL339" s="111">
        <f t="shared" si="255"/>
        <v>0</v>
      </c>
      <c r="BM339" s="111">
        <f t="shared" si="256"/>
        <v>-0.10000000000000142</v>
      </c>
      <c r="BN339" s="111">
        <f t="shared" si="257"/>
        <v>-0.10000000000000142</v>
      </c>
      <c r="BO339" s="111">
        <f t="shared" si="258"/>
        <v>0</v>
      </c>
      <c r="BR339" s="120">
        <v>7.6502282106988744E-3</v>
      </c>
      <c r="BS339" s="120">
        <v>7.5519912973451789E-3</v>
      </c>
      <c r="BT339" s="120">
        <v>7.3288935140755438E-3</v>
      </c>
      <c r="BU339" s="120">
        <v>7.3965380939553403E-3</v>
      </c>
      <c r="BV339" s="120">
        <v>7.3617684504754194E-3</v>
      </c>
      <c r="BW339" s="120">
        <v>7.3193336687477533E-3</v>
      </c>
      <c r="BX339" s="120">
        <v>7.2794275677563183E-3</v>
      </c>
      <c r="BY339" s="120">
        <v>7.1741926649251169E-3</v>
      </c>
      <c r="BZ339" s="120">
        <v>7.5191216288048538E-3</v>
      </c>
      <c r="CA339" s="120">
        <v>7.76741151633672E-3</v>
      </c>
      <c r="CB339" s="120">
        <v>8.6280409037372465E-3</v>
      </c>
      <c r="CC339" s="120">
        <v>1.0861850162724077E-2</v>
      </c>
      <c r="CD339" s="120">
        <v>1.6571344583164005E-2</v>
      </c>
      <c r="CF339" s="120">
        <v>0.24504086964880156</v>
      </c>
      <c r="CG339" s="120">
        <v>0.23094124001121438</v>
      </c>
      <c r="CH339" s="120">
        <v>0.21911276569653465</v>
      </c>
      <c r="CI339" s="120">
        <v>0.21663848807862601</v>
      </c>
      <c r="CJ339" s="120">
        <v>0.21134744396316882</v>
      </c>
      <c r="CK339" s="120">
        <v>0.20609201983599584</v>
      </c>
      <c r="CL339" s="120">
        <v>0.19757575334177049</v>
      </c>
      <c r="CM339" s="120">
        <v>0.18192305733674727</v>
      </c>
      <c r="CN339" s="120">
        <v>0.17965032526007735</v>
      </c>
      <c r="CO339" s="120">
        <v>0.17567940211571145</v>
      </c>
      <c r="CP339" s="120">
        <v>0.17726592633634472</v>
      </c>
      <c r="CQ339" s="120">
        <v>0.19098468145121941</v>
      </c>
      <c r="CR339" s="120">
        <v>0.22085908614641481</v>
      </c>
    </row>
    <row r="340" spans="38:96" ht="12.75" x14ac:dyDescent="0.2">
      <c r="AN340" t="s">
        <v>105</v>
      </c>
      <c r="AO340" s="146">
        <v>21</v>
      </c>
      <c r="AP340" s="146">
        <v>19.2</v>
      </c>
      <c r="AQ340" s="146">
        <v>18.7</v>
      </c>
      <c r="AR340" s="146">
        <v>18.399999999999999</v>
      </c>
      <c r="AS340" s="129">
        <f t="shared" si="246"/>
        <v>18.299999999999997</v>
      </c>
      <c r="AT340" s="146">
        <v>18.2</v>
      </c>
      <c r="AU340" s="146">
        <v>18</v>
      </c>
      <c r="AV340" s="146">
        <v>17.8</v>
      </c>
      <c r="AW340" s="146">
        <v>17.7</v>
      </c>
      <c r="AX340" s="146">
        <v>17.8</v>
      </c>
      <c r="AY340" s="146">
        <v>18.3</v>
      </c>
      <c r="AZ340" s="146">
        <v>19.7</v>
      </c>
      <c r="BA340" s="146">
        <v>22.3</v>
      </c>
      <c r="BC340" s="111">
        <f t="shared" si="259"/>
        <v>0</v>
      </c>
      <c r="BD340" s="111">
        <f t="shared" si="247"/>
        <v>0</v>
      </c>
      <c r="BE340" s="111">
        <f t="shared" si="248"/>
        <v>0</v>
      </c>
      <c r="BF340" s="111">
        <f t="shared" si="249"/>
        <v>0</v>
      </c>
      <c r="BG340" s="111">
        <f t="shared" si="250"/>
        <v>0</v>
      </c>
      <c r="BH340" s="111">
        <f t="shared" si="251"/>
        <v>0</v>
      </c>
      <c r="BI340" s="111">
        <f t="shared" si="252"/>
        <v>0</v>
      </c>
      <c r="BJ340" s="111">
        <f t="shared" si="253"/>
        <v>0</v>
      </c>
      <c r="BK340" s="111">
        <f t="shared" si="254"/>
        <v>-0.10000000000000142</v>
      </c>
      <c r="BL340" s="111">
        <f t="shared" si="255"/>
        <v>-9.9999999999997868E-2</v>
      </c>
      <c r="BM340" s="111">
        <f t="shared" si="256"/>
        <v>-9.9999999999997868E-2</v>
      </c>
      <c r="BN340" s="111">
        <f t="shared" si="257"/>
        <v>-0.10000000000000142</v>
      </c>
      <c r="BO340" s="111">
        <f t="shared" si="258"/>
        <v>0</v>
      </c>
      <c r="BR340" s="120">
        <v>7.647007112163969E-3</v>
      </c>
      <c r="BS340" s="120">
        <v>7.3938616037608519E-3</v>
      </c>
      <c r="BT340" s="120">
        <v>7.6425691674019873E-3</v>
      </c>
      <c r="BU340" s="120">
        <v>7.459483272238332E-3</v>
      </c>
      <c r="BV340" s="120">
        <v>7.475732219974226E-3</v>
      </c>
      <c r="BW340" s="120">
        <v>7.4834164031070292E-3</v>
      </c>
      <c r="BX340" s="120">
        <v>7.2829374313319734E-3</v>
      </c>
      <c r="BY340" s="120">
        <v>7.4172496242976066E-3</v>
      </c>
      <c r="BZ340" s="120">
        <v>7.3667908860427078E-3</v>
      </c>
      <c r="CA340" s="120">
        <v>7.6623441501196569E-3</v>
      </c>
      <c r="CB340" s="120">
        <v>8.4847054408310092E-3</v>
      </c>
      <c r="CC340" s="120">
        <v>1.0606620518430265E-2</v>
      </c>
      <c r="CD340" s="120">
        <v>1.5761596482864598E-2</v>
      </c>
      <c r="CF340" s="120">
        <v>0.2352317235814943</v>
      </c>
      <c r="CG340" s="120">
        <v>0.21710484007562936</v>
      </c>
      <c r="CH340" s="120">
        <v>0.22006590010802587</v>
      </c>
      <c r="CI340" s="120">
        <v>0.21020206437078987</v>
      </c>
      <c r="CJ340" s="120">
        <v>0.2065446167714394</v>
      </c>
      <c r="CK340" s="120">
        <v>0.20284577138058527</v>
      </c>
      <c r="CL340" s="120">
        <v>0.19015609736775924</v>
      </c>
      <c r="CM340" s="120">
        <v>0.18129984133690191</v>
      </c>
      <c r="CN340" s="120">
        <v>0.16946139684965722</v>
      </c>
      <c r="CO340" s="120">
        <v>0.16704744625459605</v>
      </c>
      <c r="CP340" s="120">
        <v>0.16825456037951025</v>
      </c>
      <c r="CQ340" s="120">
        <v>0.18029118784134085</v>
      </c>
      <c r="CR340" s="120">
        <v>0.2034652105590824</v>
      </c>
    </row>
    <row r="341" spans="38:96" ht="12.75" x14ac:dyDescent="0.2">
      <c r="AN341" t="s">
        <v>106</v>
      </c>
      <c r="AO341" s="146">
        <v>21.3</v>
      </c>
      <c r="AP341" s="146">
        <v>19.600000000000001</v>
      </c>
      <c r="AQ341" s="146">
        <v>19.100000000000001</v>
      </c>
      <c r="AR341" s="146">
        <v>18.8</v>
      </c>
      <c r="AS341" s="129">
        <f t="shared" si="246"/>
        <v>18.649999999999999</v>
      </c>
      <c r="AT341" s="146">
        <v>18.5</v>
      </c>
      <c r="AU341" s="146">
        <v>18.2</v>
      </c>
      <c r="AV341" s="146">
        <v>17.8</v>
      </c>
      <c r="AW341" s="146">
        <v>17.600000000000001</v>
      </c>
      <c r="AX341" s="146">
        <v>17.5</v>
      </c>
      <c r="AY341" s="146">
        <v>17.8</v>
      </c>
      <c r="AZ341" s="146">
        <v>18.899999999999999</v>
      </c>
      <c r="BA341" s="146">
        <v>21.2</v>
      </c>
      <c r="BC341" s="111">
        <f t="shared" si="259"/>
        <v>0</v>
      </c>
      <c r="BD341" s="111">
        <f t="shared" si="247"/>
        <v>0</v>
      </c>
      <c r="BE341" s="111">
        <f t="shared" si="248"/>
        <v>0</v>
      </c>
      <c r="BF341" s="111">
        <f t="shared" si="249"/>
        <v>0</v>
      </c>
      <c r="BG341" s="111">
        <f t="shared" si="250"/>
        <v>0</v>
      </c>
      <c r="BH341" s="111">
        <f t="shared" si="251"/>
        <v>0</v>
      </c>
      <c r="BI341" s="111">
        <f t="shared" si="252"/>
        <v>0</v>
      </c>
      <c r="BJ341" s="111">
        <f t="shared" si="253"/>
        <v>0</v>
      </c>
      <c r="BK341" s="111">
        <f t="shared" si="254"/>
        <v>0</v>
      </c>
      <c r="BL341" s="111">
        <f t="shared" si="255"/>
        <v>-0.10000000000000142</v>
      </c>
      <c r="BM341" s="111">
        <f t="shared" si="256"/>
        <v>-9.9999999999997868E-2</v>
      </c>
      <c r="BN341" s="111">
        <f t="shared" si="257"/>
        <v>0</v>
      </c>
      <c r="BO341" s="111">
        <f t="shared" si="258"/>
        <v>0</v>
      </c>
      <c r="BR341" s="120">
        <v>7.6478616520185743E-3</v>
      </c>
      <c r="BS341" s="120">
        <v>7.6624037598579569E-3</v>
      </c>
      <c r="BT341" s="120">
        <v>7.5521692254120641E-3</v>
      </c>
      <c r="BU341" s="120">
        <v>7.6515138771815899E-3</v>
      </c>
      <c r="BV341" s="120">
        <v>7.617913737848243E-3</v>
      </c>
      <c r="BW341" s="120">
        <v>7.5771445394816938E-3</v>
      </c>
      <c r="BX341" s="120">
        <v>7.5539422745941401E-3</v>
      </c>
      <c r="BY341" s="120">
        <v>7.4408236979794139E-3</v>
      </c>
      <c r="BZ341" s="120">
        <v>7.7332970828528106E-3</v>
      </c>
      <c r="CA341" s="120">
        <v>7.7973955922410552E-3</v>
      </c>
      <c r="CB341" s="120">
        <v>8.5321165084087935E-3</v>
      </c>
      <c r="CC341" s="120">
        <v>1.032828603327852E-2</v>
      </c>
      <c r="CD341" s="120">
        <v>1.5266175698164457E-2</v>
      </c>
      <c r="CF341" s="120">
        <v>0.23147456106853012</v>
      </c>
      <c r="CG341" s="120">
        <v>0.22174157190402052</v>
      </c>
      <c r="CH341" s="120">
        <v>0.21374791602121751</v>
      </c>
      <c r="CI341" s="120">
        <v>0.21231856324478851</v>
      </c>
      <c r="CJ341" s="120">
        <v>0.20720921643306292</v>
      </c>
      <c r="CK341" s="120">
        <v>0.20216019033359156</v>
      </c>
      <c r="CL341" s="120">
        <v>0.1943567485321239</v>
      </c>
      <c r="CM341" s="120">
        <v>0.17901019623643052</v>
      </c>
      <c r="CN341" s="120">
        <v>0.17545762614341873</v>
      </c>
      <c r="CO341" s="120">
        <v>0.16753967195438893</v>
      </c>
      <c r="CP341" s="120">
        <v>0.16678485256238476</v>
      </c>
      <c r="CQ341" s="120">
        <v>0.17308659974552087</v>
      </c>
      <c r="CR341" s="120">
        <v>0.19463938218441987</v>
      </c>
    </row>
    <row r="342" spans="38:96" ht="12.75" x14ac:dyDescent="0.2">
      <c r="AN342" t="s">
        <v>79</v>
      </c>
      <c r="AO342" s="146">
        <v>21.5</v>
      </c>
      <c r="AP342" s="146">
        <v>19.899999999999999</v>
      </c>
      <c r="AQ342" s="146">
        <v>19.3</v>
      </c>
      <c r="AR342" s="146">
        <v>19</v>
      </c>
      <c r="AS342" s="129">
        <f t="shared" si="246"/>
        <v>18.8</v>
      </c>
      <c r="AT342" s="146">
        <v>18.600000000000001</v>
      </c>
      <c r="AU342" s="146">
        <v>18.3</v>
      </c>
      <c r="AV342" s="146">
        <v>17.8</v>
      </c>
      <c r="AW342" s="146">
        <v>17.399999999999999</v>
      </c>
      <c r="AX342" s="146">
        <v>17.3</v>
      </c>
      <c r="AY342" s="146">
        <v>17.3</v>
      </c>
      <c r="AZ342" s="146">
        <v>18.2</v>
      </c>
      <c r="BA342" s="146">
        <v>20.100000000000001</v>
      </c>
      <c r="BC342" s="111">
        <f t="shared" si="259"/>
        <v>0</v>
      </c>
      <c r="BD342" s="111">
        <f t="shared" si="247"/>
        <v>0</v>
      </c>
      <c r="BE342" s="111">
        <f t="shared" si="248"/>
        <v>0</v>
      </c>
      <c r="BF342" s="111">
        <f t="shared" si="249"/>
        <v>0</v>
      </c>
      <c r="BG342" s="111">
        <f t="shared" si="250"/>
        <v>0</v>
      </c>
      <c r="BH342" s="111">
        <f t="shared" si="251"/>
        <v>0</v>
      </c>
      <c r="BI342" s="111">
        <f t="shared" si="252"/>
        <v>0</v>
      </c>
      <c r="BJ342" s="111">
        <f t="shared" si="253"/>
        <v>0</v>
      </c>
      <c r="BK342" s="111">
        <f t="shared" si="254"/>
        <v>-0.10000000000000142</v>
      </c>
      <c r="BL342" s="111">
        <f t="shared" si="255"/>
        <v>0</v>
      </c>
      <c r="BM342" s="111">
        <f t="shared" si="256"/>
        <v>-9.9999999999997868E-2</v>
      </c>
      <c r="BN342" s="111">
        <f t="shared" si="257"/>
        <v>0.5</v>
      </c>
      <c r="BO342" s="111">
        <f t="shared" si="258"/>
        <v>-9.9999999999997868E-2</v>
      </c>
      <c r="BR342" s="120">
        <v>7.5961026202777341E-3</v>
      </c>
      <c r="BS342" s="120">
        <v>7.6010579674687983E-3</v>
      </c>
      <c r="BT342" s="120">
        <v>7.2980542866759894E-3</v>
      </c>
      <c r="BU342" s="120">
        <v>7.3109849561225192E-3</v>
      </c>
      <c r="BV342" s="120">
        <v>7.2620643289077989E-3</v>
      </c>
      <c r="BW342" s="120">
        <v>7.2062105759886502E-3</v>
      </c>
      <c r="BX342" s="120">
        <v>7.3887785774807944E-3</v>
      </c>
      <c r="BY342" s="120">
        <v>7.5157833600674384E-3</v>
      </c>
      <c r="BZ342" s="120">
        <v>7.3084095105970777E-3</v>
      </c>
      <c r="CA342" s="120">
        <v>7.8219729176352594E-3</v>
      </c>
      <c r="CB342" s="120">
        <v>8.0879078103709666E-3</v>
      </c>
      <c r="CC342" s="120">
        <v>9.8789532478427283E-3</v>
      </c>
      <c r="CD342" s="120">
        <v>1.3932435286673518E-2</v>
      </c>
      <c r="CF342" s="120">
        <v>0.22622211400871439</v>
      </c>
      <c r="CG342" s="120">
        <v>0.21639823477897713</v>
      </c>
      <c r="CH342" s="120">
        <v>0.2031312675479211</v>
      </c>
      <c r="CI342" s="120">
        <v>0.1993692112357302</v>
      </c>
      <c r="CJ342" s="120">
        <v>0.19414114467330587</v>
      </c>
      <c r="CK342" s="120">
        <v>0.18898176586233409</v>
      </c>
      <c r="CL342" s="120">
        <v>0.18702834393334014</v>
      </c>
      <c r="CM342" s="120">
        <v>0.17815593004113953</v>
      </c>
      <c r="CN342" s="120">
        <v>0.16305380155872218</v>
      </c>
      <c r="CO342" s="120">
        <v>0.16559945270838497</v>
      </c>
      <c r="CP342" s="120">
        <v>0.15564687115151604</v>
      </c>
      <c r="CQ342" s="120">
        <v>0.16316757143227406</v>
      </c>
      <c r="CR342" s="120">
        <v>0.17497997424049777</v>
      </c>
    </row>
    <row r="343" spans="38:96" ht="12.75" x14ac:dyDescent="0.2">
      <c r="AN343" t="s">
        <v>159</v>
      </c>
      <c r="AO343" s="146">
        <v>21.4</v>
      </c>
      <c r="AP343" s="146">
        <v>20</v>
      </c>
      <c r="AQ343" s="146">
        <v>19.5</v>
      </c>
      <c r="AR343" s="146">
        <v>19.100000000000001</v>
      </c>
      <c r="AS343" s="129">
        <f t="shared" si="246"/>
        <v>18.850000000000001</v>
      </c>
      <c r="AT343" s="146">
        <v>18.600000000000001</v>
      </c>
      <c r="AU343" s="146">
        <v>18.2</v>
      </c>
      <c r="AV343" s="146">
        <v>17.600000000000001</v>
      </c>
      <c r="AW343" s="146">
        <v>17.100000000000001</v>
      </c>
      <c r="AX343" s="146">
        <v>16.7</v>
      </c>
      <c r="AY343" s="146">
        <v>16.5</v>
      </c>
      <c r="AZ343" s="146">
        <v>16.8</v>
      </c>
      <c r="BA343" s="146">
        <v>18.100000000000001</v>
      </c>
      <c r="BC343" s="111">
        <f t="shared" si="259"/>
        <v>0</v>
      </c>
      <c r="BD343" s="111">
        <f t="shared" si="247"/>
        <v>0</v>
      </c>
      <c r="BE343" s="111">
        <f t="shared" si="248"/>
        <v>0</v>
      </c>
      <c r="BF343" s="111">
        <f t="shared" si="249"/>
        <v>0</v>
      </c>
      <c r="BG343" s="111">
        <f t="shared" si="250"/>
        <v>0</v>
      </c>
      <c r="BH343" s="111">
        <f t="shared" si="251"/>
        <v>0</v>
      </c>
      <c r="BI343" s="111">
        <f t="shared" si="252"/>
        <v>0</v>
      </c>
      <c r="BJ343" s="111">
        <f t="shared" si="253"/>
        <v>0</v>
      </c>
      <c r="BK343" s="111">
        <f t="shared" si="254"/>
        <v>0</v>
      </c>
      <c r="BL343" s="111">
        <f t="shared" si="255"/>
        <v>-0.10000000000000142</v>
      </c>
      <c r="BM343" s="111">
        <f t="shared" si="256"/>
        <v>0</v>
      </c>
      <c r="BN343" s="111">
        <f t="shared" si="257"/>
        <v>0</v>
      </c>
      <c r="BO343" s="111">
        <f t="shared" si="258"/>
        <v>0</v>
      </c>
      <c r="BR343" s="120">
        <v>6.6659737007737675E-3</v>
      </c>
      <c r="BS343" s="120">
        <v>6.7958780166261102E-3</v>
      </c>
      <c r="BT343" s="120">
        <v>7.1345905234611274E-3</v>
      </c>
      <c r="BU343" s="120">
        <v>6.9511783390231686E-3</v>
      </c>
      <c r="BV343" s="120">
        <v>6.9681648720137709E-3</v>
      </c>
      <c r="BW343" s="120">
        <v>6.978228677219183E-3</v>
      </c>
      <c r="BX343" s="120">
        <v>6.8611189851435044E-3</v>
      </c>
      <c r="BY343" s="120">
        <v>7.0224582627215473E-3</v>
      </c>
      <c r="BZ343" s="120">
        <v>7.3872481233731874E-3</v>
      </c>
      <c r="CA343" s="120">
        <v>7.0348068193935359E-3</v>
      </c>
      <c r="CB343" s="120">
        <v>7.7891063585922319E-3</v>
      </c>
      <c r="CC343" s="120">
        <v>8.6097857988388544E-3</v>
      </c>
      <c r="CD343" s="120">
        <v>1.2011078528270184E-2</v>
      </c>
      <c r="CF343" s="120">
        <v>0.19313262735452622</v>
      </c>
      <c r="CG343" s="120">
        <v>0.18852768057000902</v>
      </c>
      <c r="CH343" s="120">
        <v>0.19431654820303484</v>
      </c>
      <c r="CI343" s="120">
        <v>0.18532791681407779</v>
      </c>
      <c r="CJ343" s="120">
        <v>0.18221441019366585</v>
      </c>
      <c r="CK343" s="120">
        <v>0.17908456992696606</v>
      </c>
      <c r="CL343" s="120">
        <v>0.1697070743104212</v>
      </c>
      <c r="CM343" s="120">
        <v>0.16272514139814567</v>
      </c>
      <c r="CN343" s="120">
        <v>0.1616681413931815</v>
      </c>
      <c r="CO343" s="120">
        <v>0.14557519093121798</v>
      </c>
      <c r="CP343" s="120">
        <v>0.14695212449068501</v>
      </c>
      <c r="CQ343" s="120">
        <v>0.13914336483635514</v>
      </c>
      <c r="CR343" s="120">
        <v>0.14786636775366463</v>
      </c>
    </row>
    <row r="344" spans="38:96" ht="12.75" x14ac:dyDescent="0.2">
      <c r="AN344" t="s">
        <v>107</v>
      </c>
      <c r="AO344" s="146">
        <v>21.1</v>
      </c>
      <c r="AP344" s="146">
        <v>19.8</v>
      </c>
      <c r="AQ344" s="146">
        <v>19.3</v>
      </c>
      <c r="AR344" s="146">
        <v>19</v>
      </c>
      <c r="AS344" s="129">
        <f t="shared" si="246"/>
        <v>18.7</v>
      </c>
      <c r="AT344" s="146">
        <v>18.399999999999999</v>
      </c>
      <c r="AU344" s="146">
        <v>18</v>
      </c>
      <c r="AV344" s="146">
        <v>17.2</v>
      </c>
      <c r="AW344" s="146">
        <v>16.600000000000001</v>
      </c>
      <c r="AX344" s="146">
        <v>16.2</v>
      </c>
      <c r="AY344" s="146">
        <v>15.7</v>
      </c>
      <c r="AZ344" s="146">
        <v>15.5</v>
      </c>
      <c r="BA344" s="146">
        <v>16</v>
      </c>
      <c r="BC344" s="111">
        <f t="shared" si="259"/>
        <v>0</v>
      </c>
      <c r="BD344" s="111">
        <f t="shared" si="247"/>
        <v>0</v>
      </c>
      <c r="BE344" s="111">
        <f t="shared" si="248"/>
        <v>0</v>
      </c>
      <c r="BF344" s="111">
        <f t="shared" si="249"/>
        <v>0</v>
      </c>
      <c r="BG344" s="111">
        <f t="shared" si="250"/>
        <v>0</v>
      </c>
      <c r="BH344" s="111">
        <f t="shared" si="251"/>
        <v>0</v>
      </c>
      <c r="BI344" s="111">
        <f t="shared" si="252"/>
        <v>0</v>
      </c>
      <c r="BJ344" s="111">
        <f t="shared" si="253"/>
        <v>0</v>
      </c>
      <c r="BK344" s="111">
        <f t="shared" si="254"/>
        <v>-9.9999999999997868E-2</v>
      </c>
      <c r="BL344" s="111">
        <f t="shared" si="255"/>
        <v>0</v>
      </c>
      <c r="BM344" s="111">
        <f t="shared" si="256"/>
        <v>0</v>
      </c>
      <c r="BN344" s="111">
        <f t="shared" si="257"/>
        <v>0</v>
      </c>
      <c r="BO344" s="111">
        <f t="shared" si="258"/>
        <v>0</v>
      </c>
      <c r="BR344" s="120">
        <v>7.4364659102122942E-3</v>
      </c>
      <c r="BS344" s="120">
        <v>7.227990369814267E-3</v>
      </c>
      <c r="BT344" s="120">
        <v>6.9232350294065863E-3</v>
      </c>
      <c r="BU344" s="120">
        <v>7.2443902078866487E-3</v>
      </c>
      <c r="BV344" s="120">
        <v>7.1816520049926931E-3</v>
      </c>
      <c r="BW344" s="120">
        <v>7.1131157860173447E-3</v>
      </c>
      <c r="BX344" s="120">
        <v>7.3410071224973674E-3</v>
      </c>
      <c r="BY344" s="120">
        <v>7.1276337360967794E-3</v>
      </c>
      <c r="BZ344" s="120">
        <v>7.0079786218062243E-3</v>
      </c>
      <c r="CA344" s="120">
        <v>7.644429892583157E-3</v>
      </c>
      <c r="CB344" s="120">
        <v>7.5734690725315886E-3</v>
      </c>
      <c r="CC344" s="120">
        <v>8.505426049714401E-3</v>
      </c>
      <c r="CD344" s="120">
        <v>1.0488467845246017E-2</v>
      </c>
      <c r="CF344" s="120">
        <v>0.21950639902212768</v>
      </c>
      <c r="CG344" s="120">
        <v>0.20365991573611919</v>
      </c>
      <c r="CH344" s="120">
        <v>0.19063032148564782</v>
      </c>
      <c r="CI344" s="120">
        <v>0.19572872104008013</v>
      </c>
      <c r="CJ344" s="120">
        <v>0.1901638878448394</v>
      </c>
      <c r="CK344" s="120">
        <v>0.18471495842343846</v>
      </c>
      <c r="CL344" s="120">
        <v>0.18402478205879863</v>
      </c>
      <c r="CM344" s="120">
        <v>0.1670567296915241</v>
      </c>
      <c r="CN344" s="120">
        <v>0.1546241978140806</v>
      </c>
      <c r="CO344" s="120">
        <v>0.16013019781839474</v>
      </c>
      <c r="CP344" s="120">
        <v>0.14409613856906714</v>
      </c>
      <c r="CQ344" s="120">
        <v>0.13876980053116519</v>
      </c>
      <c r="CR344" s="120">
        <v>0.13005855845643083</v>
      </c>
    </row>
    <row r="345" spans="38:96" ht="12.75" x14ac:dyDescent="0.2">
      <c r="AN345" t="s">
        <v>108</v>
      </c>
      <c r="AO345" s="146">
        <v>20.5</v>
      </c>
      <c r="AP345" s="146">
        <v>19.399999999999999</v>
      </c>
      <c r="AQ345" s="146">
        <v>19</v>
      </c>
      <c r="AR345" s="146">
        <v>18.7</v>
      </c>
      <c r="AS345" s="129">
        <f t="shared" si="246"/>
        <v>18.399999999999999</v>
      </c>
      <c r="AT345" s="146">
        <v>18.100000000000001</v>
      </c>
      <c r="AU345" s="146">
        <v>17.7</v>
      </c>
      <c r="AV345" s="146">
        <v>16.899999999999999</v>
      </c>
      <c r="AW345" s="146">
        <v>16.2</v>
      </c>
      <c r="AX345" s="146">
        <v>15.8</v>
      </c>
      <c r="AY345" s="146">
        <v>15.1</v>
      </c>
      <c r="AZ345" s="146">
        <v>14.5</v>
      </c>
      <c r="BA345" s="146">
        <v>14.3</v>
      </c>
      <c r="BC345" s="111">
        <f t="shared" si="259"/>
        <v>0</v>
      </c>
      <c r="BD345" s="111">
        <f t="shared" si="247"/>
        <v>0</v>
      </c>
      <c r="BE345" s="111">
        <f t="shared" si="248"/>
        <v>0</v>
      </c>
      <c r="BF345" s="111">
        <f t="shared" si="249"/>
        <v>0</v>
      </c>
      <c r="BG345" s="111">
        <f t="shared" si="250"/>
        <v>0</v>
      </c>
      <c r="BH345" s="111">
        <f t="shared" si="251"/>
        <v>0</v>
      </c>
      <c r="BI345" s="111">
        <f t="shared" si="252"/>
        <v>0</v>
      </c>
      <c r="BJ345" s="111">
        <f t="shared" si="253"/>
        <v>0</v>
      </c>
      <c r="BK345" s="111">
        <f t="shared" si="254"/>
        <v>-0.10000000000000142</v>
      </c>
      <c r="BL345" s="111">
        <f t="shared" si="255"/>
        <v>0</v>
      </c>
      <c r="BM345" s="111">
        <f t="shared" si="256"/>
        <v>0</v>
      </c>
      <c r="BN345" s="111">
        <f t="shared" si="257"/>
        <v>0</v>
      </c>
      <c r="BO345" s="111">
        <f t="shared" si="258"/>
        <v>0</v>
      </c>
      <c r="BR345" s="120">
        <v>5.8374734703201033E-3</v>
      </c>
      <c r="BS345" s="120">
        <v>6.0544975184478626E-3</v>
      </c>
      <c r="BT345" s="120">
        <v>6.3963809852985339E-3</v>
      </c>
      <c r="BU345" s="120">
        <v>6.1850533095369501E-3</v>
      </c>
      <c r="BV345" s="120">
        <v>6.2650808953290992E-3</v>
      </c>
      <c r="BW345" s="120">
        <v>6.3409794567550757E-3</v>
      </c>
      <c r="BX345" s="120">
        <v>6.3125834966509271E-3</v>
      </c>
      <c r="BY345" s="120">
        <v>6.7107388345084467E-3</v>
      </c>
      <c r="BZ345" s="120">
        <v>6.8806982051584425E-3</v>
      </c>
      <c r="CA345" s="120">
        <v>6.7434363933815064E-3</v>
      </c>
      <c r="CB345" s="120">
        <v>7.2177888115007851E-3</v>
      </c>
      <c r="CC345" s="120">
        <v>7.6688890835703164E-3</v>
      </c>
      <c r="CD345" s="120">
        <v>9.7143973843488961E-3</v>
      </c>
      <c r="CF345" s="120">
        <v>0.17773409931198658</v>
      </c>
      <c r="CG345" s="120">
        <v>0.17623319684384897</v>
      </c>
      <c r="CH345" s="120">
        <v>0.18246982770364326</v>
      </c>
      <c r="CI345" s="120">
        <v>0.1727343037765019</v>
      </c>
      <c r="CJ345" s="120">
        <v>0.1715397369925829</v>
      </c>
      <c r="CK345" s="120">
        <v>0.17032004778620741</v>
      </c>
      <c r="CL345" s="120">
        <v>0.16344594695279829</v>
      </c>
      <c r="CM345" s="120">
        <v>0.16255954678614876</v>
      </c>
      <c r="CN345" s="120">
        <v>0.15692415815816113</v>
      </c>
      <c r="CO345" s="120">
        <v>0.14561371680925708</v>
      </c>
      <c r="CP345" s="120">
        <v>0.14154362667667292</v>
      </c>
      <c r="CQ345" s="120">
        <v>0.12852507477651254</v>
      </c>
      <c r="CR345" s="120">
        <v>0.12330145121229706</v>
      </c>
    </row>
    <row r="346" spans="38:96" ht="12.75" x14ac:dyDescent="0.2">
      <c r="AN346" t="s">
        <v>109</v>
      </c>
      <c r="AO346" s="146">
        <v>20.2</v>
      </c>
      <c r="AP346" s="146">
        <v>19.2</v>
      </c>
      <c r="AQ346" s="146">
        <v>18.899999999999999</v>
      </c>
      <c r="AR346" s="146">
        <v>18.5</v>
      </c>
      <c r="AS346" s="129">
        <f t="shared" si="246"/>
        <v>18.25</v>
      </c>
      <c r="AT346" s="146">
        <v>18</v>
      </c>
      <c r="AU346" s="146">
        <v>17.5</v>
      </c>
      <c r="AV346" s="146">
        <v>16.7</v>
      </c>
      <c r="AW346" s="146">
        <v>16.100000000000001</v>
      </c>
      <c r="AX346" s="146">
        <v>15.6</v>
      </c>
      <c r="AY346" s="146">
        <v>14.9</v>
      </c>
      <c r="AZ346" s="146">
        <v>14.1</v>
      </c>
      <c r="BA346" s="146">
        <v>13.6</v>
      </c>
      <c r="BC346" s="111">
        <f t="shared" si="259"/>
        <v>0</v>
      </c>
      <c r="BD346" s="111">
        <f t="shared" si="247"/>
        <v>0</v>
      </c>
      <c r="BE346" s="111">
        <f t="shared" si="248"/>
        <v>0</v>
      </c>
      <c r="BF346" s="111">
        <f t="shared" si="249"/>
        <v>0</v>
      </c>
      <c r="BG346" s="111">
        <f t="shared" si="250"/>
        <v>0</v>
      </c>
      <c r="BH346" s="111">
        <f t="shared" si="251"/>
        <v>0</v>
      </c>
      <c r="BI346" s="111">
        <f t="shared" si="252"/>
        <v>0</v>
      </c>
      <c r="BJ346" s="111">
        <f t="shared" si="253"/>
        <v>0</v>
      </c>
      <c r="BK346" s="111">
        <f t="shared" si="254"/>
        <v>0</v>
      </c>
      <c r="BL346" s="111">
        <f t="shared" si="255"/>
        <v>0</v>
      </c>
      <c r="BM346" s="111">
        <f t="shared" si="256"/>
        <v>0</v>
      </c>
      <c r="BN346" s="111">
        <f t="shared" si="257"/>
        <v>-9.9999999999999645E-2</v>
      </c>
      <c r="BO346" s="111">
        <f t="shared" si="258"/>
        <v>0</v>
      </c>
      <c r="BR346" s="120">
        <v>6.5284393319760435E-3</v>
      </c>
      <c r="BS346" s="120">
        <v>6.4325855550560942E-3</v>
      </c>
      <c r="BT346" s="120">
        <v>6.3766038760335025E-3</v>
      </c>
      <c r="BU346" s="120">
        <v>6.3751917046553364E-3</v>
      </c>
      <c r="BV346" s="120">
        <v>6.4611857936510662E-3</v>
      </c>
      <c r="BW346" s="120">
        <v>6.5467989180642916E-3</v>
      </c>
      <c r="BX346" s="120">
        <v>6.488412749275088E-3</v>
      </c>
      <c r="BY346" s="120">
        <v>6.3965453188454527E-3</v>
      </c>
      <c r="BZ346" s="120">
        <v>6.7400904286205746E-3</v>
      </c>
      <c r="CA346" s="120">
        <v>6.932009224226896E-3</v>
      </c>
      <c r="CB346" s="120">
        <v>7.2041520053715809E-3</v>
      </c>
      <c r="CC346" s="120">
        <v>7.8482607108282722E-3</v>
      </c>
      <c r="CD346" s="120">
        <v>9.660153166966062E-3</v>
      </c>
      <c r="CF346" s="120">
        <v>0.20792508434842105</v>
      </c>
      <c r="CG346" s="120">
        <v>0.19543945612818023</v>
      </c>
      <c r="CH346" s="120">
        <v>0.18975321407631654</v>
      </c>
      <c r="CI346" s="120">
        <v>0.18535836754977872</v>
      </c>
      <c r="CJ346" s="120">
        <v>0.18421837347961315</v>
      </c>
      <c r="CK346" s="120">
        <v>0.18316163709498295</v>
      </c>
      <c r="CL346" s="120">
        <v>0.17457295444473503</v>
      </c>
      <c r="CM346" s="120">
        <v>0.16079845639290846</v>
      </c>
      <c r="CN346" s="120">
        <v>0.15963231804620434</v>
      </c>
      <c r="CO346" s="120">
        <v>0.15507058016498712</v>
      </c>
      <c r="CP346" s="120">
        <v>0.14627717540205409</v>
      </c>
      <c r="CQ346" s="120">
        <v>0.13584296687844635</v>
      </c>
      <c r="CR346" s="120">
        <v>0.12632441168764327</v>
      </c>
    </row>
    <row r="347" spans="38:96" ht="12.75" x14ac:dyDescent="0.2">
      <c r="AN347" t="s">
        <v>110</v>
      </c>
      <c r="AO347" s="146">
        <v>19.899999999999999</v>
      </c>
      <c r="AP347" s="146">
        <v>19</v>
      </c>
      <c r="AQ347" s="146">
        <v>18.7</v>
      </c>
      <c r="AR347" s="146">
        <v>18.399999999999999</v>
      </c>
      <c r="AS347" s="129">
        <f t="shared" si="246"/>
        <v>18.100000000000001</v>
      </c>
      <c r="AT347" s="146">
        <v>17.8</v>
      </c>
      <c r="AU347" s="146">
        <v>17.399999999999999</v>
      </c>
      <c r="AV347" s="146">
        <v>16.600000000000001</v>
      </c>
      <c r="AW347" s="146">
        <v>16</v>
      </c>
      <c r="AX347" s="146">
        <v>15.5</v>
      </c>
      <c r="AY347" s="146">
        <v>14.7</v>
      </c>
      <c r="AZ347" s="146">
        <v>13.9</v>
      </c>
      <c r="BA347" s="146">
        <v>13.1</v>
      </c>
      <c r="BC347" s="111">
        <f t="shared" si="259"/>
        <v>0</v>
      </c>
      <c r="BD347" s="111">
        <f t="shared" si="247"/>
        <v>0</v>
      </c>
      <c r="BE347" s="111">
        <f t="shared" si="248"/>
        <v>0</v>
      </c>
      <c r="BF347" s="111">
        <f t="shared" si="249"/>
        <v>0</v>
      </c>
      <c r="BG347" s="111">
        <f t="shared" si="250"/>
        <v>0</v>
      </c>
      <c r="BH347" s="111">
        <f t="shared" si="251"/>
        <v>0</v>
      </c>
      <c r="BI347" s="111">
        <f t="shared" si="252"/>
        <v>0</v>
      </c>
      <c r="BJ347" s="111">
        <f t="shared" si="253"/>
        <v>0</v>
      </c>
      <c r="BK347" s="111">
        <f t="shared" si="254"/>
        <v>0</v>
      </c>
      <c r="BL347" s="111">
        <f t="shared" si="255"/>
        <v>0</v>
      </c>
      <c r="BM347" s="111">
        <f t="shared" si="256"/>
        <v>0</v>
      </c>
      <c r="BN347" s="111">
        <f t="shared" si="257"/>
        <v>0</v>
      </c>
      <c r="BO347" s="111">
        <f t="shared" si="258"/>
        <v>-9.9999999999999645E-2</v>
      </c>
      <c r="BR347" s="120">
        <v>5.0802445735627201E-3</v>
      </c>
      <c r="BS347" s="120">
        <v>5.3451153462756107E-3</v>
      </c>
      <c r="BT347" s="120">
        <v>5.4547609765813986E-3</v>
      </c>
      <c r="BU347" s="120">
        <v>5.7180920097713852E-3</v>
      </c>
      <c r="BV347" s="120">
        <v>5.590514855106702E-3</v>
      </c>
      <c r="BW347" s="120">
        <v>5.4462227778669849E-3</v>
      </c>
      <c r="BX347" s="120">
        <v>5.888393156080517E-3</v>
      </c>
      <c r="BY347" s="120">
        <v>6.2236223991566043E-3</v>
      </c>
      <c r="BZ347" s="120">
        <v>6.2453641696354444E-3</v>
      </c>
      <c r="CA347" s="120">
        <v>6.3892594687173683E-3</v>
      </c>
      <c r="CB347" s="120">
        <v>6.4630526956306594E-3</v>
      </c>
      <c r="CC347" s="120">
        <v>7.3775771568676644E-3</v>
      </c>
      <c r="CD347" s="120">
        <v>8.695587482858402E-3</v>
      </c>
      <c r="CF347" s="120">
        <v>0.16117262156382189</v>
      </c>
      <c r="CG347" s="120">
        <v>0.16211235947532016</v>
      </c>
      <c r="CH347" s="120">
        <v>0.16169469396906633</v>
      </c>
      <c r="CI347" s="120">
        <v>0.16672209973751584</v>
      </c>
      <c r="CJ347" s="120">
        <v>0.1593670762740752</v>
      </c>
      <c r="CK347" s="120">
        <v>0.15188163907011604</v>
      </c>
      <c r="CL347" s="120">
        <v>0.15893047849374778</v>
      </c>
      <c r="CM347" s="120">
        <v>0.15685058832431109</v>
      </c>
      <c r="CN347" s="120">
        <v>0.14787434421225001</v>
      </c>
      <c r="CO347" s="120">
        <v>0.14332822405009646</v>
      </c>
      <c r="CP347" s="120">
        <v>0.13108611266068987</v>
      </c>
      <c r="CQ347" s="120">
        <v>0.12791943701524738</v>
      </c>
      <c r="CR347" s="120">
        <v>0.11345129321787929</v>
      </c>
    </row>
    <row r="349" spans="38:96" x14ac:dyDescent="0.2">
      <c r="AO349">
        <v>-0.5</v>
      </c>
      <c r="AP349">
        <v>-0.25</v>
      </c>
      <c r="AQ349">
        <v>-0.13</v>
      </c>
      <c r="AR349">
        <v>0</v>
      </c>
      <c r="AS349">
        <v>0.125</v>
      </c>
      <c r="AT349" s="126">
        <v>0.25</v>
      </c>
      <c r="AU349" s="126">
        <v>0.5</v>
      </c>
      <c r="AV349" s="126">
        <v>1</v>
      </c>
      <c r="AW349" s="126">
        <v>1.5</v>
      </c>
      <c r="AX349" s="126">
        <v>2</v>
      </c>
      <c r="AY349" s="126">
        <v>3</v>
      </c>
      <c r="AZ349" s="126">
        <v>5</v>
      </c>
      <c r="BA349" s="126">
        <v>10</v>
      </c>
      <c r="BR349" s="106" t="s">
        <v>295</v>
      </c>
    </row>
    <row r="350" spans="38:96" ht="12.75" x14ac:dyDescent="0.2">
      <c r="AL350" s="105" t="s">
        <v>302</v>
      </c>
      <c r="AN350" t="s">
        <v>25</v>
      </c>
      <c r="AO350" s="146">
        <v>9.5</v>
      </c>
      <c r="AP350" s="146">
        <v>6.9</v>
      </c>
      <c r="AQ350" s="146">
        <v>7.7</v>
      </c>
      <c r="AR350" s="146">
        <v>9.1999999999999993</v>
      </c>
      <c r="AS350" s="129">
        <f t="shared" ref="AS350:AS364" si="260">(AR350+AT350)/2</f>
        <v>10.6</v>
      </c>
      <c r="AT350" s="147">
        <v>12</v>
      </c>
      <c r="AU350" s="147">
        <v>14.6</v>
      </c>
      <c r="AV350" s="147">
        <v>18.899999999999999</v>
      </c>
      <c r="AW350" s="147">
        <v>22.5</v>
      </c>
      <c r="AX350" s="147">
        <v>25.6</v>
      </c>
      <c r="AY350" s="147">
        <v>30.6</v>
      </c>
      <c r="AZ350" s="147">
        <v>38.1</v>
      </c>
      <c r="BA350" s="147">
        <v>49.7</v>
      </c>
      <c r="BC350" s="111">
        <f>AO350-AO333</f>
        <v>-0.30000000000000071</v>
      </c>
      <c r="BD350" s="111">
        <f t="shared" ref="BD350:BD364" si="261">AP350-AP333</f>
        <v>-0.29999999999999982</v>
      </c>
      <c r="BE350" s="111">
        <f t="shared" ref="BE350:BE364" si="262">AQ350-AQ333</f>
        <v>-0.29999999999999982</v>
      </c>
      <c r="BF350" s="111">
        <f t="shared" ref="BF350:BF364" si="263">AR350-AR333</f>
        <v>-0.20000000000000107</v>
      </c>
      <c r="BG350" s="111">
        <f t="shared" ref="BG350:BG364" si="264">AS350-AS333</f>
        <v>-0.20000000000000107</v>
      </c>
      <c r="BH350" s="111">
        <f t="shared" ref="BH350:BH364" si="265">AT350-AT333</f>
        <v>-0.19999999999999929</v>
      </c>
      <c r="BI350" s="111">
        <f t="shared" ref="BI350:BI364" si="266">AU350-AU333</f>
        <v>-0.20000000000000107</v>
      </c>
      <c r="BJ350" s="111">
        <f t="shared" ref="BJ350:BJ364" si="267">AV350-AV333</f>
        <v>-0.20000000000000284</v>
      </c>
      <c r="BK350" s="111">
        <f t="shared" ref="BK350:BK364" si="268">AW350-AW333</f>
        <v>-0.30000000000000071</v>
      </c>
      <c r="BL350" s="111">
        <f t="shared" ref="BL350:BL364" si="269">AX350-AX333</f>
        <v>-0.29999999999999716</v>
      </c>
      <c r="BM350" s="111">
        <f t="shared" ref="BM350:BM364" si="270">AY350-AY333</f>
        <v>-0.29999999999999716</v>
      </c>
      <c r="BN350" s="111">
        <f t="shared" ref="BN350:BN364" si="271">AZ350-AZ333</f>
        <v>-0.39999999999999858</v>
      </c>
      <c r="BO350" s="111">
        <f t="shared" ref="BO350:BO364" si="272">BA350-BA333</f>
        <v>-0.39999999999999858</v>
      </c>
      <c r="BR350" s="120">
        <v>2.4755811988729608E-3</v>
      </c>
      <c r="BS350" s="120">
        <v>1.863019367896838E-3</v>
      </c>
      <c r="BT350" s="120">
        <v>2.1523919424162896E-3</v>
      </c>
      <c r="BU350" s="120">
        <v>2.626645959514983E-3</v>
      </c>
      <c r="BV350" s="120">
        <v>3.0891148674518131E-3</v>
      </c>
      <c r="BW350" s="120">
        <v>3.5674379847479526E-3</v>
      </c>
      <c r="BX350" s="120">
        <v>4.5127118994837323E-3</v>
      </c>
      <c r="BY350" s="120">
        <v>6.2621569165317468E-3</v>
      </c>
      <c r="BZ350" s="120">
        <v>7.9398051916932527E-3</v>
      </c>
      <c r="CA350" s="120">
        <v>9.5626338367969955E-3</v>
      </c>
      <c r="CB350" s="120">
        <v>1.2640270311605707E-2</v>
      </c>
      <c r="CC350" s="120">
        <v>1.8726356562193926E-2</v>
      </c>
      <c r="CD350" s="120">
        <v>3.3038744038950879E-2</v>
      </c>
      <c r="CF350" s="120">
        <v>9.5000906604803079E-2</v>
      </c>
      <c r="CG350" s="120">
        <v>6.8131466021167195E-2</v>
      </c>
      <c r="CH350" s="120">
        <v>7.7006035983841883E-2</v>
      </c>
      <c r="CI350" s="120">
        <v>9.2004651330116455E-2</v>
      </c>
      <c r="CJ350" s="120">
        <v>0.10600456338428349</v>
      </c>
      <c r="CK350" s="120">
        <v>0.12011825157296367</v>
      </c>
      <c r="CL350" s="120">
        <v>0.14609830737260027</v>
      </c>
      <c r="CM350" s="120">
        <v>0.18907328037103441</v>
      </c>
      <c r="CN350" s="120">
        <v>0.22513019433124046</v>
      </c>
      <c r="CO350" s="120">
        <v>0.25612078065677385</v>
      </c>
      <c r="CP350" s="120">
        <v>0.30560321149042569</v>
      </c>
      <c r="CQ350" s="120">
        <v>0.38183015817547361</v>
      </c>
      <c r="CR350" s="120">
        <v>0.50618836360405706</v>
      </c>
    </row>
    <row r="351" spans="38:96" ht="12.75" x14ac:dyDescent="0.2">
      <c r="AN351" t="s">
        <v>157</v>
      </c>
      <c r="AO351" s="146">
        <v>11.5</v>
      </c>
      <c r="AP351" s="146">
        <v>9.3000000000000007</v>
      </c>
      <c r="AQ351" s="146">
        <v>9.9</v>
      </c>
      <c r="AR351" s="146">
        <v>11</v>
      </c>
      <c r="AS351" s="129">
        <f t="shared" si="260"/>
        <v>12.1</v>
      </c>
      <c r="AT351" s="147">
        <v>13.2</v>
      </c>
      <c r="AU351" s="147">
        <v>15.3</v>
      </c>
      <c r="AV351" s="147">
        <v>18.8</v>
      </c>
      <c r="AW351" s="147">
        <v>21.8</v>
      </c>
      <c r="AX351" s="147">
        <v>24.3</v>
      </c>
      <c r="AY351" s="147">
        <v>28.4</v>
      </c>
      <c r="AZ351" s="147">
        <v>34.4</v>
      </c>
      <c r="BA351" s="147">
        <v>43.2</v>
      </c>
      <c r="BC351" s="111">
        <f t="shared" ref="BC351:BC364" si="273">AO351-AO334</f>
        <v>-0.19999999999999929</v>
      </c>
      <c r="BD351" s="111">
        <f t="shared" si="261"/>
        <v>-0.19999999999999929</v>
      </c>
      <c r="BE351" s="111">
        <f t="shared" si="262"/>
        <v>0</v>
      </c>
      <c r="BF351" s="111">
        <f t="shared" si="263"/>
        <v>0</v>
      </c>
      <c r="BG351" s="111">
        <f t="shared" si="264"/>
        <v>0</v>
      </c>
      <c r="BH351" s="111">
        <f t="shared" si="265"/>
        <v>0</v>
      </c>
      <c r="BI351" s="111">
        <f t="shared" si="266"/>
        <v>0.10000000000000142</v>
      </c>
      <c r="BJ351" s="111">
        <f t="shared" si="267"/>
        <v>0</v>
      </c>
      <c r="BK351" s="111">
        <f t="shared" si="268"/>
        <v>0</v>
      </c>
      <c r="BL351" s="111">
        <f t="shared" si="269"/>
        <v>0</v>
      </c>
      <c r="BM351" s="111">
        <f t="shared" si="270"/>
        <v>0</v>
      </c>
      <c r="BN351" s="111">
        <f t="shared" si="271"/>
        <v>0.10000000000000142</v>
      </c>
      <c r="BO351" s="111">
        <f t="shared" si="272"/>
        <v>0.10000000000000142</v>
      </c>
      <c r="BR351" s="120">
        <v>3.4743514458199015E-3</v>
      </c>
      <c r="BS351" s="120">
        <v>3.3459109691944683E-3</v>
      </c>
      <c r="BT351" s="120">
        <v>3.3855463048643557E-3</v>
      </c>
      <c r="BU351" s="120">
        <v>3.5623533972169411E-3</v>
      </c>
      <c r="BV351" s="120">
        <v>3.8319336358767896E-3</v>
      </c>
      <c r="BW351" s="120">
        <v>4.1454667123786123E-3</v>
      </c>
      <c r="BX351" s="120">
        <v>4.8346562717380068E-3</v>
      </c>
      <c r="BY351" s="120">
        <v>6.1995066108851051E-3</v>
      </c>
      <c r="BZ351" s="120">
        <v>7.5710844624806957E-3</v>
      </c>
      <c r="CA351" s="120">
        <v>8.8705180164020923E-3</v>
      </c>
      <c r="CB351" s="120">
        <v>1.1394581236918258E-2</v>
      </c>
      <c r="CC351" s="120">
        <v>1.6095267731714272E-2</v>
      </c>
      <c r="CD351" s="120">
        <v>2.6707891229028453E-2</v>
      </c>
      <c r="CF351" s="120">
        <v>0.13356129539538361</v>
      </c>
      <c r="CG351" s="120">
        <v>0.12265868340482702</v>
      </c>
      <c r="CH351" s="120">
        <v>0.12135786177490972</v>
      </c>
      <c r="CI351" s="120">
        <v>0.12497312087308653</v>
      </c>
      <c r="CJ351" s="120">
        <v>0.13166941970542581</v>
      </c>
      <c r="CK351" s="120">
        <v>0.13955341514478295</v>
      </c>
      <c r="CL351" s="120">
        <v>0.15677640657962205</v>
      </c>
      <c r="CM351" s="120">
        <v>0.18751461427226848</v>
      </c>
      <c r="CN351" s="120">
        <v>0.21514463268888245</v>
      </c>
      <c r="CO351" s="120">
        <v>0.2381499424589576</v>
      </c>
      <c r="CP351" s="120">
        <v>0.27690311987233202</v>
      </c>
      <c r="CQ351" s="120">
        <v>0.33299880535363163</v>
      </c>
      <c r="CR351" s="120">
        <v>0.41249565222642032</v>
      </c>
    </row>
    <row r="352" spans="38:96" ht="12.75" x14ac:dyDescent="0.2">
      <c r="AN352" t="s">
        <v>99</v>
      </c>
      <c r="AO352" s="146">
        <v>14.4</v>
      </c>
      <c r="AP352" s="146">
        <v>12</v>
      </c>
      <c r="AQ352" s="146">
        <v>11.6</v>
      </c>
      <c r="AR352" s="146">
        <v>11.8</v>
      </c>
      <c r="AS352" s="129">
        <f t="shared" si="260"/>
        <v>12.350000000000001</v>
      </c>
      <c r="AT352" s="147">
        <v>12.9</v>
      </c>
      <c r="AU352" s="147">
        <v>14.1</v>
      </c>
      <c r="AV352" s="147">
        <v>16.399999999999999</v>
      </c>
      <c r="AW352" s="147">
        <v>18.3</v>
      </c>
      <c r="AX352" s="147">
        <v>20</v>
      </c>
      <c r="AY352" s="147">
        <v>22.8</v>
      </c>
      <c r="AZ352" s="147">
        <v>26.8</v>
      </c>
      <c r="BA352" s="147">
        <v>32.6</v>
      </c>
      <c r="BC352" s="111">
        <f t="shared" si="273"/>
        <v>-9.9999999999999645E-2</v>
      </c>
      <c r="BD352" s="111">
        <f t="shared" si="261"/>
        <v>-9.9999999999999645E-2</v>
      </c>
      <c r="BE352" s="111">
        <f t="shared" si="262"/>
        <v>0</v>
      </c>
      <c r="BF352" s="111">
        <f t="shared" si="263"/>
        <v>0.10000000000000142</v>
      </c>
      <c r="BG352" s="111">
        <f t="shared" si="264"/>
        <v>5.0000000000000711E-2</v>
      </c>
      <c r="BH352" s="111">
        <f t="shared" si="265"/>
        <v>0</v>
      </c>
      <c r="BI352" s="111">
        <f t="shared" si="266"/>
        <v>0</v>
      </c>
      <c r="BJ352" s="111">
        <f t="shared" si="267"/>
        <v>9.9999999999997868E-2</v>
      </c>
      <c r="BK352" s="111">
        <f t="shared" si="268"/>
        <v>0</v>
      </c>
      <c r="BL352" s="111">
        <f t="shared" si="269"/>
        <v>0</v>
      </c>
      <c r="BM352" s="111">
        <f t="shared" si="270"/>
        <v>0.10000000000000142</v>
      </c>
      <c r="BN352" s="111">
        <f t="shared" si="271"/>
        <v>0.10000000000000142</v>
      </c>
      <c r="BO352" s="111">
        <f t="shared" si="272"/>
        <v>0</v>
      </c>
      <c r="BR352" s="120">
        <v>3.8736027136322799E-3</v>
      </c>
      <c r="BS352" s="120">
        <v>3.3822407163983117E-3</v>
      </c>
      <c r="BT352" s="120">
        <v>3.3378682803478742E-3</v>
      </c>
      <c r="BU352" s="120">
        <v>3.4754201204269465E-3</v>
      </c>
      <c r="BV352" s="120">
        <v>3.7148318208881834E-3</v>
      </c>
      <c r="BW352" s="120">
        <v>3.9602201592621733E-3</v>
      </c>
      <c r="BX352" s="120">
        <v>4.4995029307821769E-3</v>
      </c>
      <c r="BY352" s="120">
        <v>5.6141797787893416E-3</v>
      </c>
      <c r="BZ352" s="120">
        <v>6.6697799807802971E-3</v>
      </c>
      <c r="CA352" s="120">
        <v>7.7150480585523439E-3</v>
      </c>
      <c r="CB352" s="120">
        <v>9.7197526268589535E-3</v>
      </c>
      <c r="CC352" s="120">
        <v>1.3444009096147685E-2</v>
      </c>
      <c r="CD352" s="120">
        <v>2.1836443399114402E-2</v>
      </c>
      <c r="CF352" s="120">
        <v>0.14399964394833861</v>
      </c>
      <c r="CG352" s="120">
        <v>0.12000177374236719</v>
      </c>
      <c r="CH352" s="120">
        <v>0.11582143895934395</v>
      </c>
      <c r="CI352" s="120">
        <v>0.11800180954672385</v>
      </c>
      <c r="CJ352" s="120">
        <v>0.12350204668004985</v>
      </c>
      <c r="CK352" s="120">
        <v>0.12900042891346</v>
      </c>
      <c r="CL352" s="120">
        <v>0.14099947538000068</v>
      </c>
      <c r="CM352" s="120">
        <v>0.16400696212269558</v>
      </c>
      <c r="CN352" s="120">
        <v>0.18299395156763218</v>
      </c>
      <c r="CO352" s="120">
        <v>0.19999148805750941</v>
      </c>
      <c r="CP352" s="120">
        <v>0.22799386477879865</v>
      </c>
      <c r="CQ352" s="120">
        <v>0.26798274536186806</v>
      </c>
      <c r="CR352" s="120">
        <v>0.32597357100268198</v>
      </c>
    </row>
    <row r="353" spans="38:96" ht="12.75" x14ac:dyDescent="0.2">
      <c r="AN353" t="s">
        <v>101</v>
      </c>
      <c r="AO353" s="146">
        <v>16.3</v>
      </c>
      <c r="AP353" s="146">
        <v>14.3</v>
      </c>
      <c r="AQ353" s="146">
        <f>AQ336</f>
        <v>13.8</v>
      </c>
      <c r="AR353" s="146">
        <v>13.9</v>
      </c>
      <c r="AS353" s="129">
        <f t="shared" si="260"/>
        <v>14.25</v>
      </c>
      <c r="AT353" s="147">
        <v>14.6</v>
      </c>
      <c r="AU353" s="147">
        <v>15.4</v>
      </c>
      <c r="AV353" s="147">
        <v>16.8</v>
      </c>
      <c r="AW353" s="147">
        <v>18</v>
      </c>
      <c r="AX353" s="147">
        <v>19.100000000000001</v>
      </c>
      <c r="AY353" s="147">
        <v>21</v>
      </c>
      <c r="AZ353" s="147">
        <v>23.8</v>
      </c>
      <c r="BA353" s="147">
        <v>28</v>
      </c>
      <c r="BC353" s="111">
        <f t="shared" si="273"/>
        <v>-9.9999999999997868E-2</v>
      </c>
      <c r="BD353" s="111">
        <f t="shared" si="261"/>
        <v>0</v>
      </c>
      <c r="BE353" s="111">
        <f t="shared" si="262"/>
        <v>0</v>
      </c>
      <c r="BF353" s="111">
        <f t="shared" si="263"/>
        <v>0</v>
      </c>
      <c r="BG353" s="111">
        <f t="shared" si="264"/>
        <v>0</v>
      </c>
      <c r="BH353" s="111">
        <f t="shared" si="265"/>
        <v>0</v>
      </c>
      <c r="BI353" s="111">
        <f t="shared" si="266"/>
        <v>9.9999999999999645E-2</v>
      </c>
      <c r="BJ353" s="111">
        <f t="shared" si="267"/>
        <v>0.10000000000000142</v>
      </c>
      <c r="BK353" s="111">
        <f t="shared" si="268"/>
        <v>0.10000000000000142</v>
      </c>
      <c r="BL353" s="111">
        <f t="shared" si="269"/>
        <v>0.10000000000000142</v>
      </c>
      <c r="BM353" s="111">
        <f t="shared" si="270"/>
        <v>0.10000000000000142</v>
      </c>
      <c r="BN353" s="111">
        <f t="shared" si="271"/>
        <v>0.10000000000000142</v>
      </c>
      <c r="BO353" s="111">
        <f t="shared" si="272"/>
        <v>0.10000000000000142</v>
      </c>
      <c r="BR353" s="120">
        <v>5.7537575564706456E-3</v>
      </c>
      <c r="BS353" s="120">
        <v>5.8742242941927578E-3</v>
      </c>
      <c r="BT353" s="120">
        <v>5.7775769067483912E-3</v>
      </c>
      <c r="BU353" s="120">
        <v>5.7613312333546791E-3</v>
      </c>
      <c r="BV353" s="120">
        <v>5.7235698047508323E-3</v>
      </c>
      <c r="BW353" s="120">
        <v>5.7024854021925798E-3</v>
      </c>
      <c r="BX353" s="120">
        <v>5.7902426227269353E-3</v>
      </c>
      <c r="BY353" s="120">
        <v>6.1400579436462644E-3</v>
      </c>
      <c r="BZ353" s="120">
        <v>6.6839378979050819E-3</v>
      </c>
      <c r="CA353" s="120">
        <v>7.2986942835526723E-3</v>
      </c>
      <c r="CB353" s="120">
        <v>8.6105518894476294E-3</v>
      </c>
      <c r="CC353" s="120">
        <v>1.1177529160302126E-2</v>
      </c>
      <c r="CD353" s="120">
        <v>1.7053619496021286E-2</v>
      </c>
      <c r="CF353" s="120">
        <v>0.20559454066237789</v>
      </c>
      <c r="CG353" s="120">
        <v>0.20045678555791499</v>
      </c>
      <c r="CH353" s="120">
        <v>0.1928030530165003</v>
      </c>
      <c r="CI353" s="120">
        <v>0.18816681723996967</v>
      </c>
      <c r="CJ353" s="120">
        <v>0.18306262794326389</v>
      </c>
      <c r="CK353" s="120">
        <v>0.17875385444356362</v>
      </c>
      <c r="CL353" s="120">
        <v>0.17473020646710552</v>
      </c>
      <c r="CM353" s="120">
        <v>0.17287402257638088</v>
      </c>
      <c r="CN353" s="120">
        <v>0.17690232161051228</v>
      </c>
      <c r="CO353" s="120">
        <v>0.18259947286885339</v>
      </c>
      <c r="CP353" s="120">
        <v>0.19500828491041711</v>
      </c>
      <c r="CQ353" s="120">
        <v>0.21515448386319924</v>
      </c>
      <c r="CR353" s="120">
        <v>0.24584706345982762</v>
      </c>
    </row>
    <row r="354" spans="38:96" ht="12.75" x14ac:dyDescent="0.2">
      <c r="AN354" t="s">
        <v>102</v>
      </c>
      <c r="AO354" s="146">
        <v>18.100000000000001</v>
      </c>
      <c r="AP354" s="146">
        <v>16.2</v>
      </c>
      <c r="AQ354" s="146">
        <v>15.7</v>
      </c>
      <c r="AR354" s="146">
        <v>15.6</v>
      </c>
      <c r="AS354" s="129">
        <f t="shared" si="260"/>
        <v>15.850000000000001</v>
      </c>
      <c r="AT354" s="147">
        <v>16.100000000000001</v>
      </c>
      <c r="AU354" s="147">
        <v>16.5</v>
      </c>
      <c r="AV354" s="147">
        <v>17.399999999999999</v>
      </c>
      <c r="AW354" s="147">
        <v>18.2</v>
      </c>
      <c r="AX354" s="147">
        <v>19</v>
      </c>
      <c r="AY354" s="147">
        <v>20.6</v>
      </c>
      <c r="AZ354" s="147">
        <v>23</v>
      </c>
      <c r="BA354" s="147">
        <v>26.7</v>
      </c>
      <c r="BC354" s="111">
        <f t="shared" si="273"/>
        <v>-9.9999999999997868E-2</v>
      </c>
      <c r="BD354" s="111">
        <f t="shared" si="261"/>
        <v>0</v>
      </c>
      <c r="BE354" s="111">
        <f t="shared" si="262"/>
        <v>0</v>
      </c>
      <c r="BF354" s="111">
        <f t="shared" si="263"/>
        <v>0</v>
      </c>
      <c r="BG354" s="111">
        <f t="shared" si="264"/>
        <v>5.0000000000000711E-2</v>
      </c>
      <c r="BH354" s="111">
        <f t="shared" si="265"/>
        <v>0.10000000000000142</v>
      </c>
      <c r="BI354" s="111">
        <f t="shared" si="266"/>
        <v>0</v>
      </c>
      <c r="BJ354" s="111">
        <f t="shared" si="267"/>
        <v>9.9999999999997868E-2</v>
      </c>
      <c r="BK354" s="111">
        <f t="shared" si="268"/>
        <v>9.9999999999997868E-2</v>
      </c>
      <c r="BL354" s="111">
        <f t="shared" si="269"/>
        <v>0.10000000000000142</v>
      </c>
      <c r="BM354" s="111">
        <f t="shared" si="270"/>
        <v>0.20000000000000284</v>
      </c>
      <c r="BN354" s="111">
        <f t="shared" si="271"/>
        <v>0.10000000000000142</v>
      </c>
      <c r="BO354" s="111">
        <f t="shared" si="272"/>
        <v>0.19999999999999929</v>
      </c>
      <c r="BR354" s="120">
        <v>6.5416807102954659E-3</v>
      </c>
      <c r="BS354" s="120">
        <v>6.3639890367958186E-3</v>
      </c>
      <c r="BT354" s="120">
        <v>6.3595958200273837E-3</v>
      </c>
      <c r="BU354" s="120">
        <v>6.2299491591785282E-3</v>
      </c>
      <c r="BV354" s="120">
        <v>6.3115994498744964E-3</v>
      </c>
      <c r="BW354" s="120">
        <v>6.3870898964224852E-3</v>
      </c>
      <c r="BX354" s="120">
        <v>6.3525481873440651E-3</v>
      </c>
      <c r="BY354" s="120">
        <v>6.7399576403286889E-3</v>
      </c>
      <c r="BZ354" s="120">
        <v>7.2508909072724692E-3</v>
      </c>
      <c r="CA354" s="120">
        <v>7.8717336949974768E-3</v>
      </c>
      <c r="CB354" s="120">
        <v>9.3389870844427427E-3</v>
      </c>
      <c r="CC354" s="120">
        <v>1.2173901849672089E-2</v>
      </c>
      <c r="CD354" s="120">
        <v>1.8775334118224126E-2</v>
      </c>
      <c r="CF354" s="120">
        <v>0.22574803976566052</v>
      </c>
      <c r="CG354" s="120">
        <v>0.20942350344291583</v>
      </c>
      <c r="CH354" s="120">
        <v>0.20476887970502497</v>
      </c>
      <c r="CI354" s="120">
        <v>0.1963314282285146</v>
      </c>
      <c r="CJ354" s="120">
        <v>0.19498249854370506</v>
      </c>
      <c r="CK354" s="120">
        <v>0.19353852758310225</v>
      </c>
      <c r="CL354" s="120">
        <v>0.18538436593026295</v>
      </c>
      <c r="CM354" s="120">
        <v>0.1838271179216375</v>
      </c>
      <c r="CN354" s="120">
        <v>0.18610810894786473</v>
      </c>
      <c r="CO354" s="120">
        <v>0.19123297661369201</v>
      </c>
      <c r="CP354" s="120">
        <v>0.20597114668855301</v>
      </c>
      <c r="CQ354" s="120">
        <v>0.22925130589600445</v>
      </c>
      <c r="CR354" s="120">
        <v>0.26672972511233051</v>
      </c>
    </row>
    <row r="355" spans="38:96" ht="12.75" x14ac:dyDescent="0.2">
      <c r="AN355" t="s">
        <v>103</v>
      </c>
      <c r="AO355" s="146">
        <v>19.399999999999999</v>
      </c>
      <c r="AP355" s="146">
        <v>17.600000000000001</v>
      </c>
      <c r="AQ355" s="146">
        <v>17</v>
      </c>
      <c r="AR355" s="146">
        <v>16.899999999999999</v>
      </c>
      <c r="AS355" s="129">
        <f t="shared" si="260"/>
        <v>17</v>
      </c>
      <c r="AT355" s="147">
        <v>17.100000000000001</v>
      </c>
      <c r="AU355" s="147">
        <v>17.3</v>
      </c>
      <c r="AV355" s="147">
        <v>17.7</v>
      </c>
      <c r="AW355" s="147">
        <v>18.2</v>
      </c>
      <c r="AX355" s="147">
        <v>18.7</v>
      </c>
      <c r="AY355" s="147">
        <v>19.899999999999999</v>
      </c>
      <c r="AZ355" s="147">
        <v>22</v>
      </c>
      <c r="BA355" s="147">
        <v>25.3</v>
      </c>
      <c r="BC355" s="111">
        <f t="shared" si="273"/>
        <v>-0.10000000000000142</v>
      </c>
      <c r="BD355" s="111">
        <f t="shared" si="261"/>
        <v>0</v>
      </c>
      <c r="BE355" s="111">
        <f t="shared" si="262"/>
        <v>-0.10000000000000142</v>
      </c>
      <c r="BF355" s="111">
        <f t="shared" si="263"/>
        <v>0</v>
      </c>
      <c r="BG355" s="111">
        <f t="shared" si="264"/>
        <v>5.0000000000000711E-2</v>
      </c>
      <c r="BH355" s="111">
        <f t="shared" si="265"/>
        <v>0.10000000000000142</v>
      </c>
      <c r="BI355" s="111">
        <f t="shared" si="266"/>
        <v>0.10000000000000142</v>
      </c>
      <c r="BJ355" s="111">
        <f t="shared" si="267"/>
        <v>9.9999999999997868E-2</v>
      </c>
      <c r="BK355" s="111">
        <f t="shared" si="268"/>
        <v>0.19999999999999929</v>
      </c>
      <c r="BL355" s="111">
        <f t="shared" si="269"/>
        <v>9.9999999999997868E-2</v>
      </c>
      <c r="BM355" s="111">
        <f t="shared" si="270"/>
        <v>9.9999999999997868E-2</v>
      </c>
      <c r="BN355" s="111">
        <f t="shared" si="271"/>
        <v>0.10000000000000142</v>
      </c>
      <c r="BO355" s="111">
        <f t="shared" si="272"/>
        <v>0.10000000000000142</v>
      </c>
      <c r="BR355" s="120">
        <v>7.1093374936912522E-3</v>
      </c>
      <c r="BS355" s="120">
        <v>7.0619174910786682E-3</v>
      </c>
      <c r="BT355" s="120">
        <v>6.8707801336466033E-3</v>
      </c>
      <c r="BU355" s="120">
        <v>6.9956450725708616E-3</v>
      </c>
      <c r="BV355" s="120">
        <v>6.9209376521343824E-3</v>
      </c>
      <c r="BW355" s="120">
        <v>6.8469541737568923E-3</v>
      </c>
      <c r="BX355" s="120">
        <v>6.9076342966928259E-3</v>
      </c>
      <c r="BY355" s="120">
        <v>6.9505570601548442E-3</v>
      </c>
      <c r="BZ355" s="120">
        <v>7.3377904150458651E-3</v>
      </c>
      <c r="CA355" s="120">
        <v>7.7610390640386138E-3</v>
      </c>
      <c r="CB355" s="120">
        <v>8.881927414375811E-3</v>
      </c>
      <c r="CC355" s="120">
        <v>1.147718423693015E-2</v>
      </c>
      <c r="CD355" s="120">
        <v>1.7518542205439996E-2</v>
      </c>
      <c r="CF355" s="120">
        <v>0.23512248439320421</v>
      </c>
      <c r="CG355" s="120">
        <v>0.22307963729516025</v>
      </c>
      <c r="CH355" s="120">
        <v>0.21219632348807776</v>
      </c>
      <c r="CI355" s="120">
        <v>0.21174050945470507</v>
      </c>
      <c r="CJ355" s="120">
        <v>0.20518507972840261</v>
      </c>
      <c r="CK355" s="120">
        <v>0.1989751986052504</v>
      </c>
      <c r="CL355" s="120">
        <v>0.19347670069095768</v>
      </c>
      <c r="CM355" s="120">
        <v>0.18179826661413978</v>
      </c>
      <c r="CN355" s="120">
        <v>0.18066145929729041</v>
      </c>
      <c r="CO355" s="120">
        <v>0.18083315439630818</v>
      </c>
      <c r="CP355" s="120">
        <v>0.18779876541859816</v>
      </c>
      <c r="CQ355" s="120">
        <v>0.20734443280800216</v>
      </c>
      <c r="CR355" s="120">
        <v>0.23910692936636885</v>
      </c>
    </row>
    <row r="356" spans="38:96" ht="12.75" x14ac:dyDescent="0.2">
      <c r="AN356" t="s">
        <v>104</v>
      </c>
      <c r="AO356" s="146">
        <v>20.3</v>
      </c>
      <c r="AP356" s="146">
        <v>18.5</v>
      </c>
      <c r="AQ356" s="146">
        <v>18</v>
      </c>
      <c r="AR356" s="146">
        <v>17.8</v>
      </c>
      <c r="AS356" s="129">
        <f t="shared" si="260"/>
        <v>17.75</v>
      </c>
      <c r="AT356" s="147">
        <v>17.7</v>
      </c>
      <c r="AU356" s="147">
        <v>17.8</v>
      </c>
      <c r="AV356" s="147">
        <v>17.8</v>
      </c>
      <c r="AW356" s="147">
        <v>18</v>
      </c>
      <c r="AX356" s="147">
        <v>18.3</v>
      </c>
      <c r="AY356" s="147">
        <v>19.100000000000001</v>
      </c>
      <c r="AZ356" s="147">
        <v>20.9</v>
      </c>
      <c r="BA356" s="147">
        <v>23.8</v>
      </c>
      <c r="BC356" s="111">
        <f t="shared" si="273"/>
        <v>-9.9999999999997868E-2</v>
      </c>
      <c r="BD356" s="111">
        <f t="shared" si="261"/>
        <v>-0.10000000000000142</v>
      </c>
      <c r="BE356" s="111">
        <f t="shared" si="262"/>
        <v>0</v>
      </c>
      <c r="BF356" s="111">
        <f t="shared" si="263"/>
        <v>0</v>
      </c>
      <c r="BG356" s="111">
        <f t="shared" si="264"/>
        <v>0</v>
      </c>
      <c r="BH356" s="111">
        <f t="shared" si="265"/>
        <v>0</v>
      </c>
      <c r="BI356" s="111">
        <f t="shared" si="266"/>
        <v>0.10000000000000142</v>
      </c>
      <c r="BJ356" s="111">
        <f t="shared" si="267"/>
        <v>0.10000000000000142</v>
      </c>
      <c r="BK356" s="111">
        <f t="shared" si="268"/>
        <v>0.10000000000000142</v>
      </c>
      <c r="BL356" s="111">
        <f t="shared" si="269"/>
        <v>0.10000000000000142</v>
      </c>
      <c r="BM356" s="111">
        <f t="shared" si="270"/>
        <v>0.10000000000000142</v>
      </c>
      <c r="BN356" s="111">
        <f t="shared" si="271"/>
        <v>0.19999999999999929</v>
      </c>
      <c r="BO356" s="111">
        <f t="shared" si="272"/>
        <v>0.10000000000000142</v>
      </c>
      <c r="BR356" s="120">
        <v>7.4210826281305795E-3</v>
      </c>
      <c r="BS356" s="120">
        <v>7.1785594408613112E-3</v>
      </c>
      <c r="BT356" s="120">
        <v>7.3765939794783533E-3</v>
      </c>
      <c r="BU356" s="120">
        <v>7.2407011514018221E-3</v>
      </c>
      <c r="BV356" s="120">
        <v>7.1307786463008132E-3</v>
      </c>
      <c r="BW356" s="120">
        <v>7.0161521891005107E-3</v>
      </c>
      <c r="BX356" s="120">
        <v>7.1330020978611951E-3</v>
      </c>
      <c r="BY356" s="120">
        <v>7.1086476889773969E-3</v>
      </c>
      <c r="BZ356" s="120">
        <v>7.3215701809065904E-3</v>
      </c>
      <c r="CA356" s="120">
        <v>7.7380864904927349E-3</v>
      </c>
      <c r="CB356" s="120">
        <v>8.6538986525426225E-3</v>
      </c>
      <c r="CC356" s="120">
        <v>1.1042304012051182E-2</v>
      </c>
      <c r="CD356" s="120">
        <v>1.665548546549029E-2</v>
      </c>
      <c r="CF356" s="120">
        <v>0.23704200972022865</v>
      </c>
      <c r="CG356" s="120">
        <v>0.21877019095526817</v>
      </c>
      <c r="CH356" s="120">
        <v>0.22030709982444069</v>
      </c>
      <c r="CI356" s="120">
        <v>0.21161615244797261</v>
      </c>
      <c r="CJ356" s="120">
        <v>0.20421554805303982</v>
      </c>
      <c r="CK356" s="120">
        <v>0.19702732442948215</v>
      </c>
      <c r="CL356" s="120">
        <v>0.19314040616234041</v>
      </c>
      <c r="CM356" s="120">
        <v>0.17994827999860089</v>
      </c>
      <c r="CN356" s="120">
        <v>0.17451317125526575</v>
      </c>
      <c r="CO356" s="120">
        <v>0.17473155174309685</v>
      </c>
      <c r="CP356" s="120">
        <v>0.17758090450056363</v>
      </c>
      <c r="CQ356" s="120">
        <v>0.19398008817806986</v>
      </c>
      <c r="CR356" s="120">
        <v>0.22176977281145141</v>
      </c>
    </row>
    <row r="357" spans="38:96" ht="12.75" x14ac:dyDescent="0.2">
      <c r="AN357" t="s">
        <v>105</v>
      </c>
      <c r="AO357" s="146">
        <v>20.9</v>
      </c>
      <c r="AP357" s="146">
        <v>19.2</v>
      </c>
      <c r="AQ357" s="146">
        <v>18.7</v>
      </c>
      <c r="AR357" s="146">
        <v>18.399999999999999</v>
      </c>
      <c r="AS357" s="129">
        <f t="shared" si="260"/>
        <v>18.299999999999997</v>
      </c>
      <c r="AT357" s="147">
        <v>18.2</v>
      </c>
      <c r="AU357" s="147">
        <v>18.100000000000001</v>
      </c>
      <c r="AV357" s="147">
        <v>17.899999999999999</v>
      </c>
      <c r="AW357" s="147">
        <v>17.8</v>
      </c>
      <c r="AX357" s="147">
        <v>17.899999999999999</v>
      </c>
      <c r="AY357" s="147">
        <v>18.5</v>
      </c>
      <c r="AZ357" s="147">
        <v>19.8</v>
      </c>
      <c r="BA357" s="147">
        <v>22.4</v>
      </c>
      <c r="BC357" s="111">
        <f t="shared" si="273"/>
        <v>-0.10000000000000142</v>
      </c>
      <c r="BD357" s="111">
        <f t="shared" si="261"/>
        <v>0</v>
      </c>
      <c r="BE357" s="111">
        <f t="shared" si="262"/>
        <v>0</v>
      </c>
      <c r="BF357" s="111">
        <f t="shared" si="263"/>
        <v>0</v>
      </c>
      <c r="BG357" s="111">
        <f t="shared" si="264"/>
        <v>0</v>
      </c>
      <c r="BH357" s="111">
        <f t="shared" si="265"/>
        <v>0</v>
      </c>
      <c r="BI357" s="111">
        <f t="shared" si="266"/>
        <v>0.10000000000000142</v>
      </c>
      <c r="BJ357" s="111">
        <f t="shared" si="267"/>
        <v>9.9999999999997868E-2</v>
      </c>
      <c r="BK357" s="111">
        <f t="shared" si="268"/>
        <v>0.10000000000000142</v>
      </c>
      <c r="BL357" s="111">
        <f t="shared" si="269"/>
        <v>9.9999999999997868E-2</v>
      </c>
      <c r="BM357" s="111">
        <f t="shared" si="270"/>
        <v>0.19999999999999929</v>
      </c>
      <c r="BN357" s="111">
        <f t="shared" si="271"/>
        <v>0.10000000000000142</v>
      </c>
      <c r="BO357" s="111">
        <f t="shared" si="272"/>
        <v>9.9999999999997868E-2</v>
      </c>
      <c r="BR357" s="120">
        <v>7.6209528583626104E-3</v>
      </c>
      <c r="BS357" s="120">
        <v>7.6476093841037823E-3</v>
      </c>
      <c r="BT357" s="120">
        <v>7.5649776434838986E-3</v>
      </c>
      <c r="BU357" s="120">
        <v>7.4485216476358656E-3</v>
      </c>
      <c r="BV357" s="120">
        <v>7.490221711643855E-3</v>
      </c>
      <c r="BW357" s="120">
        <v>7.5231628150737402E-3</v>
      </c>
      <c r="BX357" s="120">
        <v>7.3272880703330106E-3</v>
      </c>
      <c r="BY357" s="120">
        <v>7.4489534114295696E-3</v>
      </c>
      <c r="BZ357" s="120">
        <v>7.454381739339622E-3</v>
      </c>
      <c r="CA357" s="120">
        <v>7.7019552526329865E-3</v>
      </c>
      <c r="CB357" s="120">
        <v>8.6975366009838708E-3</v>
      </c>
      <c r="CC357" s="120">
        <v>1.0473705461221646E-2</v>
      </c>
      <c r="CD357" s="120">
        <v>1.5794986848718783E-2</v>
      </c>
      <c r="CF357" s="120">
        <v>0.23549639841222186</v>
      </c>
      <c r="CG357" s="120">
        <v>0.22596589177909779</v>
      </c>
      <c r="CH357" s="120">
        <v>0.21860725913320053</v>
      </c>
      <c r="CI357" s="120">
        <v>0.21079991205745538</v>
      </c>
      <c r="CJ357" s="120">
        <v>0.20787669660145158</v>
      </c>
      <c r="CK357" s="120">
        <v>0.20487422909439112</v>
      </c>
      <c r="CL357" s="120">
        <v>0.19218621175093376</v>
      </c>
      <c r="CM357" s="120">
        <v>0.18282882593159203</v>
      </c>
      <c r="CN357" s="120">
        <v>0.17226777756560466</v>
      </c>
      <c r="CO357" s="120">
        <v>0.16858759543099139</v>
      </c>
      <c r="CP357" s="120">
        <v>0.17322168422397202</v>
      </c>
      <c r="CQ357" s="120">
        <v>0.17854001004665257</v>
      </c>
      <c r="CR357" s="120">
        <v>0.20455543426221645</v>
      </c>
    </row>
    <row r="358" spans="38:96" ht="12.75" x14ac:dyDescent="0.2">
      <c r="AN358" t="s">
        <v>106</v>
      </c>
      <c r="AO358" s="146">
        <v>21.3</v>
      </c>
      <c r="AP358" s="146">
        <v>19.600000000000001</v>
      </c>
      <c r="AQ358" s="146">
        <v>19.100000000000001</v>
      </c>
      <c r="AR358" s="146">
        <v>18.8</v>
      </c>
      <c r="AS358" s="129">
        <f t="shared" si="260"/>
        <v>18.649999999999999</v>
      </c>
      <c r="AT358" s="147">
        <v>18.5</v>
      </c>
      <c r="AU358" s="147">
        <v>18.3</v>
      </c>
      <c r="AV358" s="147">
        <v>17.899999999999999</v>
      </c>
      <c r="AW358" s="147">
        <v>17.7</v>
      </c>
      <c r="AX358" s="147">
        <v>17.600000000000001</v>
      </c>
      <c r="AY358" s="147">
        <v>17.899999999999999</v>
      </c>
      <c r="AZ358" s="147">
        <v>19</v>
      </c>
      <c r="BA358" s="147">
        <v>21.3</v>
      </c>
      <c r="BC358" s="111">
        <f t="shared" si="273"/>
        <v>0</v>
      </c>
      <c r="BD358" s="111">
        <f t="shared" si="261"/>
        <v>0</v>
      </c>
      <c r="BE358" s="111">
        <f t="shared" si="262"/>
        <v>0</v>
      </c>
      <c r="BF358" s="111">
        <f t="shared" si="263"/>
        <v>0</v>
      </c>
      <c r="BG358" s="111">
        <f t="shared" si="264"/>
        <v>0</v>
      </c>
      <c r="BH358" s="111">
        <f t="shared" si="265"/>
        <v>0</v>
      </c>
      <c r="BI358" s="111">
        <f t="shared" si="266"/>
        <v>0.10000000000000142</v>
      </c>
      <c r="BJ358" s="111">
        <f t="shared" si="267"/>
        <v>9.9999999999997868E-2</v>
      </c>
      <c r="BK358" s="111">
        <f t="shared" si="268"/>
        <v>9.9999999999997868E-2</v>
      </c>
      <c r="BL358" s="111">
        <f t="shared" si="269"/>
        <v>0.10000000000000142</v>
      </c>
      <c r="BM358" s="111">
        <f t="shared" si="270"/>
        <v>9.9999999999997868E-2</v>
      </c>
      <c r="BN358" s="111">
        <f t="shared" si="271"/>
        <v>0.10000000000000142</v>
      </c>
      <c r="BO358" s="111">
        <f t="shared" si="272"/>
        <v>0.10000000000000142</v>
      </c>
      <c r="BR358" s="120">
        <v>7.6938424968670234E-3</v>
      </c>
      <c r="BS358" s="120">
        <v>7.4169430918864694E-3</v>
      </c>
      <c r="BT358" s="120">
        <v>7.4224892118828854E-3</v>
      </c>
      <c r="BU358" s="120">
        <v>7.5071003179912983E-3</v>
      </c>
      <c r="BV358" s="120">
        <v>7.4703370819869681E-3</v>
      </c>
      <c r="BW358" s="120">
        <v>7.4263952371989329E-3</v>
      </c>
      <c r="BX358" s="120">
        <v>7.4648227319102471E-3</v>
      </c>
      <c r="BY358" s="120">
        <v>7.3795697708908875E-3</v>
      </c>
      <c r="BZ358" s="120">
        <v>7.6718719565209573E-3</v>
      </c>
      <c r="CA358" s="120">
        <v>7.7650901933968182E-3</v>
      </c>
      <c r="CB358" s="120">
        <v>8.2946933860503919E-3</v>
      </c>
      <c r="CC358" s="120">
        <v>1.0378938781175103E-2</v>
      </c>
      <c r="CD358" s="120">
        <v>1.5271914844407007E-2</v>
      </c>
      <c r="CF358" s="120">
        <v>0.23320929023445186</v>
      </c>
      <c r="CG358" s="120">
        <v>0.21452515663773708</v>
      </c>
      <c r="CH358" s="120">
        <v>0.21024002150729768</v>
      </c>
      <c r="CI358" s="120">
        <v>0.20842140247989366</v>
      </c>
      <c r="CJ358" s="120">
        <v>0.20328892824257694</v>
      </c>
      <c r="CK358" s="120">
        <v>0.19821599140220045</v>
      </c>
      <c r="CL358" s="120">
        <v>0.19220138793719754</v>
      </c>
      <c r="CM358" s="120">
        <v>0.1776924714863414</v>
      </c>
      <c r="CN358" s="120">
        <v>0.17419357143265157</v>
      </c>
      <c r="CO358" s="120">
        <v>0.1670074985364958</v>
      </c>
      <c r="CP358" s="120">
        <v>0.16217647090989609</v>
      </c>
      <c r="CQ358" s="120">
        <v>0.17417875675524414</v>
      </c>
      <c r="CR358" s="120">
        <v>0.19490467993047741</v>
      </c>
    </row>
    <row r="359" spans="38:96" ht="12.75" x14ac:dyDescent="0.2">
      <c r="AN359" t="s">
        <v>79</v>
      </c>
      <c r="AO359" s="146">
        <v>21.4</v>
      </c>
      <c r="AP359" s="146">
        <v>19.899999999999999</v>
      </c>
      <c r="AQ359" s="146">
        <v>19.3</v>
      </c>
      <c r="AR359" s="146">
        <v>19</v>
      </c>
      <c r="AS359" s="129">
        <f t="shared" si="260"/>
        <v>18.8</v>
      </c>
      <c r="AT359" s="147">
        <v>18.600000000000001</v>
      </c>
      <c r="AU359" s="147">
        <v>18.3</v>
      </c>
      <c r="AV359" s="147">
        <v>17.8</v>
      </c>
      <c r="AW359" s="147">
        <v>17.5</v>
      </c>
      <c r="AX359" s="147">
        <v>17.3</v>
      </c>
      <c r="AY359" s="147">
        <v>17.399999999999999</v>
      </c>
      <c r="AZ359" s="147">
        <v>18.3</v>
      </c>
      <c r="BA359" s="147">
        <v>20.2</v>
      </c>
      <c r="BC359" s="111">
        <f t="shared" si="273"/>
        <v>-0.10000000000000142</v>
      </c>
      <c r="BD359" s="111">
        <f t="shared" si="261"/>
        <v>0</v>
      </c>
      <c r="BE359" s="111">
        <f t="shared" si="262"/>
        <v>0</v>
      </c>
      <c r="BF359" s="111">
        <f t="shared" si="263"/>
        <v>0</v>
      </c>
      <c r="BG359" s="111">
        <f t="shared" si="264"/>
        <v>0</v>
      </c>
      <c r="BH359" s="111">
        <f t="shared" si="265"/>
        <v>0</v>
      </c>
      <c r="BI359" s="111">
        <f t="shared" si="266"/>
        <v>0</v>
      </c>
      <c r="BJ359" s="111">
        <f t="shared" si="267"/>
        <v>0</v>
      </c>
      <c r="BK359" s="111">
        <f t="shared" si="268"/>
        <v>0.10000000000000142</v>
      </c>
      <c r="BL359" s="111">
        <f t="shared" si="269"/>
        <v>0</v>
      </c>
      <c r="BM359" s="111">
        <f t="shared" si="270"/>
        <v>9.9999999999997868E-2</v>
      </c>
      <c r="BN359" s="111">
        <f t="shared" si="271"/>
        <v>0.10000000000000142</v>
      </c>
      <c r="BO359" s="111">
        <f t="shared" si="272"/>
        <v>9.9999999999997868E-2</v>
      </c>
      <c r="BR359" s="120">
        <v>7.2007518060763125E-3</v>
      </c>
      <c r="BS359" s="120">
        <v>7.5968008613356078E-3</v>
      </c>
      <c r="BT359" s="120">
        <v>7.2572025836501949E-3</v>
      </c>
      <c r="BU359" s="120">
        <v>7.2755057419042427E-3</v>
      </c>
      <c r="BV359" s="120">
        <v>7.2303490162760895E-3</v>
      </c>
      <c r="BW359" s="120">
        <v>7.1786530557575463E-3</v>
      </c>
      <c r="BX359" s="120">
        <v>7.0696350950881651E-3</v>
      </c>
      <c r="BY359" s="120">
        <v>7.215392848736412E-3</v>
      </c>
      <c r="BZ359" s="120">
        <v>7.3262320142012966E-3</v>
      </c>
      <c r="CA359" s="120">
        <v>7.5542552073347364E-3</v>
      </c>
      <c r="CB359" s="120">
        <v>8.1751004186778539E-3</v>
      </c>
      <c r="CC359" s="120">
        <v>9.8652775299055435E-3</v>
      </c>
      <c r="CD359" s="120">
        <v>1.3914608055692885E-2</v>
      </c>
      <c r="CF359" s="120">
        <v>0.21536347365021871</v>
      </c>
      <c r="CG359" s="120">
        <v>0.21775181994992018</v>
      </c>
      <c r="CH359" s="120">
        <v>0.20326864891911334</v>
      </c>
      <c r="CI359" s="120">
        <v>0.19966709397270091</v>
      </c>
      <c r="CJ359" s="120">
        <v>0.19452694628778336</v>
      </c>
      <c r="CK359" s="120">
        <v>0.189462123933545</v>
      </c>
      <c r="CL359" s="120">
        <v>0.17984219752927455</v>
      </c>
      <c r="CM359" s="120">
        <v>0.17188703395304739</v>
      </c>
      <c r="CN359" s="120">
        <v>0.16445876759398362</v>
      </c>
      <c r="CO359" s="120">
        <v>0.16073426930320489</v>
      </c>
      <c r="CP359" s="120">
        <v>0.15829472726708277</v>
      </c>
      <c r="CQ359" s="120">
        <v>0.16379722639495284</v>
      </c>
      <c r="CR359" s="120">
        <v>0.17563158487655603</v>
      </c>
    </row>
    <row r="360" spans="38:96" ht="12.75" x14ac:dyDescent="0.2">
      <c r="AN360" t="s">
        <v>159</v>
      </c>
      <c r="AO360" s="146">
        <v>21.4</v>
      </c>
      <c r="AP360" s="146">
        <v>20</v>
      </c>
      <c r="AQ360" s="146">
        <v>19.5</v>
      </c>
      <c r="AR360" s="146">
        <v>19.100000000000001</v>
      </c>
      <c r="AS360" s="129">
        <f t="shared" si="260"/>
        <v>18.850000000000001</v>
      </c>
      <c r="AT360" s="147">
        <v>18.600000000000001</v>
      </c>
      <c r="AU360" s="147">
        <v>18.3</v>
      </c>
      <c r="AV360" s="147">
        <v>17.600000000000001</v>
      </c>
      <c r="AW360" s="147">
        <v>17.100000000000001</v>
      </c>
      <c r="AX360" s="147">
        <v>16.8</v>
      </c>
      <c r="AY360" s="147">
        <v>16.600000000000001</v>
      </c>
      <c r="AZ360" s="147">
        <v>16.899999999999999</v>
      </c>
      <c r="BA360" s="147">
        <v>18.100000000000001</v>
      </c>
      <c r="BC360" s="111">
        <f t="shared" si="273"/>
        <v>0</v>
      </c>
      <c r="BD360" s="111">
        <f t="shared" si="261"/>
        <v>0</v>
      </c>
      <c r="BE360" s="111">
        <f t="shared" si="262"/>
        <v>0</v>
      </c>
      <c r="BF360" s="111">
        <f t="shared" si="263"/>
        <v>0</v>
      </c>
      <c r="BG360" s="111">
        <f t="shared" si="264"/>
        <v>0</v>
      </c>
      <c r="BH360" s="111">
        <f t="shared" si="265"/>
        <v>0</v>
      </c>
      <c r="BI360" s="111">
        <f t="shared" si="266"/>
        <v>0.10000000000000142</v>
      </c>
      <c r="BJ360" s="111">
        <f t="shared" si="267"/>
        <v>0</v>
      </c>
      <c r="BK360" s="111">
        <f t="shared" si="268"/>
        <v>0</v>
      </c>
      <c r="BL360" s="111">
        <f t="shared" si="269"/>
        <v>0.10000000000000142</v>
      </c>
      <c r="BM360" s="111">
        <f t="shared" si="270"/>
        <v>0.10000000000000142</v>
      </c>
      <c r="BN360" s="111">
        <f t="shared" si="271"/>
        <v>9.9999999999997868E-2</v>
      </c>
      <c r="BO360" s="111">
        <f t="shared" si="272"/>
        <v>0</v>
      </c>
      <c r="BR360" s="120">
        <v>7.2947009540431191E-3</v>
      </c>
      <c r="BS360" s="120">
        <v>6.9919940126637013E-3</v>
      </c>
      <c r="BT360" s="120">
        <v>7.3353187973028222E-3</v>
      </c>
      <c r="BU360" s="120">
        <v>7.1387572715407785E-3</v>
      </c>
      <c r="BV360" s="120">
        <v>7.1417500175789102E-3</v>
      </c>
      <c r="BW360" s="120">
        <v>7.1388264603301872E-3</v>
      </c>
      <c r="BX360" s="120">
        <v>7.4245028435327856E-3</v>
      </c>
      <c r="BY360" s="120">
        <v>7.2967013630264423E-3</v>
      </c>
      <c r="BZ360" s="120">
        <v>7.2856996282935609E-3</v>
      </c>
      <c r="CA360" s="120">
        <v>7.4824798942202406E-3</v>
      </c>
      <c r="CB360" s="120">
        <v>7.8559767748863276E-3</v>
      </c>
      <c r="CC360" s="120">
        <v>8.7300740780055352E-3</v>
      </c>
      <c r="CD360" s="120">
        <v>1.1796422491533847E-2</v>
      </c>
      <c r="CF360" s="120">
        <v>0.21320587785154643</v>
      </c>
      <c r="CG360" s="120">
        <v>0.19484851429659758</v>
      </c>
      <c r="CH360" s="120">
        <v>0.20072136148893358</v>
      </c>
      <c r="CI360" s="120">
        <v>0.19117995983222041</v>
      </c>
      <c r="CJ360" s="120">
        <v>0.18755605219120783</v>
      </c>
      <c r="CK360" s="120">
        <v>0.18396420305199382</v>
      </c>
      <c r="CL360" s="120">
        <v>0.18485751018263744</v>
      </c>
      <c r="CM360" s="120">
        <v>0.16990480225674637</v>
      </c>
      <c r="CN360" s="120">
        <v>0.1598608933839078</v>
      </c>
      <c r="CO360" s="120">
        <v>0.15564435713987007</v>
      </c>
      <c r="CP360" s="120">
        <v>0.14865129169335042</v>
      </c>
      <c r="CQ360" s="120">
        <v>0.1415511670345774</v>
      </c>
      <c r="CR360" s="120">
        <v>0.14548934692113016</v>
      </c>
    </row>
    <row r="361" spans="38:96" ht="12.75" x14ac:dyDescent="0.2">
      <c r="AN361" t="s">
        <v>107</v>
      </c>
      <c r="AO361" s="146">
        <v>21</v>
      </c>
      <c r="AP361" s="146">
        <v>19.8</v>
      </c>
      <c r="AQ361" s="146">
        <v>19.3</v>
      </c>
      <c r="AR361" s="146">
        <v>18.899999999999999</v>
      </c>
      <c r="AS361" s="129">
        <f t="shared" si="260"/>
        <v>18.649999999999999</v>
      </c>
      <c r="AT361" s="147">
        <v>18.399999999999999</v>
      </c>
      <c r="AU361" s="147">
        <v>18</v>
      </c>
      <c r="AV361" s="147">
        <v>17.3</v>
      </c>
      <c r="AW361" s="147">
        <v>16.7</v>
      </c>
      <c r="AX361" s="147">
        <v>16.2</v>
      </c>
      <c r="AY361" s="147">
        <v>15.8</v>
      </c>
      <c r="AZ361" s="147">
        <v>15.5</v>
      </c>
      <c r="BA361" s="147">
        <v>16</v>
      </c>
      <c r="BC361" s="111">
        <f t="shared" si="273"/>
        <v>-0.10000000000000142</v>
      </c>
      <c r="BD361" s="111">
        <f t="shared" si="261"/>
        <v>0</v>
      </c>
      <c r="BE361" s="111">
        <f t="shared" si="262"/>
        <v>0</v>
      </c>
      <c r="BF361" s="111">
        <f t="shared" si="263"/>
        <v>-0.10000000000000142</v>
      </c>
      <c r="BG361" s="111">
        <f t="shared" si="264"/>
        <v>-5.0000000000000711E-2</v>
      </c>
      <c r="BH361" s="111">
        <f t="shared" si="265"/>
        <v>0</v>
      </c>
      <c r="BI361" s="111">
        <f t="shared" si="266"/>
        <v>0</v>
      </c>
      <c r="BJ361" s="111">
        <f t="shared" si="267"/>
        <v>0.10000000000000142</v>
      </c>
      <c r="BK361" s="111">
        <f t="shared" si="268"/>
        <v>9.9999999999997868E-2</v>
      </c>
      <c r="BL361" s="111">
        <f t="shared" si="269"/>
        <v>0</v>
      </c>
      <c r="BM361" s="111">
        <f t="shared" si="270"/>
        <v>0.10000000000000142</v>
      </c>
      <c r="BN361" s="111">
        <f t="shared" si="271"/>
        <v>0</v>
      </c>
      <c r="BO361" s="111">
        <f t="shared" si="272"/>
        <v>0</v>
      </c>
      <c r="BR361" s="120">
        <v>6.4968109895777604E-3</v>
      </c>
      <c r="BS361" s="120">
        <v>6.8119432085692998E-3</v>
      </c>
      <c r="BT361" s="120">
        <v>6.5123945567228409E-3</v>
      </c>
      <c r="BU361" s="120">
        <v>6.6372216190676838E-3</v>
      </c>
      <c r="BV361" s="120">
        <v>6.704392661369088E-3</v>
      </c>
      <c r="BW361" s="120">
        <v>6.7682100608531057E-3</v>
      </c>
      <c r="BX361" s="120">
        <v>6.5685512070753401E-3</v>
      </c>
      <c r="BY361" s="120">
        <v>6.9892719205507008E-3</v>
      </c>
      <c r="BZ361" s="120">
        <v>7.1575704104428978E-3</v>
      </c>
      <c r="CA361" s="120">
        <v>7.0436711930897226E-3</v>
      </c>
      <c r="CB361" s="120">
        <v>7.5050930459498767E-3</v>
      </c>
      <c r="CC361" s="120">
        <v>8.2022982919808651E-3</v>
      </c>
      <c r="CD361" s="120">
        <v>1.0600366615626881E-2</v>
      </c>
      <c r="CF361" s="120">
        <v>0.19026507944892371</v>
      </c>
      <c r="CG361" s="120">
        <v>0.19125082855886916</v>
      </c>
      <c r="CH361" s="120">
        <v>0.17858156168857187</v>
      </c>
      <c r="CI361" s="120">
        <v>0.1784800273307279</v>
      </c>
      <c r="CJ361" s="120">
        <v>0.1768318035667229</v>
      </c>
      <c r="CK361" s="120">
        <v>0.17520478924180957</v>
      </c>
      <c r="CL361" s="120">
        <v>0.16377392339764035</v>
      </c>
      <c r="CM361" s="120">
        <v>0.16343516864155949</v>
      </c>
      <c r="CN361" s="120">
        <v>0.15778180275224968</v>
      </c>
      <c r="CO361" s="120">
        <v>0.14702491960528366</v>
      </c>
      <c r="CP361" s="120">
        <v>0.14259286537077301</v>
      </c>
      <c r="CQ361" s="120">
        <v>0.13356905305873651</v>
      </c>
      <c r="CR361" s="120">
        <v>0.13130160408380323</v>
      </c>
    </row>
    <row r="362" spans="38:96" ht="12.75" x14ac:dyDescent="0.2">
      <c r="AN362" t="s">
        <v>108</v>
      </c>
      <c r="AO362" s="146">
        <v>20.5</v>
      </c>
      <c r="AP362" s="146">
        <v>19.399999999999999</v>
      </c>
      <c r="AQ362" s="146">
        <v>19</v>
      </c>
      <c r="AR362" s="146">
        <v>18.7</v>
      </c>
      <c r="AS362" s="129">
        <f t="shared" si="260"/>
        <v>18.399999999999999</v>
      </c>
      <c r="AT362" s="147">
        <v>18.100000000000001</v>
      </c>
      <c r="AU362" s="147">
        <v>17.7</v>
      </c>
      <c r="AV362" s="147">
        <v>16.899999999999999</v>
      </c>
      <c r="AW362" s="147">
        <v>16.3</v>
      </c>
      <c r="AX362" s="147">
        <v>15.8</v>
      </c>
      <c r="AY362" s="147">
        <v>15.1</v>
      </c>
      <c r="AZ362" s="147">
        <v>14.5</v>
      </c>
      <c r="BA362" s="147">
        <v>14.3</v>
      </c>
      <c r="BC362" s="111">
        <f t="shared" si="273"/>
        <v>0</v>
      </c>
      <c r="BD362" s="111">
        <f t="shared" si="261"/>
        <v>0</v>
      </c>
      <c r="BE362" s="111">
        <f t="shared" si="262"/>
        <v>0</v>
      </c>
      <c r="BF362" s="111">
        <f t="shared" si="263"/>
        <v>0</v>
      </c>
      <c r="BG362" s="111">
        <f t="shared" si="264"/>
        <v>0</v>
      </c>
      <c r="BH362" s="111">
        <f t="shared" si="265"/>
        <v>0</v>
      </c>
      <c r="BI362" s="111">
        <f t="shared" si="266"/>
        <v>0</v>
      </c>
      <c r="BJ362" s="111">
        <f t="shared" si="267"/>
        <v>0</v>
      </c>
      <c r="BK362" s="111">
        <f t="shared" si="268"/>
        <v>0.10000000000000142</v>
      </c>
      <c r="BL362" s="111">
        <f t="shared" si="269"/>
        <v>0</v>
      </c>
      <c r="BM362" s="111">
        <f t="shared" si="270"/>
        <v>0</v>
      </c>
      <c r="BN362" s="111">
        <f t="shared" si="271"/>
        <v>0</v>
      </c>
      <c r="BO362" s="111">
        <f t="shared" si="272"/>
        <v>0</v>
      </c>
      <c r="BR362" s="120">
        <v>6.526978321199927E-3</v>
      </c>
      <c r="BS362" s="120">
        <v>6.244792309666518E-3</v>
      </c>
      <c r="BT362" s="120">
        <v>6.5863245090115726E-3</v>
      </c>
      <c r="BU362" s="120">
        <v>6.6560716073722492E-3</v>
      </c>
      <c r="BV362" s="120">
        <v>6.5808666181723279E-3</v>
      </c>
      <c r="BW362" s="120">
        <v>6.4956467565367654E-3</v>
      </c>
      <c r="BX362" s="120">
        <v>6.8127261042316249E-3</v>
      </c>
      <c r="BY362" s="120">
        <v>6.588751051211551E-3</v>
      </c>
      <c r="BZ362" s="120">
        <v>6.7498947368134603E-3</v>
      </c>
      <c r="CA362" s="120">
        <v>7.1462684369866213E-3</v>
      </c>
      <c r="CB362" s="120">
        <v>7.0670823143339648E-3</v>
      </c>
      <c r="CC362" s="120">
        <v>7.8588269555326142E-3</v>
      </c>
      <c r="CD362" s="120">
        <v>9.5908078315743214E-3</v>
      </c>
      <c r="CF362" s="120">
        <v>0.19994530186966594</v>
      </c>
      <c r="CG362" s="120">
        <v>0.18238608536102993</v>
      </c>
      <c r="CH362" s="120">
        <v>0.18855660848066566</v>
      </c>
      <c r="CI362" s="120">
        <v>0.18672932849444085</v>
      </c>
      <c r="CJ362" s="120">
        <v>0.18088266216364421</v>
      </c>
      <c r="CK362" s="120">
        <v>0.17504133807405209</v>
      </c>
      <c r="CL362" s="120">
        <v>0.17711539878056543</v>
      </c>
      <c r="CM362" s="120">
        <v>0.16002124419863234</v>
      </c>
      <c r="CN362" s="120">
        <v>0.15440777642967035</v>
      </c>
      <c r="CO362" s="120">
        <v>0.15482671185620109</v>
      </c>
      <c r="CP362" s="120">
        <v>0.13891588802431029</v>
      </c>
      <c r="CQ362" s="120">
        <v>0.13208009966034581</v>
      </c>
      <c r="CR362" s="120">
        <v>0.12204676609056048</v>
      </c>
    </row>
    <row r="363" spans="38:96" ht="12.75" x14ac:dyDescent="0.2">
      <c r="AN363" t="s">
        <v>109</v>
      </c>
      <c r="AO363" s="146">
        <v>20.2</v>
      </c>
      <c r="AP363" s="146">
        <v>19.2</v>
      </c>
      <c r="AQ363" s="146">
        <v>18.8</v>
      </c>
      <c r="AR363" s="146">
        <v>18.5</v>
      </c>
      <c r="AS363" s="129">
        <f t="shared" si="260"/>
        <v>18.25</v>
      </c>
      <c r="AT363" s="147">
        <v>18</v>
      </c>
      <c r="AU363" s="147">
        <v>17.5</v>
      </c>
      <c r="AV363" s="147">
        <v>16.7</v>
      </c>
      <c r="AW363" s="147">
        <v>16.100000000000001</v>
      </c>
      <c r="AX363" s="147">
        <v>15.6</v>
      </c>
      <c r="AY363" s="147">
        <v>14.9</v>
      </c>
      <c r="AZ363" s="147">
        <v>14.2</v>
      </c>
      <c r="BA363" s="147">
        <v>13.6</v>
      </c>
      <c r="BC363" s="111">
        <f t="shared" si="273"/>
        <v>0</v>
      </c>
      <c r="BD363" s="111">
        <f t="shared" si="261"/>
        <v>0</v>
      </c>
      <c r="BE363" s="111">
        <f t="shared" si="262"/>
        <v>-9.9999999999997868E-2</v>
      </c>
      <c r="BF363" s="111">
        <f t="shared" si="263"/>
        <v>0</v>
      </c>
      <c r="BG363" s="111">
        <f t="shared" si="264"/>
        <v>0</v>
      </c>
      <c r="BH363" s="111">
        <f t="shared" si="265"/>
        <v>0</v>
      </c>
      <c r="BI363" s="111">
        <f t="shared" si="266"/>
        <v>0</v>
      </c>
      <c r="BJ363" s="111">
        <f t="shared" si="267"/>
        <v>0</v>
      </c>
      <c r="BK363" s="111">
        <f t="shared" si="268"/>
        <v>0</v>
      </c>
      <c r="BL363" s="111">
        <f t="shared" si="269"/>
        <v>0</v>
      </c>
      <c r="BM363" s="111">
        <f t="shared" si="270"/>
        <v>0</v>
      </c>
      <c r="BN363" s="111">
        <f t="shared" si="271"/>
        <v>9.9999999999999645E-2</v>
      </c>
      <c r="BO363" s="111">
        <f t="shared" si="272"/>
        <v>0</v>
      </c>
      <c r="BR363" s="120">
        <v>5.9512846660682607E-3</v>
      </c>
      <c r="BS363" s="120">
        <v>6.2446503831141949E-3</v>
      </c>
      <c r="BT363" s="120">
        <v>5.9729177325110296E-3</v>
      </c>
      <c r="BU363" s="120">
        <v>5.9619950143339267E-3</v>
      </c>
      <c r="BV363" s="120">
        <v>6.1708151360846224E-3</v>
      </c>
      <c r="BW363" s="120">
        <v>6.384103823875162E-3</v>
      </c>
      <c r="BX363" s="120">
        <v>6.0488340262067359E-3</v>
      </c>
      <c r="BY363" s="120">
        <v>6.4551210985955834E-3</v>
      </c>
      <c r="BZ363" s="120">
        <v>6.6027588809639045E-3</v>
      </c>
      <c r="CA363" s="120">
        <v>6.5657565601371579E-3</v>
      </c>
      <c r="CB363" s="120">
        <v>7.2849334880952495E-3</v>
      </c>
      <c r="CC363" s="120">
        <v>7.978626142143265E-3</v>
      </c>
      <c r="CD363" s="120">
        <v>9.7018669518844289E-3</v>
      </c>
      <c r="CF363" s="120">
        <v>0.18975871690364285</v>
      </c>
      <c r="CG363" s="120">
        <v>0.19009267989747161</v>
      </c>
      <c r="CH363" s="120">
        <v>0.17775672617470054</v>
      </c>
      <c r="CI363" s="120">
        <v>0.17367846828227046</v>
      </c>
      <c r="CJ363" s="120">
        <v>0.17628705303720277</v>
      </c>
      <c r="CK363" s="120">
        <v>0.17896797973911352</v>
      </c>
      <c r="CL363" s="120">
        <v>0.16313356120257488</v>
      </c>
      <c r="CM363" s="120">
        <v>0.16257640323392233</v>
      </c>
      <c r="CN363" s="120">
        <v>0.15644622571614936</v>
      </c>
      <c r="CO363" s="120">
        <v>0.1472714042642897</v>
      </c>
      <c r="CP363" s="120">
        <v>0.14823261090901726</v>
      </c>
      <c r="CQ363" s="120">
        <v>0.13858707793613437</v>
      </c>
      <c r="CR363" s="120">
        <v>0.12711722959096475</v>
      </c>
    </row>
    <row r="364" spans="38:96" ht="12.75" x14ac:dyDescent="0.2">
      <c r="AN364" t="s">
        <v>110</v>
      </c>
      <c r="AO364" s="146">
        <v>19.899999999999999</v>
      </c>
      <c r="AP364" s="146">
        <v>19</v>
      </c>
      <c r="AQ364" s="146">
        <v>18.7</v>
      </c>
      <c r="AR364" s="146">
        <v>18.399999999999999</v>
      </c>
      <c r="AS364" s="129">
        <f t="shared" si="260"/>
        <v>18.100000000000001</v>
      </c>
      <c r="AT364" s="147">
        <v>17.8</v>
      </c>
      <c r="AU364" s="147">
        <v>17.399999999999999</v>
      </c>
      <c r="AV364" s="147">
        <v>16.600000000000001</v>
      </c>
      <c r="AW364" s="147">
        <v>16</v>
      </c>
      <c r="AX364" s="147">
        <v>15.5</v>
      </c>
      <c r="AY364" s="147">
        <v>14.7</v>
      </c>
      <c r="AZ364" s="147">
        <v>13.9</v>
      </c>
      <c r="BA364" s="147">
        <v>13.2</v>
      </c>
      <c r="BC364" s="111">
        <f t="shared" si="273"/>
        <v>0</v>
      </c>
      <c r="BD364" s="111">
        <f t="shared" si="261"/>
        <v>0</v>
      </c>
      <c r="BE364" s="111">
        <f t="shared" si="262"/>
        <v>0</v>
      </c>
      <c r="BF364" s="111">
        <f t="shared" si="263"/>
        <v>0</v>
      </c>
      <c r="BG364" s="111">
        <f t="shared" si="264"/>
        <v>0</v>
      </c>
      <c r="BH364" s="111">
        <f t="shared" si="265"/>
        <v>0</v>
      </c>
      <c r="BI364" s="111">
        <f t="shared" si="266"/>
        <v>0</v>
      </c>
      <c r="BJ364" s="111">
        <f t="shared" si="267"/>
        <v>0</v>
      </c>
      <c r="BK364" s="111">
        <f t="shared" si="268"/>
        <v>0</v>
      </c>
      <c r="BL364" s="111">
        <f t="shared" si="269"/>
        <v>0</v>
      </c>
      <c r="BM364" s="111">
        <f t="shared" si="270"/>
        <v>0</v>
      </c>
      <c r="BN364" s="111">
        <f t="shared" si="271"/>
        <v>0</v>
      </c>
      <c r="BO364" s="111">
        <f t="shared" si="272"/>
        <v>9.9999999999999645E-2</v>
      </c>
      <c r="BR364" s="120">
        <v>5.8265444300917412E-3</v>
      </c>
      <c r="BS364" s="120">
        <v>5.7491026967555862E-3</v>
      </c>
      <c r="BT364" s="120">
        <v>6.2191854623621905E-3</v>
      </c>
      <c r="BU364" s="120">
        <v>6.2783620868706669E-3</v>
      </c>
      <c r="BV364" s="120">
        <v>6.0439679245027824E-3</v>
      </c>
      <c r="BW364" s="120">
        <v>5.7888345251030484E-3</v>
      </c>
      <c r="BX364" s="120">
        <v>6.4361590226520949E-3</v>
      </c>
      <c r="BY364" s="120">
        <v>6.3412938013195303E-3</v>
      </c>
      <c r="BZ364" s="120">
        <v>6.5005632349097097E-3</v>
      </c>
      <c r="CA364" s="120">
        <v>6.8131650820179614E-3</v>
      </c>
      <c r="CB364" s="120">
        <v>6.4991337841972989E-3</v>
      </c>
      <c r="CC364" s="120">
        <v>7.03644233757588E-3</v>
      </c>
      <c r="CD364" s="120">
        <v>9.1621622254276797E-3</v>
      </c>
      <c r="CF364" s="120">
        <v>0.18813029545182439</v>
      </c>
      <c r="CG364" s="120">
        <v>0.17720384687597654</v>
      </c>
      <c r="CH364" s="120">
        <v>0.18805304114727661</v>
      </c>
      <c r="CI364" s="120">
        <v>0.18585148504549365</v>
      </c>
      <c r="CJ364" s="120">
        <v>0.17489627041883626</v>
      </c>
      <c r="CK364" s="120">
        <v>0.16386999627901397</v>
      </c>
      <c r="CL364" s="120">
        <v>0.17612764484633486</v>
      </c>
      <c r="CM364" s="120">
        <v>0.16199813953788003</v>
      </c>
      <c r="CN364" s="120">
        <v>0.15615898178213417</v>
      </c>
      <c r="CO364" s="120">
        <v>0.15470389308632301</v>
      </c>
      <c r="CP364" s="120">
        <v>0.13347988875906916</v>
      </c>
      <c r="CQ364" s="120">
        <v>0.123109194401888</v>
      </c>
      <c r="CR364" s="120">
        <v>0.12116454948647545</v>
      </c>
    </row>
    <row r="366" spans="38:96" x14ac:dyDescent="0.2">
      <c r="AO366">
        <v>-0.5</v>
      </c>
      <c r="AP366">
        <v>-0.25</v>
      </c>
      <c r="AQ366">
        <v>-0.13</v>
      </c>
      <c r="AR366">
        <v>0</v>
      </c>
      <c r="AS366">
        <v>0.125</v>
      </c>
      <c r="AT366" s="126">
        <v>0.25</v>
      </c>
      <c r="AU366" s="126">
        <v>0.5</v>
      </c>
      <c r="AV366" s="126">
        <v>1</v>
      </c>
      <c r="AW366" s="126">
        <v>1.5</v>
      </c>
      <c r="AX366" s="126">
        <v>2</v>
      </c>
      <c r="AY366" s="126">
        <v>3</v>
      </c>
      <c r="AZ366" s="126">
        <v>5</v>
      </c>
      <c r="BA366" s="126">
        <v>10</v>
      </c>
    </row>
    <row r="367" spans="38:96" ht="12.75" x14ac:dyDescent="0.2">
      <c r="AL367" s="105" t="s">
        <v>303</v>
      </c>
      <c r="AN367" t="s">
        <v>25</v>
      </c>
      <c r="AO367" s="147">
        <v>8.4</v>
      </c>
      <c r="AP367" s="147">
        <v>7.1</v>
      </c>
      <c r="AQ367" s="147">
        <v>8.4</v>
      </c>
      <c r="AR367" s="147">
        <v>10.1</v>
      </c>
      <c r="AS367" s="129">
        <f t="shared" ref="AS367:AS381" si="274">(AR367+AT367)/2</f>
        <v>11.649999999999999</v>
      </c>
      <c r="AT367" s="147">
        <v>13.2</v>
      </c>
      <c r="AU367" s="147">
        <v>15.9</v>
      </c>
      <c r="AV367" s="147">
        <v>20.5</v>
      </c>
      <c r="AW367" s="147">
        <v>24.3</v>
      </c>
      <c r="AX367" s="147">
        <v>27.5</v>
      </c>
      <c r="AY367" s="147">
        <v>32.799999999999997</v>
      </c>
      <c r="AZ367" s="147">
        <v>40.700000000000003</v>
      </c>
      <c r="BA367" s="147">
        <v>52.7</v>
      </c>
      <c r="BC367" s="111">
        <f>AO367-AO350</f>
        <v>-1.0999999999999996</v>
      </c>
      <c r="BD367" s="111">
        <f t="shared" ref="BD367:BD381" si="275">AP367-AP350</f>
        <v>0.19999999999999929</v>
      </c>
      <c r="BE367" s="111">
        <f t="shared" ref="BE367:BE381" si="276">AQ367-AQ350</f>
        <v>0.70000000000000018</v>
      </c>
      <c r="BF367" s="111">
        <f t="shared" ref="BF367:BF381" si="277">AR367-AR350</f>
        <v>0.90000000000000036</v>
      </c>
      <c r="BG367" s="111">
        <f t="shared" ref="BG367:BG381" si="278">AS367-AS350</f>
        <v>1.0499999999999989</v>
      </c>
      <c r="BH367" s="111">
        <f t="shared" ref="BH367:BH381" si="279">AT367-AT350</f>
        <v>1.1999999999999993</v>
      </c>
      <c r="BI367" s="111">
        <f t="shared" ref="BI367:BI381" si="280">AU367-AU350</f>
        <v>1.3000000000000007</v>
      </c>
      <c r="BJ367" s="111">
        <f t="shared" ref="BJ367:BJ381" si="281">AV367-AV350</f>
        <v>1.6000000000000014</v>
      </c>
      <c r="BK367" s="111">
        <f t="shared" ref="BK367:BK381" si="282">AW367-AW350</f>
        <v>1.8000000000000007</v>
      </c>
      <c r="BL367" s="111">
        <f t="shared" ref="BL367:BL381" si="283">AX367-AX350</f>
        <v>1.8999999999999986</v>
      </c>
      <c r="BM367" s="111">
        <f t="shared" ref="BM367:BM381" si="284">AY367-AY350</f>
        <v>2.1999999999999957</v>
      </c>
      <c r="BN367" s="111">
        <f t="shared" ref="BN367:BN381" si="285">AZ367-AZ350</f>
        <v>2.6000000000000014</v>
      </c>
      <c r="BO367" s="111">
        <f t="shared" ref="BO367:BO381" si="286">BA367-BA350</f>
        <v>3</v>
      </c>
      <c r="BR367" s="120">
        <v>2.1858296559939686E-3</v>
      </c>
      <c r="BS367" s="120">
        <v>1.9240718234048763E-3</v>
      </c>
      <c r="BT367" s="120">
        <v>2.3452441510503127E-3</v>
      </c>
      <c r="BU367" s="120">
        <v>2.8802432752890531E-3</v>
      </c>
      <c r="BV367" s="120">
        <v>3.3907484894124718E-3</v>
      </c>
      <c r="BW367" s="120">
        <v>3.9187929352339605E-3</v>
      </c>
      <c r="BX367" s="120">
        <v>4.9025894764693229E-3</v>
      </c>
      <c r="BY367" s="120">
        <v>6.7759788622419751E-3</v>
      </c>
      <c r="BZ367" s="120">
        <v>8.550730160226146E-3</v>
      </c>
      <c r="CA367" s="120">
        <v>1.0244213127024272E-2</v>
      </c>
      <c r="CB367" s="120">
        <v>1.3511250527223188E-2</v>
      </c>
      <c r="CC367" s="120">
        <v>1.9699658463576106E-2</v>
      </c>
      <c r="CD367" s="120">
        <v>3.4486366437138857E-2</v>
      </c>
      <c r="CF367" s="120">
        <v>8.400055060010822E-2</v>
      </c>
      <c r="CG367" s="120">
        <v>7.0430828124132219E-2</v>
      </c>
      <c r="CH367" s="120">
        <v>8.3988989020964466E-2</v>
      </c>
      <c r="CI367" s="120">
        <v>0.10099949778375887</v>
      </c>
      <c r="CJ367" s="120">
        <v>0.11649828911591385</v>
      </c>
      <c r="CK367" s="120">
        <v>0.13199706479292972</v>
      </c>
      <c r="CL367" s="120">
        <v>0.15898776534863482</v>
      </c>
      <c r="CM367" s="120">
        <v>0.20495977714526339</v>
      </c>
      <c r="CN367" s="120">
        <v>0.24293137188504638</v>
      </c>
      <c r="CO367" s="120">
        <v>0.27491693113715304</v>
      </c>
      <c r="CP367" s="120">
        <v>0.32781754501787669</v>
      </c>
      <c r="CQ367" s="120">
        <v>0.40455095684513914</v>
      </c>
      <c r="CR367" s="120">
        <v>0.53164447294614603</v>
      </c>
    </row>
    <row r="368" spans="38:96" ht="12.75" x14ac:dyDescent="0.2">
      <c r="AN368" t="s">
        <v>157</v>
      </c>
      <c r="AO368" s="147">
        <v>10.4</v>
      </c>
      <c r="AP368" s="147">
        <v>9.5</v>
      </c>
      <c r="AQ368" s="147">
        <v>10.7</v>
      </c>
      <c r="AR368" s="147">
        <v>12.2</v>
      </c>
      <c r="AS368" s="129">
        <f t="shared" si="274"/>
        <v>13.5</v>
      </c>
      <c r="AT368" s="147">
        <v>14.8</v>
      </c>
      <c r="AU368" s="147">
        <v>17.2</v>
      </c>
      <c r="AV368" s="147">
        <v>21.2</v>
      </c>
      <c r="AW368" s="147">
        <v>24.4</v>
      </c>
      <c r="AX368" s="147">
        <v>27.1</v>
      </c>
      <c r="AY368" s="147">
        <v>31.6</v>
      </c>
      <c r="AZ368" s="147">
        <v>38</v>
      </c>
      <c r="BA368" s="147">
        <v>47.4</v>
      </c>
      <c r="BC368" s="111">
        <f t="shared" ref="BC368:BC381" si="287">AO368-AO351</f>
        <v>-1.0999999999999996</v>
      </c>
      <c r="BD368" s="111">
        <f t="shared" si="275"/>
        <v>0.19999999999999929</v>
      </c>
      <c r="BE368" s="111">
        <f t="shared" si="276"/>
        <v>0.79999999999999893</v>
      </c>
      <c r="BF368" s="111">
        <f t="shared" si="277"/>
        <v>1.1999999999999993</v>
      </c>
      <c r="BG368" s="111">
        <f t="shared" si="278"/>
        <v>1.4000000000000004</v>
      </c>
      <c r="BH368" s="111">
        <f t="shared" si="279"/>
        <v>1.6000000000000014</v>
      </c>
      <c r="BI368" s="111">
        <f t="shared" si="280"/>
        <v>1.8999999999999986</v>
      </c>
      <c r="BJ368" s="111">
        <f t="shared" si="281"/>
        <v>2.3999999999999986</v>
      </c>
      <c r="BK368" s="111">
        <f t="shared" si="282"/>
        <v>2.5999999999999979</v>
      </c>
      <c r="BL368" s="111">
        <f t="shared" si="283"/>
        <v>2.8000000000000007</v>
      </c>
      <c r="BM368" s="111">
        <f t="shared" si="284"/>
        <v>3.2000000000000028</v>
      </c>
      <c r="BN368" s="111">
        <f t="shared" si="285"/>
        <v>3.6000000000000014</v>
      </c>
      <c r="BO368" s="111">
        <f t="shared" si="286"/>
        <v>4.1999999999999957</v>
      </c>
      <c r="BR368" s="120">
        <v>3.1583913698802007E-3</v>
      </c>
      <c r="BS368" s="120">
        <v>3.3925220011321567E-3</v>
      </c>
      <c r="BT368" s="120">
        <v>3.6467921677978206E-3</v>
      </c>
      <c r="BU368" s="120">
        <v>3.9930990874363984E-3</v>
      </c>
      <c r="BV368" s="120">
        <v>4.327751425420385E-3</v>
      </c>
      <c r="BW368" s="120">
        <v>4.7073631759153405E-3</v>
      </c>
      <c r="BX368" s="120">
        <v>5.5241686490487786E-3</v>
      </c>
      <c r="BY368" s="120">
        <v>7.0972855178487995E-3</v>
      </c>
      <c r="BZ368" s="120">
        <v>8.5696811000113698E-3</v>
      </c>
      <c r="CA368" s="120">
        <v>9.9942630334255867E-3</v>
      </c>
      <c r="CB368" s="120">
        <v>1.2779629750236833E-2</v>
      </c>
      <c r="CC368" s="120">
        <v>1.7948273525538096E-2</v>
      </c>
      <c r="CD368" s="120">
        <v>2.9554732890209261E-2</v>
      </c>
      <c r="CF368" s="120">
        <v>0.12179372415737179</v>
      </c>
      <c r="CG368" s="120">
        <v>0.12479498402637743</v>
      </c>
      <c r="CH368" s="120">
        <v>0.13118848830278829</v>
      </c>
      <c r="CI368" s="120">
        <v>0.14059443918938019</v>
      </c>
      <c r="CJ368" s="120">
        <v>0.14925084404047195</v>
      </c>
      <c r="CK368" s="120">
        <v>0.15913135971483311</v>
      </c>
      <c r="CL368" s="120">
        <v>0.17977918799038539</v>
      </c>
      <c r="CM368" s="120">
        <v>0.21547854901628652</v>
      </c>
      <c r="CN368" s="120">
        <v>0.24445249759516566</v>
      </c>
      <c r="CO368" s="120">
        <v>0.2693787240825965</v>
      </c>
      <c r="CP368" s="120">
        <v>0.31167337803098449</v>
      </c>
      <c r="CQ368" s="120">
        <v>0.37221862831406421</v>
      </c>
      <c r="CR368" s="120">
        <v>0.45787017397132657</v>
      </c>
    </row>
    <row r="369" spans="38:96" ht="12.75" x14ac:dyDescent="0.2">
      <c r="AN369" t="s">
        <v>99</v>
      </c>
      <c r="AO369" s="147">
        <v>13.9</v>
      </c>
      <c r="AP369" s="147">
        <v>11.8</v>
      </c>
      <c r="AQ369" s="147">
        <v>11.7</v>
      </c>
      <c r="AR369" s="147">
        <v>12.2</v>
      </c>
      <c r="AS369" s="129">
        <f t="shared" si="274"/>
        <v>12.85</v>
      </c>
      <c r="AT369" s="147">
        <v>13.5</v>
      </c>
      <c r="AU369" s="147">
        <v>14.8</v>
      </c>
      <c r="AV369" s="147">
        <v>17.2</v>
      </c>
      <c r="AW369" s="147">
        <v>19.2</v>
      </c>
      <c r="AX369" s="147">
        <v>21</v>
      </c>
      <c r="AY369" s="147">
        <v>23.9</v>
      </c>
      <c r="AZ369" s="147">
        <v>28.2</v>
      </c>
      <c r="BA369" s="147">
        <v>34.700000000000003</v>
      </c>
      <c r="BC369" s="111">
        <f t="shared" si="287"/>
        <v>-0.5</v>
      </c>
      <c r="BD369" s="111">
        <f t="shared" si="275"/>
        <v>-0.19999999999999929</v>
      </c>
      <c r="BE369" s="111">
        <f t="shared" si="276"/>
        <v>9.9999999999999645E-2</v>
      </c>
      <c r="BF369" s="111">
        <f t="shared" si="277"/>
        <v>0.39999999999999858</v>
      </c>
      <c r="BG369" s="111">
        <f t="shared" si="278"/>
        <v>0.49999999999999822</v>
      </c>
      <c r="BH369" s="111">
        <f t="shared" si="279"/>
        <v>0.59999999999999964</v>
      </c>
      <c r="BI369" s="111">
        <f t="shared" si="280"/>
        <v>0.70000000000000107</v>
      </c>
      <c r="BJ369" s="111">
        <f t="shared" si="281"/>
        <v>0.80000000000000071</v>
      </c>
      <c r="BK369" s="111">
        <f t="shared" si="282"/>
        <v>0.89999999999999858</v>
      </c>
      <c r="BL369" s="111">
        <f t="shared" si="283"/>
        <v>1</v>
      </c>
      <c r="BM369" s="111">
        <f t="shared" si="284"/>
        <v>1.0999999999999979</v>
      </c>
      <c r="BN369" s="111">
        <f t="shared" si="285"/>
        <v>1.3999999999999986</v>
      </c>
      <c r="BO369" s="111">
        <f t="shared" si="286"/>
        <v>2.1000000000000014</v>
      </c>
      <c r="BR369" s="120">
        <v>3.72875875425467E-3</v>
      </c>
      <c r="BS369" s="120">
        <v>3.3148850352300867E-3</v>
      </c>
      <c r="BT369" s="120">
        <v>3.3539627128623597E-3</v>
      </c>
      <c r="BU369" s="120">
        <v>3.5795310361273463E-3</v>
      </c>
      <c r="BV369" s="120">
        <v>3.8498080886839336E-3</v>
      </c>
      <c r="BW369" s="120">
        <v>4.1269960513708563E-3</v>
      </c>
      <c r="BX369" s="120">
        <v>4.7013160131923548E-3</v>
      </c>
      <c r="BY369" s="120">
        <v>5.8591924207731837E-3</v>
      </c>
      <c r="BZ369" s="120">
        <v>6.962465121921833E-3</v>
      </c>
      <c r="CA369" s="120">
        <v>8.0591970536001284E-3</v>
      </c>
      <c r="CB369" s="120">
        <v>1.0135817262961538E-2</v>
      </c>
      <c r="CC369" s="120">
        <v>1.4071271027905261E-2</v>
      </c>
      <c r="CD369" s="120">
        <v>2.3102968449798335E-2</v>
      </c>
      <c r="CF369" s="120">
        <v>0.13906333373820309</v>
      </c>
      <c r="CG369" s="120">
        <v>0.11797569960404951</v>
      </c>
      <c r="CH369" s="120">
        <v>0.11674197219026074</v>
      </c>
      <c r="CI369" s="120">
        <v>0.12193188165144402</v>
      </c>
      <c r="CJ369" s="120">
        <v>0.12842387578115996</v>
      </c>
      <c r="CK369" s="120">
        <v>0.13491099720333419</v>
      </c>
      <c r="CL369" s="120">
        <v>0.14788069076413238</v>
      </c>
      <c r="CM369" s="120">
        <v>0.17184072082028679</v>
      </c>
      <c r="CN369" s="120">
        <v>0.19180778929127537</v>
      </c>
      <c r="CO369" s="120">
        <v>0.20978227497065777</v>
      </c>
      <c r="CP369" s="120">
        <v>0.23873317624456203</v>
      </c>
      <c r="CQ369" s="120">
        <v>0.28166547391114177</v>
      </c>
      <c r="CR369" s="120">
        <v>0.34652268954995791</v>
      </c>
    </row>
    <row r="370" spans="38:96" ht="12.75" x14ac:dyDescent="0.2">
      <c r="AN370" t="s">
        <v>101</v>
      </c>
      <c r="AO370" s="147">
        <v>16</v>
      </c>
      <c r="AP370" s="147">
        <v>14.1</v>
      </c>
      <c r="AQ370" s="147">
        <v>13.9</v>
      </c>
      <c r="AR370" s="147">
        <v>14.2</v>
      </c>
      <c r="AS370" s="129">
        <f t="shared" si="274"/>
        <v>14.6</v>
      </c>
      <c r="AT370" s="147">
        <v>15</v>
      </c>
      <c r="AU370" s="147">
        <v>15.8</v>
      </c>
      <c r="AV370" s="147">
        <v>17.100000000000001</v>
      </c>
      <c r="AW370" s="147">
        <v>18.3</v>
      </c>
      <c r="AX370" s="147">
        <v>19.399999999999999</v>
      </c>
      <c r="AY370" s="147">
        <v>21.2</v>
      </c>
      <c r="AZ370" s="147">
        <v>24.1</v>
      </c>
      <c r="BA370" s="147">
        <v>28.8</v>
      </c>
      <c r="BC370" s="111">
        <f t="shared" si="287"/>
        <v>-0.30000000000000071</v>
      </c>
      <c r="BD370" s="111">
        <f t="shared" si="275"/>
        <v>-0.20000000000000107</v>
      </c>
      <c r="BE370" s="111">
        <f t="shared" si="276"/>
        <v>9.9999999999999645E-2</v>
      </c>
      <c r="BF370" s="111">
        <f t="shared" si="277"/>
        <v>0.29999999999999893</v>
      </c>
      <c r="BG370" s="111">
        <f t="shared" si="278"/>
        <v>0.34999999999999964</v>
      </c>
      <c r="BH370" s="111">
        <f t="shared" si="279"/>
        <v>0.40000000000000036</v>
      </c>
      <c r="BI370" s="111">
        <f t="shared" si="280"/>
        <v>0.40000000000000036</v>
      </c>
      <c r="BJ370" s="111">
        <f t="shared" si="281"/>
        <v>0.30000000000000071</v>
      </c>
      <c r="BK370" s="111">
        <f t="shared" si="282"/>
        <v>0.30000000000000071</v>
      </c>
      <c r="BL370" s="111">
        <f t="shared" si="283"/>
        <v>0.29999999999999716</v>
      </c>
      <c r="BM370" s="111">
        <f t="shared" si="284"/>
        <v>0.19999999999999929</v>
      </c>
      <c r="BN370" s="111">
        <f t="shared" si="285"/>
        <v>0.30000000000000071</v>
      </c>
      <c r="BO370" s="111">
        <f t="shared" si="286"/>
        <v>0.80000000000000071</v>
      </c>
      <c r="BR370" s="120">
        <v>5.7389938674902094E-3</v>
      </c>
      <c r="BS370" s="120">
        <v>5.7722713871254635E-3</v>
      </c>
      <c r="BT370" s="120">
        <v>5.7573383732194396E-3</v>
      </c>
      <c r="BU370" s="120">
        <v>5.7323845611650468E-3</v>
      </c>
      <c r="BV370" s="120">
        <v>5.690064211197156E-3</v>
      </c>
      <c r="BW370" s="120">
        <v>5.6713372982202326E-3</v>
      </c>
      <c r="BX370" s="120">
        <v>5.7346092556836209E-3</v>
      </c>
      <c r="BY370" s="120">
        <v>5.9925321708544877E-3</v>
      </c>
      <c r="BZ370" s="120">
        <v>6.5060749931890325E-3</v>
      </c>
      <c r="CA370" s="120">
        <v>7.0719994184435912E-3</v>
      </c>
      <c r="CB370" s="120">
        <v>8.2031031293467085E-3</v>
      </c>
      <c r="CC370" s="120">
        <v>1.0486681117388317E-2</v>
      </c>
      <c r="CD370" s="120">
        <v>1.5488454159177515E-2</v>
      </c>
      <c r="CF370" s="120">
        <v>0.20663687161420433</v>
      </c>
      <c r="CG370" s="120">
        <v>0.19838880668400016</v>
      </c>
      <c r="CH370" s="120">
        <v>0.19351650061015513</v>
      </c>
      <c r="CI370" s="120">
        <v>0.18854457954504211</v>
      </c>
      <c r="CJ370" s="120">
        <v>0.18326616164801482</v>
      </c>
      <c r="CK370" s="120">
        <v>0.17901112180575832</v>
      </c>
      <c r="CL370" s="120">
        <v>0.17422125712337422</v>
      </c>
      <c r="CM370" s="120">
        <v>0.16979135187752589</v>
      </c>
      <c r="CN370" s="120">
        <v>0.17320540996148434</v>
      </c>
      <c r="CO370" s="120">
        <v>0.17788382534226729</v>
      </c>
      <c r="CP370" s="120">
        <v>0.1865891722784222</v>
      </c>
      <c r="CQ370" s="120">
        <v>0.20221877125623458</v>
      </c>
      <c r="CR370" s="120">
        <v>0.22198771161687655</v>
      </c>
    </row>
    <row r="371" spans="38:96" ht="12.75" x14ac:dyDescent="0.2">
      <c r="AN371" t="s">
        <v>102</v>
      </c>
      <c r="AO371" s="147">
        <v>17.8</v>
      </c>
      <c r="AP371" s="147">
        <v>16</v>
      </c>
      <c r="AQ371" s="147">
        <v>15.7</v>
      </c>
      <c r="AR371" s="147">
        <v>15.8</v>
      </c>
      <c r="AS371" s="129">
        <f t="shared" si="274"/>
        <v>16.05</v>
      </c>
      <c r="AT371" s="147">
        <v>16.3</v>
      </c>
      <c r="AU371" s="147">
        <v>16.8</v>
      </c>
      <c r="AV371" s="147">
        <v>17.600000000000001</v>
      </c>
      <c r="AW371" s="147">
        <v>18.399999999999999</v>
      </c>
      <c r="AX371" s="147">
        <v>19.100000000000001</v>
      </c>
      <c r="AY371" s="147">
        <v>20.6</v>
      </c>
      <c r="AZ371" s="147">
        <v>23</v>
      </c>
      <c r="BA371" s="147">
        <v>26.6</v>
      </c>
      <c r="BC371" s="111">
        <f t="shared" si="287"/>
        <v>-0.30000000000000071</v>
      </c>
      <c r="BD371" s="111">
        <f t="shared" si="275"/>
        <v>-0.19999999999999929</v>
      </c>
      <c r="BE371" s="111">
        <f t="shared" si="276"/>
        <v>0</v>
      </c>
      <c r="BF371" s="111">
        <f t="shared" si="277"/>
        <v>0.20000000000000107</v>
      </c>
      <c r="BG371" s="111">
        <f t="shared" si="278"/>
        <v>0.19999999999999929</v>
      </c>
      <c r="BH371" s="111">
        <f t="shared" si="279"/>
        <v>0.19999999999999929</v>
      </c>
      <c r="BI371" s="111">
        <f t="shared" si="280"/>
        <v>0.30000000000000071</v>
      </c>
      <c r="BJ371" s="111">
        <f t="shared" si="281"/>
        <v>0.20000000000000284</v>
      </c>
      <c r="BK371" s="111">
        <f t="shared" si="282"/>
        <v>0.19999999999999929</v>
      </c>
      <c r="BL371" s="111">
        <f t="shared" si="283"/>
        <v>0.10000000000000142</v>
      </c>
      <c r="BM371" s="111">
        <f t="shared" si="284"/>
        <v>0</v>
      </c>
      <c r="BN371" s="111">
        <f t="shared" si="285"/>
        <v>0</v>
      </c>
      <c r="BO371" s="111">
        <f t="shared" si="286"/>
        <v>-9.9999999999997868E-2</v>
      </c>
      <c r="BR371" s="120">
        <v>6.3652672176394646E-3</v>
      </c>
      <c r="BS371" s="120">
        <v>6.2440960341844437E-3</v>
      </c>
      <c r="BT371" s="120">
        <v>6.1918051084783026E-3</v>
      </c>
      <c r="BU371" s="120">
        <v>6.1468538211500298E-3</v>
      </c>
      <c r="BV371" s="120">
        <v>6.1950965850760438E-3</v>
      </c>
      <c r="BW371" s="120">
        <v>6.2427513824233078E-3</v>
      </c>
      <c r="BX371" s="120">
        <v>6.3660083792593664E-3</v>
      </c>
      <c r="BY371" s="120">
        <v>6.7631860961752501E-3</v>
      </c>
      <c r="BZ371" s="120">
        <v>7.295881552159344E-3</v>
      </c>
      <c r="CA371" s="120">
        <v>7.8421018572950793E-3</v>
      </c>
      <c r="CB371" s="120">
        <v>9.3057281979850217E-3</v>
      </c>
      <c r="CC371" s="120">
        <v>1.2148696820157725E-2</v>
      </c>
      <c r="CD371" s="120">
        <v>1.8503298377812824E-2</v>
      </c>
      <c r="CF371" s="120">
        <v>0.2211457860835376</v>
      </c>
      <c r="CG371" s="120">
        <v>0.2069192634913975</v>
      </c>
      <c r="CH371" s="120">
        <v>0.20070264734663223</v>
      </c>
      <c r="CI371" s="120">
        <v>0.19507451281739249</v>
      </c>
      <c r="CJ371" s="120">
        <v>0.19270045606038194</v>
      </c>
      <c r="CK371" s="120">
        <v>0.19044374314803264</v>
      </c>
      <c r="CL371" s="120">
        <v>0.18712810982136904</v>
      </c>
      <c r="CM371" s="120">
        <v>0.18580170773344565</v>
      </c>
      <c r="CN371" s="120">
        <v>0.18864344002010144</v>
      </c>
      <c r="CO371" s="120">
        <v>0.19187910427592964</v>
      </c>
      <c r="CP371" s="120">
        <v>0.20672478694407903</v>
      </c>
      <c r="CQ371" s="120">
        <v>0.23049704451934783</v>
      </c>
      <c r="CR371" s="120">
        <v>0.26475598463332123</v>
      </c>
    </row>
    <row r="372" spans="38:96" ht="12.75" x14ac:dyDescent="0.2">
      <c r="AN372" t="s">
        <v>103</v>
      </c>
      <c r="AO372" s="147">
        <v>19.2</v>
      </c>
      <c r="AP372" s="147">
        <v>17.5</v>
      </c>
      <c r="AQ372" s="147">
        <v>17.100000000000001</v>
      </c>
      <c r="AR372" s="147">
        <v>17.100000000000001</v>
      </c>
      <c r="AS372" s="129">
        <f t="shared" si="274"/>
        <v>17.200000000000003</v>
      </c>
      <c r="AT372" s="147">
        <v>17.3</v>
      </c>
      <c r="AU372" s="147">
        <v>17.5</v>
      </c>
      <c r="AV372" s="147">
        <v>17.899999999999999</v>
      </c>
      <c r="AW372" s="147">
        <v>18.3</v>
      </c>
      <c r="AX372" s="147">
        <v>18.899999999999999</v>
      </c>
      <c r="AY372" s="147">
        <v>20.100000000000001</v>
      </c>
      <c r="AZ372" s="147">
        <v>22.1</v>
      </c>
      <c r="BA372" s="147">
        <v>25.4</v>
      </c>
      <c r="BC372" s="111">
        <f t="shared" si="287"/>
        <v>-0.19999999999999929</v>
      </c>
      <c r="BD372" s="111">
        <f t="shared" si="275"/>
        <v>-0.10000000000000142</v>
      </c>
      <c r="BE372" s="111">
        <f t="shared" si="276"/>
        <v>0.10000000000000142</v>
      </c>
      <c r="BF372" s="111">
        <f t="shared" si="277"/>
        <v>0.20000000000000284</v>
      </c>
      <c r="BG372" s="111">
        <f t="shared" si="278"/>
        <v>0.20000000000000284</v>
      </c>
      <c r="BH372" s="111">
        <f t="shared" si="279"/>
        <v>0.19999999999999929</v>
      </c>
      <c r="BI372" s="111">
        <f t="shared" si="280"/>
        <v>0.19999999999999929</v>
      </c>
      <c r="BJ372" s="111">
        <f t="shared" si="281"/>
        <v>0.19999999999999929</v>
      </c>
      <c r="BK372" s="111">
        <f t="shared" si="282"/>
        <v>0.10000000000000142</v>
      </c>
      <c r="BL372" s="111">
        <f t="shared" si="283"/>
        <v>0.19999999999999929</v>
      </c>
      <c r="BM372" s="111">
        <f t="shared" si="284"/>
        <v>0.20000000000000284</v>
      </c>
      <c r="BN372" s="111">
        <f t="shared" si="285"/>
        <v>0.10000000000000142</v>
      </c>
      <c r="BO372" s="111">
        <f t="shared" si="286"/>
        <v>9.9999999999997868E-2</v>
      </c>
      <c r="BR372" s="120">
        <v>7.0896817187408433E-3</v>
      </c>
      <c r="BS372" s="120">
        <v>7.0690295045481395E-3</v>
      </c>
      <c r="BT372" s="120">
        <v>6.975042110613245E-3</v>
      </c>
      <c r="BU372" s="120">
        <v>6.9896273548680056E-3</v>
      </c>
      <c r="BV372" s="120">
        <v>6.9319241754294122E-3</v>
      </c>
      <c r="BW372" s="120">
        <v>6.8742794928626713E-3</v>
      </c>
      <c r="BX372" s="120">
        <v>6.7909760338610483E-3</v>
      </c>
      <c r="BY372" s="120">
        <v>6.9518905423358321E-3</v>
      </c>
      <c r="BZ372" s="120">
        <v>7.2120749283574844E-3</v>
      </c>
      <c r="CA372" s="120">
        <v>7.8541817309920429E-3</v>
      </c>
      <c r="CB372" s="120">
        <v>9.0295278124097218E-3</v>
      </c>
      <c r="CC372" s="120">
        <v>1.1484103488273716E-2</v>
      </c>
      <c r="CD372" s="120">
        <v>1.7628969501913262E-2</v>
      </c>
      <c r="CF372" s="120">
        <v>0.2371901746193926</v>
      </c>
      <c r="CG372" s="120">
        <v>0.22585146008435988</v>
      </c>
      <c r="CH372" s="120">
        <v>0.21796708235519568</v>
      </c>
      <c r="CI372" s="120">
        <v>0.21390161492732213</v>
      </c>
      <c r="CJ372" s="120">
        <v>0.20780219362109509</v>
      </c>
      <c r="CK372" s="120">
        <v>0.20200801272585686</v>
      </c>
      <c r="CL372" s="120">
        <v>0.19214944088052718</v>
      </c>
      <c r="CM372" s="120">
        <v>0.1837200900366128</v>
      </c>
      <c r="CN372" s="120">
        <v>0.17926921802453488</v>
      </c>
      <c r="CO372" s="120">
        <v>0.1848920947973654</v>
      </c>
      <c r="CP372" s="120">
        <v>0.19286001845391312</v>
      </c>
      <c r="CQ372" s="120">
        <v>0.20933256128908662</v>
      </c>
      <c r="CR372" s="120">
        <v>0.24276885667002551</v>
      </c>
    </row>
    <row r="373" spans="38:96" ht="12.75" x14ac:dyDescent="0.2">
      <c r="AN373" t="s">
        <v>104</v>
      </c>
      <c r="AO373" s="147">
        <v>20.2</v>
      </c>
      <c r="AP373" s="147">
        <v>18.5</v>
      </c>
      <c r="AQ373" s="147">
        <v>18.100000000000001</v>
      </c>
      <c r="AR373" s="147">
        <v>17.899999999999999</v>
      </c>
      <c r="AS373" s="129">
        <f t="shared" si="274"/>
        <v>17.899999999999999</v>
      </c>
      <c r="AT373" s="147">
        <v>17.899999999999999</v>
      </c>
      <c r="AU373" s="147">
        <v>17.899999999999999</v>
      </c>
      <c r="AV373" s="147">
        <v>18</v>
      </c>
      <c r="AW373" s="147">
        <v>18.100000000000001</v>
      </c>
      <c r="AX373" s="147">
        <v>18.5</v>
      </c>
      <c r="AY373" s="147">
        <v>19.3</v>
      </c>
      <c r="AZ373" s="147">
        <v>21</v>
      </c>
      <c r="BA373" s="147">
        <v>24</v>
      </c>
      <c r="BC373" s="111">
        <f t="shared" si="287"/>
        <v>-0.10000000000000142</v>
      </c>
      <c r="BD373" s="111">
        <f t="shared" si="275"/>
        <v>0</v>
      </c>
      <c r="BE373" s="111">
        <f t="shared" si="276"/>
        <v>0.10000000000000142</v>
      </c>
      <c r="BF373" s="111">
        <f t="shared" si="277"/>
        <v>9.9999999999997868E-2</v>
      </c>
      <c r="BG373" s="111">
        <f t="shared" si="278"/>
        <v>0.14999999999999858</v>
      </c>
      <c r="BH373" s="111">
        <f t="shared" si="279"/>
        <v>0.19999999999999929</v>
      </c>
      <c r="BI373" s="111">
        <f t="shared" si="280"/>
        <v>9.9999999999997868E-2</v>
      </c>
      <c r="BJ373" s="111">
        <f t="shared" si="281"/>
        <v>0.19999999999999929</v>
      </c>
      <c r="BK373" s="111">
        <f t="shared" si="282"/>
        <v>0.10000000000000142</v>
      </c>
      <c r="BL373" s="111">
        <f t="shared" si="283"/>
        <v>0.19999999999999929</v>
      </c>
      <c r="BM373" s="111">
        <f t="shared" si="284"/>
        <v>0.19999999999999929</v>
      </c>
      <c r="BN373" s="111">
        <f t="shared" si="285"/>
        <v>0.10000000000000142</v>
      </c>
      <c r="BO373" s="111">
        <f t="shared" si="286"/>
        <v>0.19999999999999929</v>
      </c>
      <c r="BR373" s="120">
        <v>7.4315984435191513E-3</v>
      </c>
      <c r="BS373" s="120">
        <v>7.2315165386299595E-3</v>
      </c>
      <c r="BT373" s="120">
        <v>7.2795752913210705E-3</v>
      </c>
      <c r="BU373" s="120">
        <v>7.0214564214165489E-3</v>
      </c>
      <c r="BV373" s="120">
        <v>7.0123602309239107E-3</v>
      </c>
      <c r="BW373" s="120">
        <v>6.9995132075956852E-3</v>
      </c>
      <c r="BX373" s="120">
        <v>6.9807616136978506E-3</v>
      </c>
      <c r="BY373" s="120">
        <v>7.1256547502876605E-3</v>
      </c>
      <c r="BZ373" s="120">
        <v>7.3368847371820603E-3</v>
      </c>
      <c r="CA373" s="120">
        <v>7.738647899062724E-3</v>
      </c>
      <c r="CB373" s="120">
        <v>8.6416613955181184E-3</v>
      </c>
      <c r="CC373" s="120">
        <v>1.1008517161531811E-2</v>
      </c>
      <c r="CD373" s="120">
        <v>1.6759216659759161E-2</v>
      </c>
      <c r="CF373" s="120">
        <v>0.2395805899585971</v>
      </c>
      <c r="CG373" s="120">
        <v>0.22243495755559756</v>
      </c>
      <c r="CH373" s="120">
        <v>0.21921499369757091</v>
      </c>
      <c r="CI373" s="120">
        <v>0.20682906967504588</v>
      </c>
      <c r="CJ373" s="120">
        <v>0.20248042926747059</v>
      </c>
      <c r="CK373" s="120">
        <v>0.19825166068012284</v>
      </c>
      <c r="CL373" s="120">
        <v>0.19058297444834996</v>
      </c>
      <c r="CM373" s="120">
        <v>0.18192640068852178</v>
      </c>
      <c r="CN373" s="120">
        <v>0.17639441129376079</v>
      </c>
      <c r="CO373" s="120">
        <v>0.1761469063306168</v>
      </c>
      <c r="CP373" s="120">
        <v>0.17867959309038642</v>
      </c>
      <c r="CQ373" s="120">
        <v>0.19483601043978202</v>
      </c>
      <c r="CR373" s="120">
        <v>0.22471336120385405</v>
      </c>
    </row>
    <row r="374" spans="38:96" ht="12.75" x14ac:dyDescent="0.2">
      <c r="AN374" t="s">
        <v>105</v>
      </c>
      <c r="AO374" s="147">
        <v>20.8</v>
      </c>
      <c r="AP374" s="147">
        <v>19.100000000000001</v>
      </c>
      <c r="AQ374" s="147">
        <v>18.7</v>
      </c>
      <c r="AR374" s="147">
        <v>18.5</v>
      </c>
      <c r="AS374" s="129">
        <f t="shared" si="274"/>
        <v>18.45</v>
      </c>
      <c r="AT374" s="147">
        <v>18.399999999999999</v>
      </c>
      <c r="AU374" s="147">
        <v>18.2</v>
      </c>
      <c r="AV374" s="147">
        <v>18</v>
      </c>
      <c r="AW374" s="147">
        <v>18</v>
      </c>
      <c r="AX374" s="147">
        <v>18.100000000000001</v>
      </c>
      <c r="AY374" s="147">
        <v>18.600000000000001</v>
      </c>
      <c r="AZ374" s="147">
        <v>20</v>
      </c>
      <c r="BA374" s="147">
        <v>22.5</v>
      </c>
      <c r="BC374" s="111">
        <f t="shared" si="287"/>
        <v>-9.9999999999997868E-2</v>
      </c>
      <c r="BD374" s="111">
        <f t="shared" si="275"/>
        <v>-9.9999999999997868E-2</v>
      </c>
      <c r="BE374" s="111">
        <f t="shared" si="276"/>
        <v>0</v>
      </c>
      <c r="BF374" s="111">
        <f t="shared" si="277"/>
        <v>0.10000000000000142</v>
      </c>
      <c r="BG374" s="111">
        <f t="shared" si="278"/>
        <v>0.15000000000000213</v>
      </c>
      <c r="BH374" s="111">
        <f t="shared" si="279"/>
        <v>0.19999999999999929</v>
      </c>
      <c r="BI374" s="111">
        <f t="shared" si="280"/>
        <v>9.9999999999997868E-2</v>
      </c>
      <c r="BJ374" s="111">
        <f t="shared" si="281"/>
        <v>0.10000000000000142</v>
      </c>
      <c r="BK374" s="111">
        <f t="shared" si="282"/>
        <v>0.19999999999999929</v>
      </c>
      <c r="BL374" s="111">
        <f t="shared" si="283"/>
        <v>0.20000000000000284</v>
      </c>
      <c r="BM374" s="111">
        <f t="shared" si="284"/>
        <v>0.10000000000000142</v>
      </c>
      <c r="BN374" s="111">
        <f t="shared" si="285"/>
        <v>0.19999999999999929</v>
      </c>
      <c r="BO374" s="111">
        <f t="shared" si="286"/>
        <v>0.10000000000000142</v>
      </c>
      <c r="BR374" s="120">
        <v>7.4687996134501214E-3</v>
      </c>
      <c r="BS374" s="120">
        <v>7.2861318806700902E-3</v>
      </c>
      <c r="BT374" s="120">
        <v>7.2871448837425849E-3</v>
      </c>
      <c r="BU374" s="120">
        <v>7.4517985914309337E-3</v>
      </c>
      <c r="BV374" s="120">
        <v>7.484924572515872E-3</v>
      </c>
      <c r="BW374" s="120">
        <v>7.5111680035798373E-3</v>
      </c>
      <c r="BX374" s="120">
        <v>7.32486029748298E-3</v>
      </c>
      <c r="BY374" s="120">
        <v>7.2437020711665833E-3</v>
      </c>
      <c r="BZ374" s="120">
        <v>7.6200834670965816E-3</v>
      </c>
      <c r="CA374" s="120">
        <v>7.7383125455722703E-3</v>
      </c>
      <c r="CB374" s="120">
        <v>8.563080599116174E-3</v>
      </c>
      <c r="CC374" s="120">
        <v>1.0652760470874188E-2</v>
      </c>
      <c r="CD374" s="120">
        <v>1.5576427169849933E-2</v>
      </c>
      <c r="CF374" s="120">
        <v>0.23300025313066566</v>
      </c>
      <c r="CG374" s="120">
        <v>0.2170611257765124</v>
      </c>
      <c r="CH374" s="120">
        <v>0.21247458686732518</v>
      </c>
      <c r="CI374" s="120">
        <v>0.21310174830403544</v>
      </c>
      <c r="CJ374" s="120">
        <v>0.20985589975760338</v>
      </c>
      <c r="CK374" s="120">
        <v>0.20658905622492701</v>
      </c>
      <c r="CL374" s="120">
        <v>0.19403958975634869</v>
      </c>
      <c r="CM374" s="120">
        <v>0.17934842910971507</v>
      </c>
      <c r="CN374" s="120">
        <v>0.17783259729158407</v>
      </c>
      <c r="CO374" s="120">
        <v>0.17097662531839924</v>
      </c>
      <c r="CP374" s="120">
        <v>0.17201276171656316</v>
      </c>
      <c r="CQ374" s="120">
        <v>0.18325033451436257</v>
      </c>
      <c r="CR374" s="120">
        <v>0.20312496817522044</v>
      </c>
    </row>
    <row r="375" spans="38:96" ht="12.75" x14ac:dyDescent="0.2">
      <c r="AN375" t="s">
        <v>106</v>
      </c>
      <c r="AO375" s="147">
        <v>21.2</v>
      </c>
      <c r="AP375" s="147">
        <v>19.600000000000001</v>
      </c>
      <c r="AQ375" s="147">
        <v>19.100000000000001</v>
      </c>
      <c r="AR375" s="147">
        <v>18.899999999999999</v>
      </c>
      <c r="AS375" s="129">
        <f t="shared" si="274"/>
        <v>18.75</v>
      </c>
      <c r="AT375" s="147">
        <v>18.600000000000001</v>
      </c>
      <c r="AU375" s="147">
        <v>18.399999999999999</v>
      </c>
      <c r="AV375" s="147">
        <v>18</v>
      </c>
      <c r="AW375" s="147">
        <v>17.8</v>
      </c>
      <c r="AX375" s="147">
        <v>17.8</v>
      </c>
      <c r="AY375" s="147">
        <v>18.100000000000001</v>
      </c>
      <c r="AZ375" s="147">
        <v>19.2</v>
      </c>
      <c r="BA375" s="147">
        <v>21.4</v>
      </c>
      <c r="BC375" s="111">
        <f t="shared" si="287"/>
        <v>-0.10000000000000142</v>
      </c>
      <c r="BD375" s="111">
        <f t="shared" si="275"/>
        <v>0</v>
      </c>
      <c r="BE375" s="111">
        <f t="shared" si="276"/>
        <v>0</v>
      </c>
      <c r="BF375" s="111">
        <f t="shared" si="277"/>
        <v>9.9999999999997868E-2</v>
      </c>
      <c r="BG375" s="111">
        <f t="shared" si="278"/>
        <v>0.10000000000000142</v>
      </c>
      <c r="BH375" s="111">
        <f t="shared" si="279"/>
        <v>0.10000000000000142</v>
      </c>
      <c r="BI375" s="111">
        <f t="shared" si="280"/>
        <v>9.9999999999997868E-2</v>
      </c>
      <c r="BJ375" s="111">
        <f t="shared" si="281"/>
        <v>0.10000000000000142</v>
      </c>
      <c r="BK375" s="111">
        <f t="shared" si="282"/>
        <v>0.10000000000000142</v>
      </c>
      <c r="BL375" s="111">
        <f t="shared" si="283"/>
        <v>0.19999999999999929</v>
      </c>
      <c r="BM375" s="111">
        <f t="shared" si="284"/>
        <v>0.20000000000000284</v>
      </c>
      <c r="BN375" s="111">
        <f t="shared" si="285"/>
        <v>0.19999999999999929</v>
      </c>
      <c r="BO375" s="111">
        <f t="shared" si="286"/>
        <v>9.9999999999997868E-2</v>
      </c>
      <c r="BR375" s="120">
        <v>7.6165949367877524E-3</v>
      </c>
      <c r="BS375" s="120">
        <v>7.678865427801343E-3</v>
      </c>
      <c r="BT375" s="120">
        <v>7.4285966130581225E-3</v>
      </c>
      <c r="BU375" s="120">
        <v>7.4626986922491489E-3</v>
      </c>
      <c r="BV375" s="120">
        <v>7.3121882104116645E-3</v>
      </c>
      <c r="BW375" s="120">
        <v>7.1561963971299236E-3</v>
      </c>
      <c r="BX375" s="120">
        <v>7.4287143685209953E-3</v>
      </c>
      <c r="BY375" s="120">
        <v>7.4231052118830416E-3</v>
      </c>
      <c r="BZ375" s="120">
        <v>7.4113605251240272E-3</v>
      </c>
      <c r="CA375" s="120">
        <v>7.7996891199849337E-3</v>
      </c>
      <c r="CB375" s="120">
        <v>8.5574030977831998E-3</v>
      </c>
      <c r="CC375" s="120">
        <v>1.03881275503411E-2</v>
      </c>
      <c r="CD375" s="120">
        <v>1.5334699149328734E-2</v>
      </c>
      <c r="CF375" s="120">
        <v>0.23279255808418114</v>
      </c>
      <c r="CG375" s="120">
        <v>0.22439547085833902</v>
      </c>
      <c r="CH375" s="120">
        <v>0.21222796464185445</v>
      </c>
      <c r="CI375" s="120">
        <v>0.20883612391459455</v>
      </c>
      <c r="CJ375" s="120">
        <v>0.20045665141192515</v>
      </c>
      <c r="CK375" s="120">
        <v>0.19231934140274196</v>
      </c>
      <c r="CL375" s="120">
        <v>0.19277764327341881</v>
      </c>
      <c r="CM375" s="120">
        <v>0.18021673549933098</v>
      </c>
      <c r="CN375" s="120">
        <v>0.16940202509462993</v>
      </c>
      <c r="CO375" s="120">
        <v>0.16902899972078061</v>
      </c>
      <c r="CP375" s="120">
        <v>0.16868579077651405</v>
      </c>
      <c r="CQ375" s="120">
        <v>0.1755096029224755</v>
      </c>
      <c r="CR375" s="120">
        <v>0.19705774618226646</v>
      </c>
    </row>
    <row r="376" spans="38:96" ht="12.75" x14ac:dyDescent="0.2">
      <c r="AN376" t="s">
        <v>79</v>
      </c>
      <c r="AO376" s="147">
        <v>21.4</v>
      </c>
      <c r="AP376" s="147">
        <v>19.8</v>
      </c>
      <c r="AQ376" s="147">
        <v>19.399999999999999</v>
      </c>
      <c r="AR376" s="147">
        <v>19.100000000000001</v>
      </c>
      <c r="AS376" s="129">
        <f t="shared" si="274"/>
        <v>18.950000000000003</v>
      </c>
      <c r="AT376" s="147">
        <v>18.8</v>
      </c>
      <c r="AU376" s="147">
        <v>18.5</v>
      </c>
      <c r="AV376" s="147">
        <v>17.899999999999999</v>
      </c>
      <c r="AW376" s="147">
        <v>17.600000000000001</v>
      </c>
      <c r="AX376" s="147">
        <v>17.5</v>
      </c>
      <c r="AY376" s="147">
        <v>17.600000000000001</v>
      </c>
      <c r="AZ376" s="147">
        <v>18.399999999999999</v>
      </c>
      <c r="BA376" s="147">
        <v>20.399999999999999</v>
      </c>
      <c r="BC376" s="111">
        <f t="shared" si="287"/>
        <v>0</v>
      </c>
      <c r="BD376" s="111">
        <f t="shared" si="275"/>
        <v>-9.9999999999997868E-2</v>
      </c>
      <c r="BE376" s="111">
        <f t="shared" si="276"/>
        <v>9.9999999999997868E-2</v>
      </c>
      <c r="BF376" s="111">
        <f t="shared" si="277"/>
        <v>0.10000000000000142</v>
      </c>
      <c r="BG376" s="111">
        <f t="shared" si="278"/>
        <v>0.15000000000000213</v>
      </c>
      <c r="BH376" s="111">
        <f t="shared" si="279"/>
        <v>0.19999999999999929</v>
      </c>
      <c r="BI376" s="111">
        <f t="shared" si="280"/>
        <v>0.19999999999999929</v>
      </c>
      <c r="BJ376" s="111">
        <f t="shared" si="281"/>
        <v>9.9999999999997868E-2</v>
      </c>
      <c r="BK376" s="111">
        <f t="shared" si="282"/>
        <v>0.10000000000000142</v>
      </c>
      <c r="BL376" s="111">
        <f t="shared" si="283"/>
        <v>0.19999999999999929</v>
      </c>
      <c r="BM376" s="111">
        <f t="shared" si="284"/>
        <v>0.20000000000000284</v>
      </c>
      <c r="BN376" s="111">
        <f t="shared" si="285"/>
        <v>9.9999999999997868E-2</v>
      </c>
      <c r="BO376" s="111">
        <f t="shared" si="286"/>
        <v>0.19999999999999929</v>
      </c>
      <c r="BR376" s="120">
        <v>7.3948646779808357E-3</v>
      </c>
      <c r="BS376" s="120">
        <v>7.1201174663257493E-3</v>
      </c>
      <c r="BT376" s="120">
        <v>7.4894020915212169E-3</v>
      </c>
      <c r="BU376" s="120">
        <v>7.2563529136823301E-3</v>
      </c>
      <c r="BV376" s="120">
        <v>7.4111470965088659E-3</v>
      </c>
      <c r="BW376" s="120">
        <v>7.5591485472771619E-3</v>
      </c>
      <c r="BX376" s="120">
        <v>7.3747765498500114E-3</v>
      </c>
      <c r="BY376" s="120">
        <v>7.1805298785611741E-3</v>
      </c>
      <c r="BZ376" s="120">
        <v>7.3994943343433095E-3</v>
      </c>
      <c r="CA376" s="120">
        <v>7.5914939253870954E-3</v>
      </c>
      <c r="CB376" s="120">
        <v>8.14502725204444E-3</v>
      </c>
      <c r="CC376" s="120">
        <v>9.653387890745645E-3</v>
      </c>
      <c r="CD376" s="120">
        <v>1.4248788860876802E-2</v>
      </c>
      <c r="CF376" s="120">
        <v>0.22348099864869467</v>
      </c>
      <c r="CG376" s="120">
        <v>0.20534969085280569</v>
      </c>
      <c r="CH376" s="120">
        <v>0.21190527371379597</v>
      </c>
      <c r="CI376" s="120">
        <v>0.20092657228396266</v>
      </c>
      <c r="CJ376" s="120">
        <v>0.20136368523426787</v>
      </c>
      <c r="CK376" s="120">
        <v>0.20164692189887232</v>
      </c>
      <c r="CL376" s="120">
        <v>0.18948992635818035</v>
      </c>
      <c r="CM376" s="120">
        <v>0.17247197206258644</v>
      </c>
      <c r="CN376" s="120">
        <v>0.16756026616582051</v>
      </c>
      <c r="CO376" s="120">
        <v>0.16286502629733501</v>
      </c>
      <c r="CP376" s="120">
        <v>0.15891389723623089</v>
      </c>
      <c r="CQ376" s="120">
        <v>0.16141050662928408</v>
      </c>
      <c r="CR376" s="120">
        <v>0.18118450998513019</v>
      </c>
    </row>
    <row r="377" spans="38:96" ht="12.75" x14ac:dyDescent="0.2">
      <c r="AN377" t="s">
        <v>159</v>
      </c>
      <c r="AO377" s="147">
        <v>21.3</v>
      </c>
      <c r="AP377" s="147">
        <v>19.899999999999999</v>
      </c>
      <c r="AQ377" s="147">
        <v>19.5</v>
      </c>
      <c r="AR377" s="147">
        <v>19.2</v>
      </c>
      <c r="AS377" s="129">
        <f t="shared" si="274"/>
        <v>18.95</v>
      </c>
      <c r="AT377" s="147">
        <v>18.7</v>
      </c>
      <c r="AU377" s="147">
        <v>18.399999999999999</v>
      </c>
      <c r="AV377" s="147">
        <v>17.7</v>
      </c>
      <c r="AW377" s="147">
        <v>17.2</v>
      </c>
      <c r="AX377" s="147">
        <v>16.899999999999999</v>
      </c>
      <c r="AY377" s="147">
        <v>16.7</v>
      </c>
      <c r="AZ377" s="147">
        <v>17</v>
      </c>
      <c r="BA377" s="147">
        <v>18.2</v>
      </c>
      <c r="BC377" s="111">
        <f t="shared" si="287"/>
        <v>-9.9999999999997868E-2</v>
      </c>
      <c r="BD377" s="111">
        <f t="shared" si="275"/>
        <v>-0.10000000000000142</v>
      </c>
      <c r="BE377" s="111">
        <f t="shared" si="276"/>
        <v>0</v>
      </c>
      <c r="BF377" s="111">
        <f t="shared" si="277"/>
        <v>9.9999999999997868E-2</v>
      </c>
      <c r="BG377" s="111">
        <f t="shared" si="278"/>
        <v>9.9999999999997868E-2</v>
      </c>
      <c r="BH377" s="111">
        <f t="shared" si="279"/>
        <v>9.9999999999997868E-2</v>
      </c>
      <c r="BI377" s="111">
        <f t="shared" si="280"/>
        <v>9.9999999999997868E-2</v>
      </c>
      <c r="BJ377" s="111">
        <f t="shared" si="281"/>
        <v>9.9999999999997868E-2</v>
      </c>
      <c r="BK377" s="111">
        <f t="shared" si="282"/>
        <v>9.9999999999997868E-2</v>
      </c>
      <c r="BL377" s="111">
        <f t="shared" si="283"/>
        <v>9.9999999999997868E-2</v>
      </c>
      <c r="BM377" s="111">
        <f t="shared" si="284"/>
        <v>9.9999999999997868E-2</v>
      </c>
      <c r="BN377" s="111">
        <f t="shared" si="285"/>
        <v>0.10000000000000142</v>
      </c>
      <c r="BO377" s="111">
        <f t="shared" si="286"/>
        <v>9.9999999999997868E-2</v>
      </c>
      <c r="BR377" s="120">
        <v>6.8779286764022373E-3</v>
      </c>
      <c r="BS377" s="120">
        <v>7.1379491469662822E-3</v>
      </c>
      <c r="BT377" s="120">
        <v>6.9318661590515654E-3</v>
      </c>
      <c r="BU377" s="120">
        <v>7.1251111170591019E-3</v>
      </c>
      <c r="BV377" s="120">
        <v>6.9186370029659418E-3</v>
      </c>
      <c r="BW377" s="120">
        <v>6.7057205786409417E-3</v>
      </c>
      <c r="BX377" s="120">
        <v>7.0439693974467619E-3</v>
      </c>
      <c r="BY377" s="120">
        <v>7.3132972721744608E-3</v>
      </c>
      <c r="BZ377" s="120">
        <v>7.2512775451471379E-3</v>
      </c>
      <c r="CA377" s="120">
        <v>7.3252360808823275E-3</v>
      </c>
      <c r="CB377" s="120">
        <v>7.765311281931352E-3</v>
      </c>
      <c r="CC377" s="120">
        <v>8.9149238209831581E-3</v>
      </c>
      <c r="CD377" s="120">
        <v>1.1463467471392921E-2</v>
      </c>
      <c r="CF377" s="120">
        <v>0.20160992659358251</v>
      </c>
      <c r="CG377" s="120">
        <v>0.20054835052573772</v>
      </c>
      <c r="CH377" s="120">
        <v>0.19028859278869159</v>
      </c>
      <c r="CI377" s="120">
        <v>0.19196236796844138</v>
      </c>
      <c r="CJ377" s="120">
        <v>0.18248414276910549</v>
      </c>
      <c r="CK377" s="120">
        <v>0.17326733934736951</v>
      </c>
      <c r="CL377" s="120">
        <v>0.17599487566889538</v>
      </c>
      <c r="CM377" s="120">
        <v>0.17131505989792792</v>
      </c>
      <c r="CN377" s="120">
        <v>0.15995331066312266</v>
      </c>
      <c r="CO377" s="120">
        <v>0.15311572464106404</v>
      </c>
      <c r="CP377" s="120">
        <v>0.14770050788598882</v>
      </c>
      <c r="CQ377" s="120">
        <v>0.14540626987081082</v>
      </c>
      <c r="CR377" s="120">
        <v>0.14180002075890424</v>
      </c>
    </row>
    <row r="378" spans="38:96" ht="12.75" x14ac:dyDescent="0.2">
      <c r="AN378" t="s">
        <v>107</v>
      </c>
      <c r="AO378" s="147">
        <v>21</v>
      </c>
      <c r="AP378" s="147">
        <v>19.8</v>
      </c>
      <c r="AQ378" s="147">
        <v>19.399999999999999</v>
      </c>
      <c r="AR378" s="147">
        <v>19</v>
      </c>
      <c r="AS378" s="129">
        <f t="shared" si="274"/>
        <v>18.75</v>
      </c>
      <c r="AT378" s="147">
        <v>18.5</v>
      </c>
      <c r="AU378" s="147">
        <v>18.100000000000001</v>
      </c>
      <c r="AV378" s="147">
        <v>17.3</v>
      </c>
      <c r="AW378" s="147">
        <v>16.8</v>
      </c>
      <c r="AX378" s="147">
        <v>16.3</v>
      </c>
      <c r="AY378" s="147">
        <v>15.9</v>
      </c>
      <c r="AZ378" s="147">
        <v>15.6</v>
      </c>
      <c r="BA378" s="147">
        <v>16.100000000000001</v>
      </c>
      <c r="BC378" s="111">
        <f t="shared" si="287"/>
        <v>0</v>
      </c>
      <c r="BD378" s="111">
        <f t="shared" si="275"/>
        <v>0</v>
      </c>
      <c r="BE378" s="111">
        <f t="shared" si="276"/>
        <v>9.9999999999997868E-2</v>
      </c>
      <c r="BF378" s="111">
        <f t="shared" si="277"/>
        <v>0.10000000000000142</v>
      </c>
      <c r="BG378" s="111">
        <f t="shared" si="278"/>
        <v>0.10000000000000142</v>
      </c>
      <c r="BH378" s="111">
        <f t="shared" si="279"/>
        <v>0.10000000000000142</v>
      </c>
      <c r="BI378" s="111">
        <f t="shared" si="280"/>
        <v>0.10000000000000142</v>
      </c>
      <c r="BJ378" s="111">
        <f t="shared" si="281"/>
        <v>0</v>
      </c>
      <c r="BK378" s="111">
        <f t="shared" si="282"/>
        <v>0.10000000000000142</v>
      </c>
      <c r="BL378" s="111">
        <f t="shared" si="283"/>
        <v>0.10000000000000142</v>
      </c>
      <c r="BM378" s="111">
        <f t="shared" si="284"/>
        <v>9.9999999999999645E-2</v>
      </c>
      <c r="BN378" s="111">
        <f t="shared" si="285"/>
        <v>9.9999999999999645E-2</v>
      </c>
      <c r="BO378" s="111">
        <f t="shared" si="286"/>
        <v>0.10000000000000142</v>
      </c>
      <c r="BR378" s="120">
        <v>6.8374301445155647E-3</v>
      </c>
      <c r="BS378" s="120">
        <v>6.7714637003887879E-3</v>
      </c>
      <c r="BT378" s="120">
        <v>6.9191220301694006E-3</v>
      </c>
      <c r="BU378" s="120">
        <v>6.6189385471793552E-3</v>
      </c>
      <c r="BV378" s="120">
        <v>6.8333880926545873E-3</v>
      </c>
      <c r="BW378" s="120">
        <v>7.0442218192183735E-3</v>
      </c>
      <c r="BX378" s="120">
        <v>6.817139821577849E-3</v>
      </c>
      <c r="BY378" s="120">
        <v>6.735740891583933E-3</v>
      </c>
      <c r="BZ378" s="120">
        <v>7.1762686813289641E-3</v>
      </c>
      <c r="CA378" s="120">
        <v>7.1601243846614749E-3</v>
      </c>
      <c r="CB378" s="120">
        <v>7.5840744418308025E-3</v>
      </c>
      <c r="CC378" s="120">
        <v>8.1101145254104494E-3</v>
      </c>
      <c r="CD378" s="120">
        <v>1.0881785065451835E-2</v>
      </c>
      <c r="CF378" s="120">
        <v>0.20278862113164453</v>
      </c>
      <c r="CG378" s="120">
        <v>0.19180011473769515</v>
      </c>
      <c r="CH378" s="120">
        <v>0.19211611871272413</v>
      </c>
      <c r="CI378" s="120">
        <v>0.17970943732386158</v>
      </c>
      <c r="CJ378" s="120">
        <v>0.1821505063865865</v>
      </c>
      <c r="CK378" s="120">
        <v>0.18444403214025418</v>
      </c>
      <c r="CL378" s="120">
        <v>0.17186434650743729</v>
      </c>
      <c r="CM378" s="120">
        <v>0.15877663709752382</v>
      </c>
      <c r="CN378" s="120">
        <v>0.15964901721266003</v>
      </c>
      <c r="CO378" s="120">
        <v>0.15084717925665966</v>
      </c>
      <c r="CP378" s="120">
        <v>0.14534227141486794</v>
      </c>
      <c r="CQ378" s="120">
        <v>0.13307811892256566</v>
      </c>
      <c r="CR378" s="120">
        <v>0.13591874187913161</v>
      </c>
    </row>
    <row r="379" spans="38:96" ht="12.75" x14ac:dyDescent="0.2">
      <c r="AN379" t="s">
        <v>108</v>
      </c>
      <c r="AO379" s="147">
        <v>20.5</v>
      </c>
      <c r="AP379" s="147">
        <v>19.5</v>
      </c>
      <c r="AQ379" s="147">
        <v>19.100000000000001</v>
      </c>
      <c r="AR379" s="147">
        <v>18.8</v>
      </c>
      <c r="AS379" s="129">
        <f t="shared" si="274"/>
        <v>18.5</v>
      </c>
      <c r="AT379" s="147">
        <v>18.2</v>
      </c>
      <c r="AU379" s="147">
        <v>17.8</v>
      </c>
      <c r="AV379" s="147">
        <v>17</v>
      </c>
      <c r="AW379" s="147">
        <v>16.399999999999999</v>
      </c>
      <c r="AX379" s="147">
        <v>15.9</v>
      </c>
      <c r="AY379" s="147">
        <v>15.2</v>
      </c>
      <c r="AZ379" s="147">
        <v>14.7</v>
      </c>
      <c r="BA379" s="147">
        <v>14.4</v>
      </c>
      <c r="BC379" s="111">
        <f t="shared" si="287"/>
        <v>0</v>
      </c>
      <c r="BD379" s="111">
        <f t="shared" si="275"/>
        <v>0.10000000000000142</v>
      </c>
      <c r="BE379" s="111">
        <f t="shared" si="276"/>
        <v>0.10000000000000142</v>
      </c>
      <c r="BF379" s="111">
        <f t="shared" si="277"/>
        <v>0.10000000000000142</v>
      </c>
      <c r="BG379" s="111">
        <f t="shared" si="278"/>
        <v>0.10000000000000142</v>
      </c>
      <c r="BH379" s="111">
        <f t="shared" si="279"/>
        <v>9.9999999999997868E-2</v>
      </c>
      <c r="BI379" s="111">
        <f t="shared" si="280"/>
        <v>0.10000000000000142</v>
      </c>
      <c r="BJ379" s="111">
        <f t="shared" si="281"/>
        <v>0.10000000000000142</v>
      </c>
      <c r="BK379" s="111">
        <f t="shared" si="282"/>
        <v>9.9999999999997868E-2</v>
      </c>
      <c r="BL379" s="111">
        <f t="shared" si="283"/>
        <v>9.9999999999999645E-2</v>
      </c>
      <c r="BM379" s="111">
        <f t="shared" si="284"/>
        <v>9.9999999999999645E-2</v>
      </c>
      <c r="BN379" s="111">
        <f t="shared" si="285"/>
        <v>0.19999999999999929</v>
      </c>
      <c r="BO379" s="111">
        <f t="shared" si="286"/>
        <v>9.9999999999999645E-2</v>
      </c>
      <c r="BR379" s="120">
        <v>6.1653726989798563E-3</v>
      </c>
      <c r="BS379" s="120">
        <v>6.3485229654776237E-3</v>
      </c>
      <c r="BT379" s="120">
        <v>6.232035346760173E-3</v>
      </c>
      <c r="BU379" s="120">
        <v>6.6310259130604628E-3</v>
      </c>
      <c r="BV379" s="120">
        <v>6.4441359505947367E-3</v>
      </c>
      <c r="BW379" s="120">
        <v>6.2462407010755502E-3</v>
      </c>
      <c r="BX379" s="120">
        <v>6.586859314698725E-3</v>
      </c>
      <c r="BY379" s="120">
        <v>6.9007657713908675E-3</v>
      </c>
      <c r="BZ379" s="120">
        <v>6.7185313308201419E-3</v>
      </c>
      <c r="CA379" s="120">
        <v>7.0401472192216045E-3</v>
      </c>
      <c r="CB379" s="120">
        <v>7.0059203129181442E-3</v>
      </c>
      <c r="CC379" s="120">
        <v>8.184986505168133E-3</v>
      </c>
      <c r="CD379" s="120">
        <v>9.3957136242538899E-3</v>
      </c>
      <c r="CF379" s="120">
        <v>0.19015665437009846</v>
      </c>
      <c r="CG379" s="120">
        <v>0.18721759735484481</v>
      </c>
      <c r="CH379" s="120">
        <v>0.17968200918530727</v>
      </c>
      <c r="CI379" s="120">
        <v>0.18756031778387772</v>
      </c>
      <c r="CJ379" s="120">
        <v>0.17848423757335016</v>
      </c>
      <c r="CK379" s="120">
        <v>0.16952818657397542</v>
      </c>
      <c r="CL379" s="120">
        <v>0.17249735398419844</v>
      </c>
      <c r="CM379" s="120">
        <v>0.16905855240680434</v>
      </c>
      <c r="CN379" s="120">
        <v>0.15484161978456037</v>
      </c>
      <c r="CO379" s="120">
        <v>0.1536581223131229</v>
      </c>
      <c r="CP379" s="120">
        <v>0.13871615466070505</v>
      </c>
      <c r="CQ379" s="120">
        <v>0.13862576904528656</v>
      </c>
      <c r="CR379" s="120">
        <v>0.1202239284596527</v>
      </c>
    </row>
    <row r="380" spans="38:96" ht="12.75" x14ac:dyDescent="0.2">
      <c r="AN380" t="s">
        <v>109</v>
      </c>
      <c r="AO380" s="147">
        <v>20.2</v>
      </c>
      <c r="AP380" s="147">
        <v>19.3</v>
      </c>
      <c r="AQ380" s="147">
        <v>18.899999999999999</v>
      </c>
      <c r="AR380" s="147">
        <v>18.600000000000001</v>
      </c>
      <c r="AS380" s="129">
        <f t="shared" si="274"/>
        <v>18.350000000000001</v>
      </c>
      <c r="AT380" s="147">
        <v>18.100000000000001</v>
      </c>
      <c r="AU380" s="147">
        <v>17.600000000000001</v>
      </c>
      <c r="AV380" s="147">
        <v>16.8</v>
      </c>
      <c r="AW380" s="147">
        <v>16.2</v>
      </c>
      <c r="AX380" s="147">
        <v>15.7</v>
      </c>
      <c r="AY380" s="147">
        <v>15</v>
      </c>
      <c r="AZ380" s="147">
        <v>14.3</v>
      </c>
      <c r="BA380" s="147">
        <v>13.7</v>
      </c>
      <c r="BC380" s="111">
        <f t="shared" si="287"/>
        <v>0</v>
      </c>
      <c r="BD380" s="111">
        <f t="shared" si="275"/>
        <v>0.10000000000000142</v>
      </c>
      <c r="BE380" s="111">
        <f t="shared" si="276"/>
        <v>9.9999999999997868E-2</v>
      </c>
      <c r="BF380" s="111">
        <f t="shared" si="277"/>
        <v>0.10000000000000142</v>
      </c>
      <c r="BG380" s="111">
        <f t="shared" si="278"/>
        <v>0.10000000000000142</v>
      </c>
      <c r="BH380" s="111">
        <f t="shared" si="279"/>
        <v>0.10000000000000142</v>
      </c>
      <c r="BI380" s="111">
        <f t="shared" si="280"/>
        <v>0.10000000000000142</v>
      </c>
      <c r="BJ380" s="111">
        <f t="shared" si="281"/>
        <v>0.10000000000000142</v>
      </c>
      <c r="BK380" s="111">
        <f t="shared" si="282"/>
        <v>9.9999999999997868E-2</v>
      </c>
      <c r="BL380" s="111">
        <f t="shared" si="283"/>
        <v>9.9999999999999645E-2</v>
      </c>
      <c r="BM380" s="111">
        <f t="shared" si="284"/>
        <v>9.9999999999999645E-2</v>
      </c>
      <c r="BN380" s="111">
        <f t="shared" si="285"/>
        <v>0.10000000000000142</v>
      </c>
      <c r="BO380" s="111">
        <f t="shared" si="286"/>
        <v>9.9999999999999645E-2</v>
      </c>
      <c r="BR380" s="120">
        <v>6.1551335544091073E-3</v>
      </c>
      <c r="BS380" s="120">
        <v>6.1380390097537322E-3</v>
      </c>
      <c r="BT380" s="120">
        <v>6.231517950244239E-3</v>
      </c>
      <c r="BU380" s="120">
        <v>5.9617080036828253E-3</v>
      </c>
      <c r="BV380" s="120">
        <v>6.2600620118014663E-3</v>
      </c>
      <c r="BW380" s="120">
        <v>6.5635036215876607E-3</v>
      </c>
      <c r="BX380" s="120">
        <v>6.2163864009325276E-3</v>
      </c>
      <c r="BY380" s="120">
        <v>6.19696298508876E-3</v>
      </c>
      <c r="BZ380" s="120">
        <v>6.6263537423664493E-3</v>
      </c>
      <c r="CA380" s="120">
        <v>6.6549514821436107E-3</v>
      </c>
      <c r="CB380" s="120">
        <v>7.3454155190052182E-3</v>
      </c>
      <c r="CC380" s="120">
        <v>7.5271826132570444E-3</v>
      </c>
      <c r="CD380" s="120">
        <v>9.9074043198704564E-3</v>
      </c>
      <c r="CF380" s="120">
        <v>0.19758807700802425</v>
      </c>
      <c r="CG380" s="120">
        <v>0.18800547353394101</v>
      </c>
      <c r="CH380" s="120">
        <v>0.18671305202371916</v>
      </c>
      <c r="CI380" s="120">
        <v>0.17482787741201064</v>
      </c>
      <c r="CJ380" s="120">
        <v>0.18005230387541196</v>
      </c>
      <c r="CK380" s="120">
        <v>0.18527117931748133</v>
      </c>
      <c r="CL380" s="120">
        <v>0.168740657408468</v>
      </c>
      <c r="CM380" s="120">
        <v>0.15710591208660415</v>
      </c>
      <c r="CN380" s="120">
        <v>0.15801788602127026</v>
      </c>
      <c r="CO380" s="120">
        <v>0.15016935731985792</v>
      </c>
      <c r="CP380" s="120">
        <v>0.15036205380305498</v>
      </c>
      <c r="CQ380" s="120">
        <v>0.13141271517758552</v>
      </c>
      <c r="CR380" s="120">
        <v>0.13056493357853613</v>
      </c>
    </row>
    <row r="381" spans="38:96" ht="12.75" x14ac:dyDescent="0.2">
      <c r="AN381" t="s">
        <v>110</v>
      </c>
      <c r="AO381" s="147">
        <v>20</v>
      </c>
      <c r="AP381" s="147">
        <v>19.100000000000001</v>
      </c>
      <c r="AQ381" s="147">
        <v>18.8</v>
      </c>
      <c r="AR381" s="147">
        <v>18.5</v>
      </c>
      <c r="AS381" s="129">
        <f t="shared" si="274"/>
        <v>18.25</v>
      </c>
      <c r="AT381" s="147">
        <v>18</v>
      </c>
      <c r="AU381" s="147">
        <v>17.5</v>
      </c>
      <c r="AV381" s="147">
        <v>16.7</v>
      </c>
      <c r="AW381" s="147">
        <v>16.100000000000001</v>
      </c>
      <c r="AX381" s="147">
        <v>15.6</v>
      </c>
      <c r="AY381" s="147">
        <v>14.9</v>
      </c>
      <c r="AZ381" s="147">
        <v>14</v>
      </c>
      <c r="BA381" s="147">
        <v>13.3</v>
      </c>
      <c r="BC381" s="111">
        <f t="shared" si="287"/>
        <v>0.10000000000000142</v>
      </c>
      <c r="BD381" s="111">
        <f t="shared" si="275"/>
        <v>0.10000000000000142</v>
      </c>
      <c r="BE381" s="111">
        <f t="shared" si="276"/>
        <v>0.10000000000000142</v>
      </c>
      <c r="BF381" s="111">
        <f t="shared" si="277"/>
        <v>0.10000000000000142</v>
      </c>
      <c r="BG381" s="111">
        <f t="shared" si="278"/>
        <v>0.14999999999999858</v>
      </c>
      <c r="BH381" s="111">
        <f t="shared" si="279"/>
        <v>0.19999999999999929</v>
      </c>
      <c r="BI381" s="111">
        <f t="shared" si="280"/>
        <v>0.10000000000000142</v>
      </c>
      <c r="BJ381" s="111">
        <f t="shared" si="281"/>
        <v>9.9999999999997868E-2</v>
      </c>
      <c r="BK381" s="111">
        <f t="shared" si="282"/>
        <v>0.10000000000000142</v>
      </c>
      <c r="BL381" s="111">
        <f t="shared" si="283"/>
        <v>9.9999999999999645E-2</v>
      </c>
      <c r="BM381" s="111">
        <f t="shared" si="284"/>
        <v>0.20000000000000107</v>
      </c>
      <c r="BN381" s="111">
        <f t="shared" si="285"/>
        <v>9.9999999999999645E-2</v>
      </c>
      <c r="BO381" s="111">
        <f t="shared" si="286"/>
        <v>0.10000000000000142</v>
      </c>
      <c r="BR381" s="120">
        <v>5.7895451163913142E-3</v>
      </c>
      <c r="BS381" s="120">
        <v>5.7917724772986049E-3</v>
      </c>
      <c r="BT381" s="120">
        <v>5.9679707627349329E-3</v>
      </c>
      <c r="BU381" s="120">
        <v>6.2371855665547035E-3</v>
      </c>
      <c r="BV381" s="120">
        <v>6.0675218812986167E-3</v>
      </c>
      <c r="BW381" s="120">
        <v>5.8844656346102005E-3</v>
      </c>
      <c r="BX381" s="120">
        <v>6.2653769155432883E-3</v>
      </c>
      <c r="BY381" s="120">
        <v>6.5209215144660052E-3</v>
      </c>
      <c r="BZ381" s="120">
        <v>6.4562015644831269E-3</v>
      </c>
      <c r="CA381" s="120">
        <v>6.7199596912203338E-3</v>
      </c>
      <c r="CB381" s="120">
        <v>6.8118855133907433E-3</v>
      </c>
      <c r="CC381" s="120">
        <v>7.4101443920685786E-3</v>
      </c>
      <c r="CD381" s="120">
        <v>9.0175448416768954E-3</v>
      </c>
      <c r="CF381" s="120">
        <v>0.1896832420078948</v>
      </c>
      <c r="CG381" s="120">
        <v>0.18068913577811729</v>
      </c>
      <c r="CH381" s="120">
        <v>0.18256539498082616</v>
      </c>
      <c r="CI381" s="120">
        <v>0.18673940431250283</v>
      </c>
      <c r="CJ381" s="120">
        <v>0.17786168626712273</v>
      </c>
      <c r="CK381" s="120">
        <v>0.16901959850046933</v>
      </c>
      <c r="CL381" s="120">
        <v>0.17337646182971764</v>
      </c>
      <c r="CM381" s="120">
        <v>0.16835081544563307</v>
      </c>
      <c r="CN381" s="120">
        <v>0.15673747120636738</v>
      </c>
      <c r="CO381" s="120">
        <v>0.15420655179840717</v>
      </c>
      <c r="CP381" s="120">
        <v>0.14169330033612276</v>
      </c>
      <c r="CQ381" s="120">
        <v>0.13095163325700757</v>
      </c>
      <c r="CR381" s="120">
        <v>0.12025422767100002</v>
      </c>
    </row>
    <row r="383" spans="38:96" x14ac:dyDescent="0.2">
      <c r="AO383">
        <v>-0.5</v>
      </c>
      <c r="AP383">
        <v>-0.25</v>
      </c>
      <c r="AQ383">
        <v>-0.13</v>
      </c>
      <c r="AR383">
        <v>0</v>
      </c>
      <c r="AS383">
        <v>0.125</v>
      </c>
      <c r="AT383" s="126">
        <v>0.25</v>
      </c>
      <c r="AU383" s="126">
        <v>0.5</v>
      </c>
      <c r="AV383" s="126">
        <v>1</v>
      </c>
      <c r="AW383" s="126">
        <v>1.5</v>
      </c>
      <c r="AX383" s="126">
        <v>2</v>
      </c>
      <c r="AY383" s="126">
        <v>3</v>
      </c>
      <c r="AZ383" s="126">
        <v>5</v>
      </c>
      <c r="BA383" s="126">
        <v>10</v>
      </c>
    </row>
    <row r="384" spans="38:96" ht="12.75" x14ac:dyDescent="0.2">
      <c r="AL384" s="105" t="s">
        <v>306</v>
      </c>
      <c r="AN384" t="s">
        <v>25</v>
      </c>
      <c r="AO384" s="147">
        <v>9.6</v>
      </c>
      <c r="AP384" s="147">
        <v>6.9</v>
      </c>
      <c r="AQ384" s="147">
        <v>7.6</v>
      </c>
      <c r="AR384" s="147">
        <v>9</v>
      </c>
      <c r="AS384" s="129">
        <f t="shared" ref="AS384:AS398" si="288">(AR384+AT384)/2</f>
        <v>10.4</v>
      </c>
      <c r="AT384" s="147">
        <v>11.8</v>
      </c>
      <c r="AU384" s="147">
        <v>14.3</v>
      </c>
      <c r="AV384" s="147">
        <v>18.600000000000001</v>
      </c>
      <c r="AW384" s="147">
        <v>22.1</v>
      </c>
      <c r="AX384" s="147">
        <v>25.2</v>
      </c>
      <c r="AY384" s="147">
        <v>30.2</v>
      </c>
      <c r="AZ384" s="147">
        <v>37.6</v>
      </c>
      <c r="BA384" s="147">
        <v>49</v>
      </c>
      <c r="BC384" s="111">
        <f>AO384-AO367</f>
        <v>1.1999999999999993</v>
      </c>
      <c r="BD384" s="111">
        <f t="shared" ref="BD384:BD398" si="289">AP384-AP367</f>
        <v>-0.19999999999999929</v>
      </c>
      <c r="BE384" s="111">
        <f t="shared" ref="BE384:BE398" si="290">AQ384-AQ367</f>
        <v>-0.80000000000000071</v>
      </c>
      <c r="BF384" s="111">
        <f t="shared" ref="BF384:BF398" si="291">AR384-AR367</f>
        <v>-1.0999999999999996</v>
      </c>
      <c r="BG384" s="111">
        <f t="shared" ref="BG384:BG398" si="292">AS384-AS367</f>
        <v>-1.2499999999999982</v>
      </c>
      <c r="BH384" s="111">
        <f t="shared" ref="BH384:BH398" si="293">AT384-AT367</f>
        <v>-1.3999999999999986</v>
      </c>
      <c r="BI384" s="111">
        <f t="shared" ref="BI384:BI398" si="294">AU384-AU367</f>
        <v>-1.5999999999999996</v>
      </c>
      <c r="BJ384" s="111">
        <f t="shared" ref="BJ384:BJ398" si="295">AV384-AV367</f>
        <v>-1.8999999999999986</v>
      </c>
      <c r="BK384" s="111">
        <f t="shared" ref="BK384:BK398" si="296">AW384-AW367</f>
        <v>-2.1999999999999993</v>
      </c>
      <c r="BL384" s="111">
        <f t="shared" ref="BL384:BL398" si="297">AX384-AX367</f>
        <v>-2.3000000000000007</v>
      </c>
      <c r="BM384" s="111">
        <f t="shared" ref="BM384:BM398" si="298">AY384-AY367</f>
        <v>-2.5999999999999979</v>
      </c>
      <c r="BN384" s="111">
        <f t="shared" ref="BN384:BN398" si="299">AZ384-AZ367</f>
        <v>-3.1000000000000014</v>
      </c>
      <c r="BO384" s="111">
        <f t="shared" ref="BO384:BO398" si="300">BA384-BA367</f>
        <v>-3.7000000000000028</v>
      </c>
      <c r="BR384" s="120">
        <v>2.5007991731116146E-3</v>
      </c>
      <c r="BS384" s="120">
        <v>1.8747532380293435E-3</v>
      </c>
      <c r="BT384" s="120">
        <v>2.1235359184518989E-3</v>
      </c>
      <c r="BU384" s="120">
        <v>2.5690882216247014E-3</v>
      </c>
      <c r="BV384" s="120">
        <v>3.0312114103435619E-3</v>
      </c>
      <c r="BW384" s="120">
        <v>3.5091565049173009E-3</v>
      </c>
      <c r="BX384" s="120">
        <v>4.4187497268621074E-3</v>
      </c>
      <c r="BY384" s="120">
        <v>6.1645930124403451E-3</v>
      </c>
      <c r="BZ384" s="120">
        <v>7.800861896643441E-3</v>
      </c>
      <c r="CA384" s="120">
        <v>9.4624061415607141E-3</v>
      </c>
      <c r="CB384" s="120">
        <v>1.2548419634828447E-2</v>
      </c>
      <c r="CC384" s="120">
        <v>1.8419206241244639E-2</v>
      </c>
      <c r="CD384" s="120">
        <v>3.2747189383325194E-2</v>
      </c>
      <c r="CF384" s="120">
        <v>9.5994587020998681E-2</v>
      </c>
      <c r="CG384" s="120">
        <v>6.8627484135021594E-2</v>
      </c>
      <c r="CH384" s="120">
        <v>7.6016062646392116E-2</v>
      </c>
      <c r="CI384" s="120">
        <v>9.0001186606113504E-2</v>
      </c>
      <c r="CJ384" s="120">
        <v>0.10400432850242222</v>
      </c>
      <c r="CK384" s="120">
        <v>0.11800966197341856</v>
      </c>
      <c r="CL384" s="120">
        <v>0.1430231375324959</v>
      </c>
      <c r="CM384" s="120">
        <v>0.1860539799012732</v>
      </c>
      <c r="CN384" s="120">
        <v>0.22110117541273439</v>
      </c>
      <c r="CO384" s="120">
        <v>0.25211286604260541</v>
      </c>
      <c r="CP384" s="120">
        <v>0.30379975644444362</v>
      </c>
      <c r="CQ384" s="120">
        <v>0.37813494689913119</v>
      </c>
      <c r="CR384" s="120">
        <v>0.50357025230789332</v>
      </c>
    </row>
    <row r="385" spans="40:96" ht="12.75" x14ac:dyDescent="0.2">
      <c r="AN385" t="s">
        <v>157</v>
      </c>
      <c r="AO385" s="147">
        <v>11.4</v>
      </c>
      <c r="AP385" s="147">
        <v>9.1999999999999993</v>
      </c>
      <c r="AQ385" s="147">
        <v>9.9</v>
      </c>
      <c r="AR385" s="147">
        <v>11.1</v>
      </c>
      <c r="AS385" s="129">
        <f t="shared" si="288"/>
        <v>12.25</v>
      </c>
      <c r="AT385" s="147">
        <v>13.4</v>
      </c>
      <c r="AU385" s="147">
        <v>15.5</v>
      </c>
      <c r="AV385" s="147">
        <v>19.2</v>
      </c>
      <c r="AW385" s="147">
        <v>22.3</v>
      </c>
      <c r="AX385" s="147">
        <v>24.9</v>
      </c>
      <c r="AY385" s="147">
        <v>29.1</v>
      </c>
      <c r="AZ385" s="147">
        <v>35.299999999999997</v>
      </c>
      <c r="BA385" s="147">
        <v>44.4</v>
      </c>
      <c r="BC385" s="111">
        <f t="shared" ref="BC385:BC398" si="301">AO385-AO368</f>
        <v>1</v>
      </c>
      <c r="BD385" s="111">
        <f t="shared" si="289"/>
        <v>-0.30000000000000071</v>
      </c>
      <c r="BE385" s="111">
        <f t="shared" si="290"/>
        <v>-0.79999999999999893</v>
      </c>
      <c r="BF385" s="111">
        <f t="shared" si="291"/>
        <v>-1.0999999999999996</v>
      </c>
      <c r="BG385" s="111">
        <f t="shared" si="292"/>
        <v>-1.25</v>
      </c>
      <c r="BH385" s="111">
        <f t="shared" si="293"/>
        <v>-1.4000000000000004</v>
      </c>
      <c r="BI385" s="111">
        <f t="shared" si="294"/>
        <v>-1.6999999999999993</v>
      </c>
      <c r="BJ385" s="111">
        <f t="shared" si="295"/>
        <v>-2</v>
      </c>
      <c r="BK385" s="111">
        <f t="shared" si="296"/>
        <v>-2.0999999999999979</v>
      </c>
      <c r="BL385" s="111">
        <f t="shared" si="297"/>
        <v>-2.2000000000000028</v>
      </c>
      <c r="BM385" s="111">
        <f t="shared" si="298"/>
        <v>-2.5</v>
      </c>
      <c r="BN385" s="111">
        <f t="shared" si="299"/>
        <v>-2.7000000000000028</v>
      </c>
      <c r="BO385" s="111">
        <f t="shared" si="300"/>
        <v>-3</v>
      </c>
      <c r="BR385" s="120">
        <v>3.3924780979059728E-3</v>
      </c>
      <c r="BS385" s="120">
        <v>3.2644693200733158E-3</v>
      </c>
      <c r="BT385" s="120">
        <v>3.3904374336123652E-3</v>
      </c>
      <c r="BU385" s="120">
        <v>3.6409637720915544E-3</v>
      </c>
      <c r="BV385" s="120">
        <v>3.9293973140888481E-3</v>
      </c>
      <c r="BW385" s="120">
        <v>4.2615275013626911E-3</v>
      </c>
      <c r="BX385" s="120">
        <v>4.9599087327448057E-3</v>
      </c>
      <c r="BY385" s="120">
        <v>6.4112074218874377E-3</v>
      </c>
      <c r="BZ385" s="120">
        <v>7.8454045099042823E-3</v>
      </c>
      <c r="CA385" s="120">
        <v>9.1830273358760716E-3</v>
      </c>
      <c r="CB385" s="120">
        <v>1.177093894809501E-2</v>
      </c>
      <c r="CC385" s="120">
        <v>1.6710659883774619E-2</v>
      </c>
      <c r="CD385" s="120">
        <v>2.7721776504085447E-2</v>
      </c>
      <c r="CF385" s="120">
        <v>0.1308989978093148</v>
      </c>
      <c r="CG385" s="120">
        <v>0.12006444538766446</v>
      </c>
      <c r="CH385" s="120">
        <v>0.12194354809912443</v>
      </c>
      <c r="CI385" s="120">
        <v>0.12818202196330697</v>
      </c>
      <c r="CJ385" s="120">
        <v>0.13550826877298047</v>
      </c>
      <c r="CK385" s="120">
        <v>0.14405969177531674</v>
      </c>
      <c r="CL385" s="120">
        <v>0.16141237281161963</v>
      </c>
      <c r="CM385" s="120">
        <v>0.19462677808502435</v>
      </c>
      <c r="CN385" s="120">
        <v>0.22374316284621898</v>
      </c>
      <c r="CO385" s="120">
        <v>0.24788258206015887</v>
      </c>
      <c r="CP385" s="120">
        <v>0.28686845717750364</v>
      </c>
      <c r="CQ385" s="120">
        <v>0.34592127387393784</v>
      </c>
      <c r="CR385" s="120">
        <v>0.42894943629089721</v>
      </c>
    </row>
    <row r="386" spans="40:96" ht="12.75" x14ac:dyDescent="0.2">
      <c r="AN386" t="s">
        <v>99</v>
      </c>
      <c r="AO386" s="147">
        <v>14.4</v>
      </c>
      <c r="AP386" s="147">
        <v>12</v>
      </c>
      <c r="AQ386" s="147">
        <v>11.6</v>
      </c>
      <c r="AR386" s="147">
        <v>11.8</v>
      </c>
      <c r="AS386" s="129">
        <f t="shared" si="288"/>
        <v>12.45</v>
      </c>
      <c r="AT386" s="147">
        <v>13.1</v>
      </c>
      <c r="AU386" s="147">
        <v>14.4</v>
      </c>
      <c r="AV386" s="147">
        <v>16.7</v>
      </c>
      <c r="AW386" s="147">
        <v>18.7</v>
      </c>
      <c r="AX386" s="147">
        <v>20.399999999999999</v>
      </c>
      <c r="AY386" s="147">
        <v>23.2</v>
      </c>
      <c r="AZ386" s="147">
        <v>27.2</v>
      </c>
      <c r="BA386" s="147">
        <v>33.299999999999997</v>
      </c>
      <c r="BC386" s="111">
        <f t="shared" si="301"/>
        <v>0.5</v>
      </c>
      <c r="BD386" s="111">
        <f t="shared" si="289"/>
        <v>0.19999999999999929</v>
      </c>
      <c r="BE386" s="111">
        <f t="shared" si="290"/>
        <v>-9.9999999999999645E-2</v>
      </c>
      <c r="BF386" s="111">
        <f t="shared" si="291"/>
        <v>-0.39999999999999858</v>
      </c>
      <c r="BG386" s="111">
        <f t="shared" si="292"/>
        <v>-0.40000000000000036</v>
      </c>
      <c r="BH386" s="111">
        <f t="shared" si="293"/>
        <v>-0.40000000000000036</v>
      </c>
      <c r="BI386" s="111">
        <f t="shared" si="294"/>
        <v>-0.40000000000000036</v>
      </c>
      <c r="BJ386" s="111">
        <f t="shared" si="295"/>
        <v>-0.5</v>
      </c>
      <c r="BK386" s="111">
        <f t="shared" si="296"/>
        <v>-0.5</v>
      </c>
      <c r="BL386" s="111">
        <f t="shared" si="297"/>
        <v>-0.60000000000000142</v>
      </c>
      <c r="BM386" s="111">
        <f t="shared" si="298"/>
        <v>-0.69999999999999929</v>
      </c>
      <c r="BN386" s="111">
        <f t="shared" si="299"/>
        <v>-1</v>
      </c>
      <c r="BO386" s="111">
        <f t="shared" si="300"/>
        <v>-1.4000000000000057</v>
      </c>
      <c r="BR386" s="120">
        <v>3.8691183107138526E-3</v>
      </c>
      <c r="BS386" s="120">
        <v>3.3774157120714829E-3</v>
      </c>
      <c r="BT386" s="120">
        <v>3.3376818343918133E-3</v>
      </c>
      <c r="BU386" s="120">
        <v>3.4692100162948721E-3</v>
      </c>
      <c r="BV386" s="120">
        <v>3.7378621380881687E-3</v>
      </c>
      <c r="BW386" s="120">
        <v>4.0134536558626656E-3</v>
      </c>
      <c r="BX386" s="120">
        <v>4.5846281494328319E-3</v>
      </c>
      <c r="BY386" s="120">
        <v>5.701385602389644E-3</v>
      </c>
      <c r="BZ386" s="120">
        <v>6.7950714941512995E-3</v>
      </c>
      <c r="CA386" s="120">
        <v>7.8445615237294833E-3</v>
      </c>
      <c r="CB386" s="120">
        <v>9.8578061562830145E-3</v>
      </c>
      <c r="CC386" s="120">
        <v>1.359923463632684E-2</v>
      </c>
      <c r="CD386" s="120">
        <v>2.222742900811191E-2</v>
      </c>
      <c r="CF386" s="120">
        <v>0.14404799162725532</v>
      </c>
      <c r="CG386" s="120">
        <v>0.12000043024385862</v>
      </c>
      <c r="CH386" s="120">
        <v>0.11597743711622729</v>
      </c>
      <c r="CI386" s="120">
        <v>0.11796243380102625</v>
      </c>
      <c r="CJ386" s="120">
        <v>0.12445942154992909</v>
      </c>
      <c r="CK386" s="120">
        <v>0.13095192370139688</v>
      </c>
      <c r="CL386" s="120">
        <v>0.14393604611531077</v>
      </c>
      <c r="CM386" s="120">
        <v>0.16689967269276315</v>
      </c>
      <c r="CN386" s="120">
        <v>0.18686663818477336</v>
      </c>
      <c r="CO386" s="120">
        <v>0.2038436071607167</v>
      </c>
      <c r="CP386" s="120">
        <v>0.23180956668684924</v>
      </c>
      <c r="CQ386" s="120">
        <v>0.27178118493957626</v>
      </c>
      <c r="CR386" s="120">
        <v>0.33284308632018039</v>
      </c>
    </row>
    <row r="387" spans="40:96" ht="12.75" x14ac:dyDescent="0.2">
      <c r="AN387" t="s">
        <v>101</v>
      </c>
      <c r="AO387" s="147">
        <v>16.2</v>
      </c>
      <c r="AP387" s="147">
        <v>14.3</v>
      </c>
      <c r="AQ387" s="147">
        <v>13.8</v>
      </c>
      <c r="AR387" s="147">
        <v>14</v>
      </c>
      <c r="AS387" s="129">
        <f t="shared" si="288"/>
        <v>14.4</v>
      </c>
      <c r="AT387" s="147">
        <v>14.8</v>
      </c>
      <c r="AU387" s="147">
        <v>15.6</v>
      </c>
      <c r="AV387" s="147">
        <v>17</v>
      </c>
      <c r="AW387" s="147">
        <v>18.2</v>
      </c>
      <c r="AX387" s="147">
        <v>19.3</v>
      </c>
      <c r="AY387" s="147">
        <v>21.2</v>
      </c>
      <c r="AZ387" s="147">
        <v>23.9</v>
      </c>
      <c r="BA387" s="147">
        <v>28.1</v>
      </c>
      <c r="BC387" s="111">
        <f t="shared" si="301"/>
        <v>0.19999999999999929</v>
      </c>
      <c r="BD387" s="111">
        <f t="shared" si="289"/>
        <v>0.20000000000000107</v>
      </c>
      <c r="BE387" s="111">
        <f t="shared" si="290"/>
        <v>-9.9999999999999645E-2</v>
      </c>
      <c r="BF387" s="111">
        <f t="shared" si="291"/>
        <v>-0.19999999999999929</v>
      </c>
      <c r="BG387" s="111">
        <f t="shared" si="292"/>
        <v>-0.19999999999999929</v>
      </c>
      <c r="BH387" s="111">
        <f t="shared" si="293"/>
        <v>-0.19999999999999929</v>
      </c>
      <c r="BI387" s="111">
        <f t="shared" si="294"/>
        <v>-0.20000000000000107</v>
      </c>
      <c r="BJ387" s="111">
        <f t="shared" si="295"/>
        <v>-0.10000000000000142</v>
      </c>
      <c r="BK387" s="111">
        <f t="shared" si="296"/>
        <v>-0.10000000000000142</v>
      </c>
      <c r="BL387" s="111">
        <f t="shared" si="297"/>
        <v>-9.9999999999997868E-2</v>
      </c>
      <c r="BM387" s="111">
        <f t="shared" si="298"/>
        <v>0</v>
      </c>
      <c r="BN387" s="111">
        <f t="shared" si="299"/>
        <v>-0.20000000000000284</v>
      </c>
      <c r="BO387" s="111">
        <f t="shared" si="300"/>
        <v>-0.69999999999999929</v>
      </c>
      <c r="BR387" s="120">
        <v>5.6257544714453846E-3</v>
      </c>
      <c r="BS387" s="120">
        <v>5.8319406512940498E-3</v>
      </c>
      <c r="BT387" s="120">
        <v>5.7333427467312946E-3</v>
      </c>
      <c r="BU387" s="120">
        <v>5.8197907984741132E-3</v>
      </c>
      <c r="BV387" s="120">
        <v>5.765445198340876E-3</v>
      </c>
      <c r="BW387" s="120">
        <v>5.7340780198541679E-3</v>
      </c>
      <c r="BX387" s="120">
        <v>5.7772901202502785E-3</v>
      </c>
      <c r="BY387" s="120">
        <v>6.1361330877124035E-3</v>
      </c>
      <c r="BZ387" s="120">
        <v>6.6413246110652302E-3</v>
      </c>
      <c r="CA387" s="120">
        <v>7.2543619053474792E-3</v>
      </c>
      <c r="CB387" s="120">
        <v>8.5571294017960965E-3</v>
      </c>
      <c r="CC387" s="120">
        <v>1.0991852647190766E-2</v>
      </c>
      <c r="CD387" s="120">
        <v>1.627424528036105E-2</v>
      </c>
      <c r="CF387" s="120">
        <v>0.20216921583113454</v>
      </c>
      <c r="CG387" s="120">
        <v>0.20018001491866544</v>
      </c>
      <c r="CH387" s="120">
        <v>0.19244142506209505</v>
      </c>
      <c r="CI387" s="120">
        <v>0.19123835535446743</v>
      </c>
      <c r="CJ387" s="120">
        <v>0.18551752285473302</v>
      </c>
      <c r="CK387" s="120">
        <v>0.18081781041668218</v>
      </c>
      <c r="CL387" s="120">
        <v>0.17534646689607303</v>
      </c>
      <c r="CM387" s="120">
        <v>0.17375603763555758</v>
      </c>
      <c r="CN387" s="120">
        <v>0.17671813517415283</v>
      </c>
      <c r="CO387" s="120">
        <v>0.18244005893039736</v>
      </c>
      <c r="CP387" s="120">
        <v>0.1947791279971183</v>
      </c>
      <c r="CQ387" s="120">
        <v>0.21246544345781124</v>
      </c>
      <c r="CR387" s="120">
        <v>0.23442995679966533</v>
      </c>
    </row>
    <row r="388" spans="40:96" ht="12.75" x14ac:dyDescent="0.2">
      <c r="AN388" t="s">
        <v>102</v>
      </c>
      <c r="AO388" s="147">
        <v>17.899999999999999</v>
      </c>
      <c r="AP388" s="147">
        <v>16.100000000000001</v>
      </c>
      <c r="AQ388" s="147">
        <v>15.7</v>
      </c>
      <c r="AR388" s="147">
        <v>15.7</v>
      </c>
      <c r="AS388" s="129">
        <f t="shared" si="288"/>
        <v>15.95</v>
      </c>
      <c r="AT388" s="147">
        <v>16.2</v>
      </c>
      <c r="AU388" s="147">
        <v>16.7</v>
      </c>
      <c r="AV388" s="147">
        <v>17.600000000000001</v>
      </c>
      <c r="AW388" s="147">
        <v>18.5</v>
      </c>
      <c r="AX388" s="147">
        <v>19.3</v>
      </c>
      <c r="AY388" s="147">
        <v>20.8</v>
      </c>
      <c r="AZ388" s="147">
        <v>23.1</v>
      </c>
      <c r="BA388" s="147">
        <v>26.6</v>
      </c>
      <c r="BC388" s="111">
        <f t="shared" si="301"/>
        <v>9.9999999999997868E-2</v>
      </c>
      <c r="BD388" s="111">
        <f t="shared" si="289"/>
        <v>0.10000000000000142</v>
      </c>
      <c r="BE388" s="111">
        <f t="shared" si="290"/>
        <v>0</v>
      </c>
      <c r="BF388" s="111">
        <f t="shared" si="291"/>
        <v>-0.10000000000000142</v>
      </c>
      <c r="BG388" s="111">
        <f t="shared" si="292"/>
        <v>-0.10000000000000142</v>
      </c>
      <c r="BH388" s="111">
        <f t="shared" si="293"/>
        <v>-0.10000000000000142</v>
      </c>
      <c r="BI388" s="111">
        <f t="shared" si="294"/>
        <v>-0.10000000000000142</v>
      </c>
      <c r="BJ388" s="111">
        <f t="shared" si="295"/>
        <v>0</v>
      </c>
      <c r="BK388" s="111">
        <f t="shared" si="296"/>
        <v>0.10000000000000142</v>
      </c>
      <c r="BL388" s="111">
        <f t="shared" si="297"/>
        <v>0.19999999999999929</v>
      </c>
      <c r="BM388" s="111">
        <f t="shared" si="298"/>
        <v>0.19999999999999929</v>
      </c>
      <c r="BN388" s="111">
        <f t="shared" si="299"/>
        <v>0.10000000000000142</v>
      </c>
      <c r="BO388" s="111">
        <f t="shared" si="300"/>
        <v>0</v>
      </c>
      <c r="BR388" s="120">
        <v>6.3572409299767797E-3</v>
      </c>
      <c r="BS388" s="120">
        <v>6.1731573356711856E-3</v>
      </c>
      <c r="BT388" s="120">
        <v>6.2953921426701998E-3</v>
      </c>
      <c r="BU388" s="120">
        <v>6.1755932546543584E-3</v>
      </c>
      <c r="BV388" s="120">
        <v>6.2238036938388249E-3</v>
      </c>
      <c r="BW388" s="120">
        <v>6.2696701606452391E-3</v>
      </c>
      <c r="BX388" s="120">
        <v>6.3865448095490147E-3</v>
      </c>
      <c r="BY388" s="120">
        <v>6.7800894259841442E-3</v>
      </c>
      <c r="BZ388" s="120">
        <v>7.4033295695973417E-3</v>
      </c>
      <c r="CA388" s="120">
        <v>8.0222498341428385E-3</v>
      </c>
      <c r="CB388" s="120">
        <v>9.3973990846251531E-3</v>
      </c>
      <c r="CC388" s="120">
        <v>1.2199872948531231E-2</v>
      </c>
      <c r="CD388" s="120">
        <v>1.8659590172530684E-2</v>
      </c>
      <c r="CF388" s="120">
        <v>0.22086212048614146</v>
      </c>
      <c r="CG388" s="120">
        <v>0.20445708355185707</v>
      </c>
      <c r="CH388" s="120">
        <v>0.20410912027959169</v>
      </c>
      <c r="CI388" s="120">
        <v>0.19593098389618013</v>
      </c>
      <c r="CJ388" s="120">
        <v>0.19354060753840194</v>
      </c>
      <c r="CK388" s="120">
        <v>0.1912141331888727</v>
      </c>
      <c r="CL388" s="120">
        <v>0.18768170750149116</v>
      </c>
      <c r="CM388" s="120">
        <v>0.18618358309503003</v>
      </c>
      <c r="CN388" s="120">
        <v>0.19137371973551762</v>
      </c>
      <c r="CO388" s="120">
        <v>0.19625381430922131</v>
      </c>
      <c r="CP388" s="120">
        <v>0.2086111856235196</v>
      </c>
      <c r="CQ388" s="120">
        <v>0.23119927222123543</v>
      </c>
      <c r="CR388" s="120">
        <v>0.26679767029330265</v>
      </c>
    </row>
    <row r="389" spans="40:96" ht="12.75" x14ac:dyDescent="0.2">
      <c r="AN389" t="s">
        <v>103</v>
      </c>
      <c r="AO389" s="147">
        <v>19.3</v>
      </c>
      <c r="AP389" s="147">
        <v>17.5</v>
      </c>
      <c r="AQ389" s="147">
        <v>17.100000000000001</v>
      </c>
      <c r="AR389" s="147">
        <v>17</v>
      </c>
      <c r="AS389" s="129">
        <f t="shared" si="288"/>
        <v>17.100000000000001</v>
      </c>
      <c r="AT389" s="147">
        <v>17.2</v>
      </c>
      <c r="AU389" s="147">
        <v>17.5</v>
      </c>
      <c r="AV389" s="147">
        <v>18</v>
      </c>
      <c r="AW389" s="147">
        <v>18.5</v>
      </c>
      <c r="AX389" s="147">
        <v>19.100000000000001</v>
      </c>
      <c r="AY389" s="147">
        <v>20.3</v>
      </c>
      <c r="AZ389" s="147">
        <v>22.4</v>
      </c>
      <c r="BA389" s="147">
        <v>25.7</v>
      </c>
      <c r="BC389" s="111">
        <f t="shared" si="301"/>
        <v>0.10000000000000142</v>
      </c>
      <c r="BD389" s="111">
        <f t="shared" si="289"/>
        <v>0</v>
      </c>
      <c r="BE389" s="111">
        <f t="shared" si="290"/>
        <v>0</v>
      </c>
      <c r="BF389" s="111">
        <f t="shared" si="291"/>
        <v>-0.10000000000000142</v>
      </c>
      <c r="BG389" s="111">
        <f t="shared" si="292"/>
        <v>-0.10000000000000142</v>
      </c>
      <c r="BH389" s="111">
        <f t="shared" si="293"/>
        <v>-0.10000000000000142</v>
      </c>
      <c r="BI389" s="111">
        <f t="shared" si="294"/>
        <v>0</v>
      </c>
      <c r="BJ389" s="111">
        <f t="shared" si="295"/>
        <v>0.10000000000000142</v>
      </c>
      <c r="BK389" s="111">
        <f t="shared" si="296"/>
        <v>0.19999999999999929</v>
      </c>
      <c r="BL389" s="111">
        <f t="shared" si="297"/>
        <v>0.20000000000000284</v>
      </c>
      <c r="BM389" s="111">
        <f t="shared" si="298"/>
        <v>0.19999999999999929</v>
      </c>
      <c r="BN389" s="111">
        <f t="shared" si="299"/>
        <v>0.29999999999999716</v>
      </c>
      <c r="BO389" s="111">
        <f t="shared" si="300"/>
        <v>0.30000000000000071</v>
      </c>
      <c r="BR389" s="120">
        <v>7.096576397467606E-3</v>
      </c>
      <c r="BS389" s="120">
        <v>6.943121971184853E-3</v>
      </c>
      <c r="BT389" s="120">
        <v>6.9164276103310714E-3</v>
      </c>
      <c r="BU389" s="120">
        <v>6.9184699638032447E-3</v>
      </c>
      <c r="BV389" s="120">
        <v>6.8626049336751177E-3</v>
      </c>
      <c r="BW389" s="120">
        <v>6.8064985634919408E-3</v>
      </c>
      <c r="BX389" s="120">
        <v>6.8758667049833811E-3</v>
      </c>
      <c r="BY389" s="120">
        <v>7.0672689802252575E-3</v>
      </c>
      <c r="BZ389" s="120">
        <v>7.335032778972096E-3</v>
      </c>
      <c r="CA389" s="120">
        <v>7.8807434812339702E-3</v>
      </c>
      <c r="CB389" s="120">
        <v>9.0872978910189299E-3</v>
      </c>
      <c r="CC389" s="120">
        <v>1.1745888240899371E-2</v>
      </c>
      <c r="CD389" s="120">
        <v>1.7962565785562826E-2</v>
      </c>
      <c r="CF389" s="120">
        <v>0.23813253455048028</v>
      </c>
      <c r="CG389" s="120">
        <v>0.22238353103537364</v>
      </c>
      <c r="CH389" s="120">
        <v>0.2166712556005197</v>
      </c>
      <c r="CI389" s="120">
        <v>0.21227736974016609</v>
      </c>
      <c r="CJ389" s="120">
        <v>0.20626678388301831</v>
      </c>
      <c r="CK389" s="120">
        <v>0.20054089932981539</v>
      </c>
      <c r="CL389" s="120">
        <v>0.1951729234918719</v>
      </c>
      <c r="CM389" s="120">
        <v>0.18738761310185817</v>
      </c>
      <c r="CN389" s="120">
        <v>0.1829112729749201</v>
      </c>
      <c r="CO389" s="120">
        <v>0.18601574532960127</v>
      </c>
      <c r="CP389" s="120">
        <v>0.19467534878259612</v>
      </c>
      <c r="CQ389" s="120">
        <v>0.21490546694703508</v>
      </c>
      <c r="CR389" s="120">
        <v>0.24815408145173987</v>
      </c>
    </row>
    <row r="390" spans="40:96" ht="12.75" x14ac:dyDescent="0.2">
      <c r="AN390" t="s">
        <v>104</v>
      </c>
      <c r="AO390" s="147">
        <v>20.2</v>
      </c>
      <c r="AP390" s="147">
        <v>18.5</v>
      </c>
      <c r="AQ390" s="147">
        <v>18</v>
      </c>
      <c r="AR390" s="147">
        <v>17.8</v>
      </c>
      <c r="AS390" s="129">
        <f t="shared" si="288"/>
        <v>17.850000000000001</v>
      </c>
      <c r="AT390" s="147">
        <v>17.899999999999999</v>
      </c>
      <c r="AU390" s="147">
        <v>17.899999999999999</v>
      </c>
      <c r="AV390" s="147">
        <v>18.100000000000001</v>
      </c>
      <c r="AW390" s="147">
        <v>18.3</v>
      </c>
      <c r="AX390" s="147">
        <v>18.7</v>
      </c>
      <c r="AY390" s="147">
        <v>19.600000000000001</v>
      </c>
      <c r="AZ390" s="147">
        <v>21.3</v>
      </c>
      <c r="BA390" s="147">
        <v>24.2</v>
      </c>
      <c r="BC390" s="111">
        <f t="shared" si="301"/>
        <v>0</v>
      </c>
      <c r="BD390" s="111">
        <f t="shared" si="289"/>
        <v>0</v>
      </c>
      <c r="BE390" s="111">
        <f t="shared" si="290"/>
        <v>-0.10000000000000142</v>
      </c>
      <c r="BF390" s="111">
        <f t="shared" si="291"/>
        <v>-9.9999999999997868E-2</v>
      </c>
      <c r="BG390" s="111">
        <f t="shared" si="292"/>
        <v>-4.9999999999997158E-2</v>
      </c>
      <c r="BH390" s="111">
        <f t="shared" si="293"/>
        <v>0</v>
      </c>
      <c r="BI390" s="111">
        <f t="shared" si="294"/>
        <v>0</v>
      </c>
      <c r="BJ390" s="111">
        <f t="shared" si="295"/>
        <v>0.10000000000000142</v>
      </c>
      <c r="BK390" s="111">
        <f t="shared" si="296"/>
        <v>0.19999999999999929</v>
      </c>
      <c r="BL390" s="111">
        <f t="shared" si="297"/>
        <v>0.19999999999999929</v>
      </c>
      <c r="BM390" s="111">
        <f t="shared" si="298"/>
        <v>0.30000000000000071</v>
      </c>
      <c r="BN390" s="111">
        <f t="shared" si="299"/>
        <v>0.30000000000000071</v>
      </c>
      <c r="BO390" s="111">
        <f t="shared" si="300"/>
        <v>0.19999999999999929</v>
      </c>
      <c r="BR390" s="120">
        <v>7.2656209331568274E-3</v>
      </c>
      <c r="BS390" s="120">
        <v>7.2516361470630238E-3</v>
      </c>
      <c r="BT390" s="120">
        <v>7.0802073306639266E-3</v>
      </c>
      <c r="BU390" s="120">
        <v>6.9846268899046602E-3</v>
      </c>
      <c r="BV390" s="120">
        <v>7.0765553116350407E-3</v>
      </c>
      <c r="BW390" s="120">
        <v>7.1615382194602064E-3</v>
      </c>
      <c r="BX390" s="120">
        <v>6.9384218643819412E-3</v>
      </c>
      <c r="BY390" s="120">
        <v>7.1225187560196683E-3</v>
      </c>
      <c r="BZ390" s="120">
        <v>7.3838332274001467E-3</v>
      </c>
      <c r="CA390" s="120">
        <v>7.8188826045597626E-3</v>
      </c>
      <c r="CB390" s="120">
        <v>8.8643248570121139E-3</v>
      </c>
      <c r="CC390" s="120">
        <v>1.1092995628157279E-2</v>
      </c>
      <c r="CD390" s="120">
        <v>1.6682026832264746E-2</v>
      </c>
      <c r="CF390" s="120">
        <v>0.23434839680804709</v>
      </c>
      <c r="CG390" s="120">
        <v>0.2234376263649028</v>
      </c>
      <c r="CH390" s="120">
        <v>0.21333659015688505</v>
      </c>
      <c r="CI390" s="120">
        <v>0.20601525342558336</v>
      </c>
      <c r="CJ390" s="120">
        <v>0.20469816642673433</v>
      </c>
      <c r="CK390" s="120">
        <v>0.20328702332324705</v>
      </c>
      <c r="CL390" s="120">
        <v>0.18961845817942033</v>
      </c>
      <c r="CM390" s="120">
        <v>0.18203975288034177</v>
      </c>
      <c r="CN390" s="120">
        <v>0.17773664545271567</v>
      </c>
      <c r="CO390" s="120">
        <v>0.17824276224267058</v>
      </c>
      <c r="CP390" s="120">
        <v>0.18360911768032012</v>
      </c>
      <c r="CQ390" s="120">
        <v>0.19648873423178936</v>
      </c>
      <c r="CR390" s="120">
        <v>0.22372397733539998</v>
      </c>
    </row>
    <row r="391" spans="40:96" ht="12.75" x14ac:dyDescent="0.2">
      <c r="AN391" t="s">
        <v>105</v>
      </c>
      <c r="AO391" s="147">
        <v>20.8</v>
      </c>
      <c r="AP391" s="147">
        <v>19.2</v>
      </c>
      <c r="AQ391" s="141">
        <v>18.7</v>
      </c>
      <c r="AR391" s="147">
        <v>18.5</v>
      </c>
      <c r="AS391" s="129">
        <f t="shared" si="288"/>
        <v>18.399999999999999</v>
      </c>
      <c r="AT391" s="147">
        <v>18.3</v>
      </c>
      <c r="AU391" s="147">
        <v>18.3</v>
      </c>
      <c r="AV391" s="147">
        <v>18.100000000000001</v>
      </c>
      <c r="AW391" s="147">
        <v>18.100000000000001</v>
      </c>
      <c r="AX391" s="147">
        <v>18.3</v>
      </c>
      <c r="AY391" s="147">
        <v>18.8</v>
      </c>
      <c r="AZ391" s="147">
        <v>20.2</v>
      </c>
      <c r="BA391" s="147">
        <v>22.7</v>
      </c>
      <c r="BC391" s="111">
        <f t="shared" si="301"/>
        <v>0</v>
      </c>
      <c r="BD391" s="111">
        <f t="shared" si="289"/>
        <v>9.9999999999997868E-2</v>
      </c>
      <c r="BE391" s="111">
        <f t="shared" si="290"/>
        <v>0</v>
      </c>
      <c r="BF391" s="111">
        <f t="shared" si="291"/>
        <v>0</v>
      </c>
      <c r="BG391" s="111">
        <f t="shared" si="292"/>
        <v>-5.0000000000000711E-2</v>
      </c>
      <c r="BH391" s="111">
        <f t="shared" si="293"/>
        <v>-9.9999999999997868E-2</v>
      </c>
      <c r="BI391" s="111">
        <f t="shared" si="294"/>
        <v>0.10000000000000142</v>
      </c>
      <c r="BJ391" s="111">
        <f t="shared" si="295"/>
        <v>0.10000000000000142</v>
      </c>
      <c r="BK391" s="111">
        <f t="shared" si="296"/>
        <v>0.10000000000000142</v>
      </c>
      <c r="BL391" s="111">
        <f t="shared" si="297"/>
        <v>0.19999999999999929</v>
      </c>
      <c r="BM391" s="111">
        <f t="shared" si="298"/>
        <v>0.19999999999999929</v>
      </c>
      <c r="BN391" s="111">
        <f t="shared" si="299"/>
        <v>0.19999999999999929</v>
      </c>
      <c r="BO391" s="111">
        <f t="shared" si="300"/>
        <v>0.19999999999999929</v>
      </c>
      <c r="BR391" s="120">
        <v>7.5014389952400501E-3</v>
      </c>
      <c r="BS391" s="120">
        <v>7.4907202616255617E-3</v>
      </c>
      <c r="BT391" s="120">
        <v>7.528755419248921E-3</v>
      </c>
      <c r="BU391" s="120">
        <v>7.6414584195461602E-3</v>
      </c>
      <c r="BV391" s="120">
        <v>7.4239993092711449E-3</v>
      </c>
      <c r="BW391" s="120">
        <v>7.2016613822240456E-3</v>
      </c>
      <c r="BX391" s="120">
        <v>7.5540572145935169E-3</v>
      </c>
      <c r="BY391" s="120">
        <v>7.2784542157793564E-3</v>
      </c>
      <c r="BZ391" s="120">
        <v>7.4967478044091823E-3</v>
      </c>
      <c r="CA391" s="120">
        <v>7.8024239198641382E-3</v>
      </c>
      <c r="CB391" s="120">
        <v>8.4629694871509054E-3</v>
      </c>
      <c r="CC391" s="120">
        <v>1.0612591235213319E-2</v>
      </c>
      <c r="CD391" s="120">
        <v>1.574490057128268E-2</v>
      </c>
      <c r="CF391" s="120">
        <v>0.23469940061487374</v>
      </c>
      <c r="CG391" s="120">
        <v>0.22391186206576894</v>
      </c>
      <c r="CH391" s="120">
        <v>0.22036583514808625</v>
      </c>
      <c r="CI391" s="120">
        <v>0.21924201775327218</v>
      </c>
      <c r="CJ391" s="120">
        <v>0.20853904938175818</v>
      </c>
      <c r="CK391" s="120">
        <v>0.19819506019281044</v>
      </c>
      <c r="CL391" s="120">
        <v>0.20078038965077694</v>
      </c>
      <c r="CM391" s="120">
        <v>0.18064868532880057</v>
      </c>
      <c r="CN391" s="120">
        <v>0.1752609799452739</v>
      </c>
      <c r="CO391" s="120">
        <v>0.17277920621860599</v>
      </c>
      <c r="CP391" s="120">
        <v>0.17025073527904808</v>
      </c>
      <c r="CQ391" s="120">
        <v>0.18291485592313877</v>
      </c>
      <c r="CR391" s="120">
        <v>0.20589616477074799</v>
      </c>
    </row>
    <row r="392" spans="40:96" ht="12.75" x14ac:dyDescent="0.2">
      <c r="AN392" t="s">
        <v>106</v>
      </c>
      <c r="AO392" s="147">
        <v>21.2</v>
      </c>
      <c r="AP392" s="147">
        <v>19.600000000000001</v>
      </c>
      <c r="AQ392" s="147">
        <v>19.100000000000001</v>
      </c>
      <c r="AR392" s="147">
        <v>18.8</v>
      </c>
      <c r="AS392" s="129">
        <f t="shared" si="288"/>
        <v>18.700000000000003</v>
      </c>
      <c r="AT392" s="147">
        <v>18.600000000000001</v>
      </c>
      <c r="AU392" s="147">
        <v>18.399999999999999</v>
      </c>
      <c r="AV392" s="147">
        <v>18.100000000000001</v>
      </c>
      <c r="AW392" s="147">
        <v>17.899999999999999</v>
      </c>
      <c r="AX392" s="147">
        <v>17.899999999999999</v>
      </c>
      <c r="AY392" s="147">
        <v>18.2</v>
      </c>
      <c r="AZ392" s="147">
        <v>19.3</v>
      </c>
      <c r="BA392" s="147">
        <v>21.6</v>
      </c>
      <c r="BC392" s="111">
        <f t="shared" si="301"/>
        <v>0</v>
      </c>
      <c r="BD392" s="111">
        <f t="shared" si="289"/>
        <v>0</v>
      </c>
      <c r="BE392" s="111">
        <f t="shared" si="290"/>
        <v>0</v>
      </c>
      <c r="BF392" s="111">
        <f t="shared" si="291"/>
        <v>-9.9999999999997868E-2</v>
      </c>
      <c r="BG392" s="111">
        <f t="shared" si="292"/>
        <v>-4.9999999999997158E-2</v>
      </c>
      <c r="BH392" s="111">
        <f t="shared" si="293"/>
        <v>0</v>
      </c>
      <c r="BI392" s="111">
        <f t="shared" si="294"/>
        <v>0</v>
      </c>
      <c r="BJ392" s="111">
        <f t="shared" si="295"/>
        <v>0.10000000000000142</v>
      </c>
      <c r="BK392" s="111">
        <f t="shared" si="296"/>
        <v>9.9999999999997868E-2</v>
      </c>
      <c r="BL392" s="111">
        <f t="shared" si="297"/>
        <v>9.9999999999997868E-2</v>
      </c>
      <c r="BM392" s="111">
        <f t="shared" si="298"/>
        <v>9.9999999999997868E-2</v>
      </c>
      <c r="BN392" s="111">
        <f t="shared" si="299"/>
        <v>0.10000000000000142</v>
      </c>
      <c r="BO392" s="111">
        <f t="shared" si="300"/>
        <v>0.20000000000000284</v>
      </c>
      <c r="BR392" s="120">
        <v>7.5733612826141732E-3</v>
      </c>
      <c r="BS392" s="120">
        <v>7.3541323977557426E-3</v>
      </c>
      <c r="BT392" s="120">
        <v>7.3191407919426903E-3</v>
      </c>
      <c r="BU392" s="120">
        <v>7.089566379223586E-3</v>
      </c>
      <c r="BV392" s="120">
        <v>7.2811863559322336E-3</v>
      </c>
      <c r="BW392" s="120">
        <v>7.4652834443501943E-3</v>
      </c>
      <c r="BX392" s="120">
        <v>7.1008159236001815E-3</v>
      </c>
      <c r="BY392" s="120">
        <v>7.4386642374982184E-3</v>
      </c>
      <c r="BZ392" s="120">
        <v>7.4813407853962293E-3</v>
      </c>
      <c r="CA392" s="120">
        <v>7.6377971505003153E-3</v>
      </c>
      <c r="CB392" s="120">
        <v>8.4658564804388787E-3</v>
      </c>
      <c r="CC392" s="120">
        <v>1.0280204689402841E-2</v>
      </c>
      <c r="CD392" s="120">
        <v>1.5416752048931346E-2</v>
      </c>
      <c r="CF392" s="120">
        <v>0.23211412482515398</v>
      </c>
      <c r="CG392" s="120">
        <v>0.2151524788413757</v>
      </c>
      <c r="CH392" s="120">
        <v>0.20954675707116713</v>
      </c>
      <c r="CI392" s="120">
        <v>0.19858069318732854</v>
      </c>
      <c r="CJ392" s="120">
        <v>0.20020839047906616</v>
      </c>
      <c r="CK392" s="120">
        <v>0.20160699631887258</v>
      </c>
      <c r="CL392" s="120">
        <v>0.18450153464088864</v>
      </c>
      <c r="CM392" s="120">
        <v>0.18111658524383345</v>
      </c>
      <c r="CN392" s="120">
        <v>0.17155053824364558</v>
      </c>
      <c r="CO392" s="120">
        <v>0.16588980061898972</v>
      </c>
      <c r="CP392" s="120">
        <v>0.16731727507995775</v>
      </c>
      <c r="CQ392" s="120">
        <v>0.17407873382918745</v>
      </c>
      <c r="CR392" s="120">
        <v>0.19854003171603551</v>
      </c>
    </row>
    <row r="393" spans="40:96" ht="12.75" x14ac:dyDescent="0.2">
      <c r="AN393" t="s">
        <v>79</v>
      </c>
      <c r="AO393" s="147">
        <v>21.4</v>
      </c>
      <c r="AP393" s="147">
        <v>19.899999999999999</v>
      </c>
      <c r="AQ393" s="147">
        <v>19.399999999999999</v>
      </c>
      <c r="AR393" s="147">
        <v>19.100000000000001</v>
      </c>
      <c r="AS393" s="129">
        <f t="shared" si="288"/>
        <v>18.950000000000003</v>
      </c>
      <c r="AT393" s="147">
        <v>18.8</v>
      </c>
      <c r="AU393" s="147">
        <v>18.5</v>
      </c>
      <c r="AV393" s="147">
        <v>18</v>
      </c>
      <c r="AW393" s="147">
        <v>17.7</v>
      </c>
      <c r="AX393" s="147">
        <v>17.600000000000001</v>
      </c>
      <c r="AY393" s="147">
        <v>17.7</v>
      </c>
      <c r="AZ393" s="147">
        <v>18.600000000000001</v>
      </c>
      <c r="BA393" s="147">
        <v>20.5</v>
      </c>
      <c r="BC393" s="111">
        <f t="shared" si="301"/>
        <v>0</v>
      </c>
      <c r="BD393" s="111">
        <f t="shared" si="289"/>
        <v>9.9999999999997868E-2</v>
      </c>
      <c r="BE393" s="111">
        <f t="shared" si="290"/>
        <v>0</v>
      </c>
      <c r="BF393" s="111">
        <f t="shared" si="291"/>
        <v>0</v>
      </c>
      <c r="BG393" s="111">
        <f t="shared" si="292"/>
        <v>0</v>
      </c>
      <c r="BH393" s="111">
        <f t="shared" si="293"/>
        <v>0</v>
      </c>
      <c r="BI393" s="111">
        <f t="shared" si="294"/>
        <v>0</v>
      </c>
      <c r="BJ393" s="111">
        <f t="shared" si="295"/>
        <v>0.10000000000000142</v>
      </c>
      <c r="BK393" s="111">
        <f t="shared" si="296"/>
        <v>9.9999999999997868E-2</v>
      </c>
      <c r="BL393" s="111">
        <f t="shared" si="297"/>
        <v>0.10000000000000142</v>
      </c>
      <c r="BM393" s="111">
        <f t="shared" si="298"/>
        <v>9.9999999999997868E-2</v>
      </c>
      <c r="BN393" s="111">
        <f t="shared" si="299"/>
        <v>0.20000000000000284</v>
      </c>
      <c r="BO393" s="111">
        <f t="shared" si="300"/>
        <v>0.10000000000000142</v>
      </c>
      <c r="BR393" s="120">
        <v>7.4093397367160753E-3</v>
      </c>
      <c r="BS393" s="120">
        <v>7.534894146023513E-3</v>
      </c>
      <c r="BT393" s="120">
        <v>7.5259886436407908E-3</v>
      </c>
      <c r="BU393" s="120">
        <v>7.6526179326858483E-3</v>
      </c>
      <c r="BV393" s="120">
        <v>7.5589469277312464E-3</v>
      </c>
      <c r="BW393" s="120">
        <v>7.4576134332954751E-3</v>
      </c>
      <c r="BX393" s="120">
        <v>7.4854321057437594E-3</v>
      </c>
      <c r="BY393" s="120">
        <v>7.230900109338312E-3</v>
      </c>
      <c r="BZ393" s="120">
        <v>7.4365533439797356E-3</v>
      </c>
      <c r="CA393" s="120">
        <v>7.7109729515676051E-3</v>
      </c>
      <c r="CB393" s="120">
        <v>8.2519391608559377E-3</v>
      </c>
      <c r="CC393" s="120">
        <v>1.00626534717032E-2</v>
      </c>
      <c r="CD393" s="120">
        <v>1.4114869072935663E-2</v>
      </c>
      <c r="CF393" s="120">
        <v>0.2236573079176338</v>
      </c>
      <c r="CG393" s="120">
        <v>0.21759437885249586</v>
      </c>
      <c r="CH393" s="120">
        <v>0.21276103424906981</v>
      </c>
      <c r="CI393" s="120">
        <v>0.21212449711063422</v>
      </c>
      <c r="CJ393" s="120">
        <v>0.20527385515598581</v>
      </c>
      <c r="CK393" s="120">
        <v>0.19853821920579909</v>
      </c>
      <c r="CL393" s="120">
        <v>0.19224940691076348</v>
      </c>
      <c r="CM393" s="120">
        <v>0.17350322618015071</v>
      </c>
      <c r="CN393" s="120">
        <v>0.16820656911589527</v>
      </c>
      <c r="CO393" s="120">
        <v>0.16531799095060198</v>
      </c>
      <c r="CP393" s="120">
        <v>0.16086360366217273</v>
      </c>
      <c r="CQ393" s="120">
        <v>0.16826533399881818</v>
      </c>
      <c r="CR393" s="120">
        <v>0.17925998480346497</v>
      </c>
    </row>
    <row r="394" spans="40:96" ht="12.75" x14ac:dyDescent="0.2">
      <c r="AN394" t="s">
        <v>159</v>
      </c>
      <c r="AO394" s="147">
        <v>21.4</v>
      </c>
      <c r="AP394" s="147">
        <v>20</v>
      </c>
      <c r="AQ394" s="147">
        <v>19.5</v>
      </c>
      <c r="AR394" s="147">
        <v>19.2</v>
      </c>
      <c r="AS394" s="129">
        <f t="shared" si="288"/>
        <v>19</v>
      </c>
      <c r="AT394" s="147">
        <v>18.8</v>
      </c>
      <c r="AU394" s="147">
        <v>18.399999999999999</v>
      </c>
      <c r="AV394" s="147">
        <v>17.8</v>
      </c>
      <c r="AW394" s="147">
        <v>17.3</v>
      </c>
      <c r="AX394" s="147">
        <v>17</v>
      </c>
      <c r="AY394" s="147">
        <v>16.8</v>
      </c>
      <c r="AZ394" s="147">
        <v>17.100000000000001</v>
      </c>
      <c r="BA394" s="147">
        <v>18.3</v>
      </c>
      <c r="BC394" s="111">
        <f t="shared" si="301"/>
        <v>9.9999999999997868E-2</v>
      </c>
      <c r="BD394" s="111">
        <f t="shared" si="289"/>
        <v>0.10000000000000142</v>
      </c>
      <c r="BE394" s="111">
        <f t="shared" si="290"/>
        <v>0</v>
      </c>
      <c r="BF394" s="111">
        <f t="shared" si="291"/>
        <v>0</v>
      </c>
      <c r="BG394" s="111">
        <f t="shared" si="292"/>
        <v>5.0000000000000711E-2</v>
      </c>
      <c r="BH394" s="111">
        <f t="shared" si="293"/>
        <v>0.10000000000000142</v>
      </c>
      <c r="BI394" s="111">
        <f t="shared" si="294"/>
        <v>0</v>
      </c>
      <c r="BJ394" s="111">
        <f t="shared" si="295"/>
        <v>0.10000000000000142</v>
      </c>
      <c r="BK394" s="111">
        <f t="shared" si="296"/>
        <v>0.10000000000000142</v>
      </c>
      <c r="BL394" s="111">
        <f t="shared" si="297"/>
        <v>0.10000000000000142</v>
      </c>
      <c r="BM394" s="111">
        <f t="shared" si="298"/>
        <v>0.10000000000000142</v>
      </c>
      <c r="BN394" s="111">
        <f t="shared" si="299"/>
        <v>0.10000000000000142</v>
      </c>
      <c r="BO394" s="111">
        <f t="shared" si="300"/>
        <v>0.10000000000000142</v>
      </c>
      <c r="BR394" s="120">
        <v>7.0654666411140562E-3</v>
      </c>
      <c r="BS394" s="120">
        <v>6.9215595926939927E-3</v>
      </c>
      <c r="BT394" s="120">
        <v>6.8858391931501872E-3</v>
      </c>
      <c r="BU394" s="120">
        <v>6.8651471423273169E-3</v>
      </c>
      <c r="BV394" s="120">
        <v>6.9293333573570703E-3</v>
      </c>
      <c r="BW394" s="120">
        <v>6.9895892160838783E-3</v>
      </c>
      <c r="BX394" s="120">
        <v>6.9550107405787756E-3</v>
      </c>
      <c r="BY394" s="120">
        <v>7.3255326075100241E-3</v>
      </c>
      <c r="BZ394" s="120">
        <v>7.2753625102416836E-3</v>
      </c>
      <c r="CA394" s="120">
        <v>7.3041318390065909E-3</v>
      </c>
      <c r="CB394" s="120">
        <v>7.7570934166135809E-3</v>
      </c>
      <c r="CC394" s="120">
        <v>8.5882410957585364E-3</v>
      </c>
      <c r="CD394" s="120">
        <v>1.1631570219811833E-2</v>
      </c>
      <c r="CF394" s="120">
        <v>0.20832221500341741</v>
      </c>
      <c r="CG394" s="120">
        <v>0.19487568465091748</v>
      </c>
      <c r="CH394" s="120">
        <v>0.18977096528269263</v>
      </c>
      <c r="CI394" s="120">
        <v>0.18530793316412772</v>
      </c>
      <c r="CJ394" s="120">
        <v>0.18353224275374086</v>
      </c>
      <c r="CK394" s="120">
        <v>0.18176969040838714</v>
      </c>
      <c r="CL394" s="120">
        <v>0.17436077645136244</v>
      </c>
      <c r="CM394" s="120">
        <v>0.17228742913155962</v>
      </c>
      <c r="CN394" s="120">
        <v>0.16114009502314863</v>
      </c>
      <c r="CO394" s="120">
        <v>0.15322909747431024</v>
      </c>
      <c r="CP394" s="120">
        <v>0.14808590192346915</v>
      </c>
      <c r="CQ394" s="120">
        <v>0.14036080474786358</v>
      </c>
      <c r="CR394" s="120">
        <v>0.1445443407549073</v>
      </c>
    </row>
    <row r="395" spans="40:96" ht="12.75" x14ac:dyDescent="0.2">
      <c r="AN395" t="s">
        <v>107</v>
      </c>
      <c r="AO395" s="147">
        <v>21</v>
      </c>
      <c r="AP395" s="147">
        <v>19.8</v>
      </c>
      <c r="AQ395" s="147">
        <v>19.399999999999999</v>
      </c>
      <c r="AR395" s="147">
        <v>19</v>
      </c>
      <c r="AS395" s="129">
        <f t="shared" si="288"/>
        <v>18.8</v>
      </c>
      <c r="AT395" s="147">
        <v>18.600000000000001</v>
      </c>
      <c r="AU395" s="147">
        <v>18.100000000000001</v>
      </c>
      <c r="AV395" s="147">
        <v>17.399999999999999</v>
      </c>
      <c r="AW395" s="147">
        <v>16.8</v>
      </c>
      <c r="AX395" s="147">
        <v>16.399999999999999</v>
      </c>
      <c r="AY395" s="147">
        <v>15.9</v>
      </c>
      <c r="AZ395" s="147">
        <v>15.7</v>
      </c>
      <c r="BA395" s="147">
        <v>16.2</v>
      </c>
      <c r="BC395" s="111">
        <f t="shared" si="301"/>
        <v>0</v>
      </c>
      <c r="BD395" s="111">
        <f t="shared" si="289"/>
        <v>0</v>
      </c>
      <c r="BE395" s="111">
        <f t="shared" si="290"/>
        <v>0</v>
      </c>
      <c r="BF395" s="111">
        <f t="shared" si="291"/>
        <v>0</v>
      </c>
      <c r="BG395" s="111">
        <f t="shared" si="292"/>
        <v>5.0000000000000711E-2</v>
      </c>
      <c r="BH395" s="111">
        <f t="shared" si="293"/>
        <v>0.10000000000000142</v>
      </c>
      <c r="BI395" s="111">
        <f t="shared" si="294"/>
        <v>0</v>
      </c>
      <c r="BJ395" s="111">
        <f t="shared" si="295"/>
        <v>9.9999999999997868E-2</v>
      </c>
      <c r="BK395" s="111">
        <f t="shared" si="296"/>
        <v>0</v>
      </c>
      <c r="BL395" s="111">
        <f t="shared" si="297"/>
        <v>9.9999999999997868E-2</v>
      </c>
      <c r="BM395" s="111">
        <f t="shared" si="298"/>
        <v>0</v>
      </c>
      <c r="BN395" s="111">
        <f t="shared" si="299"/>
        <v>9.9999999999999645E-2</v>
      </c>
      <c r="BO395" s="111">
        <f t="shared" si="300"/>
        <v>9.9999999999997868E-2</v>
      </c>
      <c r="BR395" s="120">
        <v>6.5423651734657093E-3</v>
      </c>
      <c r="BS395" s="120">
        <v>6.7459257528097397E-3</v>
      </c>
      <c r="BT395" s="120">
        <v>6.9268957157921423E-3</v>
      </c>
      <c r="BU395" s="120">
        <v>6.7760007372121072E-3</v>
      </c>
      <c r="BV395" s="120">
        <v>6.833140207751413E-3</v>
      </c>
      <c r="BW395" s="120">
        <v>6.8866888410728617E-3</v>
      </c>
      <c r="BX395" s="120">
        <v>6.8555091545206368E-3</v>
      </c>
      <c r="BY395" s="120">
        <v>6.7736044308242815E-3</v>
      </c>
      <c r="BZ395" s="120">
        <v>6.9829909501176179E-3</v>
      </c>
      <c r="CA395" s="120">
        <v>7.2295574750882519E-3</v>
      </c>
      <c r="CB395" s="120">
        <v>7.4270235177210132E-3</v>
      </c>
      <c r="CC395" s="120">
        <v>8.4052226170650383E-3</v>
      </c>
      <c r="CD395" s="120">
        <v>1.0862377989734101E-2</v>
      </c>
      <c r="CF395" s="120">
        <v>0.1937604201642342</v>
      </c>
      <c r="CG395" s="120">
        <v>0.19127220824943836</v>
      </c>
      <c r="CH395" s="120">
        <v>0.19247373118005995</v>
      </c>
      <c r="CI395" s="120">
        <v>0.18434004415424599</v>
      </c>
      <c r="CJ395" s="120">
        <v>0.18226670815598842</v>
      </c>
      <c r="CK395" s="120">
        <v>0.18022170261083154</v>
      </c>
      <c r="CL395" s="120">
        <v>0.17299482050158024</v>
      </c>
      <c r="CM395" s="120">
        <v>0.15977639909106112</v>
      </c>
      <c r="CN395" s="120">
        <v>0.15531187240273403</v>
      </c>
      <c r="CO395" s="120">
        <v>0.15244238802949919</v>
      </c>
      <c r="CP395" s="120">
        <v>0.14234067140897336</v>
      </c>
      <c r="CQ395" s="120">
        <v>0.13813978252060927</v>
      </c>
      <c r="CR395" s="120">
        <v>0.13565370945703104</v>
      </c>
    </row>
    <row r="396" spans="40:96" ht="12.75" x14ac:dyDescent="0.2">
      <c r="AN396" t="s">
        <v>108</v>
      </c>
      <c r="AO396" s="147">
        <v>20.5</v>
      </c>
      <c r="AP396" s="147">
        <v>19.5</v>
      </c>
      <c r="AQ396" s="147">
        <v>19.100000000000001</v>
      </c>
      <c r="AR396" s="147">
        <v>18.8</v>
      </c>
      <c r="AS396" s="129">
        <f t="shared" si="288"/>
        <v>18.55</v>
      </c>
      <c r="AT396" s="147">
        <v>18.3</v>
      </c>
      <c r="AU396" s="147">
        <v>17.8</v>
      </c>
      <c r="AV396" s="147">
        <v>17</v>
      </c>
      <c r="AW396" s="147">
        <v>16.399999999999999</v>
      </c>
      <c r="AX396" s="147">
        <v>15.9</v>
      </c>
      <c r="AY396" s="147">
        <v>15.3</v>
      </c>
      <c r="AZ396" s="147">
        <v>14.7</v>
      </c>
      <c r="BA396" s="147">
        <v>14.5</v>
      </c>
      <c r="BC396" s="111">
        <f t="shared" si="301"/>
        <v>0</v>
      </c>
      <c r="BD396" s="111">
        <f t="shared" si="289"/>
        <v>0</v>
      </c>
      <c r="BE396" s="111">
        <f t="shared" si="290"/>
        <v>0</v>
      </c>
      <c r="BF396" s="111">
        <f t="shared" si="291"/>
        <v>0</v>
      </c>
      <c r="BG396" s="111">
        <f t="shared" si="292"/>
        <v>5.0000000000000711E-2</v>
      </c>
      <c r="BH396" s="111">
        <f t="shared" si="293"/>
        <v>0.10000000000000142</v>
      </c>
      <c r="BI396" s="111">
        <f t="shared" si="294"/>
        <v>0</v>
      </c>
      <c r="BJ396" s="111">
        <f t="shared" si="295"/>
        <v>0</v>
      </c>
      <c r="BK396" s="111">
        <f t="shared" si="296"/>
        <v>0</v>
      </c>
      <c r="BL396" s="111">
        <f t="shared" si="297"/>
        <v>0</v>
      </c>
      <c r="BM396" s="111">
        <f t="shared" si="298"/>
        <v>0.10000000000000142</v>
      </c>
      <c r="BN396" s="111">
        <f t="shared" si="299"/>
        <v>0</v>
      </c>
      <c r="BO396" s="111">
        <f t="shared" si="300"/>
        <v>9.9999999999999645E-2</v>
      </c>
      <c r="BR396" s="120">
        <v>6.3857114103149657E-3</v>
      </c>
      <c r="BS396" s="120">
        <v>6.3620842321171411E-3</v>
      </c>
      <c r="BT396" s="120">
        <v>6.2194128836207145E-3</v>
      </c>
      <c r="BU396" s="120">
        <v>6.5032339936939038E-3</v>
      </c>
      <c r="BV396" s="120">
        <v>6.4691093027137722E-3</v>
      </c>
      <c r="BW396" s="120">
        <v>6.4269649223539166E-3</v>
      </c>
      <c r="BX396" s="120">
        <v>6.5504437287617276E-3</v>
      </c>
      <c r="BY396" s="120">
        <v>6.7328288816209314E-3</v>
      </c>
      <c r="BZ396" s="120">
        <v>6.8680163147617221E-3</v>
      </c>
      <c r="CA396" s="120">
        <v>6.8460090253994821E-3</v>
      </c>
      <c r="CB396" s="120">
        <v>7.3527861162795841E-3</v>
      </c>
      <c r="CC396" s="120">
        <v>7.8190068486785579E-3</v>
      </c>
      <c r="CD396" s="120">
        <v>9.5854529133350165E-3</v>
      </c>
      <c r="CF396" s="120">
        <v>0.19721750925126108</v>
      </c>
      <c r="CG396" s="120">
        <v>0.18763207140852314</v>
      </c>
      <c r="CH396" s="120">
        <v>0.17939403174068622</v>
      </c>
      <c r="CI396" s="120">
        <v>0.18389761793492387</v>
      </c>
      <c r="CJ396" s="120">
        <v>0.17928460401980981</v>
      </c>
      <c r="CK396" s="120">
        <v>0.17468091887110929</v>
      </c>
      <c r="CL396" s="120">
        <v>0.17159332501306135</v>
      </c>
      <c r="CM396" s="120">
        <v>0.16492453457440936</v>
      </c>
      <c r="CN396" s="120">
        <v>0.15840028096898576</v>
      </c>
      <c r="CO396" s="120">
        <v>0.14941059619286917</v>
      </c>
      <c r="CP396" s="120">
        <v>0.14576562321189704</v>
      </c>
      <c r="CQ396" s="120">
        <v>0.13239331466686277</v>
      </c>
      <c r="CR396" s="120">
        <v>0.12283507244639459</v>
      </c>
    </row>
    <row r="397" spans="40:96" ht="12.75" x14ac:dyDescent="0.2">
      <c r="AN397" t="s">
        <v>109</v>
      </c>
      <c r="AO397" s="147">
        <v>20.3</v>
      </c>
      <c r="AP397" s="147">
        <v>19.3</v>
      </c>
      <c r="AQ397" s="147">
        <v>19</v>
      </c>
      <c r="AR397" s="147">
        <v>18.600000000000001</v>
      </c>
      <c r="AS397" s="129">
        <f t="shared" si="288"/>
        <v>18.350000000000001</v>
      </c>
      <c r="AT397" s="147">
        <v>18.100000000000001</v>
      </c>
      <c r="AU397" s="147">
        <v>17.7</v>
      </c>
      <c r="AV397" s="147">
        <v>16.899999999999999</v>
      </c>
      <c r="AW397" s="147">
        <v>16.3</v>
      </c>
      <c r="AX397" s="147">
        <v>15.8</v>
      </c>
      <c r="AY397" s="147">
        <v>15.1</v>
      </c>
      <c r="AZ397" s="147">
        <v>14.3</v>
      </c>
      <c r="BA397" s="147">
        <v>13.7</v>
      </c>
      <c r="BC397" s="111">
        <f t="shared" si="301"/>
        <v>0.10000000000000142</v>
      </c>
      <c r="BD397" s="111">
        <f t="shared" si="289"/>
        <v>0</v>
      </c>
      <c r="BE397" s="111">
        <f t="shared" si="290"/>
        <v>0.10000000000000142</v>
      </c>
      <c r="BF397" s="111">
        <f t="shared" si="291"/>
        <v>0</v>
      </c>
      <c r="BG397" s="111">
        <f t="shared" si="292"/>
        <v>0</v>
      </c>
      <c r="BH397" s="111">
        <f t="shared" si="293"/>
        <v>0</v>
      </c>
      <c r="BI397" s="111">
        <f t="shared" si="294"/>
        <v>9.9999999999997868E-2</v>
      </c>
      <c r="BJ397" s="111">
        <f t="shared" si="295"/>
        <v>9.9999999999997868E-2</v>
      </c>
      <c r="BK397" s="111">
        <f t="shared" si="296"/>
        <v>0.10000000000000142</v>
      </c>
      <c r="BL397" s="111">
        <f t="shared" si="297"/>
        <v>0.10000000000000142</v>
      </c>
      <c r="BM397" s="111">
        <f t="shared" si="298"/>
        <v>9.9999999999999645E-2</v>
      </c>
      <c r="BN397" s="111">
        <f t="shared" si="299"/>
        <v>0</v>
      </c>
      <c r="BO397" s="111">
        <f t="shared" si="300"/>
        <v>0</v>
      </c>
      <c r="BR397" s="120">
        <v>6.1590555222600062E-3</v>
      </c>
      <c r="BS397" s="120">
        <v>6.1162530343216778E-3</v>
      </c>
      <c r="BT397" s="120">
        <v>6.4416774433087454E-3</v>
      </c>
      <c r="BU397" s="120">
        <v>6.0523041835626578E-3</v>
      </c>
      <c r="BV397" s="120">
        <v>6.1463389899391839E-3</v>
      </c>
      <c r="BW397" s="120">
        <v>6.2388432582656458E-3</v>
      </c>
      <c r="BX397" s="120">
        <v>6.47526632299158E-3</v>
      </c>
      <c r="BY397" s="120">
        <v>6.5789681696190386E-3</v>
      </c>
      <c r="BZ397" s="120">
        <v>6.7661018646862255E-3</v>
      </c>
      <c r="CA397" s="120">
        <v>7.0830495410082678E-3</v>
      </c>
      <c r="CB397" s="120">
        <v>7.1407399914774853E-3</v>
      </c>
      <c r="CC397" s="120">
        <v>7.81270952860799E-3</v>
      </c>
      <c r="CD397" s="120">
        <v>9.5108382312061677E-3</v>
      </c>
      <c r="CF397" s="120">
        <v>0.19836949771094137</v>
      </c>
      <c r="CG397" s="120">
        <v>0.18767253169255585</v>
      </c>
      <c r="CH397" s="120">
        <v>0.1936491418218978</v>
      </c>
      <c r="CI397" s="120">
        <v>0.17778148933679436</v>
      </c>
      <c r="CJ397" s="120">
        <v>0.17690199804184409</v>
      </c>
      <c r="CK397" s="120">
        <v>0.17605423902117956</v>
      </c>
      <c r="CL397" s="120">
        <v>0.17633192580406951</v>
      </c>
      <c r="CM397" s="120">
        <v>0.16730021852717741</v>
      </c>
      <c r="CN397" s="120">
        <v>0.16184112440978882</v>
      </c>
      <c r="CO397" s="120">
        <v>0.16026736833656471</v>
      </c>
      <c r="CP397" s="120">
        <v>0.14642226393244276</v>
      </c>
      <c r="CQ397" s="120">
        <v>0.13653457743481104</v>
      </c>
      <c r="CR397" s="120">
        <v>0.12532532183504616</v>
      </c>
    </row>
    <row r="398" spans="40:96" ht="12.75" x14ac:dyDescent="0.2">
      <c r="AN398" t="s">
        <v>110</v>
      </c>
      <c r="AO398" s="147">
        <v>20</v>
      </c>
      <c r="AP398" s="147">
        <v>19.100000000000001</v>
      </c>
      <c r="AQ398" s="147">
        <v>18.8</v>
      </c>
      <c r="AR398" s="147">
        <v>18.5</v>
      </c>
      <c r="AS398" s="129">
        <f t="shared" si="288"/>
        <v>18.25</v>
      </c>
      <c r="AT398" s="147">
        <v>18</v>
      </c>
      <c r="AU398" s="147">
        <v>17.5</v>
      </c>
      <c r="AV398" s="147">
        <v>16.7</v>
      </c>
      <c r="AW398" s="147">
        <v>16.100000000000001</v>
      </c>
      <c r="AX398" s="147">
        <v>15.6</v>
      </c>
      <c r="AY398" s="147">
        <v>14.9</v>
      </c>
      <c r="AZ398" s="147">
        <v>14.1</v>
      </c>
      <c r="BA398" s="147">
        <v>13.3</v>
      </c>
      <c r="BC398" s="111">
        <f t="shared" si="301"/>
        <v>0</v>
      </c>
      <c r="BD398" s="111">
        <f t="shared" si="289"/>
        <v>0</v>
      </c>
      <c r="BE398" s="111">
        <f t="shared" si="290"/>
        <v>0</v>
      </c>
      <c r="BF398" s="111">
        <f t="shared" si="291"/>
        <v>0</v>
      </c>
      <c r="BG398" s="111">
        <f t="shared" si="292"/>
        <v>0</v>
      </c>
      <c r="BH398" s="111">
        <f t="shared" si="293"/>
        <v>0</v>
      </c>
      <c r="BI398" s="111">
        <f t="shared" si="294"/>
        <v>0</v>
      </c>
      <c r="BJ398" s="111">
        <f t="shared" si="295"/>
        <v>0</v>
      </c>
      <c r="BK398" s="111">
        <f t="shared" si="296"/>
        <v>0</v>
      </c>
      <c r="BL398" s="111">
        <f t="shared" si="297"/>
        <v>0</v>
      </c>
      <c r="BM398" s="111">
        <f t="shared" si="298"/>
        <v>0</v>
      </c>
      <c r="BN398" s="111">
        <f t="shared" si="299"/>
        <v>9.9999999999999645E-2</v>
      </c>
      <c r="BO398" s="111">
        <f t="shared" si="300"/>
        <v>0</v>
      </c>
      <c r="BR398" s="120">
        <v>5.6128323678621235E-3</v>
      </c>
      <c r="BS398" s="120">
        <v>5.8090397356497757E-3</v>
      </c>
      <c r="BT398" s="120">
        <v>5.6008740563321347E-3</v>
      </c>
      <c r="BU398" s="120">
        <v>6.1634368434998754E-3</v>
      </c>
      <c r="BV398" s="120">
        <v>6.1585532643299232E-3</v>
      </c>
      <c r="BW398" s="120">
        <v>6.146300036121777E-3</v>
      </c>
      <c r="BX398" s="120">
        <v>5.8274795073528646E-3</v>
      </c>
      <c r="BY398" s="120">
        <v>5.9644891165063956E-3</v>
      </c>
      <c r="BZ398" s="120">
        <v>6.0822779643816627E-3</v>
      </c>
      <c r="CA398" s="120">
        <v>6.1009393636012564E-3</v>
      </c>
      <c r="CB398" s="120">
        <v>6.6946555829257553E-3</v>
      </c>
      <c r="CC398" s="120">
        <v>7.5795967053583308E-3</v>
      </c>
      <c r="CD398" s="120">
        <v>9.3425406077578335E-3</v>
      </c>
      <c r="CF398" s="120">
        <v>0.18294761838974022</v>
      </c>
      <c r="CG398" s="120">
        <v>0.18098831380652025</v>
      </c>
      <c r="CH398" s="120">
        <v>0.17050103165256864</v>
      </c>
      <c r="CI398" s="120">
        <v>0.18432981295733122</v>
      </c>
      <c r="CJ398" s="120">
        <v>0.18044433514341252</v>
      </c>
      <c r="CK398" s="120">
        <v>0.17654913143114273</v>
      </c>
      <c r="CL398" s="120">
        <v>0.16050206917421664</v>
      </c>
      <c r="CM398" s="120">
        <v>0.15330719082951028</v>
      </c>
      <c r="CN398" s="120">
        <v>0.14699936744592512</v>
      </c>
      <c r="CO398" s="120">
        <v>0.1394602989378399</v>
      </c>
      <c r="CP398" s="120">
        <v>0.13879103021569048</v>
      </c>
      <c r="CQ398" s="120">
        <v>0.1341533808490937</v>
      </c>
      <c r="CR398" s="120">
        <v>0.12459770528828554</v>
      </c>
    </row>
    <row r="400" spans="40:96" x14ac:dyDescent="0.2">
      <c r="AO400">
        <v>-0.5</v>
      </c>
      <c r="AP400">
        <v>-0.25</v>
      </c>
      <c r="AQ400">
        <v>-0.13</v>
      </c>
      <c r="AR400">
        <v>0</v>
      </c>
      <c r="AS400">
        <v>0.125</v>
      </c>
      <c r="AT400" s="126">
        <v>0.25</v>
      </c>
      <c r="AU400" s="126">
        <v>0.5</v>
      </c>
      <c r="AV400" s="126">
        <v>1</v>
      </c>
      <c r="AW400" s="126">
        <v>1.5</v>
      </c>
      <c r="AX400" s="126">
        <v>2</v>
      </c>
      <c r="AY400" s="126">
        <v>3</v>
      </c>
      <c r="AZ400" s="126">
        <v>5</v>
      </c>
      <c r="BA400" s="126">
        <v>10</v>
      </c>
    </row>
    <row r="401" spans="38:67" ht="12.75" x14ac:dyDescent="0.2">
      <c r="AL401" s="105" t="s">
        <v>307</v>
      </c>
      <c r="AN401" t="s">
        <v>25</v>
      </c>
      <c r="AO401" s="149">
        <v>9.6999999999999993</v>
      </c>
      <c r="AP401" s="149">
        <v>7</v>
      </c>
      <c r="AQ401" s="149">
        <v>7.7</v>
      </c>
      <c r="AR401" s="149">
        <v>9.1</v>
      </c>
      <c r="AS401" s="129">
        <f t="shared" ref="AS401:AS415" si="302">(AR401+AT401)/2</f>
        <v>10.5</v>
      </c>
      <c r="AT401" s="151">
        <v>11.9</v>
      </c>
      <c r="AU401" s="151">
        <v>14.4</v>
      </c>
      <c r="AV401" s="151">
        <v>18.7</v>
      </c>
      <c r="AW401" s="151">
        <v>22.2</v>
      </c>
      <c r="AX401" s="151">
        <v>25.3</v>
      </c>
      <c r="AY401" s="151">
        <v>30.3</v>
      </c>
      <c r="AZ401" s="151">
        <v>37.700000000000003</v>
      </c>
      <c r="BA401" s="151">
        <v>49.2</v>
      </c>
      <c r="BC401" s="111">
        <f>AO401-AO384</f>
        <v>9.9999999999999645E-2</v>
      </c>
      <c r="BD401" s="111">
        <f t="shared" ref="BD401:BD415" si="303">AP401-AP384</f>
        <v>9.9999999999999645E-2</v>
      </c>
      <c r="BE401" s="111">
        <f t="shared" ref="BE401:BE415" si="304">AQ401-AQ384</f>
        <v>0.10000000000000053</v>
      </c>
      <c r="BF401" s="111">
        <f t="shared" ref="BF401:BF415" si="305">AR401-AR384</f>
        <v>9.9999999999999645E-2</v>
      </c>
      <c r="BG401" s="111">
        <f t="shared" ref="BG401:BG415" si="306">AS401-AS384</f>
        <v>9.9999999999999645E-2</v>
      </c>
      <c r="BH401" s="111">
        <f t="shared" ref="BH401:BH415" si="307">AT401-AT384</f>
        <v>9.9999999999999645E-2</v>
      </c>
      <c r="BI401" s="111">
        <f t="shared" ref="BI401:BI415" si="308">AU401-AU384</f>
        <v>9.9999999999999645E-2</v>
      </c>
      <c r="BJ401" s="111">
        <f t="shared" ref="BJ401:BJ415" si="309">AV401-AV384</f>
        <v>9.9999999999997868E-2</v>
      </c>
      <c r="BK401" s="111">
        <f t="shared" ref="BK401:BK415" si="310">AW401-AW384</f>
        <v>9.9999999999997868E-2</v>
      </c>
      <c r="BL401" s="111">
        <f t="shared" ref="BL401:BL415" si="311">AX401-AX384</f>
        <v>0.10000000000000142</v>
      </c>
      <c r="BM401" s="111">
        <f t="shared" ref="BM401:BM415" si="312">AY401-AY384</f>
        <v>0.10000000000000142</v>
      </c>
      <c r="BN401" s="111">
        <f t="shared" ref="BN401:BN415" si="313">AZ401-AZ384</f>
        <v>0.10000000000000142</v>
      </c>
      <c r="BO401" s="111">
        <f t="shared" ref="BO401:BO415" si="314">BA401-BA384</f>
        <v>0.20000000000000284</v>
      </c>
    </row>
    <row r="402" spans="38:67" ht="12.75" x14ac:dyDescent="0.2">
      <c r="AN402" t="s">
        <v>157</v>
      </c>
      <c r="AO402" s="149">
        <v>11.5</v>
      </c>
      <c r="AP402" s="149">
        <v>9.3000000000000007</v>
      </c>
      <c r="AQ402" s="149">
        <v>10</v>
      </c>
      <c r="AR402" s="149">
        <v>11.1</v>
      </c>
      <c r="AS402" s="129">
        <f t="shared" si="302"/>
        <v>12.3</v>
      </c>
      <c r="AT402" s="151">
        <v>13.5</v>
      </c>
      <c r="AU402" s="151">
        <v>15.6</v>
      </c>
      <c r="AV402" s="151">
        <v>19.3</v>
      </c>
      <c r="AW402" s="151">
        <v>22.4</v>
      </c>
      <c r="AX402" s="151">
        <v>25</v>
      </c>
      <c r="AY402" s="151">
        <v>29.2</v>
      </c>
      <c r="AZ402" s="141">
        <f>AZ385</f>
        <v>35.299999999999997</v>
      </c>
      <c r="BA402" s="150">
        <f>BA385</f>
        <v>44.4</v>
      </c>
      <c r="BC402" s="111">
        <f t="shared" ref="BC402:BC415" si="315">AO402-AO385</f>
        <v>9.9999999999999645E-2</v>
      </c>
      <c r="BD402" s="111">
        <f t="shared" si="303"/>
        <v>0.10000000000000142</v>
      </c>
      <c r="BE402" s="111">
        <f t="shared" si="304"/>
        <v>9.9999999999999645E-2</v>
      </c>
      <c r="BF402" s="111">
        <f t="shared" si="305"/>
        <v>0</v>
      </c>
      <c r="BG402" s="111">
        <f t="shared" si="306"/>
        <v>5.0000000000000711E-2</v>
      </c>
      <c r="BH402" s="111">
        <f t="shared" si="307"/>
        <v>9.9999999999999645E-2</v>
      </c>
      <c r="BI402" s="111">
        <f t="shared" si="308"/>
        <v>9.9999999999999645E-2</v>
      </c>
      <c r="BJ402" s="111">
        <f t="shared" si="309"/>
        <v>0.10000000000000142</v>
      </c>
      <c r="BK402" s="111">
        <f t="shared" si="310"/>
        <v>9.9999999999997868E-2</v>
      </c>
      <c r="BL402" s="111">
        <f t="shared" si="311"/>
        <v>0.10000000000000142</v>
      </c>
      <c r="BM402" s="111">
        <f t="shared" si="312"/>
        <v>9.9999999999997868E-2</v>
      </c>
      <c r="BN402" s="111">
        <f t="shared" si="313"/>
        <v>0</v>
      </c>
      <c r="BO402" s="111">
        <f t="shared" si="314"/>
        <v>0</v>
      </c>
    </row>
    <row r="403" spans="38:67" ht="12.75" x14ac:dyDescent="0.2">
      <c r="AN403" t="s">
        <v>99</v>
      </c>
      <c r="AO403" s="149">
        <v>14.4</v>
      </c>
      <c r="AP403" s="149">
        <v>12.1</v>
      </c>
      <c r="AQ403" s="149">
        <v>11.6</v>
      </c>
      <c r="AR403" s="149">
        <v>11.9</v>
      </c>
      <c r="AS403" s="129">
        <f t="shared" si="302"/>
        <v>12.5</v>
      </c>
      <c r="AT403" s="151">
        <v>13.1</v>
      </c>
      <c r="AU403" s="151">
        <v>14.4</v>
      </c>
      <c r="AV403" s="151">
        <v>16.7</v>
      </c>
      <c r="AW403" s="151">
        <v>18.7</v>
      </c>
      <c r="AX403" s="151">
        <v>20.399999999999999</v>
      </c>
      <c r="AY403" s="151">
        <v>23.2</v>
      </c>
      <c r="AZ403" s="151">
        <v>27.3</v>
      </c>
      <c r="BA403" s="151">
        <v>33.4</v>
      </c>
      <c r="BC403" s="111">
        <f t="shared" si="315"/>
        <v>0</v>
      </c>
      <c r="BD403" s="111">
        <f t="shared" si="303"/>
        <v>9.9999999999999645E-2</v>
      </c>
      <c r="BE403" s="111">
        <f t="shared" si="304"/>
        <v>0</v>
      </c>
      <c r="BF403" s="111">
        <f t="shared" si="305"/>
        <v>9.9999999999999645E-2</v>
      </c>
      <c r="BG403" s="111">
        <f t="shared" si="306"/>
        <v>5.0000000000000711E-2</v>
      </c>
      <c r="BH403" s="111">
        <f t="shared" si="307"/>
        <v>0</v>
      </c>
      <c r="BI403" s="111">
        <f t="shared" si="308"/>
        <v>0</v>
      </c>
      <c r="BJ403" s="111">
        <f t="shared" si="309"/>
        <v>0</v>
      </c>
      <c r="BK403" s="111">
        <f t="shared" si="310"/>
        <v>0</v>
      </c>
      <c r="BL403" s="111">
        <f t="shared" si="311"/>
        <v>0</v>
      </c>
      <c r="BM403" s="111">
        <f t="shared" si="312"/>
        <v>0</v>
      </c>
      <c r="BN403" s="111">
        <f t="shared" si="313"/>
        <v>0.10000000000000142</v>
      </c>
      <c r="BO403" s="111">
        <f t="shared" si="314"/>
        <v>0.10000000000000142</v>
      </c>
    </row>
    <row r="404" spans="38:67" ht="12.75" x14ac:dyDescent="0.2">
      <c r="AN404" t="s">
        <v>101</v>
      </c>
      <c r="AO404" s="149">
        <v>16.3</v>
      </c>
      <c r="AP404" s="149">
        <v>14.3</v>
      </c>
      <c r="AQ404" s="149">
        <v>13.9</v>
      </c>
      <c r="AR404" s="149">
        <v>14</v>
      </c>
      <c r="AS404" s="129">
        <f t="shared" si="302"/>
        <v>14.45</v>
      </c>
      <c r="AT404" s="151">
        <v>14.9</v>
      </c>
      <c r="AU404" s="151">
        <v>15.7</v>
      </c>
      <c r="AV404" s="151">
        <v>17</v>
      </c>
      <c r="AW404" s="151">
        <v>18.2</v>
      </c>
      <c r="AX404" s="151">
        <v>19.3</v>
      </c>
      <c r="AY404" s="151">
        <v>21.2</v>
      </c>
      <c r="AZ404" s="151">
        <v>23.9</v>
      </c>
      <c r="BA404" s="151">
        <v>28.1</v>
      </c>
      <c r="BC404" s="111">
        <f t="shared" si="315"/>
        <v>0.10000000000000142</v>
      </c>
      <c r="BD404" s="111">
        <f t="shared" si="303"/>
        <v>0</v>
      </c>
      <c r="BE404" s="111">
        <f t="shared" si="304"/>
        <v>9.9999999999999645E-2</v>
      </c>
      <c r="BF404" s="111">
        <f t="shared" si="305"/>
        <v>0</v>
      </c>
      <c r="BG404" s="111">
        <f t="shared" si="306"/>
        <v>4.9999999999998934E-2</v>
      </c>
      <c r="BH404" s="111">
        <f t="shared" si="307"/>
        <v>9.9999999999999645E-2</v>
      </c>
      <c r="BI404" s="111">
        <f t="shared" si="308"/>
        <v>9.9999999999999645E-2</v>
      </c>
      <c r="BJ404" s="111">
        <f t="shared" si="309"/>
        <v>0</v>
      </c>
      <c r="BK404" s="111">
        <f t="shared" si="310"/>
        <v>0</v>
      </c>
      <c r="BL404" s="111">
        <f t="shared" si="311"/>
        <v>0</v>
      </c>
      <c r="BM404" s="111">
        <f t="shared" si="312"/>
        <v>0</v>
      </c>
      <c r="BN404" s="111">
        <f t="shared" si="313"/>
        <v>0</v>
      </c>
      <c r="BO404" s="111">
        <f t="shared" si="314"/>
        <v>0</v>
      </c>
    </row>
    <row r="405" spans="38:67" ht="12.75" x14ac:dyDescent="0.2">
      <c r="AN405" t="s">
        <v>102</v>
      </c>
      <c r="AO405" s="149">
        <v>18</v>
      </c>
      <c r="AP405" s="141">
        <f>AP388</f>
        <v>16.100000000000001</v>
      </c>
      <c r="AQ405" s="149">
        <v>15.7</v>
      </c>
      <c r="AR405" s="149">
        <v>15.7</v>
      </c>
      <c r="AS405" s="129">
        <f t="shared" si="302"/>
        <v>15.95</v>
      </c>
      <c r="AT405" s="141">
        <f>AT388</f>
        <v>16.2</v>
      </c>
      <c r="AU405" s="151">
        <v>16.7</v>
      </c>
      <c r="AV405" s="151">
        <v>17.7</v>
      </c>
      <c r="AW405" s="151">
        <v>18.5</v>
      </c>
      <c r="AX405" s="151">
        <v>19.3</v>
      </c>
      <c r="AY405" s="151">
        <v>20.8</v>
      </c>
      <c r="AZ405" s="151">
        <v>23.2</v>
      </c>
      <c r="BA405" s="151">
        <v>26.7</v>
      </c>
      <c r="BC405" s="111">
        <f t="shared" si="315"/>
        <v>0.10000000000000142</v>
      </c>
      <c r="BD405" s="111">
        <f t="shared" si="303"/>
        <v>0</v>
      </c>
      <c r="BE405" s="111">
        <f t="shared" si="304"/>
        <v>0</v>
      </c>
      <c r="BF405" s="111">
        <f t="shared" si="305"/>
        <v>0</v>
      </c>
      <c r="BG405" s="111">
        <f t="shared" si="306"/>
        <v>0</v>
      </c>
      <c r="BH405" s="111">
        <f t="shared" si="307"/>
        <v>0</v>
      </c>
      <c r="BI405" s="111">
        <f t="shared" si="308"/>
        <v>0</v>
      </c>
      <c r="BJ405" s="111">
        <f t="shared" si="309"/>
        <v>9.9999999999997868E-2</v>
      </c>
      <c r="BK405" s="111">
        <f t="shared" si="310"/>
        <v>0</v>
      </c>
      <c r="BL405" s="111">
        <f t="shared" si="311"/>
        <v>0</v>
      </c>
      <c r="BM405" s="111">
        <f t="shared" si="312"/>
        <v>0</v>
      </c>
      <c r="BN405" s="111">
        <f t="shared" si="313"/>
        <v>9.9999999999997868E-2</v>
      </c>
      <c r="BO405" s="111">
        <f t="shared" si="314"/>
        <v>9.9999999999997868E-2</v>
      </c>
    </row>
    <row r="406" spans="38:67" ht="12.75" x14ac:dyDescent="0.2">
      <c r="AN406" t="s">
        <v>103</v>
      </c>
      <c r="AO406" s="149">
        <v>19.3</v>
      </c>
      <c r="AP406" s="141">
        <f>AP389</f>
        <v>17.5</v>
      </c>
      <c r="AQ406" s="149">
        <v>17.100000000000001</v>
      </c>
      <c r="AR406" s="149">
        <v>17</v>
      </c>
      <c r="AS406" s="129">
        <f t="shared" si="302"/>
        <v>17.100000000000001</v>
      </c>
      <c r="AT406" s="141">
        <f>AT389</f>
        <v>17.2</v>
      </c>
      <c r="AU406" s="151">
        <v>17.5</v>
      </c>
      <c r="AV406" s="151">
        <v>18</v>
      </c>
      <c r="AW406" s="151">
        <v>18.600000000000001</v>
      </c>
      <c r="AX406" s="151">
        <v>19.2</v>
      </c>
      <c r="AY406" s="151">
        <v>20.5</v>
      </c>
      <c r="AZ406" s="151">
        <v>22.6</v>
      </c>
      <c r="BA406" s="151">
        <v>25.9</v>
      </c>
      <c r="BC406" s="111">
        <f t="shared" si="315"/>
        <v>0</v>
      </c>
      <c r="BD406" s="111">
        <f t="shared" si="303"/>
        <v>0</v>
      </c>
      <c r="BE406" s="111">
        <f t="shared" si="304"/>
        <v>0</v>
      </c>
      <c r="BF406" s="111">
        <f t="shared" si="305"/>
        <v>0</v>
      </c>
      <c r="BG406" s="111">
        <f t="shared" si="306"/>
        <v>0</v>
      </c>
      <c r="BH406" s="111">
        <f t="shared" si="307"/>
        <v>0</v>
      </c>
      <c r="BI406" s="111">
        <f t="shared" si="308"/>
        <v>0</v>
      </c>
      <c r="BJ406" s="111">
        <f t="shared" si="309"/>
        <v>0</v>
      </c>
      <c r="BK406" s="111">
        <f t="shared" si="310"/>
        <v>0.10000000000000142</v>
      </c>
      <c r="BL406" s="111">
        <f t="shared" si="311"/>
        <v>9.9999999999997868E-2</v>
      </c>
      <c r="BM406" s="111">
        <f t="shared" si="312"/>
        <v>0.19999999999999929</v>
      </c>
      <c r="BN406" s="111">
        <f t="shared" si="313"/>
        <v>0.20000000000000284</v>
      </c>
      <c r="BO406" s="111">
        <f t="shared" si="314"/>
        <v>0.19999999999999929</v>
      </c>
    </row>
    <row r="407" spans="38:67" ht="12.75" x14ac:dyDescent="0.2">
      <c r="AN407" t="s">
        <v>104</v>
      </c>
      <c r="AO407" s="149">
        <v>20.2</v>
      </c>
      <c r="AP407" s="149">
        <v>18.5</v>
      </c>
      <c r="AQ407" s="149">
        <v>18</v>
      </c>
      <c r="AR407" s="149">
        <v>17.8</v>
      </c>
      <c r="AS407" s="129">
        <f t="shared" si="302"/>
        <v>17.850000000000001</v>
      </c>
      <c r="AT407" s="151">
        <v>17.899999999999999</v>
      </c>
      <c r="AU407" s="151">
        <v>18</v>
      </c>
      <c r="AV407" s="151">
        <v>18.100000000000001</v>
      </c>
      <c r="AW407" s="151">
        <v>18.399999999999999</v>
      </c>
      <c r="AX407" s="151">
        <v>18.8</v>
      </c>
      <c r="AY407" s="151">
        <v>19.7</v>
      </c>
      <c r="AZ407" s="151">
        <v>21.5</v>
      </c>
      <c r="BA407" s="151">
        <v>24.4</v>
      </c>
      <c r="BC407" s="111">
        <f t="shared" si="315"/>
        <v>0</v>
      </c>
      <c r="BD407" s="111">
        <f t="shared" si="303"/>
        <v>0</v>
      </c>
      <c r="BE407" s="111">
        <f t="shared" si="304"/>
        <v>0</v>
      </c>
      <c r="BF407" s="111">
        <f t="shared" si="305"/>
        <v>0</v>
      </c>
      <c r="BG407" s="111">
        <f t="shared" si="306"/>
        <v>0</v>
      </c>
      <c r="BH407" s="111">
        <f t="shared" si="307"/>
        <v>0</v>
      </c>
      <c r="BI407" s="111">
        <f t="shared" si="308"/>
        <v>0.10000000000000142</v>
      </c>
      <c r="BJ407" s="111">
        <f t="shared" si="309"/>
        <v>0</v>
      </c>
      <c r="BK407" s="111">
        <f t="shared" si="310"/>
        <v>9.9999999999997868E-2</v>
      </c>
      <c r="BL407" s="111">
        <f t="shared" si="311"/>
        <v>0.10000000000000142</v>
      </c>
      <c r="BM407" s="111">
        <f t="shared" si="312"/>
        <v>9.9999999999997868E-2</v>
      </c>
      <c r="BN407" s="111">
        <f t="shared" si="313"/>
        <v>0.19999999999999929</v>
      </c>
      <c r="BO407" s="111">
        <f t="shared" si="314"/>
        <v>0.19999999999999929</v>
      </c>
    </row>
    <row r="408" spans="38:67" ht="12.75" x14ac:dyDescent="0.2">
      <c r="AN408" t="s">
        <v>105</v>
      </c>
      <c r="AO408" s="149">
        <v>20.8</v>
      </c>
      <c r="AP408" s="149">
        <v>19.100000000000001</v>
      </c>
      <c r="AQ408" s="149">
        <v>18.7</v>
      </c>
      <c r="AR408" s="149">
        <v>18.399999999999999</v>
      </c>
      <c r="AS408" s="129">
        <f t="shared" si="302"/>
        <v>18.350000000000001</v>
      </c>
      <c r="AT408" s="151">
        <v>18.3</v>
      </c>
      <c r="AU408" s="151">
        <v>18.3</v>
      </c>
      <c r="AV408" s="151">
        <v>18.2</v>
      </c>
      <c r="AW408" s="151">
        <v>18.2</v>
      </c>
      <c r="AX408" s="151">
        <v>18.399999999999999</v>
      </c>
      <c r="AY408" s="151">
        <v>18.899999999999999</v>
      </c>
      <c r="AZ408" s="151">
        <v>20.3</v>
      </c>
      <c r="BA408" s="151">
        <v>22.9</v>
      </c>
      <c r="BC408" s="111">
        <f t="shared" si="315"/>
        <v>0</v>
      </c>
      <c r="BD408" s="111">
        <f t="shared" si="303"/>
        <v>-9.9999999999997868E-2</v>
      </c>
      <c r="BE408" s="111">
        <f t="shared" si="304"/>
        <v>0</v>
      </c>
      <c r="BF408" s="111">
        <f t="shared" si="305"/>
        <v>-0.10000000000000142</v>
      </c>
      <c r="BG408" s="111">
        <f t="shared" si="306"/>
        <v>-4.9999999999997158E-2</v>
      </c>
      <c r="BH408" s="111">
        <f t="shared" si="307"/>
        <v>0</v>
      </c>
      <c r="BI408" s="111">
        <f t="shared" si="308"/>
        <v>0</v>
      </c>
      <c r="BJ408" s="111">
        <f t="shared" si="309"/>
        <v>9.9999999999997868E-2</v>
      </c>
      <c r="BK408" s="111">
        <f t="shared" si="310"/>
        <v>9.9999999999997868E-2</v>
      </c>
      <c r="BL408" s="111">
        <f t="shared" si="311"/>
        <v>9.9999999999997868E-2</v>
      </c>
      <c r="BM408" s="111">
        <f t="shared" si="312"/>
        <v>9.9999999999997868E-2</v>
      </c>
      <c r="BN408" s="111">
        <f t="shared" si="313"/>
        <v>0.10000000000000142</v>
      </c>
      <c r="BO408" s="111">
        <f t="shared" si="314"/>
        <v>0.19999999999999929</v>
      </c>
    </row>
    <row r="409" spans="38:67" ht="12.75" x14ac:dyDescent="0.2">
      <c r="AN409" t="s">
        <v>106</v>
      </c>
      <c r="AO409" s="149">
        <v>21.2</v>
      </c>
      <c r="AP409" s="149">
        <v>19.600000000000001</v>
      </c>
      <c r="AQ409" s="141">
        <f>AQ392</f>
        <v>19.100000000000001</v>
      </c>
      <c r="AR409" s="149">
        <v>18.8</v>
      </c>
      <c r="AS409" s="129">
        <f t="shared" si="302"/>
        <v>18.700000000000003</v>
      </c>
      <c r="AT409" s="151">
        <v>18.600000000000001</v>
      </c>
      <c r="AU409" s="151">
        <v>18.399999999999999</v>
      </c>
      <c r="AV409" s="151">
        <v>18.100000000000001</v>
      </c>
      <c r="AW409" s="151">
        <v>18</v>
      </c>
      <c r="AX409" s="151">
        <v>18</v>
      </c>
      <c r="AY409" s="151">
        <v>18.3</v>
      </c>
      <c r="AZ409" s="151">
        <v>19.399999999999999</v>
      </c>
      <c r="BA409" s="151">
        <v>21.7</v>
      </c>
      <c r="BC409" s="111">
        <f t="shared" si="315"/>
        <v>0</v>
      </c>
      <c r="BD409" s="111">
        <f t="shared" si="303"/>
        <v>0</v>
      </c>
      <c r="BE409" s="111">
        <f t="shared" si="304"/>
        <v>0</v>
      </c>
      <c r="BF409" s="111">
        <f t="shared" si="305"/>
        <v>0</v>
      </c>
      <c r="BG409" s="111">
        <f t="shared" si="306"/>
        <v>0</v>
      </c>
      <c r="BH409" s="111">
        <f t="shared" si="307"/>
        <v>0</v>
      </c>
      <c r="BI409" s="111">
        <f t="shared" si="308"/>
        <v>0</v>
      </c>
      <c r="BJ409" s="111">
        <f t="shared" si="309"/>
        <v>0</v>
      </c>
      <c r="BK409" s="111">
        <f t="shared" si="310"/>
        <v>0.10000000000000142</v>
      </c>
      <c r="BL409" s="111">
        <f t="shared" si="311"/>
        <v>0.10000000000000142</v>
      </c>
      <c r="BM409" s="111">
        <f t="shared" si="312"/>
        <v>0.10000000000000142</v>
      </c>
      <c r="BN409" s="111">
        <f t="shared" si="313"/>
        <v>9.9999999999997868E-2</v>
      </c>
      <c r="BO409" s="111">
        <f t="shared" si="314"/>
        <v>9.9999999999997868E-2</v>
      </c>
    </row>
    <row r="410" spans="38:67" ht="12.75" x14ac:dyDescent="0.2">
      <c r="AN410" t="s">
        <v>79</v>
      </c>
      <c r="AO410" s="149">
        <v>21.4</v>
      </c>
      <c r="AP410" s="149">
        <v>19.899999999999999</v>
      </c>
      <c r="AQ410" s="149">
        <v>19.399999999999999</v>
      </c>
      <c r="AR410" s="149">
        <v>19.100000000000001</v>
      </c>
      <c r="AS410" s="129">
        <f t="shared" si="302"/>
        <v>18.950000000000003</v>
      </c>
      <c r="AT410" s="151">
        <v>18.8</v>
      </c>
      <c r="AU410" s="151">
        <v>18.5</v>
      </c>
      <c r="AV410" s="151">
        <v>18.100000000000001</v>
      </c>
      <c r="AW410" s="151">
        <v>17.8</v>
      </c>
      <c r="AX410" s="151">
        <v>17.7</v>
      </c>
      <c r="AY410" s="151">
        <v>17.8</v>
      </c>
      <c r="AZ410" s="151">
        <v>18.600000000000001</v>
      </c>
      <c r="BA410" s="151">
        <v>20.5</v>
      </c>
      <c r="BC410" s="111">
        <f t="shared" si="315"/>
        <v>0</v>
      </c>
      <c r="BD410" s="111">
        <f t="shared" si="303"/>
        <v>0</v>
      </c>
      <c r="BE410" s="111">
        <f t="shared" si="304"/>
        <v>0</v>
      </c>
      <c r="BF410" s="111">
        <f t="shared" si="305"/>
        <v>0</v>
      </c>
      <c r="BG410" s="111">
        <f t="shared" si="306"/>
        <v>0</v>
      </c>
      <c r="BH410" s="111">
        <f t="shared" si="307"/>
        <v>0</v>
      </c>
      <c r="BI410" s="111">
        <f t="shared" si="308"/>
        <v>0</v>
      </c>
      <c r="BJ410" s="111">
        <f t="shared" si="309"/>
        <v>0.10000000000000142</v>
      </c>
      <c r="BK410" s="111">
        <f t="shared" si="310"/>
        <v>0.10000000000000142</v>
      </c>
      <c r="BL410" s="111">
        <f t="shared" si="311"/>
        <v>9.9999999999997868E-2</v>
      </c>
      <c r="BM410" s="111">
        <f t="shared" si="312"/>
        <v>0.10000000000000142</v>
      </c>
      <c r="BN410" s="111">
        <f t="shared" si="313"/>
        <v>0</v>
      </c>
      <c r="BO410" s="111">
        <f t="shared" si="314"/>
        <v>0</v>
      </c>
    </row>
    <row r="411" spans="38:67" ht="12.75" x14ac:dyDescent="0.2">
      <c r="AN411" t="s">
        <v>159</v>
      </c>
      <c r="AO411" s="149">
        <v>21.4</v>
      </c>
      <c r="AP411" s="149">
        <v>20</v>
      </c>
      <c r="AQ411" s="149">
        <v>19.5</v>
      </c>
      <c r="AR411" s="149">
        <v>19.2</v>
      </c>
      <c r="AS411" s="129">
        <f t="shared" si="302"/>
        <v>19</v>
      </c>
      <c r="AT411" s="151">
        <v>18.8</v>
      </c>
      <c r="AU411" s="151">
        <v>18.399999999999999</v>
      </c>
      <c r="AV411" s="151">
        <v>17.8</v>
      </c>
      <c r="AW411" s="151">
        <v>17.3</v>
      </c>
      <c r="AX411" s="151">
        <v>17.100000000000001</v>
      </c>
      <c r="AY411" s="151">
        <v>16.8</v>
      </c>
      <c r="AZ411" s="151">
        <v>17.100000000000001</v>
      </c>
      <c r="BA411" s="151">
        <v>18.399999999999999</v>
      </c>
      <c r="BC411" s="111">
        <f t="shared" si="315"/>
        <v>0</v>
      </c>
      <c r="BD411" s="111">
        <f t="shared" si="303"/>
        <v>0</v>
      </c>
      <c r="BE411" s="111">
        <f t="shared" si="304"/>
        <v>0</v>
      </c>
      <c r="BF411" s="111">
        <f t="shared" si="305"/>
        <v>0</v>
      </c>
      <c r="BG411" s="111">
        <f t="shared" si="306"/>
        <v>0</v>
      </c>
      <c r="BH411" s="111">
        <f t="shared" si="307"/>
        <v>0</v>
      </c>
      <c r="BI411" s="111">
        <f t="shared" si="308"/>
        <v>0</v>
      </c>
      <c r="BJ411" s="111">
        <f t="shared" si="309"/>
        <v>0</v>
      </c>
      <c r="BK411" s="111">
        <f t="shared" si="310"/>
        <v>0</v>
      </c>
      <c r="BL411" s="111">
        <f t="shared" si="311"/>
        <v>0.10000000000000142</v>
      </c>
      <c r="BM411" s="111">
        <f t="shared" si="312"/>
        <v>0</v>
      </c>
      <c r="BN411" s="111">
        <f t="shared" si="313"/>
        <v>0</v>
      </c>
      <c r="BO411" s="111">
        <f t="shared" si="314"/>
        <v>9.9999999999997868E-2</v>
      </c>
    </row>
    <row r="412" spans="38:67" ht="12.75" x14ac:dyDescent="0.2">
      <c r="AN412" t="s">
        <v>107</v>
      </c>
      <c r="AO412" s="149">
        <v>21.1</v>
      </c>
      <c r="AP412" s="141">
        <f>AP395</f>
        <v>19.8</v>
      </c>
      <c r="AQ412" s="149">
        <v>19.399999999999999</v>
      </c>
      <c r="AR412" s="149">
        <v>19.100000000000001</v>
      </c>
      <c r="AS412" s="129">
        <f t="shared" si="302"/>
        <v>18.850000000000001</v>
      </c>
      <c r="AT412" s="151">
        <v>18.600000000000001</v>
      </c>
      <c r="AU412" s="151">
        <v>18.2</v>
      </c>
      <c r="AV412" s="151">
        <v>17.399999999999999</v>
      </c>
      <c r="AW412" s="151">
        <v>16.899999999999999</v>
      </c>
      <c r="AX412" s="151">
        <v>16.5</v>
      </c>
      <c r="AY412" s="151">
        <v>16</v>
      </c>
      <c r="AZ412" s="151">
        <v>15.7</v>
      </c>
      <c r="BA412" s="151">
        <v>16.2</v>
      </c>
      <c r="BC412" s="111">
        <f t="shared" si="315"/>
        <v>0.10000000000000142</v>
      </c>
      <c r="BD412" s="111">
        <f t="shared" si="303"/>
        <v>0</v>
      </c>
      <c r="BE412" s="111">
        <f t="shared" si="304"/>
        <v>0</v>
      </c>
      <c r="BF412" s="111">
        <f t="shared" si="305"/>
        <v>0.10000000000000142</v>
      </c>
      <c r="BG412" s="111">
        <f t="shared" si="306"/>
        <v>5.0000000000000711E-2</v>
      </c>
      <c r="BH412" s="111">
        <f t="shared" si="307"/>
        <v>0</v>
      </c>
      <c r="BI412" s="111">
        <f t="shared" si="308"/>
        <v>9.9999999999997868E-2</v>
      </c>
      <c r="BJ412" s="111">
        <f t="shared" si="309"/>
        <v>0</v>
      </c>
      <c r="BK412" s="111">
        <f t="shared" si="310"/>
        <v>9.9999999999997868E-2</v>
      </c>
      <c r="BL412" s="111">
        <f t="shared" si="311"/>
        <v>0.10000000000000142</v>
      </c>
      <c r="BM412" s="111">
        <f t="shared" si="312"/>
        <v>9.9999999999999645E-2</v>
      </c>
      <c r="BN412" s="111">
        <f t="shared" si="313"/>
        <v>0</v>
      </c>
      <c r="BO412" s="111">
        <f t="shared" si="314"/>
        <v>0</v>
      </c>
    </row>
    <row r="413" spans="38:67" ht="12.75" x14ac:dyDescent="0.2">
      <c r="AN413" t="s">
        <v>108</v>
      </c>
      <c r="AO413" s="149">
        <v>20.6</v>
      </c>
      <c r="AP413" s="149">
        <v>19.5</v>
      </c>
      <c r="AQ413" s="149">
        <v>19.100000000000001</v>
      </c>
      <c r="AR413" s="149">
        <v>18.8</v>
      </c>
      <c r="AS413" s="129">
        <f t="shared" si="302"/>
        <v>18.55</v>
      </c>
      <c r="AT413" s="151">
        <v>18.3</v>
      </c>
      <c r="AU413" s="151">
        <v>17.8</v>
      </c>
      <c r="AV413" s="151">
        <v>17.100000000000001</v>
      </c>
      <c r="AW413" s="151">
        <v>16.5</v>
      </c>
      <c r="AX413" s="151">
        <v>16</v>
      </c>
      <c r="AY413" s="151">
        <v>15.3</v>
      </c>
      <c r="AZ413" s="151">
        <v>14.7</v>
      </c>
      <c r="BA413" s="151">
        <v>14.5</v>
      </c>
      <c r="BC413" s="111">
        <f t="shared" si="315"/>
        <v>0.10000000000000142</v>
      </c>
      <c r="BD413" s="111">
        <f t="shared" si="303"/>
        <v>0</v>
      </c>
      <c r="BE413" s="111">
        <f t="shared" si="304"/>
        <v>0</v>
      </c>
      <c r="BF413" s="111">
        <f t="shared" si="305"/>
        <v>0</v>
      </c>
      <c r="BG413" s="111">
        <f t="shared" si="306"/>
        <v>0</v>
      </c>
      <c r="BH413" s="111">
        <f t="shared" si="307"/>
        <v>0</v>
      </c>
      <c r="BI413" s="111">
        <f t="shared" si="308"/>
        <v>0</v>
      </c>
      <c r="BJ413" s="111">
        <f t="shared" si="309"/>
        <v>0.10000000000000142</v>
      </c>
      <c r="BK413" s="111">
        <f t="shared" si="310"/>
        <v>0.10000000000000142</v>
      </c>
      <c r="BL413" s="111">
        <f t="shared" si="311"/>
        <v>9.9999999999999645E-2</v>
      </c>
      <c r="BM413" s="111">
        <f t="shared" si="312"/>
        <v>0</v>
      </c>
      <c r="BN413" s="111">
        <f t="shared" si="313"/>
        <v>0</v>
      </c>
      <c r="BO413" s="111">
        <f t="shared" si="314"/>
        <v>0</v>
      </c>
    </row>
    <row r="414" spans="38:67" ht="12.75" x14ac:dyDescent="0.2">
      <c r="AN414" t="s">
        <v>109</v>
      </c>
      <c r="AO414" s="149">
        <v>20.3</v>
      </c>
      <c r="AP414" s="149">
        <v>19.399999999999999</v>
      </c>
      <c r="AQ414" s="149">
        <v>19</v>
      </c>
      <c r="AR414" s="149">
        <v>18.7</v>
      </c>
      <c r="AS414" s="129">
        <f t="shared" si="302"/>
        <v>18.45</v>
      </c>
      <c r="AT414" s="151">
        <v>18.2</v>
      </c>
      <c r="AU414" s="151">
        <v>17.7</v>
      </c>
      <c r="AV414" s="151">
        <v>16.899999999999999</v>
      </c>
      <c r="AW414" s="151">
        <v>16.3</v>
      </c>
      <c r="AX414" s="151">
        <v>15.8</v>
      </c>
      <c r="AY414" s="151">
        <v>15.1</v>
      </c>
      <c r="AZ414" s="151">
        <v>14.3</v>
      </c>
      <c r="BA414" s="151">
        <v>13.8</v>
      </c>
      <c r="BC414" s="111">
        <f t="shared" si="315"/>
        <v>0</v>
      </c>
      <c r="BD414" s="111">
        <f t="shared" si="303"/>
        <v>9.9999999999997868E-2</v>
      </c>
      <c r="BE414" s="111">
        <f t="shared" si="304"/>
        <v>0</v>
      </c>
      <c r="BF414" s="111">
        <f t="shared" si="305"/>
        <v>9.9999999999997868E-2</v>
      </c>
      <c r="BG414" s="111">
        <f t="shared" si="306"/>
        <v>9.9999999999997868E-2</v>
      </c>
      <c r="BH414" s="111">
        <f t="shared" si="307"/>
        <v>9.9999999999997868E-2</v>
      </c>
      <c r="BI414" s="111">
        <f t="shared" si="308"/>
        <v>0</v>
      </c>
      <c r="BJ414" s="111">
        <f t="shared" si="309"/>
        <v>0</v>
      </c>
      <c r="BK414" s="111">
        <f t="shared" si="310"/>
        <v>0</v>
      </c>
      <c r="BL414" s="111">
        <f t="shared" si="311"/>
        <v>0</v>
      </c>
      <c r="BM414" s="111">
        <f t="shared" si="312"/>
        <v>0</v>
      </c>
      <c r="BN414" s="111">
        <f t="shared" si="313"/>
        <v>0</v>
      </c>
      <c r="BO414" s="111">
        <f t="shared" si="314"/>
        <v>0.10000000000000142</v>
      </c>
    </row>
    <row r="415" spans="38:67" ht="12.75" x14ac:dyDescent="0.2">
      <c r="AN415" t="s">
        <v>110</v>
      </c>
      <c r="AO415" s="149">
        <v>20.100000000000001</v>
      </c>
      <c r="AP415" s="149">
        <v>19.2</v>
      </c>
      <c r="AQ415" s="149">
        <v>18.8</v>
      </c>
      <c r="AR415" s="149">
        <v>18.5</v>
      </c>
      <c r="AS415" s="129">
        <f t="shared" si="302"/>
        <v>18.25</v>
      </c>
      <c r="AT415" s="151">
        <v>18</v>
      </c>
      <c r="AU415" s="151">
        <v>17.600000000000001</v>
      </c>
      <c r="AV415" s="151">
        <v>16.8</v>
      </c>
      <c r="AW415" s="151">
        <v>16.2</v>
      </c>
      <c r="AX415" s="151">
        <v>15.7</v>
      </c>
      <c r="AY415" s="151">
        <v>14.9</v>
      </c>
      <c r="AZ415" s="151">
        <v>14.1</v>
      </c>
      <c r="BA415" s="151">
        <v>13.3</v>
      </c>
      <c r="BC415" s="111">
        <f t="shared" si="315"/>
        <v>0.10000000000000142</v>
      </c>
      <c r="BD415" s="111">
        <f t="shared" si="303"/>
        <v>9.9999999999997868E-2</v>
      </c>
      <c r="BE415" s="111">
        <f t="shared" si="304"/>
        <v>0</v>
      </c>
      <c r="BF415" s="111">
        <f t="shared" si="305"/>
        <v>0</v>
      </c>
      <c r="BG415" s="111">
        <f t="shared" si="306"/>
        <v>0</v>
      </c>
      <c r="BH415" s="111">
        <f t="shared" si="307"/>
        <v>0</v>
      </c>
      <c r="BI415" s="111">
        <f t="shared" si="308"/>
        <v>0.10000000000000142</v>
      </c>
      <c r="BJ415" s="111">
        <f t="shared" si="309"/>
        <v>0.10000000000000142</v>
      </c>
      <c r="BK415" s="111">
        <f t="shared" si="310"/>
        <v>9.9999999999997868E-2</v>
      </c>
      <c r="BL415" s="111">
        <f t="shared" si="311"/>
        <v>9.9999999999999645E-2</v>
      </c>
      <c r="BM415" s="111">
        <f t="shared" si="312"/>
        <v>0</v>
      </c>
      <c r="BN415" s="111">
        <f t="shared" si="313"/>
        <v>0</v>
      </c>
      <c r="BO415" s="111">
        <f t="shared" si="314"/>
        <v>0</v>
      </c>
    </row>
    <row r="417" spans="38:96" x14ac:dyDescent="0.2">
      <c r="AO417">
        <v>-0.5</v>
      </c>
      <c r="AP417">
        <v>-0.25</v>
      </c>
      <c r="AQ417">
        <v>-0.13</v>
      </c>
      <c r="AR417">
        <v>0</v>
      </c>
      <c r="AS417">
        <v>0.125</v>
      </c>
      <c r="AT417" s="126">
        <v>0.25</v>
      </c>
      <c r="AU417" s="126">
        <v>0.5</v>
      </c>
      <c r="AV417" s="126">
        <v>1</v>
      </c>
      <c r="AW417" s="126">
        <v>1.5</v>
      </c>
      <c r="AX417" s="126">
        <v>2</v>
      </c>
      <c r="AY417" s="126">
        <v>3</v>
      </c>
      <c r="AZ417" s="126">
        <v>5</v>
      </c>
      <c r="BA417" s="126">
        <v>10</v>
      </c>
    </row>
    <row r="418" spans="38:96" ht="12.75" x14ac:dyDescent="0.2">
      <c r="AL418" s="105" t="s">
        <v>308</v>
      </c>
      <c r="AN418" t="s">
        <v>25</v>
      </c>
      <c r="AO418" s="152">
        <v>9.6</v>
      </c>
      <c r="AP418" s="141">
        <f>AP401</f>
        <v>7</v>
      </c>
      <c r="AQ418" s="141">
        <f>AQ401</f>
        <v>7.7</v>
      </c>
      <c r="AR418" s="141">
        <f>AR401</f>
        <v>9.1</v>
      </c>
      <c r="AS418" s="129">
        <f t="shared" ref="AS418:AS432" si="316">(AR418+AT418)/2</f>
        <v>10.5</v>
      </c>
      <c r="AT418" s="141">
        <f>AT401</f>
        <v>11.9</v>
      </c>
      <c r="AU418" s="141">
        <f>AU401</f>
        <v>14.4</v>
      </c>
      <c r="AV418" s="152">
        <v>18.600000000000001</v>
      </c>
      <c r="AW418" s="141">
        <f>AW401</f>
        <v>22.2</v>
      </c>
      <c r="AX418" s="152">
        <v>25.2</v>
      </c>
      <c r="AY418" s="152">
        <v>30.2</v>
      </c>
      <c r="AZ418" s="152">
        <v>37.700000000000003</v>
      </c>
      <c r="BA418" s="152">
        <v>49.1</v>
      </c>
      <c r="BC418" s="111">
        <f>AO418-AO401</f>
        <v>-9.9999999999999645E-2</v>
      </c>
      <c r="BD418" s="111">
        <f t="shared" ref="BD418:BD432" si="317">AP418-AP401</f>
        <v>0</v>
      </c>
      <c r="BE418" s="111">
        <f t="shared" ref="BE418:BE432" si="318">AQ418-AQ401</f>
        <v>0</v>
      </c>
      <c r="BF418" s="111">
        <f t="shared" ref="BF418:BF432" si="319">AR418-AR401</f>
        <v>0</v>
      </c>
      <c r="BG418" s="111">
        <f t="shared" ref="BG418:BG432" si="320">AS418-AS401</f>
        <v>0</v>
      </c>
      <c r="BH418" s="111">
        <f t="shared" ref="BH418:BH432" si="321">AT418-AT401</f>
        <v>0</v>
      </c>
      <c r="BI418" s="111">
        <f t="shared" ref="BI418:BI432" si="322">AU418-AU401</f>
        <v>0</v>
      </c>
      <c r="BJ418" s="111">
        <f t="shared" ref="BJ418:BJ432" si="323">AV418-AV401</f>
        <v>-9.9999999999997868E-2</v>
      </c>
      <c r="BK418" s="111">
        <f t="shared" ref="BK418:BK432" si="324">AW418-AW401</f>
        <v>0</v>
      </c>
      <c r="BL418" s="111">
        <f t="shared" ref="BL418:BL432" si="325">AX418-AX401</f>
        <v>-0.10000000000000142</v>
      </c>
      <c r="BM418" s="111">
        <f t="shared" ref="BM418:BM432" si="326">AY418-AY401</f>
        <v>-0.10000000000000142</v>
      </c>
      <c r="BN418" s="111">
        <f t="shared" ref="BN418:BN432" si="327">AZ418-AZ401</f>
        <v>0</v>
      </c>
      <c r="BO418" s="111">
        <f t="shared" ref="BO418:BO432" si="328">BA418-BA401</f>
        <v>-0.10000000000000142</v>
      </c>
      <c r="BR418" s="120">
        <v>2.4974634042508178E-3</v>
      </c>
      <c r="BS418" s="120">
        <v>1.8963579039239786E-3</v>
      </c>
      <c r="BT418" s="120">
        <v>2.1490831637745122E-3</v>
      </c>
      <c r="BU418" s="120">
        <v>2.5947791038409486E-3</v>
      </c>
      <c r="BV418" s="120">
        <v>3.05461973245041E-3</v>
      </c>
      <c r="BW418" s="120">
        <v>3.5313161817552064E-3</v>
      </c>
      <c r="BX418" s="120">
        <v>4.4386167706077367E-3</v>
      </c>
      <c r="BY418" s="120">
        <v>6.1645930124403451E-3</v>
      </c>
      <c r="BZ418" s="120">
        <v>7.800861896643441E-3</v>
      </c>
      <c r="CA418" s="120">
        <v>9.3677820801451074E-3</v>
      </c>
      <c r="CB418" s="120">
        <v>1.2548419634828447E-2</v>
      </c>
      <c r="CC418" s="120">
        <v>1.8419206241244639E-2</v>
      </c>
      <c r="CD418" s="120">
        <v>3.2747189383325194E-2</v>
      </c>
      <c r="CF418" s="120">
        <v>9.5994587020998681E-2</v>
      </c>
      <c r="CG418" s="120">
        <v>6.9447254012457146E-2</v>
      </c>
      <c r="CH418" s="120">
        <v>7.7001638705091205E-2</v>
      </c>
      <c r="CI418" s="120">
        <v>9.1001222083235647E-2</v>
      </c>
      <c r="CJ418" s="120">
        <v>0.10504437178744644</v>
      </c>
      <c r="CK418" s="120">
        <v>0.11899702363084766</v>
      </c>
      <c r="CL418" s="120">
        <v>0.14399256218436937</v>
      </c>
      <c r="CM418" s="120">
        <v>0.1860539799012732</v>
      </c>
      <c r="CN418" s="120">
        <v>0.22110117541273439</v>
      </c>
      <c r="CO418" s="120">
        <v>0.25211286604260541</v>
      </c>
      <c r="CP418" s="120">
        <v>0.30379975644444362</v>
      </c>
      <c r="CQ418" s="120">
        <v>0.37813494689913119</v>
      </c>
      <c r="CR418" s="120">
        <v>0.50357025230789332</v>
      </c>
    </row>
    <row r="419" spans="38:96" ht="12.75" x14ac:dyDescent="0.2">
      <c r="AN419" t="s">
        <v>157</v>
      </c>
      <c r="AO419" s="152">
        <v>11.7</v>
      </c>
      <c r="AP419" s="152">
        <v>9.5</v>
      </c>
      <c r="AQ419" s="152">
        <v>10.1</v>
      </c>
      <c r="AR419" s="152">
        <v>11.3</v>
      </c>
      <c r="AS419" s="129">
        <f t="shared" si="316"/>
        <v>12.45</v>
      </c>
      <c r="AT419" s="152">
        <v>13.6</v>
      </c>
      <c r="AU419" s="152">
        <v>15.8</v>
      </c>
      <c r="AV419" s="152">
        <v>19.5</v>
      </c>
      <c r="AW419" s="152">
        <v>22.5</v>
      </c>
      <c r="AX419" s="152">
        <v>25.1</v>
      </c>
      <c r="AY419" s="152">
        <v>29.4</v>
      </c>
      <c r="AZ419" s="152">
        <v>35.5</v>
      </c>
      <c r="BA419" s="152">
        <v>44.6</v>
      </c>
      <c r="BC419" s="111">
        <f t="shared" ref="BC419:BC432" si="329">AO419-AO402</f>
        <v>0.19999999999999929</v>
      </c>
      <c r="BD419" s="111">
        <f t="shared" si="317"/>
        <v>0.19999999999999929</v>
      </c>
      <c r="BE419" s="111">
        <f t="shared" si="318"/>
        <v>9.9999999999999645E-2</v>
      </c>
      <c r="BF419" s="111">
        <f t="shared" si="319"/>
        <v>0.20000000000000107</v>
      </c>
      <c r="BG419" s="111">
        <f t="shared" si="320"/>
        <v>0.14999999999999858</v>
      </c>
      <c r="BH419" s="111">
        <f t="shared" si="321"/>
        <v>9.9999999999999645E-2</v>
      </c>
      <c r="BI419" s="111">
        <f t="shared" si="322"/>
        <v>0.20000000000000107</v>
      </c>
      <c r="BJ419" s="111">
        <f t="shared" si="323"/>
        <v>0.19999999999999929</v>
      </c>
      <c r="BK419" s="111">
        <f t="shared" si="324"/>
        <v>0.10000000000000142</v>
      </c>
      <c r="BL419" s="111">
        <f t="shared" si="325"/>
        <v>0.10000000000000142</v>
      </c>
      <c r="BM419" s="111">
        <f t="shared" si="326"/>
        <v>0.19999999999999929</v>
      </c>
      <c r="BN419" s="111">
        <f t="shared" si="327"/>
        <v>0.20000000000000284</v>
      </c>
      <c r="BO419" s="111">
        <f t="shared" si="328"/>
        <v>0.20000000000000284</v>
      </c>
      <c r="BR419" s="120">
        <v>3.5505100394038029E-3</v>
      </c>
      <c r="BS419" s="120">
        <v>3.4180096342262076E-3</v>
      </c>
      <c r="BT419" s="120">
        <v>3.4824355749325099E-3</v>
      </c>
      <c r="BU419" s="120">
        <v>3.7257848714977019E-3</v>
      </c>
      <c r="BV419" s="120">
        <v>4.0119875756729709E-3</v>
      </c>
      <c r="BW419" s="120">
        <v>4.3441416527525666E-3</v>
      </c>
      <c r="BX419" s="120">
        <v>5.0912283258849281E-3</v>
      </c>
      <c r="BY419" s="120">
        <v>6.5547614907424615E-3</v>
      </c>
      <c r="BZ419" s="120">
        <v>7.9458671262961026E-3</v>
      </c>
      <c r="CA419" s="120">
        <v>9.3232505098152108E-3</v>
      </c>
      <c r="CB419" s="120">
        <v>1.1940267574534843E-2</v>
      </c>
      <c r="CC419" s="120">
        <v>1.6842264562989477E-2</v>
      </c>
      <c r="CD419" s="120">
        <v>2.7898588800837013E-2</v>
      </c>
      <c r="CF419" s="120">
        <v>0.13683823667001549</v>
      </c>
      <c r="CG419" s="120">
        <v>0.12561595619170063</v>
      </c>
      <c r="CH419" s="120">
        <v>0.12513717805387026</v>
      </c>
      <c r="CI419" s="120">
        <v>0.13104800995166155</v>
      </c>
      <c r="CJ419" s="120">
        <v>0.13815789570657311</v>
      </c>
      <c r="CK419" s="120">
        <v>0.146660456810801</v>
      </c>
      <c r="CL419" s="120">
        <v>0.16546639169085572</v>
      </c>
      <c r="CM419" s="120">
        <v>0.19890776226481272</v>
      </c>
      <c r="CN419" s="120">
        <v>0.22651454147827296</v>
      </c>
      <c r="CO419" s="120">
        <v>0.25060767975818005</v>
      </c>
      <c r="CP419" s="120">
        <v>0.29089524398390632</v>
      </c>
      <c r="CQ419" s="120">
        <v>0.34852747238025711</v>
      </c>
      <c r="CR419" s="120">
        <v>0.43158599993691471</v>
      </c>
    </row>
    <row r="420" spans="38:96" ht="12.75" x14ac:dyDescent="0.2">
      <c r="AN420" t="s">
        <v>99</v>
      </c>
      <c r="AO420" s="152">
        <v>14.5</v>
      </c>
      <c r="AP420" s="152">
        <v>12.1</v>
      </c>
      <c r="AQ420" s="141">
        <f>AQ403</f>
        <v>11.6</v>
      </c>
      <c r="AR420" s="152">
        <v>11.9</v>
      </c>
      <c r="AS420" s="129">
        <f t="shared" si="316"/>
        <v>12.5</v>
      </c>
      <c r="AT420" s="152">
        <v>13.1</v>
      </c>
      <c r="AU420" s="152">
        <v>14.4</v>
      </c>
      <c r="AV420" s="152">
        <v>16.7</v>
      </c>
      <c r="AW420" s="152">
        <v>18.600000000000001</v>
      </c>
      <c r="AX420" s="152">
        <v>20.399999999999999</v>
      </c>
      <c r="AY420" s="152">
        <v>23.2</v>
      </c>
      <c r="AZ420" s="152">
        <v>27.3</v>
      </c>
      <c r="BA420" s="152">
        <v>33.299999999999997</v>
      </c>
      <c r="BC420" s="111">
        <f t="shared" si="329"/>
        <v>9.9999999999999645E-2</v>
      </c>
      <c r="BD420" s="111">
        <f t="shared" si="317"/>
        <v>0</v>
      </c>
      <c r="BE420" s="111">
        <f t="shared" si="318"/>
        <v>0</v>
      </c>
      <c r="BF420" s="111">
        <f t="shared" si="319"/>
        <v>0</v>
      </c>
      <c r="BG420" s="111">
        <f t="shared" si="320"/>
        <v>0</v>
      </c>
      <c r="BH420" s="111">
        <f t="shared" si="321"/>
        <v>0</v>
      </c>
      <c r="BI420" s="111">
        <f t="shared" si="322"/>
        <v>0</v>
      </c>
      <c r="BJ420" s="111">
        <f t="shared" si="323"/>
        <v>0</v>
      </c>
      <c r="BK420" s="111">
        <f t="shared" si="324"/>
        <v>-9.9999999999997868E-2</v>
      </c>
      <c r="BL420" s="111">
        <f t="shared" si="325"/>
        <v>0</v>
      </c>
      <c r="BM420" s="111">
        <f t="shared" si="326"/>
        <v>0</v>
      </c>
      <c r="BN420" s="111">
        <f t="shared" si="327"/>
        <v>0</v>
      </c>
      <c r="BO420" s="111">
        <f t="shared" si="328"/>
        <v>-0.10000000000000142</v>
      </c>
      <c r="BR420" s="120">
        <v>3.8919601544190265E-3</v>
      </c>
      <c r="BS420" s="120">
        <v>3.4034152451859691E-3</v>
      </c>
      <c r="BT420" s="120">
        <v>3.3311757132401653E-3</v>
      </c>
      <c r="BU420" s="120">
        <v>3.4976253924254128E-3</v>
      </c>
      <c r="BV420" s="120">
        <v>3.7519378709553954E-3</v>
      </c>
      <c r="BW420" s="120">
        <v>4.0128090574838952E-3</v>
      </c>
      <c r="BX420" s="120">
        <v>4.5846281494328319E-3</v>
      </c>
      <c r="BY420" s="120">
        <v>5.7032513397655971E-3</v>
      </c>
      <c r="BZ420" s="120">
        <v>6.7628114345336336E-3</v>
      </c>
      <c r="CA420" s="120">
        <v>7.8502739893773748E-3</v>
      </c>
      <c r="CB420" s="120">
        <v>9.866993805379776E-3</v>
      </c>
      <c r="CC420" s="120">
        <v>1.3662370693699417E-2</v>
      </c>
      <c r="CD420" s="120">
        <v>2.2246701630038557E-2</v>
      </c>
      <c r="CF420" s="120">
        <v>0.14499899373691563</v>
      </c>
      <c r="CG420" s="120">
        <v>0.12099992541239188</v>
      </c>
      <c r="CH420" s="120">
        <v>0.11582113204469954</v>
      </c>
      <c r="CI420" s="120">
        <v>0.11899993054870348</v>
      </c>
      <c r="CJ420" s="120">
        <v>0.1249995103119748</v>
      </c>
      <c r="CK420" s="120">
        <v>0.13099986902735655</v>
      </c>
      <c r="CL420" s="120">
        <v>0.14399967841923997</v>
      </c>
      <c r="CM420" s="120">
        <v>0.16699908786258486</v>
      </c>
      <c r="CN420" s="120">
        <v>0.18599358759199497</v>
      </c>
      <c r="CO420" s="120">
        <v>0.20399758820197164</v>
      </c>
      <c r="CP420" s="120">
        <v>0.23199614512988675</v>
      </c>
      <c r="CQ420" s="120">
        <v>0.27297974113918572</v>
      </c>
      <c r="CR420" s="120">
        <v>0.33284308632018039</v>
      </c>
    </row>
    <row r="421" spans="38:96" ht="12.75" x14ac:dyDescent="0.2">
      <c r="AN421" t="s">
        <v>101</v>
      </c>
      <c r="AO421" s="152">
        <v>16.3</v>
      </c>
      <c r="AP421" s="152">
        <v>14.3</v>
      </c>
      <c r="AQ421" s="152">
        <v>13.9</v>
      </c>
      <c r="AR421" s="152">
        <v>14</v>
      </c>
      <c r="AS421" s="129">
        <f t="shared" si="316"/>
        <v>14.4</v>
      </c>
      <c r="AT421" s="152">
        <v>14.8</v>
      </c>
      <c r="AU421" s="152">
        <v>15.6</v>
      </c>
      <c r="AV421" s="152">
        <v>17</v>
      </c>
      <c r="AW421" s="152">
        <v>18.2</v>
      </c>
      <c r="AX421" s="152">
        <v>19.3</v>
      </c>
      <c r="AY421" s="152">
        <v>21.1</v>
      </c>
      <c r="AZ421" s="152">
        <v>23.9</v>
      </c>
      <c r="BA421" s="152">
        <v>28.1</v>
      </c>
      <c r="BC421" s="111">
        <f t="shared" si="329"/>
        <v>0</v>
      </c>
      <c r="BD421" s="111">
        <f t="shared" si="317"/>
        <v>0</v>
      </c>
      <c r="BE421" s="111">
        <f t="shared" si="318"/>
        <v>0</v>
      </c>
      <c r="BF421" s="111">
        <f t="shared" si="319"/>
        <v>0</v>
      </c>
      <c r="BG421" s="111">
        <f t="shared" si="320"/>
        <v>-4.9999999999998934E-2</v>
      </c>
      <c r="BH421" s="111">
        <f t="shared" si="321"/>
        <v>-9.9999999999999645E-2</v>
      </c>
      <c r="BI421" s="111">
        <f t="shared" si="322"/>
        <v>-9.9999999999999645E-2</v>
      </c>
      <c r="BJ421" s="111">
        <f t="shared" si="323"/>
        <v>0</v>
      </c>
      <c r="BK421" s="111">
        <f t="shared" si="324"/>
        <v>0</v>
      </c>
      <c r="BL421" s="111">
        <f t="shared" si="325"/>
        <v>0</v>
      </c>
      <c r="BM421" s="111">
        <f t="shared" si="326"/>
        <v>-9.9999999999997868E-2</v>
      </c>
      <c r="BN421" s="111">
        <f t="shared" si="327"/>
        <v>0</v>
      </c>
      <c r="BO421" s="111">
        <f t="shared" si="328"/>
        <v>0</v>
      </c>
      <c r="BR421" s="120">
        <v>5.6901334678716321E-3</v>
      </c>
      <c r="BS421" s="120">
        <v>5.7932282366642404E-3</v>
      </c>
      <c r="BT421" s="120">
        <v>5.8624088085104048E-3</v>
      </c>
      <c r="BU421" s="120">
        <v>5.7708580812826189E-3</v>
      </c>
      <c r="BV421" s="120">
        <v>5.7503630129408243E-3</v>
      </c>
      <c r="BW421" s="120">
        <v>5.7491399761108453E-3</v>
      </c>
      <c r="BX421" s="120">
        <v>5.7927470581764255E-3</v>
      </c>
      <c r="BY421" s="120">
        <v>6.1571970272584998E-3</v>
      </c>
      <c r="BZ421" s="120">
        <v>6.7077378571758824E-3</v>
      </c>
      <c r="CA421" s="120">
        <v>7.285087517832454E-3</v>
      </c>
      <c r="CB421" s="120">
        <v>8.5096852371380882E-3</v>
      </c>
      <c r="CC421" s="120">
        <v>1.0980082036697604E-2</v>
      </c>
      <c r="CD421" s="120">
        <v>1.6406720879947857E-2</v>
      </c>
      <c r="CF421" s="120">
        <v>0.2036996308740727</v>
      </c>
      <c r="CG421" s="120">
        <v>0.19806305619960535</v>
      </c>
      <c r="CH421" s="120">
        <v>0.19609645000213996</v>
      </c>
      <c r="CI421" s="120">
        <v>0.18887430377090386</v>
      </c>
      <c r="CJ421" s="120">
        <v>0.18430720488505442</v>
      </c>
      <c r="CK421" s="120">
        <v>0.18059559262361577</v>
      </c>
      <c r="CL421" s="120">
        <v>0.17513355613224826</v>
      </c>
      <c r="CM421" s="120">
        <v>0.17368007904954</v>
      </c>
      <c r="CN421" s="120">
        <v>0.17783588960529292</v>
      </c>
      <c r="CO421" s="120">
        <v>0.18252511237946967</v>
      </c>
      <c r="CP421" s="120">
        <v>0.19292453997682765</v>
      </c>
      <c r="CQ421" s="120">
        <v>0.21137831261476836</v>
      </c>
      <c r="CR421" s="120">
        <v>0.23591620363008836</v>
      </c>
    </row>
    <row r="422" spans="38:96" ht="12.75" x14ac:dyDescent="0.2">
      <c r="AN422" t="s">
        <v>102</v>
      </c>
      <c r="AO422" s="152">
        <v>18</v>
      </c>
      <c r="AP422" s="152">
        <v>16.100000000000001</v>
      </c>
      <c r="AQ422" s="152">
        <v>15.7</v>
      </c>
      <c r="AR422" s="152">
        <v>15.7</v>
      </c>
      <c r="AS422" s="129">
        <f t="shared" si="316"/>
        <v>15.95</v>
      </c>
      <c r="AT422" s="152">
        <v>16.2</v>
      </c>
      <c r="AU422" s="152">
        <v>16.7</v>
      </c>
      <c r="AV422" s="152">
        <v>17.600000000000001</v>
      </c>
      <c r="AW422" s="152">
        <v>18.399999999999999</v>
      </c>
      <c r="AX422" s="152">
        <v>19.2</v>
      </c>
      <c r="AY422" s="152">
        <v>20.7</v>
      </c>
      <c r="AZ422" s="152">
        <v>23.1</v>
      </c>
      <c r="BA422" s="152">
        <v>26.6</v>
      </c>
      <c r="BC422" s="111">
        <f t="shared" si="329"/>
        <v>0</v>
      </c>
      <c r="BD422" s="111">
        <f t="shared" si="317"/>
        <v>0</v>
      </c>
      <c r="BE422" s="111">
        <f t="shared" si="318"/>
        <v>0</v>
      </c>
      <c r="BF422" s="111">
        <f t="shared" si="319"/>
        <v>0</v>
      </c>
      <c r="BG422" s="111">
        <f t="shared" si="320"/>
        <v>0</v>
      </c>
      <c r="BH422" s="111">
        <f t="shared" si="321"/>
        <v>0</v>
      </c>
      <c r="BI422" s="111">
        <f t="shared" si="322"/>
        <v>0</v>
      </c>
      <c r="BJ422" s="111">
        <f t="shared" si="323"/>
        <v>-9.9999999999997868E-2</v>
      </c>
      <c r="BK422" s="111">
        <f t="shared" si="324"/>
        <v>-0.10000000000000142</v>
      </c>
      <c r="BL422" s="111">
        <f t="shared" si="325"/>
        <v>-0.10000000000000142</v>
      </c>
      <c r="BM422" s="111">
        <f t="shared" si="326"/>
        <v>-0.10000000000000142</v>
      </c>
      <c r="BN422" s="111">
        <f t="shared" si="327"/>
        <v>-9.9999999999997868E-2</v>
      </c>
      <c r="BO422" s="111">
        <f t="shared" si="328"/>
        <v>-9.9999999999997868E-2</v>
      </c>
      <c r="BR422" s="120">
        <v>6.4403877440584768E-3</v>
      </c>
      <c r="BS422" s="120">
        <v>6.2497375437691703E-3</v>
      </c>
      <c r="BT422" s="120">
        <v>6.2225673339345129E-3</v>
      </c>
      <c r="BU422" s="120">
        <v>6.2472511796116143E-3</v>
      </c>
      <c r="BV422" s="120">
        <v>6.279563119813294E-3</v>
      </c>
      <c r="BW422" s="120">
        <v>6.3117909602294969E-3</v>
      </c>
      <c r="BX422" s="120">
        <v>6.4241841591544955E-3</v>
      </c>
      <c r="BY422" s="120">
        <v>6.8155531269203408E-3</v>
      </c>
      <c r="BZ422" s="120">
        <v>7.3301005373560615E-3</v>
      </c>
      <c r="CA422" s="120">
        <v>7.9667599486203319E-3</v>
      </c>
      <c r="CB422" s="120">
        <v>9.4093815036363267E-3</v>
      </c>
      <c r="CC422" s="120">
        <v>1.2269371066088063E-2</v>
      </c>
      <c r="CD422" s="120">
        <v>1.8724662347587302E-2</v>
      </c>
      <c r="CF422" s="120">
        <v>0.22251243662734535</v>
      </c>
      <c r="CG422" s="120">
        <v>0.20588373141817257</v>
      </c>
      <c r="CH422" s="120">
        <v>0.20050175281585916</v>
      </c>
      <c r="CI422" s="120">
        <v>0.19715746104435811</v>
      </c>
      <c r="CJ422" s="120">
        <v>0.19422996599419473</v>
      </c>
      <c r="CK422" s="120">
        <v>0.19145862517657433</v>
      </c>
      <c r="CL422" s="120">
        <v>0.18778110462322811</v>
      </c>
      <c r="CM422" s="120">
        <v>0.18618358309503003</v>
      </c>
      <c r="CN422" s="120">
        <v>0.18844423116756501</v>
      </c>
      <c r="CO422" s="120">
        <v>0.19387002103519793</v>
      </c>
      <c r="CP422" s="120">
        <v>0.20787586642624239</v>
      </c>
      <c r="CQ422" s="120">
        <v>0.23150152182850675</v>
      </c>
      <c r="CR422" s="120">
        <v>0.26656368074025655</v>
      </c>
    </row>
    <row r="423" spans="38:96" ht="12.75" x14ac:dyDescent="0.2">
      <c r="AN423" t="s">
        <v>103</v>
      </c>
      <c r="AO423" s="152">
        <v>19.2</v>
      </c>
      <c r="AP423" s="152">
        <v>17.5</v>
      </c>
      <c r="AQ423" s="152">
        <v>17</v>
      </c>
      <c r="AR423" s="152">
        <v>16.899999999999999</v>
      </c>
      <c r="AS423" s="129">
        <f t="shared" si="316"/>
        <v>17.049999999999997</v>
      </c>
      <c r="AT423" s="152">
        <v>17.2</v>
      </c>
      <c r="AU423" s="152">
        <v>17.399999999999999</v>
      </c>
      <c r="AV423" s="152">
        <v>17.899999999999999</v>
      </c>
      <c r="AW423" s="152">
        <v>18.5</v>
      </c>
      <c r="AX423" s="152">
        <v>19.100000000000001</v>
      </c>
      <c r="AY423" s="152">
        <v>20.3</v>
      </c>
      <c r="AZ423" s="152">
        <v>22.5</v>
      </c>
      <c r="BA423" s="152">
        <v>25.8</v>
      </c>
      <c r="BC423" s="111">
        <f t="shared" si="329"/>
        <v>-0.10000000000000142</v>
      </c>
      <c r="BD423" s="111">
        <f t="shared" si="317"/>
        <v>0</v>
      </c>
      <c r="BE423" s="111">
        <f t="shared" si="318"/>
        <v>-0.10000000000000142</v>
      </c>
      <c r="BF423" s="111">
        <f t="shared" si="319"/>
        <v>-0.10000000000000142</v>
      </c>
      <c r="BG423" s="111">
        <f t="shared" si="320"/>
        <v>-5.0000000000004263E-2</v>
      </c>
      <c r="BH423" s="111">
        <f t="shared" si="321"/>
        <v>0</v>
      </c>
      <c r="BI423" s="111">
        <f t="shared" si="322"/>
        <v>-0.10000000000000142</v>
      </c>
      <c r="BJ423" s="111">
        <f t="shared" si="323"/>
        <v>-0.10000000000000142</v>
      </c>
      <c r="BK423" s="111">
        <f t="shared" si="324"/>
        <v>-0.10000000000000142</v>
      </c>
      <c r="BL423" s="111">
        <f t="shared" si="325"/>
        <v>-9.9999999999997868E-2</v>
      </c>
      <c r="BM423" s="111">
        <f t="shared" si="326"/>
        <v>-0.19999999999999929</v>
      </c>
      <c r="BN423" s="111">
        <f t="shared" si="327"/>
        <v>-0.10000000000000142</v>
      </c>
      <c r="BO423" s="111">
        <f t="shared" si="328"/>
        <v>-9.9999999999997868E-2</v>
      </c>
      <c r="BR423" s="120">
        <v>6.9050498726543827E-3</v>
      </c>
      <c r="BS423" s="120">
        <v>7.0050751776796604E-3</v>
      </c>
      <c r="BT423" s="120">
        <v>6.8603112317750653E-3</v>
      </c>
      <c r="BU423" s="120">
        <v>6.8098594784742738E-3</v>
      </c>
      <c r="BV423" s="120">
        <v>6.838407135402254E-3</v>
      </c>
      <c r="BW423" s="120">
        <v>6.8649093036826179E-3</v>
      </c>
      <c r="BX423" s="120">
        <v>6.7784243651299878E-3</v>
      </c>
      <c r="BY423" s="120">
        <v>6.9833691146250088E-3</v>
      </c>
      <c r="BZ423" s="120">
        <v>7.5002313436697684E-3</v>
      </c>
      <c r="CA423" s="120">
        <v>8.0367625708189002E-3</v>
      </c>
      <c r="CB423" s="120">
        <v>9.2236091384060321E-3</v>
      </c>
      <c r="CC423" s="120">
        <v>1.1943795488655424E-2</v>
      </c>
      <c r="CD423" s="120">
        <v>1.8215979625276928E-2</v>
      </c>
      <c r="CF423" s="120">
        <v>0.22959555637453818</v>
      </c>
      <c r="CG423" s="120">
        <v>0.22262440838341085</v>
      </c>
      <c r="CH423" s="120">
        <v>0.21321683997358462</v>
      </c>
      <c r="CI423" s="120">
        <v>0.2071942407540911</v>
      </c>
      <c r="CJ423" s="120">
        <v>0.20390204574031748</v>
      </c>
      <c r="CK423" s="120">
        <v>0.20073638115285913</v>
      </c>
      <c r="CL423" s="120">
        <v>0.19085892427990159</v>
      </c>
      <c r="CM423" s="120">
        <v>0.18371261757854424</v>
      </c>
      <c r="CN423" s="120">
        <v>0.18578940888783063</v>
      </c>
      <c r="CO423" s="120">
        <v>0.18844827596327743</v>
      </c>
      <c r="CP423" s="120">
        <v>0.19628802734017275</v>
      </c>
      <c r="CQ423" s="120">
        <v>0.217172520770085</v>
      </c>
      <c r="CR423" s="120">
        <v>0.2502812422378054</v>
      </c>
    </row>
    <row r="424" spans="38:96" ht="12.75" x14ac:dyDescent="0.2">
      <c r="AN424" t="s">
        <v>104</v>
      </c>
      <c r="AO424" s="152">
        <v>20.100000000000001</v>
      </c>
      <c r="AP424" s="152">
        <v>18.399999999999999</v>
      </c>
      <c r="AQ424" s="152">
        <v>18</v>
      </c>
      <c r="AR424" s="152">
        <v>17.8</v>
      </c>
      <c r="AS424" s="129">
        <f t="shared" si="316"/>
        <v>17.8</v>
      </c>
      <c r="AT424" s="152">
        <v>17.8</v>
      </c>
      <c r="AU424" s="152">
        <v>17.899999999999999</v>
      </c>
      <c r="AV424" s="152">
        <v>18</v>
      </c>
      <c r="AW424" s="152">
        <v>18.3</v>
      </c>
      <c r="AX424" s="152">
        <v>18.7</v>
      </c>
      <c r="AY424" s="152">
        <v>19.600000000000001</v>
      </c>
      <c r="AZ424" s="152">
        <v>21.4</v>
      </c>
      <c r="BA424" s="152">
        <v>24.3</v>
      </c>
      <c r="BC424" s="111">
        <f t="shared" si="329"/>
        <v>-9.9999999999997868E-2</v>
      </c>
      <c r="BD424" s="111">
        <f t="shared" si="317"/>
        <v>-0.10000000000000142</v>
      </c>
      <c r="BE424" s="111">
        <f t="shared" si="318"/>
        <v>0</v>
      </c>
      <c r="BF424" s="111">
        <f t="shared" si="319"/>
        <v>0</v>
      </c>
      <c r="BG424" s="111">
        <f t="shared" si="320"/>
        <v>-5.0000000000000711E-2</v>
      </c>
      <c r="BH424" s="111">
        <f t="shared" si="321"/>
        <v>-9.9999999999997868E-2</v>
      </c>
      <c r="BI424" s="111">
        <f t="shared" si="322"/>
        <v>-0.10000000000000142</v>
      </c>
      <c r="BJ424" s="111">
        <f t="shared" si="323"/>
        <v>-0.10000000000000142</v>
      </c>
      <c r="BK424" s="111">
        <f t="shared" si="324"/>
        <v>-9.9999999999997868E-2</v>
      </c>
      <c r="BL424" s="111">
        <f t="shared" si="325"/>
        <v>-0.10000000000000142</v>
      </c>
      <c r="BM424" s="111">
        <f t="shared" si="326"/>
        <v>-9.9999999999997868E-2</v>
      </c>
      <c r="BN424" s="111">
        <f t="shared" si="327"/>
        <v>-0.10000000000000142</v>
      </c>
      <c r="BO424" s="111">
        <f t="shared" si="328"/>
        <v>-9.9999999999997868E-2</v>
      </c>
      <c r="BR424" s="120">
        <v>7.3581557534486107E-3</v>
      </c>
      <c r="BS424" s="120">
        <v>7.1046078380685145E-3</v>
      </c>
      <c r="BT424" s="120">
        <v>7.3256923297382228E-3</v>
      </c>
      <c r="BU424" s="120">
        <v>7.2474326725057662E-3</v>
      </c>
      <c r="BV424" s="120">
        <v>7.1274734012130693E-3</v>
      </c>
      <c r="BW424" s="120">
        <v>7.0057708050563824E-3</v>
      </c>
      <c r="BX424" s="120">
        <v>7.1753045050230524E-3</v>
      </c>
      <c r="BY424" s="120">
        <v>7.1572833258120375E-3</v>
      </c>
      <c r="BZ424" s="120">
        <v>7.3857708523728961E-3</v>
      </c>
      <c r="CA424" s="120">
        <v>7.8251772280192138E-3</v>
      </c>
      <c r="CB424" s="120">
        <v>8.8817464776344002E-3</v>
      </c>
      <c r="CC424" s="120">
        <v>1.1170466671135047E-2</v>
      </c>
      <c r="CD424" s="120">
        <v>1.6791892104331265E-2</v>
      </c>
      <c r="CF424" s="120">
        <v>0.23611371193666703</v>
      </c>
      <c r="CG424" s="120">
        <v>0.2174248711732526</v>
      </c>
      <c r="CH424" s="120">
        <v>0.21970454146105478</v>
      </c>
      <c r="CI424" s="120">
        <v>0.21283504350597984</v>
      </c>
      <c r="CJ424" s="120">
        <v>0.20504517179890797</v>
      </c>
      <c r="CK424" s="120">
        <v>0.19757104972345488</v>
      </c>
      <c r="CL424" s="120">
        <v>0.19520654547575722</v>
      </c>
      <c r="CM424" s="120">
        <v>0.18197276369146301</v>
      </c>
      <c r="CN424" s="120">
        <v>0.17676728364082367</v>
      </c>
      <c r="CO424" s="120">
        <v>0.17739108931476683</v>
      </c>
      <c r="CP424" s="120">
        <v>0.18300204820809673</v>
      </c>
      <c r="CQ424" s="120">
        <v>0.19689355360132382</v>
      </c>
      <c r="CR424" s="120">
        <v>0.2241922235046542</v>
      </c>
    </row>
    <row r="425" spans="38:96" ht="12.75" x14ac:dyDescent="0.2">
      <c r="AN425" t="s">
        <v>105</v>
      </c>
      <c r="AO425" s="152">
        <v>20.8</v>
      </c>
      <c r="AP425" s="152">
        <v>19.100000000000001</v>
      </c>
      <c r="AQ425" s="152">
        <v>18.600000000000001</v>
      </c>
      <c r="AR425" s="152">
        <v>18.399999999999999</v>
      </c>
      <c r="AS425" s="129">
        <f t="shared" si="316"/>
        <v>18.350000000000001</v>
      </c>
      <c r="AT425" s="152">
        <v>18.3</v>
      </c>
      <c r="AU425" s="152">
        <v>18.2</v>
      </c>
      <c r="AV425" s="152">
        <v>18.100000000000001</v>
      </c>
      <c r="AW425" s="152">
        <v>18.100000000000001</v>
      </c>
      <c r="AX425" s="152">
        <v>18.2</v>
      </c>
      <c r="AY425" s="152">
        <v>18.8</v>
      </c>
      <c r="AZ425" s="152">
        <v>20.2</v>
      </c>
      <c r="BA425" s="152">
        <v>22.7</v>
      </c>
      <c r="BC425" s="111">
        <f t="shared" si="329"/>
        <v>0</v>
      </c>
      <c r="BD425" s="111">
        <f t="shared" si="317"/>
        <v>0</v>
      </c>
      <c r="BE425" s="111">
        <f t="shared" si="318"/>
        <v>-9.9999999999997868E-2</v>
      </c>
      <c r="BF425" s="111">
        <f t="shared" si="319"/>
        <v>0</v>
      </c>
      <c r="BG425" s="111">
        <f t="shared" si="320"/>
        <v>0</v>
      </c>
      <c r="BH425" s="111">
        <f t="shared" si="321"/>
        <v>0</v>
      </c>
      <c r="BI425" s="111">
        <f t="shared" si="322"/>
        <v>-0.10000000000000142</v>
      </c>
      <c r="BJ425" s="111">
        <f t="shared" si="323"/>
        <v>-9.9999999999997868E-2</v>
      </c>
      <c r="BK425" s="111">
        <f t="shared" si="324"/>
        <v>-9.9999999999997868E-2</v>
      </c>
      <c r="BL425" s="111">
        <f t="shared" si="325"/>
        <v>-0.19999999999999929</v>
      </c>
      <c r="BM425" s="111">
        <f t="shared" si="326"/>
        <v>-9.9999999999997868E-2</v>
      </c>
      <c r="BN425" s="111">
        <f t="shared" si="327"/>
        <v>-0.10000000000000142</v>
      </c>
      <c r="BO425" s="111">
        <f t="shared" si="328"/>
        <v>-0.19999999999999929</v>
      </c>
      <c r="BR425" s="120">
        <v>7.7428228240540636E-3</v>
      </c>
      <c r="BS425" s="120">
        <v>7.5950719510806518E-3</v>
      </c>
      <c r="BT425" s="120">
        <v>7.3057328537490347E-3</v>
      </c>
      <c r="BU425" s="120">
        <v>7.40947146195784E-3</v>
      </c>
      <c r="BV425" s="120">
        <v>7.4766845086822169E-3</v>
      </c>
      <c r="BW425" s="120">
        <v>7.5359148594603062E-3</v>
      </c>
      <c r="BX425" s="120">
        <v>7.3276360425544376E-3</v>
      </c>
      <c r="BY425" s="120">
        <v>7.5067048494222013E-3</v>
      </c>
      <c r="BZ425" s="120">
        <v>7.5710362671831365E-3</v>
      </c>
      <c r="CA425" s="120">
        <v>7.6854251628266481E-3</v>
      </c>
      <c r="CB425" s="120">
        <v>8.536968877917727E-3</v>
      </c>
      <c r="CC425" s="120">
        <v>1.0560250985842182E-2</v>
      </c>
      <c r="CD425" s="120">
        <v>1.5698697273017648E-2</v>
      </c>
      <c r="CF425" s="120">
        <v>0.24018169386529836</v>
      </c>
      <c r="CG425" s="120">
        <v>0.22505800709194396</v>
      </c>
      <c r="CH425" s="120">
        <v>0.21148614802833809</v>
      </c>
      <c r="CI425" s="120">
        <v>0.21025496941853225</v>
      </c>
      <c r="CJ425" s="120">
        <v>0.20809836406719057</v>
      </c>
      <c r="CK425" s="120">
        <v>0.20585191692001123</v>
      </c>
      <c r="CL425" s="120">
        <v>0.19273067494141022</v>
      </c>
      <c r="CM425" s="120">
        <v>0.18479859775178881</v>
      </c>
      <c r="CN425" s="120">
        <v>0.17551999097474538</v>
      </c>
      <c r="CO425" s="120">
        <v>0.1686772819353316</v>
      </c>
      <c r="CP425" s="120">
        <v>0.17035719882191067</v>
      </c>
      <c r="CQ425" s="120">
        <v>0.18053764197414479</v>
      </c>
      <c r="CR425" s="120">
        <v>0.20376411459840835</v>
      </c>
    </row>
    <row r="426" spans="38:96" ht="12.75" x14ac:dyDescent="0.2">
      <c r="AN426" t="s">
        <v>106</v>
      </c>
      <c r="AO426" s="152">
        <v>21.2</v>
      </c>
      <c r="AP426" s="152">
        <v>19.600000000000001</v>
      </c>
      <c r="AQ426" s="152">
        <v>19.100000000000001</v>
      </c>
      <c r="AR426" s="152">
        <v>18.8</v>
      </c>
      <c r="AS426" s="129">
        <f t="shared" si="316"/>
        <v>18.700000000000003</v>
      </c>
      <c r="AT426" s="152">
        <v>18.600000000000001</v>
      </c>
      <c r="AU426" s="152">
        <v>18.399999999999999</v>
      </c>
      <c r="AV426" s="152">
        <v>18.100000000000001</v>
      </c>
      <c r="AW426" s="152">
        <v>17.899999999999999</v>
      </c>
      <c r="AX426" s="152">
        <v>17.899999999999999</v>
      </c>
      <c r="AY426" s="152">
        <v>18.2</v>
      </c>
      <c r="AZ426" s="152">
        <v>19.3</v>
      </c>
      <c r="BA426" s="152">
        <v>21.5</v>
      </c>
      <c r="BC426" s="111">
        <f t="shared" si="329"/>
        <v>0</v>
      </c>
      <c r="BD426" s="111">
        <f t="shared" si="317"/>
        <v>0</v>
      </c>
      <c r="BE426" s="111">
        <f t="shared" si="318"/>
        <v>0</v>
      </c>
      <c r="BF426" s="111">
        <f t="shared" si="319"/>
        <v>0</v>
      </c>
      <c r="BG426" s="111">
        <f t="shared" si="320"/>
        <v>0</v>
      </c>
      <c r="BH426" s="111">
        <f t="shared" si="321"/>
        <v>0</v>
      </c>
      <c r="BI426" s="111">
        <f t="shared" si="322"/>
        <v>0</v>
      </c>
      <c r="BJ426" s="111">
        <f t="shared" si="323"/>
        <v>0</v>
      </c>
      <c r="BK426" s="111">
        <f t="shared" si="324"/>
        <v>-0.10000000000000142</v>
      </c>
      <c r="BL426" s="111">
        <f t="shared" si="325"/>
        <v>-0.10000000000000142</v>
      </c>
      <c r="BM426" s="111">
        <f t="shared" si="326"/>
        <v>-0.10000000000000142</v>
      </c>
      <c r="BN426" s="111">
        <f t="shared" si="327"/>
        <v>-9.9999999999997868E-2</v>
      </c>
      <c r="BO426" s="111">
        <f t="shared" si="328"/>
        <v>-0.19999999999999929</v>
      </c>
      <c r="BR426" s="120">
        <v>7.5880398233287788E-3</v>
      </c>
      <c r="BS426" s="120">
        <v>7.6408068962864227E-3</v>
      </c>
      <c r="BT426" s="120">
        <v>7.7206217075738246E-3</v>
      </c>
      <c r="BU426" s="120">
        <v>7.4946598120539899E-3</v>
      </c>
      <c r="BV426" s="120">
        <v>7.4722887573979296E-3</v>
      </c>
      <c r="BW426" s="120">
        <v>7.4440529958408079E-3</v>
      </c>
      <c r="BX426" s="120">
        <v>7.489768912863291E-3</v>
      </c>
      <c r="BY426" s="120">
        <v>7.4459986784958868E-3</v>
      </c>
      <c r="BZ426" s="120">
        <v>7.5369614666082139E-3</v>
      </c>
      <c r="CA426" s="120">
        <v>7.9312406343732753E-3</v>
      </c>
      <c r="CB426" s="120">
        <v>8.5265182071345424E-3</v>
      </c>
      <c r="CC426" s="120">
        <v>1.0398200500501234E-2</v>
      </c>
      <c r="CD426" s="120">
        <v>1.529684457105936E-2</v>
      </c>
      <c r="CF426" s="120">
        <v>0.23034316458513709</v>
      </c>
      <c r="CG426" s="120">
        <v>0.22177063829094248</v>
      </c>
      <c r="CH426" s="120">
        <v>0.21955635129793619</v>
      </c>
      <c r="CI426" s="120">
        <v>0.20853478633779823</v>
      </c>
      <c r="CJ426" s="120">
        <v>0.2037904832179743</v>
      </c>
      <c r="CK426" s="120">
        <v>0.19912267223352437</v>
      </c>
      <c r="CL426" s="120">
        <v>0.1932814011196517</v>
      </c>
      <c r="CM426" s="120">
        <v>0.1797040539746402</v>
      </c>
      <c r="CN426" s="120">
        <v>0.17138125359727691</v>
      </c>
      <c r="CO426" s="120">
        <v>0.17101363987834345</v>
      </c>
      <c r="CP426" s="120">
        <v>0.16718203285853583</v>
      </c>
      <c r="CQ426" s="120">
        <v>0.17479454575640252</v>
      </c>
      <c r="CR426" s="120">
        <v>0.19556781028786516</v>
      </c>
    </row>
    <row r="427" spans="38:96" ht="12.75" x14ac:dyDescent="0.2">
      <c r="AN427" t="s">
        <v>79</v>
      </c>
      <c r="AO427" s="152">
        <v>21.4</v>
      </c>
      <c r="AP427" s="152">
        <v>19.8</v>
      </c>
      <c r="AQ427" s="152">
        <v>19.3</v>
      </c>
      <c r="AR427" s="152">
        <v>19</v>
      </c>
      <c r="AS427" s="129">
        <f t="shared" si="316"/>
        <v>18.850000000000001</v>
      </c>
      <c r="AT427" s="152">
        <v>18.7</v>
      </c>
      <c r="AU427" s="152">
        <v>18.399999999999999</v>
      </c>
      <c r="AV427" s="152">
        <v>18</v>
      </c>
      <c r="AW427" s="152">
        <v>17.7</v>
      </c>
      <c r="AX427" s="152">
        <v>17.5</v>
      </c>
      <c r="AY427" s="152">
        <v>17.7</v>
      </c>
      <c r="AZ427" s="152">
        <v>18.5</v>
      </c>
      <c r="BA427" s="152">
        <v>20.399999999999999</v>
      </c>
      <c r="BC427" s="111">
        <f t="shared" si="329"/>
        <v>0</v>
      </c>
      <c r="BD427" s="111">
        <f t="shared" si="317"/>
        <v>-9.9999999999997868E-2</v>
      </c>
      <c r="BE427" s="111">
        <f t="shared" si="318"/>
        <v>-9.9999999999997868E-2</v>
      </c>
      <c r="BF427" s="111">
        <f t="shared" si="319"/>
        <v>-0.10000000000000142</v>
      </c>
      <c r="BG427" s="111">
        <f t="shared" si="320"/>
        <v>-0.10000000000000142</v>
      </c>
      <c r="BH427" s="111">
        <f t="shared" si="321"/>
        <v>-0.10000000000000142</v>
      </c>
      <c r="BI427" s="111">
        <f t="shared" si="322"/>
        <v>-0.10000000000000142</v>
      </c>
      <c r="BJ427" s="111">
        <f t="shared" si="323"/>
        <v>-0.10000000000000142</v>
      </c>
      <c r="BK427" s="111">
        <f t="shared" si="324"/>
        <v>-0.10000000000000142</v>
      </c>
      <c r="BL427" s="111">
        <f t="shared" si="325"/>
        <v>-0.19999999999999929</v>
      </c>
      <c r="BM427" s="111">
        <f t="shared" si="326"/>
        <v>-0.10000000000000142</v>
      </c>
      <c r="BN427" s="111">
        <f t="shared" si="327"/>
        <v>-0.10000000000000142</v>
      </c>
      <c r="BO427" s="111">
        <f t="shared" si="328"/>
        <v>-0.10000000000000142</v>
      </c>
      <c r="BR427" s="120">
        <v>7.4902657198124695E-3</v>
      </c>
      <c r="BS427" s="120">
        <v>7.2137137587560433E-3</v>
      </c>
      <c r="BT427" s="120">
        <v>7.1574677650817417E-3</v>
      </c>
      <c r="BU427" s="120">
        <v>7.2816142311107057E-3</v>
      </c>
      <c r="BV427" s="120">
        <v>7.2547983003402542E-3</v>
      </c>
      <c r="BW427" s="120">
        <v>7.2226046142270248E-3</v>
      </c>
      <c r="BX427" s="120">
        <v>7.1136517900740708E-3</v>
      </c>
      <c r="BY427" s="120">
        <v>7.3050848408124161E-3</v>
      </c>
      <c r="BZ427" s="120">
        <v>7.4937485407306067E-3</v>
      </c>
      <c r="CA427" s="120">
        <v>7.4086141876584391E-3</v>
      </c>
      <c r="CB427" s="120">
        <v>8.3074719528810383E-3</v>
      </c>
      <c r="CC427" s="120">
        <v>9.8341922597772365E-3</v>
      </c>
      <c r="CD427" s="120">
        <v>1.4173009985276343E-2</v>
      </c>
      <c r="CF427" s="120">
        <v>0.22421604887890922</v>
      </c>
      <c r="CG427" s="120">
        <v>0.20610126686132019</v>
      </c>
      <c r="CH427" s="120">
        <v>0.20010244112353631</v>
      </c>
      <c r="CI427" s="120">
        <v>0.19964549842260776</v>
      </c>
      <c r="CJ427" s="120">
        <v>0.19501701352048412</v>
      </c>
      <c r="CK427" s="120">
        <v>0.19047931506676011</v>
      </c>
      <c r="CL427" s="120">
        <v>0.18081487001778723</v>
      </c>
      <c r="CM427" s="120">
        <v>0.17391892894403133</v>
      </c>
      <c r="CN427" s="120">
        <v>0.16818479690956725</v>
      </c>
      <c r="CO427" s="120">
        <v>0.15740024970919145</v>
      </c>
      <c r="CP427" s="120">
        <v>0.16074472976346668</v>
      </c>
      <c r="CQ427" s="120">
        <v>0.16314687577377371</v>
      </c>
      <c r="CR427" s="120">
        <v>0.17884791443524245</v>
      </c>
    </row>
    <row r="428" spans="38:96" ht="12.75" x14ac:dyDescent="0.2">
      <c r="AN428" t="s">
        <v>159</v>
      </c>
      <c r="AO428" s="152">
        <v>21.4</v>
      </c>
      <c r="AP428" s="152">
        <v>19.899999999999999</v>
      </c>
      <c r="AQ428" s="152">
        <v>19.5</v>
      </c>
      <c r="AR428" s="152">
        <v>19.100000000000001</v>
      </c>
      <c r="AS428" s="129">
        <f t="shared" si="316"/>
        <v>18.899999999999999</v>
      </c>
      <c r="AT428" s="152">
        <v>18.7</v>
      </c>
      <c r="AU428" s="152">
        <v>18.399999999999999</v>
      </c>
      <c r="AV428" s="152">
        <v>17.7</v>
      </c>
      <c r="AW428" s="152">
        <v>17.3</v>
      </c>
      <c r="AX428" s="152">
        <v>17</v>
      </c>
      <c r="AY428" s="152">
        <v>16.7</v>
      </c>
      <c r="AZ428" s="152">
        <v>17</v>
      </c>
      <c r="BA428" s="152">
        <v>18.3</v>
      </c>
      <c r="BC428" s="111">
        <f t="shared" si="329"/>
        <v>0</v>
      </c>
      <c r="BD428" s="111">
        <f t="shared" si="317"/>
        <v>-0.10000000000000142</v>
      </c>
      <c r="BE428" s="111">
        <f t="shared" si="318"/>
        <v>0</v>
      </c>
      <c r="BF428" s="111">
        <f t="shared" si="319"/>
        <v>-9.9999999999997868E-2</v>
      </c>
      <c r="BG428" s="111">
        <f t="shared" si="320"/>
        <v>-0.10000000000000142</v>
      </c>
      <c r="BH428" s="111">
        <f t="shared" si="321"/>
        <v>-0.10000000000000142</v>
      </c>
      <c r="BI428" s="111">
        <f t="shared" si="322"/>
        <v>0</v>
      </c>
      <c r="BJ428" s="111">
        <f t="shared" si="323"/>
        <v>-0.10000000000000142</v>
      </c>
      <c r="BK428" s="111">
        <f t="shared" si="324"/>
        <v>0</v>
      </c>
      <c r="BL428" s="111">
        <f t="shared" si="325"/>
        <v>-0.10000000000000142</v>
      </c>
      <c r="BM428" s="111">
        <f t="shared" si="326"/>
        <v>-0.10000000000000142</v>
      </c>
      <c r="BN428" s="111">
        <f t="shared" si="327"/>
        <v>-0.10000000000000142</v>
      </c>
      <c r="BO428" s="111">
        <f t="shared" si="328"/>
        <v>-9.9999999999997868E-2</v>
      </c>
      <c r="BR428" s="120">
        <v>7.1187120852257485E-3</v>
      </c>
      <c r="BS428" s="120">
        <v>7.1584620987092369E-3</v>
      </c>
      <c r="BT428" s="120">
        <v>7.3878289762785675E-3</v>
      </c>
      <c r="BU428" s="120">
        <v>7.1291019351923755E-3</v>
      </c>
      <c r="BV428" s="120">
        <v>7.1502433832650444E-3</v>
      </c>
      <c r="BW428" s="120">
        <v>7.1662343528501151E-3</v>
      </c>
      <c r="BX428" s="120">
        <v>7.4541094454450025E-3</v>
      </c>
      <c r="BY428" s="120">
        <v>7.1297257347781072E-3</v>
      </c>
      <c r="BZ428" s="120">
        <v>7.324564739507866E-3</v>
      </c>
      <c r="CA428" s="120">
        <v>7.7140862132571474E-3</v>
      </c>
      <c r="CB428" s="120">
        <v>7.5765788091556978E-3</v>
      </c>
      <c r="CC428" s="120">
        <v>8.7061744773847798E-3</v>
      </c>
      <c r="CD428" s="120">
        <v>1.1918805728593709E-2</v>
      </c>
      <c r="CF428" s="120">
        <v>0.20801000147833881</v>
      </c>
      <c r="CG428" s="120">
        <v>0.20015397028681925</v>
      </c>
      <c r="CH428" s="120">
        <v>0.20258171513289236</v>
      </c>
      <c r="CI428" s="120">
        <v>0.1911911256336557</v>
      </c>
      <c r="CJ428" s="120">
        <v>0.18805734200832314</v>
      </c>
      <c r="CK428" s="120">
        <v>0.18495356641158361</v>
      </c>
      <c r="CL428" s="120">
        <v>0.18587398025926311</v>
      </c>
      <c r="CM428" s="120">
        <v>0.16609904369085218</v>
      </c>
      <c r="CN428" s="120">
        <v>0.16091718279812628</v>
      </c>
      <c r="CO428" s="120">
        <v>0.16085655791466863</v>
      </c>
      <c r="CP428" s="120">
        <v>0.14340586698734645</v>
      </c>
      <c r="CQ428" s="120">
        <v>0.14133589322051285</v>
      </c>
      <c r="CR428" s="120">
        <v>0.14720628590913895</v>
      </c>
    </row>
    <row r="429" spans="38:96" ht="12.75" x14ac:dyDescent="0.2">
      <c r="AN429" t="s">
        <v>107</v>
      </c>
      <c r="AO429" s="152">
        <v>21</v>
      </c>
      <c r="AP429" s="152">
        <v>19.8</v>
      </c>
      <c r="AQ429" s="152">
        <v>19.3</v>
      </c>
      <c r="AR429" s="152">
        <v>19</v>
      </c>
      <c r="AS429" s="129">
        <f t="shared" si="316"/>
        <v>18.75</v>
      </c>
      <c r="AT429" s="152">
        <v>18.5</v>
      </c>
      <c r="AU429" s="152">
        <v>18.100000000000001</v>
      </c>
      <c r="AV429" s="152">
        <v>17.399999999999999</v>
      </c>
      <c r="AW429" s="152">
        <v>16.8</v>
      </c>
      <c r="AX429" s="152">
        <v>16.399999999999999</v>
      </c>
      <c r="AY429" s="152">
        <v>15.9</v>
      </c>
      <c r="AZ429" s="152">
        <v>15.6</v>
      </c>
      <c r="BA429" s="152">
        <v>16.100000000000001</v>
      </c>
      <c r="BC429" s="111">
        <f t="shared" si="329"/>
        <v>-0.10000000000000142</v>
      </c>
      <c r="BD429" s="111">
        <f t="shared" si="317"/>
        <v>0</v>
      </c>
      <c r="BE429" s="111">
        <f t="shared" si="318"/>
        <v>-9.9999999999997868E-2</v>
      </c>
      <c r="BF429" s="111">
        <f t="shared" si="319"/>
        <v>-0.10000000000000142</v>
      </c>
      <c r="BG429" s="111">
        <f t="shared" si="320"/>
        <v>-0.10000000000000142</v>
      </c>
      <c r="BH429" s="111">
        <f t="shared" si="321"/>
        <v>-0.10000000000000142</v>
      </c>
      <c r="BI429" s="111">
        <f t="shared" si="322"/>
        <v>-9.9999999999997868E-2</v>
      </c>
      <c r="BJ429" s="111">
        <f t="shared" si="323"/>
        <v>0</v>
      </c>
      <c r="BK429" s="111">
        <f t="shared" si="324"/>
        <v>-9.9999999999997868E-2</v>
      </c>
      <c r="BL429" s="111">
        <f t="shared" si="325"/>
        <v>-0.10000000000000142</v>
      </c>
      <c r="BM429" s="111">
        <f t="shared" si="326"/>
        <v>-9.9999999999999645E-2</v>
      </c>
      <c r="BN429" s="111">
        <f t="shared" si="327"/>
        <v>-9.9999999999999645E-2</v>
      </c>
      <c r="BO429" s="111">
        <f t="shared" si="328"/>
        <v>-9.9999999999997868E-2</v>
      </c>
      <c r="BR429" s="120">
        <v>6.6127171780780798E-3</v>
      </c>
      <c r="BS429" s="120">
        <v>6.8442138518819279E-3</v>
      </c>
      <c r="BT429" s="120">
        <v>6.4690088690686027E-3</v>
      </c>
      <c r="BU429" s="120">
        <v>6.8609598391426727E-3</v>
      </c>
      <c r="BV429" s="120">
        <v>6.8372293482942765E-3</v>
      </c>
      <c r="BW429" s="120">
        <v>6.8075236918028323E-3</v>
      </c>
      <c r="BX429" s="120">
        <v>6.6094379795572141E-3</v>
      </c>
      <c r="BY429" s="120">
        <v>7.1739378163234073E-3</v>
      </c>
      <c r="BZ429" s="120">
        <v>7.0466864949785797E-3</v>
      </c>
      <c r="CA429" s="120">
        <v>7.0377662026008536E-3</v>
      </c>
      <c r="CB429" s="120">
        <v>7.7891968173325055E-3</v>
      </c>
      <c r="CC429" s="120">
        <v>8.3258489201218731E-3</v>
      </c>
      <c r="CD429" s="120">
        <v>1.0413103634873733E-2</v>
      </c>
      <c r="CF429" s="120">
        <v>0.19385861038379867</v>
      </c>
      <c r="CG429" s="120">
        <v>0.19204055949763579</v>
      </c>
      <c r="CH429" s="120">
        <v>0.17725718131423918</v>
      </c>
      <c r="CI429" s="120">
        <v>0.18468653471867819</v>
      </c>
      <c r="CJ429" s="120">
        <v>0.18042980829326727</v>
      </c>
      <c r="CK429" s="120">
        <v>0.17622776027753936</v>
      </c>
      <c r="CL429" s="120">
        <v>0.16479741316253402</v>
      </c>
      <c r="CM429" s="120">
        <v>0.16787526133003511</v>
      </c>
      <c r="CN429" s="120">
        <v>0.15526936872385466</v>
      </c>
      <c r="CO429" s="120">
        <v>0.14683231305123748</v>
      </c>
      <c r="CP429" s="120">
        <v>0.14810126043410027</v>
      </c>
      <c r="CQ429" s="120">
        <v>0.1355900957293753</v>
      </c>
      <c r="CR429" s="120">
        <v>0.12891574101658732</v>
      </c>
    </row>
    <row r="430" spans="38:96" ht="12.75" x14ac:dyDescent="0.2">
      <c r="AN430" t="s">
        <v>108</v>
      </c>
      <c r="AO430" s="152">
        <v>20.5</v>
      </c>
      <c r="AP430" s="152">
        <v>19.5</v>
      </c>
      <c r="AQ430" s="152">
        <v>19.100000000000001</v>
      </c>
      <c r="AR430" s="152">
        <v>18.7</v>
      </c>
      <c r="AS430" s="129">
        <f t="shared" si="316"/>
        <v>18.45</v>
      </c>
      <c r="AT430" s="152">
        <v>18.2</v>
      </c>
      <c r="AU430" s="152">
        <v>17.8</v>
      </c>
      <c r="AV430" s="152">
        <v>17</v>
      </c>
      <c r="AW430" s="152">
        <v>16.399999999999999</v>
      </c>
      <c r="AX430" s="152">
        <v>15.9</v>
      </c>
      <c r="AY430" s="152">
        <v>15.2</v>
      </c>
      <c r="AZ430" s="152">
        <v>14.6</v>
      </c>
      <c r="BA430" s="152">
        <v>14.4</v>
      </c>
      <c r="BC430" s="111">
        <f t="shared" si="329"/>
        <v>-0.10000000000000142</v>
      </c>
      <c r="BD430" s="111">
        <f t="shared" si="317"/>
        <v>0</v>
      </c>
      <c r="BE430" s="111">
        <f t="shared" si="318"/>
        <v>0</v>
      </c>
      <c r="BF430" s="111">
        <f t="shared" si="319"/>
        <v>-0.10000000000000142</v>
      </c>
      <c r="BG430" s="111">
        <f t="shared" si="320"/>
        <v>-0.10000000000000142</v>
      </c>
      <c r="BH430" s="111">
        <f t="shared" si="321"/>
        <v>-0.10000000000000142</v>
      </c>
      <c r="BI430" s="111">
        <f t="shared" si="322"/>
        <v>0</v>
      </c>
      <c r="BJ430" s="111">
        <f t="shared" si="323"/>
        <v>-0.10000000000000142</v>
      </c>
      <c r="BK430" s="111">
        <f t="shared" si="324"/>
        <v>-0.10000000000000142</v>
      </c>
      <c r="BL430" s="111">
        <f t="shared" si="325"/>
        <v>-9.9999999999999645E-2</v>
      </c>
      <c r="BM430" s="111">
        <f t="shared" si="326"/>
        <v>-0.10000000000000142</v>
      </c>
      <c r="BN430" s="111">
        <f t="shared" si="327"/>
        <v>-9.9999999999999645E-2</v>
      </c>
      <c r="BO430" s="111">
        <f t="shared" si="328"/>
        <v>-9.9999999999999645E-2</v>
      </c>
      <c r="BR430" s="120">
        <v>6.4319027541521424E-3</v>
      </c>
      <c r="BS430" s="120">
        <v>6.3863384866540574E-3</v>
      </c>
      <c r="BT430" s="120">
        <v>6.7905236371680836E-3</v>
      </c>
      <c r="BU430" s="120">
        <v>6.3554435091919825E-3</v>
      </c>
      <c r="BV430" s="120">
        <v>6.4411536540458529E-3</v>
      </c>
      <c r="BW430" s="120">
        <v>6.5239537814524356E-3</v>
      </c>
      <c r="BX430" s="120">
        <v>6.8425660216748134E-3</v>
      </c>
      <c r="BY430" s="120">
        <v>6.510069072188803E-3</v>
      </c>
      <c r="BZ430" s="120">
        <v>6.9125189192591838E-3</v>
      </c>
      <c r="CA430" s="120">
        <v>7.0931042704652243E-3</v>
      </c>
      <c r="CB430" s="120">
        <v>6.9255523596129477E-3</v>
      </c>
      <c r="CC430" s="120">
        <v>7.8635730357451139E-3</v>
      </c>
      <c r="CD430" s="120">
        <v>9.8700983832123376E-3</v>
      </c>
      <c r="CF430" s="120">
        <v>0.19711673678893124</v>
      </c>
      <c r="CG430" s="120">
        <v>0.18700309680884974</v>
      </c>
      <c r="CH430" s="120">
        <v>0.19487067825157409</v>
      </c>
      <c r="CI430" s="120">
        <v>0.17828901008313014</v>
      </c>
      <c r="CJ430" s="120">
        <v>0.17715608797562202</v>
      </c>
      <c r="CK430" s="120">
        <v>0.17603043500767099</v>
      </c>
      <c r="CL430" s="120">
        <v>0.17811410880593681</v>
      </c>
      <c r="CM430" s="120">
        <v>0.15827607881588349</v>
      </c>
      <c r="CN430" s="120">
        <v>0.15831435694535378</v>
      </c>
      <c r="CO430" s="120">
        <v>0.15382412657277067</v>
      </c>
      <c r="CP430" s="120">
        <v>0.13628296644802651</v>
      </c>
      <c r="CQ430" s="120">
        <v>0.13231490547700675</v>
      </c>
      <c r="CR430" s="120">
        <v>0.1257405828228311</v>
      </c>
    </row>
    <row r="431" spans="38:96" ht="12.75" x14ac:dyDescent="0.2">
      <c r="AN431" t="s">
        <v>109</v>
      </c>
      <c r="AO431" s="152">
        <v>20.2</v>
      </c>
      <c r="AP431" s="152">
        <v>19.3</v>
      </c>
      <c r="AQ431" s="152">
        <v>18.899999999999999</v>
      </c>
      <c r="AR431" s="152">
        <v>18.600000000000001</v>
      </c>
      <c r="AS431" s="129">
        <f t="shared" si="316"/>
        <v>18.350000000000001</v>
      </c>
      <c r="AT431" s="152">
        <v>18.100000000000001</v>
      </c>
      <c r="AU431" s="152">
        <v>17.600000000000001</v>
      </c>
      <c r="AV431" s="152">
        <v>16.8</v>
      </c>
      <c r="AW431" s="152">
        <v>16.2</v>
      </c>
      <c r="AX431" s="152">
        <v>15.7</v>
      </c>
      <c r="AY431" s="152">
        <v>15</v>
      </c>
      <c r="AZ431" s="152">
        <v>14.3</v>
      </c>
      <c r="BA431" s="152">
        <v>13.7</v>
      </c>
      <c r="BC431" s="111">
        <f t="shared" si="329"/>
        <v>-0.10000000000000142</v>
      </c>
      <c r="BD431" s="111">
        <f t="shared" si="317"/>
        <v>-9.9999999999997868E-2</v>
      </c>
      <c r="BE431" s="111">
        <f t="shared" si="318"/>
        <v>-0.10000000000000142</v>
      </c>
      <c r="BF431" s="111">
        <f t="shared" si="319"/>
        <v>-9.9999999999997868E-2</v>
      </c>
      <c r="BG431" s="111">
        <f t="shared" si="320"/>
        <v>-9.9999999999997868E-2</v>
      </c>
      <c r="BH431" s="111">
        <f t="shared" si="321"/>
        <v>-9.9999999999997868E-2</v>
      </c>
      <c r="BI431" s="111">
        <f t="shared" si="322"/>
        <v>-9.9999999999997868E-2</v>
      </c>
      <c r="BJ431" s="111">
        <f t="shared" si="323"/>
        <v>-9.9999999999997868E-2</v>
      </c>
      <c r="BK431" s="111">
        <f t="shared" si="324"/>
        <v>-0.10000000000000142</v>
      </c>
      <c r="BL431" s="111">
        <f t="shared" si="325"/>
        <v>-0.10000000000000142</v>
      </c>
      <c r="BM431" s="111">
        <f t="shared" si="326"/>
        <v>-9.9999999999999645E-2</v>
      </c>
      <c r="BN431" s="111">
        <f t="shared" si="327"/>
        <v>0</v>
      </c>
      <c r="BO431" s="111">
        <f t="shared" si="328"/>
        <v>-0.10000000000000142</v>
      </c>
      <c r="BR431" s="120">
        <v>6.0196338783820727E-3</v>
      </c>
      <c r="BS431" s="120">
        <v>6.181868014846729E-3</v>
      </c>
      <c r="BT431" s="120">
        <v>5.8609466434557736E-3</v>
      </c>
      <c r="BU431" s="120">
        <v>6.4152765369097885E-3</v>
      </c>
      <c r="BV431" s="120">
        <v>6.419181022284292E-3</v>
      </c>
      <c r="BW431" s="120">
        <v>6.4165147921992878E-3</v>
      </c>
      <c r="BX431" s="120">
        <v>6.0831537860009518E-3</v>
      </c>
      <c r="BY431" s="120">
        <v>6.5820141441372271E-3</v>
      </c>
      <c r="BZ431" s="120">
        <v>6.5399289154979409E-3</v>
      </c>
      <c r="CA431" s="120">
        <v>6.681990014612638E-3</v>
      </c>
      <c r="CB431" s="120">
        <v>7.4798593851733465E-3</v>
      </c>
      <c r="CC431" s="120">
        <v>8.0694835134865455E-3</v>
      </c>
      <c r="CD431" s="120">
        <v>9.6175596464847298E-3</v>
      </c>
      <c r="CF431" s="120">
        <v>0.19200995832981876</v>
      </c>
      <c r="CG431" s="120">
        <v>0.18816502704572838</v>
      </c>
      <c r="CH431" s="120">
        <v>0.1744557942320395</v>
      </c>
      <c r="CI431" s="120">
        <v>0.18725926394268899</v>
      </c>
      <c r="CJ431" s="120">
        <v>0.18361479443080578</v>
      </c>
      <c r="CK431" s="120">
        <v>0.17997617200414023</v>
      </c>
      <c r="CL431" s="120">
        <v>0.16413738732249486</v>
      </c>
      <c r="CM431" s="120">
        <v>0.16583647684326167</v>
      </c>
      <c r="CN431" s="120">
        <v>0.15508763521794466</v>
      </c>
      <c r="CO431" s="120">
        <v>0.14993532904601869</v>
      </c>
      <c r="CP431" s="120">
        <v>0.1522274783448441</v>
      </c>
      <c r="CQ431" s="120">
        <v>0.14021282072168326</v>
      </c>
      <c r="CR431" s="120">
        <v>0.12611184460275823</v>
      </c>
    </row>
    <row r="432" spans="38:96" ht="12.75" x14ac:dyDescent="0.2">
      <c r="AN432" t="s">
        <v>110</v>
      </c>
      <c r="AO432" s="152">
        <v>20</v>
      </c>
      <c r="AP432" s="152">
        <v>19.100000000000001</v>
      </c>
      <c r="AQ432" s="152">
        <v>18.8</v>
      </c>
      <c r="AR432" s="152">
        <v>18.5</v>
      </c>
      <c r="AS432" s="129">
        <f t="shared" si="316"/>
        <v>18.2</v>
      </c>
      <c r="AT432" s="152">
        <v>17.899999999999999</v>
      </c>
      <c r="AU432" s="152">
        <v>17.5</v>
      </c>
      <c r="AV432" s="152">
        <v>16.7</v>
      </c>
      <c r="AW432" s="152">
        <v>16.100000000000001</v>
      </c>
      <c r="AX432" s="152">
        <v>15.6</v>
      </c>
      <c r="AY432" s="152">
        <v>14.8</v>
      </c>
      <c r="AZ432" s="152">
        <v>14</v>
      </c>
      <c r="BA432" s="152">
        <v>13.2</v>
      </c>
      <c r="BC432" s="111">
        <f t="shared" si="329"/>
        <v>-0.10000000000000142</v>
      </c>
      <c r="BD432" s="111">
        <f t="shared" si="317"/>
        <v>-9.9999999999997868E-2</v>
      </c>
      <c r="BE432" s="111">
        <f t="shared" si="318"/>
        <v>0</v>
      </c>
      <c r="BF432" s="111">
        <f t="shared" si="319"/>
        <v>0</v>
      </c>
      <c r="BG432" s="111">
        <f t="shared" si="320"/>
        <v>-5.0000000000000711E-2</v>
      </c>
      <c r="BH432" s="111">
        <f t="shared" si="321"/>
        <v>-0.10000000000000142</v>
      </c>
      <c r="BI432" s="111">
        <f t="shared" si="322"/>
        <v>-0.10000000000000142</v>
      </c>
      <c r="BJ432" s="111">
        <f t="shared" si="323"/>
        <v>-0.10000000000000142</v>
      </c>
      <c r="BK432" s="111">
        <f t="shared" si="324"/>
        <v>-9.9999999999997868E-2</v>
      </c>
      <c r="BL432" s="111">
        <f t="shared" si="325"/>
        <v>-9.9999999999999645E-2</v>
      </c>
      <c r="BM432" s="111">
        <f t="shared" si="326"/>
        <v>-9.9999999999999645E-2</v>
      </c>
      <c r="BN432" s="111">
        <f t="shared" si="327"/>
        <v>-9.9999999999999645E-2</v>
      </c>
      <c r="BO432" s="111">
        <f t="shared" si="328"/>
        <v>-0.10000000000000142</v>
      </c>
      <c r="BR432" s="120">
        <v>5.9845412290378897E-3</v>
      </c>
      <c r="BS432" s="120">
        <v>5.8413184335199776E-3</v>
      </c>
      <c r="BT432" s="120">
        <v>6.3515987778650631E-3</v>
      </c>
      <c r="BU432" s="120">
        <v>5.9576131442387317E-3</v>
      </c>
      <c r="BV432" s="120">
        <v>5.8894963919640169E-3</v>
      </c>
      <c r="BW432" s="120">
        <v>5.8104593885949614E-3</v>
      </c>
      <c r="BX432" s="120">
        <v>6.4581472105667975E-3</v>
      </c>
      <c r="BY432" s="120">
        <v>6.2933749564032353E-3</v>
      </c>
      <c r="BZ432" s="120">
        <v>6.6111142661553395E-3</v>
      </c>
      <c r="CA432" s="120">
        <v>6.7827688061911275E-3</v>
      </c>
      <c r="CB432" s="120">
        <v>6.4130724841028148E-3</v>
      </c>
      <c r="CC432" s="120">
        <v>7.0485324122254896E-3</v>
      </c>
      <c r="CD432" s="120">
        <v>8.8834728802940979E-3</v>
      </c>
      <c r="CF432" s="120">
        <v>0.19421900213629725</v>
      </c>
      <c r="CG432" s="120">
        <v>0.18056212554406323</v>
      </c>
      <c r="CH432" s="120">
        <v>0.19255317450529733</v>
      </c>
      <c r="CI432" s="120">
        <v>0.17659494072629101</v>
      </c>
      <c r="CJ432" s="120">
        <v>0.17074371740839275</v>
      </c>
      <c r="CK432" s="120">
        <v>0.16486507651739596</v>
      </c>
      <c r="CL432" s="120">
        <v>0.17712582952046568</v>
      </c>
      <c r="CM432" s="120">
        <v>0.16115819734840375</v>
      </c>
      <c r="CN432" s="120">
        <v>0.1591026722648668</v>
      </c>
      <c r="CO432" s="120">
        <v>0.15435003092767488</v>
      </c>
      <c r="CP432" s="120">
        <v>0.13204457502150829</v>
      </c>
      <c r="CQ432" s="120">
        <v>0.12358083372090425</v>
      </c>
      <c r="CR432" s="120">
        <v>0.11744248021559717</v>
      </c>
    </row>
    <row r="434" spans="38:96" x14ac:dyDescent="0.2">
      <c r="AO434">
        <v>-0.5</v>
      </c>
      <c r="AP434">
        <v>-0.25</v>
      </c>
      <c r="AQ434">
        <v>-0.13</v>
      </c>
      <c r="AR434">
        <v>0</v>
      </c>
      <c r="AS434">
        <v>0.125</v>
      </c>
      <c r="AT434" s="126">
        <v>0.25</v>
      </c>
      <c r="AU434" s="126">
        <v>0.5</v>
      </c>
      <c r="AV434" s="126">
        <v>1</v>
      </c>
      <c r="AW434" s="126">
        <v>1.5</v>
      </c>
      <c r="AX434" s="126">
        <v>2</v>
      </c>
      <c r="AY434" s="126">
        <v>3</v>
      </c>
      <c r="AZ434" s="126">
        <v>5</v>
      </c>
      <c r="BA434" s="126">
        <v>10</v>
      </c>
    </row>
    <row r="435" spans="38:96" ht="12.75" x14ac:dyDescent="0.2">
      <c r="AL435" s="105" t="s">
        <v>309</v>
      </c>
      <c r="AN435" t="s">
        <v>25</v>
      </c>
      <c r="AO435" s="152">
        <v>9.6999999999999993</v>
      </c>
      <c r="AP435" s="153">
        <v>7.1</v>
      </c>
      <c r="AQ435" s="153">
        <v>7.8</v>
      </c>
      <c r="AR435" s="153">
        <v>9.1999999999999993</v>
      </c>
      <c r="AS435" s="129">
        <f t="shared" ref="AS435:AS449" si="330">(AR435+AT435)/2</f>
        <v>10.649999999999999</v>
      </c>
      <c r="AT435" s="150">
        <v>12.1</v>
      </c>
      <c r="AU435" s="150">
        <v>14.7</v>
      </c>
      <c r="AV435" s="150">
        <v>19</v>
      </c>
      <c r="AW435" s="150">
        <v>22.6</v>
      </c>
      <c r="AX435" s="150">
        <v>25.7</v>
      </c>
      <c r="AY435" s="150">
        <v>30.8</v>
      </c>
      <c r="AZ435" s="150">
        <v>38.4</v>
      </c>
      <c r="BA435" s="150">
        <v>50.1</v>
      </c>
      <c r="BC435" s="111">
        <f>AO435-AO418</f>
        <v>9.9999999999999645E-2</v>
      </c>
      <c r="BD435" s="111">
        <f t="shared" ref="BD435:BD449" si="331">AP435-AP418</f>
        <v>9.9999999999999645E-2</v>
      </c>
      <c r="BE435" s="111">
        <f t="shared" ref="BE435:BE449" si="332">AQ435-AQ418</f>
        <v>9.9999999999999645E-2</v>
      </c>
      <c r="BF435" s="111">
        <f t="shared" ref="BF435:BF449" si="333">AR435-AR418</f>
        <v>9.9999999999999645E-2</v>
      </c>
      <c r="BG435" s="111">
        <f t="shared" ref="BG435:BG449" si="334">AS435-AS418</f>
        <v>0.14999999999999858</v>
      </c>
      <c r="BH435" s="111">
        <f t="shared" ref="BH435:BH449" si="335">AT435-AT418</f>
        <v>0.19999999999999929</v>
      </c>
      <c r="BI435" s="111">
        <f t="shared" ref="BI435:BI449" si="336">AU435-AU418</f>
        <v>0.29999999999999893</v>
      </c>
      <c r="BJ435" s="111">
        <f t="shared" ref="BJ435:BJ449" si="337">AV435-AV418</f>
        <v>0.39999999999999858</v>
      </c>
      <c r="BK435" s="111">
        <f t="shared" ref="BK435:BK449" si="338">AW435-AW418</f>
        <v>0.40000000000000213</v>
      </c>
      <c r="BL435" s="111">
        <f t="shared" ref="BL435:BL449" si="339">AX435-AX418</f>
        <v>0.5</v>
      </c>
      <c r="BM435" s="111">
        <f t="shared" ref="BM435:BM449" si="340">AY435-AY418</f>
        <v>0.60000000000000142</v>
      </c>
      <c r="BN435" s="111">
        <f t="shared" ref="BN435:BN449" si="341">AZ435-AZ418</f>
        <v>0.69999999999999574</v>
      </c>
      <c r="BO435" s="111">
        <f t="shared" ref="BO435:BO449" si="342">BA435-BA418</f>
        <v>1</v>
      </c>
      <c r="BR435" s="120">
        <v>2.5430152005269172E-3</v>
      </c>
      <c r="BS435" s="120">
        <v>1.9550415269679257E-3</v>
      </c>
      <c r="BT435" s="120">
        <v>2.1945506932354295E-3</v>
      </c>
      <c r="BU435" s="120">
        <v>2.6425045704919691E-3</v>
      </c>
      <c r="BV435" s="120">
        <v>3.1216180788071098E-3</v>
      </c>
      <c r="BW435" s="120">
        <v>3.6173955680524005E-3</v>
      </c>
      <c r="BX435" s="120">
        <v>4.56331892619461E-3</v>
      </c>
      <c r="BY435" s="120">
        <v>6.322839576120497E-3</v>
      </c>
      <c r="BZ435" s="120">
        <v>8.0064898047273163E-3</v>
      </c>
      <c r="CA435" s="120">
        <v>9.604502703022726E-3</v>
      </c>
      <c r="CB435" s="120">
        <v>1.2731081575830108E-2</v>
      </c>
      <c r="CC435" s="120">
        <v>1.8728229385132442E-2</v>
      </c>
      <c r="CD435" s="120">
        <v>3.3372468726213009E-2</v>
      </c>
      <c r="CF435" s="120">
        <v>9.7220418093395308E-2</v>
      </c>
      <c r="CG435" s="120">
        <v>7.1298397927950022E-2</v>
      </c>
      <c r="CH435" s="120">
        <v>7.8260792089751521E-2</v>
      </c>
      <c r="CI435" s="120">
        <v>9.2216947284775377E-2</v>
      </c>
      <c r="CJ435" s="120">
        <v>0.10668449715350885</v>
      </c>
      <c r="CK435" s="120">
        <v>0.12116781272140664</v>
      </c>
      <c r="CL435" s="120">
        <v>0.14717852149729169</v>
      </c>
      <c r="CM435" s="120">
        <v>0.19018519052344807</v>
      </c>
      <c r="CN435" s="120">
        <v>0.22621663502679984</v>
      </c>
      <c r="CO435" s="120">
        <v>0.25714494019507317</v>
      </c>
      <c r="CP435" s="120">
        <v>0.30683775400888808</v>
      </c>
      <c r="CQ435" s="120">
        <v>0.38191629636812252</v>
      </c>
      <c r="CR435" s="120">
        <v>0.50357025230789332</v>
      </c>
    </row>
    <row r="436" spans="38:96" ht="12.75" x14ac:dyDescent="0.2">
      <c r="AN436" t="s">
        <v>157</v>
      </c>
      <c r="AO436" s="153">
        <v>12</v>
      </c>
      <c r="AP436" s="153">
        <v>9.6</v>
      </c>
      <c r="AQ436" s="153">
        <v>10.199999999999999</v>
      </c>
      <c r="AR436" s="153">
        <v>11.4</v>
      </c>
      <c r="AS436" s="129">
        <f t="shared" si="330"/>
        <v>12.7</v>
      </c>
      <c r="AT436" s="150">
        <v>14</v>
      </c>
      <c r="AU436" s="150">
        <v>16.3</v>
      </c>
      <c r="AV436" s="150">
        <v>20.399999999999999</v>
      </c>
      <c r="AW436" s="150">
        <v>23.7</v>
      </c>
      <c r="AX436" s="150">
        <v>26.5</v>
      </c>
      <c r="AY436" s="150">
        <v>31.1</v>
      </c>
      <c r="AZ436" s="150">
        <v>37.799999999999997</v>
      </c>
      <c r="BA436" s="150">
        <v>47.7</v>
      </c>
      <c r="BC436" s="111">
        <f t="shared" ref="BC436:BC449" si="343">AO436-AO419</f>
        <v>0.30000000000000071</v>
      </c>
      <c r="BD436" s="111">
        <f t="shared" si="331"/>
        <v>9.9999999999999645E-2</v>
      </c>
      <c r="BE436" s="111">
        <f t="shared" si="332"/>
        <v>9.9999999999999645E-2</v>
      </c>
      <c r="BF436" s="111">
        <f t="shared" si="333"/>
        <v>9.9999999999999645E-2</v>
      </c>
      <c r="BG436" s="111">
        <f t="shared" si="334"/>
        <v>0.25</v>
      </c>
      <c r="BH436" s="111">
        <f t="shared" si="335"/>
        <v>0.40000000000000036</v>
      </c>
      <c r="BI436" s="111">
        <f t="shared" si="336"/>
        <v>0.5</v>
      </c>
      <c r="BJ436" s="111">
        <f t="shared" si="337"/>
        <v>0.89999999999999858</v>
      </c>
      <c r="BK436" s="111">
        <f t="shared" si="338"/>
        <v>1.1999999999999993</v>
      </c>
      <c r="BL436" s="111">
        <f t="shared" si="339"/>
        <v>1.3999999999999986</v>
      </c>
      <c r="BM436" s="111">
        <f t="shared" si="340"/>
        <v>1.7000000000000028</v>
      </c>
      <c r="BN436" s="111">
        <f t="shared" si="341"/>
        <v>2.2999999999999972</v>
      </c>
      <c r="BO436" s="111">
        <f t="shared" si="342"/>
        <v>3.1000000000000014</v>
      </c>
      <c r="BR436" s="120">
        <v>3.6668211033099763E-3</v>
      </c>
      <c r="BS436" s="120">
        <v>3.4562677104622154E-3</v>
      </c>
      <c r="BT436" s="120">
        <v>3.55550124442098E-3</v>
      </c>
      <c r="BU436" s="120">
        <v>3.7997162024632487E-3</v>
      </c>
      <c r="BV436" s="120">
        <v>4.1476250695448363E-3</v>
      </c>
      <c r="BW436" s="120">
        <v>4.5396791203723801E-3</v>
      </c>
      <c r="BX436" s="120">
        <v>5.3134774126392366E-3</v>
      </c>
      <c r="BY436" s="120">
        <v>6.9652594079029377E-3</v>
      </c>
      <c r="BZ436" s="120">
        <v>8.5035897102178348E-3</v>
      </c>
      <c r="CA436" s="120">
        <v>9.9972927823652798E-3</v>
      </c>
      <c r="CB436" s="120">
        <v>1.2857995652089454E-2</v>
      </c>
      <c r="CC436" s="120">
        <v>1.8235172537435496E-2</v>
      </c>
      <c r="CD436" s="120">
        <v>3.0304767291963321E-2</v>
      </c>
      <c r="CF436" s="120">
        <v>0.14076858364048581</v>
      </c>
      <c r="CG436" s="120">
        <v>0.12646668654567961</v>
      </c>
      <c r="CH436" s="120">
        <v>0.12723355695224425</v>
      </c>
      <c r="CI436" s="120">
        <v>0.13310956437683041</v>
      </c>
      <c r="CJ436" s="120">
        <v>0.14234059401820601</v>
      </c>
      <c r="CK436" s="120">
        <v>0.15273232656041122</v>
      </c>
      <c r="CL436" s="120">
        <v>0.17210057643055135</v>
      </c>
      <c r="CM436" s="120">
        <v>0.21046485534236997</v>
      </c>
      <c r="CN436" s="120">
        <v>0.24146195028615416</v>
      </c>
      <c r="CO436" s="120">
        <v>0.26797200833393287</v>
      </c>
      <c r="CP436" s="120">
        <v>0.31238108003047566</v>
      </c>
      <c r="CQ436" s="120">
        <v>0.37685410580773199</v>
      </c>
      <c r="CR436" s="120">
        <v>0.47038241148191962</v>
      </c>
    </row>
    <row r="437" spans="38:96" ht="12.75" x14ac:dyDescent="0.2">
      <c r="AN437" t="s">
        <v>99</v>
      </c>
      <c r="AO437" s="153">
        <v>14.7</v>
      </c>
      <c r="AP437" s="153">
        <v>12.2</v>
      </c>
      <c r="AQ437" s="153">
        <v>11.7</v>
      </c>
      <c r="AR437" s="153">
        <v>11.9</v>
      </c>
      <c r="AS437" s="129">
        <f t="shared" si="330"/>
        <v>12.5</v>
      </c>
      <c r="AT437" s="150">
        <v>13.1</v>
      </c>
      <c r="AU437" s="150">
        <v>14.4</v>
      </c>
      <c r="AV437" s="150">
        <v>16.600000000000001</v>
      </c>
      <c r="AW437" s="150">
        <v>18.600000000000001</v>
      </c>
      <c r="AX437" s="150">
        <v>20.3</v>
      </c>
      <c r="AY437" s="150">
        <v>23.3</v>
      </c>
      <c r="AZ437" s="150">
        <v>27.6</v>
      </c>
      <c r="BA437" s="150">
        <v>34.5</v>
      </c>
      <c r="BC437" s="111">
        <f t="shared" si="343"/>
        <v>0.19999999999999929</v>
      </c>
      <c r="BD437" s="111">
        <f t="shared" si="331"/>
        <v>9.9999999999999645E-2</v>
      </c>
      <c r="BE437" s="111">
        <f t="shared" si="332"/>
        <v>9.9999999999999645E-2</v>
      </c>
      <c r="BF437" s="111">
        <f t="shared" si="333"/>
        <v>0</v>
      </c>
      <c r="BG437" s="111">
        <f t="shared" si="334"/>
        <v>0</v>
      </c>
      <c r="BH437" s="111">
        <f t="shared" si="335"/>
        <v>0</v>
      </c>
      <c r="BI437" s="111">
        <f t="shared" si="336"/>
        <v>0</v>
      </c>
      <c r="BJ437" s="111">
        <f t="shared" si="337"/>
        <v>-9.9999999999997868E-2</v>
      </c>
      <c r="BK437" s="111">
        <f t="shared" si="338"/>
        <v>0</v>
      </c>
      <c r="BL437" s="111">
        <f t="shared" si="339"/>
        <v>-9.9999999999997868E-2</v>
      </c>
      <c r="BM437" s="111">
        <f t="shared" si="340"/>
        <v>0.10000000000000142</v>
      </c>
      <c r="BN437" s="111">
        <f t="shared" si="341"/>
        <v>0.30000000000000071</v>
      </c>
      <c r="BO437" s="111">
        <f t="shared" si="342"/>
        <v>1.2000000000000028</v>
      </c>
      <c r="BR437" s="120">
        <v>3.9670467306427487E-3</v>
      </c>
      <c r="BS437" s="120">
        <v>3.4492785256946316E-3</v>
      </c>
      <c r="BT437" s="120">
        <v>3.3821619614592653E-3</v>
      </c>
      <c r="BU437" s="120">
        <v>3.5153032845780452E-3</v>
      </c>
      <c r="BV437" s="120">
        <v>3.7708124887818719E-3</v>
      </c>
      <c r="BW437" s="120">
        <v>4.0329212830732654E-3</v>
      </c>
      <c r="BX437" s="120">
        <v>4.6071940126399778E-3</v>
      </c>
      <c r="BY437" s="120">
        <v>5.6962713361062107E-3</v>
      </c>
      <c r="BZ437" s="120">
        <v>6.7936187916392355E-3</v>
      </c>
      <c r="CA437" s="120">
        <v>7.8461765235381797E-3</v>
      </c>
      <c r="CB437" s="120">
        <v>9.9492988174963385E-3</v>
      </c>
      <c r="CC437" s="120">
        <v>1.3861493946693062E-2</v>
      </c>
      <c r="CD437" s="120">
        <v>2.3106174758950271E-2</v>
      </c>
      <c r="CF437" s="120">
        <v>0.14700267850899371</v>
      </c>
      <c r="CG437" s="120">
        <v>0.12199982928683241</v>
      </c>
      <c r="CH437" s="120">
        <v>0.11699970471786166</v>
      </c>
      <c r="CI437" s="120">
        <v>0.11899993054870348</v>
      </c>
      <c r="CJ437" s="120">
        <v>0.1249995103119748</v>
      </c>
      <c r="CK437" s="120">
        <v>0.13099986902735655</v>
      </c>
      <c r="CL437" s="120">
        <v>0.14399967841923997</v>
      </c>
      <c r="CM437" s="120">
        <v>0.16599622516047716</v>
      </c>
      <c r="CN437" s="120">
        <v>0.18599358759199497</v>
      </c>
      <c r="CO437" s="120">
        <v>0.2029914595353666</v>
      </c>
      <c r="CP437" s="120">
        <v>0.23298761244224281</v>
      </c>
      <c r="CQ437" s="120">
        <v>0.27600959866514369</v>
      </c>
      <c r="CR437" s="120">
        <v>0.34499740257083961</v>
      </c>
    </row>
    <row r="438" spans="38:96" ht="12.75" x14ac:dyDescent="0.2">
      <c r="AN438" t="s">
        <v>101</v>
      </c>
      <c r="AO438" s="153">
        <v>16.5</v>
      </c>
      <c r="AP438" s="153">
        <v>14.4</v>
      </c>
      <c r="AQ438" s="153">
        <v>13.9</v>
      </c>
      <c r="AR438" s="153">
        <v>14</v>
      </c>
      <c r="AS438" s="129">
        <f t="shared" si="330"/>
        <v>14.4</v>
      </c>
      <c r="AT438" s="150">
        <v>14.8</v>
      </c>
      <c r="AU438" s="150">
        <v>15.6</v>
      </c>
      <c r="AV438" s="150">
        <v>17.100000000000001</v>
      </c>
      <c r="AW438" s="150">
        <v>18.399999999999999</v>
      </c>
      <c r="AX438" s="150">
        <v>19.600000000000001</v>
      </c>
      <c r="AY438" s="150">
        <v>21.6</v>
      </c>
      <c r="AZ438" s="150">
        <v>24.7</v>
      </c>
      <c r="BA438" s="150">
        <v>29.4</v>
      </c>
      <c r="BC438" s="111">
        <f t="shared" si="343"/>
        <v>0.19999999999999929</v>
      </c>
      <c r="BD438" s="111">
        <f t="shared" si="331"/>
        <v>9.9999999999999645E-2</v>
      </c>
      <c r="BE438" s="111">
        <f t="shared" si="332"/>
        <v>0</v>
      </c>
      <c r="BF438" s="111">
        <f t="shared" si="333"/>
        <v>0</v>
      </c>
      <c r="BG438" s="111">
        <f t="shared" si="334"/>
        <v>0</v>
      </c>
      <c r="BH438" s="111">
        <f t="shared" si="335"/>
        <v>0</v>
      </c>
      <c r="BI438" s="111">
        <f t="shared" si="336"/>
        <v>0</v>
      </c>
      <c r="BJ438" s="111">
        <f t="shared" si="337"/>
        <v>0.10000000000000142</v>
      </c>
      <c r="BK438" s="111">
        <f t="shared" si="338"/>
        <v>0.19999999999999929</v>
      </c>
      <c r="BL438" s="111">
        <f t="shared" si="339"/>
        <v>0.30000000000000071</v>
      </c>
      <c r="BM438" s="111">
        <f t="shared" si="340"/>
        <v>0.5</v>
      </c>
      <c r="BN438" s="111">
        <f t="shared" si="341"/>
        <v>0.80000000000000071</v>
      </c>
      <c r="BO438" s="111">
        <f t="shared" si="342"/>
        <v>1.2999999999999972</v>
      </c>
      <c r="BR438" s="120">
        <v>5.7387784488722631E-3</v>
      </c>
      <c r="BS438" s="120">
        <v>5.8257971401803879E-3</v>
      </c>
      <c r="BT438" s="120">
        <v>5.8119331651807814E-3</v>
      </c>
      <c r="BU438" s="120">
        <v>5.8107853527407261E-3</v>
      </c>
      <c r="BV438" s="120">
        <v>5.7963001827169743E-3</v>
      </c>
      <c r="BW438" s="120">
        <v>5.7949916023461992E-3</v>
      </c>
      <c r="BX438" s="120">
        <v>5.8300333443091065E-3</v>
      </c>
      <c r="BY438" s="120">
        <v>6.3002717168630339E-3</v>
      </c>
      <c r="BZ438" s="120">
        <v>6.8756436286916203E-3</v>
      </c>
      <c r="CA438" s="120">
        <v>7.5703236181806112E-3</v>
      </c>
      <c r="CB438" s="120">
        <v>8.9011453713155417E-3</v>
      </c>
      <c r="CC438" s="120">
        <v>1.1668290571080545E-2</v>
      </c>
      <c r="CD438" s="120">
        <v>1.7486143915614386E-2</v>
      </c>
      <c r="CF438" s="120">
        <v>0.20479877125147347</v>
      </c>
      <c r="CG438" s="120">
        <v>0.19854728508383296</v>
      </c>
      <c r="CH438" s="120">
        <v>0.19375161146359987</v>
      </c>
      <c r="CI438" s="120">
        <v>0.18960602116436587</v>
      </c>
      <c r="CJ438" s="120">
        <v>0.18522600886717669</v>
      </c>
      <c r="CK438" s="120">
        <v>0.18149967003531867</v>
      </c>
      <c r="CL438" s="120">
        <v>0.17574005460640144</v>
      </c>
      <c r="CM438" s="120">
        <v>0.17728854581013662</v>
      </c>
      <c r="CN438" s="120">
        <v>0.1818761444340945</v>
      </c>
      <c r="CO438" s="120">
        <v>0.18933594672594747</v>
      </c>
      <c r="CP438" s="120">
        <v>0.20152425868295384</v>
      </c>
      <c r="CQ438" s="120">
        <v>0.22462172550905393</v>
      </c>
      <c r="CR438" s="120">
        <v>0.25145411929604106</v>
      </c>
    </row>
    <row r="439" spans="38:96" ht="12.75" x14ac:dyDescent="0.2">
      <c r="AN439" t="s">
        <v>102</v>
      </c>
      <c r="AO439" s="153">
        <v>18.100000000000001</v>
      </c>
      <c r="AP439" s="153">
        <v>16.2</v>
      </c>
      <c r="AQ439" s="153">
        <v>15.7</v>
      </c>
      <c r="AR439" s="153">
        <v>15.6</v>
      </c>
      <c r="AS439" s="129">
        <f t="shared" si="330"/>
        <v>15.850000000000001</v>
      </c>
      <c r="AT439" s="150">
        <v>16.100000000000001</v>
      </c>
      <c r="AU439" s="150">
        <v>16.600000000000001</v>
      </c>
      <c r="AV439" s="150">
        <v>17.600000000000001</v>
      </c>
      <c r="AW439" s="150">
        <v>18.600000000000001</v>
      </c>
      <c r="AX439" s="150">
        <v>19.5</v>
      </c>
      <c r="AY439" s="150">
        <v>21.1</v>
      </c>
      <c r="AZ439" s="150">
        <v>23.6</v>
      </c>
      <c r="BA439" s="150">
        <v>27.5</v>
      </c>
      <c r="BC439" s="111">
        <f t="shared" si="343"/>
        <v>0.10000000000000142</v>
      </c>
      <c r="BD439" s="111">
        <f t="shared" si="331"/>
        <v>9.9999999999997868E-2</v>
      </c>
      <c r="BE439" s="111">
        <f t="shared" si="332"/>
        <v>0</v>
      </c>
      <c r="BF439" s="111">
        <f t="shared" si="333"/>
        <v>-9.9999999999999645E-2</v>
      </c>
      <c r="BG439" s="111">
        <f t="shared" si="334"/>
        <v>-9.9999999999997868E-2</v>
      </c>
      <c r="BH439" s="111">
        <f t="shared" si="335"/>
        <v>-9.9999999999997868E-2</v>
      </c>
      <c r="BI439" s="111">
        <f t="shared" si="336"/>
        <v>-9.9999999999997868E-2</v>
      </c>
      <c r="BJ439" s="111">
        <f t="shared" si="337"/>
        <v>0</v>
      </c>
      <c r="BK439" s="111">
        <f t="shared" si="338"/>
        <v>0.20000000000000284</v>
      </c>
      <c r="BL439" s="111">
        <f t="shared" si="339"/>
        <v>0.30000000000000071</v>
      </c>
      <c r="BM439" s="111">
        <f t="shared" si="340"/>
        <v>0.40000000000000213</v>
      </c>
      <c r="BN439" s="111">
        <f t="shared" si="341"/>
        <v>0.5</v>
      </c>
      <c r="BO439" s="111">
        <f t="shared" si="342"/>
        <v>0.89999999999999858</v>
      </c>
      <c r="BR439" s="120">
        <v>6.3690973811538643E-3</v>
      </c>
      <c r="BS439" s="120">
        <v>6.2731884955171419E-3</v>
      </c>
      <c r="BT439" s="120">
        <v>6.2486048529183493E-3</v>
      </c>
      <c r="BU439" s="120">
        <v>6.1243810158153368E-3</v>
      </c>
      <c r="BV439" s="120">
        <v>6.1644197614572011E-3</v>
      </c>
      <c r="BW439" s="120">
        <v>6.2034410607719088E-3</v>
      </c>
      <c r="BX439" s="120">
        <v>6.3259370285093878E-3</v>
      </c>
      <c r="BY439" s="120">
        <v>6.7375828306265317E-3</v>
      </c>
      <c r="BZ439" s="120">
        <v>7.398621787141197E-3</v>
      </c>
      <c r="CA439" s="120">
        <v>8.0539869297161556E-3</v>
      </c>
      <c r="CB439" s="120">
        <v>9.4992922991929442E-3</v>
      </c>
      <c r="CC439" s="120">
        <v>1.2318108334309722E-2</v>
      </c>
      <c r="CD439" s="120">
        <v>1.9098448084400935E-2</v>
      </c>
      <c r="CF439" s="120">
        <v>0.21963578629376423</v>
      </c>
      <c r="CG439" s="120">
        <v>0.20636374588045281</v>
      </c>
      <c r="CH439" s="120">
        <v>0.20108622206160046</v>
      </c>
      <c r="CI439" s="120">
        <v>0.19289449755127194</v>
      </c>
      <c r="CJ439" s="120">
        <v>0.19029769646501807</v>
      </c>
      <c r="CK439" s="120">
        <v>0.18781504749315273</v>
      </c>
      <c r="CL439" s="120">
        <v>0.18457943128185714</v>
      </c>
      <c r="CM439" s="120">
        <v>0.18369741552448976</v>
      </c>
      <c r="CN439" s="120">
        <v>0.18990966216068042</v>
      </c>
      <c r="CO439" s="120">
        <v>0.19566704328372117</v>
      </c>
      <c r="CP439" s="120">
        <v>0.2095025728471086</v>
      </c>
      <c r="CQ439" s="120">
        <v>0.23190274697210836</v>
      </c>
      <c r="CR439" s="120">
        <v>0.27150684225927513</v>
      </c>
    </row>
    <row r="440" spans="38:96" ht="12.75" x14ac:dyDescent="0.2">
      <c r="AN440" t="s">
        <v>103</v>
      </c>
      <c r="AO440" s="153">
        <v>19.3</v>
      </c>
      <c r="AP440" s="153">
        <v>17.5</v>
      </c>
      <c r="AQ440" s="153">
        <v>17</v>
      </c>
      <c r="AR440" s="153">
        <v>16.899999999999999</v>
      </c>
      <c r="AS440" s="129">
        <f t="shared" si="330"/>
        <v>17</v>
      </c>
      <c r="AT440" s="150">
        <v>17.100000000000001</v>
      </c>
      <c r="AU440" s="150">
        <v>17.399999999999999</v>
      </c>
      <c r="AV440" s="150">
        <v>17.899999999999999</v>
      </c>
      <c r="AW440" s="150">
        <v>18.5</v>
      </c>
      <c r="AX440" s="150">
        <v>19.2</v>
      </c>
      <c r="AY440" s="150">
        <v>20.5</v>
      </c>
      <c r="AZ440" s="150">
        <v>22.7</v>
      </c>
      <c r="BA440" s="150">
        <v>26.1</v>
      </c>
      <c r="BC440" s="111">
        <f t="shared" si="343"/>
        <v>0.10000000000000142</v>
      </c>
      <c r="BD440" s="111">
        <f t="shared" si="331"/>
        <v>0</v>
      </c>
      <c r="BE440" s="111">
        <f t="shared" si="332"/>
        <v>0</v>
      </c>
      <c r="BF440" s="111">
        <f t="shared" si="333"/>
        <v>0</v>
      </c>
      <c r="BG440" s="111">
        <f t="shared" si="334"/>
        <v>-4.9999999999997158E-2</v>
      </c>
      <c r="BH440" s="111">
        <f t="shared" si="335"/>
        <v>-9.9999999999997868E-2</v>
      </c>
      <c r="BI440" s="111">
        <f t="shared" si="336"/>
        <v>0</v>
      </c>
      <c r="BJ440" s="111">
        <f t="shared" si="337"/>
        <v>0</v>
      </c>
      <c r="BK440" s="111">
        <f t="shared" si="338"/>
        <v>0</v>
      </c>
      <c r="BL440" s="111">
        <f t="shared" si="339"/>
        <v>9.9999999999997868E-2</v>
      </c>
      <c r="BM440" s="111">
        <f t="shared" si="340"/>
        <v>0.19999999999999929</v>
      </c>
      <c r="BN440" s="111">
        <f t="shared" si="341"/>
        <v>0.19999999999999929</v>
      </c>
      <c r="BO440" s="111">
        <f t="shared" si="342"/>
        <v>0.30000000000000071</v>
      </c>
      <c r="BR440" s="120">
        <v>6.9719420857039015E-3</v>
      </c>
      <c r="BS440" s="120">
        <v>6.8904961748883064E-3</v>
      </c>
      <c r="BT440" s="120">
        <v>6.8745843735101104E-3</v>
      </c>
      <c r="BU440" s="120">
        <v>7.0065785220932136E-3</v>
      </c>
      <c r="BV440" s="120">
        <v>6.9510812592106534E-3</v>
      </c>
      <c r="BW440" s="120">
        <v>6.8923033812003497E-3</v>
      </c>
      <c r="BX440" s="120">
        <v>6.9519442720551716E-3</v>
      </c>
      <c r="BY440" s="120">
        <v>7.0346628958863179E-3</v>
      </c>
      <c r="BZ440" s="120">
        <v>7.3456123359995004E-3</v>
      </c>
      <c r="CA440" s="120">
        <v>7.9434208553598902E-3</v>
      </c>
      <c r="CB440" s="120">
        <v>9.2057026230822278E-3</v>
      </c>
      <c r="CC440" s="120">
        <v>1.1912409386685821E-2</v>
      </c>
      <c r="CD440" s="120">
        <v>1.8044315555909622E-2</v>
      </c>
      <c r="CF440" s="120">
        <v>0.23126418636397517</v>
      </c>
      <c r="CG440" s="120">
        <v>0.21824915373741274</v>
      </c>
      <c r="CH440" s="120">
        <v>0.21305706444859013</v>
      </c>
      <c r="CI440" s="120">
        <v>0.21281761469804761</v>
      </c>
      <c r="CJ440" s="120">
        <v>0.20683287824399973</v>
      </c>
      <c r="CK440" s="120">
        <v>0.2010493161375953</v>
      </c>
      <c r="CL440" s="120">
        <v>0.19537508107653562</v>
      </c>
      <c r="CM440" s="120">
        <v>0.18464449699689162</v>
      </c>
      <c r="CN440" s="120">
        <v>0.18138338505175311</v>
      </c>
      <c r="CO440" s="120">
        <v>0.1857243068934652</v>
      </c>
      <c r="CP440" s="120">
        <v>0.19540584725063617</v>
      </c>
      <c r="CQ440" s="120">
        <v>0.2161152143854376</v>
      </c>
      <c r="CR440" s="120">
        <v>0.2472053540990026</v>
      </c>
    </row>
    <row r="441" spans="38:96" ht="12.75" x14ac:dyDescent="0.2">
      <c r="AN441" t="s">
        <v>104</v>
      </c>
      <c r="AO441" s="141">
        <f>AO424</f>
        <v>20.100000000000001</v>
      </c>
      <c r="AP441" s="153">
        <v>18.399999999999999</v>
      </c>
      <c r="AQ441" s="153">
        <v>17.899999999999999</v>
      </c>
      <c r="AR441" s="153">
        <v>17.7</v>
      </c>
      <c r="AS441" s="129">
        <f t="shared" si="330"/>
        <v>17.7</v>
      </c>
      <c r="AT441" s="150">
        <v>17.7</v>
      </c>
      <c r="AU441" s="150">
        <v>17.8</v>
      </c>
      <c r="AV441" s="150">
        <v>18</v>
      </c>
      <c r="AW441" s="150">
        <v>18.3</v>
      </c>
      <c r="AX441" s="150">
        <v>18.7</v>
      </c>
      <c r="AY441" s="150">
        <v>19.600000000000001</v>
      </c>
      <c r="AZ441" s="150">
        <v>21.4</v>
      </c>
      <c r="BA441" s="150">
        <v>24.4</v>
      </c>
      <c r="BC441" s="111">
        <f t="shared" si="343"/>
        <v>0</v>
      </c>
      <c r="BD441" s="111">
        <f t="shared" si="331"/>
        <v>0</v>
      </c>
      <c r="BE441" s="111">
        <f t="shared" si="332"/>
        <v>-0.10000000000000142</v>
      </c>
      <c r="BF441" s="111">
        <f t="shared" si="333"/>
        <v>-0.10000000000000142</v>
      </c>
      <c r="BG441" s="111">
        <f t="shared" si="334"/>
        <v>-0.10000000000000142</v>
      </c>
      <c r="BH441" s="111">
        <f t="shared" si="335"/>
        <v>-0.10000000000000142</v>
      </c>
      <c r="BI441" s="111">
        <f t="shared" si="336"/>
        <v>-9.9999999999997868E-2</v>
      </c>
      <c r="BJ441" s="111">
        <f t="shared" si="337"/>
        <v>0</v>
      </c>
      <c r="BK441" s="111">
        <f t="shared" si="338"/>
        <v>0</v>
      </c>
      <c r="BL441" s="111">
        <f t="shared" si="339"/>
        <v>0</v>
      </c>
      <c r="BM441" s="111">
        <f t="shared" si="340"/>
        <v>0</v>
      </c>
      <c r="BN441" s="111">
        <f t="shared" si="341"/>
        <v>0</v>
      </c>
      <c r="BO441" s="111">
        <f t="shared" si="342"/>
        <v>9.9999999999997868E-2</v>
      </c>
      <c r="BR441" s="120">
        <v>7.2213247573013834E-3</v>
      </c>
      <c r="BS441" s="120">
        <v>7.1732784282779495E-3</v>
      </c>
      <c r="BT441" s="120">
        <v>7.1559276149196476E-3</v>
      </c>
      <c r="BU441" s="120">
        <v>7.017135585009643E-3</v>
      </c>
      <c r="BV441" s="120">
        <v>7.0064675861882825E-3</v>
      </c>
      <c r="BW441" s="120">
        <v>6.9912285615213905E-3</v>
      </c>
      <c r="BX441" s="120">
        <v>6.96392133561407E-3</v>
      </c>
      <c r="BY441" s="120">
        <v>7.1756299602990211E-3</v>
      </c>
      <c r="BZ441" s="120">
        <v>7.4711583888560822E-3</v>
      </c>
      <c r="CA441" s="120">
        <v>7.7898098674235843E-3</v>
      </c>
      <c r="CB441" s="120">
        <v>8.739818715896892E-3</v>
      </c>
      <c r="CC441" s="120">
        <v>1.1042850632570184E-2</v>
      </c>
      <c r="CD441" s="120">
        <v>1.6796402786770623E-2</v>
      </c>
      <c r="CF441" s="120">
        <v>0.23047212145660176</v>
      </c>
      <c r="CG441" s="120">
        <v>0.21867555292815219</v>
      </c>
      <c r="CH441" s="120">
        <v>0.21349931291941143</v>
      </c>
      <c r="CI441" s="120">
        <v>0.20485650476947012</v>
      </c>
      <c r="CJ441" s="120">
        <v>0.2005264428845254</v>
      </c>
      <c r="CK441" s="120">
        <v>0.19627814191764378</v>
      </c>
      <c r="CL441" s="120">
        <v>0.1884255373806262</v>
      </c>
      <c r="CM441" s="120">
        <v>0.18166983767136563</v>
      </c>
      <c r="CN441" s="120">
        <v>0.17819022594146999</v>
      </c>
      <c r="CO441" s="120">
        <v>0.17589167507043596</v>
      </c>
      <c r="CP441" s="120">
        <v>0.1793022845272024</v>
      </c>
      <c r="CQ441" s="120">
        <v>0.19383106280020632</v>
      </c>
      <c r="CR441" s="120">
        <v>0.22354391052238323</v>
      </c>
    </row>
    <row r="442" spans="38:96" ht="12.75" x14ac:dyDescent="0.2">
      <c r="AN442" t="s">
        <v>105</v>
      </c>
      <c r="AO442" s="141">
        <f t="shared" ref="AO442:AO444" si="344">AO425</f>
        <v>20.8</v>
      </c>
      <c r="AP442" s="153">
        <v>19.100000000000001</v>
      </c>
      <c r="AQ442" s="153">
        <v>18.600000000000001</v>
      </c>
      <c r="AR442" s="153">
        <v>18.3</v>
      </c>
      <c r="AS442" s="129">
        <f t="shared" si="330"/>
        <v>18.25</v>
      </c>
      <c r="AT442" s="150">
        <v>18.2</v>
      </c>
      <c r="AU442" s="150">
        <v>18.100000000000001</v>
      </c>
      <c r="AV442" s="150">
        <v>18</v>
      </c>
      <c r="AW442" s="150">
        <v>18.100000000000001</v>
      </c>
      <c r="AX442" s="150">
        <v>18.2</v>
      </c>
      <c r="AY442" s="150">
        <v>18.8</v>
      </c>
      <c r="AZ442" s="150">
        <v>20.2</v>
      </c>
      <c r="BA442" s="150">
        <v>22.8</v>
      </c>
      <c r="BC442" s="111">
        <f t="shared" si="343"/>
        <v>0</v>
      </c>
      <c r="BD442" s="111">
        <f t="shared" si="331"/>
        <v>0</v>
      </c>
      <c r="BE442" s="111">
        <f t="shared" si="332"/>
        <v>0</v>
      </c>
      <c r="BF442" s="111">
        <f t="shared" si="333"/>
        <v>-9.9999999999997868E-2</v>
      </c>
      <c r="BG442" s="111">
        <f t="shared" si="334"/>
        <v>-0.10000000000000142</v>
      </c>
      <c r="BH442" s="111">
        <f t="shared" si="335"/>
        <v>-0.10000000000000142</v>
      </c>
      <c r="BI442" s="111">
        <f t="shared" si="336"/>
        <v>-9.9999999999997868E-2</v>
      </c>
      <c r="BJ442" s="111">
        <f t="shared" si="337"/>
        <v>-0.10000000000000142</v>
      </c>
      <c r="BK442" s="111">
        <f t="shared" si="338"/>
        <v>0</v>
      </c>
      <c r="BL442" s="111">
        <f t="shared" si="339"/>
        <v>0</v>
      </c>
      <c r="BM442" s="111">
        <f t="shared" si="340"/>
        <v>0</v>
      </c>
      <c r="BN442" s="111">
        <f t="shared" si="341"/>
        <v>0</v>
      </c>
      <c r="BO442" s="111">
        <f t="shared" si="342"/>
        <v>0.10000000000000142</v>
      </c>
      <c r="BR442" s="120">
        <v>7.8075169738085412E-3</v>
      </c>
      <c r="BS442" s="120">
        <v>7.5992878996200839E-3</v>
      </c>
      <c r="BT442" s="120">
        <v>7.5888448610216932E-3</v>
      </c>
      <c r="BU442" s="120">
        <v>7.4732817537888343E-3</v>
      </c>
      <c r="BV442" s="120">
        <v>7.5044846025584437E-3</v>
      </c>
      <c r="BW442" s="120">
        <v>7.5275094484596981E-3</v>
      </c>
      <c r="BX442" s="120">
        <v>7.3769106811779981E-3</v>
      </c>
      <c r="BY442" s="120">
        <v>7.3041932988379132E-3</v>
      </c>
      <c r="BZ442" s="120">
        <v>7.5566159980315333E-3</v>
      </c>
      <c r="CA442" s="120">
        <v>7.7047829930012241E-3</v>
      </c>
      <c r="CB442" s="120">
        <v>8.5879109433645625E-3</v>
      </c>
      <c r="CC442" s="120">
        <v>1.0602095918914851E-2</v>
      </c>
      <c r="CD442" s="120">
        <v>1.5781993305469477E-2</v>
      </c>
      <c r="CF442" s="120">
        <v>0.24199863299930313</v>
      </c>
      <c r="CG442" s="120">
        <v>0.22484010314517236</v>
      </c>
      <c r="CH442" s="120">
        <v>0.21976672678582848</v>
      </c>
      <c r="CI442" s="120">
        <v>0.21195627072073686</v>
      </c>
      <c r="CJ442" s="120">
        <v>0.20867111099948607</v>
      </c>
      <c r="CK442" s="120">
        <v>0.20534738879260284</v>
      </c>
      <c r="CL442" s="120">
        <v>0.19389220730511958</v>
      </c>
      <c r="CM442" s="120">
        <v>0.17944932069799166</v>
      </c>
      <c r="CN442" s="120">
        <v>0.17492328577206273</v>
      </c>
      <c r="CO442" s="120">
        <v>0.16891223038293637</v>
      </c>
      <c r="CP442" s="120">
        <v>0.17124118710617048</v>
      </c>
      <c r="CQ442" s="120">
        <v>0.18111822346650319</v>
      </c>
      <c r="CR442" s="120">
        <v>0.20467220974564826</v>
      </c>
    </row>
    <row r="443" spans="38:96" ht="12.75" x14ac:dyDescent="0.2">
      <c r="AN443" t="s">
        <v>106</v>
      </c>
      <c r="AO443" s="141">
        <f t="shared" si="344"/>
        <v>21.2</v>
      </c>
      <c r="AP443" s="153">
        <v>19.600000000000001</v>
      </c>
      <c r="AQ443" s="153">
        <v>19</v>
      </c>
      <c r="AR443" s="153">
        <v>18.7</v>
      </c>
      <c r="AS443" s="129">
        <f t="shared" si="330"/>
        <v>18.600000000000001</v>
      </c>
      <c r="AT443" s="150">
        <v>18.5</v>
      </c>
      <c r="AU443" s="150">
        <v>18.3</v>
      </c>
      <c r="AV443" s="150">
        <v>18</v>
      </c>
      <c r="AW443" s="150">
        <v>17.899999999999999</v>
      </c>
      <c r="AX443" s="150">
        <v>17.8</v>
      </c>
      <c r="AY443" s="150">
        <v>18.2</v>
      </c>
      <c r="AZ443" s="150">
        <v>19.3</v>
      </c>
      <c r="BA443" s="150">
        <v>21.6</v>
      </c>
      <c r="BC443" s="111">
        <f t="shared" si="343"/>
        <v>0</v>
      </c>
      <c r="BD443" s="111">
        <f t="shared" si="331"/>
        <v>0</v>
      </c>
      <c r="BE443" s="111">
        <f t="shared" si="332"/>
        <v>-0.10000000000000142</v>
      </c>
      <c r="BF443" s="111">
        <f t="shared" si="333"/>
        <v>-0.10000000000000142</v>
      </c>
      <c r="BG443" s="111">
        <f t="shared" si="334"/>
        <v>-0.10000000000000142</v>
      </c>
      <c r="BH443" s="111">
        <f t="shared" si="335"/>
        <v>-0.10000000000000142</v>
      </c>
      <c r="BI443" s="111">
        <f t="shared" si="336"/>
        <v>-9.9999999999997868E-2</v>
      </c>
      <c r="BJ443" s="111">
        <f t="shared" si="337"/>
        <v>-0.10000000000000142</v>
      </c>
      <c r="BK443" s="111">
        <f t="shared" si="338"/>
        <v>0</v>
      </c>
      <c r="BL443" s="111">
        <f t="shared" si="339"/>
        <v>-9.9999999999997868E-2</v>
      </c>
      <c r="BM443" s="111">
        <f t="shared" si="340"/>
        <v>0</v>
      </c>
      <c r="BN443" s="111">
        <f t="shared" si="341"/>
        <v>0</v>
      </c>
      <c r="BO443" s="111">
        <f t="shared" si="342"/>
        <v>0.10000000000000142</v>
      </c>
      <c r="BR443" s="120">
        <v>7.58802064141472E-3</v>
      </c>
      <c r="BS443" s="120">
        <v>7.662260508569438E-3</v>
      </c>
      <c r="BT443" s="120">
        <v>7.3712555092984291E-3</v>
      </c>
      <c r="BU443" s="120">
        <v>7.4543819862708605E-3</v>
      </c>
      <c r="BV443" s="120">
        <v>7.443991504869088E-3</v>
      </c>
      <c r="BW443" s="120">
        <v>7.4271582461290613E-3</v>
      </c>
      <c r="BX443" s="120">
        <v>7.4486947271823409E-3</v>
      </c>
      <c r="BY443" s="120">
        <v>7.4818508107719105E-3</v>
      </c>
      <c r="BZ443" s="120">
        <v>7.5599931915341046E-3</v>
      </c>
      <c r="CA443" s="120">
        <v>7.7070757725729213E-3</v>
      </c>
      <c r="CB443" s="120">
        <v>8.5258218737602007E-3</v>
      </c>
      <c r="CC443" s="120">
        <v>1.0403540556360624E-2</v>
      </c>
      <c r="CD443" s="120">
        <v>1.5391114755601884E-2</v>
      </c>
      <c r="CF443" s="120">
        <v>0.22967740507591</v>
      </c>
      <c r="CG443" s="120">
        <v>0.22183866582817832</v>
      </c>
      <c r="CH443" s="120">
        <v>0.20860836913763542</v>
      </c>
      <c r="CI443" s="120">
        <v>0.20678258524482851</v>
      </c>
      <c r="CJ443" s="120">
        <v>0.20244238241692161</v>
      </c>
      <c r="CK443" s="120">
        <v>0.19814603686933757</v>
      </c>
      <c r="CL443" s="120">
        <v>0.1916696144600179</v>
      </c>
      <c r="CM443" s="120">
        <v>0.180186291658371</v>
      </c>
      <c r="CN443" s="120">
        <v>0.17151991789538537</v>
      </c>
      <c r="CO443" s="120">
        <v>0.16566594530732667</v>
      </c>
      <c r="CP443" s="120">
        <v>0.16676321974438629</v>
      </c>
      <c r="CQ443" s="120">
        <v>0.17449452460034579</v>
      </c>
      <c r="CR443" s="120">
        <v>0.19641448834859657</v>
      </c>
    </row>
    <row r="444" spans="38:96" ht="12.75" x14ac:dyDescent="0.2">
      <c r="AN444" t="s">
        <v>79</v>
      </c>
      <c r="AO444" s="141">
        <f t="shared" si="344"/>
        <v>21.4</v>
      </c>
      <c r="AP444" s="153">
        <v>19.8</v>
      </c>
      <c r="AQ444" s="153">
        <v>19.3</v>
      </c>
      <c r="AR444" s="153">
        <v>19</v>
      </c>
      <c r="AS444" s="129">
        <f t="shared" si="330"/>
        <v>18.8</v>
      </c>
      <c r="AT444" s="150">
        <v>18.600000000000001</v>
      </c>
      <c r="AU444" s="150">
        <v>18.399999999999999</v>
      </c>
      <c r="AV444" s="150">
        <v>17.899999999999999</v>
      </c>
      <c r="AW444" s="150">
        <v>17.7</v>
      </c>
      <c r="AX444" s="150">
        <v>17.5</v>
      </c>
      <c r="AY444" s="150">
        <v>17.600000000000001</v>
      </c>
      <c r="AZ444" s="150">
        <v>18.5</v>
      </c>
      <c r="BA444" s="150">
        <v>20.399999999999999</v>
      </c>
      <c r="BC444" s="111">
        <f t="shared" si="343"/>
        <v>0</v>
      </c>
      <c r="BD444" s="111">
        <f t="shared" si="331"/>
        <v>0</v>
      </c>
      <c r="BE444" s="111">
        <f t="shared" si="332"/>
        <v>0</v>
      </c>
      <c r="BF444" s="111">
        <f t="shared" si="333"/>
        <v>0</v>
      </c>
      <c r="BG444" s="111">
        <f t="shared" si="334"/>
        <v>-5.0000000000000711E-2</v>
      </c>
      <c r="BH444" s="111">
        <f t="shared" si="335"/>
        <v>-9.9999999999997868E-2</v>
      </c>
      <c r="BI444" s="111">
        <f t="shared" si="336"/>
        <v>0</v>
      </c>
      <c r="BJ444" s="111">
        <f t="shared" si="337"/>
        <v>-0.10000000000000142</v>
      </c>
      <c r="BK444" s="111">
        <f t="shared" si="338"/>
        <v>0</v>
      </c>
      <c r="BL444" s="111">
        <f t="shared" si="339"/>
        <v>0</v>
      </c>
      <c r="BM444" s="111">
        <f t="shared" si="340"/>
        <v>-9.9999999999997868E-2</v>
      </c>
      <c r="BN444" s="111">
        <f t="shared" si="341"/>
        <v>0</v>
      </c>
      <c r="BO444" s="111">
        <f t="shared" si="342"/>
        <v>0</v>
      </c>
      <c r="BR444" s="120">
        <v>7.5219510741005614E-3</v>
      </c>
      <c r="BS444" s="120">
        <v>7.2407321710304716E-3</v>
      </c>
      <c r="BT444" s="120">
        <v>7.5843531500843593E-3</v>
      </c>
      <c r="BU444" s="120">
        <v>7.6077025983373433E-3</v>
      </c>
      <c r="BV444" s="120">
        <v>7.4148897325521795E-3</v>
      </c>
      <c r="BW444" s="120">
        <v>7.2115468268753652E-3</v>
      </c>
      <c r="BX444" s="120">
        <v>7.4316842311722246E-3</v>
      </c>
      <c r="BY444" s="120">
        <v>7.2626596818792452E-3</v>
      </c>
      <c r="BZ444" s="120">
        <v>7.5070484641163258E-3</v>
      </c>
      <c r="CA444" s="120">
        <v>7.7233207556823219E-3</v>
      </c>
      <c r="CB444" s="120">
        <v>8.0581953310353907E-3</v>
      </c>
      <c r="CC444" s="120">
        <v>9.8552823360139596E-3</v>
      </c>
      <c r="CD444" s="120">
        <v>1.3900680198489316E-2</v>
      </c>
      <c r="CF444" s="120">
        <v>0.22452141038744464</v>
      </c>
      <c r="CG444" s="120">
        <v>0.20626582947810815</v>
      </c>
      <c r="CH444" s="120">
        <v>0.2119646850020491</v>
      </c>
      <c r="CI444" s="120">
        <v>0.20832487442790676</v>
      </c>
      <c r="CJ444" s="120">
        <v>0.19889504198625105</v>
      </c>
      <c r="CK444" s="120">
        <v>0.18961912567961672</v>
      </c>
      <c r="CL444" s="120">
        <v>0.18862603141887016</v>
      </c>
      <c r="CM444" s="120">
        <v>0.17237147586825277</v>
      </c>
      <c r="CN444" s="120">
        <v>0.16801358075734521</v>
      </c>
      <c r="CO444" s="120">
        <v>0.16383171738734487</v>
      </c>
      <c r="CP444" s="120">
        <v>0.15540259370865514</v>
      </c>
      <c r="CQ444" s="120">
        <v>0.16309152255713505</v>
      </c>
      <c r="CR444" s="120">
        <v>0.1748788696084114</v>
      </c>
    </row>
    <row r="445" spans="38:96" ht="12.75" x14ac:dyDescent="0.2">
      <c r="AN445" t="s">
        <v>159</v>
      </c>
      <c r="AO445" s="153">
        <v>21.4</v>
      </c>
      <c r="AP445" s="153">
        <v>19.899999999999999</v>
      </c>
      <c r="AQ445" s="153">
        <v>19.399999999999999</v>
      </c>
      <c r="AR445" s="153">
        <v>19.100000000000001</v>
      </c>
      <c r="AS445" s="129">
        <f t="shared" si="330"/>
        <v>18.899999999999999</v>
      </c>
      <c r="AT445" s="150">
        <v>18.7</v>
      </c>
      <c r="AU445" s="150">
        <v>18.3</v>
      </c>
      <c r="AV445" s="150">
        <v>17.7</v>
      </c>
      <c r="AW445" s="150">
        <v>17.2</v>
      </c>
      <c r="AX445" s="150">
        <v>16.899999999999999</v>
      </c>
      <c r="AY445" s="150">
        <v>16.7</v>
      </c>
      <c r="AZ445" s="150">
        <v>17</v>
      </c>
      <c r="BA445" s="150">
        <v>18.3</v>
      </c>
      <c r="BC445" s="111">
        <f t="shared" si="343"/>
        <v>0</v>
      </c>
      <c r="BD445" s="111">
        <f t="shared" si="331"/>
        <v>0</v>
      </c>
      <c r="BE445" s="111">
        <f t="shared" si="332"/>
        <v>-0.10000000000000142</v>
      </c>
      <c r="BF445" s="111">
        <f t="shared" si="333"/>
        <v>0</v>
      </c>
      <c r="BG445" s="111">
        <f t="shared" si="334"/>
        <v>0</v>
      </c>
      <c r="BH445" s="111">
        <f t="shared" si="335"/>
        <v>0</v>
      </c>
      <c r="BI445" s="111">
        <f t="shared" si="336"/>
        <v>-9.9999999999997868E-2</v>
      </c>
      <c r="BJ445" s="111">
        <f t="shared" si="337"/>
        <v>0</v>
      </c>
      <c r="BK445" s="111">
        <f t="shared" si="338"/>
        <v>-0.10000000000000142</v>
      </c>
      <c r="BL445" s="111">
        <f t="shared" si="339"/>
        <v>-0.10000000000000142</v>
      </c>
      <c r="BM445" s="111">
        <f t="shared" si="340"/>
        <v>0</v>
      </c>
      <c r="BN445" s="111">
        <f t="shared" si="341"/>
        <v>0</v>
      </c>
      <c r="BO445" s="111">
        <f t="shared" si="342"/>
        <v>0</v>
      </c>
      <c r="BR445" s="120">
        <v>7.1093435702516356E-3</v>
      </c>
      <c r="BS445" s="120">
        <v>7.1509354931429594E-3</v>
      </c>
      <c r="BT445" s="120">
        <v>6.9030229473461841E-3</v>
      </c>
      <c r="BU445" s="120">
        <v>6.9431928237530761E-3</v>
      </c>
      <c r="BV445" s="120">
        <v>7.1589584998100215E-3</v>
      </c>
      <c r="BW445" s="120">
        <v>7.3713203352670214E-3</v>
      </c>
      <c r="BX445" s="120">
        <v>7.0274638766695437E-3</v>
      </c>
      <c r="BY445" s="120">
        <v>7.3402290334069675E-3</v>
      </c>
      <c r="BZ445" s="120">
        <v>7.0901197265589525E-3</v>
      </c>
      <c r="CA445" s="120">
        <v>7.308900109273337E-3</v>
      </c>
      <c r="CB445" s="120">
        <v>7.8712205241608102E-3</v>
      </c>
      <c r="CC445" s="120">
        <v>8.692736569154761E-3</v>
      </c>
      <c r="CD445" s="120">
        <v>1.2079889028197765E-2</v>
      </c>
      <c r="CF445" s="120">
        <v>0.20779039388284651</v>
      </c>
      <c r="CG445" s="120">
        <v>0.19999842762240327</v>
      </c>
      <c r="CH445" s="120">
        <v>0.18864298256282003</v>
      </c>
      <c r="CI445" s="120">
        <v>0.1859792414940879</v>
      </c>
      <c r="CJ445" s="120">
        <v>0.18831822059235809</v>
      </c>
      <c r="CK445" s="120">
        <v>0.190516747058812</v>
      </c>
      <c r="CL445" s="120">
        <v>0.17483878611479589</v>
      </c>
      <c r="CM445" s="120">
        <v>0.17123969807327666</v>
      </c>
      <c r="CN445" s="120">
        <v>0.15566883433741119</v>
      </c>
      <c r="CO445" s="120">
        <v>0.15215394166032173</v>
      </c>
      <c r="CP445" s="120">
        <v>0.14922200214733505</v>
      </c>
      <c r="CQ445" s="120">
        <v>0.14117097349409471</v>
      </c>
      <c r="CR445" s="120">
        <v>0.14941392592544947</v>
      </c>
    </row>
    <row r="446" spans="38:96" ht="12.75" x14ac:dyDescent="0.2">
      <c r="AN446" t="s">
        <v>107</v>
      </c>
      <c r="AO446" s="153">
        <v>21</v>
      </c>
      <c r="AP446" s="153">
        <v>19.8</v>
      </c>
      <c r="AQ446" s="153">
        <v>19.3</v>
      </c>
      <c r="AR446" s="153">
        <v>19</v>
      </c>
      <c r="AS446" s="129">
        <f t="shared" si="330"/>
        <v>18.75</v>
      </c>
      <c r="AT446" s="150">
        <v>18.5</v>
      </c>
      <c r="AU446" s="150">
        <v>18.100000000000001</v>
      </c>
      <c r="AV446" s="150">
        <v>17.3</v>
      </c>
      <c r="AW446" s="150">
        <v>16.8</v>
      </c>
      <c r="AX446" s="150">
        <v>16.399999999999999</v>
      </c>
      <c r="AY446" s="150">
        <v>15.9</v>
      </c>
      <c r="AZ446" s="150">
        <v>15.6</v>
      </c>
      <c r="BA446" s="150">
        <v>16.100000000000001</v>
      </c>
      <c r="BC446" s="111">
        <f t="shared" si="343"/>
        <v>0</v>
      </c>
      <c r="BD446" s="111">
        <f t="shared" si="331"/>
        <v>0</v>
      </c>
      <c r="BE446" s="111">
        <f t="shared" si="332"/>
        <v>0</v>
      </c>
      <c r="BF446" s="111">
        <f t="shared" si="333"/>
        <v>0</v>
      </c>
      <c r="BG446" s="111">
        <f t="shared" si="334"/>
        <v>0</v>
      </c>
      <c r="BH446" s="111">
        <f t="shared" si="335"/>
        <v>0</v>
      </c>
      <c r="BI446" s="111">
        <f t="shared" si="336"/>
        <v>0</v>
      </c>
      <c r="BJ446" s="111">
        <f t="shared" si="337"/>
        <v>-9.9999999999997868E-2</v>
      </c>
      <c r="BK446" s="111">
        <f t="shared" si="338"/>
        <v>0</v>
      </c>
      <c r="BL446" s="111">
        <f t="shared" si="339"/>
        <v>0</v>
      </c>
      <c r="BM446" s="111">
        <f t="shared" si="340"/>
        <v>0</v>
      </c>
      <c r="BN446" s="111">
        <f t="shared" si="341"/>
        <v>0</v>
      </c>
      <c r="BO446" s="111">
        <f t="shared" si="342"/>
        <v>0</v>
      </c>
      <c r="BR446" s="120">
        <v>6.6269560551603631E-3</v>
      </c>
      <c r="BS446" s="120">
        <v>6.855493791680543E-3</v>
      </c>
      <c r="BT446" s="120">
        <v>6.9712655928894909E-3</v>
      </c>
      <c r="BU446" s="120">
        <v>6.9946833403018386E-3</v>
      </c>
      <c r="BV446" s="120">
        <v>6.8361428873623111E-3</v>
      </c>
      <c r="BW446" s="120">
        <v>6.6686907266116525E-3</v>
      </c>
      <c r="BX446" s="120">
        <v>7.0770739598933234E-3</v>
      </c>
      <c r="BY446" s="120">
        <v>6.7944157152411448E-3</v>
      </c>
      <c r="BZ446" s="120">
        <v>7.3671011670773503E-3</v>
      </c>
      <c r="CA446" s="120">
        <v>7.4715772866250857E-3</v>
      </c>
      <c r="CB446" s="120">
        <v>7.5761814370809222E-3</v>
      </c>
      <c r="CC446" s="120">
        <v>8.3154303882312063E-3</v>
      </c>
      <c r="CD446" s="120">
        <v>1.02327362499916E-2</v>
      </c>
      <c r="CF446" s="120">
        <v>0.194080430743646</v>
      </c>
      <c r="CG446" s="120">
        <v>0.1921673251892764</v>
      </c>
      <c r="CH446" s="120">
        <v>0.1915244492596577</v>
      </c>
      <c r="CI446" s="120">
        <v>0.18830092004952689</v>
      </c>
      <c r="CJ446" s="120">
        <v>0.18023648257065364</v>
      </c>
      <c r="CK446" s="120">
        <v>0.1723111822233192</v>
      </c>
      <c r="CL446" s="120">
        <v>0.17676031534733694</v>
      </c>
      <c r="CM446" s="120">
        <v>0.15854863707639871</v>
      </c>
      <c r="CN446" s="120">
        <v>0.16237748666220497</v>
      </c>
      <c r="CO446" s="120">
        <v>0.15604126236489643</v>
      </c>
      <c r="CP446" s="120">
        <v>0.14378599945157186</v>
      </c>
      <c r="CQ446" s="120">
        <v>0.13528549488679831</v>
      </c>
      <c r="CR446" s="120">
        <v>0.12642140748601033</v>
      </c>
    </row>
    <row r="447" spans="38:96" ht="12.75" x14ac:dyDescent="0.2">
      <c r="AN447" t="s">
        <v>108</v>
      </c>
      <c r="AO447" s="153">
        <v>20.5</v>
      </c>
      <c r="AP447" s="153">
        <v>19.399999999999999</v>
      </c>
      <c r="AQ447" s="153">
        <v>19</v>
      </c>
      <c r="AR447" s="153">
        <v>18.7</v>
      </c>
      <c r="AS447" s="129">
        <f t="shared" si="330"/>
        <v>18.45</v>
      </c>
      <c r="AT447" s="150">
        <v>18.2</v>
      </c>
      <c r="AU447" s="150">
        <v>17.7</v>
      </c>
      <c r="AV447" s="150">
        <v>17</v>
      </c>
      <c r="AW447" s="150">
        <v>16.399999999999999</v>
      </c>
      <c r="AX447" s="150">
        <v>15.9</v>
      </c>
      <c r="AY447" s="150">
        <v>15.2</v>
      </c>
      <c r="AZ447" s="150">
        <v>14.6</v>
      </c>
      <c r="BA447" s="150">
        <v>14.4</v>
      </c>
      <c r="BC447" s="111">
        <f t="shared" si="343"/>
        <v>0</v>
      </c>
      <c r="BD447" s="111">
        <f t="shared" si="331"/>
        <v>-0.10000000000000142</v>
      </c>
      <c r="BE447" s="111">
        <f t="shared" si="332"/>
        <v>-0.10000000000000142</v>
      </c>
      <c r="BF447" s="111">
        <f t="shared" si="333"/>
        <v>0</v>
      </c>
      <c r="BG447" s="111">
        <f t="shared" si="334"/>
        <v>0</v>
      </c>
      <c r="BH447" s="111">
        <f t="shared" si="335"/>
        <v>0</v>
      </c>
      <c r="BI447" s="111">
        <f t="shared" si="336"/>
        <v>-0.10000000000000142</v>
      </c>
      <c r="BJ447" s="111">
        <f t="shared" si="337"/>
        <v>0</v>
      </c>
      <c r="BK447" s="111">
        <f t="shared" si="338"/>
        <v>0</v>
      </c>
      <c r="BL447" s="111">
        <f t="shared" si="339"/>
        <v>0</v>
      </c>
      <c r="BM447" s="111">
        <f t="shared" si="340"/>
        <v>0</v>
      </c>
      <c r="BN447" s="111">
        <f t="shared" si="341"/>
        <v>0</v>
      </c>
      <c r="BO447" s="111">
        <f t="shared" si="342"/>
        <v>0</v>
      </c>
      <c r="BR447" s="120">
        <v>6.4368957337988487E-3</v>
      </c>
      <c r="BS447" s="120">
        <v>6.2201665448272363E-3</v>
      </c>
      <c r="BT447" s="120">
        <v>6.2393727191148397E-3</v>
      </c>
      <c r="BU447" s="120">
        <v>6.2653130561211544E-3</v>
      </c>
      <c r="BV447" s="120">
        <v>6.4558004390584131E-3</v>
      </c>
      <c r="BW447" s="120">
        <v>6.6457459733541887E-3</v>
      </c>
      <c r="BX447" s="120">
        <v>6.289790583510731E-3</v>
      </c>
      <c r="BY447" s="120">
        <v>6.958970227796425E-3</v>
      </c>
      <c r="BZ447" s="120">
        <v>6.6678877243911139E-3</v>
      </c>
      <c r="CA447" s="120">
        <v>6.7551559843293668E-3</v>
      </c>
      <c r="CB447" s="120">
        <v>7.1091748728893981E-3</v>
      </c>
      <c r="CC447" s="120">
        <v>7.8827524281320799E-3</v>
      </c>
      <c r="CD447" s="120">
        <v>1.0018694391447857E-2</v>
      </c>
      <c r="CF447" s="120">
        <v>0.19698371814645976</v>
      </c>
      <c r="CG447" s="120">
        <v>0.181668827325279</v>
      </c>
      <c r="CH447" s="120">
        <v>0.17833663975930059</v>
      </c>
      <c r="CI447" s="120">
        <v>0.17541439582955903</v>
      </c>
      <c r="CJ447" s="120">
        <v>0.17728957824530031</v>
      </c>
      <c r="CK447" s="120">
        <v>0.1791169690829077</v>
      </c>
      <c r="CL447" s="120">
        <v>0.16319032232625386</v>
      </c>
      <c r="CM447" s="120">
        <v>0.16913477819317321</v>
      </c>
      <c r="CN447" s="120">
        <v>0.15247380618461648</v>
      </c>
      <c r="CO447" s="120">
        <v>0.146225552375603</v>
      </c>
      <c r="CP447" s="120">
        <v>0.13975257301054025</v>
      </c>
      <c r="CQ447" s="120">
        <v>0.13248742455828463</v>
      </c>
      <c r="CR447" s="120">
        <v>0.12759047564820455</v>
      </c>
    </row>
    <row r="448" spans="38:96" ht="12.75" x14ac:dyDescent="0.2">
      <c r="AN448" t="s">
        <v>109</v>
      </c>
      <c r="AO448" s="153">
        <v>20.2</v>
      </c>
      <c r="AP448" s="153">
        <v>19.3</v>
      </c>
      <c r="AQ448" s="153">
        <v>18.899999999999999</v>
      </c>
      <c r="AR448" s="153">
        <v>18.600000000000001</v>
      </c>
      <c r="AS448" s="129">
        <f t="shared" si="330"/>
        <v>18.350000000000001</v>
      </c>
      <c r="AT448" s="150">
        <v>18.100000000000001</v>
      </c>
      <c r="AU448" s="150">
        <v>17.600000000000001</v>
      </c>
      <c r="AV448" s="150">
        <v>16.8</v>
      </c>
      <c r="AW448" s="150">
        <v>16.2</v>
      </c>
      <c r="AX448" s="150">
        <v>15.7</v>
      </c>
      <c r="AY448" s="150">
        <v>15</v>
      </c>
      <c r="AZ448" s="150">
        <v>14.3</v>
      </c>
      <c r="BA448" s="150">
        <v>13.7</v>
      </c>
      <c r="BC448" s="111">
        <f t="shared" si="343"/>
        <v>0</v>
      </c>
      <c r="BD448" s="111">
        <f t="shared" si="331"/>
        <v>0</v>
      </c>
      <c r="BE448" s="111">
        <f t="shared" si="332"/>
        <v>0</v>
      </c>
      <c r="BF448" s="111">
        <f t="shared" si="333"/>
        <v>0</v>
      </c>
      <c r="BG448" s="111">
        <f t="shared" si="334"/>
        <v>0</v>
      </c>
      <c r="BH448" s="111">
        <f t="shared" si="335"/>
        <v>0</v>
      </c>
      <c r="BI448" s="111">
        <f t="shared" si="336"/>
        <v>0</v>
      </c>
      <c r="BJ448" s="111">
        <f t="shared" si="337"/>
        <v>0</v>
      </c>
      <c r="BK448" s="111">
        <f t="shared" si="338"/>
        <v>0</v>
      </c>
      <c r="BL448" s="111">
        <f t="shared" si="339"/>
        <v>0</v>
      </c>
      <c r="BM448" s="111">
        <f t="shared" si="340"/>
        <v>0</v>
      </c>
      <c r="BN448" s="111">
        <f t="shared" si="341"/>
        <v>0</v>
      </c>
      <c r="BO448" s="111">
        <f t="shared" si="342"/>
        <v>0</v>
      </c>
      <c r="BR448" s="120">
        <v>6.0192602504675757E-3</v>
      </c>
      <c r="BS448" s="120">
        <v>6.465338818605797E-3</v>
      </c>
      <c r="BT448" s="120">
        <v>6.4573229415367675E-3</v>
      </c>
      <c r="BU448" s="120">
        <v>6.4890734580003839E-3</v>
      </c>
      <c r="BV448" s="120">
        <v>6.4099070573432875E-3</v>
      </c>
      <c r="BW448" s="120">
        <v>6.3216911377973499E-3</v>
      </c>
      <c r="BX448" s="120">
        <v>6.7071644740980272E-3</v>
      </c>
      <c r="BY448" s="120">
        <v>6.2220226558322312E-3</v>
      </c>
      <c r="BZ448" s="120">
        <v>6.7385753543636011E-3</v>
      </c>
      <c r="CA448" s="120">
        <v>6.9563983564703653E-3</v>
      </c>
      <c r="CB448" s="120">
        <v>7.3327631770436054E-3</v>
      </c>
      <c r="CC448" s="120">
        <v>8.0533782512325781E-3</v>
      </c>
      <c r="CD448" s="120">
        <v>9.495821266831822E-3</v>
      </c>
      <c r="CF448" s="120">
        <v>0.19214967687328799</v>
      </c>
      <c r="CG448" s="120">
        <v>0.19729397714774397</v>
      </c>
      <c r="CH448" s="120">
        <v>0.19269102991161588</v>
      </c>
      <c r="CI448" s="120">
        <v>0.18957651537986114</v>
      </c>
      <c r="CJ448" s="120">
        <v>0.18350007699225174</v>
      </c>
      <c r="CK448" s="120">
        <v>0.17746471048999363</v>
      </c>
      <c r="CL448" s="120">
        <v>0.18133023025235212</v>
      </c>
      <c r="CM448" s="120">
        <v>0.15694141607175205</v>
      </c>
      <c r="CN448" s="120">
        <v>0.15983563461219524</v>
      </c>
      <c r="CO448" s="120">
        <v>0.15613260385121647</v>
      </c>
      <c r="CP448" s="120">
        <v>0.14934788493325085</v>
      </c>
      <c r="CQ448" s="120">
        <v>0.14000756381670462</v>
      </c>
      <c r="CR448" s="120">
        <v>0.1245404080205345</v>
      </c>
    </row>
    <row r="449" spans="38:96" ht="12.75" x14ac:dyDescent="0.2">
      <c r="AN449" t="s">
        <v>110</v>
      </c>
      <c r="AO449" s="153">
        <v>20</v>
      </c>
      <c r="AP449" s="153">
        <v>19.100000000000001</v>
      </c>
      <c r="AQ449" s="153">
        <v>18.8</v>
      </c>
      <c r="AR449" s="153">
        <v>18.399999999999999</v>
      </c>
      <c r="AS449" s="129">
        <f t="shared" si="330"/>
        <v>18.149999999999999</v>
      </c>
      <c r="AT449" s="150">
        <v>17.899999999999999</v>
      </c>
      <c r="AU449" s="150">
        <v>17.5</v>
      </c>
      <c r="AV449" s="150">
        <v>16.7</v>
      </c>
      <c r="AW449" s="150">
        <v>16.100000000000001</v>
      </c>
      <c r="AX449" s="150">
        <v>15.6</v>
      </c>
      <c r="AY449" s="150">
        <v>14.8</v>
      </c>
      <c r="AZ449" s="150">
        <v>14</v>
      </c>
      <c r="BA449" s="150">
        <v>13.2</v>
      </c>
      <c r="BC449" s="111">
        <f t="shared" si="343"/>
        <v>0</v>
      </c>
      <c r="BD449" s="111">
        <f t="shared" si="331"/>
        <v>0</v>
      </c>
      <c r="BE449" s="111">
        <f t="shared" si="332"/>
        <v>0</v>
      </c>
      <c r="BF449" s="111">
        <f t="shared" si="333"/>
        <v>-0.10000000000000142</v>
      </c>
      <c r="BG449" s="111">
        <f t="shared" si="334"/>
        <v>-5.0000000000000711E-2</v>
      </c>
      <c r="BH449" s="111">
        <f t="shared" si="335"/>
        <v>0</v>
      </c>
      <c r="BI449" s="111">
        <f t="shared" si="336"/>
        <v>0</v>
      </c>
      <c r="BJ449" s="111">
        <f t="shared" si="337"/>
        <v>0</v>
      </c>
      <c r="BK449" s="111">
        <f t="shared" si="338"/>
        <v>0</v>
      </c>
      <c r="BL449" s="111">
        <f t="shared" si="339"/>
        <v>0</v>
      </c>
      <c r="BM449" s="111">
        <f t="shared" si="340"/>
        <v>0</v>
      </c>
      <c r="BN449" s="111">
        <f t="shared" si="341"/>
        <v>0</v>
      </c>
      <c r="BO449" s="111">
        <f t="shared" si="342"/>
        <v>0</v>
      </c>
      <c r="BR449" s="120">
        <v>6.0014758081408113E-3</v>
      </c>
      <c r="BS449" s="120">
        <v>5.6278838718683485E-3</v>
      </c>
      <c r="BT449" s="120">
        <v>5.8877107194262764E-3</v>
      </c>
      <c r="BU449" s="120">
        <v>5.6498269791087422E-3</v>
      </c>
      <c r="BV449" s="120">
        <v>5.7762436697118948E-3</v>
      </c>
      <c r="BW449" s="120">
        <v>5.9020079599377395E-3</v>
      </c>
      <c r="BX449" s="120">
        <v>5.9686867581793509E-3</v>
      </c>
      <c r="BY449" s="120">
        <v>6.6006032623068412E-3</v>
      </c>
      <c r="BZ449" s="120">
        <v>6.4653042609385822E-3</v>
      </c>
      <c r="CA449" s="120">
        <v>6.5755760805530656E-3</v>
      </c>
      <c r="CB449" s="120">
        <v>6.5488796790777442E-3</v>
      </c>
      <c r="CC449" s="120">
        <v>7.0792901223654461E-3</v>
      </c>
      <c r="CD449" s="120">
        <v>9.005646622467587E-3</v>
      </c>
      <c r="CF449" s="120">
        <v>0.19413084967749153</v>
      </c>
      <c r="CG449" s="120">
        <v>0.17316531422078604</v>
      </c>
      <c r="CH449" s="120">
        <v>0.17771067403943855</v>
      </c>
      <c r="CI449" s="120">
        <v>0.16637489520906504</v>
      </c>
      <c r="CJ449" s="120">
        <v>0.16663208540655305</v>
      </c>
      <c r="CK449" s="120">
        <v>0.16689748026283732</v>
      </c>
      <c r="CL449" s="120">
        <v>0.16308694921857264</v>
      </c>
      <c r="CM449" s="120">
        <v>0.16843397197670743</v>
      </c>
      <c r="CN449" s="120">
        <v>0.15520735589746726</v>
      </c>
      <c r="CO449" s="120">
        <v>0.14927347188277351</v>
      </c>
      <c r="CP449" s="120">
        <v>0.13440982367553583</v>
      </c>
      <c r="CQ449" s="120">
        <v>0.12378346317730657</v>
      </c>
      <c r="CR449" s="120">
        <v>0.11880217901646982</v>
      </c>
    </row>
    <row r="451" spans="38:96" x14ac:dyDescent="0.2">
      <c r="AO451">
        <v>-0.5</v>
      </c>
      <c r="AP451">
        <v>-0.25</v>
      </c>
      <c r="AQ451">
        <v>-0.13</v>
      </c>
      <c r="AR451">
        <v>0</v>
      </c>
      <c r="AS451">
        <v>0.125</v>
      </c>
      <c r="AT451" s="126">
        <v>0.25</v>
      </c>
      <c r="AU451" s="126">
        <v>0.5</v>
      </c>
      <c r="AV451" s="126">
        <v>1</v>
      </c>
      <c r="AW451" s="126">
        <v>1.5</v>
      </c>
      <c r="AX451" s="126">
        <v>2</v>
      </c>
      <c r="AY451" s="126">
        <v>3</v>
      </c>
      <c r="AZ451" s="126">
        <v>5</v>
      </c>
      <c r="BA451" s="126">
        <v>10</v>
      </c>
    </row>
    <row r="452" spans="38:96" ht="12.75" x14ac:dyDescent="0.2">
      <c r="AL452" s="105" t="s">
        <v>316</v>
      </c>
      <c r="AN452" t="s">
        <v>25</v>
      </c>
      <c r="AO452" s="150">
        <v>8.9</v>
      </c>
      <c r="AP452" s="150">
        <v>6.5</v>
      </c>
      <c r="AQ452" s="150">
        <v>7.3</v>
      </c>
      <c r="AR452" s="150">
        <v>8.8000000000000007</v>
      </c>
      <c r="AS452" s="126">
        <f t="shared" ref="AS452:AS466" si="345">(AR452+AT452)/2</f>
        <v>10.25</v>
      </c>
      <c r="AT452" s="150">
        <v>11.7</v>
      </c>
      <c r="AU452" s="150">
        <v>14.2</v>
      </c>
      <c r="AV452" s="150">
        <v>18.5</v>
      </c>
      <c r="AW452" s="150">
        <v>22</v>
      </c>
      <c r="AX452" s="150">
        <v>25.1</v>
      </c>
      <c r="AY452" s="150">
        <v>30.1</v>
      </c>
      <c r="AZ452" s="150">
        <v>37.5</v>
      </c>
      <c r="BA452" s="150">
        <v>49</v>
      </c>
      <c r="BC452" s="111">
        <f>AO452-AO435</f>
        <v>-0.79999999999999893</v>
      </c>
      <c r="BD452" s="111">
        <f t="shared" ref="BD452:BD466" si="346">AP452-AP435</f>
        <v>-0.59999999999999964</v>
      </c>
      <c r="BE452" s="111">
        <f t="shared" ref="BE452:BE466" si="347">AQ452-AQ435</f>
        <v>-0.5</v>
      </c>
      <c r="BF452" s="111">
        <f t="shared" ref="BF452:BF466" si="348">AR452-AR435</f>
        <v>-0.39999999999999858</v>
      </c>
      <c r="BG452" s="111">
        <f t="shared" ref="BG452:BG466" si="349">AS452-AS435</f>
        <v>-0.39999999999999858</v>
      </c>
      <c r="BH452" s="111">
        <f t="shared" ref="BH452:BH466" si="350">AT452-AT435</f>
        <v>-0.40000000000000036</v>
      </c>
      <c r="BI452" s="111">
        <f t="shared" ref="BI452:BI466" si="351">AU452-AU435</f>
        <v>-0.5</v>
      </c>
      <c r="BJ452" s="111">
        <f t="shared" ref="BJ452:BJ466" si="352">AV452-AV435</f>
        <v>-0.5</v>
      </c>
      <c r="BK452" s="111">
        <f t="shared" ref="BK452:BK466" si="353">AW452-AW435</f>
        <v>-0.60000000000000142</v>
      </c>
      <c r="BL452" s="111">
        <f t="shared" ref="BL452:BL466" si="354">AX452-AX435</f>
        <v>-0.59999999999999787</v>
      </c>
      <c r="BM452" s="111">
        <f t="shared" ref="BM452:BM466" si="355">AY452-AY435</f>
        <v>-0.69999999999999929</v>
      </c>
      <c r="BN452" s="111">
        <f t="shared" ref="BN452:BN466" si="356">AZ452-AZ435</f>
        <v>-0.89999999999999858</v>
      </c>
      <c r="BO452" s="111">
        <f t="shared" ref="BO452:BO466" si="357">BA452-BA435</f>
        <v>-1.1000000000000014</v>
      </c>
      <c r="BR452" s="120">
        <v>2.3161339003938595E-3</v>
      </c>
      <c r="BS452" s="120">
        <v>1.7626236756973857E-3</v>
      </c>
      <c r="BT452" s="120">
        <v>2.0378584443347318E-3</v>
      </c>
      <c r="BU452" s="120">
        <v>2.5090325766239578E-3</v>
      </c>
      <c r="BV452" s="120">
        <v>2.9831127431167274E-3</v>
      </c>
      <c r="BW452" s="120">
        <v>3.4735481083971891E-3</v>
      </c>
      <c r="BX452" s="120">
        <v>4.3801361625567439E-3</v>
      </c>
      <c r="BY452" s="120">
        <v>6.1252349595444268E-3</v>
      </c>
      <c r="BZ452" s="120">
        <v>7.7694297673562901E-3</v>
      </c>
      <c r="CA452" s="120">
        <v>9.3988235131580306E-3</v>
      </c>
      <c r="CB452" s="120">
        <v>1.2516015500021434E-2</v>
      </c>
      <c r="CC452" s="120">
        <v>1.8483795615231082E-2</v>
      </c>
      <c r="CD452" s="120">
        <v>3.2603645218125053E-2</v>
      </c>
      <c r="CF452" s="120">
        <v>8.9001540898886525E-2</v>
      </c>
      <c r="CG452" s="120">
        <v>6.4536954975704608E-2</v>
      </c>
      <c r="CH452" s="120">
        <v>7.3000209392478074E-2</v>
      </c>
      <c r="CI452" s="120">
        <v>8.8034028193992628E-2</v>
      </c>
      <c r="CJ452" s="120">
        <v>0.10258151598586034</v>
      </c>
      <c r="CK452" s="120">
        <v>0.11704841015658957</v>
      </c>
      <c r="CL452" s="120">
        <v>0.14200768657576282</v>
      </c>
      <c r="CM452" s="120">
        <v>0.18507883257036517</v>
      </c>
      <c r="CN452" s="120">
        <v>0.22027297260558359</v>
      </c>
      <c r="CO452" s="120">
        <v>0.25150574069400844</v>
      </c>
      <c r="CP452" s="120">
        <v>0.30225942142567225</v>
      </c>
      <c r="CQ452" s="120">
        <v>0.37790880518086806</v>
      </c>
      <c r="CR452" s="120">
        <v>0.49671372861711605</v>
      </c>
    </row>
    <row r="453" spans="38:96" ht="12.75" x14ac:dyDescent="0.2">
      <c r="AN453" t="s">
        <v>157</v>
      </c>
      <c r="AO453" s="150">
        <v>11.2</v>
      </c>
      <c r="AP453" s="150">
        <v>8.9</v>
      </c>
      <c r="AQ453" s="150">
        <v>9.6999999999999993</v>
      </c>
      <c r="AR453" s="150">
        <v>11</v>
      </c>
      <c r="AS453" s="126">
        <f t="shared" si="345"/>
        <v>12.3</v>
      </c>
      <c r="AT453" s="150">
        <v>13.6</v>
      </c>
      <c r="AU453" s="150">
        <v>15.9</v>
      </c>
      <c r="AV453" s="150">
        <v>19.8</v>
      </c>
      <c r="AW453" s="150">
        <v>23.1</v>
      </c>
      <c r="AX453" s="150">
        <v>25.8</v>
      </c>
      <c r="AY453" s="150">
        <v>30.3</v>
      </c>
      <c r="AZ453" s="150">
        <v>36.799999999999997</v>
      </c>
      <c r="BA453" s="150">
        <v>46.4</v>
      </c>
      <c r="BC453" s="111">
        <f t="shared" ref="BC453:BC466" si="358">AO453-AO436</f>
        <v>-0.80000000000000071</v>
      </c>
      <c r="BD453" s="111">
        <f t="shared" si="346"/>
        <v>-0.69999999999999929</v>
      </c>
      <c r="BE453" s="111">
        <f t="shared" si="347"/>
        <v>-0.5</v>
      </c>
      <c r="BF453" s="111">
        <f t="shared" si="348"/>
        <v>-0.40000000000000036</v>
      </c>
      <c r="BG453" s="111">
        <f t="shared" si="349"/>
        <v>-0.39999999999999858</v>
      </c>
      <c r="BH453" s="111">
        <f t="shared" si="350"/>
        <v>-0.40000000000000036</v>
      </c>
      <c r="BI453" s="111">
        <f t="shared" si="351"/>
        <v>-0.40000000000000036</v>
      </c>
      <c r="BJ453" s="111">
        <f t="shared" si="352"/>
        <v>-0.59999999999999787</v>
      </c>
      <c r="BK453" s="111">
        <f t="shared" si="353"/>
        <v>-0.59999999999999787</v>
      </c>
      <c r="BL453" s="111">
        <f t="shared" si="354"/>
        <v>-0.69999999999999929</v>
      </c>
      <c r="BM453" s="111">
        <f t="shared" si="355"/>
        <v>-0.80000000000000071</v>
      </c>
      <c r="BN453" s="111">
        <f t="shared" si="356"/>
        <v>-1</v>
      </c>
      <c r="BO453" s="111">
        <f t="shared" si="357"/>
        <v>-1.3000000000000043</v>
      </c>
      <c r="BR453" s="120">
        <v>3.4501293248590565E-3</v>
      </c>
      <c r="BS453" s="120">
        <v>3.2105693624528901E-3</v>
      </c>
      <c r="BT453" s="120">
        <v>3.3511000200407842E-3</v>
      </c>
      <c r="BU453" s="120">
        <v>3.6254565814260427E-3</v>
      </c>
      <c r="BV453" s="120">
        <v>3.978469279498899E-3</v>
      </c>
      <c r="BW453" s="120">
        <v>4.3753001842996566E-3</v>
      </c>
      <c r="BX453" s="120">
        <v>5.1683889280843267E-3</v>
      </c>
      <c r="BY453" s="120">
        <v>6.7184959103702337E-3</v>
      </c>
      <c r="BZ453" s="120">
        <v>8.2566237158149067E-3</v>
      </c>
      <c r="CA453" s="120">
        <v>9.6735893210569118E-3</v>
      </c>
      <c r="CB453" s="120">
        <v>1.2450563391769372E-2</v>
      </c>
      <c r="CC453" s="120">
        <v>1.7646389440667518E-2</v>
      </c>
      <c r="CD453" s="120">
        <v>2.9429665645467531E-2</v>
      </c>
      <c r="CF453" s="120">
        <v>0.13273674386388259</v>
      </c>
      <c r="CG453" s="120">
        <v>0.11779460627173277</v>
      </c>
      <c r="CH453" s="120">
        <v>0.12022752221555214</v>
      </c>
      <c r="CI453" s="120">
        <v>0.12726030922886913</v>
      </c>
      <c r="CJ453" s="120">
        <v>0.13677484024809666</v>
      </c>
      <c r="CK453" s="120">
        <v>0.14746988113947976</v>
      </c>
      <c r="CL453" s="120">
        <v>0.16774851490891909</v>
      </c>
      <c r="CM453" s="120">
        <v>0.20346321474671109</v>
      </c>
      <c r="CN453" s="120">
        <v>0.23502896515062247</v>
      </c>
      <c r="CO453" s="120">
        <v>0.26024742695527875</v>
      </c>
      <c r="CP453" s="120">
        <v>0.303228867482357</v>
      </c>
      <c r="CQ453" s="120">
        <v>0.36533603682477028</v>
      </c>
      <c r="CR453" s="120">
        <v>0.45627823261542277</v>
      </c>
    </row>
    <row r="454" spans="38:96" ht="12.75" x14ac:dyDescent="0.2">
      <c r="AN454" t="s">
        <v>99</v>
      </c>
      <c r="AO454" s="150">
        <v>13.9</v>
      </c>
      <c r="AP454" s="150">
        <v>11.6</v>
      </c>
      <c r="AQ454" s="150">
        <v>11.2</v>
      </c>
      <c r="AR454" s="150">
        <v>11.5</v>
      </c>
      <c r="AS454" s="126">
        <f t="shared" si="345"/>
        <v>12.1</v>
      </c>
      <c r="AT454" s="150">
        <v>12.7</v>
      </c>
      <c r="AU454" s="150">
        <v>13.9</v>
      </c>
      <c r="AV454" s="150">
        <v>16.100000000000001</v>
      </c>
      <c r="AW454" s="150">
        <v>18.100000000000001</v>
      </c>
      <c r="AX454" s="150">
        <v>19.8</v>
      </c>
      <c r="AY454" s="150">
        <v>22.6</v>
      </c>
      <c r="AZ454" s="150">
        <v>26.9</v>
      </c>
      <c r="BA454" s="150">
        <v>33.700000000000003</v>
      </c>
      <c r="BC454" s="111">
        <f t="shared" si="358"/>
        <v>-0.79999999999999893</v>
      </c>
      <c r="BD454" s="111">
        <f t="shared" si="346"/>
        <v>-0.59999999999999964</v>
      </c>
      <c r="BE454" s="111">
        <f t="shared" si="347"/>
        <v>-0.5</v>
      </c>
      <c r="BF454" s="111">
        <f t="shared" si="348"/>
        <v>-0.40000000000000036</v>
      </c>
      <c r="BG454" s="111">
        <f t="shared" si="349"/>
        <v>-0.40000000000000036</v>
      </c>
      <c r="BH454" s="111">
        <f t="shared" si="350"/>
        <v>-0.40000000000000036</v>
      </c>
      <c r="BI454" s="111">
        <f t="shared" si="351"/>
        <v>-0.5</v>
      </c>
      <c r="BJ454" s="111">
        <f t="shared" si="352"/>
        <v>-0.5</v>
      </c>
      <c r="BK454" s="111">
        <f t="shared" si="353"/>
        <v>-0.5</v>
      </c>
      <c r="BL454" s="111">
        <f t="shared" si="354"/>
        <v>-0.5</v>
      </c>
      <c r="BM454" s="111">
        <f t="shared" si="355"/>
        <v>-0.69999999999999929</v>
      </c>
      <c r="BN454" s="111">
        <f t="shared" si="356"/>
        <v>-0.70000000000000284</v>
      </c>
      <c r="BO454" s="111">
        <f t="shared" si="357"/>
        <v>-0.79999999999999716</v>
      </c>
      <c r="BR454" s="120">
        <v>3.7347947114214721E-3</v>
      </c>
      <c r="BS454" s="120">
        <v>3.2656302785282966E-3</v>
      </c>
      <c r="BT454" s="120">
        <v>3.2203963689523378E-3</v>
      </c>
      <c r="BU454" s="120">
        <v>3.3830713580277828E-3</v>
      </c>
      <c r="BV454" s="120">
        <v>3.6353263832532567E-3</v>
      </c>
      <c r="BW454" s="120">
        <v>3.8940771967052703E-3</v>
      </c>
      <c r="BX454" s="120">
        <v>4.4302757806835603E-3</v>
      </c>
      <c r="BY454" s="120">
        <v>5.5046680548655417E-3</v>
      </c>
      <c r="BZ454" s="120">
        <v>6.5885372695082519E-3</v>
      </c>
      <c r="CA454" s="120">
        <v>7.6283162255246974E-3</v>
      </c>
      <c r="CB454" s="120">
        <v>9.6227670533706282E-3</v>
      </c>
      <c r="CC454" s="120">
        <v>1.3477385405956277E-2</v>
      </c>
      <c r="CD454" s="120">
        <v>2.2534293764246319E-2</v>
      </c>
      <c r="CF454" s="120">
        <v>0.13900006619819222</v>
      </c>
      <c r="CG454" s="120">
        <v>0.11600008206980228</v>
      </c>
      <c r="CH454" s="120">
        <v>0.11187477690380791</v>
      </c>
      <c r="CI454" s="120">
        <v>0.11499999467351953</v>
      </c>
      <c r="CJ454" s="120">
        <v>0.1209995014680107</v>
      </c>
      <c r="CK454" s="120">
        <v>0.12699999200712944</v>
      </c>
      <c r="CL454" s="120">
        <v>0.13899989067036039</v>
      </c>
      <c r="CM454" s="120">
        <v>0.16099725446576521</v>
      </c>
      <c r="CN454" s="120">
        <v>0.18100108342138505</v>
      </c>
      <c r="CO454" s="120">
        <v>0.19800012156061167</v>
      </c>
      <c r="CP454" s="120">
        <v>0.22601530241065212</v>
      </c>
      <c r="CQ454" s="120">
        <v>0.26900390425472909</v>
      </c>
      <c r="CR454" s="120">
        <v>0.33703525606532964</v>
      </c>
    </row>
    <row r="455" spans="38:96" ht="12.75" x14ac:dyDescent="0.2">
      <c r="AN455" t="s">
        <v>101</v>
      </c>
      <c r="AO455" s="150">
        <v>15.9</v>
      </c>
      <c r="AP455" s="150">
        <v>13.8</v>
      </c>
      <c r="AQ455" s="150">
        <v>13.4</v>
      </c>
      <c r="AR455" s="150">
        <v>13.6</v>
      </c>
      <c r="AS455" s="126">
        <f t="shared" si="345"/>
        <v>14</v>
      </c>
      <c r="AT455" s="150">
        <v>14.4</v>
      </c>
      <c r="AU455" s="150">
        <v>15.2</v>
      </c>
      <c r="AV455" s="150">
        <v>16.7</v>
      </c>
      <c r="AW455" s="150">
        <v>18.100000000000001</v>
      </c>
      <c r="AX455" s="150">
        <v>19.399999999999999</v>
      </c>
      <c r="AY455" s="150">
        <v>21.5</v>
      </c>
      <c r="AZ455" s="150">
        <v>24.6</v>
      </c>
      <c r="BA455" s="150">
        <v>29.3</v>
      </c>
      <c r="BC455" s="111">
        <f t="shared" si="358"/>
        <v>-0.59999999999999964</v>
      </c>
      <c r="BD455" s="111">
        <f t="shared" si="346"/>
        <v>-0.59999999999999964</v>
      </c>
      <c r="BE455" s="111">
        <f t="shared" si="347"/>
        <v>-0.5</v>
      </c>
      <c r="BF455" s="111">
        <f t="shared" si="348"/>
        <v>-0.40000000000000036</v>
      </c>
      <c r="BG455" s="111">
        <f t="shared" si="349"/>
        <v>-0.40000000000000036</v>
      </c>
      <c r="BH455" s="111">
        <f t="shared" si="350"/>
        <v>-0.40000000000000036</v>
      </c>
      <c r="BI455" s="111">
        <f t="shared" si="351"/>
        <v>-0.40000000000000036</v>
      </c>
      <c r="BJ455" s="111">
        <f t="shared" si="352"/>
        <v>-0.40000000000000213</v>
      </c>
      <c r="BK455" s="111">
        <f t="shared" si="353"/>
        <v>-0.29999999999999716</v>
      </c>
      <c r="BL455" s="111">
        <f t="shared" si="354"/>
        <v>-0.20000000000000284</v>
      </c>
      <c r="BM455" s="111">
        <f t="shared" si="355"/>
        <v>-0.10000000000000142</v>
      </c>
      <c r="BN455" s="111">
        <f t="shared" si="356"/>
        <v>-9.9999999999997868E-2</v>
      </c>
      <c r="BO455" s="111">
        <f t="shared" si="357"/>
        <v>-9.9999999999997868E-2</v>
      </c>
      <c r="BR455" s="120">
        <v>5.8597895398177016E-3</v>
      </c>
      <c r="BS455" s="120">
        <v>5.7738120493652104E-3</v>
      </c>
      <c r="BT455" s="120">
        <v>5.751923586798921E-3</v>
      </c>
      <c r="BU455" s="120">
        <v>5.743214199316833E-3</v>
      </c>
      <c r="BV455" s="120">
        <v>5.7039754480558962E-3</v>
      </c>
      <c r="BW455" s="120">
        <v>5.6882424482651885E-3</v>
      </c>
      <c r="BX455" s="120">
        <v>5.7622240216561151E-3</v>
      </c>
      <c r="BY455" s="120">
        <v>6.2174940819638182E-3</v>
      </c>
      <c r="BZ455" s="120">
        <v>6.8619311109204082E-3</v>
      </c>
      <c r="CA455" s="120">
        <v>7.6255108897142418E-3</v>
      </c>
      <c r="CB455" s="120">
        <v>9.1155655930103534E-3</v>
      </c>
      <c r="CC455" s="120">
        <v>1.192728021852665E-2</v>
      </c>
      <c r="CD455" s="120">
        <v>1.8121693507140376E-2</v>
      </c>
      <c r="CF455" s="120">
        <v>0.21011611986722975</v>
      </c>
      <c r="CG455" s="120">
        <v>0.19758098610944658</v>
      </c>
      <c r="CH455" s="120">
        <v>0.19252562831354</v>
      </c>
      <c r="CI455" s="120">
        <v>0.18812912249405733</v>
      </c>
      <c r="CJ455" s="120">
        <v>0.18297783913439886</v>
      </c>
      <c r="CK455" s="120">
        <v>0.17882858634305318</v>
      </c>
      <c r="CL455" s="120">
        <v>0.17438588937906549</v>
      </c>
      <c r="CM455" s="120">
        <v>0.17562574199790662</v>
      </c>
      <c r="CN455" s="120">
        <v>0.18223436451924943</v>
      </c>
      <c r="CO455" s="120">
        <v>0.19151332421022912</v>
      </c>
      <c r="CP455" s="120">
        <v>0.20737321828372215</v>
      </c>
      <c r="CQ455" s="120">
        <v>0.23078608026608516</v>
      </c>
      <c r="CR455" s="120">
        <v>0.26263166415185413</v>
      </c>
    </row>
    <row r="456" spans="38:96" ht="12.75" x14ac:dyDescent="0.2">
      <c r="AN456" t="s">
        <v>102</v>
      </c>
      <c r="AO456" s="150">
        <v>17.600000000000001</v>
      </c>
      <c r="AP456" s="150">
        <v>15.7</v>
      </c>
      <c r="AQ456" s="150">
        <v>15.2</v>
      </c>
      <c r="AR456" s="150">
        <v>15.3</v>
      </c>
      <c r="AS456" s="126">
        <f t="shared" si="345"/>
        <v>15.55</v>
      </c>
      <c r="AT456" s="150">
        <v>15.8</v>
      </c>
      <c r="AU456" s="150">
        <v>16.399999999999999</v>
      </c>
      <c r="AV456" s="150">
        <v>17.5</v>
      </c>
      <c r="AW456" s="150">
        <v>18.600000000000001</v>
      </c>
      <c r="AX456" s="150">
        <v>19.7</v>
      </c>
      <c r="AY456" s="150">
        <v>21.6</v>
      </c>
      <c r="AZ456" s="150">
        <v>24.5</v>
      </c>
      <c r="BA456" s="150">
        <v>28.7</v>
      </c>
      <c r="BC456" s="111">
        <f t="shared" si="358"/>
        <v>-0.5</v>
      </c>
      <c r="BD456" s="111">
        <f t="shared" si="346"/>
        <v>-0.5</v>
      </c>
      <c r="BE456" s="111">
        <f t="shared" si="347"/>
        <v>-0.5</v>
      </c>
      <c r="BF456" s="111">
        <f t="shared" si="348"/>
        <v>-0.29999999999999893</v>
      </c>
      <c r="BG456" s="111">
        <f t="shared" si="349"/>
        <v>-0.30000000000000071</v>
      </c>
      <c r="BH456" s="111">
        <f t="shared" si="350"/>
        <v>-0.30000000000000071</v>
      </c>
      <c r="BI456" s="111">
        <f t="shared" si="351"/>
        <v>-0.20000000000000284</v>
      </c>
      <c r="BJ456" s="111">
        <f t="shared" si="352"/>
        <v>-0.10000000000000142</v>
      </c>
      <c r="BK456" s="111">
        <f t="shared" si="353"/>
        <v>0</v>
      </c>
      <c r="BL456" s="111">
        <f t="shared" si="354"/>
        <v>0.19999999999999929</v>
      </c>
      <c r="BM456" s="111">
        <f t="shared" si="355"/>
        <v>0.5</v>
      </c>
      <c r="BN456" s="111">
        <f t="shared" si="356"/>
        <v>0.89999999999999858</v>
      </c>
      <c r="BO456" s="111">
        <f t="shared" si="357"/>
        <v>1.1999999999999993</v>
      </c>
      <c r="BR456" s="120">
        <v>6.0670498474648419E-3</v>
      </c>
      <c r="BS456" s="120">
        <v>6.0711633611859042E-3</v>
      </c>
      <c r="BT456" s="120">
        <v>5.9584451577516205E-3</v>
      </c>
      <c r="BU456" s="120">
        <v>6.0035129052526627E-3</v>
      </c>
      <c r="BV456" s="120">
        <v>6.0466758264752013E-3</v>
      </c>
      <c r="BW456" s="120">
        <v>6.087025202478594E-3</v>
      </c>
      <c r="BX456" s="120">
        <v>6.3112055671458124E-3</v>
      </c>
      <c r="BY456" s="120">
        <v>6.8195323181694609E-3</v>
      </c>
      <c r="BZ456" s="120">
        <v>7.4938509367610401E-3</v>
      </c>
      <c r="CA456" s="120">
        <v>8.2688797598788697E-3</v>
      </c>
      <c r="CB456" s="120">
        <v>9.90710880761911E-3</v>
      </c>
      <c r="CC456" s="120">
        <v>1.3135858882279486E-2</v>
      </c>
      <c r="CD456" s="120">
        <v>2.0353041546394484E-2</v>
      </c>
      <c r="CF456" s="120">
        <v>0.20919247219060882</v>
      </c>
      <c r="CG456" s="120">
        <v>0.19985780913677861</v>
      </c>
      <c r="CH456" s="120">
        <v>0.19181867406552977</v>
      </c>
      <c r="CI456" s="120">
        <v>0.18930369525329185</v>
      </c>
      <c r="CJ456" s="120">
        <v>0.18687463899218465</v>
      </c>
      <c r="CK456" s="120">
        <v>0.1845047508999913</v>
      </c>
      <c r="CL456" s="120">
        <v>0.18440704850767001</v>
      </c>
      <c r="CM456" s="120">
        <v>0.18625186070837946</v>
      </c>
      <c r="CN456" s="120">
        <v>0.19266767990747988</v>
      </c>
      <c r="CO456" s="120">
        <v>0.20124787834590246</v>
      </c>
      <c r="CP456" s="120">
        <v>0.218912655391238</v>
      </c>
      <c r="CQ456" s="120">
        <v>0.24797350256381068</v>
      </c>
      <c r="CR456" s="120">
        <v>0.29007872043681887</v>
      </c>
    </row>
    <row r="457" spans="38:96" ht="12.75" x14ac:dyDescent="0.2">
      <c r="AN457" t="s">
        <v>103</v>
      </c>
      <c r="AO457" s="150">
        <v>18.899999999999999</v>
      </c>
      <c r="AP457" s="150">
        <v>17.100000000000001</v>
      </c>
      <c r="AQ457" s="150">
        <v>16.600000000000001</v>
      </c>
      <c r="AR457" s="150">
        <v>16.5</v>
      </c>
      <c r="AS457" s="126">
        <f t="shared" si="345"/>
        <v>16.649999999999999</v>
      </c>
      <c r="AT457" s="150">
        <v>16.8</v>
      </c>
      <c r="AU457" s="150">
        <v>17.100000000000001</v>
      </c>
      <c r="AV457" s="150">
        <v>17.8</v>
      </c>
      <c r="AW457" s="150">
        <v>18.600000000000001</v>
      </c>
      <c r="AX457" s="150">
        <v>19.399999999999999</v>
      </c>
      <c r="AY457" s="150">
        <v>21</v>
      </c>
      <c r="AZ457" s="150">
        <v>23.5</v>
      </c>
      <c r="BA457" s="150">
        <v>27.3</v>
      </c>
      <c r="BC457" s="111">
        <f t="shared" si="358"/>
        <v>-0.40000000000000213</v>
      </c>
      <c r="BD457" s="111">
        <f t="shared" si="346"/>
        <v>-0.39999999999999858</v>
      </c>
      <c r="BE457" s="111">
        <f t="shared" si="347"/>
        <v>-0.39999999999999858</v>
      </c>
      <c r="BF457" s="111">
        <f t="shared" si="348"/>
        <v>-0.39999999999999858</v>
      </c>
      <c r="BG457" s="111">
        <f t="shared" si="349"/>
        <v>-0.35000000000000142</v>
      </c>
      <c r="BH457" s="111">
        <f t="shared" si="350"/>
        <v>-0.30000000000000071</v>
      </c>
      <c r="BI457" s="111">
        <f t="shared" si="351"/>
        <v>-0.29999999999999716</v>
      </c>
      <c r="BJ457" s="111">
        <f t="shared" si="352"/>
        <v>-9.9999999999997868E-2</v>
      </c>
      <c r="BK457" s="111">
        <f t="shared" si="353"/>
        <v>0.10000000000000142</v>
      </c>
      <c r="BL457" s="111">
        <f t="shared" si="354"/>
        <v>0.19999999999999929</v>
      </c>
      <c r="BM457" s="111">
        <f t="shared" si="355"/>
        <v>0.5</v>
      </c>
      <c r="BN457" s="111">
        <f t="shared" si="356"/>
        <v>0.80000000000000071</v>
      </c>
      <c r="BO457" s="111">
        <f t="shared" si="357"/>
        <v>1.1999999999999993</v>
      </c>
      <c r="BR457" s="120">
        <v>6.9870603281180924E-3</v>
      </c>
      <c r="BS457" s="120">
        <v>6.8782410797598526E-3</v>
      </c>
      <c r="BT457" s="120">
        <v>6.884362914749983E-3</v>
      </c>
      <c r="BU457" s="120">
        <v>6.6994929680103399E-3</v>
      </c>
      <c r="BV457" s="120">
        <v>6.7198422521673453E-3</v>
      </c>
      <c r="BW457" s="120">
        <v>6.7387282692193979E-3</v>
      </c>
      <c r="BX457" s="120">
        <v>6.655369842671799E-3</v>
      </c>
      <c r="BY457" s="120">
        <v>6.9129823743519685E-3</v>
      </c>
      <c r="BZ457" s="120">
        <v>7.4023767205314978E-3</v>
      </c>
      <c r="CA457" s="120">
        <v>7.938204075146801E-3</v>
      </c>
      <c r="CB457" s="120">
        <v>9.3151145726576515E-3</v>
      </c>
      <c r="CC457" s="120">
        <v>1.2057650550366636E-2</v>
      </c>
      <c r="CD457" s="120">
        <v>1.8601389097203744E-2</v>
      </c>
      <c r="CF457" s="120">
        <v>0.23335972032521912</v>
      </c>
      <c r="CG457" s="120">
        <v>0.21923870390292532</v>
      </c>
      <c r="CH457" s="120">
        <v>0.21475137640093783</v>
      </c>
      <c r="CI457" s="120">
        <v>0.20446965279839052</v>
      </c>
      <c r="CJ457" s="120">
        <v>0.2009854822397544</v>
      </c>
      <c r="CK457" s="120">
        <v>0.19764263332683943</v>
      </c>
      <c r="CL457" s="120">
        <v>0.18793066793164995</v>
      </c>
      <c r="CM457" s="120">
        <v>0.18239243014346229</v>
      </c>
      <c r="CN457" s="120">
        <v>0.18383389474531348</v>
      </c>
      <c r="CO457" s="120">
        <v>0.18658428369354818</v>
      </c>
      <c r="CP457" s="120">
        <v>0.19879664010448148</v>
      </c>
      <c r="CQ457" s="120">
        <v>0.21974891424520723</v>
      </c>
      <c r="CR457" s="120">
        <v>0.25612157091169319</v>
      </c>
    </row>
    <row r="458" spans="38:96" ht="12.75" x14ac:dyDescent="0.2">
      <c r="AN458" t="s">
        <v>104</v>
      </c>
      <c r="AO458" s="150">
        <v>19.899999999999999</v>
      </c>
      <c r="AP458" s="150">
        <v>18.100000000000001</v>
      </c>
      <c r="AQ458" s="150">
        <v>17.600000000000001</v>
      </c>
      <c r="AR458" s="150">
        <v>17.5</v>
      </c>
      <c r="AS458" s="126">
        <f t="shared" si="345"/>
        <v>17.5</v>
      </c>
      <c r="AT458" s="150">
        <v>17.5</v>
      </c>
      <c r="AU458" s="150">
        <v>17.600000000000001</v>
      </c>
      <c r="AV458" s="150">
        <v>17.899999999999999</v>
      </c>
      <c r="AW458" s="150">
        <v>18.3</v>
      </c>
      <c r="AX458" s="150">
        <v>18.899999999999999</v>
      </c>
      <c r="AY458" s="150">
        <v>20</v>
      </c>
      <c r="AZ458" s="150">
        <v>22.1</v>
      </c>
      <c r="BA458" s="150">
        <v>25.5</v>
      </c>
      <c r="BC458" s="111">
        <f t="shared" si="358"/>
        <v>-0.20000000000000284</v>
      </c>
      <c r="BD458" s="111">
        <f t="shared" si="346"/>
        <v>-0.29999999999999716</v>
      </c>
      <c r="BE458" s="111">
        <f t="shared" si="347"/>
        <v>-0.29999999999999716</v>
      </c>
      <c r="BF458" s="111">
        <f t="shared" si="348"/>
        <v>-0.19999999999999929</v>
      </c>
      <c r="BG458" s="111">
        <f t="shared" si="349"/>
        <v>-0.19999999999999929</v>
      </c>
      <c r="BH458" s="111">
        <f t="shared" si="350"/>
        <v>-0.19999999999999929</v>
      </c>
      <c r="BI458" s="111">
        <f t="shared" si="351"/>
        <v>-0.19999999999999929</v>
      </c>
      <c r="BJ458" s="111">
        <f t="shared" si="352"/>
        <v>-0.10000000000000142</v>
      </c>
      <c r="BK458" s="111">
        <f t="shared" si="353"/>
        <v>0</v>
      </c>
      <c r="BL458" s="111">
        <f t="shared" si="354"/>
        <v>0.19999999999999929</v>
      </c>
      <c r="BM458" s="111">
        <f t="shared" si="355"/>
        <v>0.39999999999999858</v>
      </c>
      <c r="BN458" s="111">
        <f t="shared" si="356"/>
        <v>0.70000000000000284</v>
      </c>
      <c r="BO458" s="111">
        <f t="shared" si="357"/>
        <v>1.1000000000000014</v>
      </c>
      <c r="BR458" s="120">
        <v>7.3685623681254784E-3</v>
      </c>
      <c r="BS458" s="120">
        <v>7.1572488341893553E-3</v>
      </c>
      <c r="BT458" s="120">
        <v>7.1302729852779105E-3</v>
      </c>
      <c r="BU458" s="120">
        <v>7.2940234080124122E-3</v>
      </c>
      <c r="BV458" s="120">
        <v>7.1715878582802621E-3</v>
      </c>
      <c r="BW458" s="120">
        <v>7.0449791612990286E-3</v>
      </c>
      <c r="BX458" s="120">
        <v>7.0524517962063773E-3</v>
      </c>
      <c r="BY458" s="120">
        <v>7.1107152059398313E-3</v>
      </c>
      <c r="BZ458" s="120">
        <v>7.2895430248694276E-3</v>
      </c>
      <c r="CA458" s="120">
        <v>7.845869959821887E-3</v>
      </c>
      <c r="CB458" s="120">
        <v>8.7771140847220964E-3</v>
      </c>
      <c r="CC458" s="120">
        <v>1.1282953028391638E-2</v>
      </c>
      <c r="CD458" s="120">
        <v>1.7349227324865022E-2</v>
      </c>
      <c r="CF458" s="120">
        <v>0.23680856632006159</v>
      </c>
      <c r="CG458" s="120">
        <v>0.21952716951338094</v>
      </c>
      <c r="CH458" s="120">
        <v>0.21399653123443943</v>
      </c>
      <c r="CI458" s="120">
        <v>0.21465427972579973</v>
      </c>
      <c r="CJ458" s="120">
        <v>0.20673904188784797</v>
      </c>
      <c r="CK458" s="120">
        <v>0.19908338072881754</v>
      </c>
      <c r="CL458" s="120">
        <v>0.19213609408057489</v>
      </c>
      <c r="CM458" s="120">
        <v>0.18107572116961645</v>
      </c>
      <c r="CN458" s="120">
        <v>0.17472612606874646</v>
      </c>
      <c r="CO458" s="120">
        <v>0.17820207538528959</v>
      </c>
      <c r="CP458" s="120">
        <v>0.18104690032160312</v>
      </c>
      <c r="CQ458" s="120">
        <v>0.19925664350708633</v>
      </c>
      <c r="CR458" s="120">
        <v>0.23229593900274376</v>
      </c>
    </row>
    <row r="459" spans="38:96" ht="12.75" x14ac:dyDescent="0.2">
      <c r="AN459" t="s">
        <v>105</v>
      </c>
      <c r="AO459" s="150">
        <v>20.6</v>
      </c>
      <c r="AP459" s="150">
        <v>18.899999999999999</v>
      </c>
      <c r="AQ459" s="150">
        <v>18.399999999999999</v>
      </c>
      <c r="AR459" s="150">
        <v>18.100000000000001</v>
      </c>
      <c r="AS459" s="126">
        <f t="shared" si="345"/>
        <v>18.05</v>
      </c>
      <c r="AT459" s="150">
        <v>18</v>
      </c>
      <c r="AU459" s="150">
        <v>18</v>
      </c>
      <c r="AV459" s="150">
        <v>18</v>
      </c>
      <c r="AW459" s="150">
        <v>18.100000000000001</v>
      </c>
      <c r="AX459" s="150">
        <v>18.3</v>
      </c>
      <c r="AY459" s="150">
        <v>19.100000000000001</v>
      </c>
      <c r="AZ459" s="150">
        <v>20.7</v>
      </c>
      <c r="BA459" s="150">
        <v>23.6</v>
      </c>
      <c r="BC459" s="111">
        <f t="shared" si="358"/>
        <v>-0.19999999999999929</v>
      </c>
      <c r="BD459" s="111">
        <f t="shared" si="346"/>
        <v>-0.20000000000000284</v>
      </c>
      <c r="BE459" s="111">
        <f t="shared" si="347"/>
        <v>-0.20000000000000284</v>
      </c>
      <c r="BF459" s="111">
        <f t="shared" si="348"/>
        <v>-0.19999999999999929</v>
      </c>
      <c r="BG459" s="111">
        <f t="shared" si="349"/>
        <v>-0.19999999999999929</v>
      </c>
      <c r="BH459" s="111">
        <f t="shared" si="350"/>
        <v>-0.19999999999999929</v>
      </c>
      <c r="BI459" s="111">
        <f t="shared" si="351"/>
        <v>-0.10000000000000142</v>
      </c>
      <c r="BJ459" s="111">
        <f t="shared" si="352"/>
        <v>0</v>
      </c>
      <c r="BK459" s="111">
        <f t="shared" si="353"/>
        <v>0</v>
      </c>
      <c r="BL459" s="111">
        <f t="shared" si="354"/>
        <v>0.10000000000000142</v>
      </c>
      <c r="BM459" s="111">
        <f t="shared" si="355"/>
        <v>0.30000000000000071</v>
      </c>
      <c r="BN459" s="111">
        <f t="shared" si="356"/>
        <v>0.5</v>
      </c>
      <c r="BO459" s="111">
        <f t="shared" si="357"/>
        <v>0.80000000000000071</v>
      </c>
      <c r="BR459" s="120">
        <v>7.6174019145824091E-3</v>
      </c>
      <c r="BS459" s="120">
        <v>7.6436296859167946E-3</v>
      </c>
      <c r="BT459" s="120">
        <v>7.6362243012766612E-3</v>
      </c>
      <c r="BU459" s="120">
        <v>7.224686217410319E-3</v>
      </c>
      <c r="BV459" s="120">
        <v>7.2896557898563859E-3</v>
      </c>
      <c r="BW459" s="120">
        <v>7.3473996118688361E-3</v>
      </c>
      <c r="BX459" s="120">
        <v>7.4206124056547329E-3</v>
      </c>
      <c r="BY459" s="120">
        <v>7.436424758922199E-3</v>
      </c>
      <c r="BZ459" s="120">
        <v>7.5693855550933364E-3</v>
      </c>
      <c r="CA459" s="120">
        <v>7.5645744533298928E-3</v>
      </c>
      <c r="CB459" s="120">
        <v>8.584400839098354E-3</v>
      </c>
      <c r="CC459" s="120">
        <v>1.0546165446598298E-2</v>
      </c>
      <c r="CD459" s="120">
        <v>1.573031741874089E-2</v>
      </c>
      <c r="CF459" s="120">
        <v>0.23716817787481262</v>
      </c>
      <c r="CG459" s="120">
        <v>0.22749276371367838</v>
      </c>
      <c r="CH459" s="120">
        <v>0.222454583417247</v>
      </c>
      <c r="CI459" s="120">
        <v>0.20566193207276784</v>
      </c>
      <c r="CJ459" s="120">
        <v>0.20353873773392092</v>
      </c>
      <c r="CK459" s="120">
        <v>0.20133962990434306</v>
      </c>
      <c r="CL459" s="120">
        <v>0.19607543735096392</v>
      </c>
      <c r="CM459" s="120">
        <v>0.18376122189778102</v>
      </c>
      <c r="CN459" s="120">
        <v>0.17618230974441679</v>
      </c>
      <c r="CO459" s="120">
        <v>0.16657991588086465</v>
      </c>
      <c r="CP459" s="120">
        <v>0.17201250245549218</v>
      </c>
      <c r="CQ459" s="120">
        <v>0.18089493021865177</v>
      </c>
      <c r="CR459" s="120">
        <v>0.20467766387132413</v>
      </c>
    </row>
    <row r="460" spans="38:96" ht="12.75" x14ac:dyDescent="0.2">
      <c r="AN460" t="s">
        <v>106</v>
      </c>
      <c r="AO460" s="150">
        <v>21</v>
      </c>
      <c r="AP460" s="150">
        <v>19.3</v>
      </c>
      <c r="AQ460" s="150">
        <v>18.8</v>
      </c>
      <c r="AR460" s="150">
        <v>18.600000000000001</v>
      </c>
      <c r="AS460" s="126">
        <f t="shared" si="345"/>
        <v>18.450000000000003</v>
      </c>
      <c r="AT460" s="150">
        <v>18.3</v>
      </c>
      <c r="AU460" s="150">
        <v>18.2</v>
      </c>
      <c r="AV460" s="150">
        <v>17.899999999999999</v>
      </c>
      <c r="AW460" s="150">
        <v>17.899999999999999</v>
      </c>
      <c r="AX460" s="150">
        <v>17.899999999999999</v>
      </c>
      <c r="AY460" s="150">
        <v>18.399999999999999</v>
      </c>
      <c r="AZ460" s="150">
        <v>19.7</v>
      </c>
      <c r="BA460" s="150">
        <v>22.1</v>
      </c>
      <c r="BC460" s="111">
        <f t="shared" si="358"/>
        <v>-0.19999999999999929</v>
      </c>
      <c r="BD460" s="111">
        <f t="shared" si="346"/>
        <v>-0.30000000000000071</v>
      </c>
      <c r="BE460" s="111">
        <f t="shared" si="347"/>
        <v>-0.19999999999999929</v>
      </c>
      <c r="BF460" s="111">
        <f t="shared" si="348"/>
        <v>-9.9999999999997868E-2</v>
      </c>
      <c r="BG460" s="111">
        <f t="shared" si="349"/>
        <v>-0.14999999999999858</v>
      </c>
      <c r="BH460" s="111">
        <f t="shared" si="350"/>
        <v>-0.19999999999999929</v>
      </c>
      <c r="BI460" s="111">
        <f t="shared" si="351"/>
        <v>-0.10000000000000142</v>
      </c>
      <c r="BJ460" s="111">
        <f t="shared" si="352"/>
        <v>-0.10000000000000142</v>
      </c>
      <c r="BK460" s="111">
        <f t="shared" si="353"/>
        <v>0</v>
      </c>
      <c r="BL460" s="111">
        <f t="shared" si="354"/>
        <v>9.9999999999997868E-2</v>
      </c>
      <c r="BM460" s="111">
        <f t="shared" si="355"/>
        <v>0.19999999999999929</v>
      </c>
      <c r="BN460" s="111">
        <f t="shared" si="356"/>
        <v>0.39999999999999858</v>
      </c>
      <c r="BO460" s="111">
        <f t="shared" si="357"/>
        <v>0.5</v>
      </c>
      <c r="BR460" s="120">
        <v>7.5127203986421276E-3</v>
      </c>
      <c r="BS460" s="120">
        <v>7.2309298381873152E-3</v>
      </c>
      <c r="BT460" s="120">
        <v>7.2076332993231528E-3</v>
      </c>
      <c r="BU460" s="120">
        <v>7.6709133959455538E-3</v>
      </c>
      <c r="BV460" s="120">
        <v>7.5062215563757228E-3</v>
      </c>
      <c r="BW460" s="120">
        <v>7.3328151183124773E-3</v>
      </c>
      <c r="BX460" s="120">
        <v>7.327214368338779E-3</v>
      </c>
      <c r="BY460" s="120">
        <v>7.1256790386059667E-3</v>
      </c>
      <c r="BZ460" s="120">
        <v>7.5089153915066931E-3</v>
      </c>
      <c r="CA460" s="120">
        <v>7.7689906058743116E-3</v>
      </c>
      <c r="CB460" s="120">
        <v>8.442716349164079E-3</v>
      </c>
      <c r="CC460" s="120">
        <v>1.0487401957667591E-2</v>
      </c>
      <c r="CD460" s="120">
        <v>1.5173107798526261E-2</v>
      </c>
      <c r="CF460" s="120">
        <v>0.22864525673321545</v>
      </c>
      <c r="CG460" s="120">
        <v>0.20999185567284204</v>
      </c>
      <c r="CH460" s="120">
        <v>0.20489065501943693</v>
      </c>
      <c r="CI460" s="120">
        <v>0.21427716446340242</v>
      </c>
      <c r="CJ460" s="120">
        <v>0.20536591763121365</v>
      </c>
      <c r="CK460" s="120">
        <v>0.19663672056375506</v>
      </c>
      <c r="CL460" s="120">
        <v>0.18944256759865907</v>
      </c>
      <c r="CM460" s="120">
        <v>0.17222254431513742</v>
      </c>
      <c r="CN460" s="120">
        <v>0.17116482769809224</v>
      </c>
      <c r="CO460" s="120">
        <v>0.16788038903243213</v>
      </c>
      <c r="CP460" s="120">
        <v>0.16587868728656291</v>
      </c>
      <c r="CQ460" s="120">
        <v>0.17677511531569892</v>
      </c>
      <c r="CR460" s="120">
        <v>0.19440557116021201</v>
      </c>
    </row>
    <row r="461" spans="38:96" ht="12.75" x14ac:dyDescent="0.2">
      <c r="AN461" t="s">
        <v>79</v>
      </c>
      <c r="AO461" s="150">
        <v>21.2</v>
      </c>
      <c r="AP461" s="150">
        <v>19.600000000000001</v>
      </c>
      <c r="AQ461" s="150">
        <v>19.100000000000001</v>
      </c>
      <c r="AR461" s="150">
        <v>18.8</v>
      </c>
      <c r="AS461" s="126">
        <f t="shared" si="345"/>
        <v>18.649999999999999</v>
      </c>
      <c r="AT461" s="150">
        <v>18.5</v>
      </c>
      <c r="AU461" s="150">
        <v>18.3</v>
      </c>
      <c r="AV461" s="150">
        <v>17.899999999999999</v>
      </c>
      <c r="AW461" s="150">
        <v>17.7</v>
      </c>
      <c r="AX461" s="150">
        <v>17.600000000000001</v>
      </c>
      <c r="AY461" s="150">
        <v>17.8</v>
      </c>
      <c r="AZ461" s="150">
        <v>18.7</v>
      </c>
      <c r="BA461" s="150">
        <v>20.9</v>
      </c>
      <c r="BC461" s="111">
        <f t="shared" si="358"/>
        <v>-0.19999999999999929</v>
      </c>
      <c r="BD461" s="111">
        <f t="shared" si="346"/>
        <v>-0.19999999999999929</v>
      </c>
      <c r="BE461" s="111">
        <f t="shared" si="347"/>
        <v>-0.19999999999999929</v>
      </c>
      <c r="BF461" s="111">
        <f t="shared" si="348"/>
        <v>-0.19999999999999929</v>
      </c>
      <c r="BG461" s="111">
        <f t="shared" si="349"/>
        <v>-0.15000000000000213</v>
      </c>
      <c r="BH461" s="111">
        <f t="shared" si="350"/>
        <v>-0.10000000000000142</v>
      </c>
      <c r="BI461" s="111">
        <f t="shared" si="351"/>
        <v>-9.9999999999997868E-2</v>
      </c>
      <c r="BJ461" s="111">
        <f t="shared" si="352"/>
        <v>0</v>
      </c>
      <c r="BK461" s="111">
        <f t="shared" si="353"/>
        <v>0</v>
      </c>
      <c r="BL461" s="111">
        <f t="shared" si="354"/>
        <v>0.10000000000000142</v>
      </c>
      <c r="BM461" s="111">
        <f t="shared" si="355"/>
        <v>0.19999999999999929</v>
      </c>
      <c r="BN461" s="111">
        <f t="shared" si="356"/>
        <v>0.19999999999999929</v>
      </c>
      <c r="BO461" s="111">
        <f t="shared" si="357"/>
        <v>0.5</v>
      </c>
      <c r="BR461" s="120">
        <v>7.7352981252976228E-3</v>
      </c>
      <c r="BS461" s="120">
        <v>7.7869356837558974E-3</v>
      </c>
      <c r="BT461" s="120">
        <v>7.7500317679607082E-3</v>
      </c>
      <c r="BU461" s="120">
        <v>7.3442684750197988E-3</v>
      </c>
      <c r="BV461" s="120">
        <v>7.4859208337496701E-3</v>
      </c>
      <c r="BW461" s="120">
        <v>7.623774568409865E-3</v>
      </c>
      <c r="BX461" s="120">
        <v>7.546095160962934E-3</v>
      </c>
      <c r="BY461" s="120">
        <v>7.7291703909790968E-3</v>
      </c>
      <c r="BZ461" s="120">
        <v>7.5947672785438335E-3</v>
      </c>
      <c r="CA461" s="120">
        <v>7.8196344003842108E-3</v>
      </c>
      <c r="CB461" s="120">
        <v>8.2614816218897213E-3</v>
      </c>
      <c r="CC461" s="120">
        <v>9.5922226668193767E-3</v>
      </c>
      <c r="CD461" s="120">
        <v>1.4524891063051628E-2</v>
      </c>
      <c r="CF461" s="120">
        <v>0.23172942299922897</v>
      </c>
      <c r="CG461" s="120">
        <v>0.22309869911967486</v>
      </c>
      <c r="CH461" s="120">
        <v>0.21732717508659735</v>
      </c>
      <c r="CI461" s="120">
        <v>0.20122039510825659</v>
      </c>
      <c r="CJ461" s="120">
        <v>0.20128580754658223</v>
      </c>
      <c r="CK461" s="120">
        <v>0.20128910957888457</v>
      </c>
      <c r="CL461" s="120">
        <v>0.19206379153344347</v>
      </c>
      <c r="CM461" s="120">
        <v>0.1842302387049542</v>
      </c>
      <c r="CN461" s="120">
        <v>0.17039994528519434</v>
      </c>
      <c r="CO461" s="120">
        <v>0.16625405080549183</v>
      </c>
      <c r="CP461" s="120">
        <v>0.15974413779122565</v>
      </c>
      <c r="CQ461" s="120">
        <v>0.15889165260613136</v>
      </c>
      <c r="CR461" s="120">
        <v>0.18332966010440688</v>
      </c>
    </row>
    <row r="462" spans="38:96" ht="12.75" x14ac:dyDescent="0.2">
      <c r="AN462" t="s">
        <v>159</v>
      </c>
      <c r="AO462" s="150">
        <v>21.2</v>
      </c>
      <c r="AP462" s="150">
        <v>19.8</v>
      </c>
      <c r="AQ462" s="150">
        <v>19.3</v>
      </c>
      <c r="AR462" s="150">
        <v>19</v>
      </c>
      <c r="AS462" s="126">
        <f t="shared" si="345"/>
        <v>18.8</v>
      </c>
      <c r="AT462" s="150">
        <v>18.600000000000001</v>
      </c>
      <c r="AU462" s="150">
        <v>18.2</v>
      </c>
      <c r="AV462" s="150">
        <v>17.600000000000001</v>
      </c>
      <c r="AW462" s="150">
        <v>17.2</v>
      </c>
      <c r="AX462" s="150">
        <v>17</v>
      </c>
      <c r="AY462" s="150">
        <v>16.8</v>
      </c>
      <c r="AZ462" s="150">
        <v>17.2</v>
      </c>
      <c r="BA462" s="150">
        <v>18.5</v>
      </c>
      <c r="BC462" s="111">
        <f t="shared" si="358"/>
        <v>-0.19999999999999929</v>
      </c>
      <c r="BD462" s="111">
        <f t="shared" si="346"/>
        <v>-9.9999999999997868E-2</v>
      </c>
      <c r="BE462" s="111">
        <f t="shared" si="347"/>
        <v>-9.9999999999997868E-2</v>
      </c>
      <c r="BF462" s="111">
        <f t="shared" si="348"/>
        <v>-0.10000000000000142</v>
      </c>
      <c r="BG462" s="111">
        <f t="shared" si="349"/>
        <v>-9.9999999999997868E-2</v>
      </c>
      <c r="BH462" s="111">
        <f t="shared" si="350"/>
        <v>-9.9999999999997868E-2</v>
      </c>
      <c r="BI462" s="111">
        <f t="shared" si="351"/>
        <v>-0.10000000000000142</v>
      </c>
      <c r="BJ462" s="111">
        <f t="shared" si="352"/>
        <v>-9.9999999999997868E-2</v>
      </c>
      <c r="BK462" s="111">
        <f t="shared" si="353"/>
        <v>0</v>
      </c>
      <c r="BL462" s="111">
        <f t="shared" si="354"/>
        <v>0.10000000000000142</v>
      </c>
      <c r="BM462" s="111">
        <f t="shared" si="355"/>
        <v>0.10000000000000142</v>
      </c>
      <c r="BN462" s="111">
        <f t="shared" si="356"/>
        <v>0.19999999999999929</v>
      </c>
      <c r="BO462" s="111">
        <f t="shared" si="357"/>
        <v>0.19999999999999929</v>
      </c>
      <c r="BR462" s="120">
        <v>6.6682856045795075E-3</v>
      </c>
      <c r="BS462" s="120">
        <v>6.7760594320431227E-3</v>
      </c>
      <c r="BT462" s="120">
        <v>6.7712895891400325E-3</v>
      </c>
      <c r="BU462" s="120">
        <v>7.0823298270483136E-3</v>
      </c>
      <c r="BV462" s="120">
        <v>7.013194851643749E-3</v>
      </c>
      <c r="BW462" s="120">
        <v>6.9353273912382144E-3</v>
      </c>
      <c r="BX462" s="120">
        <v>6.7822430647630685E-3</v>
      </c>
      <c r="BY462" s="120">
        <v>6.730385569058495E-3</v>
      </c>
      <c r="BZ462" s="120">
        <v>6.9677244608113151E-3</v>
      </c>
      <c r="CA462" s="120">
        <v>7.2651069738793317E-3</v>
      </c>
      <c r="CB462" s="120">
        <v>7.6437681558882585E-3</v>
      </c>
      <c r="CC462" s="120">
        <v>8.9977557110732034E-3</v>
      </c>
      <c r="CD462" s="120">
        <v>1.1105010175353751E-2</v>
      </c>
      <c r="CF462" s="120">
        <v>0.1947299182941464</v>
      </c>
      <c r="CG462" s="120">
        <v>0.18934744170655982</v>
      </c>
      <c r="CH462" s="120">
        <v>0.18528161527098416</v>
      </c>
      <c r="CI462" s="120">
        <v>0.19044138193587254</v>
      </c>
      <c r="CJ462" s="120">
        <v>0.18479122679177368</v>
      </c>
      <c r="CK462" s="120">
        <v>0.17918344587416143</v>
      </c>
      <c r="CL462" s="120">
        <v>0.16889764271381352</v>
      </c>
      <c r="CM462" s="120">
        <v>0.15682797458670528</v>
      </c>
      <c r="CN462" s="120">
        <v>0.15323335008103556</v>
      </c>
      <c r="CO462" s="120">
        <v>0.15155144655502165</v>
      </c>
      <c r="CP462" s="120">
        <v>0.14508070582940102</v>
      </c>
      <c r="CQ462" s="120">
        <v>0.14662000542132597</v>
      </c>
      <c r="CR462" s="120">
        <v>0.13712019481694421</v>
      </c>
    </row>
    <row r="463" spans="38:96" ht="12.75" x14ac:dyDescent="0.2">
      <c r="AN463" t="s">
        <v>107</v>
      </c>
      <c r="AO463" s="150">
        <v>20.9</v>
      </c>
      <c r="AP463" s="150">
        <v>19.7</v>
      </c>
      <c r="AQ463" s="150">
        <v>19.2</v>
      </c>
      <c r="AR463" s="150">
        <v>18.899999999999999</v>
      </c>
      <c r="AS463" s="126">
        <f t="shared" si="345"/>
        <v>18.649999999999999</v>
      </c>
      <c r="AT463" s="141">
        <v>18.399999999999999</v>
      </c>
      <c r="AU463" s="150">
        <v>18</v>
      </c>
      <c r="AV463" s="150">
        <v>17.3</v>
      </c>
      <c r="AW463" s="150">
        <v>16.8</v>
      </c>
      <c r="AX463" s="150">
        <v>16.399999999999999</v>
      </c>
      <c r="AY463" s="150">
        <v>15.9</v>
      </c>
      <c r="AZ463" s="150">
        <v>15.7</v>
      </c>
      <c r="BA463" s="141">
        <v>16.3</v>
      </c>
      <c r="BC463" s="111">
        <f t="shared" si="358"/>
        <v>-0.10000000000000142</v>
      </c>
      <c r="BD463" s="111">
        <f t="shared" si="346"/>
        <v>-0.10000000000000142</v>
      </c>
      <c r="BE463" s="111">
        <f t="shared" si="347"/>
        <v>-0.10000000000000142</v>
      </c>
      <c r="BF463" s="111">
        <f t="shared" si="348"/>
        <v>-0.10000000000000142</v>
      </c>
      <c r="BG463" s="111">
        <f t="shared" si="349"/>
        <v>-0.10000000000000142</v>
      </c>
      <c r="BH463" s="111">
        <f t="shared" si="350"/>
        <v>-0.10000000000000142</v>
      </c>
      <c r="BI463" s="111">
        <f t="shared" si="351"/>
        <v>-0.10000000000000142</v>
      </c>
      <c r="BJ463" s="111">
        <f t="shared" si="352"/>
        <v>0</v>
      </c>
      <c r="BK463" s="111">
        <f t="shared" si="353"/>
        <v>0</v>
      </c>
      <c r="BL463" s="111">
        <f t="shared" si="354"/>
        <v>0</v>
      </c>
      <c r="BM463" s="111">
        <f t="shared" si="355"/>
        <v>0</v>
      </c>
      <c r="BN463" s="111">
        <f t="shared" si="356"/>
        <v>9.9999999999999645E-2</v>
      </c>
      <c r="BO463" s="111">
        <f t="shared" si="357"/>
        <v>0.19999999999999929</v>
      </c>
      <c r="BR463" s="120">
        <v>6.9830801963095129E-3</v>
      </c>
      <c r="BS463" s="120">
        <v>7.0219070684865801E-3</v>
      </c>
      <c r="BT463" s="120">
        <v>6.9701967552977398E-3</v>
      </c>
      <c r="BU463" s="120">
        <v>6.8060354362854056E-3</v>
      </c>
      <c r="BV463" s="120">
        <v>6.8439856846757158E-3</v>
      </c>
      <c r="BW463" s="120">
        <v>6.8787158529640688E-3</v>
      </c>
      <c r="BX463" s="120">
        <v>7.1523726074995079E-3</v>
      </c>
      <c r="BY463" s="120">
        <v>7.3573991191311847E-3</v>
      </c>
      <c r="BZ463" s="120">
        <v>7.4290143801764939E-3</v>
      </c>
      <c r="CA463" s="120">
        <v>7.3297513717415419E-3</v>
      </c>
      <c r="CB463" s="120">
        <v>7.575288986320013E-3</v>
      </c>
      <c r="CC463" s="120">
        <v>8.0385356874095315E-3</v>
      </c>
      <c r="CD463" s="120">
        <v>1.1154933747103741E-2</v>
      </c>
      <c r="CF463" s="120">
        <v>0.20575924381076732</v>
      </c>
      <c r="CG463" s="120">
        <v>0.1978290680444485</v>
      </c>
      <c r="CH463" s="120">
        <v>0.19216924896910062</v>
      </c>
      <c r="CI463" s="120">
        <v>0.18351739912064105</v>
      </c>
      <c r="CJ463" s="120">
        <v>0.18101837758677267</v>
      </c>
      <c r="CK463" s="120">
        <v>0.17857186697943864</v>
      </c>
      <c r="CL463" s="120">
        <v>0.17928939114875531</v>
      </c>
      <c r="CM463" s="120">
        <v>0.17273177530848993</v>
      </c>
      <c r="CN463" s="120">
        <v>0.16427938318091878</v>
      </c>
      <c r="CO463" s="120">
        <v>0.15344159609072741</v>
      </c>
      <c r="CP463" s="120">
        <v>0.14419644915693425</v>
      </c>
      <c r="CQ463" s="120">
        <v>0.13095687560452515</v>
      </c>
      <c r="CR463" s="120">
        <v>0.13858865788843694</v>
      </c>
    </row>
    <row r="464" spans="38:96" ht="12.75" x14ac:dyDescent="0.2">
      <c r="AN464" t="s">
        <v>108</v>
      </c>
      <c r="AO464" s="150">
        <v>20.399999999999999</v>
      </c>
      <c r="AP464" s="150">
        <v>19.399999999999999</v>
      </c>
      <c r="AQ464" s="150">
        <v>19</v>
      </c>
      <c r="AR464" s="150">
        <v>18.600000000000001</v>
      </c>
      <c r="AS464" s="126">
        <f t="shared" si="345"/>
        <v>18.350000000000001</v>
      </c>
      <c r="AT464" s="150">
        <v>18.100000000000001</v>
      </c>
      <c r="AU464" s="150">
        <v>17.7</v>
      </c>
      <c r="AV464" s="150">
        <v>16.899999999999999</v>
      </c>
      <c r="AW464" s="150">
        <v>16.3</v>
      </c>
      <c r="AX464" s="150">
        <v>15.9</v>
      </c>
      <c r="AY464" s="150">
        <v>15.3</v>
      </c>
      <c r="AZ464" s="150">
        <v>14.7</v>
      </c>
      <c r="BA464" s="141">
        <v>13.8</v>
      </c>
      <c r="BC464" s="111">
        <f t="shared" si="358"/>
        <v>-0.10000000000000142</v>
      </c>
      <c r="BD464" s="111">
        <f t="shared" si="346"/>
        <v>0</v>
      </c>
      <c r="BE464" s="111">
        <f t="shared" si="347"/>
        <v>0</v>
      </c>
      <c r="BF464" s="111">
        <f t="shared" si="348"/>
        <v>-9.9999999999997868E-2</v>
      </c>
      <c r="BG464" s="111">
        <f t="shared" si="349"/>
        <v>-9.9999999999997868E-2</v>
      </c>
      <c r="BH464" s="111">
        <f t="shared" si="350"/>
        <v>-9.9999999999997868E-2</v>
      </c>
      <c r="BI464" s="111">
        <f t="shared" si="351"/>
        <v>0</v>
      </c>
      <c r="BJ464" s="111">
        <f t="shared" si="352"/>
        <v>-0.10000000000000142</v>
      </c>
      <c r="BK464" s="111">
        <f t="shared" si="353"/>
        <v>-9.9999999999997868E-2</v>
      </c>
      <c r="BL464" s="111">
        <f t="shared" si="354"/>
        <v>0</v>
      </c>
      <c r="BM464" s="111">
        <f t="shared" si="355"/>
        <v>0.10000000000000142</v>
      </c>
      <c r="BN464" s="111">
        <f t="shared" si="356"/>
        <v>9.9999999999999645E-2</v>
      </c>
      <c r="BO464" s="111">
        <f t="shared" si="357"/>
        <v>-0.59999999999999964</v>
      </c>
      <c r="BR464" s="120">
        <v>6.075394093086316E-3</v>
      </c>
      <c r="BS464" s="120">
        <v>6.1740840102587355E-3</v>
      </c>
      <c r="BT464" s="120">
        <v>6.3277062946676867E-3</v>
      </c>
      <c r="BU464" s="120">
        <v>6.3217473102065089E-3</v>
      </c>
      <c r="BV464" s="120">
        <v>6.3579874057603505E-3</v>
      </c>
      <c r="BW464" s="120">
        <v>6.3889140587457269E-3</v>
      </c>
      <c r="BX464" s="120">
        <v>6.332766850393595E-3</v>
      </c>
      <c r="BY464" s="120">
        <v>6.2775264600271122E-3</v>
      </c>
      <c r="BZ464" s="120">
        <v>6.3797326726116703E-3</v>
      </c>
      <c r="CA464" s="120">
        <v>6.8447574914463844E-3</v>
      </c>
      <c r="CB464" s="120">
        <v>7.3126898192260939E-3</v>
      </c>
      <c r="CC464" s="120">
        <v>8.1844755492999164E-3</v>
      </c>
      <c r="CD464" s="120">
        <v>2.2177137961429155E-3</v>
      </c>
      <c r="CF464" s="120">
        <v>0.18599265399078227</v>
      </c>
      <c r="CG464" s="120">
        <v>0.18063402641812007</v>
      </c>
      <c r="CH464" s="120">
        <v>0.18131260926583798</v>
      </c>
      <c r="CI464" s="120">
        <v>0.17742382350864433</v>
      </c>
      <c r="CJ464" s="120">
        <v>0.17489417401375149</v>
      </c>
      <c r="CK464" s="120">
        <v>0.17236641088109014</v>
      </c>
      <c r="CL464" s="120">
        <v>0.1646969181446748</v>
      </c>
      <c r="CM464" s="120">
        <v>0.15257487136956091</v>
      </c>
      <c r="CN464" s="120">
        <v>0.14603180443225508</v>
      </c>
      <c r="CO464" s="120">
        <v>0.14845970437425265</v>
      </c>
      <c r="CP464" s="120">
        <v>0.14408998986311522</v>
      </c>
      <c r="CQ464" s="120">
        <v>0.13790510412874415</v>
      </c>
      <c r="CR464" s="120">
        <v>2.8394827662399983E-2</v>
      </c>
    </row>
    <row r="465" spans="38:96" ht="12.75" x14ac:dyDescent="0.2">
      <c r="AN465" t="s">
        <v>109</v>
      </c>
      <c r="AO465" s="150">
        <v>20.2</v>
      </c>
      <c r="AP465" s="150">
        <v>19.2</v>
      </c>
      <c r="AQ465" s="150">
        <v>18.8</v>
      </c>
      <c r="AR465" s="150">
        <v>18.5</v>
      </c>
      <c r="AS465" s="126">
        <f t="shared" si="345"/>
        <v>18.25</v>
      </c>
      <c r="AT465" s="141">
        <v>18</v>
      </c>
      <c r="AU465" s="150">
        <v>17.600000000000001</v>
      </c>
      <c r="AV465" s="141">
        <v>16.8</v>
      </c>
      <c r="AW465" s="150">
        <v>16.2</v>
      </c>
      <c r="AX465" s="141">
        <v>15.7</v>
      </c>
      <c r="AY465" s="150">
        <v>15</v>
      </c>
      <c r="AZ465" s="150">
        <v>14.3</v>
      </c>
      <c r="BA465" s="150">
        <v>13.8</v>
      </c>
      <c r="BC465" s="111">
        <f t="shared" si="358"/>
        <v>0</v>
      </c>
      <c r="BD465" s="111">
        <f t="shared" si="346"/>
        <v>-0.10000000000000142</v>
      </c>
      <c r="BE465" s="111">
        <f t="shared" si="347"/>
        <v>-9.9999999999997868E-2</v>
      </c>
      <c r="BF465" s="111">
        <f t="shared" si="348"/>
        <v>-0.10000000000000142</v>
      </c>
      <c r="BG465" s="111">
        <f t="shared" si="349"/>
        <v>-0.10000000000000142</v>
      </c>
      <c r="BH465" s="111">
        <f t="shared" si="350"/>
        <v>-0.10000000000000142</v>
      </c>
      <c r="BI465" s="111">
        <f t="shared" si="351"/>
        <v>0</v>
      </c>
      <c r="BJ465" s="111">
        <f t="shared" si="352"/>
        <v>0</v>
      </c>
      <c r="BK465" s="111">
        <f t="shared" si="353"/>
        <v>0</v>
      </c>
      <c r="BL465" s="111">
        <f t="shared" si="354"/>
        <v>0</v>
      </c>
      <c r="BM465" s="111">
        <f t="shared" si="355"/>
        <v>0</v>
      </c>
      <c r="BN465" s="111">
        <f t="shared" si="356"/>
        <v>0</v>
      </c>
      <c r="BO465" s="111">
        <f t="shared" si="357"/>
        <v>0.10000000000000142</v>
      </c>
      <c r="BR465" s="120">
        <v>6.4205083509390783E-3</v>
      </c>
      <c r="BS465" s="120">
        <v>6.2785287016460809E-3</v>
      </c>
      <c r="BT465" s="120">
        <v>6.1569259005782263E-3</v>
      </c>
      <c r="BU465" s="120">
        <v>6.3683321379138392E-3</v>
      </c>
      <c r="BV465" s="120">
        <v>6.4102456211176497E-3</v>
      </c>
      <c r="BW465" s="120">
        <v>6.4477693068850477E-3</v>
      </c>
      <c r="BX465" s="120">
        <v>6.6557202822610196E-3</v>
      </c>
      <c r="BY465" s="120">
        <v>6.9464733712283136E-3</v>
      </c>
      <c r="BZ465" s="120">
        <v>7.1570650800327805E-3</v>
      </c>
      <c r="CA465" s="120">
        <v>6.8692120610454339E-3</v>
      </c>
      <c r="CB465" s="120">
        <v>6.9388694682408613E-3</v>
      </c>
      <c r="CC465" s="120">
        <v>7.5787673995896167E-3</v>
      </c>
      <c r="CD465" s="120">
        <v>1.3984809915879064E-2</v>
      </c>
      <c r="CF465" s="120">
        <v>0.20555236026208268</v>
      </c>
      <c r="CG465" s="120">
        <v>0.1914878781843195</v>
      </c>
      <c r="CH465" s="120">
        <v>0.18358522549921924</v>
      </c>
      <c r="CI465" s="120">
        <v>0.18615437190654183</v>
      </c>
      <c r="CJ465" s="120">
        <v>0.18364074271302255</v>
      </c>
      <c r="CK465" s="120">
        <v>0.18114134306649804</v>
      </c>
      <c r="CL465" s="120">
        <v>0.18011875016871809</v>
      </c>
      <c r="CM465" s="120">
        <v>0.17557988213435033</v>
      </c>
      <c r="CN465" s="120">
        <v>0.17016165368056951</v>
      </c>
      <c r="CO465" s="120">
        <v>0.15436430040399265</v>
      </c>
      <c r="CP465" s="120">
        <v>0.14135629268626271</v>
      </c>
      <c r="CQ465" s="120">
        <v>0.13180188846705204</v>
      </c>
      <c r="CR465" s="120">
        <v>0.18474210100993019</v>
      </c>
    </row>
    <row r="466" spans="38:96" ht="12.75" x14ac:dyDescent="0.2">
      <c r="AN466" t="s">
        <v>110</v>
      </c>
      <c r="AO466" s="150">
        <v>20</v>
      </c>
      <c r="AP466" s="150">
        <v>19</v>
      </c>
      <c r="AQ466" s="141">
        <v>18.7</v>
      </c>
      <c r="AR466" s="150">
        <v>18.399999999999999</v>
      </c>
      <c r="AS466" s="126">
        <f t="shared" si="345"/>
        <v>18.149999999999999</v>
      </c>
      <c r="AT466" s="150">
        <v>17.899999999999999</v>
      </c>
      <c r="AU466" s="150">
        <v>17.399999999999999</v>
      </c>
      <c r="AV466" s="150">
        <v>16.7</v>
      </c>
      <c r="AW466" s="150">
        <v>16</v>
      </c>
      <c r="AX466" s="150">
        <v>15.6</v>
      </c>
      <c r="AY466" s="150">
        <v>14.8</v>
      </c>
      <c r="AZ466" s="150">
        <v>14</v>
      </c>
      <c r="BA466" s="150">
        <v>13.3</v>
      </c>
      <c r="BC466" s="111">
        <f t="shared" si="358"/>
        <v>0</v>
      </c>
      <c r="BD466" s="111">
        <f t="shared" si="346"/>
        <v>-0.10000000000000142</v>
      </c>
      <c r="BE466" s="111">
        <f t="shared" si="347"/>
        <v>-0.10000000000000142</v>
      </c>
      <c r="BF466" s="111">
        <f t="shared" si="348"/>
        <v>0</v>
      </c>
      <c r="BG466" s="111">
        <f t="shared" si="349"/>
        <v>0</v>
      </c>
      <c r="BH466" s="111">
        <f t="shared" si="350"/>
        <v>0</v>
      </c>
      <c r="BI466" s="111">
        <f t="shared" si="351"/>
        <v>-0.10000000000000142</v>
      </c>
      <c r="BJ466" s="111">
        <f t="shared" si="352"/>
        <v>0</v>
      </c>
      <c r="BK466" s="111">
        <f t="shared" si="353"/>
        <v>-0.10000000000000142</v>
      </c>
      <c r="BL466" s="111">
        <f t="shared" si="354"/>
        <v>0</v>
      </c>
      <c r="BM466" s="111">
        <f t="shared" si="355"/>
        <v>0</v>
      </c>
      <c r="BN466" s="111">
        <f t="shared" si="356"/>
        <v>0</v>
      </c>
      <c r="BO466" s="111">
        <f t="shared" si="357"/>
        <v>0.10000000000000142</v>
      </c>
      <c r="BR466" s="120">
        <v>5.6659015016112578E-3</v>
      </c>
      <c r="BS466" s="120">
        <v>5.7135225690484546E-3</v>
      </c>
      <c r="BT466" s="120">
        <v>6.0633409837263308E-3</v>
      </c>
      <c r="BU466" s="120">
        <v>5.9431107085803642E-3</v>
      </c>
      <c r="BV466" s="120">
        <v>5.9785365390206489E-3</v>
      </c>
      <c r="BW466" s="120">
        <v>6.0090077504422242E-3</v>
      </c>
      <c r="BX466" s="120">
        <v>5.7067101454927292E-3</v>
      </c>
      <c r="BY466" s="120">
        <v>6.0026965897712822E-3</v>
      </c>
      <c r="BZ466" s="120">
        <v>5.7795897377556811E-3</v>
      </c>
      <c r="CA466" s="120">
        <v>6.6364901739217825E-3</v>
      </c>
      <c r="CB466" s="120">
        <v>6.8615521756017674E-3</v>
      </c>
      <c r="CC466" s="120">
        <v>7.4607126019374083E-3</v>
      </c>
      <c r="CD466" s="120">
        <v>2.3402593441895522E-3</v>
      </c>
      <c r="CF466" s="120">
        <v>0.18322188493132452</v>
      </c>
      <c r="CG466" s="120">
        <v>0.17606662125250236</v>
      </c>
      <c r="CH466" s="120">
        <v>0.18330412438861737</v>
      </c>
      <c r="CI466" s="120">
        <v>0.17568842682529409</v>
      </c>
      <c r="CJ466" s="120">
        <v>0.17312808590579679</v>
      </c>
      <c r="CK466" s="120">
        <v>0.17057467697282819</v>
      </c>
      <c r="CL466" s="120">
        <v>0.15557539042360805</v>
      </c>
      <c r="CM466" s="120">
        <v>0.15323977132150182</v>
      </c>
      <c r="CN466" s="120">
        <v>0.13835871922780404</v>
      </c>
      <c r="CO466" s="120">
        <v>0.15075238994349308</v>
      </c>
      <c r="CP466" s="120">
        <v>0.14101658808594356</v>
      </c>
      <c r="CQ466" s="120">
        <v>0.13061586143418216</v>
      </c>
      <c r="CR466" s="120">
        <v>3.1442568399635273E-2</v>
      </c>
    </row>
    <row r="468" spans="38:96" x14ac:dyDescent="0.2">
      <c r="AO468">
        <v>-0.5</v>
      </c>
      <c r="AP468">
        <v>-0.25</v>
      </c>
      <c r="AQ468">
        <v>-0.13</v>
      </c>
      <c r="AR468">
        <v>0</v>
      </c>
      <c r="AS468">
        <v>0.125</v>
      </c>
      <c r="AT468">
        <v>0.25</v>
      </c>
      <c r="AU468">
        <v>0.5</v>
      </c>
      <c r="AV468">
        <v>1</v>
      </c>
      <c r="AW468">
        <v>1.5</v>
      </c>
      <c r="AX468">
        <v>2</v>
      </c>
      <c r="AY468">
        <v>3</v>
      </c>
      <c r="AZ468">
        <v>5</v>
      </c>
      <c r="BA468">
        <v>10</v>
      </c>
    </row>
    <row r="469" spans="38:96" x14ac:dyDescent="0.2">
      <c r="AL469" s="105" t="s">
        <v>460</v>
      </c>
      <c r="AN469" t="s">
        <v>25</v>
      </c>
      <c r="AO469">
        <v>8.9</v>
      </c>
      <c r="AP469">
        <v>6.3</v>
      </c>
      <c r="AQ469">
        <v>7.1</v>
      </c>
      <c r="AR469" s="106">
        <v>8.6</v>
      </c>
      <c r="AS469" s="126">
        <f t="shared" ref="AS469:AS483" si="359">(AR469+AT469)/2</f>
        <v>10</v>
      </c>
      <c r="AT469">
        <v>11.4</v>
      </c>
      <c r="AU469" s="106">
        <v>13.9</v>
      </c>
      <c r="AV469">
        <v>18.2</v>
      </c>
      <c r="AW469" s="106">
        <v>21.7</v>
      </c>
      <c r="AX469" s="106">
        <v>24.8</v>
      </c>
      <c r="AY469" s="106">
        <v>29.8</v>
      </c>
      <c r="AZ469">
        <v>37.1</v>
      </c>
      <c r="BA469" s="106">
        <v>48.5</v>
      </c>
      <c r="BC469" s="111">
        <f>AO469-AO452</f>
        <v>0</v>
      </c>
      <c r="BD469" s="111">
        <f t="shared" ref="BD469:BD483" si="360">AP469-AP452</f>
        <v>-0.20000000000000018</v>
      </c>
      <c r="BE469" s="111">
        <f t="shared" ref="BE469:BE483" si="361">AQ469-AQ452</f>
        <v>-0.20000000000000018</v>
      </c>
      <c r="BF469" s="111">
        <f t="shared" ref="BF469:BF483" si="362">AR469-AR452</f>
        <v>-0.20000000000000107</v>
      </c>
      <c r="BG469" s="111">
        <f t="shared" ref="BG469:BG483" si="363">AS469-AS452</f>
        <v>-0.25</v>
      </c>
      <c r="BH469" s="111">
        <f t="shared" ref="BH469:BH483" si="364">AT469-AT452</f>
        <v>-0.29999999999999893</v>
      </c>
      <c r="BI469" s="111">
        <f t="shared" ref="BI469:BI483" si="365">AU469-AU452</f>
        <v>-0.29999999999999893</v>
      </c>
      <c r="BJ469" s="111">
        <f t="shared" ref="BJ469:BJ483" si="366">AV469-AV452</f>
        <v>-0.30000000000000071</v>
      </c>
      <c r="BK469" s="111">
        <f t="shared" ref="BK469:BK483" si="367">AW469-AW452</f>
        <v>-0.30000000000000071</v>
      </c>
      <c r="BL469" s="111">
        <f t="shared" ref="BL469:BL483" si="368">AX469-AX452</f>
        <v>-0.30000000000000071</v>
      </c>
      <c r="BM469" s="111">
        <f t="shared" ref="BM469:BM483" si="369">AY469-AY452</f>
        <v>-0.30000000000000071</v>
      </c>
      <c r="BN469" s="111">
        <f t="shared" ref="BN469:BN483" si="370">AZ469-AZ452</f>
        <v>-0.39999999999999858</v>
      </c>
      <c r="BO469" s="111">
        <f t="shared" ref="BO469:BO483" si="371">BA469-BA452</f>
        <v>-0.5</v>
      </c>
      <c r="BR469" s="120">
        <v>2.3183291309162662E-3</v>
      </c>
      <c r="BS469" s="120">
        <v>1.7170876145033054E-3</v>
      </c>
      <c r="BT469" s="120">
        <v>1.9837268795127091E-3</v>
      </c>
      <c r="BU469" s="120">
        <v>2.4542733768200672E-3</v>
      </c>
      <c r="BV469" s="120">
        <v>2.9160480073093581E-3</v>
      </c>
      <c r="BW469" s="120">
        <v>3.3919768295233364E-3</v>
      </c>
      <c r="BX469" s="120">
        <v>4.295793514451301E-3</v>
      </c>
      <c r="BY469" s="120">
        <v>6.0305589806690192E-3</v>
      </c>
      <c r="BZ469" s="120">
        <v>7.6561914598509782E-3</v>
      </c>
      <c r="CA469" s="120">
        <v>9.30483527802645E-3</v>
      </c>
      <c r="CB469" s="120">
        <v>1.2390855345021219E-2</v>
      </c>
      <c r="CC469" s="120">
        <v>1.8298957659078772E-2</v>
      </c>
      <c r="CD469" s="120">
        <v>3.2603645218125053E-2</v>
      </c>
      <c r="CF469" s="120">
        <v>8.9001540898886525E-2</v>
      </c>
      <c r="CG469" s="120">
        <v>6.282376391239812E-2</v>
      </c>
      <c r="CH469" s="120">
        <v>7.1020408472671603E-2</v>
      </c>
      <c r="CI469" s="120">
        <v>8.6030061949498846E-2</v>
      </c>
      <c r="CJ469" s="120">
        <v>0.10006052060759855</v>
      </c>
      <c r="CK469" s="120">
        <v>0.11409119827662215</v>
      </c>
      <c r="CL469" s="120">
        <v>0.13908104829172677</v>
      </c>
      <c r="CM469" s="120">
        <v>0.18206486118132631</v>
      </c>
      <c r="CN469" s="120">
        <v>0.21705939408750544</v>
      </c>
      <c r="CO469" s="120">
        <v>0.24899068328706836</v>
      </c>
      <c r="CP469" s="120">
        <v>0.29923682721141553</v>
      </c>
      <c r="CQ469" s="120">
        <v>0.3741297171290594</v>
      </c>
      <c r="CR469" s="120">
        <v>0.49671372861711605</v>
      </c>
    </row>
    <row r="470" spans="38:96" x14ac:dyDescent="0.2">
      <c r="AN470" t="s">
        <v>157</v>
      </c>
      <c r="AO470">
        <v>11.3</v>
      </c>
      <c r="AP470" s="106">
        <v>7.4</v>
      </c>
      <c r="AQ470">
        <v>9.8000000000000007</v>
      </c>
      <c r="AR470">
        <v>11.1</v>
      </c>
      <c r="AS470" s="126">
        <f t="shared" si="359"/>
        <v>12.399999999999999</v>
      </c>
      <c r="AT470">
        <v>13.7</v>
      </c>
      <c r="AU470">
        <v>16</v>
      </c>
      <c r="AV470">
        <v>20</v>
      </c>
      <c r="AW470">
        <v>23.2</v>
      </c>
      <c r="AX470">
        <v>26</v>
      </c>
      <c r="AY470">
        <v>30.5</v>
      </c>
      <c r="AZ470">
        <v>37</v>
      </c>
      <c r="BA470">
        <v>46.7</v>
      </c>
      <c r="BC470" s="111">
        <f t="shared" ref="BC470:BC483" si="372">AO470-AO453</f>
        <v>0.10000000000000142</v>
      </c>
      <c r="BD470" s="111">
        <f t="shared" si="360"/>
        <v>-1.5</v>
      </c>
      <c r="BE470" s="111">
        <f t="shared" si="361"/>
        <v>0.10000000000000142</v>
      </c>
      <c r="BF470" s="111">
        <f t="shared" si="362"/>
        <v>9.9999999999999645E-2</v>
      </c>
      <c r="BG470" s="111">
        <f t="shared" si="363"/>
        <v>9.9999999999997868E-2</v>
      </c>
      <c r="BH470" s="111">
        <f t="shared" si="364"/>
        <v>9.9999999999999645E-2</v>
      </c>
      <c r="BI470" s="111">
        <f t="shared" si="365"/>
        <v>9.9999999999999645E-2</v>
      </c>
      <c r="BJ470" s="111">
        <f t="shared" si="366"/>
        <v>0.19999999999999929</v>
      </c>
      <c r="BK470" s="111">
        <f t="shared" si="367"/>
        <v>9.9999999999997868E-2</v>
      </c>
      <c r="BL470" s="111">
        <f t="shared" si="368"/>
        <v>0.19999999999999929</v>
      </c>
      <c r="BM470" s="111">
        <f t="shared" si="369"/>
        <v>0.19999999999999929</v>
      </c>
      <c r="BN470" s="111">
        <f t="shared" si="370"/>
        <v>0.20000000000000284</v>
      </c>
      <c r="BO470" s="111">
        <f t="shared" si="371"/>
        <v>0.30000000000000426</v>
      </c>
      <c r="BR470" s="120">
        <v>3.4748519519572406E-3</v>
      </c>
      <c r="BS470" s="120">
        <v>2.3707355912802449E-3</v>
      </c>
      <c r="BT470" s="120">
        <v>3.4581393684987895E-3</v>
      </c>
      <c r="BU470" s="120">
        <v>3.7166736652360696E-3</v>
      </c>
      <c r="BV470" s="120">
        <v>4.0655588581488726E-3</v>
      </c>
      <c r="BW470" s="120">
        <v>4.4619606104602094E-3</v>
      </c>
      <c r="BX470" s="120">
        <v>5.2449308432954925E-3</v>
      </c>
      <c r="BY470" s="120">
        <v>6.8344021536429073E-3</v>
      </c>
      <c r="BZ470" s="120">
        <v>8.3250205945673405E-3</v>
      </c>
      <c r="CA470" s="120">
        <v>9.7810055954262991E-3</v>
      </c>
      <c r="CB470" s="120">
        <v>1.2565632048551252E-2</v>
      </c>
      <c r="CC470" s="120">
        <v>1.7779254229515113E-2</v>
      </c>
      <c r="CD470" s="120">
        <v>2.9603143468232892E-2</v>
      </c>
      <c r="CF470" s="120">
        <v>0.1340729296360485</v>
      </c>
      <c r="CG470" s="120">
        <v>8.7194946363499351E-2</v>
      </c>
      <c r="CH470" s="120">
        <v>0.12438225439224757</v>
      </c>
      <c r="CI470" s="120">
        <v>0.13084304635709215</v>
      </c>
      <c r="CJ470" s="120">
        <v>0.14024976805117126</v>
      </c>
      <c r="CK470" s="120">
        <v>0.15088907848826663</v>
      </c>
      <c r="CL470" s="120">
        <v>0.17075526653659229</v>
      </c>
      <c r="CM470" s="120">
        <v>0.20756759470331296</v>
      </c>
      <c r="CN470" s="120">
        <v>0.2375573041283926</v>
      </c>
      <c r="CO470" s="120">
        <v>0.26380175581913934</v>
      </c>
      <c r="CP470" s="120">
        <v>0.30676686642439877</v>
      </c>
      <c r="CQ470" s="120">
        <v>0.36898939719301799</v>
      </c>
      <c r="CR470" s="120">
        <v>0.46016688015932555</v>
      </c>
    </row>
    <row r="471" spans="38:96" x14ac:dyDescent="0.2">
      <c r="AN471" t="s">
        <v>99</v>
      </c>
      <c r="AO471">
        <v>13.6</v>
      </c>
      <c r="AP471">
        <v>11.3</v>
      </c>
      <c r="AQ471" s="106">
        <v>11.2</v>
      </c>
      <c r="AR471">
        <v>11.2</v>
      </c>
      <c r="AS471" s="126">
        <f t="shared" si="359"/>
        <v>11.85</v>
      </c>
      <c r="AT471">
        <v>12.5</v>
      </c>
      <c r="AU471">
        <v>13.7</v>
      </c>
      <c r="AV471">
        <v>15.9</v>
      </c>
      <c r="AW471">
        <v>17.8</v>
      </c>
      <c r="AX471">
        <v>19.5</v>
      </c>
      <c r="AY471">
        <v>22.4</v>
      </c>
      <c r="AZ471">
        <v>26.6</v>
      </c>
      <c r="BA471">
        <v>33.299999999999997</v>
      </c>
      <c r="BC471" s="111">
        <f t="shared" si="372"/>
        <v>-0.30000000000000071</v>
      </c>
      <c r="BD471" s="111">
        <f t="shared" si="360"/>
        <v>-0.29999999999999893</v>
      </c>
      <c r="BE471" s="111">
        <f t="shared" si="361"/>
        <v>0</v>
      </c>
      <c r="BF471" s="111">
        <f t="shared" si="362"/>
        <v>-0.30000000000000071</v>
      </c>
      <c r="BG471" s="111">
        <f t="shared" si="363"/>
        <v>-0.25</v>
      </c>
      <c r="BH471" s="111">
        <f t="shared" si="364"/>
        <v>-0.19999999999999929</v>
      </c>
      <c r="BI471" s="111">
        <f t="shared" si="365"/>
        <v>-0.20000000000000107</v>
      </c>
      <c r="BJ471" s="111">
        <f t="shared" si="366"/>
        <v>-0.20000000000000107</v>
      </c>
      <c r="BK471" s="111">
        <f t="shared" si="367"/>
        <v>-0.30000000000000071</v>
      </c>
      <c r="BL471" s="111">
        <f t="shared" si="368"/>
        <v>-0.30000000000000071</v>
      </c>
      <c r="BM471" s="111">
        <f t="shared" si="369"/>
        <v>-0.20000000000000284</v>
      </c>
      <c r="BN471" s="111">
        <f t="shared" si="370"/>
        <v>-0.29999999999999716</v>
      </c>
      <c r="BO471" s="111">
        <f t="shared" si="371"/>
        <v>-0.40000000000000568</v>
      </c>
      <c r="BR471" s="120">
        <v>3.6473519349070165E-3</v>
      </c>
      <c r="BS471" s="120">
        <v>3.1757411200733763E-3</v>
      </c>
      <c r="BT471" s="120">
        <v>3.2169524319149716E-3</v>
      </c>
      <c r="BU471" s="120">
        <v>3.2889360302502642E-3</v>
      </c>
      <c r="BV471" s="120">
        <v>3.5534856105440393E-3</v>
      </c>
      <c r="BW471" s="120">
        <v>3.8251608281149865E-3</v>
      </c>
      <c r="BX471" s="120">
        <v>4.3571972713133053E-3</v>
      </c>
      <c r="BY471" s="120">
        <v>5.4241402546626079E-3</v>
      </c>
      <c r="BZ471" s="120">
        <v>6.4648386118244805E-3</v>
      </c>
      <c r="CA471" s="120">
        <v>7.4958347764070019E-3</v>
      </c>
      <c r="CB471" s="120">
        <v>9.5160960113563672E-3</v>
      </c>
      <c r="CC471" s="120">
        <v>1.3297889392696218E-2</v>
      </c>
      <c r="CD471" s="120">
        <v>2.2215307307089163E-2</v>
      </c>
      <c r="CF471" s="120">
        <v>0.13600005236748283</v>
      </c>
      <c r="CG471" s="120">
        <v>0.11300260797175564</v>
      </c>
      <c r="CH471" s="120">
        <v>0.11195116876167148</v>
      </c>
      <c r="CI471" s="120">
        <v>0.11200279848767117</v>
      </c>
      <c r="CJ471" s="120">
        <v>0.11850000840163184</v>
      </c>
      <c r="CK471" s="120">
        <v>0.12500346468067783</v>
      </c>
      <c r="CL471" s="120">
        <v>0.13700496388034719</v>
      </c>
      <c r="CM471" s="120">
        <v>0.15900503196301816</v>
      </c>
      <c r="CN471" s="120">
        <v>0.17800027945325375</v>
      </c>
      <c r="CO471" s="120">
        <v>0.19500026268650281</v>
      </c>
      <c r="CP471" s="120">
        <v>0.22399483535442799</v>
      </c>
      <c r="CQ471" s="120">
        <v>0.26601098095358722</v>
      </c>
      <c r="CR471" s="120">
        <v>0.33303351531964498</v>
      </c>
    </row>
    <row r="472" spans="38:96" x14ac:dyDescent="0.2">
      <c r="AN472" t="s">
        <v>101</v>
      </c>
      <c r="AO472">
        <v>15.6</v>
      </c>
      <c r="AP472">
        <v>13.6</v>
      </c>
      <c r="AQ472" s="106">
        <v>13.4</v>
      </c>
      <c r="AR472">
        <v>13.3</v>
      </c>
      <c r="AS472" s="126">
        <f t="shared" si="359"/>
        <v>13.7</v>
      </c>
      <c r="AT472">
        <v>14.1</v>
      </c>
      <c r="AU472">
        <v>15</v>
      </c>
      <c r="AV472">
        <v>16.600000000000001</v>
      </c>
      <c r="AW472">
        <v>18</v>
      </c>
      <c r="AX472">
        <v>19.3</v>
      </c>
      <c r="AY472">
        <v>21.5</v>
      </c>
      <c r="AZ472">
        <v>24.8</v>
      </c>
      <c r="BA472">
        <v>29.5</v>
      </c>
      <c r="BC472" s="111">
        <f t="shared" si="372"/>
        <v>-0.30000000000000071</v>
      </c>
      <c r="BD472" s="111">
        <f t="shared" si="360"/>
        <v>-0.20000000000000107</v>
      </c>
      <c r="BE472" s="111">
        <f t="shared" si="361"/>
        <v>0</v>
      </c>
      <c r="BF472" s="111">
        <f t="shared" si="362"/>
        <v>-0.29999999999999893</v>
      </c>
      <c r="BG472" s="111">
        <f t="shared" si="363"/>
        <v>-0.30000000000000071</v>
      </c>
      <c r="BH472" s="111">
        <f t="shared" si="364"/>
        <v>-0.30000000000000071</v>
      </c>
      <c r="BI472" s="111">
        <f t="shared" si="365"/>
        <v>-0.19999999999999929</v>
      </c>
      <c r="BJ472" s="111">
        <f t="shared" si="366"/>
        <v>-9.9999999999997868E-2</v>
      </c>
      <c r="BK472" s="111">
        <f t="shared" si="367"/>
        <v>-0.10000000000000142</v>
      </c>
      <c r="BL472" s="111">
        <f t="shared" si="368"/>
        <v>-9.9999999999997868E-2</v>
      </c>
      <c r="BM472" s="111">
        <f t="shared" si="369"/>
        <v>0</v>
      </c>
      <c r="BN472" s="111">
        <f t="shared" si="370"/>
        <v>0.19999999999999929</v>
      </c>
      <c r="BO472" s="111">
        <f t="shared" si="371"/>
        <v>0.19999999999999929</v>
      </c>
      <c r="BR472" s="120">
        <v>5.5703379683803558E-3</v>
      </c>
      <c r="BS472" s="120">
        <v>5.632853988399019E-3</v>
      </c>
      <c r="BT472" s="120">
        <v>5.6145940763609528E-3</v>
      </c>
      <c r="BU472" s="120">
        <v>5.5255553801902939E-3</v>
      </c>
      <c r="BV472" s="120">
        <v>5.460796698828701E-3</v>
      </c>
      <c r="BW472" s="120">
        <v>5.4254726496284593E-3</v>
      </c>
      <c r="BX472" s="120">
        <v>5.6036231546719309E-3</v>
      </c>
      <c r="BY472" s="120">
        <v>6.148918377891212E-3</v>
      </c>
      <c r="BZ472" s="120">
        <v>6.8316952704747759E-3</v>
      </c>
      <c r="CA472" s="120">
        <v>7.5933970143496508E-3</v>
      </c>
      <c r="CB472" s="120">
        <v>9.1215094936279179E-3</v>
      </c>
      <c r="CC472" s="120">
        <v>1.2157127092717592E-2</v>
      </c>
      <c r="CD472" s="120">
        <v>1.8610224765976197E-2</v>
      </c>
      <c r="CF472" s="120">
        <v>0.20022052848722607</v>
      </c>
      <c r="CG472" s="120">
        <v>0.19331138361752873</v>
      </c>
      <c r="CH472" s="120">
        <v>0.18844456464453263</v>
      </c>
      <c r="CI472" s="120">
        <v>0.18148324566956375</v>
      </c>
      <c r="CJ472" s="120">
        <v>0.17562498211943114</v>
      </c>
      <c r="CK472" s="120">
        <v>0.17098430917059806</v>
      </c>
      <c r="CL472" s="120">
        <v>0.170036187996431</v>
      </c>
      <c r="CM472" s="120">
        <v>0.1741764410515475</v>
      </c>
      <c r="CN472" s="120">
        <v>0.18196441835542232</v>
      </c>
      <c r="CO472" s="120">
        <v>0.19124685542131292</v>
      </c>
      <c r="CP472" s="120">
        <v>0.20811936873419376</v>
      </c>
      <c r="CQ472" s="120">
        <v>0.23606465409087624</v>
      </c>
      <c r="CR472" s="120">
        <v>0.27065527247272536</v>
      </c>
    </row>
    <row r="473" spans="38:96" x14ac:dyDescent="0.2">
      <c r="AN473" t="s">
        <v>102</v>
      </c>
      <c r="AO473">
        <v>17.399999999999999</v>
      </c>
      <c r="AP473">
        <v>15.4</v>
      </c>
      <c r="AQ473">
        <v>15</v>
      </c>
      <c r="AR473">
        <v>15</v>
      </c>
      <c r="AS473" s="126">
        <f t="shared" si="359"/>
        <v>15.3</v>
      </c>
      <c r="AT473">
        <v>15.6</v>
      </c>
      <c r="AU473">
        <v>16.100000000000001</v>
      </c>
      <c r="AV473">
        <v>17.3</v>
      </c>
      <c r="AW473">
        <v>18.399999999999999</v>
      </c>
      <c r="AX473">
        <v>19.5</v>
      </c>
      <c r="AY473">
        <v>21.4</v>
      </c>
      <c r="AZ473">
        <v>24.2</v>
      </c>
      <c r="BA473">
        <v>28.3</v>
      </c>
      <c r="BC473" s="111">
        <f t="shared" si="372"/>
        <v>-0.20000000000000284</v>
      </c>
      <c r="BD473" s="111">
        <f t="shared" si="360"/>
        <v>-0.29999999999999893</v>
      </c>
      <c r="BE473" s="111">
        <f t="shared" si="361"/>
        <v>-0.19999999999999929</v>
      </c>
      <c r="BF473" s="111">
        <f t="shared" si="362"/>
        <v>-0.30000000000000071</v>
      </c>
      <c r="BG473" s="111">
        <f t="shared" si="363"/>
        <v>-0.25</v>
      </c>
      <c r="BH473" s="111">
        <f t="shared" si="364"/>
        <v>-0.20000000000000107</v>
      </c>
      <c r="BI473" s="111">
        <f t="shared" si="365"/>
        <v>-0.29999999999999716</v>
      </c>
      <c r="BJ473" s="111">
        <f t="shared" si="366"/>
        <v>-0.19999999999999929</v>
      </c>
      <c r="BK473" s="111">
        <f t="shared" si="367"/>
        <v>-0.20000000000000284</v>
      </c>
      <c r="BL473" s="111">
        <f t="shared" si="368"/>
        <v>-0.19999999999999929</v>
      </c>
      <c r="BM473" s="111">
        <f t="shared" si="369"/>
        <v>-0.20000000000000284</v>
      </c>
      <c r="BN473" s="111">
        <f t="shared" si="370"/>
        <v>-0.30000000000000071</v>
      </c>
      <c r="BO473" s="111">
        <f t="shared" si="371"/>
        <v>-0.39999999999999858</v>
      </c>
      <c r="BR473" s="120">
        <v>6.2752023335333152E-3</v>
      </c>
      <c r="BS473" s="120">
        <v>5.9826203667175098E-3</v>
      </c>
      <c r="BT473" s="120">
        <v>5.7929590750322299E-3</v>
      </c>
      <c r="BU473" s="120">
        <v>5.9905404461497794E-3</v>
      </c>
      <c r="BV473" s="120">
        <v>6.0883426020313597E-3</v>
      </c>
      <c r="BW473" s="120">
        <v>6.1804154556619577E-3</v>
      </c>
      <c r="BX473" s="120">
        <v>6.1586284727702693E-3</v>
      </c>
      <c r="BY473" s="120">
        <v>6.6799232062888661E-3</v>
      </c>
      <c r="BZ473" s="120">
        <v>7.3373060538996027E-3</v>
      </c>
      <c r="CA473" s="120">
        <v>8.1065253857651107E-3</v>
      </c>
      <c r="CB473" s="120">
        <v>9.6831333408317864E-3</v>
      </c>
      <c r="CC473" s="120">
        <v>1.2664165305624036E-2</v>
      </c>
      <c r="CD473" s="120">
        <v>1.964787151107773E-2</v>
      </c>
      <c r="CF473" s="120">
        <v>0.21795557880281266</v>
      </c>
      <c r="CG473" s="120">
        <v>0.19806476020520883</v>
      </c>
      <c r="CH473" s="120">
        <v>0.18750577855852704</v>
      </c>
      <c r="CI473" s="120">
        <v>0.19002692645945479</v>
      </c>
      <c r="CJ473" s="120">
        <v>0.189333608298379</v>
      </c>
      <c r="CK473" s="120">
        <v>0.18853242619410085</v>
      </c>
      <c r="CL473" s="120">
        <v>0.18090585146576865</v>
      </c>
      <c r="CM473" s="120">
        <v>0.18337208002962641</v>
      </c>
      <c r="CN473" s="120">
        <v>0.18956166878110625</v>
      </c>
      <c r="CO473" s="120">
        <v>0.19824482645201591</v>
      </c>
      <c r="CP473" s="120">
        <v>0.21489887195085372</v>
      </c>
      <c r="CQ473" s="120">
        <v>0.23981834640118324</v>
      </c>
      <c r="CR473" s="120">
        <v>0.28070678885808009</v>
      </c>
    </row>
    <row r="474" spans="38:96" x14ac:dyDescent="0.2">
      <c r="AN474" t="s">
        <v>103</v>
      </c>
      <c r="AO474">
        <v>18.7</v>
      </c>
      <c r="AP474">
        <v>16.8</v>
      </c>
      <c r="AQ474">
        <v>16.399999999999999</v>
      </c>
      <c r="AR474">
        <v>16.3</v>
      </c>
      <c r="AS474" s="126">
        <f t="shared" si="359"/>
        <v>16.450000000000003</v>
      </c>
      <c r="AT474">
        <v>16.600000000000001</v>
      </c>
      <c r="AU474">
        <v>16.899999999999999</v>
      </c>
      <c r="AV474">
        <v>17.600000000000001</v>
      </c>
      <c r="AW474">
        <v>18.399999999999999</v>
      </c>
      <c r="AX474">
        <v>19.100000000000001</v>
      </c>
      <c r="AY474">
        <v>20.5</v>
      </c>
      <c r="AZ474">
        <v>22.8</v>
      </c>
      <c r="BA474">
        <v>26.2</v>
      </c>
      <c r="BC474" s="111">
        <f t="shared" si="372"/>
        <v>-0.19999999999999929</v>
      </c>
      <c r="BD474" s="111">
        <f t="shared" si="360"/>
        <v>-0.30000000000000071</v>
      </c>
      <c r="BE474" s="111">
        <f t="shared" si="361"/>
        <v>-0.20000000000000284</v>
      </c>
      <c r="BF474" s="111">
        <f t="shared" si="362"/>
        <v>-0.19999999999999929</v>
      </c>
      <c r="BG474" s="111">
        <f t="shared" si="363"/>
        <v>-0.19999999999999574</v>
      </c>
      <c r="BH474" s="111">
        <f t="shared" si="364"/>
        <v>-0.19999999999999929</v>
      </c>
      <c r="BI474" s="111">
        <f t="shared" si="365"/>
        <v>-0.20000000000000284</v>
      </c>
      <c r="BJ474" s="111">
        <f t="shared" si="366"/>
        <v>-0.19999999999999929</v>
      </c>
      <c r="BK474" s="111">
        <f t="shared" si="367"/>
        <v>-0.20000000000000284</v>
      </c>
      <c r="BL474" s="111">
        <f t="shared" si="368"/>
        <v>-0.29999999999999716</v>
      </c>
      <c r="BM474" s="111">
        <f t="shared" si="369"/>
        <v>-0.5</v>
      </c>
      <c r="BN474" s="111">
        <f t="shared" si="370"/>
        <v>-0.69999999999999929</v>
      </c>
      <c r="BO474" s="111">
        <f t="shared" si="371"/>
        <v>-1.1000000000000014</v>
      </c>
      <c r="BR474" s="120">
        <v>6.8180000134150541E-3</v>
      </c>
      <c r="BS474" s="120">
        <v>6.7592518432721448E-3</v>
      </c>
      <c r="BT474" s="120">
        <v>6.8239441311322441E-3</v>
      </c>
      <c r="BU474" s="120">
        <v>6.7094971389969381E-3</v>
      </c>
      <c r="BV474" s="120">
        <v>6.6436889209453174E-3</v>
      </c>
      <c r="BW474" s="120">
        <v>6.5820055262061318E-3</v>
      </c>
      <c r="BX474" s="120">
        <v>6.6781799582462725E-3</v>
      </c>
      <c r="BY474" s="120">
        <v>6.8277063124981543E-3</v>
      </c>
      <c r="BZ474" s="120">
        <v>7.3211200100502406E-3</v>
      </c>
      <c r="CA474" s="120">
        <v>7.73533603977942E-3</v>
      </c>
      <c r="CB474" s="120">
        <v>8.8761305698402716E-3</v>
      </c>
      <c r="CC474" s="120">
        <v>1.1450661908987572E-2</v>
      </c>
      <c r="CD474" s="120">
        <v>1.7289804180471106E-2</v>
      </c>
      <c r="CF474" s="120">
        <v>0.2279837628419977</v>
      </c>
      <c r="CG474" s="120">
        <v>0.21589059446426137</v>
      </c>
      <c r="CH474" s="120">
        <v>0.21338618030874976</v>
      </c>
      <c r="CI474" s="120">
        <v>0.20527098351116072</v>
      </c>
      <c r="CJ474" s="120">
        <v>0.19908609468056981</v>
      </c>
      <c r="CK474" s="120">
        <v>0.193330931861941</v>
      </c>
      <c r="CL474" s="120">
        <v>0.18906827251080061</v>
      </c>
      <c r="CM474" s="120">
        <v>0.18053095639021555</v>
      </c>
      <c r="CN474" s="120">
        <v>0.18221481388198402</v>
      </c>
      <c r="CO474" s="120">
        <v>0.18212148790334184</v>
      </c>
      <c r="CP474" s="120">
        <v>0.18959299269093358</v>
      </c>
      <c r="CQ474" s="120">
        <v>0.20885548509283014</v>
      </c>
      <c r="CR474" s="120">
        <v>0.23777492225112862</v>
      </c>
    </row>
    <row r="475" spans="38:96" x14ac:dyDescent="0.2">
      <c r="AN475" t="s">
        <v>104</v>
      </c>
      <c r="AO475">
        <v>19.600000000000001</v>
      </c>
      <c r="AP475">
        <v>17.899999999999999</v>
      </c>
      <c r="AQ475">
        <v>17.399999999999999</v>
      </c>
      <c r="AR475">
        <v>17.3</v>
      </c>
      <c r="AS475" s="126">
        <f t="shared" si="359"/>
        <v>17.350000000000001</v>
      </c>
      <c r="AT475">
        <v>17.399999999999999</v>
      </c>
      <c r="AU475">
        <v>17.5</v>
      </c>
      <c r="AV475">
        <v>17.8</v>
      </c>
      <c r="AW475">
        <v>18.2</v>
      </c>
      <c r="AX475">
        <v>18.600000000000001</v>
      </c>
      <c r="AY475">
        <v>19.600000000000001</v>
      </c>
      <c r="AZ475">
        <v>21.3</v>
      </c>
      <c r="BA475">
        <v>24.2</v>
      </c>
      <c r="BC475" s="111">
        <f t="shared" si="372"/>
        <v>-0.29999999999999716</v>
      </c>
      <c r="BD475" s="111">
        <f t="shared" si="360"/>
        <v>-0.20000000000000284</v>
      </c>
      <c r="BE475" s="111">
        <f t="shared" si="361"/>
        <v>-0.20000000000000284</v>
      </c>
      <c r="BF475" s="111">
        <f t="shared" si="362"/>
        <v>-0.19999999999999929</v>
      </c>
      <c r="BG475" s="111">
        <f t="shared" si="363"/>
        <v>-0.14999999999999858</v>
      </c>
      <c r="BH475" s="111">
        <f t="shared" si="364"/>
        <v>-0.10000000000000142</v>
      </c>
      <c r="BI475" s="111">
        <f t="shared" si="365"/>
        <v>-0.10000000000000142</v>
      </c>
      <c r="BJ475" s="111">
        <f t="shared" si="366"/>
        <v>-9.9999999999997868E-2</v>
      </c>
      <c r="BK475" s="111">
        <f t="shared" si="367"/>
        <v>-0.10000000000000142</v>
      </c>
      <c r="BL475" s="111">
        <f t="shared" si="368"/>
        <v>-0.29999999999999716</v>
      </c>
      <c r="BM475" s="111">
        <f t="shared" si="369"/>
        <v>-0.39999999999999858</v>
      </c>
      <c r="BN475" s="111">
        <f t="shared" si="370"/>
        <v>-0.80000000000000071</v>
      </c>
      <c r="BO475" s="111">
        <f t="shared" si="371"/>
        <v>-1.3000000000000007</v>
      </c>
      <c r="BR475" s="120">
        <v>7.1470482622260677E-3</v>
      </c>
      <c r="BS475" s="120">
        <v>7.2474633760103071E-3</v>
      </c>
      <c r="BT475" s="120">
        <v>7.0442026702040262E-3</v>
      </c>
      <c r="BU475" s="120">
        <v>7.1785242302132733E-3</v>
      </c>
      <c r="BV475" s="120">
        <v>7.1799334177991992E-3</v>
      </c>
      <c r="BW475" s="120">
        <v>7.174250556167024E-3</v>
      </c>
      <c r="BX475" s="120">
        <v>7.1097039084425072E-3</v>
      </c>
      <c r="BY475" s="120">
        <v>7.1850100299535331E-3</v>
      </c>
      <c r="BZ475" s="120">
        <v>7.3546176664692547E-3</v>
      </c>
      <c r="CA475" s="120">
        <v>7.7350111737755304E-3</v>
      </c>
      <c r="CB475" s="120">
        <v>8.7754010343564313E-3</v>
      </c>
      <c r="CC475" s="120">
        <v>1.0843917526687787E-2</v>
      </c>
      <c r="CD475" s="120">
        <v>1.6381220105858858E-2</v>
      </c>
      <c r="CF475" s="120">
        <v>0.23008656208548953</v>
      </c>
      <c r="CG475" s="120">
        <v>0.22297506446483753</v>
      </c>
      <c r="CH475" s="120">
        <v>0.21183494211586967</v>
      </c>
      <c r="CI475" s="120">
        <v>0.2116423234192405</v>
      </c>
      <c r="CJ475" s="120">
        <v>0.20751730272980984</v>
      </c>
      <c r="CK475" s="120">
        <v>0.2033984440788838</v>
      </c>
      <c r="CL475" s="120">
        <v>0.19416747510681504</v>
      </c>
      <c r="CM475" s="120">
        <v>0.18345044519988987</v>
      </c>
      <c r="CN475" s="120">
        <v>0.1767308859752762</v>
      </c>
      <c r="CO475" s="120">
        <v>0.17605484281095321</v>
      </c>
      <c r="CP475" s="120">
        <v>0.18152778857282934</v>
      </c>
      <c r="CQ475" s="120">
        <v>0.19177192803412607</v>
      </c>
      <c r="CR475" s="120">
        <v>0.21953145077218453</v>
      </c>
    </row>
    <row r="476" spans="38:96" x14ac:dyDescent="0.2">
      <c r="AN476" t="s">
        <v>105</v>
      </c>
      <c r="AO476">
        <v>20.3</v>
      </c>
      <c r="AP476">
        <v>18.600000000000001</v>
      </c>
      <c r="AQ476">
        <v>18.100000000000001</v>
      </c>
      <c r="AR476">
        <v>17.899999999999999</v>
      </c>
      <c r="AS476" s="126">
        <f t="shared" si="359"/>
        <v>17.899999999999999</v>
      </c>
      <c r="AT476">
        <v>17.899999999999999</v>
      </c>
      <c r="AU476">
        <v>17.899999999999999</v>
      </c>
      <c r="AV476">
        <v>17.899999999999999</v>
      </c>
      <c r="AW476">
        <v>18</v>
      </c>
      <c r="AX476">
        <v>18.2</v>
      </c>
      <c r="AY476">
        <v>18.7</v>
      </c>
      <c r="AZ476">
        <v>19.899999999999999</v>
      </c>
      <c r="BA476">
        <v>22.3</v>
      </c>
      <c r="BC476" s="111">
        <f t="shared" si="372"/>
        <v>-0.30000000000000071</v>
      </c>
      <c r="BD476" s="111">
        <f t="shared" si="360"/>
        <v>-0.29999999999999716</v>
      </c>
      <c r="BE476" s="111">
        <f t="shared" si="361"/>
        <v>-0.29999999999999716</v>
      </c>
      <c r="BF476" s="111">
        <f t="shared" si="362"/>
        <v>-0.20000000000000284</v>
      </c>
      <c r="BG476" s="111">
        <f t="shared" si="363"/>
        <v>-0.15000000000000213</v>
      </c>
      <c r="BH476" s="111">
        <f t="shared" si="364"/>
        <v>-0.10000000000000142</v>
      </c>
      <c r="BI476" s="111">
        <f t="shared" si="365"/>
        <v>-0.10000000000000142</v>
      </c>
      <c r="BJ476" s="111">
        <f t="shared" si="366"/>
        <v>-0.10000000000000142</v>
      </c>
      <c r="BK476" s="111">
        <f t="shared" si="367"/>
        <v>-0.10000000000000142</v>
      </c>
      <c r="BL476" s="111">
        <f t="shared" si="368"/>
        <v>-0.10000000000000142</v>
      </c>
      <c r="BM476" s="111">
        <f t="shared" si="369"/>
        <v>-0.40000000000000213</v>
      </c>
      <c r="BN476" s="111">
        <f t="shared" si="370"/>
        <v>-0.80000000000000071</v>
      </c>
      <c r="BO476" s="111">
        <f t="shared" si="371"/>
        <v>-1.3000000000000007</v>
      </c>
      <c r="BR476" s="120">
        <v>7.5352710995872001E-3</v>
      </c>
      <c r="BS476" s="120">
        <v>7.2665093374400221E-3</v>
      </c>
      <c r="BT476" s="120">
        <v>7.3070191155459301E-3</v>
      </c>
      <c r="BU476" s="120">
        <v>7.1397812309231317E-3</v>
      </c>
      <c r="BV476" s="120">
        <v>7.1829854857329975E-3</v>
      </c>
      <c r="BW476" s="120">
        <v>7.2216035087462101E-3</v>
      </c>
      <c r="BX476" s="120">
        <v>7.315817765388438E-3</v>
      </c>
      <c r="BY476" s="120">
        <v>7.3274632117280225E-3</v>
      </c>
      <c r="BZ476" s="120">
        <v>7.466278486432598E-3</v>
      </c>
      <c r="CA476" s="120">
        <v>7.7884745746712274E-3</v>
      </c>
      <c r="CB476" s="120">
        <v>8.3260912026287062E-3</v>
      </c>
      <c r="CC476" s="120">
        <v>1.0124357352534181E-2</v>
      </c>
      <c r="CD476" s="120">
        <v>1.4837732619404327E-2</v>
      </c>
      <c r="CF476" s="120">
        <v>0.23543125742947155</v>
      </c>
      <c r="CG476" s="120">
        <v>0.21659078640136886</v>
      </c>
      <c r="CH476" s="120">
        <v>0.21331807111316523</v>
      </c>
      <c r="CI476" s="120">
        <v>0.20394635831322902</v>
      </c>
      <c r="CJ476" s="120">
        <v>0.20117086585179997</v>
      </c>
      <c r="CK476" s="120">
        <v>0.19842840206380272</v>
      </c>
      <c r="CL476" s="120">
        <v>0.1938948667030857</v>
      </c>
      <c r="CM476" s="120">
        <v>0.18159410265432768</v>
      </c>
      <c r="CN476" s="120">
        <v>0.17428816740541409</v>
      </c>
      <c r="CO476" s="120">
        <v>0.17222388823245038</v>
      </c>
      <c r="CP476" s="120">
        <v>0.16719114824955386</v>
      </c>
      <c r="CQ476" s="120">
        <v>0.1740405538781693</v>
      </c>
      <c r="CR476" s="120">
        <v>0.19329238424069656</v>
      </c>
    </row>
    <row r="477" spans="38:96" x14ac:dyDescent="0.2">
      <c r="AN477" t="s">
        <v>106</v>
      </c>
      <c r="AO477">
        <v>20.7</v>
      </c>
      <c r="AP477">
        <v>19.100000000000001</v>
      </c>
      <c r="AQ477">
        <v>18.600000000000001</v>
      </c>
      <c r="AR477">
        <v>18.3</v>
      </c>
      <c r="AS477" s="126">
        <f t="shared" si="359"/>
        <v>18.25</v>
      </c>
      <c r="AT477">
        <v>18.2</v>
      </c>
      <c r="AU477">
        <v>18.100000000000001</v>
      </c>
      <c r="AV477">
        <v>17.899999999999999</v>
      </c>
      <c r="AW477">
        <v>17.8</v>
      </c>
      <c r="AX477">
        <v>17.8</v>
      </c>
      <c r="AY477">
        <v>18</v>
      </c>
      <c r="AZ477">
        <v>18.899999999999999</v>
      </c>
      <c r="BA477">
        <v>20.9</v>
      </c>
      <c r="BC477" s="111">
        <f t="shared" si="372"/>
        <v>-0.30000000000000071</v>
      </c>
      <c r="BD477" s="111">
        <f t="shared" si="360"/>
        <v>-0.19999999999999929</v>
      </c>
      <c r="BE477" s="111">
        <f t="shared" si="361"/>
        <v>-0.19999999999999929</v>
      </c>
      <c r="BF477" s="111">
        <f t="shared" si="362"/>
        <v>-0.30000000000000071</v>
      </c>
      <c r="BG477" s="111">
        <f t="shared" si="363"/>
        <v>-0.20000000000000284</v>
      </c>
      <c r="BH477" s="111">
        <f t="shared" si="364"/>
        <v>-0.10000000000000142</v>
      </c>
      <c r="BI477" s="111">
        <f t="shared" si="365"/>
        <v>-9.9999999999997868E-2</v>
      </c>
      <c r="BJ477" s="111">
        <f t="shared" si="366"/>
        <v>0</v>
      </c>
      <c r="BK477" s="111">
        <f t="shared" si="367"/>
        <v>-9.9999999999997868E-2</v>
      </c>
      <c r="BL477" s="111">
        <f t="shared" si="368"/>
        <v>-9.9999999999997868E-2</v>
      </c>
      <c r="BM477" s="111">
        <f t="shared" si="369"/>
        <v>-0.39999999999999858</v>
      </c>
      <c r="BN477" s="111">
        <f t="shared" si="370"/>
        <v>-0.80000000000000071</v>
      </c>
      <c r="BO477" s="111">
        <f t="shared" si="371"/>
        <v>-1.2000000000000028</v>
      </c>
      <c r="BR477" s="120">
        <v>7.421782746303807E-3</v>
      </c>
      <c r="BS477" s="120">
        <v>7.5039800525694032E-3</v>
      </c>
      <c r="BT477" s="120">
        <v>7.467786828670441E-3</v>
      </c>
      <c r="BU477" s="120">
        <v>7.3256185512295359E-3</v>
      </c>
      <c r="BV477" s="120">
        <v>7.3279188755672577E-3</v>
      </c>
      <c r="BW477" s="120">
        <v>7.3250740373258395E-3</v>
      </c>
      <c r="BX477" s="120">
        <v>7.310422149175883E-3</v>
      </c>
      <c r="BY477" s="120">
        <v>7.3701076301959326E-3</v>
      </c>
      <c r="BZ477" s="120">
        <v>7.4928012175922596E-3</v>
      </c>
      <c r="CA477" s="120">
        <v>7.6470169130452926E-3</v>
      </c>
      <c r="CB477" s="120">
        <v>8.3040781799127526E-3</v>
      </c>
      <c r="CC477" s="120">
        <v>1.0099508446587368E-2</v>
      </c>
      <c r="CD477" s="120">
        <v>1.4645454257107247E-2</v>
      </c>
      <c r="CF477" s="120">
        <v>0.22550598550146511</v>
      </c>
      <c r="CG477" s="120">
        <v>0.21813537925243134</v>
      </c>
      <c r="CH477" s="120">
        <v>0.2124291095435541</v>
      </c>
      <c r="CI477" s="120">
        <v>0.20407493366675825</v>
      </c>
      <c r="CJ477" s="120">
        <v>0.20013702083503451</v>
      </c>
      <c r="CK477" s="120">
        <v>0.19626310162330218</v>
      </c>
      <c r="CL477" s="120">
        <v>0.18882313952041041</v>
      </c>
      <c r="CM477" s="120">
        <v>0.1781456586903061</v>
      </c>
      <c r="CN477" s="120">
        <v>0.17064048295923154</v>
      </c>
      <c r="CO477" s="120">
        <v>0.16497170347057077</v>
      </c>
      <c r="CP477" s="120">
        <v>0.1629923061354985</v>
      </c>
      <c r="CQ477" s="120">
        <v>0.16995300618852313</v>
      </c>
      <c r="CR477" s="120">
        <v>0.18736091400129626</v>
      </c>
    </row>
    <row r="478" spans="38:96" x14ac:dyDescent="0.2">
      <c r="AN478" t="s">
        <v>79</v>
      </c>
      <c r="AO478">
        <v>20.9</v>
      </c>
      <c r="AP478">
        <v>19.3</v>
      </c>
      <c r="AQ478">
        <v>18.899999999999999</v>
      </c>
      <c r="AR478">
        <v>18.600000000000001</v>
      </c>
      <c r="AS478" s="126">
        <f t="shared" si="359"/>
        <v>18.5</v>
      </c>
      <c r="AT478">
        <v>18.399999999999999</v>
      </c>
      <c r="AU478">
        <v>18.2</v>
      </c>
      <c r="AV478">
        <v>17.8</v>
      </c>
      <c r="AW478">
        <v>17.600000000000001</v>
      </c>
      <c r="AX478">
        <v>17.5</v>
      </c>
      <c r="AY478">
        <v>17.5</v>
      </c>
      <c r="AZ478">
        <v>18</v>
      </c>
      <c r="BA478">
        <v>19.600000000000001</v>
      </c>
      <c r="BC478" s="111">
        <f t="shared" si="372"/>
        <v>-0.30000000000000071</v>
      </c>
      <c r="BD478" s="111">
        <f t="shared" si="360"/>
        <v>-0.30000000000000071</v>
      </c>
      <c r="BE478" s="111">
        <f t="shared" si="361"/>
        <v>-0.20000000000000284</v>
      </c>
      <c r="BF478" s="111">
        <f t="shared" si="362"/>
        <v>-0.19999999999999929</v>
      </c>
      <c r="BG478" s="111">
        <f t="shared" si="363"/>
        <v>-0.14999999999999858</v>
      </c>
      <c r="BH478" s="111">
        <f t="shared" si="364"/>
        <v>-0.10000000000000142</v>
      </c>
      <c r="BI478" s="111">
        <f t="shared" si="365"/>
        <v>-0.10000000000000142</v>
      </c>
      <c r="BJ478" s="111">
        <f t="shared" si="366"/>
        <v>-9.9999999999997868E-2</v>
      </c>
      <c r="BK478" s="111">
        <f t="shared" si="367"/>
        <v>-9.9999999999997868E-2</v>
      </c>
      <c r="BL478" s="111">
        <f t="shared" si="368"/>
        <v>-0.10000000000000142</v>
      </c>
      <c r="BM478" s="111">
        <f t="shared" si="369"/>
        <v>-0.30000000000000071</v>
      </c>
      <c r="BN478" s="111">
        <f t="shared" si="370"/>
        <v>-0.69999999999999929</v>
      </c>
      <c r="BO478" s="111">
        <f t="shared" si="371"/>
        <v>-1.2999999999999972</v>
      </c>
      <c r="BR478" s="120">
        <v>7.3056386494545324E-3</v>
      </c>
      <c r="BS478" s="120">
        <v>7.0114930537977013E-3</v>
      </c>
      <c r="BT478" s="120">
        <v>7.307479560312127E-3</v>
      </c>
      <c r="BU478" s="120">
        <v>7.3993279602321644E-3</v>
      </c>
      <c r="BV478" s="120">
        <v>7.3846075949346099E-3</v>
      </c>
      <c r="BW478" s="120">
        <v>7.3635057570751354E-3</v>
      </c>
      <c r="BX478" s="120">
        <v>7.3151534573738485E-3</v>
      </c>
      <c r="BY478" s="120">
        <v>7.1976624482283135E-3</v>
      </c>
      <c r="BZ478" s="120">
        <v>7.4296726952320698E-3</v>
      </c>
      <c r="CA478" s="120">
        <v>7.7051718567217545E-3</v>
      </c>
      <c r="CB478" s="120">
        <v>8.2424607956319562E-3</v>
      </c>
      <c r="CC478" s="120">
        <v>9.3673328386208038E-3</v>
      </c>
      <c r="CD478" s="120">
        <v>1.3073019346799547E-2</v>
      </c>
      <c r="CF478" s="120">
        <v>0.21928001914939282</v>
      </c>
      <c r="CG478" s="120">
        <v>0.20082349218086704</v>
      </c>
      <c r="CH478" s="120">
        <v>0.2052556917717627</v>
      </c>
      <c r="CI478" s="120">
        <v>0.20372335690709256</v>
      </c>
      <c r="CJ478" s="120">
        <v>0.19933220135791258</v>
      </c>
      <c r="CK478" s="120">
        <v>0.19499100388925233</v>
      </c>
      <c r="CL478" s="120">
        <v>0.18677217290575737</v>
      </c>
      <c r="CM478" s="120">
        <v>0.17187228294896542</v>
      </c>
      <c r="CN478" s="120">
        <v>0.16726323102897803</v>
      </c>
      <c r="CO478" s="120">
        <v>0.16443379220709708</v>
      </c>
      <c r="CP478" s="120">
        <v>0.15997263422920077</v>
      </c>
      <c r="CQ478" s="120">
        <v>0.15568282120771659</v>
      </c>
      <c r="CR478" s="120">
        <v>0.16503202508872178</v>
      </c>
    </row>
    <row r="479" spans="38:96" x14ac:dyDescent="0.2">
      <c r="AN479" t="s">
        <v>159</v>
      </c>
      <c r="AO479">
        <v>20.9</v>
      </c>
      <c r="AP479">
        <v>19.5</v>
      </c>
      <c r="AQ479">
        <v>19.100000000000001</v>
      </c>
      <c r="AR479">
        <v>18.8</v>
      </c>
      <c r="AS479" s="126">
        <f t="shared" si="359"/>
        <v>18.600000000000001</v>
      </c>
      <c r="AT479">
        <v>18.399999999999999</v>
      </c>
      <c r="AU479">
        <v>18.100000000000001</v>
      </c>
      <c r="AV479">
        <v>17.600000000000001</v>
      </c>
      <c r="AW479">
        <v>17.2</v>
      </c>
      <c r="AX479">
        <v>16.899999999999999</v>
      </c>
      <c r="AY479">
        <v>16.600000000000001</v>
      </c>
      <c r="AZ479">
        <v>16.7</v>
      </c>
      <c r="BA479">
        <v>17.600000000000001</v>
      </c>
      <c r="BC479" s="111">
        <f t="shared" si="372"/>
        <v>-0.30000000000000071</v>
      </c>
      <c r="BD479" s="111">
        <f t="shared" si="360"/>
        <v>-0.30000000000000071</v>
      </c>
      <c r="BE479" s="111">
        <f t="shared" si="361"/>
        <v>-0.19999999999999929</v>
      </c>
      <c r="BF479" s="111">
        <f t="shared" si="362"/>
        <v>-0.19999999999999929</v>
      </c>
      <c r="BG479" s="111">
        <f t="shared" si="363"/>
        <v>-0.19999999999999929</v>
      </c>
      <c r="BH479" s="111">
        <f t="shared" si="364"/>
        <v>-0.20000000000000284</v>
      </c>
      <c r="BI479" s="111">
        <f t="shared" si="365"/>
        <v>-9.9999999999997868E-2</v>
      </c>
      <c r="BJ479" s="111">
        <f t="shared" si="366"/>
        <v>0</v>
      </c>
      <c r="BK479" s="111">
        <f t="shared" si="367"/>
        <v>0</v>
      </c>
      <c r="BL479" s="111">
        <f t="shared" si="368"/>
        <v>-0.10000000000000142</v>
      </c>
      <c r="BM479" s="111">
        <f t="shared" si="369"/>
        <v>-0.19999999999999929</v>
      </c>
      <c r="BN479" s="111">
        <f t="shared" si="370"/>
        <v>-0.5</v>
      </c>
      <c r="BO479" s="111">
        <f t="shared" si="371"/>
        <v>-0.89999999999999858</v>
      </c>
      <c r="BR479" s="120">
        <v>6.9360029493863041E-3</v>
      </c>
      <c r="BS479" s="120">
        <v>7.2076437912182321E-3</v>
      </c>
      <c r="BT479" s="120">
        <v>7.0468429728516467E-3</v>
      </c>
      <c r="BU479" s="120">
        <v>7.0447254271247539E-3</v>
      </c>
      <c r="BV479" s="120">
        <v>6.9622611605913553E-3</v>
      </c>
      <c r="BW479" s="120">
        <v>6.8739331758458826E-3</v>
      </c>
      <c r="BX479" s="120">
        <v>6.9343532015027397E-3</v>
      </c>
      <c r="BY479" s="120">
        <v>7.2745960717785565E-3</v>
      </c>
      <c r="BZ479" s="120">
        <v>7.2693205450237988E-3</v>
      </c>
      <c r="CA479" s="120">
        <v>7.294103962772143E-3</v>
      </c>
      <c r="CB479" s="120">
        <v>7.6689378164413692E-3</v>
      </c>
      <c r="CC479" s="120">
        <v>9.000168084164293E-3</v>
      </c>
      <c r="CD479" s="120">
        <v>1.1979456914598348E-2</v>
      </c>
      <c r="CF479" s="120">
        <v>0.2030073048866691</v>
      </c>
      <c r="CG479" s="120">
        <v>0.20219952799568783</v>
      </c>
      <c r="CH479" s="120">
        <v>0.19327406378775452</v>
      </c>
      <c r="CI479" s="120">
        <v>0.18930227008417505</v>
      </c>
      <c r="CJ479" s="120">
        <v>0.18336507413705463</v>
      </c>
      <c r="CK479" s="120">
        <v>0.17755601308166194</v>
      </c>
      <c r="CL479" s="120">
        <v>0.17283548540198107</v>
      </c>
      <c r="CM479" s="120">
        <v>0.17003981034143745</v>
      </c>
      <c r="CN479" s="120">
        <v>0.16007218951695026</v>
      </c>
      <c r="CO479" s="120">
        <v>0.15214381383608636</v>
      </c>
      <c r="CP479" s="120">
        <v>0.14554627409716478</v>
      </c>
      <c r="CQ479" s="120">
        <v>0.14665209424233125</v>
      </c>
      <c r="CR479" s="120">
        <v>0.14847776500065132</v>
      </c>
    </row>
    <row r="480" spans="38:96" x14ac:dyDescent="0.2">
      <c r="AN480" t="s">
        <v>107</v>
      </c>
      <c r="AO480">
        <v>20.7</v>
      </c>
      <c r="AP480">
        <v>19.5</v>
      </c>
      <c r="AQ480">
        <v>19</v>
      </c>
      <c r="AR480">
        <v>18.7</v>
      </c>
      <c r="AS480" s="126">
        <f t="shared" si="359"/>
        <v>18.5</v>
      </c>
      <c r="AT480">
        <v>18.3</v>
      </c>
      <c r="AU480">
        <v>17.899999999999999</v>
      </c>
      <c r="AV480">
        <v>17.3</v>
      </c>
      <c r="AW480">
        <v>16.7</v>
      </c>
      <c r="AX480">
        <v>16.3</v>
      </c>
      <c r="AY480">
        <v>15.8</v>
      </c>
      <c r="AZ480">
        <v>15.4</v>
      </c>
      <c r="BA480">
        <v>15.7</v>
      </c>
      <c r="BC480" s="111">
        <f t="shared" si="372"/>
        <v>-0.19999999999999929</v>
      </c>
      <c r="BD480" s="111">
        <f t="shared" si="360"/>
        <v>-0.19999999999999929</v>
      </c>
      <c r="BE480" s="111">
        <f t="shared" si="361"/>
        <v>-0.19999999999999929</v>
      </c>
      <c r="BF480" s="111">
        <f t="shared" si="362"/>
        <v>-0.19999999999999929</v>
      </c>
      <c r="BG480" s="111">
        <f t="shared" si="363"/>
        <v>-0.14999999999999858</v>
      </c>
      <c r="BH480" s="111">
        <f t="shared" si="364"/>
        <v>-9.9999999999997868E-2</v>
      </c>
      <c r="BI480" s="111">
        <f t="shared" si="365"/>
        <v>-0.10000000000000142</v>
      </c>
      <c r="BJ480" s="111">
        <f t="shared" si="366"/>
        <v>0</v>
      </c>
      <c r="BK480" s="111">
        <f t="shared" si="367"/>
        <v>-0.10000000000000142</v>
      </c>
      <c r="BL480" s="111">
        <f t="shared" si="368"/>
        <v>-9.9999999999997868E-2</v>
      </c>
      <c r="BM480" s="111">
        <f t="shared" si="369"/>
        <v>-9.9999999999999645E-2</v>
      </c>
      <c r="BN480" s="111">
        <f t="shared" si="370"/>
        <v>-0.29999999999999893</v>
      </c>
      <c r="BO480" s="111">
        <f t="shared" si="371"/>
        <v>-0.60000000000000142</v>
      </c>
      <c r="BR480" s="120">
        <v>6.7993912250472119E-3</v>
      </c>
      <c r="BS480" s="120">
        <v>6.7269645743670671E-3</v>
      </c>
      <c r="BT480" s="120">
        <v>6.6285095924864855E-3</v>
      </c>
      <c r="BU480" s="120">
        <v>6.6773622844472106E-3</v>
      </c>
      <c r="BV480" s="120">
        <v>6.8337163466134047E-3</v>
      </c>
      <c r="BW480" s="120">
        <v>6.9871050598543432E-3</v>
      </c>
      <c r="BX480" s="120">
        <v>6.9479455242548987E-3</v>
      </c>
      <c r="BY480" s="120">
        <v>6.9446050002330666E-3</v>
      </c>
      <c r="BZ480" s="120">
        <v>6.9575873957151381E-3</v>
      </c>
      <c r="CA480" s="120">
        <v>7.2017781864314786E-3</v>
      </c>
      <c r="CB480" s="120">
        <v>7.5851694020972072E-3</v>
      </c>
      <c r="CC480" s="120">
        <v>8.0146707280474468E-3</v>
      </c>
      <c r="CD480" s="120">
        <v>1.0447488671432668E-2</v>
      </c>
      <c r="CF480" s="120">
        <v>0.20111771489753857</v>
      </c>
      <c r="CG480" s="120">
        <v>0.1900318605056853</v>
      </c>
      <c r="CH480" s="120">
        <v>0.183272529710541</v>
      </c>
      <c r="CI480" s="120">
        <v>0.18095036461654798</v>
      </c>
      <c r="CJ480" s="120">
        <v>0.18171405774400731</v>
      </c>
      <c r="CK480" s="120">
        <v>0.1824130336586309</v>
      </c>
      <c r="CL480" s="120">
        <v>0.17486463328846974</v>
      </c>
      <c r="CM480" s="120">
        <v>0.16349469671077474</v>
      </c>
      <c r="CN480" s="120">
        <v>0.15432515368451921</v>
      </c>
      <c r="CO480" s="120">
        <v>0.15144605311968015</v>
      </c>
      <c r="CP480" s="120">
        <v>0.14508180879666668</v>
      </c>
      <c r="CQ480" s="120">
        <v>0.13118263332637778</v>
      </c>
      <c r="CR480" s="120">
        <v>0.12996160740483953</v>
      </c>
    </row>
    <row r="481" spans="38:96" x14ac:dyDescent="0.2">
      <c r="AN481" t="s">
        <v>108</v>
      </c>
      <c r="AO481">
        <v>20.3</v>
      </c>
      <c r="AP481">
        <v>19.2</v>
      </c>
      <c r="AQ481">
        <v>18.8</v>
      </c>
      <c r="AR481">
        <v>18.5</v>
      </c>
      <c r="AS481" s="126">
        <f t="shared" si="359"/>
        <v>18.3</v>
      </c>
      <c r="AT481">
        <v>18.100000000000001</v>
      </c>
      <c r="AU481">
        <v>17.600000000000001</v>
      </c>
      <c r="AV481">
        <v>16.899999999999999</v>
      </c>
      <c r="AW481">
        <v>16.3</v>
      </c>
      <c r="AX481">
        <v>15.8</v>
      </c>
      <c r="AY481">
        <v>15.2</v>
      </c>
      <c r="AZ481">
        <v>14.5</v>
      </c>
      <c r="BA481" s="106">
        <v>14.2</v>
      </c>
      <c r="BC481" s="111">
        <f t="shared" si="372"/>
        <v>-9.9999999999997868E-2</v>
      </c>
      <c r="BD481" s="111">
        <f t="shared" si="360"/>
        <v>-0.19999999999999929</v>
      </c>
      <c r="BE481" s="111">
        <f t="shared" si="361"/>
        <v>-0.19999999999999929</v>
      </c>
      <c r="BF481" s="111">
        <f t="shared" si="362"/>
        <v>-0.10000000000000142</v>
      </c>
      <c r="BG481" s="111">
        <f t="shared" si="363"/>
        <v>-5.0000000000000711E-2</v>
      </c>
      <c r="BH481" s="111">
        <f t="shared" si="364"/>
        <v>0</v>
      </c>
      <c r="BI481" s="111">
        <f t="shared" si="365"/>
        <v>-9.9999999999997868E-2</v>
      </c>
      <c r="BJ481" s="111">
        <f t="shared" si="366"/>
        <v>0</v>
      </c>
      <c r="BK481" s="111">
        <f t="shared" si="367"/>
        <v>0</v>
      </c>
      <c r="BL481" s="111">
        <f t="shared" si="368"/>
        <v>-9.9999999999999645E-2</v>
      </c>
      <c r="BM481" s="111">
        <f t="shared" si="369"/>
        <v>-0.10000000000000142</v>
      </c>
      <c r="BN481" s="111">
        <f t="shared" si="370"/>
        <v>-0.19999999999999929</v>
      </c>
      <c r="BO481" s="111">
        <f t="shared" si="371"/>
        <v>0.39999999999999858</v>
      </c>
      <c r="BR481" s="120">
        <v>6.2381976148494934E-3</v>
      </c>
      <c r="BS481" s="120">
        <v>6.2578108907501958E-3</v>
      </c>
      <c r="BT481" s="120">
        <v>6.4442873498475372E-3</v>
      </c>
      <c r="BU481" s="120">
        <v>6.4525312424556659E-3</v>
      </c>
      <c r="BV481" s="120">
        <v>6.429632127872599E-3</v>
      </c>
      <c r="BW481" s="120">
        <v>6.4013815804710534E-3</v>
      </c>
      <c r="BX481" s="120">
        <v>6.3997772185612391E-3</v>
      </c>
      <c r="BY481" s="120">
        <v>6.5795392791282601E-3</v>
      </c>
      <c r="BZ481" s="120">
        <v>6.8659604340349642E-3</v>
      </c>
      <c r="CA481" s="120">
        <v>6.8406673104514232E-3</v>
      </c>
      <c r="CB481" s="120">
        <v>7.1893323552215602E-3</v>
      </c>
      <c r="CC481" s="120">
        <v>8.1093058737096609E-3</v>
      </c>
      <c r="CD481" s="120">
        <v>9.9416343858881543E-3</v>
      </c>
      <c r="CF481" s="120">
        <v>0.19125700039039428</v>
      </c>
      <c r="CG481" s="120">
        <v>0.1832545440419599</v>
      </c>
      <c r="CH481" s="120">
        <v>0.1847845007466514</v>
      </c>
      <c r="CI481" s="120">
        <v>0.18120457113090865</v>
      </c>
      <c r="CJ481" s="120">
        <v>0.17699971898555233</v>
      </c>
      <c r="CK481" s="120">
        <v>0.17286114357108046</v>
      </c>
      <c r="CL481" s="120">
        <v>0.16649973111412883</v>
      </c>
      <c r="CM481" s="120">
        <v>0.16009854101229604</v>
      </c>
      <c r="CN481" s="120">
        <v>0.15736051219941072</v>
      </c>
      <c r="CO481" s="120">
        <v>0.14837182282129646</v>
      </c>
      <c r="CP481" s="120">
        <v>0.14165552527578895</v>
      </c>
      <c r="CQ481" s="120">
        <v>0.13664411394028342</v>
      </c>
      <c r="CR481" s="120">
        <v>0.12688253931662752</v>
      </c>
    </row>
    <row r="482" spans="38:96" x14ac:dyDescent="0.2">
      <c r="AN482" t="s">
        <v>109</v>
      </c>
      <c r="AO482">
        <v>20</v>
      </c>
      <c r="AP482">
        <v>19.100000000000001</v>
      </c>
      <c r="AQ482">
        <v>18.7</v>
      </c>
      <c r="AR482">
        <v>18.399999999999999</v>
      </c>
      <c r="AS482" s="126">
        <f t="shared" si="359"/>
        <v>18.149999999999999</v>
      </c>
      <c r="AT482">
        <v>17.899999999999999</v>
      </c>
      <c r="AU482">
        <v>17.5</v>
      </c>
      <c r="AV482">
        <v>16.8</v>
      </c>
      <c r="AW482">
        <v>16.2</v>
      </c>
      <c r="AX482">
        <v>15.7</v>
      </c>
      <c r="AY482">
        <v>14.9</v>
      </c>
      <c r="AZ482">
        <v>14.1</v>
      </c>
      <c r="BA482">
        <v>13.5</v>
      </c>
      <c r="BC482" s="111">
        <f t="shared" si="372"/>
        <v>-0.19999999999999929</v>
      </c>
      <c r="BD482" s="111">
        <f t="shared" si="360"/>
        <v>-9.9999999999997868E-2</v>
      </c>
      <c r="BE482" s="111">
        <f t="shared" si="361"/>
        <v>-0.10000000000000142</v>
      </c>
      <c r="BF482" s="111">
        <f t="shared" si="362"/>
        <v>-0.10000000000000142</v>
      </c>
      <c r="BG482" s="111">
        <f t="shared" si="363"/>
        <v>-0.10000000000000142</v>
      </c>
      <c r="BH482" s="111">
        <f t="shared" si="364"/>
        <v>-0.10000000000000142</v>
      </c>
      <c r="BI482" s="111">
        <f t="shared" si="365"/>
        <v>-0.10000000000000142</v>
      </c>
      <c r="BJ482" s="111">
        <f t="shared" si="366"/>
        <v>0</v>
      </c>
      <c r="BK482" s="111">
        <f t="shared" si="367"/>
        <v>0</v>
      </c>
      <c r="BL482" s="111">
        <f t="shared" si="368"/>
        <v>0</v>
      </c>
      <c r="BM482" s="111">
        <f t="shared" si="369"/>
        <v>-9.9999999999999645E-2</v>
      </c>
      <c r="BN482" s="111">
        <f t="shared" si="370"/>
        <v>-0.20000000000000107</v>
      </c>
      <c r="BO482" s="111">
        <f t="shared" si="371"/>
        <v>-0.30000000000000071</v>
      </c>
      <c r="BR482" s="120">
        <v>6.0418030489788237E-3</v>
      </c>
      <c r="BS482" s="120">
        <v>6.2963810203893562E-3</v>
      </c>
      <c r="BT482" s="120">
        <v>6.1534578245366883E-3</v>
      </c>
      <c r="BU482" s="120">
        <v>6.1962412899748158E-3</v>
      </c>
      <c r="BV482" s="120">
        <v>6.2005128343139652E-3</v>
      </c>
      <c r="BW482" s="120">
        <v>6.1959872765766167E-3</v>
      </c>
      <c r="BX482" s="120">
        <v>6.5284201629375802E-3</v>
      </c>
      <c r="BY482" s="120">
        <v>6.6937338845166764E-3</v>
      </c>
      <c r="BZ482" s="120">
        <v>6.7549300737764105E-3</v>
      </c>
      <c r="CA482" s="120">
        <v>7.0700405260830032E-3</v>
      </c>
      <c r="CB482" s="120">
        <v>6.9473082704718048E-3</v>
      </c>
      <c r="CC482" s="120">
        <v>7.4374711046664979E-3</v>
      </c>
      <c r="CD482" s="120">
        <v>9.3098188408971758E-3</v>
      </c>
      <c r="CF482" s="120">
        <v>0.19312828831765139</v>
      </c>
      <c r="CG482" s="120">
        <v>0.1924058338359004</v>
      </c>
      <c r="CH482" s="120">
        <v>0.18389623426714766</v>
      </c>
      <c r="CI482" s="120">
        <v>0.18130273144062845</v>
      </c>
      <c r="CJ482" s="120">
        <v>0.17763624494369529</v>
      </c>
      <c r="CK482" s="120">
        <v>0.17390911688440508</v>
      </c>
      <c r="CL482" s="120">
        <v>0.17683822058585327</v>
      </c>
      <c r="CM482" s="120">
        <v>0.16941144494194119</v>
      </c>
      <c r="CN482" s="120">
        <v>0.16085847617811408</v>
      </c>
      <c r="CO482" s="120">
        <v>0.15927269253049314</v>
      </c>
      <c r="CP482" s="120">
        <v>0.14164845893546321</v>
      </c>
      <c r="CQ482" s="120">
        <v>0.12942759245931526</v>
      </c>
      <c r="CR482" s="120">
        <v>0.12223568627667732</v>
      </c>
    </row>
    <row r="483" spans="38:96" x14ac:dyDescent="0.2">
      <c r="AN483" t="s">
        <v>110</v>
      </c>
      <c r="AO483">
        <v>19.8</v>
      </c>
      <c r="AP483">
        <v>18.899999999999999</v>
      </c>
      <c r="AQ483">
        <v>18.600000000000001</v>
      </c>
      <c r="AR483">
        <v>18.3</v>
      </c>
      <c r="AS483" s="126">
        <f t="shared" si="359"/>
        <v>18.05</v>
      </c>
      <c r="AT483">
        <v>17.8</v>
      </c>
      <c r="AU483">
        <v>17.399999999999999</v>
      </c>
      <c r="AV483">
        <v>16.600000000000001</v>
      </c>
      <c r="AW483">
        <v>16</v>
      </c>
      <c r="AX483">
        <v>15.5</v>
      </c>
      <c r="AY483">
        <v>14.8</v>
      </c>
      <c r="AZ483">
        <v>13.9</v>
      </c>
      <c r="BA483">
        <v>13.1</v>
      </c>
      <c r="BC483" s="111">
        <f t="shared" si="372"/>
        <v>-0.19999999999999929</v>
      </c>
      <c r="BD483" s="111">
        <f t="shared" si="360"/>
        <v>-0.10000000000000142</v>
      </c>
      <c r="BE483" s="111">
        <f t="shared" si="361"/>
        <v>-9.9999999999997868E-2</v>
      </c>
      <c r="BF483" s="111">
        <f t="shared" si="362"/>
        <v>-9.9999999999997868E-2</v>
      </c>
      <c r="BG483" s="111">
        <f t="shared" si="363"/>
        <v>-9.9999999999997868E-2</v>
      </c>
      <c r="BH483" s="111">
        <f t="shared" si="364"/>
        <v>-9.9999999999997868E-2</v>
      </c>
      <c r="BI483" s="111">
        <f t="shared" si="365"/>
        <v>0</v>
      </c>
      <c r="BJ483" s="111">
        <f t="shared" si="366"/>
        <v>-9.9999999999997868E-2</v>
      </c>
      <c r="BK483" s="111">
        <f t="shared" si="367"/>
        <v>0</v>
      </c>
      <c r="BL483" s="111">
        <f t="shared" si="368"/>
        <v>-9.9999999999999645E-2</v>
      </c>
      <c r="BM483" s="111">
        <f t="shared" si="369"/>
        <v>0</v>
      </c>
      <c r="BN483" s="111">
        <f t="shared" si="370"/>
        <v>-9.9999999999999645E-2</v>
      </c>
      <c r="BO483" s="111">
        <f t="shared" si="371"/>
        <v>-0.20000000000000107</v>
      </c>
      <c r="BR483" s="120">
        <v>5.8668654995025276E-3</v>
      </c>
      <c r="BS483" s="120">
        <v>5.6433634262480744E-3</v>
      </c>
      <c r="BT483" s="120">
        <v>6.0082867220620818E-3</v>
      </c>
      <c r="BU483" s="120">
        <v>6.0228955518762351E-3</v>
      </c>
      <c r="BV483" s="120">
        <v>6.0874894977090022E-3</v>
      </c>
      <c r="BW483" s="120">
        <v>6.1507707894882194E-3</v>
      </c>
      <c r="BX483" s="120">
        <v>6.0392080635473869E-3</v>
      </c>
      <c r="BY483" s="120">
        <v>5.8914739094221768E-3</v>
      </c>
      <c r="BZ483" s="120">
        <v>6.1069298561782495E-3</v>
      </c>
      <c r="CA483" s="120">
        <v>6.1235479352190906E-3</v>
      </c>
      <c r="CB483" s="120">
        <v>7.1421510162998211E-3</v>
      </c>
      <c r="CC483" s="120">
        <v>7.7756156165987352E-3</v>
      </c>
      <c r="CD483" s="120">
        <v>9.3553171392464444E-3</v>
      </c>
      <c r="CF483" s="120">
        <v>0.18973127227455128</v>
      </c>
      <c r="CG483" s="120">
        <v>0.17356054458145195</v>
      </c>
      <c r="CH483" s="120">
        <v>0.18125623655530032</v>
      </c>
      <c r="CI483" s="120">
        <v>0.17784320689873911</v>
      </c>
      <c r="CJ483" s="120">
        <v>0.17622395605219693</v>
      </c>
      <c r="CK483" s="120">
        <v>0.17467405553675694</v>
      </c>
      <c r="CL483" s="120">
        <v>0.16497627453378785</v>
      </c>
      <c r="CM483" s="120">
        <v>0.14979643931074435</v>
      </c>
      <c r="CN483" s="120">
        <v>0.14599928245816279</v>
      </c>
      <c r="CO483" s="120">
        <v>0.13847819569825118</v>
      </c>
      <c r="CP483" s="120">
        <v>0.14703257431878075</v>
      </c>
      <c r="CQ483" s="120">
        <v>0.13627518195278027</v>
      </c>
      <c r="CR483" s="120">
        <v>0.12364446337385922</v>
      </c>
    </row>
    <row r="485" spans="38:96" x14ac:dyDescent="0.2">
      <c r="AO485">
        <v>-0.5</v>
      </c>
      <c r="AP485">
        <v>-0.25</v>
      </c>
      <c r="AQ485">
        <v>-0.13</v>
      </c>
      <c r="AR485">
        <v>0</v>
      </c>
      <c r="AS485">
        <v>0.125</v>
      </c>
      <c r="AT485">
        <v>0.25</v>
      </c>
      <c r="AU485">
        <v>0.5</v>
      </c>
      <c r="AV485">
        <v>1</v>
      </c>
      <c r="AW485">
        <v>1.5</v>
      </c>
      <c r="AX485">
        <v>2</v>
      </c>
      <c r="AY485">
        <v>3</v>
      </c>
      <c r="AZ485">
        <v>5</v>
      </c>
      <c r="BA485">
        <v>10</v>
      </c>
    </row>
    <row r="486" spans="38:96" x14ac:dyDescent="0.2">
      <c r="AL486" s="105" t="s">
        <v>464</v>
      </c>
      <c r="AN486" t="s">
        <v>25</v>
      </c>
      <c r="AO486" s="105">
        <v>8.8000000000000007</v>
      </c>
      <c r="AP486" s="105">
        <v>6.1</v>
      </c>
      <c r="AQ486" s="105">
        <v>7</v>
      </c>
      <c r="AR486" s="105">
        <v>8.5</v>
      </c>
      <c r="AS486" s="126">
        <f t="shared" ref="AS486:AS500" si="373">(AR486+AT486)/2</f>
        <v>9.9499999999999993</v>
      </c>
      <c r="AT486" s="105">
        <v>11.4</v>
      </c>
      <c r="AU486" s="105">
        <v>14</v>
      </c>
      <c r="AV486" s="105">
        <v>18.399999999999999</v>
      </c>
      <c r="AW486" s="105">
        <v>22</v>
      </c>
      <c r="AX486" s="105">
        <v>25.1</v>
      </c>
      <c r="AY486" s="105">
        <v>30.1</v>
      </c>
      <c r="AZ486" s="105">
        <v>37.700000000000003</v>
      </c>
      <c r="BA486" s="105">
        <v>49.3</v>
      </c>
      <c r="BC486" s="111">
        <f>AO486-AO469</f>
        <v>-9.9999999999999645E-2</v>
      </c>
      <c r="BD486" s="111">
        <f t="shared" ref="BD486:BD500" si="374">AP486-AP469</f>
        <v>-0.20000000000000018</v>
      </c>
      <c r="BE486" s="111">
        <f t="shared" ref="BE486:BE500" si="375">AQ486-AQ469</f>
        <v>-9.9999999999999645E-2</v>
      </c>
      <c r="BF486" s="111">
        <f t="shared" ref="BF486:BF500" si="376">AR486-AR469</f>
        <v>-9.9999999999999645E-2</v>
      </c>
      <c r="BG486" s="111">
        <f t="shared" ref="BG486:BG500" si="377">AS486-AS469</f>
        <v>-5.0000000000000711E-2</v>
      </c>
      <c r="BH486" s="111">
        <f t="shared" ref="BH486:BH500" si="378">AT486-AT469</f>
        <v>0</v>
      </c>
      <c r="BI486" s="111">
        <f t="shared" ref="BI486:BI500" si="379">AU486-AU469</f>
        <v>9.9999999999999645E-2</v>
      </c>
      <c r="BJ486" s="111">
        <f t="shared" ref="BJ486:BJ500" si="380">AV486-AV469</f>
        <v>0.19999999999999929</v>
      </c>
      <c r="BK486" s="111">
        <f t="shared" ref="BK486:BK500" si="381">AW486-AW469</f>
        <v>0.30000000000000071</v>
      </c>
      <c r="BL486" s="111">
        <f t="shared" ref="BL486:BL500" si="382">AX486-AX469</f>
        <v>0.30000000000000071</v>
      </c>
      <c r="BM486" s="111">
        <f t="shared" ref="BM486:BM500" si="383">AY486-AY469</f>
        <v>0.30000000000000071</v>
      </c>
      <c r="BN486" s="111">
        <f t="shared" ref="BN486:BN500" si="384">AZ486-AZ469</f>
        <v>0.60000000000000142</v>
      </c>
      <c r="BO486" s="111">
        <f t="shared" ref="BO486:BO500" si="385">BA486-BA469</f>
        <v>0.79999999999999716</v>
      </c>
      <c r="BR486" s="120">
        <v>2.2921481057196292E-3</v>
      </c>
      <c r="BS486" s="120">
        <v>1.6634288352166079E-3</v>
      </c>
      <c r="BT486" s="120">
        <v>1.9561388155129389E-3</v>
      </c>
      <c r="BU486" s="120">
        <v>2.4258713230376578E-3</v>
      </c>
      <c r="BV486" s="120">
        <v>2.900643632041885E-3</v>
      </c>
      <c r="BW486" s="120">
        <v>3.3884827766937232E-3</v>
      </c>
      <c r="BX486" s="120">
        <v>4.3223184292216004E-3</v>
      </c>
      <c r="BY486" s="120">
        <v>6.0903275034338645E-3</v>
      </c>
      <c r="BZ486" s="120">
        <v>7.772931360388341E-3</v>
      </c>
      <c r="CA486" s="120">
        <v>9.3824855155775783E-3</v>
      </c>
      <c r="CB486" s="120">
        <v>1.2444034026623189E-2</v>
      </c>
      <c r="CC486" s="120">
        <v>1.8502472367382176E-2</v>
      </c>
      <c r="CD486" s="120">
        <v>3.2496471203919255E-2</v>
      </c>
      <c r="CF486" s="120">
        <v>8.8002697226363821E-2</v>
      </c>
      <c r="CG486" s="120">
        <v>6.0843903779738258E-2</v>
      </c>
      <c r="CH486" s="120">
        <v>7.0000838157175033E-2</v>
      </c>
      <c r="CI486" s="120">
        <v>8.5003435058975535E-2</v>
      </c>
      <c r="CJ486" s="120">
        <v>9.9503065900700488E-2</v>
      </c>
      <c r="CK486" s="120">
        <v>0.11407241970212649</v>
      </c>
      <c r="CL486" s="120">
        <v>0.14006524958856409</v>
      </c>
      <c r="CM486" s="120">
        <v>0.18406522018446639</v>
      </c>
      <c r="CN486" s="120">
        <v>0.22089753501224843</v>
      </c>
      <c r="CO486" s="120">
        <v>0.25200799228169163</v>
      </c>
      <c r="CP486" s="120">
        <v>0.30192023620623337</v>
      </c>
      <c r="CQ486" s="120">
        <v>0.37854628011376934</v>
      </c>
      <c r="CR486" s="120">
        <v>0.50040435154757612</v>
      </c>
    </row>
    <row r="487" spans="38:96" x14ac:dyDescent="0.2">
      <c r="AN487" t="s">
        <v>157</v>
      </c>
      <c r="AO487" s="105">
        <v>11.3</v>
      </c>
      <c r="AP487" s="105">
        <v>9.1</v>
      </c>
      <c r="AQ487" s="105">
        <v>10</v>
      </c>
      <c r="AR487" s="105">
        <v>11.4</v>
      </c>
      <c r="AS487" s="126">
        <f t="shared" si="373"/>
        <v>12.75</v>
      </c>
      <c r="AT487" s="105">
        <v>14.1</v>
      </c>
      <c r="AU487" s="105">
        <v>16.5</v>
      </c>
      <c r="AV487" s="105">
        <v>20.6</v>
      </c>
      <c r="AW487" s="105">
        <v>24</v>
      </c>
      <c r="AX487" s="105">
        <v>26.9</v>
      </c>
      <c r="AY487" s="105">
        <v>31.5</v>
      </c>
      <c r="AZ487" s="105">
        <v>38.200000000000003</v>
      </c>
      <c r="BA487" s="105">
        <v>48.2</v>
      </c>
      <c r="BC487" s="111">
        <f t="shared" ref="BC487:BC500" si="386">AO487-AO470</f>
        <v>0</v>
      </c>
      <c r="BD487" s="111">
        <f t="shared" si="374"/>
        <v>1.6999999999999993</v>
      </c>
      <c r="BE487" s="111">
        <f t="shared" si="375"/>
        <v>0.19999999999999929</v>
      </c>
      <c r="BF487" s="111">
        <f t="shared" si="376"/>
        <v>0.30000000000000071</v>
      </c>
      <c r="BG487" s="111">
        <f t="shared" si="377"/>
        <v>0.35000000000000142</v>
      </c>
      <c r="BH487" s="111">
        <f t="shared" si="378"/>
        <v>0.40000000000000036</v>
      </c>
      <c r="BI487" s="111">
        <f t="shared" si="379"/>
        <v>0.5</v>
      </c>
      <c r="BJ487" s="111">
        <f t="shared" si="380"/>
        <v>0.60000000000000142</v>
      </c>
      <c r="BK487" s="111">
        <f t="shared" si="381"/>
        <v>0.80000000000000071</v>
      </c>
      <c r="BL487" s="111">
        <f t="shared" si="382"/>
        <v>0.89999999999999858</v>
      </c>
      <c r="BM487" s="111">
        <f t="shared" si="383"/>
        <v>1</v>
      </c>
      <c r="BN487" s="111">
        <f t="shared" si="384"/>
        <v>1.2000000000000028</v>
      </c>
      <c r="BO487" s="111">
        <f t="shared" si="385"/>
        <v>1.5</v>
      </c>
      <c r="BR487" s="120">
        <v>3.4872825107541603E-3</v>
      </c>
      <c r="BS487" s="120">
        <v>3.4500345863447482E-3</v>
      </c>
      <c r="BT487" s="120">
        <v>3.6019769668493942E-3</v>
      </c>
      <c r="BU487" s="120">
        <v>3.8957748198016205E-3</v>
      </c>
      <c r="BV487" s="120">
        <v>4.2479877910282611E-3</v>
      </c>
      <c r="BW487" s="120">
        <v>4.654003947106502E-3</v>
      </c>
      <c r="BX487" s="120">
        <v>5.4614714117488094E-3</v>
      </c>
      <c r="BY487" s="120">
        <v>7.0818828287780439E-3</v>
      </c>
      <c r="BZ487" s="120">
        <v>8.6547651246963175E-3</v>
      </c>
      <c r="CA487" s="120">
        <v>1.0183261063163392E-2</v>
      </c>
      <c r="CB487" s="120">
        <v>1.305381667146692E-2</v>
      </c>
      <c r="CC487" s="120">
        <v>1.8409970496102903E-2</v>
      </c>
      <c r="CD487" s="120">
        <v>3.0732985649602265E-2</v>
      </c>
      <c r="CF487" s="120">
        <v>0.13487126012979023</v>
      </c>
      <c r="CG487" s="120">
        <v>0.12721474116303613</v>
      </c>
      <c r="CH487" s="120">
        <v>0.12988201555591855</v>
      </c>
      <c r="CI487" s="120">
        <v>0.13749552909132531</v>
      </c>
      <c r="CJ487" s="120">
        <v>0.14690458651787716</v>
      </c>
      <c r="CK487" s="120">
        <v>0.15770269666517506</v>
      </c>
      <c r="CL487" s="120">
        <v>0.17817573398312028</v>
      </c>
      <c r="CM487" s="120">
        <v>0.21556209975003962</v>
      </c>
      <c r="CN487" s="120">
        <v>0.2473854724280066</v>
      </c>
      <c r="CO487" s="120">
        <v>0.27502943403811164</v>
      </c>
      <c r="CP487" s="120">
        <v>0.3190925576649577</v>
      </c>
      <c r="CQ487" s="120">
        <v>0.38289935570635919</v>
      </c>
      <c r="CR487" s="120">
        <v>0.4777111972280782</v>
      </c>
    </row>
    <row r="488" spans="38:96" x14ac:dyDescent="0.2">
      <c r="AN488" t="s">
        <v>99</v>
      </c>
      <c r="AO488" s="105">
        <v>14.1</v>
      </c>
      <c r="AP488" s="105">
        <v>11.9</v>
      </c>
      <c r="AQ488" s="105">
        <v>11.5</v>
      </c>
      <c r="AR488" s="105">
        <v>11.9</v>
      </c>
      <c r="AS488" s="126">
        <f t="shared" si="373"/>
        <v>12.55</v>
      </c>
      <c r="AT488" s="105">
        <v>13.2</v>
      </c>
      <c r="AU488" s="105">
        <v>14.5</v>
      </c>
      <c r="AV488" s="105">
        <v>16.7</v>
      </c>
      <c r="AW488" s="105">
        <v>18.600000000000001</v>
      </c>
      <c r="AX488" s="105">
        <v>20.3</v>
      </c>
      <c r="AY488" s="105">
        <v>23.2</v>
      </c>
      <c r="AZ488" s="105">
        <v>27.7</v>
      </c>
      <c r="BA488" s="105">
        <v>34.799999999999997</v>
      </c>
      <c r="BC488" s="111">
        <f t="shared" si="386"/>
        <v>0.5</v>
      </c>
      <c r="BD488" s="111">
        <f t="shared" si="374"/>
        <v>0.59999999999999964</v>
      </c>
      <c r="BE488" s="111">
        <f t="shared" si="375"/>
        <v>0.30000000000000071</v>
      </c>
      <c r="BF488" s="111">
        <f t="shared" si="376"/>
        <v>0.70000000000000107</v>
      </c>
      <c r="BG488" s="111">
        <f t="shared" si="377"/>
        <v>0.70000000000000107</v>
      </c>
      <c r="BH488" s="111">
        <f t="shared" si="378"/>
        <v>0.69999999999999929</v>
      </c>
      <c r="BI488" s="111">
        <f t="shared" si="379"/>
        <v>0.80000000000000071</v>
      </c>
      <c r="BJ488" s="111">
        <f t="shared" si="380"/>
        <v>0.79999999999999893</v>
      </c>
      <c r="BK488" s="111">
        <f t="shared" si="381"/>
        <v>0.80000000000000071</v>
      </c>
      <c r="BL488" s="111">
        <f t="shared" si="382"/>
        <v>0.80000000000000071</v>
      </c>
      <c r="BM488" s="111">
        <f t="shared" si="383"/>
        <v>0.80000000000000071</v>
      </c>
      <c r="BN488" s="111">
        <f t="shared" si="384"/>
        <v>1.0999999999999979</v>
      </c>
      <c r="BO488" s="111">
        <f t="shared" si="385"/>
        <v>1.5</v>
      </c>
      <c r="BR488" s="120">
        <v>3.7673277200832916E-3</v>
      </c>
      <c r="BS488" s="120">
        <v>3.3329266946215369E-3</v>
      </c>
      <c r="BT488" s="120">
        <v>3.292739931034897E-3</v>
      </c>
      <c r="BU488" s="120">
        <v>3.4820196636156596E-3</v>
      </c>
      <c r="BV488" s="120">
        <v>3.7493584906507379E-3</v>
      </c>
      <c r="BW488" s="120">
        <v>4.0235939553268565E-3</v>
      </c>
      <c r="BX488" s="120">
        <v>4.5923146309337238E-3</v>
      </c>
      <c r="BY488" s="120">
        <v>5.6719127602019694E-3</v>
      </c>
      <c r="BZ488" s="120">
        <v>6.7255294849475743E-3</v>
      </c>
      <c r="CA488" s="120">
        <v>7.7686255775522616E-3</v>
      </c>
      <c r="CB488" s="120">
        <v>9.8122368433994581E-3</v>
      </c>
      <c r="CC488" s="120">
        <v>1.3784687932268032E-2</v>
      </c>
      <c r="CD488" s="120">
        <v>2.3106957978735264E-2</v>
      </c>
      <c r="CF488" s="120">
        <v>0.14099903298023381</v>
      </c>
      <c r="CG488" s="120">
        <v>0.11900000414490307</v>
      </c>
      <c r="CH488" s="120">
        <v>0.11497969862655349</v>
      </c>
      <c r="CI488" s="120">
        <v>0.11900030876425109</v>
      </c>
      <c r="CJ488" s="120">
        <v>0.12550231023983111</v>
      </c>
      <c r="CK488" s="120">
        <v>0.13200000468619533</v>
      </c>
      <c r="CL488" s="120">
        <v>0.14500002229275658</v>
      </c>
      <c r="CM488" s="120">
        <v>0.1670000775202467</v>
      </c>
      <c r="CN488" s="120">
        <v>0.18600009915063456</v>
      </c>
      <c r="CO488" s="120">
        <v>0.2030000793167562</v>
      </c>
      <c r="CP488" s="120">
        <v>0.23200886274140295</v>
      </c>
      <c r="CQ488" s="120">
        <v>0.27697875587815562</v>
      </c>
      <c r="CR488" s="120">
        <v>0.34799023500659643</v>
      </c>
    </row>
    <row r="489" spans="38:96" x14ac:dyDescent="0.2">
      <c r="AN489" t="s">
        <v>101</v>
      </c>
      <c r="AO489" s="105">
        <v>16.2</v>
      </c>
      <c r="AP489" s="105">
        <v>14.3</v>
      </c>
      <c r="AQ489" s="105">
        <v>13.9</v>
      </c>
      <c r="AR489" s="105">
        <v>14.1</v>
      </c>
      <c r="AS489" s="126">
        <f t="shared" si="373"/>
        <v>14.55</v>
      </c>
      <c r="AT489" s="105">
        <v>15</v>
      </c>
      <c r="AU489" s="105">
        <v>15.9</v>
      </c>
      <c r="AV489" s="105">
        <v>17.5</v>
      </c>
      <c r="AW489" s="105">
        <v>19</v>
      </c>
      <c r="AX489" s="105">
        <v>20.3</v>
      </c>
      <c r="AY489" s="105">
        <v>22.5</v>
      </c>
      <c r="AZ489" s="105">
        <v>25.8</v>
      </c>
      <c r="BA489" s="105">
        <v>30.8</v>
      </c>
      <c r="BC489" s="111">
        <f t="shared" si="386"/>
        <v>0.59999999999999964</v>
      </c>
      <c r="BD489" s="111">
        <f t="shared" si="374"/>
        <v>0.70000000000000107</v>
      </c>
      <c r="BE489" s="111">
        <f t="shared" si="375"/>
        <v>0.5</v>
      </c>
      <c r="BF489" s="111">
        <f t="shared" si="376"/>
        <v>0.79999999999999893</v>
      </c>
      <c r="BG489" s="111">
        <f t="shared" si="377"/>
        <v>0.85000000000000142</v>
      </c>
      <c r="BH489" s="111">
        <f t="shared" si="378"/>
        <v>0.90000000000000036</v>
      </c>
      <c r="BI489" s="111">
        <f t="shared" si="379"/>
        <v>0.90000000000000036</v>
      </c>
      <c r="BJ489" s="111">
        <f t="shared" si="380"/>
        <v>0.89999999999999858</v>
      </c>
      <c r="BK489" s="111">
        <f t="shared" si="381"/>
        <v>1</v>
      </c>
      <c r="BL489" s="111">
        <f t="shared" si="382"/>
        <v>1</v>
      </c>
      <c r="BM489" s="111">
        <f t="shared" si="383"/>
        <v>1</v>
      </c>
      <c r="BN489" s="111">
        <f t="shared" si="384"/>
        <v>1</v>
      </c>
      <c r="BO489" s="111">
        <f t="shared" si="385"/>
        <v>1.3000000000000007</v>
      </c>
      <c r="BR489" s="120">
        <v>5.7413285322659617E-3</v>
      </c>
      <c r="BS489" s="120">
        <v>5.8362181941206178E-3</v>
      </c>
      <c r="BT489" s="120">
        <v>5.8343507936911591E-3</v>
      </c>
      <c r="BU489" s="120">
        <v>5.7748133109205612E-3</v>
      </c>
      <c r="BV489" s="120">
        <v>5.7703680751878903E-3</v>
      </c>
      <c r="BW489" s="120">
        <v>5.7860724677791155E-3</v>
      </c>
      <c r="BX489" s="120">
        <v>5.9131875298873079E-3</v>
      </c>
      <c r="BY489" s="120">
        <v>6.459095730963451E-3</v>
      </c>
      <c r="BZ489" s="120">
        <v>7.2175131299433964E-3</v>
      </c>
      <c r="CA489" s="120">
        <v>7.9845988946703889E-3</v>
      </c>
      <c r="CB489" s="120">
        <v>9.532828648844284E-3</v>
      </c>
      <c r="CC489" s="120">
        <v>1.2498407580190492E-2</v>
      </c>
      <c r="CD489" s="120">
        <v>1.9142782198400425E-2</v>
      </c>
      <c r="CF489" s="120">
        <v>0.20839349070573399</v>
      </c>
      <c r="CG489" s="120">
        <v>0.20222637184418304</v>
      </c>
      <c r="CH489" s="120">
        <v>0.1977168724864774</v>
      </c>
      <c r="CI489" s="120">
        <v>0.1914969344771412</v>
      </c>
      <c r="CJ489" s="120">
        <v>0.18739048382166834</v>
      </c>
      <c r="CK489" s="120">
        <v>0.18415830688464016</v>
      </c>
      <c r="CL489" s="120">
        <v>0.1811667025806824</v>
      </c>
      <c r="CM489" s="120">
        <v>0.18470085032853534</v>
      </c>
      <c r="CN489" s="120">
        <v>0.19407607639596453</v>
      </c>
      <c r="CO489" s="120">
        <v>0.20300011849448255</v>
      </c>
      <c r="CP489" s="120">
        <v>0.21949192583879423</v>
      </c>
      <c r="CQ489" s="120">
        <v>0.244742703351844</v>
      </c>
      <c r="CR489" s="120">
        <v>0.28064412568286468</v>
      </c>
    </row>
    <row r="490" spans="38:96" x14ac:dyDescent="0.2">
      <c r="AN490" t="s">
        <v>102</v>
      </c>
      <c r="AO490" s="105">
        <v>18.100000000000001</v>
      </c>
      <c r="AP490" s="105">
        <v>16.2</v>
      </c>
      <c r="AQ490" s="105">
        <v>15.9</v>
      </c>
      <c r="AR490" s="105">
        <v>15.9</v>
      </c>
      <c r="AS490" s="126">
        <f t="shared" si="373"/>
        <v>16.2</v>
      </c>
      <c r="AT490" s="105">
        <v>16.5</v>
      </c>
      <c r="AU490" s="105">
        <v>17.100000000000001</v>
      </c>
      <c r="AV490" s="105">
        <v>18.2</v>
      </c>
      <c r="AW490" s="105">
        <v>19.2</v>
      </c>
      <c r="AX490" s="105">
        <v>20.2</v>
      </c>
      <c r="AY490" s="105">
        <v>21.9</v>
      </c>
      <c r="AZ490" s="105">
        <v>24.5</v>
      </c>
      <c r="BA490" s="105">
        <v>28.3</v>
      </c>
      <c r="BC490" s="111">
        <f t="shared" si="386"/>
        <v>0.70000000000000284</v>
      </c>
      <c r="BD490" s="111">
        <f t="shared" si="374"/>
        <v>0.79999999999999893</v>
      </c>
      <c r="BE490" s="111">
        <f t="shared" si="375"/>
        <v>0.90000000000000036</v>
      </c>
      <c r="BF490" s="111">
        <f t="shared" si="376"/>
        <v>0.90000000000000036</v>
      </c>
      <c r="BG490" s="111">
        <f t="shared" si="377"/>
        <v>0.89999999999999858</v>
      </c>
      <c r="BH490" s="111">
        <f t="shared" si="378"/>
        <v>0.90000000000000036</v>
      </c>
      <c r="BI490" s="111">
        <f t="shared" si="379"/>
        <v>1</v>
      </c>
      <c r="BJ490" s="111">
        <f t="shared" si="380"/>
        <v>0.89999999999999858</v>
      </c>
      <c r="BK490" s="111">
        <f t="shared" si="381"/>
        <v>0.80000000000000071</v>
      </c>
      <c r="BL490" s="111">
        <f t="shared" si="382"/>
        <v>0.69999999999999929</v>
      </c>
      <c r="BM490" s="111">
        <f t="shared" si="383"/>
        <v>0.5</v>
      </c>
      <c r="BN490" s="111">
        <f t="shared" si="384"/>
        <v>0.30000000000000071</v>
      </c>
      <c r="BO490" s="111">
        <f t="shared" si="385"/>
        <v>0</v>
      </c>
      <c r="BR490" s="120">
        <v>6.4709556959615267E-3</v>
      </c>
      <c r="BS490" s="120">
        <v>6.2136903739902771E-3</v>
      </c>
      <c r="BT490" s="120">
        <v>6.3382315445112318E-3</v>
      </c>
      <c r="BU490" s="120">
        <v>6.2640731302414897E-3</v>
      </c>
      <c r="BV490" s="120">
        <v>6.3146592300446147E-3</v>
      </c>
      <c r="BW490" s="120">
        <v>6.3658374418697917E-3</v>
      </c>
      <c r="BX490" s="120">
        <v>6.5013985136178681E-3</v>
      </c>
      <c r="BY490" s="120">
        <v>6.934969720260962E-3</v>
      </c>
      <c r="BZ490" s="120">
        <v>7.4422191108204907E-3</v>
      </c>
      <c r="CA490" s="120">
        <v>8.1359267033261993E-3</v>
      </c>
      <c r="CB490" s="120">
        <v>9.547572482295541E-3</v>
      </c>
      <c r="CC490" s="120">
        <v>1.237034235532858E-2</v>
      </c>
      <c r="CD490" s="120">
        <v>1.877462580217492E-2</v>
      </c>
      <c r="CF490" s="120">
        <v>0.22707601757120685</v>
      </c>
      <c r="CG490" s="120">
        <v>0.2078232089630826</v>
      </c>
      <c r="CH490" s="120">
        <v>0.20747557108230286</v>
      </c>
      <c r="CI490" s="120">
        <v>0.20071596416264129</v>
      </c>
      <c r="CJ490" s="120">
        <v>0.19828847033549349</v>
      </c>
      <c r="CK490" s="120">
        <v>0.19601961039421179</v>
      </c>
      <c r="CL490" s="120">
        <v>0.19286252173232415</v>
      </c>
      <c r="CM490" s="120">
        <v>0.19215700176612077</v>
      </c>
      <c r="CN490" s="120">
        <v>0.1939179688711436</v>
      </c>
      <c r="CO490" s="120">
        <v>0.20059129830042952</v>
      </c>
      <c r="CP490" s="120">
        <v>0.2134680521241214</v>
      </c>
      <c r="CQ490" s="120">
        <v>0.23585287952312067</v>
      </c>
      <c r="CR490" s="120">
        <v>0.26957132661674349</v>
      </c>
    </row>
    <row r="491" spans="38:96" x14ac:dyDescent="0.2">
      <c r="AN491" t="s">
        <v>103</v>
      </c>
      <c r="AO491" s="105">
        <v>19.399999999999999</v>
      </c>
      <c r="AP491" s="105">
        <v>17.600000000000001</v>
      </c>
      <c r="AQ491" s="105">
        <v>17.2</v>
      </c>
      <c r="AR491" s="105">
        <v>17.2</v>
      </c>
      <c r="AS491" s="126">
        <f t="shared" si="373"/>
        <v>17.399999999999999</v>
      </c>
      <c r="AT491" s="105">
        <v>17.600000000000001</v>
      </c>
      <c r="AU491" s="105">
        <v>17.899999999999999</v>
      </c>
      <c r="AV491" s="105">
        <v>18.600000000000001</v>
      </c>
      <c r="AW491" s="105">
        <v>19.2</v>
      </c>
      <c r="AX491" s="105">
        <v>19.899999999999999</v>
      </c>
      <c r="AY491" s="105">
        <v>21.1</v>
      </c>
      <c r="AZ491" s="105">
        <v>23</v>
      </c>
      <c r="BA491" s="105">
        <v>26.1</v>
      </c>
      <c r="BC491" s="111">
        <f t="shared" si="386"/>
        <v>0.69999999999999929</v>
      </c>
      <c r="BD491" s="111">
        <f t="shared" si="374"/>
        <v>0.80000000000000071</v>
      </c>
      <c r="BE491" s="111">
        <f t="shared" si="375"/>
        <v>0.80000000000000071</v>
      </c>
      <c r="BF491" s="111">
        <f t="shared" si="376"/>
        <v>0.89999999999999858</v>
      </c>
      <c r="BG491" s="111">
        <f t="shared" si="377"/>
        <v>0.94999999999999574</v>
      </c>
      <c r="BH491" s="111">
        <f t="shared" si="378"/>
        <v>1</v>
      </c>
      <c r="BI491" s="111">
        <f t="shared" si="379"/>
        <v>1</v>
      </c>
      <c r="BJ491" s="111">
        <f t="shared" si="380"/>
        <v>1</v>
      </c>
      <c r="BK491" s="111">
        <f t="shared" si="381"/>
        <v>0.80000000000000071</v>
      </c>
      <c r="BL491" s="111">
        <f t="shared" si="382"/>
        <v>0.79999999999999716</v>
      </c>
      <c r="BM491" s="111">
        <f t="shared" si="383"/>
        <v>0.60000000000000142</v>
      </c>
      <c r="BN491" s="111">
        <f t="shared" si="384"/>
        <v>0.19999999999999929</v>
      </c>
      <c r="BO491" s="111">
        <f t="shared" si="385"/>
        <v>-9.9999999999997868E-2</v>
      </c>
      <c r="BR491" s="120">
        <v>6.908521973753903E-3</v>
      </c>
      <c r="BS491" s="120">
        <v>6.8769179820207934E-3</v>
      </c>
      <c r="BT491" s="120">
        <v>6.7238981128465835E-3</v>
      </c>
      <c r="BU491" s="120">
        <v>6.8700508177354132E-3</v>
      </c>
      <c r="BV491" s="120">
        <v>6.9171519972090947E-3</v>
      </c>
      <c r="BW491" s="120">
        <v>6.9628615127440285E-3</v>
      </c>
      <c r="BX491" s="120">
        <v>6.9260661074003107E-3</v>
      </c>
      <c r="BY491" s="120">
        <v>7.2246126472798426E-3</v>
      </c>
      <c r="BZ491" s="120">
        <v>7.5996052139894674E-3</v>
      </c>
      <c r="CA491" s="120">
        <v>8.1194632362781329E-3</v>
      </c>
      <c r="CB491" s="120">
        <v>9.2183404114649804E-3</v>
      </c>
      <c r="CC491" s="120">
        <v>1.1474474466652118E-2</v>
      </c>
      <c r="CD491" s="120">
        <v>1.7219521614702814E-2</v>
      </c>
      <c r="CF491" s="120">
        <v>0.23381132842338231</v>
      </c>
      <c r="CG491" s="120">
        <v>0.22226626726202317</v>
      </c>
      <c r="CH491" s="120">
        <v>0.21242577353631886</v>
      </c>
      <c r="CI491" s="120">
        <v>0.21267474036246714</v>
      </c>
      <c r="CJ491" s="120">
        <v>0.20983956567424825</v>
      </c>
      <c r="CK491" s="120">
        <v>0.20713321900351309</v>
      </c>
      <c r="CL491" s="120">
        <v>0.19839301534112475</v>
      </c>
      <c r="CM491" s="120">
        <v>0.19334698305687301</v>
      </c>
      <c r="CN491" s="120">
        <v>0.19138137598064839</v>
      </c>
      <c r="CO491" s="120">
        <v>0.19348249299406919</v>
      </c>
      <c r="CP491" s="120">
        <v>0.19926621594503621</v>
      </c>
      <c r="CQ491" s="120">
        <v>0.21151728913363041</v>
      </c>
      <c r="CR491" s="120">
        <v>0.23932213539947478</v>
      </c>
    </row>
    <row r="492" spans="38:96" x14ac:dyDescent="0.2">
      <c r="AN492" t="s">
        <v>104</v>
      </c>
      <c r="AO492" s="105">
        <v>20.3</v>
      </c>
      <c r="AP492" s="105">
        <v>18.600000000000001</v>
      </c>
      <c r="AQ492" s="105">
        <v>18.2</v>
      </c>
      <c r="AR492" s="105">
        <v>18.100000000000001</v>
      </c>
      <c r="AS492" s="126">
        <f t="shared" si="373"/>
        <v>18.200000000000003</v>
      </c>
      <c r="AT492" s="105">
        <v>18.3</v>
      </c>
      <c r="AU492" s="105">
        <v>18.399999999999999</v>
      </c>
      <c r="AV492" s="105">
        <v>18.7</v>
      </c>
      <c r="AW492" s="105">
        <v>19</v>
      </c>
      <c r="AX492" s="105">
        <v>19.3</v>
      </c>
      <c r="AY492" s="105">
        <v>20.100000000000001</v>
      </c>
      <c r="AZ492" s="105">
        <v>21.5</v>
      </c>
      <c r="BA492" s="105">
        <v>23.9</v>
      </c>
      <c r="BC492" s="111">
        <f t="shared" si="386"/>
        <v>0.69999999999999929</v>
      </c>
      <c r="BD492" s="111">
        <f t="shared" si="374"/>
        <v>0.70000000000000284</v>
      </c>
      <c r="BE492" s="111">
        <f t="shared" si="375"/>
        <v>0.80000000000000071</v>
      </c>
      <c r="BF492" s="111">
        <f t="shared" si="376"/>
        <v>0.80000000000000071</v>
      </c>
      <c r="BG492" s="111">
        <f t="shared" si="377"/>
        <v>0.85000000000000142</v>
      </c>
      <c r="BH492" s="111">
        <f t="shared" si="378"/>
        <v>0.90000000000000213</v>
      </c>
      <c r="BI492" s="111">
        <f t="shared" si="379"/>
        <v>0.89999999999999858</v>
      </c>
      <c r="BJ492" s="111">
        <f t="shared" si="380"/>
        <v>0.89999999999999858</v>
      </c>
      <c r="BK492" s="111">
        <f t="shared" si="381"/>
        <v>0.80000000000000071</v>
      </c>
      <c r="BL492" s="111">
        <f t="shared" si="382"/>
        <v>0.69999999999999929</v>
      </c>
      <c r="BM492" s="111">
        <f t="shared" si="383"/>
        <v>0.5</v>
      </c>
      <c r="BN492" s="111">
        <f t="shared" si="384"/>
        <v>0.19999999999999929</v>
      </c>
      <c r="BO492" s="111">
        <f t="shared" si="385"/>
        <v>-0.30000000000000071</v>
      </c>
      <c r="BR492" s="120">
        <v>7.2632644454369106E-3</v>
      </c>
      <c r="BS492" s="120">
        <v>7.2043596608054967E-3</v>
      </c>
      <c r="BT492" s="120">
        <v>7.2698052953216394E-3</v>
      </c>
      <c r="BU492" s="120">
        <v>7.1730896482683328E-3</v>
      </c>
      <c r="BV492" s="120">
        <v>7.1758606871906595E-3</v>
      </c>
      <c r="BW492" s="120">
        <v>7.176948515038209E-3</v>
      </c>
      <c r="BX492" s="120">
        <v>7.1949939892451036E-3</v>
      </c>
      <c r="BY492" s="120">
        <v>7.2804205286740118E-3</v>
      </c>
      <c r="BZ492" s="120">
        <v>7.5779343043497985E-3</v>
      </c>
      <c r="CA492" s="120">
        <v>7.7852364414830212E-3</v>
      </c>
      <c r="CB492" s="120">
        <v>8.74734125221081E-3</v>
      </c>
      <c r="CC492" s="120">
        <v>1.0832788932364121E-2</v>
      </c>
      <c r="CD492" s="120">
        <v>1.5680281070166759E-2</v>
      </c>
      <c r="CF492" s="120">
        <v>0.23700822326645607</v>
      </c>
      <c r="CG492" s="120">
        <v>0.22441584039914494</v>
      </c>
      <c r="CH492" s="120">
        <v>0.22174655868580367</v>
      </c>
      <c r="CI492" s="120">
        <v>0.21410954893435355</v>
      </c>
      <c r="CJ492" s="120">
        <v>0.20991225058832316</v>
      </c>
      <c r="CK492" s="120">
        <v>0.20588483631305771</v>
      </c>
      <c r="CL492" s="120">
        <v>0.19892204736990837</v>
      </c>
      <c r="CM492" s="120">
        <v>0.18807452546388667</v>
      </c>
      <c r="CN492" s="120">
        <v>0.18429493390027649</v>
      </c>
      <c r="CO492" s="120">
        <v>0.17913671442772328</v>
      </c>
      <c r="CP492" s="120">
        <v>0.1828019560055518</v>
      </c>
      <c r="CQ492" s="120">
        <v>0.19353836134983868</v>
      </c>
      <c r="CR492" s="120">
        <v>0.21161055448635813</v>
      </c>
    </row>
    <row r="493" spans="38:96" x14ac:dyDescent="0.2">
      <c r="AN493" t="s">
        <v>105</v>
      </c>
      <c r="AO493" s="105">
        <v>20.9</v>
      </c>
      <c r="AP493" s="105">
        <v>19.3</v>
      </c>
      <c r="AQ493" s="105">
        <v>18.899999999999999</v>
      </c>
      <c r="AR493" s="105">
        <v>18.7</v>
      </c>
      <c r="AS493" s="126">
        <f t="shared" si="373"/>
        <v>18.7</v>
      </c>
      <c r="AT493" s="105">
        <v>18.7</v>
      </c>
      <c r="AU493" s="105">
        <v>18.7</v>
      </c>
      <c r="AV493" s="105">
        <v>18.7</v>
      </c>
      <c r="AW493" s="105">
        <v>18.7</v>
      </c>
      <c r="AX493" s="105">
        <v>18.8</v>
      </c>
      <c r="AY493" s="105">
        <v>19.2</v>
      </c>
      <c r="AZ493" s="105">
        <v>20.2</v>
      </c>
      <c r="BA493" s="105">
        <v>22.1</v>
      </c>
      <c r="BC493" s="111">
        <f t="shared" si="386"/>
        <v>0.59999999999999787</v>
      </c>
      <c r="BD493" s="111">
        <f t="shared" si="374"/>
        <v>0.69999999999999929</v>
      </c>
      <c r="BE493" s="111">
        <f t="shared" si="375"/>
        <v>0.79999999999999716</v>
      </c>
      <c r="BF493" s="111">
        <f t="shared" si="376"/>
        <v>0.80000000000000071</v>
      </c>
      <c r="BG493" s="111">
        <f t="shared" si="377"/>
        <v>0.80000000000000071</v>
      </c>
      <c r="BH493" s="111">
        <f t="shared" si="378"/>
        <v>0.80000000000000071</v>
      </c>
      <c r="BI493" s="111">
        <f t="shared" si="379"/>
        <v>0.80000000000000071</v>
      </c>
      <c r="BJ493" s="111">
        <f t="shared" si="380"/>
        <v>0.80000000000000071</v>
      </c>
      <c r="BK493" s="111">
        <f t="shared" si="381"/>
        <v>0.69999999999999929</v>
      </c>
      <c r="BL493" s="111">
        <f t="shared" si="382"/>
        <v>0.60000000000000142</v>
      </c>
      <c r="BM493" s="111">
        <f t="shared" si="383"/>
        <v>0.5</v>
      </c>
      <c r="BN493" s="111">
        <f t="shared" si="384"/>
        <v>0.30000000000000071</v>
      </c>
      <c r="BO493" s="111">
        <f t="shared" si="385"/>
        <v>-0.19999999999999929</v>
      </c>
      <c r="BR493" s="120">
        <v>7.4286551886171117E-3</v>
      </c>
      <c r="BS493" s="120">
        <v>7.4294111265565468E-3</v>
      </c>
      <c r="BT493" s="120">
        <v>7.4292835233681657E-3</v>
      </c>
      <c r="BU493" s="120">
        <v>7.3502640359922582E-3</v>
      </c>
      <c r="BV493" s="120">
        <v>7.3096998589553966E-3</v>
      </c>
      <c r="BW493" s="120">
        <v>7.2667091035248299E-3</v>
      </c>
      <c r="BX493" s="120">
        <v>7.3667928328905573E-3</v>
      </c>
      <c r="BY493" s="120">
        <v>7.4364439141108418E-3</v>
      </c>
      <c r="BZ493" s="120">
        <v>7.5216503432037592E-3</v>
      </c>
      <c r="CA493" s="120">
        <v>7.8715881606089243E-3</v>
      </c>
      <c r="CB493" s="120">
        <v>8.5252281717828719E-3</v>
      </c>
      <c r="CC493" s="120">
        <v>1.0336376699785531E-2</v>
      </c>
      <c r="CD493" s="120">
        <v>1.4891641826308952E-2</v>
      </c>
      <c r="CF493" s="120">
        <v>0.23501864656708385</v>
      </c>
      <c r="CG493" s="120">
        <v>0.22457379741870884</v>
      </c>
      <c r="CH493" s="120">
        <v>0.21973921091782486</v>
      </c>
      <c r="CI493" s="120">
        <v>0.2129038081880773</v>
      </c>
      <c r="CJ493" s="120">
        <v>0.20749492266248259</v>
      </c>
      <c r="CK493" s="120">
        <v>0.20228808930127384</v>
      </c>
      <c r="CL493" s="120">
        <v>0.19773445166726644</v>
      </c>
      <c r="CM493" s="120">
        <v>0.18664187446046268</v>
      </c>
      <c r="CN493" s="120">
        <v>0.17769053521970982</v>
      </c>
      <c r="CO493" s="120">
        <v>0.17619096982526897</v>
      </c>
      <c r="CP493" s="120">
        <v>0.17330813256695238</v>
      </c>
      <c r="CQ493" s="120">
        <v>0.17974855661601954</v>
      </c>
      <c r="CR493" s="120">
        <v>0.19623301134662868</v>
      </c>
    </row>
    <row r="494" spans="38:96" x14ac:dyDescent="0.2">
      <c r="AN494" t="s">
        <v>106</v>
      </c>
      <c r="AO494" s="105">
        <v>21.3</v>
      </c>
      <c r="AP494" s="105">
        <v>19.8</v>
      </c>
      <c r="AQ494" s="105">
        <v>19.3</v>
      </c>
      <c r="AR494" s="105">
        <v>19.100000000000001</v>
      </c>
      <c r="AS494" s="126">
        <f t="shared" si="373"/>
        <v>19.05</v>
      </c>
      <c r="AT494" s="105">
        <v>19</v>
      </c>
      <c r="AU494" s="105">
        <v>18.899999999999999</v>
      </c>
      <c r="AV494" s="105">
        <v>18.7</v>
      </c>
      <c r="AW494" s="105">
        <v>18.5</v>
      </c>
      <c r="AX494" s="105">
        <v>18.5</v>
      </c>
      <c r="AY494" s="105">
        <v>18.600000000000001</v>
      </c>
      <c r="AZ494" s="105">
        <v>19.3</v>
      </c>
      <c r="BA494" s="105">
        <v>21</v>
      </c>
      <c r="BC494" s="111">
        <f t="shared" si="386"/>
        <v>0.60000000000000142</v>
      </c>
      <c r="BD494" s="111">
        <f t="shared" si="374"/>
        <v>0.69999999999999929</v>
      </c>
      <c r="BE494" s="111">
        <f t="shared" si="375"/>
        <v>0.69999999999999929</v>
      </c>
      <c r="BF494" s="111">
        <f t="shared" si="376"/>
        <v>0.80000000000000071</v>
      </c>
      <c r="BG494" s="111">
        <f t="shared" si="377"/>
        <v>0.80000000000000071</v>
      </c>
      <c r="BH494" s="111">
        <f t="shared" si="378"/>
        <v>0.80000000000000071</v>
      </c>
      <c r="BI494" s="111">
        <f t="shared" si="379"/>
        <v>0.79999999999999716</v>
      </c>
      <c r="BJ494" s="111">
        <f t="shared" si="380"/>
        <v>0.80000000000000071</v>
      </c>
      <c r="BK494" s="111">
        <f t="shared" si="381"/>
        <v>0.69999999999999929</v>
      </c>
      <c r="BL494" s="111">
        <f t="shared" si="382"/>
        <v>0.69999999999999929</v>
      </c>
      <c r="BM494" s="111">
        <f t="shared" si="383"/>
        <v>0.60000000000000142</v>
      </c>
      <c r="BN494" s="111">
        <f t="shared" si="384"/>
        <v>0.40000000000000213</v>
      </c>
      <c r="BO494" s="111">
        <f t="shared" si="385"/>
        <v>0.10000000000000142</v>
      </c>
      <c r="BR494" s="120">
        <v>7.5255002809795435E-3</v>
      </c>
      <c r="BS494" s="120">
        <v>7.5686117851917842E-3</v>
      </c>
      <c r="BT494" s="120">
        <v>7.3253276684001941E-3</v>
      </c>
      <c r="BU494" s="120">
        <v>7.4396628841230219E-3</v>
      </c>
      <c r="BV494" s="120">
        <v>7.4810313545245546E-3</v>
      </c>
      <c r="BW494" s="120">
        <v>7.5168908233296363E-3</v>
      </c>
      <c r="BX494" s="120">
        <v>7.5234997284006995E-3</v>
      </c>
      <c r="BY494" s="120">
        <v>7.601369687776101E-3</v>
      </c>
      <c r="BZ494" s="120">
        <v>7.7117540600192746E-3</v>
      </c>
      <c r="CA494" s="120">
        <v>8.0395666198954281E-3</v>
      </c>
      <c r="CB494" s="120">
        <v>8.6011394849361562E-3</v>
      </c>
      <c r="CC494" s="120">
        <v>1.0267380930560859E-2</v>
      </c>
      <c r="CD494" s="120">
        <v>1.4991642694176358E-2</v>
      </c>
      <c r="CF494" s="120">
        <v>0.23325509351832632</v>
      </c>
      <c r="CG494" s="120">
        <v>0.22419638043311169</v>
      </c>
      <c r="CH494" s="120">
        <v>0.21212588365482232</v>
      </c>
      <c r="CI494" s="120">
        <v>0.21116293098154701</v>
      </c>
      <c r="CJ494" s="120">
        <v>0.20819875523162037</v>
      </c>
      <c r="CK494" s="120">
        <v>0.20524701693646741</v>
      </c>
      <c r="CL494" s="120">
        <v>0.1980142273788944</v>
      </c>
      <c r="CM494" s="120">
        <v>0.18711718122055687</v>
      </c>
      <c r="CN494" s="120">
        <v>0.1787957847949399</v>
      </c>
      <c r="CO494" s="120">
        <v>0.17658619662788277</v>
      </c>
      <c r="CP494" s="120">
        <v>0.17169018173047496</v>
      </c>
      <c r="CQ494" s="120">
        <v>0.17550137096688831</v>
      </c>
      <c r="CR494" s="120">
        <v>0.194579419602043</v>
      </c>
    </row>
    <row r="495" spans="38:96" x14ac:dyDescent="0.2">
      <c r="AN495" t="s">
        <v>79</v>
      </c>
      <c r="AO495" s="105">
        <v>21.5</v>
      </c>
      <c r="AP495" s="105">
        <v>20</v>
      </c>
      <c r="AQ495" s="105">
        <v>19.600000000000001</v>
      </c>
      <c r="AR495" s="105">
        <v>19.399999999999999</v>
      </c>
      <c r="AS495" s="126">
        <f t="shared" si="373"/>
        <v>19.25</v>
      </c>
      <c r="AT495" s="105">
        <v>19.100000000000001</v>
      </c>
      <c r="AU495" s="105">
        <v>19</v>
      </c>
      <c r="AV495" s="105">
        <v>18.600000000000001</v>
      </c>
      <c r="AW495" s="105">
        <v>18.3</v>
      </c>
      <c r="AX495" s="105">
        <v>18.2</v>
      </c>
      <c r="AY495" s="105">
        <v>18.100000000000001</v>
      </c>
      <c r="AZ495" s="105">
        <v>18.5</v>
      </c>
      <c r="BA495" s="105">
        <v>19.899999999999999</v>
      </c>
      <c r="BC495" s="111">
        <f t="shared" si="386"/>
        <v>0.60000000000000142</v>
      </c>
      <c r="BD495" s="111">
        <f t="shared" si="374"/>
        <v>0.69999999999999929</v>
      </c>
      <c r="BE495" s="111">
        <f t="shared" si="375"/>
        <v>0.70000000000000284</v>
      </c>
      <c r="BF495" s="111">
        <f t="shared" si="376"/>
        <v>0.79999999999999716</v>
      </c>
      <c r="BG495" s="111">
        <f t="shared" si="377"/>
        <v>0.75</v>
      </c>
      <c r="BH495" s="111">
        <f t="shared" si="378"/>
        <v>0.70000000000000284</v>
      </c>
      <c r="BI495" s="111">
        <f t="shared" si="379"/>
        <v>0.80000000000000071</v>
      </c>
      <c r="BJ495" s="111">
        <f t="shared" si="380"/>
        <v>0.80000000000000071</v>
      </c>
      <c r="BK495" s="111">
        <f t="shared" si="381"/>
        <v>0.69999999999999929</v>
      </c>
      <c r="BL495" s="111">
        <f t="shared" si="382"/>
        <v>0.69999999999999929</v>
      </c>
      <c r="BM495" s="111">
        <f t="shared" si="383"/>
        <v>0.60000000000000142</v>
      </c>
      <c r="BN495" s="111">
        <f t="shared" si="384"/>
        <v>0.5</v>
      </c>
      <c r="BO495" s="111">
        <f t="shared" si="385"/>
        <v>0.29999999999999716</v>
      </c>
      <c r="BR495" s="120">
        <v>7.3355487084108793E-3</v>
      </c>
      <c r="BS495" s="120">
        <v>7.1164291720927746E-3</v>
      </c>
      <c r="BT495" s="120">
        <v>7.4772743528777027E-3</v>
      </c>
      <c r="BU495" s="120">
        <v>7.5360238955559143E-3</v>
      </c>
      <c r="BV495" s="120">
        <v>7.3646100192198312E-3</v>
      </c>
      <c r="BW495" s="120">
        <v>7.186279502326952E-3</v>
      </c>
      <c r="BX495" s="120">
        <v>7.46668994502569E-3</v>
      </c>
      <c r="BY495" s="120">
        <v>7.3830199103088147E-3</v>
      </c>
      <c r="BZ495" s="120">
        <v>7.5853304679338813E-3</v>
      </c>
      <c r="CA495" s="120">
        <v>7.8175863348270997E-3</v>
      </c>
      <c r="CB495" s="120">
        <v>8.3449971048429796E-3</v>
      </c>
      <c r="CC495" s="120">
        <v>9.6630653976635204E-3</v>
      </c>
      <c r="CD495" s="120">
        <v>1.349704207340246E-2</v>
      </c>
      <c r="CF495" s="120">
        <v>0.22455208068398569</v>
      </c>
      <c r="CG495" s="120">
        <v>0.20792009042961584</v>
      </c>
      <c r="CH495" s="120">
        <v>0.21429663769018478</v>
      </c>
      <c r="CI495" s="120">
        <v>0.2116186044402398</v>
      </c>
      <c r="CJ495" s="120">
        <v>0.20254556518990252</v>
      </c>
      <c r="CK495" s="120">
        <v>0.1937115190235012</v>
      </c>
      <c r="CL495" s="120">
        <v>0.19429330805139433</v>
      </c>
      <c r="CM495" s="120">
        <v>0.1796045864982711</v>
      </c>
      <c r="CN495" s="120">
        <v>0.17387116220386986</v>
      </c>
      <c r="CO495" s="120">
        <v>0.16977008220202841</v>
      </c>
      <c r="CP495" s="120">
        <v>0.16473161294013586</v>
      </c>
      <c r="CQ495" s="120">
        <v>0.1632962498307548</v>
      </c>
      <c r="CR495" s="120">
        <v>0.17304350758066045</v>
      </c>
    </row>
    <row r="496" spans="38:96" x14ac:dyDescent="0.2">
      <c r="AN496" t="s">
        <v>159</v>
      </c>
      <c r="AO496" s="105">
        <v>21.5</v>
      </c>
      <c r="AP496" s="105">
        <v>20.2</v>
      </c>
      <c r="AQ496" s="105">
        <v>19.8</v>
      </c>
      <c r="AR496" s="105">
        <v>19.5</v>
      </c>
      <c r="AS496" s="126">
        <f t="shared" si="373"/>
        <v>19.350000000000001</v>
      </c>
      <c r="AT496" s="105">
        <v>19.2</v>
      </c>
      <c r="AU496" s="105">
        <v>18.899999999999999</v>
      </c>
      <c r="AV496" s="105">
        <v>18.399999999999999</v>
      </c>
      <c r="AW496" s="105">
        <v>17.899999999999999</v>
      </c>
      <c r="AX496" s="105">
        <v>17.600000000000001</v>
      </c>
      <c r="AY496" s="105">
        <v>17.3</v>
      </c>
      <c r="AZ496" s="105">
        <v>17.399999999999999</v>
      </c>
      <c r="BA496" s="105">
        <v>18.2</v>
      </c>
      <c r="BC496" s="111">
        <f t="shared" si="386"/>
        <v>0.60000000000000142</v>
      </c>
      <c r="BD496" s="111">
        <f t="shared" si="374"/>
        <v>0.69999999999999929</v>
      </c>
      <c r="BE496" s="111">
        <f t="shared" si="375"/>
        <v>0.69999999999999929</v>
      </c>
      <c r="BF496" s="111">
        <f t="shared" si="376"/>
        <v>0.69999999999999929</v>
      </c>
      <c r="BG496" s="111">
        <f t="shared" si="377"/>
        <v>0.75</v>
      </c>
      <c r="BH496" s="111">
        <f t="shared" si="378"/>
        <v>0.80000000000000071</v>
      </c>
      <c r="BI496" s="111">
        <f t="shared" si="379"/>
        <v>0.79999999999999716</v>
      </c>
      <c r="BJ496" s="111">
        <f t="shared" si="380"/>
        <v>0.79999999999999716</v>
      </c>
      <c r="BK496" s="111">
        <f t="shared" si="381"/>
        <v>0.69999999999999929</v>
      </c>
      <c r="BL496" s="111">
        <f t="shared" si="382"/>
        <v>0.70000000000000284</v>
      </c>
      <c r="BM496" s="111">
        <f t="shared" si="383"/>
        <v>0.69999999999999929</v>
      </c>
      <c r="BN496" s="111">
        <f t="shared" si="384"/>
        <v>0.69999999999999929</v>
      </c>
      <c r="BO496" s="111">
        <f t="shared" si="385"/>
        <v>0.59999999999999787</v>
      </c>
      <c r="BR496" s="120">
        <v>6.9671106134656232E-3</v>
      </c>
      <c r="BS496" s="120">
        <v>7.254030339311269E-3</v>
      </c>
      <c r="BT496" s="120">
        <v>7.06422579246098E-3</v>
      </c>
      <c r="BU496" s="120">
        <v>6.9127187701695167E-3</v>
      </c>
      <c r="BV496" s="120">
        <v>7.1452222145164815E-3</v>
      </c>
      <c r="BW496" s="120">
        <v>7.3739076691921087E-3</v>
      </c>
      <c r="BX496" s="120">
        <v>7.0880153851491552E-3</v>
      </c>
      <c r="BY496" s="120">
        <v>7.4427310821294198E-3</v>
      </c>
      <c r="BZ496" s="120">
        <v>7.4219095105216865E-3</v>
      </c>
      <c r="CA496" s="120">
        <v>7.4946721682538015E-3</v>
      </c>
      <c r="CB496" s="120">
        <v>8.0411803622405641E-3</v>
      </c>
      <c r="CC496" s="120">
        <v>9.4317980720684258E-3</v>
      </c>
      <c r="CD496" s="120">
        <v>1.2613511040020224E-2</v>
      </c>
      <c r="CF496" s="120">
        <v>0.20942948012652238</v>
      </c>
      <c r="CG496" s="120">
        <v>0.20885403401533528</v>
      </c>
      <c r="CH496" s="120">
        <v>0.19876811079429491</v>
      </c>
      <c r="CI496" s="120">
        <v>0.19037155653844984</v>
      </c>
      <c r="CJ496" s="120">
        <v>0.19322707019178526</v>
      </c>
      <c r="CK496" s="120">
        <v>0.19590877102090712</v>
      </c>
      <c r="CL496" s="120">
        <v>0.18123418661266613</v>
      </c>
      <c r="CM496" s="120">
        <v>0.17833638161934118</v>
      </c>
      <c r="CN496" s="120">
        <v>0.16743878254430766</v>
      </c>
      <c r="CO496" s="120">
        <v>0.16012791372225257</v>
      </c>
      <c r="CP496" s="120">
        <v>0.156277986081922</v>
      </c>
      <c r="CQ496" s="120">
        <v>0.15715314618626564</v>
      </c>
      <c r="CR496" s="120">
        <v>0.15961053907957912</v>
      </c>
    </row>
    <row r="497" spans="38:96" x14ac:dyDescent="0.2">
      <c r="AN497" t="s">
        <v>107</v>
      </c>
      <c r="AO497" s="105">
        <v>21.3</v>
      </c>
      <c r="AP497" s="105">
        <v>20.100000000000001</v>
      </c>
      <c r="AQ497" s="105">
        <v>19.7</v>
      </c>
      <c r="AR497" s="105">
        <v>19.399999999999999</v>
      </c>
      <c r="AS497" s="126">
        <f t="shared" si="373"/>
        <v>19.2</v>
      </c>
      <c r="AT497" s="105">
        <v>19</v>
      </c>
      <c r="AU497" s="105">
        <v>18.600000000000001</v>
      </c>
      <c r="AV497" s="105">
        <v>18</v>
      </c>
      <c r="AW497" s="105">
        <v>17.5</v>
      </c>
      <c r="AX497" s="105">
        <v>17.100000000000001</v>
      </c>
      <c r="AY497" s="105">
        <v>16.600000000000001</v>
      </c>
      <c r="AZ497" s="105">
        <v>16.2</v>
      </c>
      <c r="BA497" s="105">
        <v>16.399999999999999</v>
      </c>
      <c r="BC497" s="111">
        <f t="shared" si="386"/>
        <v>0.60000000000000142</v>
      </c>
      <c r="BD497" s="111">
        <f t="shared" si="374"/>
        <v>0.60000000000000142</v>
      </c>
      <c r="BE497" s="111">
        <f t="shared" si="375"/>
        <v>0.69999999999999929</v>
      </c>
      <c r="BF497" s="111">
        <f t="shared" si="376"/>
        <v>0.69999999999999929</v>
      </c>
      <c r="BG497" s="111">
        <f t="shared" si="377"/>
        <v>0.69999999999999929</v>
      </c>
      <c r="BH497" s="111">
        <f t="shared" si="378"/>
        <v>0.69999999999999929</v>
      </c>
      <c r="BI497" s="111">
        <f t="shared" si="379"/>
        <v>0.70000000000000284</v>
      </c>
      <c r="BJ497" s="111">
        <f t="shared" si="380"/>
        <v>0.69999999999999929</v>
      </c>
      <c r="BK497" s="111">
        <f t="shared" si="381"/>
        <v>0.80000000000000071</v>
      </c>
      <c r="BL497" s="111">
        <f t="shared" si="382"/>
        <v>0.80000000000000071</v>
      </c>
      <c r="BM497" s="111">
        <f t="shared" si="383"/>
        <v>0.80000000000000071</v>
      </c>
      <c r="BN497" s="111">
        <f t="shared" si="384"/>
        <v>0.79999999999999893</v>
      </c>
      <c r="BO497" s="111">
        <f t="shared" si="385"/>
        <v>0.69999999999999929</v>
      </c>
      <c r="BR497" s="120">
        <v>6.8353530542661928E-3</v>
      </c>
      <c r="BS497" s="120">
        <v>6.6206232026426431E-3</v>
      </c>
      <c r="BT497" s="120">
        <v>6.7626783042788064E-3</v>
      </c>
      <c r="BU497" s="120">
        <v>6.9241345527120057E-3</v>
      </c>
      <c r="BV497" s="120">
        <v>6.7940905380250681E-3</v>
      </c>
      <c r="BW497" s="120">
        <v>6.6575552746903294E-3</v>
      </c>
      <c r="BX497" s="120">
        <v>6.880450879251607E-3</v>
      </c>
      <c r="BY497" s="120">
        <v>6.9031083560642456E-3</v>
      </c>
      <c r="BZ497" s="120">
        <v>7.3375227988466598E-3</v>
      </c>
      <c r="CA497" s="120">
        <v>7.5727940273044927E-3</v>
      </c>
      <c r="CB497" s="120">
        <v>7.8798040714489828E-3</v>
      </c>
      <c r="CC497" s="120">
        <v>8.3561722942944051E-3</v>
      </c>
      <c r="CD497" s="120">
        <v>1.0782057150152761E-2</v>
      </c>
      <c r="CF497" s="120">
        <v>0.20692839591776915</v>
      </c>
      <c r="CG497" s="120">
        <v>0.19118837783180753</v>
      </c>
      <c r="CH497" s="120">
        <v>0.19138636376266902</v>
      </c>
      <c r="CI497" s="120">
        <v>0.19213181146371774</v>
      </c>
      <c r="CJ497" s="120">
        <v>0.18463007691181643</v>
      </c>
      <c r="CK497" s="120">
        <v>0.17730430645653422</v>
      </c>
      <c r="CL497" s="120">
        <v>0.17688853219304815</v>
      </c>
      <c r="CM497" s="120">
        <v>0.16595060577508738</v>
      </c>
      <c r="CN497" s="120">
        <v>0.16639043009975585</v>
      </c>
      <c r="CO497" s="120">
        <v>0.16270769911862681</v>
      </c>
      <c r="CP497" s="120">
        <v>0.15382383996127935</v>
      </c>
      <c r="CQ497" s="120">
        <v>0.13944139904419314</v>
      </c>
      <c r="CR497" s="120">
        <v>0.13646822092040881</v>
      </c>
    </row>
    <row r="498" spans="38:96" x14ac:dyDescent="0.2">
      <c r="AN498" t="s">
        <v>108</v>
      </c>
      <c r="AO498" s="105">
        <v>20.8</v>
      </c>
      <c r="AP498" s="105">
        <v>19.8</v>
      </c>
      <c r="AQ498" s="105">
        <v>19.5</v>
      </c>
      <c r="AR498" s="105">
        <v>19.2</v>
      </c>
      <c r="AS498" s="126">
        <f t="shared" si="373"/>
        <v>18.95</v>
      </c>
      <c r="AT498" s="105">
        <v>18.7</v>
      </c>
      <c r="AU498" s="105">
        <v>18.3</v>
      </c>
      <c r="AV498" s="105">
        <v>17.600000000000001</v>
      </c>
      <c r="AW498" s="105">
        <v>17.100000000000001</v>
      </c>
      <c r="AX498" s="105">
        <v>16.600000000000001</v>
      </c>
      <c r="AY498" s="105">
        <v>16</v>
      </c>
      <c r="AZ498" s="105">
        <v>15.4</v>
      </c>
      <c r="BA498" s="105">
        <v>15</v>
      </c>
      <c r="BC498" s="111">
        <f t="shared" si="386"/>
        <v>0.5</v>
      </c>
      <c r="BD498" s="111">
        <f t="shared" si="374"/>
        <v>0.60000000000000142</v>
      </c>
      <c r="BE498" s="111">
        <f t="shared" si="375"/>
        <v>0.69999999999999929</v>
      </c>
      <c r="BF498" s="111">
        <f t="shared" si="376"/>
        <v>0.69999999999999929</v>
      </c>
      <c r="BG498" s="111">
        <f t="shared" si="377"/>
        <v>0.64999999999999858</v>
      </c>
      <c r="BH498" s="111">
        <f t="shared" si="378"/>
        <v>0.59999999999999787</v>
      </c>
      <c r="BI498" s="111">
        <f t="shared" si="379"/>
        <v>0.69999999999999929</v>
      </c>
      <c r="BJ498" s="111">
        <f t="shared" si="380"/>
        <v>0.70000000000000284</v>
      </c>
      <c r="BK498" s="111">
        <f t="shared" si="381"/>
        <v>0.80000000000000071</v>
      </c>
      <c r="BL498" s="111">
        <f t="shared" si="382"/>
        <v>0.80000000000000071</v>
      </c>
      <c r="BM498" s="111">
        <f t="shared" si="383"/>
        <v>0.80000000000000071</v>
      </c>
      <c r="BN498" s="111">
        <f t="shared" si="384"/>
        <v>0.90000000000000036</v>
      </c>
      <c r="BO498" s="111">
        <f t="shared" si="385"/>
        <v>0.80000000000000071</v>
      </c>
      <c r="BR498" s="120">
        <v>6.0891883265807916E-3</v>
      </c>
      <c r="BS498" s="120">
        <v>6.3965115169994889E-3</v>
      </c>
      <c r="BT498" s="120">
        <v>6.4617092078842362E-3</v>
      </c>
      <c r="BU498" s="120">
        <v>6.3923001214303277E-3</v>
      </c>
      <c r="BV498" s="120">
        <v>6.5114476854979597E-3</v>
      </c>
      <c r="BW498" s="120">
        <v>6.6256612097039666E-3</v>
      </c>
      <c r="BX498" s="120">
        <v>6.6261898764482952E-3</v>
      </c>
      <c r="BY498" s="120">
        <v>6.8238112204081587E-3</v>
      </c>
      <c r="BZ498" s="120">
        <v>6.8788433908788665E-3</v>
      </c>
      <c r="CA498" s="120">
        <v>6.8971101137838024E-3</v>
      </c>
      <c r="CB498" s="120">
        <v>7.3657408937103722E-3</v>
      </c>
      <c r="CC498" s="120">
        <v>8.5813805294164599E-3</v>
      </c>
      <c r="CD498" s="120">
        <v>1.0570804718576047E-2</v>
      </c>
      <c r="CF498" s="120">
        <v>0.19230299275687318</v>
      </c>
      <c r="CG498" s="120">
        <v>0.19311012758920065</v>
      </c>
      <c r="CH498" s="120">
        <v>0.19094356154299494</v>
      </c>
      <c r="CI498" s="120">
        <v>0.18493483511997358</v>
      </c>
      <c r="CJ498" s="120">
        <v>0.18465044499364552</v>
      </c>
      <c r="CK498" s="120">
        <v>0.18428061650069438</v>
      </c>
      <c r="CL498" s="120">
        <v>0.17756798257055934</v>
      </c>
      <c r="CM498" s="120">
        <v>0.17088995722043887</v>
      </c>
      <c r="CN498" s="120">
        <v>0.16215956905945492</v>
      </c>
      <c r="CO498" s="120">
        <v>0.15381139573981781</v>
      </c>
      <c r="CP498" s="120">
        <v>0.14909705282646052</v>
      </c>
      <c r="CQ498" s="120">
        <v>0.14840169932885877</v>
      </c>
      <c r="CR498" s="120">
        <v>0.13814032865885939</v>
      </c>
    </row>
    <row r="499" spans="38:96" x14ac:dyDescent="0.2">
      <c r="AN499" t="s">
        <v>109</v>
      </c>
      <c r="AO499" s="105">
        <v>20.7</v>
      </c>
      <c r="AP499" s="105">
        <v>19.8</v>
      </c>
      <c r="AQ499" s="105">
        <v>19.399999999999999</v>
      </c>
      <c r="AR499" s="105">
        <v>19.100000000000001</v>
      </c>
      <c r="AS499" s="126">
        <f t="shared" si="373"/>
        <v>18.899999999999999</v>
      </c>
      <c r="AT499" s="105">
        <v>18.7</v>
      </c>
      <c r="AU499" s="105">
        <v>18.2</v>
      </c>
      <c r="AV499" s="105">
        <v>17.5</v>
      </c>
      <c r="AW499" s="105">
        <v>16.899999999999999</v>
      </c>
      <c r="AX499" s="105">
        <v>16.5</v>
      </c>
      <c r="AY499" s="105">
        <v>15.8</v>
      </c>
      <c r="AZ499" s="105">
        <v>15</v>
      </c>
      <c r="BA499" s="105">
        <v>14.3</v>
      </c>
      <c r="BC499" s="111">
        <f t="shared" si="386"/>
        <v>0.69999999999999929</v>
      </c>
      <c r="BD499" s="111">
        <f t="shared" si="374"/>
        <v>0.69999999999999929</v>
      </c>
      <c r="BE499" s="111">
        <f t="shared" si="375"/>
        <v>0.69999999999999929</v>
      </c>
      <c r="BF499" s="111">
        <f t="shared" si="376"/>
        <v>0.70000000000000284</v>
      </c>
      <c r="BG499" s="111">
        <f t="shared" si="377"/>
        <v>0.75</v>
      </c>
      <c r="BH499" s="111">
        <f t="shared" si="378"/>
        <v>0.80000000000000071</v>
      </c>
      <c r="BI499" s="111">
        <f t="shared" si="379"/>
        <v>0.69999999999999929</v>
      </c>
      <c r="BJ499" s="111">
        <f t="shared" si="380"/>
        <v>0.69999999999999929</v>
      </c>
      <c r="BK499" s="111">
        <f t="shared" si="381"/>
        <v>0.69999999999999929</v>
      </c>
      <c r="BL499" s="111">
        <f t="shared" si="382"/>
        <v>0.80000000000000071</v>
      </c>
      <c r="BM499" s="111">
        <f t="shared" si="383"/>
        <v>0.90000000000000036</v>
      </c>
      <c r="BN499" s="111">
        <f t="shared" si="384"/>
        <v>0.90000000000000036</v>
      </c>
      <c r="BO499" s="111">
        <f t="shared" si="385"/>
        <v>0.80000000000000071</v>
      </c>
      <c r="BR499" s="120">
        <v>6.5052332864480858E-3</v>
      </c>
      <c r="BS499" s="120">
        <v>6.4311354163628359E-3</v>
      </c>
      <c r="BT499" s="120">
        <v>6.2510096517983697E-3</v>
      </c>
      <c r="BU499" s="120">
        <v>6.3655346823549511E-3</v>
      </c>
      <c r="BV499" s="120">
        <v>6.4586781500305494E-3</v>
      </c>
      <c r="BW499" s="120">
        <v>6.5524584937973977E-3</v>
      </c>
      <c r="BX499" s="120">
        <v>6.505089551783522E-3</v>
      </c>
      <c r="BY499" s="120">
        <v>6.6877307171839167E-3</v>
      </c>
      <c r="BZ499" s="120">
        <v>6.7744194702532559E-3</v>
      </c>
      <c r="CA499" s="120">
        <v>7.34962153382057E-3</v>
      </c>
      <c r="CB499" s="120">
        <v>7.4983438628562996E-3</v>
      </c>
      <c r="CC499" s="120">
        <v>7.6742519359682005E-3</v>
      </c>
      <c r="CD499" s="120">
        <v>9.5639423246325073E-3</v>
      </c>
      <c r="CF499" s="120">
        <v>0.21412857650545894</v>
      </c>
      <c r="CG499" s="120">
        <v>0.20193474370984857</v>
      </c>
      <c r="CH499" s="120">
        <v>0.19156432128534998</v>
      </c>
      <c r="CI499" s="120">
        <v>0.1909412141083103</v>
      </c>
      <c r="CJ499" s="120">
        <v>0.1900180785697542</v>
      </c>
      <c r="CK499" s="120">
        <v>0.18920187625387877</v>
      </c>
      <c r="CL499" s="120">
        <v>0.18056411862091959</v>
      </c>
      <c r="CM499" s="120">
        <v>0.17336379961380607</v>
      </c>
      <c r="CN499" s="120">
        <v>0.16485188992366051</v>
      </c>
      <c r="CO499" s="120">
        <v>0.16941873468358146</v>
      </c>
      <c r="CP499" s="120">
        <v>0.15650723310137485</v>
      </c>
      <c r="CQ499" s="120">
        <v>0.13641271249978004</v>
      </c>
      <c r="CR499" s="120">
        <v>0.12801646946709602</v>
      </c>
    </row>
    <row r="500" spans="38:96" x14ac:dyDescent="0.2">
      <c r="AN500" t="s">
        <v>110</v>
      </c>
      <c r="AO500" s="105">
        <v>20.5</v>
      </c>
      <c r="AP500" s="105">
        <v>19.7</v>
      </c>
      <c r="AQ500" s="105">
        <v>19.3</v>
      </c>
      <c r="AR500" s="105">
        <v>19</v>
      </c>
      <c r="AS500" s="126">
        <f t="shared" si="373"/>
        <v>18.75</v>
      </c>
      <c r="AT500" s="105">
        <v>18.5</v>
      </c>
      <c r="AU500" s="105">
        <v>18.100000000000001</v>
      </c>
      <c r="AV500" s="105">
        <v>17.399999999999999</v>
      </c>
      <c r="AW500" s="105">
        <v>16.8</v>
      </c>
      <c r="AX500" s="105">
        <v>16.3</v>
      </c>
      <c r="AY500" s="105">
        <v>15.6</v>
      </c>
      <c r="AZ500" s="105">
        <v>14.8</v>
      </c>
      <c r="BA500" s="105">
        <v>13.8</v>
      </c>
      <c r="BC500" s="111">
        <f t="shared" si="386"/>
        <v>0.69999999999999929</v>
      </c>
      <c r="BD500" s="111">
        <f t="shared" si="374"/>
        <v>0.80000000000000071</v>
      </c>
      <c r="BE500" s="111">
        <f t="shared" si="375"/>
        <v>0.69999999999999929</v>
      </c>
      <c r="BF500" s="111">
        <f t="shared" si="376"/>
        <v>0.69999999999999929</v>
      </c>
      <c r="BG500" s="111">
        <f t="shared" si="377"/>
        <v>0.69999999999999929</v>
      </c>
      <c r="BH500" s="111">
        <f t="shared" si="378"/>
        <v>0.69999999999999929</v>
      </c>
      <c r="BI500" s="111">
        <f t="shared" si="379"/>
        <v>0.70000000000000284</v>
      </c>
      <c r="BJ500" s="111">
        <f t="shared" si="380"/>
        <v>0.79999999999999716</v>
      </c>
      <c r="BK500" s="111">
        <f t="shared" si="381"/>
        <v>0.80000000000000071</v>
      </c>
      <c r="BL500" s="111">
        <f t="shared" si="382"/>
        <v>0.80000000000000071</v>
      </c>
      <c r="BM500" s="111">
        <f t="shared" si="383"/>
        <v>0.79999999999999893</v>
      </c>
      <c r="BN500" s="111">
        <f t="shared" si="384"/>
        <v>0.90000000000000036</v>
      </c>
      <c r="BO500" s="111">
        <f t="shared" si="385"/>
        <v>0.70000000000000107</v>
      </c>
      <c r="BR500" s="120">
        <v>5.549679933771025E-3</v>
      </c>
      <c r="BS500" s="120">
        <v>5.8528552551227143E-3</v>
      </c>
      <c r="BT500" s="120">
        <v>6.0148734650303567E-3</v>
      </c>
      <c r="BU500" s="120">
        <v>5.9819851341423582E-3</v>
      </c>
      <c r="BV500" s="120">
        <v>5.8823678042806997E-3</v>
      </c>
      <c r="BW500" s="120">
        <v>5.7680033850781073E-3</v>
      </c>
      <c r="BX500" s="120">
        <v>6.1892378392468285E-3</v>
      </c>
      <c r="BY500" s="120">
        <v>6.37518746573368E-3</v>
      </c>
      <c r="BZ500" s="120">
        <v>6.6197529450698804E-3</v>
      </c>
      <c r="CA500" s="120">
        <v>6.2115573165515995E-3</v>
      </c>
      <c r="CB500" s="120">
        <v>6.7847815793432766E-3</v>
      </c>
      <c r="CC500" s="120">
        <v>8.1509843995041971E-3</v>
      </c>
      <c r="CD500" s="120">
        <v>9.4253694174392492E-3</v>
      </c>
      <c r="CF500" s="120">
        <v>0.18537975659678557</v>
      </c>
      <c r="CG500" s="120">
        <v>0.18665252995648859</v>
      </c>
      <c r="CH500" s="120">
        <v>0.18771831726039934</v>
      </c>
      <c r="CI500" s="120">
        <v>0.18272270448338923</v>
      </c>
      <c r="CJ500" s="120">
        <v>0.17561747529213473</v>
      </c>
      <c r="CK500" s="120">
        <v>0.1684176906725279</v>
      </c>
      <c r="CL500" s="120">
        <v>0.17469462295655672</v>
      </c>
      <c r="CM500" s="120">
        <v>0.16786376472410192</v>
      </c>
      <c r="CN500" s="120">
        <v>0.16399742297194925</v>
      </c>
      <c r="CO500" s="120">
        <v>0.14500773692301774</v>
      </c>
      <c r="CP500" s="120">
        <v>0.14356586218126721</v>
      </c>
      <c r="CQ500" s="120">
        <v>0.14699592550011026</v>
      </c>
      <c r="CR500" s="120">
        <v>0.12759356238329822</v>
      </c>
    </row>
    <row r="502" spans="38:96" x14ac:dyDescent="0.2">
      <c r="AO502">
        <v>-0.5</v>
      </c>
      <c r="AP502">
        <v>-0.25</v>
      </c>
      <c r="AQ502">
        <v>-0.13</v>
      </c>
      <c r="AR502">
        <v>0</v>
      </c>
      <c r="AS502">
        <v>0.125</v>
      </c>
      <c r="AT502">
        <v>0.25</v>
      </c>
      <c r="AU502">
        <v>0.5</v>
      </c>
      <c r="AV502">
        <v>1</v>
      </c>
      <c r="AW502">
        <v>1.5</v>
      </c>
      <c r="AX502">
        <v>2</v>
      </c>
      <c r="AY502">
        <v>3</v>
      </c>
      <c r="AZ502">
        <v>5</v>
      </c>
      <c r="BA502">
        <v>10</v>
      </c>
    </row>
    <row r="503" spans="38:96" x14ac:dyDescent="0.2">
      <c r="AL503" s="105" t="s">
        <v>461</v>
      </c>
      <c r="AN503" t="s">
        <v>25</v>
      </c>
      <c r="AO503">
        <v>8.9</v>
      </c>
      <c r="AP503">
        <v>6.4</v>
      </c>
      <c r="AQ503">
        <v>7.4</v>
      </c>
      <c r="AR503" s="106">
        <v>8.9</v>
      </c>
      <c r="AS503" s="126">
        <f t="shared" ref="AS503:AS517" si="387">(AR503+AT503)/2</f>
        <v>10.350000000000001</v>
      </c>
      <c r="AT503">
        <v>11.8</v>
      </c>
      <c r="AU503" s="106">
        <v>14.4</v>
      </c>
      <c r="AV503">
        <v>18.8</v>
      </c>
      <c r="AW503" s="106">
        <v>22.5</v>
      </c>
      <c r="AX503" s="106">
        <v>25.6</v>
      </c>
      <c r="AY503" s="106">
        <v>30.7</v>
      </c>
      <c r="AZ503">
        <v>38.299999999999997</v>
      </c>
      <c r="BA503" s="106">
        <v>50.1</v>
      </c>
      <c r="BC503" s="111">
        <f>AO503-AO486</f>
        <v>9.9999999999999645E-2</v>
      </c>
      <c r="BD503" s="111">
        <f t="shared" ref="BD503:BD517" si="388">AP503-AP486</f>
        <v>0.30000000000000071</v>
      </c>
      <c r="BE503" s="111">
        <f t="shared" ref="BE503:BE517" si="389">AQ503-AQ486</f>
        <v>0.40000000000000036</v>
      </c>
      <c r="BF503" s="111">
        <f t="shared" ref="BF503:BF517" si="390">AR503-AR486</f>
        <v>0.40000000000000036</v>
      </c>
      <c r="BG503" s="111">
        <f t="shared" ref="BG503:BG517" si="391">AS503-AS486</f>
        <v>0.40000000000000213</v>
      </c>
      <c r="BH503" s="111">
        <f t="shared" ref="BH503:BH517" si="392">AT503-AT486</f>
        <v>0.40000000000000036</v>
      </c>
      <c r="BI503" s="111">
        <f t="shared" ref="BI503:BI517" si="393">AU503-AU486</f>
        <v>0.40000000000000036</v>
      </c>
      <c r="BJ503" s="111">
        <f t="shared" ref="BJ503:BJ517" si="394">AV503-AV486</f>
        <v>0.40000000000000213</v>
      </c>
      <c r="BK503" s="111">
        <f t="shared" ref="BK503:BK517" si="395">AW503-AW486</f>
        <v>0.5</v>
      </c>
      <c r="BL503" s="111">
        <f t="shared" ref="BL503:BL517" si="396">AX503-AX486</f>
        <v>0.5</v>
      </c>
      <c r="BM503" s="111">
        <f t="shared" ref="BM503:BM517" si="397">AY503-AY486</f>
        <v>0.59999999999999787</v>
      </c>
      <c r="BN503" s="111">
        <f t="shared" ref="BN503:BN517" si="398">AZ503-AZ486</f>
        <v>0.59999999999999432</v>
      </c>
      <c r="BO503" s="111">
        <f t="shared" ref="BO503:BO517" si="399">BA503-BA486</f>
        <v>0.80000000000000426</v>
      </c>
      <c r="BR503" s="120">
        <v>2.3116299871971612E-3</v>
      </c>
      <c r="BS503" s="120">
        <v>1.7444806960987169E-3</v>
      </c>
      <c r="BT503" s="120">
        <v>2.0624852043993223E-3</v>
      </c>
      <c r="BU503" s="120">
        <v>2.5329797474320892E-3</v>
      </c>
      <c r="BV503" s="120">
        <v>3.0063165743786321E-3</v>
      </c>
      <c r="BW503" s="120">
        <v>3.4961864786549357E-3</v>
      </c>
      <c r="BX503" s="120">
        <v>4.4399285431390607E-3</v>
      </c>
      <c r="BY503" s="120">
        <v>6.2158511425466018E-3</v>
      </c>
      <c r="BZ503" s="120">
        <v>7.9300464402450414E-3</v>
      </c>
      <c r="CA503" s="120">
        <v>9.5382607190228931E-3</v>
      </c>
      <c r="CB503" s="120">
        <v>1.2647489550054337E-2</v>
      </c>
      <c r="CC503" s="120">
        <v>1.8481947235669559E-2</v>
      </c>
      <c r="CD503" s="120">
        <v>3.2603645218125053E-2</v>
      </c>
      <c r="CF503" s="120">
        <v>8.9001540898886525E-2</v>
      </c>
      <c r="CG503" s="120">
        <v>6.3970019859192512E-2</v>
      </c>
      <c r="CH503" s="120">
        <v>7.3998589757591465E-2</v>
      </c>
      <c r="CI503" s="120">
        <v>8.899716268378613E-2</v>
      </c>
      <c r="CJ503" s="120">
        <v>0.1034940615359739</v>
      </c>
      <c r="CK503" s="120">
        <v>0.11799043026057394</v>
      </c>
      <c r="CL503" s="120">
        <v>0.14397883938285647</v>
      </c>
      <c r="CM503" s="120">
        <v>0.18846627235915711</v>
      </c>
      <c r="CN503" s="120">
        <v>0.2258683388310837</v>
      </c>
      <c r="CO503" s="120">
        <v>0.25656755402820608</v>
      </c>
      <c r="CP503" s="120">
        <v>0.307635151586161</v>
      </c>
      <c r="CQ503" s="120">
        <v>0.37787101430034997</v>
      </c>
      <c r="CR503" s="120">
        <v>0.49671372861711605</v>
      </c>
    </row>
    <row r="504" spans="38:96" x14ac:dyDescent="0.2">
      <c r="AN504" t="s">
        <v>157</v>
      </c>
      <c r="AO504">
        <v>11.2</v>
      </c>
      <c r="AP504" s="106">
        <v>9.4</v>
      </c>
      <c r="AQ504">
        <v>10.4</v>
      </c>
      <c r="AR504">
        <v>11.9</v>
      </c>
      <c r="AS504" s="126">
        <f t="shared" si="387"/>
        <v>13.3</v>
      </c>
      <c r="AT504">
        <v>14.7</v>
      </c>
      <c r="AU504">
        <v>17.2</v>
      </c>
      <c r="AV504">
        <v>21.3</v>
      </c>
      <c r="AW504">
        <v>24.7</v>
      </c>
      <c r="AX504">
        <v>27.6</v>
      </c>
      <c r="AY504">
        <v>32.299999999999997</v>
      </c>
      <c r="AZ504">
        <v>39.1</v>
      </c>
      <c r="BA504">
        <v>49.2</v>
      </c>
      <c r="BC504" s="111">
        <f t="shared" ref="BC504:BC517" si="400">AO504-AO487</f>
        <v>-0.10000000000000142</v>
      </c>
      <c r="BD504" s="111">
        <f t="shared" si="388"/>
        <v>0.30000000000000071</v>
      </c>
      <c r="BE504" s="111">
        <f t="shared" si="389"/>
        <v>0.40000000000000036</v>
      </c>
      <c r="BF504" s="111">
        <f t="shared" si="390"/>
        <v>0.5</v>
      </c>
      <c r="BG504" s="111">
        <f t="shared" si="391"/>
        <v>0.55000000000000071</v>
      </c>
      <c r="BH504" s="111">
        <f t="shared" si="392"/>
        <v>0.59999999999999964</v>
      </c>
      <c r="BI504" s="111">
        <f t="shared" si="393"/>
        <v>0.69999999999999929</v>
      </c>
      <c r="BJ504" s="111">
        <f t="shared" si="394"/>
        <v>0.69999999999999929</v>
      </c>
      <c r="BK504" s="111">
        <f t="shared" si="395"/>
        <v>0.69999999999999929</v>
      </c>
      <c r="BL504" s="111">
        <f t="shared" si="396"/>
        <v>0.70000000000000284</v>
      </c>
      <c r="BM504" s="111">
        <f t="shared" si="397"/>
        <v>0.79999999999999716</v>
      </c>
      <c r="BN504" s="111">
        <f t="shared" si="398"/>
        <v>0.89999999999999858</v>
      </c>
      <c r="BO504" s="111">
        <f t="shared" si="399"/>
        <v>1</v>
      </c>
      <c r="BR504" s="120">
        <v>3.4210770200786399E-3</v>
      </c>
      <c r="BS504" s="120">
        <v>3.5051548855649056E-3</v>
      </c>
      <c r="BT504" s="120">
        <v>3.6847425993991874E-3</v>
      </c>
      <c r="BU504" s="120">
        <v>4.0388803955786409E-3</v>
      </c>
      <c r="BV504" s="120">
        <v>4.4202707124051674E-3</v>
      </c>
      <c r="BW504" s="120">
        <v>4.851240308101786E-3</v>
      </c>
      <c r="BX504" s="120">
        <v>5.705601787645862E-3</v>
      </c>
      <c r="BY504" s="120">
        <v>7.3321707914599972E-3</v>
      </c>
      <c r="BZ504" s="120">
        <v>8.9041907296715586E-3</v>
      </c>
      <c r="CA504" s="120">
        <v>1.0445909674136703E-2</v>
      </c>
      <c r="CB504" s="120">
        <v>1.3379763744104059E-2</v>
      </c>
      <c r="CC504" s="120">
        <v>1.8907850685810058E-2</v>
      </c>
      <c r="CD504" s="120">
        <v>3.14100467320148E-2</v>
      </c>
      <c r="CF504" s="120">
        <v>0.13265482382647023</v>
      </c>
      <c r="CG504" s="120">
        <v>0.12958638480235526</v>
      </c>
      <c r="CH504" s="120">
        <v>0.13321029433394022</v>
      </c>
      <c r="CI504" s="120">
        <v>0.14290596890291241</v>
      </c>
      <c r="CJ504" s="120">
        <v>0.15319382425502237</v>
      </c>
      <c r="CK504" s="120">
        <v>0.16480738814644061</v>
      </c>
      <c r="CL504" s="120">
        <v>0.18673120072642924</v>
      </c>
      <c r="CM504" s="120">
        <v>0.22367021221132297</v>
      </c>
      <c r="CN504" s="120">
        <v>0.25518974363165547</v>
      </c>
      <c r="CO504" s="120">
        <v>0.28289689950644947</v>
      </c>
      <c r="CP504" s="120">
        <v>0.32783432317806516</v>
      </c>
      <c r="CQ504" s="120">
        <v>0.39449362383734016</v>
      </c>
      <c r="CR504" s="120">
        <v>0.49091381341895002</v>
      </c>
    </row>
    <row r="505" spans="38:96" x14ac:dyDescent="0.2">
      <c r="AN505" t="s">
        <v>99</v>
      </c>
      <c r="AO505">
        <v>14.1</v>
      </c>
      <c r="AP505">
        <v>12.1</v>
      </c>
      <c r="AQ505" s="106">
        <v>11.8</v>
      </c>
      <c r="AR505">
        <v>12.3</v>
      </c>
      <c r="AS505" s="126">
        <f t="shared" si="387"/>
        <v>13</v>
      </c>
      <c r="AT505">
        <v>13.7</v>
      </c>
      <c r="AU505">
        <v>15</v>
      </c>
      <c r="AV505">
        <v>17.2</v>
      </c>
      <c r="AW505">
        <v>19.100000000000001</v>
      </c>
      <c r="AX505">
        <v>20.8</v>
      </c>
      <c r="AY505">
        <v>23.7</v>
      </c>
      <c r="AZ505">
        <v>28.2</v>
      </c>
      <c r="BA505">
        <v>35.4</v>
      </c>
      <c r="BC505" s="111">
        <f t="shared" si="400"/>
        <v>0</v>
      </c>
      <c r="BD505" s="111">
        <f t="shared" si="388"/>
        <v>0.19999999999999929</v>
      </c>
      <c r="BE505" s="111">
        <f t="shared" si="389"/>
        <v>0.30000000000000071</v>
      </c>
      <c r="BF505" s="111">
        <f t="shared" si="390"/>
        <v>0.40000000000000036</v>
      </c>
      <c r="BG505" s="111">
        <f t="shared" si="391"/>
        <v>0.44999999999999929</v>
      </c>
      <c r="BH505" s="111">
        <f t="shared" si="392"/>
        <v>0.5</v>
      </c>
      <c r="BI505" s="111">
        <f t="shared" si="393"/>
        <v>0.5</v>
      </c>
      <c r="BJ505" s="111">
        <f t="shared" si="394"/>
        <v>0.5</v>
      </c>
      <c r="BK505" s="111">
        <f t="shared" si="395"/>
        <v>0.5</v>
      </c>
      <c r="BL505" s="111">
        <f t="shared" si="396"/>
        <v>0.5</v>
      </c>
      <c r="BM505" s="111">
        <f t="shared" si="397"/>
        <v>0.5</v>
      </c>
      <c r="BN505" s="111">
        <f t="shared" si="398"/>
        <v>0.5</v>
      </c>
      <c r="BO505" s="111">
        <f t="shared" si="399"/>
        <v>0.60000000000000142</v>
      </c>
      <c r="BR505" s="120">
        <v>3.7635896227996646E-3</v>
      </c>
      <c r="BS505" s="120">
        <v>3.3852594080093848E-3</v>
      </c>
      <c r="BT505" s="120">
        <v>3.3752046255149937E-3</v>
      </c>
      <c r="BU505" s="120">
        <v>3.5952696510209567E-3</v>
      </c>
      <c r="BV505" s="120">
        <v>3.8796797102016176E-3</v>
      </c>
      <c r="BW505" s="120">
        <v>4.1717687647916581E-3</v>
      </c>
      <c r="BX505" s="120">
        <v>4.746044386090156E-3</v>
      </c>
      <c r="BY505" s="120">
        <v>5.8362961550390384E-3</v>
      </c>
      <c r="BZ505" s="120">
        <v>6.8996604664431933E-3</v>
      </c>
      <c r="CA505" s="120">
        <v>7.9525871238931827E-3</v>
      </c>
      <c r="CB505" s="120">
        <v>1.0014832795036906E-2</v>
      </c>
      <c r="CC505" s="120">
        <v>1.4022079954610724E-2</v>
      </c>
      <c r="CD505" s="120">
        <v>2.348515652825961E-2</v>
      </c>
      <c r="CF505" s="120">
        <v>0.14099969780667979</v>
      </c>
      <c r="CG505" s="120">
        <v>0.12099997711437209</v>
      </c>
      <c r="CH505" s="120">
        <v>0.11798169565668828</v>
      </c>
      <c r="CI505" s="120">
        <v>0.12299953732403307</v>
      </c>
      <c r="CJ505" s="120">
        <v>0.12999689321897151</v>
      </c>
      <c r="CK505" s="120">
        <v>0.13699999309529606</v>
      </c>
      <c r="CL505" s="120">
        <v>0.14999992301294832</v>
      </c>
      <c r="CM505" s="120">
        <v>0.17199954853459112</v>
      </c>
      <c r="CN505" s="120">
        <v>0.19099895725811883</v>
      </c>
      <c r="CO505" s="120">
        <v>0.2079983590359846</v>
      </c>
      <c r="CP505" s="120">
        <v>0.23699743809661125</v>
      </c>
      <c r="CQ505" s="120">
        <v>0.28198821471177754</v>
      </c>
      <c r="CR505" s="120">
        <v>0.3539340422317766</v>
      </c>
    </row>
    <row r="506" spans="38:96" x14ac:dyDescent="0.2">
      <c r="AN506" t="s">
        <v>101</v>
      </c>
      <c r="AO506">
        <v>16.100000000000001</v>
      </c>
      <c r="AP506">
        <v>14.3</v>
      </c>
      <c r="AQ506" s="106">
        <v>14</v>
      </c>
      <c r="AR506">
        <v>14.3</v>
      </c>
      <c r="AS506" s="126">
        <f t="shared" si="387"/>
        <v>14.8</v>
      </c>
      <c r="AT506">
        <v>15.3</v>
      </c>
      <c r="AU506">
        <v>16.2</v>
      </c>
      <c r="AV506">
        <v>18</v>
      </c>
      <c r="AW506">
        <v>19.5</v>
      </c>
      <c r="AX506">
        <v>20.9</v>
      </c>
      <c r="AY506">
        <v>23.2</v>
      </c>
      <c r="AZ506">
        <v>26.6</v>
      </c>
      <c r="BA506">
        <v>31.7</v>
      </c>
      <c r="BC506" s="111">
        <f t="shared" si="400"/>
        <v>-9.9999999999997868E-2</v>
      </c>
      <c r="BD506" s="111">
        <f t="shared" si="388"/>
        <v>0</v>
      </c>
      <c r="BE506" s="111">
        <f t="shared" si="389"/>
        <v>9.9999999999999645E-2</v>
      </c>
      <c r="BF506" s="111">
        <f t="shared" si="390"/>
        <v>0.20000000000000107</v>
      </c>
      <c r="BG506" s="111">
        <f t="shared" si="391"/>
        <v>0.25</v>
      </c>
      <c r="BH506" s="111">
        <f t="shared" si="392"/>
        <v>0.30000000000000071</v>
      </c>
      <c r="BI506" s="111">
        <f t="shared" si="393"/>
        <v>0.29999999999999893</v>
      </c>
      <c r="BJ506" s="111">
        <f t="shared" si="394"/>
        <v>0.5</v>
      </c>
      <c r="BK506" s="111">
        <f t="shared" si="395"/>
        <v>0.5</v>
      </c>
      <c r="BL506" s="111">
        <f t="shared" si="396"/>
        <v>0.59999999999999787</v>
      </c>
      <c r="BM506" s="111">
        <f t="shared" si="397"/>
        <v>0.69999999999999929</v>
      </c>
      <c r="BN506" s="111">
        <f t="shared" si="398"/>
        <v>0.80000000000000071</v>
      </c>
      <c r="BO506" s="111">
        <f t="shared" si="399"/>
        <v>0.89999999999999858</v>
      </c>
      <c r="BR506" s="120">
        <v>5.7218812594448613E-3</v>
      </c>
      <c r="BS506" s="120">
        <v>5.7532002878869512E-3</v>
      </c>
      <c r="BT506" s="120">
        <v>5.7630594984234102E-3</v>
      </c>
      <c r="BU506" s="120">
        <v>5.7320485181202039E-3</v>
      </c>
      <c r="BV506" s="120">
        <v>5.7538513422872089E-3</v>
      </c>
      <c r="BW506" s="120">
        <v>5.7994679731954444E-3</v>
      </c>
      <c r="BX506" s="120">
        <v>5.9502050405464664E-3</v>
      </c>
      <c r="BY506" s="120">
        <v>6.6796830996474557E-3</v>
      </c>
      <c r="BZ506" s="120">
        <v>7.4530392178523402E-3</v>
      </c>
      <c r="CA506" s="120">
        <v>8.3075157552154524E-3</v>
      </c>
      <c r="CB506" s="120">
        <v>9.9618897097001266E-3</v>
      </c>
      <c r="CC506" s="120">
        <v>1.3090412390598556E-2</v>
      </c>
      <c r="CD506" s="120">
        <v>2.006409069895039E-2</v>
      </c>
      <c r="CF506" s="120">
        <v>0.20623000558915919</v>
      </c>
      <c r="CG506" s="120">
        <v>0.19793763532689049</v>
      </c>
      <c r="CH506" s="120">
        <v>0.19393454821949824</v>
      </c>
      <c r="CI506" s="120">
        <v>0.18873621966174833</v>
      </c>
      <c r="CJ506" s="120">
        <v>0.1855309200135159</v>
      </c>
      <c r="CK506" s="120">
        <v>0.18328380786332424</v>
      </c>
      <c r="CL506" s="120">
        <v>0.18101094118019592</v>
      </c>
      <c r="CM506" s="120">
        <v>0.18975544682208489</v>
      </c>
      <c r="CN506" s="120">
        <v>0.19910935624194578</v>
      </c>
      <c r="CO506" s="120">
        <v>0.20991332269767149</v>
      </c>
      <c r="CP506" s="120">
        <v>0.22807523790791367</v>
      </c>
      <c r="CQ506" s="120">
        <v>0.255035367454363</v>
      </c>
      <c r="CR506" s="120">
        <v>0.2929833045154942</v>
      </c>
    </row>
    <row r="507" spans="38:96" x14ac:dyDescent="0.2">
      <c r="AN507" t="s">
        <v>102</v>
      </c>
      <c r="AO507">
        <v>17.899999999999999</v>
      </c>
      <c r="AP507">
        <v>16.2</v>
      </c>
      <c r="AQ507">
        <v>15.9</v>
      </c>
      <c r="AR507">
        <v>16</v>
      </c>
      <c r="AS507" s="126">
        <f t="shared" si="387"/>
        <v>16.3</v>
      </c>
      <c r="AT507">
        <v>16.600000000000001</v>
      </c>
      <c r="AU507">
        <v>17.2</v>
      </c>
      <c r="AV507">
        <v>18.2</v>
      </c>
      <c r="AW507">
        <v>19.3</v>
      </c>
      <c r="AX507">
        <v>20.2</v>
      </c>
      <c r="AY507">
        <v>21.9</v>
      </c>
      <c r="AZ507">
        <v>24.5</v>
      </c>
      <c r="BA507">
        <v>28.5</v>
      </c>
      <c r="BC507" s="111">
        <f t="shared" si="400"/>
        <v>-0.20000000000000284</v>
      </c>
      <c r="BD507" s="111">
        <f t="shared" si="388"/>
        <v>0</v>
      </c>
      <c r="BE507" s="111">
        <f t="shared" si="389"/>
        <v>0</v>
      </c>
      <c r="BF507" s="111">
        <f t="shared" si="390"/>
        <v>9.9999999999999645E-2</v>
      </c>
      <c r="BG507" s="111">
        <f t="shared" si="391"/>
        <v>0.10000000000000142</v>
      </c>
      <c r="BH507" s="111">
        <f t="shared" si="392"/>
        <v>0.10000000000000142</v>
      </c>
      <c r="BI507" s="111">
        <f t="shared" si="393"/>
        <v>9.9999999999997868E-2</v>
      </c>
      <c r="BJ507" s="111">
        <f t="shared" si="394"/>
        <v>0</v>
      </c>
      <c r="BK507" s="111">
        <f t="shared" si="395"/>
        <v>0.10000000000000142</v>
      </c>
      <c r="BL507" s="111">
        <f t="shared" si="396"/>
        <v>0</v>
      </c>
      <c r="BM507" s="111">
        <f t="shared" si="397"/>
        <v>0</v>
      </c>
      <c r="BN507" s="111">
        <f t="shared" si="398"/>
        <v>0</v>
      </c>
      <c r="BO507" s="111">
        <f t="shared" si="399"/>
        <v>0.19999999999999929</v>
      </c>
      <c r="BR507" s="120">
        <v>6.4813929899913596E-3</v>
      </c>
      <c r="BS507" s="120">
        <v>6.3850431348562954E-3</v>
      </c>
      <c r="BT507" s="120">
        <v>6.4034756311378499E-3</v>
      </c>
      <c r="BU507" s="120">
        <v>6.3476518931851371E-3</v>
      </c>
      <c r="BV507" s="120">
        <v>6.3439960926783999E-3</v>
      </c>
      <c r="BW507" s="120">
        <v>6.3498389972596559E-3</v>
      </c>
      <c r="BX507" s="120">
        <v>6.4968064570589444E-3</v>
      </c>
      <c r="BY507" s="120">
        <v>6.6951682187160223E-3</v>
      </c>
      <c r="BZ507" s="120">
        <v>7.3419464023472729E-3</v>
      </c>
      <c r="CA507" s="120">
        <v>7.8947146945180825E-3</v>
      </c>
      <c r="CB507" s="120">
        <v>9.2691618342640256E-3</v>
      </c>
      <c r="CC507" s="120">
        <v>1.2028734613618117E-2</v>
      </c>
      <c r="CD507" s="120">
        <v>1.8548271590161661E-2</v>
      </c>
      <c r="CF507" s="120">
        <v>0.22396960323499029</v>
      </c>
      <c r="CG507" s="120">
        <v>0.21048211187650434</v>
      </c>
      <c r="CH507" s="120">
        <v>0.20652571948522011</v>
      </c>
      <c r="CI507" s="120">
        <v>0.20044052354533487</v>
      </c>
      <c r="CJ507" s="120">
        <v>0.19629016837412386</v>
      </c>
      <c r="CK507" s="120">
        <v>0.19264075641436626</v>
      </c>
      <c r="CL507" s="120">
        <v>0.18992079970108464</v>
      </c>
      <c r="CM507" s="120">
        <v>0.18266872956070573</v>
      </c>
      <c r="CN507" s="120">
        <v>0.18850929581491205</v>
      </c>
      <c r="CO507" s="120">
        <v>0.19171146657948862</v>
      </c>
      <c r="CP507" s="120">
        <v>0.20413886703854062</v>
      </c>
      <c r="CQ507" s="120">
        <v>0.22597455014951606</v>
      </c>
      <c r="CR507" s="120">
        <v>0.26278208220887606</v>
      </c>
    </row>
    <row r="508" spans="38:96" x14ac:dyDescent="0.2">
      <c r="AN508" t="s">
        <v>103</v>
      </c>
      <c r="AO508">
        <v>19.2</v>
      </c>
      <c r="AP508">
        <v>17.5</v>
      </c>
      <c r="AQ508">
        <v>17.2</v>
      </c>
      <c r="AR508">
        <v>17.2</v>
      </c>
      <c r="AS508" s="126">
        <f t="shared" si="387"/>
        <v>17.399999999999999</v>
      </c>
      <c r="AT508">
        <v>17.600000000000001</v>
      </c>
      <c r="AU508">
        <v>17.899999999999999</v>
      </c>
      <c r="AV508">
        <v>18.5</v>
      </c>
      <c r="AW508">
        <v>19.100000000000001</v>
      </c>
      <c r="AX508">
        <v>19.7</v>
      </c>
      <c r="AY508">
        <v>20.8</v>
      </c>
      <c r="AZ508">
        <v>22.8</v>
      </c>
      <c r="BA508">
        <v>26</v>
      </c>
      <c r="BC508" s="111">
        <f t="shared" si="400"/>
        <v>-0.19999999999999929</v>
      </c>
      <c r="BD508" s="111">
        <f t="shared" si="388"/>
        <v>-0.10000000000000142</v>
      </c>
      <c r="BE508" s="111">
        <f t="shared" si="389"/>
        <v>0</v>
      </c>
      <c r="BF508" s="111">
        <f t="shared" si="390"/>
        <v>0</v>
      </c>
      <c r="BG508" s="111">
        <f t="shared" si="391"/>
        <v>0</v>
      </c>
      <c r="BH508" s="111">
        <f t="shared" si="392"/>
        <v>0</v>
      </c>
      <c r="BI508" s="111">
        <f t="shared" si="393"/>
        <v>0</v>
      </c>
      <c r="BJ508" s="111">
        <f t="shared" si="394"/>
        <v>-0.10000000000000142</v>
      </c>
      <c r="BK508" s="111">
        <f t="shared" si="395"/>
        <v>-9.9999999999997868E-2</v>
      </c>
      <c r="BL508" s="111">
        <f t="shared" si="396"/>
        <v>-0.19999999999999929</v>
      </c>
      <c r="BM508" s="111">
        <f t="shared" si="397"/>
        <v>-0.30000000000000071</v>
      </c>
      <c r="BN508" s="111">
        <f t="shared" si="398"/>
        <v>-0.19999999999999929</v>
      </c>
      <c r="BO508" s="111">
        <f t="shared" si="399"/>
        <v>-0.10000000000000142</v>
      </c>
      <c r="BR508" s="120">
        <v>6.9719679312686324E-3</v>
      </c>
      <c r="BS508" s="120">
        <v>6.8018659442089877E-3</v>
      </c>
      <c r="BT508" s="120">
        <v>6.8362614428645399E-3</v>
      </c>
      <c r="BU508" s="120">
        <v>6.8508184100313108E-3</v>
      </c>
      <c r="BV508" s="120">
        <v>6.9145509550717563E-3</v>
      </c>
      <c r="BW508" s="120">
        <v>6.976884931642429E-3</v>
      </c>
      <c r="BX508" s="120">
        <v>6.9417225992908999E-3</v>
      </c>
      <c r="BY508" s="120">
        <v>7.2827378755046619E-3</v>
      </c>
      <c r="BZ508" s="120">
        <v>7.546531271972615E-3</v>
      </c>
      <c r="CA508" s="120">
        <v>8.0713418019619006E-3</v>
      </c>
      <c r="CB508" s="120">
        <v>9.0655906712875985E-3</v>
      </c>
      <c r="CC508" s="120">
        <v>1.146244959644533E-2</v>
      </c>
      <c r="CD508" s="120">
        <v>1.712251633888431E-2</v>
      </c>
      <c r="CF508" s="120">
        <v>0.23305988264311583</v>
      </c>
      <c r="CG508" s="120">
        <v>0.21699234011970764</v>
      </c>
      <c r="CH508" s="120">
        <v>0.21342107855273393</v>
      </c>
      <c r="CI508" s="120">
        <v>0.20945092296508169</v>
      </c>
      <c r="CJ508" s="120">
        <v>0.20722387365437969</v>
      </c>
      <c r="CK508" s="120">
        <v>0.20507826429242548</v>
      </c>
      <c r="CL508" s="120">
        <v>0.19651625589321575</v>
      </c>
      <c r="CM508" s="120">
        <v>0.19278678472864116</v>
      </c>
      <c r="CN508" s="120">
        <v>0.18791805144322429</v>
      </c>
      <c r="CO508" s="120">
        <v>0.19029196873568455</v>
      </c>
      <c r="CP508" s="120">
        <v>0.19392289239201221</v>
      </c>
      <c r="CQ508" s="120">
        <v>0.20934955149807874</v>
      </c>
      <c r="CR508" s="120">
        <v>0.23588653361106501</v>
      </c>
    </row>
    <row r="509" spans="38:96" x14ac:dyDescent="0.2">
      <c r="AN509" t="s">
        <v>104</v>
      </c>
      <c r="AO509">
        <v>20.100000000000001</v>
      </c>
      <c r="AP509">
        <v>18.5</v>
      </c>
      <c r="AQ509">
        <v>18.100000000000001</v>
      </c>
      <c r="AR509">
        <v>18.100000000000001</v>
      </c>
      <c r="AS509" s="126">
        <f t="shared" si="387"/>
        <v>18.149999999999999</v>
      </c>
      <c r="AT509">
        <v>18.2</v>
      </c>
      <c r="AU509">
        <v>18.3</v>
      </c>
      <c r="AV509">
        <v>18.5</v>
      </c>
      <c r="AW509">
        <v>18.7</v>
      </c>
      <c r="AX509">
        <v>19</v>
      </c>
      <c r="AY509">
        <v>19.7</v>
      </c>
      <c r="AZ509">
        <v>21.2</v>
      </c>
      <c r="BA509">
        <v>23.7</v>
      </c>
      <c r="BC509" s="111">
        <f t="shared" si="400"/>
        <v>-0.19999999999999929</v>
      </c>
      <c r="BD509" s="111">
        <f t="shared" si="388"/>
        <v>-0.10000000000000142</v>
      </c>
      <c r="BE509" s="111">
        <f t="shared" si="389"/>
        <v>-9.9999999999997868E-2</v>
      </c>
      <c r="BF509" s="111">
        <f t="shared" si="390"/>
        <v>0</v>
      </c>
      <c r="BG509" s="111">
        <f t="shared" si="391"/>
        <v>-5.0000000000004263E-2</v>
      </c>
      <c r="BH509" s="111">
        <f t="shared" si="392"/>
        <v>-0.10000000000000142</v>
      </c>
      <c r="BI509" s="111">
        <f t="shared" si="393"/>
        <v>-9.9999999999997868E-2</v>
      </c>
      <c r="BJ509" s="111">
        <f t="shared" si="394"/>
        <v>-0.19999999999999929</v>
      </c>
      <c r="BK509" s="111">
        <f t="shared" si="395"/>
        <v>-0.30000000000000071</v>
      </c>
      <c r="BL509" s="111">
        <f t="shared" si="396"/>
        <v>-0.30000000000000071</v>
      </c>
      <c r="BM509" s="111">
        <f t="shared" si="397"/>
        <v>-0.40000000000000213</v>
      </c>
      <c r="BN509" s="111">
        <f t="shared" si="398"/>
        <v>-0.30000000000000071</v>
      </c>
      <c r="BO509" s="111">
        <f t="shared" si="399"/>
        <v>-0.19999999999999929</v>
      </c>
      <c r="BR509" s="120">
        <v>7.3177133346806903E-3</v>
      </c>
      <c r="BS509" s="120">
        <v>7.3403342183371786E-3</v>
      </c>
      <c r="BT509" s="120">
        <v>7.1851318968433791E-3</v>
      </c>
      <c r="BU509" s="120">
        <v>7.3259069661931325E-3</v>
      </c>
      <c r="BV509" s="120">
        <v>7.2203707388130379E-3</v>
      </c>
      <c r="BW509" s="120">
        <v>7.11615373322974E-3</v>
      </c>
      <c r="BX509" s="120">
        <v>7.136923251158246E-3</v>
      </c>
      <c r="BY509" s="120">
        <v>7.1678611063271652E-3</v>
      </c>
      <c r="BZ509" s="120">
        <v>7.3488648388368195E-3</v>
      </c>
      <c r="CA509" s="120">
        <v>7.6634928695635002E-3</v>
      </c>
      <c r="CB509" s="120">
        <v>8.603965591323719E-3</v>
      </c>
      <c r="CC509" s="120">
        <v>1.0692831868572153E-2</v>
      </c>
      <c r="CD509" s="120">
        <v>1.5601320193900051E-2</v>
      </c>
      <c r="CF509" s="120">
        <v>0.23520322395309556</v>
      </c>
      <c r="CG509" s="120">
        <v>0.22544726906368201</v>
      </c>
      <c r="CH509" s="120">
        <v>0.21579393010308276</v>
      </c>
      <c r="CI509" s="120">
        <v>0.21563139404678322</v>
      </c>
      <c r="CJ509" s="120">
        <v>0.20817257063188452</v>
      </c>
      <c r="CK509" s="120">
        <v>0.20112093698092157</v>
      </c>
      <c r="CL509" s="120">
        <v>0.19443720870578807</v>
      </c>
      <c r="CM509" s="120">
        <v>0.18244722306275502</v>
      </c>
      <c r="CN509" s="120">
        <v>0.17611887956531794</v>
      </c>
      <c r="CO509" s="120">
        <v>0.17385711394837805</v>
      </c>
      <c r="CP509" s="120">
        <v>0.17736290410578115</v>
      </c>
      <c r="CQ509" s="120">
        <v>0.18850128274086941</v>
      </c>
      <c r="CR509" s="120">
        <v>0.2080681361102874</v>
      </c>
    </row>
    <row r="510" spans="38:96" x14ac:dyDescent="0.2">
      <c r="AN510" t="s">
        <v>105</v>
      </c>
      <c r="AO510">
        <v>20.7</v>
      </c>
      <c r="AP510">
        <v>19.2</v>
      </c>
      <c r="AQ510">
        <v>18.8</v>
      </c>
      <c r="AR510">
        <v>18.600000000000001</v>
      </c>
      <c r="AS510" s="126">
        <f t="shared" si="387"/>
        <v>18.600000000000001</v>
      </c>
      <c r="AT510">
        <v>18.600000000000001</v>
      </c>
      <c r="AU510">
        <v>18.600000000000001</v>
      </c>
      <c r="AV510">
        <v>18.5</v>
      </c>
      <c r="AW510">
        <v>18.5</v>
      </c>
      <c r="AX510">
        <v>18.5</v>
      </c>
      <c r="AY510">
        <v>18.899999999999999</v>
      </c>
      <c r="AZ510">
        <v>19.8</v>
      </c>
      <c r="BA510">
        <v>21.8</v>
      </c>
      <c r="BC510" s="111">
        <f t="shared" si="400"/>
        <v>-0.19999999999999929</v>
      </c>
      <c r="BD510" s="111">
        <f t="shared" si="388"/>
        <v>-0.10000000000000142</v>
      </c>
      <c r="BE510" s="111">
        <f t="shared" si="389"/>
        <v>-9.9999999999997868E-2</v>
      </c>
      <c r="BF510" s="111">
        <f t="shared" si="390"/>
        <v>-9.9999999999997868E-2</v>
      </c>
      <c r="BG510" s="111">
        <f t="shared" si="391"/>
        <v>-9.9999999999997868E-2</v>
      </c>
      <c r="BH510" s="111">
        <f t="shared" si="392"/>
        <v>-9.9999999999997868E-2</v>
      </c>
      <c r="BI510" s="111">
        <f t="shared" si="393"/>
        <v>-9.9999999999997868E-2</v>
      </c>
      <c r="BJ510" s="111">
        <f t="shared" si="394"/>
        <v>-0.19999999999999929</v>
      </c>
      <c r="BK510" s="111">
        <f t="shared" si="395"/>
        <v>-0.19999999999999929</v>
      </c>
      <c r="BL510" s="111">
        <f t="shared" si="396"/>
        <v>-0.30000000000000071</v>
      </c>
      <c r="BM510" s="111">
        <f t="shared" si="397"/>
        <v>-0.30000000000000071</v>
      </c>
      <c r="BN510" s="111">
        <f t="shared" si="398"/>
        <v>-0.39999999999999858</v>
      </c>
      <c r="BO510" s="111">
        <f t="shared" si="399"/>
        <v>-0.30000000000000071</v>
      </c>
      <c r="BR510" s="120">
        <v>7.4986029065172381E-3</v>
      </c>
      <c r="BS510" s="120">
        <v>7.5128586404415738E-3</v>
      </c>
      <c r="BT510" s="120">
        <v>7.5829538288870769E-3</v>
      </c>
      <c r="BU510" s="120">
        <v>7.2243031257551325E-3</v>
      </c>
      <c r="BV510" s="120">
        <v>7.3124918351802123E-3</v>
      </c>
      <c r="BW510" s="120">
        <v>7.3954182730736227E-3</v>
      </c>
      <c r="BX510" s="120">
        <v>7.4889848182640457E-3</v>
      </c>
      <c r="BY510" s="120">
        <v>7.5104780042584036E-3</v>
      </c>
      <c r="BZ510" s="120">
        <v>7.7659027807138311E-3</v>
      </c>
      <c r="CA510" s="120">
        <v>7.8745350303294874E-3</v>
      </c>
      <c r="CB510" s="120">
        <v>8.651089424401074E-3</v>
      </c>
      <c r="CC510" s="120">
        <v>1.0135819358440337E-2</v>
      </c>
      <c r="CD510" s="120">
        <v>1.4684621469638306E-2</v>
      </c>
      <c r="CF510" s="120">
        <v>0.23352682499222488</v>
      </c>
      <c r="CG510" s="120">
        <v>0.22356814747717946</v>
      </c>
      <c r="CH510" s="120">
        <v>0.22100440042887182</v>
      </c>
      <c r="CI510" s="120">
        <v>0.20584305841282322</v>
      </c>
      <c r="CJ510" s="120">
        <v>0.20438441636817239</v>
      </c>
      <c r="CK510" s="120">
        <v>0.20288518215419121</v>
      </c>
      <c r="CL510" s="120">
        <v>0.19811975422012926</v>
      </c>
      <c r="CM510" s="120">
        <v>0.18583698929549747</v>
      </c>
      <c r="CN510" s="120">
        <v>0.18104908406118997</v>
      </c>
      <c r="CO510" s="120">
        <v>0.17381744885789444</v>
      </c>
      <c r="CP510" s="120">
        <v>0.17357934230978056</v>
      </c>
      <c r="CQ510" s="120">
        <v>0.173935876512399</v>
      </c>
      <c r="CR510" s="120">
        <v>0.19112571308696066</v>
      </c>
    </row>
    <row r="511" spans="38:96" x14ac:dyDescent="0.2">
      <c r="AN511" t="s">
        <v>106</v>
      </c>
      <c r="AO511">
        <v>21.1</v>
      </c>
      <c r="AP511">
        <v>19.600000000000001</v>
      </c>
      <c r="AQ511">
        <v>19.2</v>
      </c>
      <c r="AR511">
        <v>19</v>
      </c>
      <c r="AS511" s="126">
        <f t="shared" si="387"/>
        <v>18.95</v>
      </c>
      <c r="AT511">
        <v>18.899999999999999</v>
      </c>
      <c r="AU511">
        <v>18.7</v>
      </c>
      <c r="AV511">
        <v>18.5</v>
      </c>
      <c r="AW511">
        <v>18.3</v>
      </c>
      <c r="AX511">
        <v>18.2</v>
      </c>
      <c r="AY511">
        <v>18.2</v>
      </c>
      <c r="AZ511">
        <v>18.899999999999999</v>
      </c>
      <c r="BA511">
        <v>20.7</v>
      </c>
      <c r="BC511" s="111">
        <f t="shared" si="400"/>
        <v>-0.19999999999999929</v>
      </c>
      <c r="BD511" s="111">
        <f t="shared" si="388"/>
        <v>-0.19999999999999929</v>
      </c>
      <c r="BE511" s="111">
        <f t="shared" si="389"/>
        <v>-0.10000000000000142</v>
      </c>
      <c r="BF511" s="111">
        <f t="shared" si="390"/>
        <v>-0.10000000000000142</v>
      </c>
      <c r="BG511" s="111">
        <f t="shared" si="391"/>
        <v>-0.10000000000000142</v>
      </c>
      <c r="BH511" s="111">
        <f t="shared" si="392"/>
        <v>-0.10000000000000142</v>
      </c>
      <c r="BI511" s="111">
        <f t="shared" si="393"/>
        <v>-0.19999999999999929</v>
      </c>
      <c r="BJ511" s="111">
        <f t="shared" si="394"/>
        <v>-0.19999999999999929</v>
      </c>
      <c r="BK511" s="111">
        <f t="shared" si="395"/>
        <v>-0.19999999999999929</v>
      </c>
      <c r="BL511" s="111">
        <f t="shared" si="396"/>
        <v>-0.30000000000000071</v>
      </c>
      <c r="BM511" s="111">
        <f t="shared" si="397"/>
        <v>-0.40000000000000213</v>
      </c>
      <c r="BN511" s="111">
        <f t="shared" si="398"/>
        <v>-0.40000000000000213</v>
      </c>
      <c r="BO511" s="111">
        <f t="shared" si="399"/>
        <v>-0.30000000000000071</v>
      </c>
      <c r="BR511" s="120">
        <v>7.56975647032613E-3</v>
      </c>
      <c r="BS511" s="120">
        <v>7.3801330534579504E-3</v>
      </c>
      <c r="BT511" s="120">
        <v>7.3766287245494652E-3</v>
      </c>
      <c r="BU511" s="120">
        <v>7.5817803549437339E-3</v>
      </c>
      <c r="BV511" s="120">
        <v>7.5793063799857504E-3</v>
      </c>
      <c r="BW511" s="120">
        <v>7.5721383871401437E-3</v>
      </c>
      <c r="BX511" s="120">
        <v>7.3025348074351563E-3</v>
      </c>
      <c r="BY511" s="120">
        <v>7.6072060840046783E-3</v>
      </c>
      <c r="BZ511" s="120">
        <v>7.6491693001359308E-3</v>
      </c>
      <c r="CA511" s="120">
        <v>7.9931991281850384E-3</v>
      </c>
      <c r="CB511" s="120">
        <v>8.2776572661605301E-3</v>
      </c>
      <c r="CC511" s="120">
        <v>1.0187838080245863E-2</v>
      </c>
      <c r="CD511" s="120">
        <v>1.4965672994252369E-2</v>
      </c>
      <c r="CF511" s="120">
        <v>0.23123745836459991</v>
      </c>
      <c r="CG511" s="120">
        <v>0.21525232457038165</v>
      </c>
      <c r="CH511" s="120">
        <v>0.21057610677389915</v>
      </c>
      <c r="CI511" s="120">
        <v>0.21234609572373936</v>
      </c>
      <c r="CJ511" s="120">
        <v>0.20807283357446374</v>
      </c>
      <c r="CK511" s="120">
        <v>0.20388743881777469</v>
      </c>
      <c r="CL511" s="120">
        <v>0.18934993827718674</v>
      </c>
      <c r="CM511" s="120">
        <v>0.18472555960412512</v>
      </c>
      <c r="CN511" s="120">
        <v>0.17491835914612897</v>
      </c>
      <c r="CO511" s="120">
        <v>0.17326313307605171</v>
      </c>
      <c r="CP511" s="120">
        <v>0.16298119748294554</v>
      </c>
      <c r="CQ511" s="120">
        <v>0.17205471653959101</v>
      </c>
      <c r="CR511" s="120">
        <v>0.19213714773546409</v>
      </c>
    </row>
    <row r="512" spans="38:96" x14ac:dyDescent="0.2">
      <c r="AN512" t="s">
        <v>79</v>
      </c>
      <c r="AO512">
        <v>21.3</v>
      </c>
      <c r="AP512">
        <v>19.899999999999999</v>
      </c>
      <c r="AQ512">
        <v>19.5</v>
      </c>
      <c r="AR512">
        <v>19.2</v>
      </c>
      <c r="AS512" s="126">
        <f t="shared" si="387"/>
        <v>19.100000000000001</v>
      </c>
      <c r="AT512">
        <v>19</v>
      </c>
      <c r="AU512">
        <v>18.8</v>
      </c>
      <c r="AV512">
        <v>18.399999999999999</v>
      </c>
      <c r="AW512">
        <v>18</v>
      </c>
      <c r="AX512">
        <v>17.8</v>
      </c>
      <c r="AY512">
        <v>17.7</v>
      </c>
      <c r="AZ512">
        <v>18.100000000000001</v>
      </c>
      <c r="BA512">
        <v>19.5</v>
      </c>
      <c r="BC512" s="111">
        <f t="shared" si="400"/>
        <v>-0.19999999999999929</v>
      </c>
      <c r="BD512" s="111">
        <f t="shared" si="388"/>
        <v>-0.10000000000000142</v>
      </c>
      <c r="BE512" s="111">
        <f t="shared" si="389"/>
        <v>-0.10000000000000142</v>
      </c>
      <c r="BF512" s="111">
        <f t="shared" si="390"/>
        <v>-0.19999999999999929</v>
      </c>
      <c r="BG512" s="111">
        <f t="shared" si="391"/>
        <v>-0.14999999999999858</v>
      </c>
      <c r="BH512" s="111">
        <f t="shared" si="392"/>
        <v>-0.10000000000000142</v>
      </c>
      <c r="BI512" s="111">
        <f t="shared" si="393"/>
        <v>-0.19999999999999929</v>
      </c>
      <c r="BJ512" s="111">
        <f t="shared" si="394"/>
        <v>-0.20000000000000284</v>
      </c>
      <c r="BK512" s="111">
        <f t="shared" si="395"/>
        <v>-0.30000000000000071</v>
      </c>
      <c r="BL512" s="111">
        <f t="shared" si="396"/>
        <v>-0.39999999999999858</v>
      </c>
      <c r="BM512" s="111">
        <f t="shared" si="397"/>
        <v>-0.40000000000000213</v>
      </c>
      <c r="BN512" s="111">
        <f t="shared" si="398"/>
        <v>-0.39999999999999858</v>
      </c>
      <c r="BO512" s="111">
        <f t="shared" si="399"/>
        <v>-0.39999999999999858</v>
      </c>
      <c r="BR512" s="120">
        <v>7.3941776447708253E-3</v>
      </c>
      <c r="BS512" s="120">
        <v>7.5493136991735604E-3</v>
      </c>
      <c r="BT512" s="120">
        <v>7.5735607775666161E-3</v>
      </c>
      <c r="BU512" s="120">
        <v>7.2850362763995291E-3</v>
      </c>
      <c r="BV512" s="120">
        <v>7.2787868988686737E-3</v>
      </c>
      <c r="BW512" s="120">
        <v>7.268277333795284E-3</v>
      </c>
      <c r="BX512" s="120">
        <v>7.5924878196224213E-3</v>
      </c>
      <c r="BY512" s="120">
        <v>7.4162877250295535E-3</v>
      </c>
      <c r="BZ512" s="120">
        <v>7.346479523263943E-3</v>
      </c>
      <c r="CA512" s="120">
        <v>7.518999957901046E-3</v>
      </c>
      <c r="CB512" s="120">
        <v>8.3374407464383345E-3</v>
      </c>
      <c r="CC512" s="120">
        <v>9.5523628418504748E-3</v>
      </c>
      <c r="CD512" s="120">
        <v>1.3042461940521667E-2</v>
      </c>
      <c r="CF512" s="120">
        <v>0.22259372684456982</v>
      </c>
      <c r="CG512" s="120">
        <v>0.21745404322143255</v>
      </c>
      <c r="CH512" s="120">
        <v>0.21359924311262865</v>
      </c>
      <c r="CI512" s="120">
        <v>0.20092954020098974</v>
      </c>
      <c r="CJ512" s="120">
        <v>0.19683870446998147</v>
      </c>
      <c r="CK512" s="120">
        <v>0.19284413018667057</v>
      </c>
      <c r="CL512" s="120">
        <v>0.19457120201931807</v>
      </c>
      <c r="CM512" s="120">
        <v>0.17764568185369631</v>
      </c>
      <c r="CN512" s="120">
        <v>0.16572906797466563</v>
      </c>
      <c r="CO512" s="120">
        <v>0.16070199152396933</v>
      </c>
      <c r="CP512" s="120">
        <v>0.1622487655710545</v>
      </c>
      <c r="CQ512" s="120">
        <v>0.15916198827984365</v>
      </c>
      <c r="CR512" s="120">
        <v>0.16491413379811834</v>
      </c>
    </row>
    <row r="513" spans="38:96" x14ac:dyDescent="0.2">
      <c r="AN513" t="s">
        <v>159</v>
      </c>
      <c r="AO513">
        <v>21.3</v>
      </c>
      <c r="AP513">
        <v>20</v>
      </c>
      <c r="AQ513">
        <v>19.600000000000001</v>
      </c>
      <c r="AR513">
        <v>19.3</v>
      </c>
      <c r="AS513" s="126">
        <f t="shared" si="387"/>
        <v>19.149999999999999</v>
      </c>
      <c r="AT513">
        <v>19</v>
      </c>
      <c r="AU513">
        <v>18.7</v>
      </c>
      <c r="AV513">
        <v>18.100000000000001</v>
      </c>
      <c r="AW513">
        <v>17.600000000000001</v>
      </c>
      <c r="AX513">
        <v>17.3</v>
      </c>
      <c r="AY513">
        <v>16.899999999999999</v>
      </c>
      <c r="AZ513">
        <v>16.899999999999999</v>
      </c>
      <c r="BA513">
        <v>17.8</v>
      </c>
      <c r="BC513" s="111">
        <f t="shared" si="400"/>
        <v>-0.19999999999999929</v>
      </c>
      <c r="BD513" s="111">
        <f t="shared" si="388"/>
        <v>-0.19999999999999929</v>
      </c>
      <c r="BE513" s="111">
        <f t="shared" si="389"/>
        <v>-0.19999999999999929</v>
      </c>
      <c r="BF513" s="111">
        <f t="shared" si="390"/>
        <v>-0.19999999999999929</v>
      </c>
      <c r="BG513" s="111">
        <f t="shared" si="391"/>
        <v>-0.20000000000000284</v>
      </c>
      <c r="BH513" s="111">
        <f t="shared" si="392"/>
        <v>-0.19999999999999929</v>
      </c>
      <c r="BI513" s="111">
        <f t="shared" si="393"/>
        <v>-0.19999999999999929</v>
      </c>
      <c r="BJ513" s="111">
        <f t="shared" si="394"/>
        <v>-0.29999999999999716</v>
      </c>
      <c r="BK513" s="111">
        <f t="shared" si="395"/>
        <v>-0.29999999999999716</v>
      </c>
      <c r="BL513" s="111">
        <f t="shared" si="396"/>
        <v>-0.30000000000000071</v>
      </c>
      <c r="BM513" s="111">
        <f t="shared" si="397"/>
        <v>-0.40000000000000213</v>
      </c>
      <c r="BN513" s="111">
        <f t="shared" si="398"/>
        <v>-0.5</v>
      </c>
      <c r="BO513" s="111">
        <f t="shared" si="399"/>
        <v>-0.39999999999999858</v>
      </c>
      <c r="BR513" s="120">
        <v>7.0406850741600172E-3</v>
      </c>
      <c r="BS513" s="120">
        <v>6.9322723128005526E-3</v>
      </c>
      <c r="BT513" s="120">
        <v>6.9317671703231949E-3</v>
      </c>
      <c r="BU513" s="120">
        <v>7.1568757783222973E-3</v>
      </c>
      <c r="BV513" s="120">
        <v>7.1982514515944685E-3</v>
      </c>
      <c r="BW513" s="120">
        <v>7.2352082619321217E-3</v>
      </c>
      <c r="BX513" s="120">
        <v>7.0921198217607914E-3</v>
      </c>
      <c r="BY513" s="120">
        <v>7.252205935338975E-3</v>
      </c>
      <c r="BZ513" s="120">
        <v>7.5433856159386175E-3</v>
      </c>
      <c r="CA513" s="120">
        <v>7.7884372228628953E-3</v>
      </c>
      <c r="CB513" s="120">
        <v>7.9216495768737426E-3</v>
      </c>
      <c r="CC513" s="120">
        <v>9.1257124266516786E-3</v>
      </c>
      <c r="CD513" s="120">
        <v>1.268041691813122E-2</v>
      </c>
      <c r="CF513" s="120">
        <v>0.20741613783752527</v>
      </c>
      <c r="CG513" s="120">
        <v>0.195063065450753</v>
      </c>
      <c r="CH513" s="120">
        <v>0.19096164183263192</v>
      </c>
      <c r="CI513" s="120">
        <v>0.19357622709607517</v>
      </c>
      <c r="CJ513" s="120">
        <v>0.19094135221013619</v>
      </c>
      <c r="CK513" s="120">
        <v>0.18833810816148339</v>
      </c>
      <c r="CL513" s="120">
        <v>0.17781549959130385</v>
      </c>
      <c r="CM513" s="120">
        <v>0.17036816125891766</v>
      </c>
      <c r="CN513" s="120">
        <v>0.16717483742231171</v>
      </c>
      <c r="CO513" s="120">
        <v>0.1636510402119328</v>
      </c>
      <c r="CP513" s="120">
        <v>0.1511917843736304</v>
      </c>
      <c r="CQ513" s="120">
        <v>0.14942569550888993</v>
      </c>
      <c r="CR513" s="120">
        <v>0.15814225904585116</v>
      </c>
    </row>
    <row r="514" spans="38:96" x14ac:dyDescent="0.2">
      <c r="AN514" t="s">
        <v>107</v>
      </c>
      <c r="AO514">
        <v>21</v>
      </c>
      <c r="AP514">
        <v>19.8</v>
      </c>
      <c r="AQ514">
        <v>19.399999999999999</v>
      </c>
      <c r="AR514">
        <v>19.100000000000001</v>
      </c>
      <c r="AS514" s="126">
        <f t="shared" si="387"/>
        <v>18.899999999999999</v>
      </c>
      <c r="AT514">
        <v>18.7</v>
      </c>
      <c r="AU514">
        <v>18.3</v>
      </c>
      <c r="AV514">
        <v>17.7</v>
      </c>
      <c r="AW514">
        <v>17.100000000000001</v>
      </c>
      <c r="AX514">
        <v>16.7</v>
      </c>
      <c r="AY514">
        <v>16.100000000000001</v>
      </c>
      <c r="AZ514">
        <v>15.8</v>
      </c>
      <c r="BA514">
        <v>16</v>
      </c>
      <c r="BC514" s="111">
        <f t="shared" si="400"/>
        <v>-0.30000000000000071</v>
      </c>
      <c r="BD514" s="111">
        <f t="shared" si="388"/>
        <v>-0.30000000000000071</v>
      </c>
      <c r="BE514" s="111">
        <f t="shared" si="389"/>
        <v>-0.30000000000000071</v>
      </c>
      <c r="BF514" s="111">
        <f t="shared" si="390"/>
        <v>-0.29999999999999716</v>
      </c>
      <c r="BG514" s="111">
        <f t="shared" si="391"/>
        <v>-0.30000000000000071</v>
      </c>
      <c r="BH514" s="111">
        <f t="shared" si="392"/>
        <v>-0.30000000000000071</v>
      </c>
      <c r="BI514" s="111">
        <f t="shared" si="393"/>
        <v>-0.30000000000000071</v>
      </c>
      <c r="BJ514" s="111">
        <f t="shared" si="394"/>
        <v>-0.30000000000000071</v>
      </c>
      <c r="BK514" s="111">
        <f t="shared" si="395"/>
        <v>-0.39999999999999858</v>
      </c>
      <c r="BL514" s="111">
        <f t="shared" si="396"/>
        <v>-0.40000000000000213</v>
      </c>
      <c r="BM514" s="111">
        <f t="shared" si="397"/>
        <v>-0.5</v>
      </c>
      <c r="BN514" s="111">
        <f t="shared" si="398"/>
        <v>-0.39999999999999858</v>
      </c>
      <c r="BO514" s="111">
        <f t="shared" si="399"/>
        <v>-0.39999999999999858</v>
      </c>
      <c r="BR514" s="120">
        <v>6.6864985801765378E-3</v>
      </c>
      <c r="BS514" s="120">
        <v>6.7228671881350253E-3</v>
      </c>
      <c r="BT514" s="120">
        <v>6.7247589402758485E-3</v>
      </c>
      <c r="BU514" s="120">
        <v>6.6195663046781537E-3</v>
      </c>
      <c r="BV514" s="120">
        <v>6.6134661476235498E-3</v>
      </c>
      <c r="BW514" s="120">
        <v>6.6030646560001202E-3</v>
      </c>
      <c r="BX514" s="120">
        <v>6.7139813144878064E-3</v>
      </c>
      <c r="BY514" s="120">
        <v>7.0164835128355531E-3</v>
      </c>
      <c r="BZ514" s="120">
        <v>6.995368784624951E-3</v>
      </c>
      <c r="CA514" s="120">
        <v>7.0965830001886816E-3</v>
      </c>
      <c r="CB514" s="120">
        <v>7.5850679612681667E-3</v>
      </c>
      <c r="CC514" s="120">
        <v>8.5068882366629121E-3</v>
      </c>
      <c r="CD514" s="120">
        <v>1.0399296319612944E-2</v>
      </c>
      <c r="CF514" s="120">
        <v>0.19884813778698365</v>
      </c>
      <c r="CG514" s="120">
        <v>0.19117509892220513</v>
      </c>
      <c r="CH514" s="120">
        <v>0.18720788387851872</v>
      </c>
      <c r="CI514" s="120">
        <v>0.18034416371880393</v>
      </c>
      <c r="CJ514" s="120">
        <v>0.17664606206228634</v>
      </c>
      <c r="CK514" s="120">
        <v>0.17302307845984233</v>
      </c>
      <c r="CL514" s="120">
        <v>0.16980143615727586</v>
      </c>
      <c r="CM514" s="120">
        <v>0.16618227697831719</v>
      </c>
      <c r="CN514" s="120">
        <v>0.15602008085684885</v>
      </c>
      <c r="CO514" s="120">
        <v>0.14993586379656762</v>
      </c>
      <c r="CP514" s="120">
        <v>0.14584694213222726</v>
      </c>
      <c r="CQ514" s="120">
        <v>0.14010392872905436</v>
      </c>
      <c r="CR514" s="120">
        <v>0.12983859234489156</v>
      </c>
    </row>
    <row r="515" spans="38:96" x14ac:dyDescent="0.2">
      <c r="AN515" t="s">
        <v>108</v>
      </c>
      <c r="AO515">
        <v>20.399999999999999</v>
      </c>
      <c r="AP515">
        <v>19.399999999999999</v>
      </c>
      <c r="AQ515">
        <v>19.100000000000001</v>
      </c>
      <c r="AR515">
        <v>18.8</v>
      </c>
      <c r="AS515" s="126">
        <f t="shared" si="387"/>
        <v>18.600000000000001</v>
      </c>
      <c r="AT515">
        <v>18.399999999999999</v>
      </c>
      <c r="AU515">
        <v>17.899999999999999</v>
      </c>
      <c r="AV515">
        <v>17.2</v>
      </c>
      <c r="AW515">
        <v>16.600000000000001</v>
      </c>
      <c r="AX515">
        <v>16.2</v>
      </c>
      <c r="AY515">
        <v>15.6</v>
      </c>
      <c r="AZ515">
        <v>15</v>
      </c>
      <c r="BA515" s="106">
        <v>14.6</v>
      </c>
      <c r="BC515" s="111">
        <f t="shared" si="400"/>
        <v>-0.40000000000000213</v>
      </c>
      <c r="BD515" s="111">
        <f t="shared" si="388"/>
        <v>-0.40000000000000213</v>
      </c>
      <c r="BE515" s="111">
        <f t="shared" si="389"/>
        <v>-0.39999999999999858</v>
      </c>
      <c r="BF515" s="111">
        <f t="shared" si="390"/>
        <v>-0.39999999999999858</v>
      </c>
      <c r="BG515" s="111">
        <f t="shared" si="391"/>
        <v>-0.34999999999999787</v>
      </c>
      <c r="BH515" s="111">
        <f t="shared" si="392"/>
        <v>-0.30000000000000071</v>
      </c>
      <c r="BI515" s="111">
        <f t="shared" si="393"/>
        <v>-0.40000000000000213</v>
      </c>
      <c r="BJ515" s="111">
        <f t="shared" si="394"/>
        <v>-0.40000000000000213</v>
      </c>
      <c r="BK515" s="111">
        <f t="shared" si="395"/>
        <v>-0.5</v>
      </c>
      <c r="BL515" s="111">
        <f t="shared" si="396"/>
        <v>-0.40000000000000213</v>
      </c>
      <c r="BM515" s="111">
        <f t="shared" si="397"/>
        <v>-0.40000000000000036</v>
      </c>
      <c r="BN515" s="111">
        <f t="shared" si="398"/>
        <v>-0.40000000000000036</v>
      </c>
      <c r="BO515" s="111">
        <f t="shared" si="399"/>
        <v>-0.40000000000000036</v>
      </c>
      <c r="BR515" s="120">
        <v>6.0707902279961345E-3</v>
      </c>
      <c r="BS515" s="120">
        <v>6.163451448777009E-3</v>
      </c>
      <c r="BT515" s="120">
        <v>6.329833982258338E-3</v>
      </c>
      <c r="BU515" s="120">
        <v>6.4582819595326215E-3</v>
      </c>
      <c r="BV515" s="120">
        <v>6.5628822522268331E-3</v>
      </c>
      <c r="BW515" s="120">
        <v>6.6645673377511176E-3</v>
      </c>
      <c r="BX515" s="120">
        <v>6.5526982414528144E-3</v>
      </c>
      <c r="BY515" s="120">
        <v>6.5013734272090585E-3</v>
      </c>
      <c r="BZ515" s="120">
        <v>6.8239427280931209E-3</v>
      </c>
      <c r="CA515" s="120">
        <v>7.1375872319309882E-3</v>
      </c>
      <c r="CB515" s="120">
        <v>7.5614337966658047E-3</v>
      </c>
      <c r="CC515" s="120">
        <v>8.2358993842167171E-3</v>
      </c>
      <c r="CD515" s="120">
        <v>1.049108859379538E-2</v>
      </c>
      <c r="CF515" s="120">
        <v>0.18819171183026545</v>
      </c>
      <c r="CG515" s="120">
        <v>0.18252882333162174</v>
      </c>
      <c r="CH515" s="120">
        <v>0.18360105480160088</v>
      </c>
      <c r="CI515" s="120">
        <v>0.18358182250898181</v>
      </c>
      <c r="CJ515" s="120">
        <v>0.18290964936440704</v>
      </c>
      <c r="CK515" s="120">
        <v>0.18222778803394565</v>
      </c>
      <c r="CL515" s="120">
        <v>0.17249266984440015</v>
      </c>
      <c r="CM515" s="120">
        <v>0.15998688425249577</v>
      </c>
      <c r="CN515" s="120">
        <v>0.15815657905271507</v>
      </c>
      <c r="CO515" s="120">
        <v>0.15668559385978115</v>
      </c>
      <c r="CP515" s="120">
        <v>0.15073782883536485</v>
      </c>
      <c r="CQ515" s="120">
        <v>0.14031742718916085</v>
      </c>
      <c r="CR515" s="120">
        <v>0.13530118639133734</v>
      </c>
    </row>
    <row r="516" spans="38:96" x14ac:dyDescent="0.2">
      <c r="AN516" t="s">
        <v>109</v>
      </c>
      <c r="AO516">
        <v>20.100000000000001</v>
      </c>
      <c r="AP516">
        <v>19.3</v>
      </c>
      <c r="AQ516">
        <v>18.899999999999999</v>
      </c>
      <c r="AR516">
        <v>18.600000000000001</v>
      </c>
      <c r="AS516" s="126">
        <f t="shared" si="387"/>
        <v>18.399999999999999</v>
      </c>
      <c r="AT516">
        <v>18.2</v>
      </c>
      <c r="AU516">
        <v>17.8</v>
      </c>
      <c r="AV516">
        <v>17</v>
      </c>
      <c r="AW516">
        <v>16.399999999999999</v>
      </c>
      <c r="AX516">
        <v>16</v>
      </c>
      <c r="AY516">
        <v>15.3</v>
      </c>
      <c r="AZ516">
        <v>14.6</v>
      </c>
      <c r="BA516">
        <v>13.9</v>
      </c>
      <c r="BC516" s="111">
        <f t="shared" si="400"/>
        <v>-0.59999999999999787</v>
      </c>
      <c r="BD516" s="111">
        <f t="shared" si="388"/>
        <v>-0.5</v>
      </c>
      <c r="BE516" s="111">
        <f t="shared" si="389"/>
        <v>-0.5</v>
      </c>
      <c r="BF516" s="111">
        <f t="shared" si="390"/>
        <v>-0.5</v>
      </c>
      <c r="BG516" s="111">
        <f t="shared" si="391"/>
        <v>-0.5</v>
      </c>
      <c r="BH516" s="111">
        <f t="shared" si="392"/>
        <v>-0.5</v>
      </c>
      <c r="BI516" s="111">
        <f t="shared" si="393"/>
        <v>-0.39999999999999858</v>
      </c>
      <c r="BJ516" s="111">
        <f t="shared" si="394"/>
        <v>-0.5</v>
      </c>
      <c r="BK516" s="111">
        <f t="shared" si="395"/>
        <v>-0.5</v>
      </c>
      <c r="BL516" s="111">
        <f t="shared" si="396"/>
        <v>-0.5</v>
      </c>
      <c r="BM516" s="111">
        <f t="shared" si="397"/>
        <v>-0.5</v>
      </c>
      <c r="BN516" s="111">
        <f t="shared" si="398"/>
        <v>-0.40000000000000036</v>
      </c>
      <c r="BO516" s="111">
        <f t="shared" si="399"/>
        <v>-0.40000000000000036</v>
      </c>
      <c r="BR516" s="120">
        <v>6.1289375108696774E-3</v>
      </c>
      <c r="BS516" s="120">
        <v>6.3826685076974182E-3</v>
      </c>
      <c r="BT516" s="120">
        <v>6.1058571718467548E-3</v>
      </c>
      <c r="BU516" s="120">
        <v>6.0509575543452737E-3</v>
      </c>
      <c r="BV516" s="120">
        <v>6.0642543544193192E-3</v>
      </c>
      <c r="BW516" s="120">
        <v>6.072922113218685E-3</v>
      </c>
      <c r="BX516" s="120">
        <v>6.4979952081211543E-3</v>
      </c>
      <c r="BY516" s="120">
        <v>6.6051228218291817E-3</v>
      </c>
      <c r="BZ516" s="120">
        <v>6.6369180373754095E-3</v>
      </c>
      <c r="CA516" s="120">
        <v>6.7572755169596176E-3</v>
      </c>
      <c r="CB516" s="120">
        <v>6.8881552195365356E-3</v>
      </c>
      <c r="CC516" s="120">
        <v>7.7302956571451229E-3</v>
      </c>
      <c r="CD516" s="120">
        <v>9.2770459234167574E-3</v>
      </c>
      <c r="CF516" s="120">
        <v>0.19739926147833373</v>
      </c>
      <c r="CG516" s="120">
        <v>0.19659754494258991</v>
      </c>
      <c r="CH516" s="120">
        <v>0.18357682861020314</v>
      </c>
      <c r="CI516" s="120">
        <v>0.17806495668369302</v>
      </c>
      <c r="CJ516" s="120">
        <v>0.1749035038900176</v>
      </c>
      <c r="CK516" s="120">
        <v>0.17177918010041326</v>
      </c>
      <c r="CL516" s="120">
        <v>0.17741048731337902</v>
      </c>
      <c r="CM516" s="120">
        <v>0.16811170869072034</v>
      </c>
      <c r="CN516" s="120">
        <v>0.15890804636745165</v>
      </c>
      <c r="CO516" s="120">
        <v>0.1531061419754676</v>
      </c>
      <c r="CP516" s="120">
        <v>0.1414179117355267</v>
      </c>
      <c r="CQ516" s="120">
        <v>0.13536589522876108</v>
      </c>
      <c r="CR516" s="120">
        <v>0.12251247582365853</v>
      </c>
    </row>
    <row r="517" spans="38:96" x14ac:dyDescent="0.2">
      <c r="AN517" t="s">
        <v>110</v>
      </c>
      <c r="AO517">
        <v>19.899999999999999</v>
      </c>
      <c r="AP517">
        <v>19.100000000000001</v>
      </c>
      <c r="AQ517">
        <v>18.8</v>
      </c>
      <c r="AR517">
        <v>18.5</v>
      </c>
      <c r="AS517" s="126">
        <f t="shared" si="387"/>
        <v>18.25</v>
      </c>
      <c r="AT517">
        <v>18</v>
      </c>
      <c r="AU517">
        <v>17.600000000000001</v>
      </c>
      <c r="AV517">
        <v>16.8</v>
      </c>
      <c r="AW517">
        <v>16.2</v>
      </c>
      <c r="AX517">
        <v>15.8</v>
      </c>
      <c r="AY517">
        <v>15.1</v>
      </c>
      <c r="AZ517">
        <v>14.3</v>
      </c>
      <c r="BA517">
        <v>13.4</v>
      </c>
      <c r="BC517" s="111">
        <f t="shared" si="400"/>
        <v>-0.60000000000000142</v>
      </c>
      <c r="BD517" s="111">
        <f t="shared" si="388"/>
        <v>-0.59999999999999787</v>
      </c>
      <c r="BE517" s="111">
        <f t="shared" si="389"/>
        <v>-0.5</v>
      </c>
      <c r="BF517" s="111">
        <f t="shared" si="390"/>
        <v>-0.5</v>
      </c>
      <c r="BG517" s="111">
        <f t="shared" si="391"/>
        <v>-0.5</v>
      </c>
      <c r="BH517" s="111">
        <f t="shared" si="392"/>
        <v>-0.5</v>
      </c>
      <c r="BI517" s="111">
        <f t="shared" si="393"/>
        <v>-0.5</v>
      </c>
      <c r="BJ517" s="111">
        <f t="shared" si="394"/>
        <v>-0.59999999999999787</v>
      </c>
      <c r="BK517" s="111">
        <f t="shared" si="395"/>
        <v>-0.60000000000000142</v>
      </c>
      <c r="BL517" s="111">
        <f t="shared" si="396"/>
        <v>-0.5</v>
      </c>
      <c r="BM517" s="111">
        <f t="shared" si="397"/>
        <v>-0.5</v>
      </c>
      <c r="BN517" s="111">
        <f t="shared" si="398"/>
        <v>-0.5</v>
      </c>
      <c r="BO517" s="111">
        <f t="shared" si="399"/>
        <v>-0.40000000000000036</v>
      </c>
      <c r="BR517" s="120">
        <v>5.7388889351296917E-3</v>
      </c>
      <c r="BS517" s="120">
        <v>5.5738155098459191E-3</v>
      </c>
      <c r="BT517" s="120">
        <v>6.0468862422469027E-3</v>
      </c>
      <c r="BU517" s="120">
        <v>6.1429976192238682E-3</v>
      </c>
      <c r="BV517" s="120">
        <v>6.098499740600935E-3</v>
      </c>
      <c r="BW517" s="120">
        <v>6.0431039920686002E-3</v>
      </c>
      <c r="BX517" s="120">
        <v>5.8506956190581003E-3</v>
      </c>
      <c r="BY517" s="120">
        <v>5.9895955192367815E-3</v>
      </c>
      <c r="BZ517" s="120">
        <v>6.2372208286780402E-3</v>
      </c>
      <c r="CA517" s="120">
        <v>6.4946143315120653E-3</v>
      </c>
      <c r="CB517" s="120">
        <v>7.0424171554337349E-3</v>
      </c>
      <c r="CC517" s="120">
        <v>7.5236082860515611E-3</v>
      </c>
      <c r="CD517" s="120">
        <v>9.319127857992689E-3</v>
      </c>
      <c r="CF517" s="120">
        <v>0.18811310376277585</v>
      </c>
      <c r="CG517" s="120">
        <v>0.17380883339143263</v>
      </c>
      <c r="CH517" s="120">
        <v>0.18514614943071639</v>
      </c>
      <c r="CI517" s="120">
        <v>0.18410901384753164</v>
      </c>
      <c r="CJ517" s="120">
        <v>0.17879249902022706</v>
      </c>
      <c r="CK517" s="120">
        <v>0.17342387458639133</v>
      </c>
      <c r="CL517" s="120">
        <v>0.16148593632466368</v>
      </c>
      <c r="CM517" s="120">
        <v>0.15449826578226483</v>
      </c>
      <c r="CN517" s="120">
        <v>0.1512249609177633</v>
      </c>
      <c r="CO517" s="120">
        <v>0.14893222034675208</v>
      </c>
      <c r="CP517" s="120">
        <v>0.14646933090086542</v>
      </c>
      <c r="CQ517" s="120">
        <v>0.13327589121349517</v>
      </c>
      <c r="CR517" s="120">
        <v>0.12431838439341587</v>
      </c>
    </row>
    <row r="519" spans="38:96" x14ac:dyDescent="0.2">
      <c r="AO519">
        <v>-0.5</v>
      </c>
      <c r="AP519">
        <v>-0.25</v>
      </c>
      <c r="AQ519">
        <v>-0.13</v>
      </c>
      <c r="AR519">
        <v>0</v>
      </c>
      <c r="AS519">
        <v>0.125</v>
      </c>
      <c r="AT519">
        <v>0.25</v>
      </c>
      <c r="AU519">
        <v>0.5</v>
      </c>
      <c r="AV519">
        <v>1</v>
      </c>
      <c r="AW519">
        <v>1.5</v>
      </c>
      <c r="AX519">
        <v>2</v>
      </c>
      <c r="AY519">
        <v>3</v>
      </c>
      <c r="AZ519">
        <v>5</v>
      </c>
      <c r="BA519">
        <v>10</v>
      </c>
    </row>
    <row r="520" spans="38:96" ht="12.75" x14ac:dyDescent="0.2">
      <c r="AL520" s="105" t="s">
        <v>462</v>
      </c>
      <c r="AN520" t="s">
        <v>25</v>
      </c>
      <c r="AO520" s="159">
        <v>9.5</v>
      </c>
      <c r="AP520" s="159">
        <v>8.1</v>
      </c>
      <c r="AQ520" s="159">
        <v>9.1</v>
      </c>
      <c r="AR520" s="159">
        <v>10.6</v>
      </c>
      <c r="AS520" s="126">
        <f t="shared" ref="AS520:AS534" si="401">(AR520+AT520)/2</f>
        <v>12.05</v>
      </c>
      <c r="AT520" s="159">
        <v>13.5</v>
      </c>
      <c r="AU520" s="159">
        <v>16</v>
      </c>
      <c r="AV520" s="159">
        <v>20.399999999999999</v>
      </c>
      <c r="AW520" s="159">
        <v>24.1</v>
      </c>
      <c r="AX520" s="159">
        <v>27.2</v>
      </c>
      <c r="AY520" s="159">
        <v>32.4</v>
      </c>
      <c r="AZ520" s="159">
        <v>40.1</v>
      </c>
      <c r="BA520" s="159">
        <v>52</v>
      </c>
      <c r="BC520" s="111">
        <f>AO520-AO503</f>
        <v>0.59999999999999964</v>
      </c>
      <c r="BD520" s="111">
        <f t="shared" ref="BD520:BD534" si="402">AP520-AP503</f>
        <v>1.6999999999999993</v>
      </c>
      <c r="BE520" s="111">
        <f t="shared" ref="BE520:BE534" si="403">AQ520-AQ503</f>
        <v>1.6999999999999993</v>
      </c>
      <c r="BF520" s="111">
        <f t="shared" ref="BF520:BF534" si="404">AR520-AR503</f>
        <v>1.6999999999999993</v>
      </c>
      <c r="BG520" s="111">
        <f t="shared" ref="BG520:BG534" si="405">AS520-AS503</f>
        <v>1.6999999999999993</v>
      </c>
      <c r="BH520" s="111">
        <f t="shared" ref="BH520:BH534" si="406">AT520-AT503</f>
        <v>1.6999999999999993</v>
      </c>
      <c r="BI520" s="111">
        <f t="shared" ref="BI520:BI534" si="407">AU520-AU503</f>
        <v>1.5999999999999996</v>
      </c>
      <c r="BJ520" s="111">
        <f t="shared" ref="BJ520:BJ534" si="408">AV520-AV503</f>
        <v>1.5999999999999979</v>
      </c>
      <c r="BK520" s="111">
        <f t="shared" ref="BK520:BK534" si="409">AW520-AW503</f>
        <v>1.6000000000000014</v>
      </c>
      <c r="BL520" s="111">
        <f t="shared" ref="BL520:BL534" si="410">AX520-AX503</f>
        <v>1.5999999999999979</v>
      </c>
      <c r="BM520" s="111">
        <f t="shared" ref="BM520:BM534" si="411">AY520-AY503</f>
        <v>1.6999999999999993</v>
      </c>
      <c r="BN520" s="111">
        <f t="shared" ref="BN520:BN534" si="412">AZ520-AZ503</f>
        <v>1.8000000000000043</v>
      </c>
      <c r="BO520" s="111">
        <f t="shared" ref="BO520:BO534" si="413">BA520-BA503</f>
        <v>1.8999999999999986</v>
      </c>
      <c r="BR520" s="120">
        <v>2.4469208216006929E-3</v>
      </c>
      <c r="BS520" s="120">
        <v>2.1895188908452818E-3</v>
      </c>
      <c r="BT520" s="120">
        <v>2.5144772411856428E-3</v>
      </c>
      <c r="BU520" s="120">
        <v>2.9913606358481985E-3</v>
      </c>
      <c r="BV520" s="120">
        <v>3.4708276296707813E-3</v>
      </c>
      <c r="BW520" s="120">
        <v>3.9694929131236876E-3</v>
      </c>
      <c r="BX520" s="120">
        <v>4.8886581322570436E-3</v>
      </c>
      <c r="BY520" s="120">
        <v>6.6816493328256078E-3</v>
      </c>
      <c r="BZ520" s="120">
        <v>8.4037751579294721E-3</v>
      </c>
      <c r="CA520" s="120">
        <v>1.0044953079723836E-2</v>
      </c>
      <c r="CB520" s="120">
        <v>1.3246157154667969E-2</v>
      </c>
      <c r="CC520" s="120">
        <v>1.9454532366797481E-2</v>
      </c>
      <c r="CD520" s="120">
        <v>3.3838641392942188E-2</v>
      </c>
      <c r="CF520" s="120">
        <v>9.500060102252203E-2</v>
      </c>
      <c r="CG520" s="120">
        <v>8.0993011649004576E-2</v>
      </c>
      <c r="CH520" s="120">
        <v>9.1004286780892535E-2</v>
      </c>
      <c r="CI520" s="120">
        <v>0.10600791647837876</v>
      </c>
      <c r="CJ520" s="120">
        <v>0.12050678229498719</v>
      </c>
      <c r="CK520" s="120">
        <v>0.13500447356924369</v>
      </c>
      <c r="CL520" s="120">
        <v>0.16020844519189811</v>
      </c>
      <c r="CM520" s="120">
        <v>0.20421986802151521</v>
      </c>
      <c r="CN520" s="120">
        <v>0.24116387384853108</v>
      </c>
      <c r="CO520" s="120">
        <v>0.27223602310441219</v>
      </c>
      <c r="CP520" s="120">
        <v>0.32418481932498183</v>
      </c>
      <c r="CQ520" s="120">
        <v>0.40230002764627593</v>
      </c>
      <c r="CR520" s="120">
        <v>0.5228632350816117</v>
      </c>
    </row>
    <row r="521" spans="38:96" ht="12.75" x14ac:dyDescent="0.2">
      <c r="AN521" t="s">
        <v>157</v>
      </c>
      <c r="AO521" s="159">
        <v>11.5</v>
      </c>
      <c r="AP521" s="159">
        <v>10.6</v>
      </c>
      <c r="AQ521" s="159">
        <v>11.7</v>
      </c>
      <c r="AR521" s="159">
        <v>13</v>
      </c>
      <c r="AS521" s="126">
        <f t="shared" si="401"/>
        <v>14.25</v>
      </c>
      <c r="AT521" s="159">
        <v>15.5</v>
      </c>
      <c r="AU521" s="159">
        <v>17.7</v>
      </c>
      <c r="AV521" s="159">
        <v>21.5</v>
      </c>
      <c r="AW521" s="159">
        <v>24.6</v>
      </c>
      <c r="AX521" s="159">
        <v>27.3</v>
      </c>
      <c r="AY521" s="159">
        <v>31.6</v>
      </c>
      <c r="AZ521" s="159">
        <v>37.9</v>
      </c>
      <c r="BA521" s="159">
        <v>47.2</v>
      </c>
      <c r="BC521" s="111">
        <f t="shared" ref="BC521:BC534" si="414">AO521-AO504</f>
        <v>0.30000000000000071</v>
      </c>
      <c r="BD521" s="111">
        <f t="shared" si="402"/>
        <v>1.1999999999999993</v>
      </c>
      <c r="BE521" s="111">
        <f t="shared" si="403"/>
        <v>1.2999999999999989</v>
      </c>
      <c r="BF521" s="111">
        <f t="shared" si="404"/>
        <v>1.0999999999999996</v>
      </c>
      <c r="BG521" s="111">
        <f t="shared" si="405"/>
        <v>0.94999999999999929</v>
      </c>
      <c r="BH521" s="111">
        <f t="shared" si="406"/>
        <v>0.80000000000000071</v>
      </c>
      <c r="BI521" s="111">
        <f t="shared" si="407"/>
        <v>0.5</v>
      </c>
      <c r="BJ521" s="111">
        <f t="shared" si="408"/>
        <v>0.19999999999999929</v>
      </c>
      <c r="BK521" s="111">
        <f t="shared" si="409"/>
        <v>-9.9999999999997868E-2</v>
      </c>
      <c r="BL521" s="111">
        <f t="shared" si="410"/>
        <v>-0.30000000000000071</v>
      </c>
      <c r="BM521" s="111">
        <f t="shared" si="411"/>
        <v>-0.69999999999999574</v>
      </c>
      <c r="BN521" s="111">
        <f t="shared" si="412"/>
        <v>-1.2000000000000028</v>
      </c>
      <c r="BO521" s="111">
        <f t="shared" si="413"/>
        <v>-2</v>
      </c>
      <c r="BR521" s="120">
        <v>3.440455498656255E-3</v>
      </c>
      <c r="BS521" s="120">
        <v>3.6053159866586961E-3</v>
      </c>
      <c r="BT521" s="120">
        <v>3.8787386726829875E-3</v>
      </c>
      <c r="BU521" s="120">
        <v>4.1722562565792015E-3</v>
      </c>
      <c r="BV521" s="120">
        <v>4.5072248731023489E-3</v>
      </c>
      <c r="BW521" s="120">
        <v>4.880863674879176E-3</v>
      </c>
      <c r="BX521" s="120">
        <v>5.6308490324260586E-3</v>
      </c>
      <c r="BY521" s="120">
        <v>7.1312548201777903E-3</v>
      </c>
      <c r="BZ521" s="120">
        <v>8.5606688424660592E-3</v>
      </c>
      <c r="CA521" s="120">
        <v>9.9877584296465295E-3</v>
      </c>
      <c r="CB521" s="120">
        <v>1.2657879511618833E-2</v>
      </c>
      <c r="CC521" s="120">
        <v>1.7693865116285883E-2</v>
      </c>
      <c r="CD521" s="120">
        <v>2.9216530050792354E-2</v>
      </c>
      <c r="CF521" s="120">
        <v>0.13499372230001222</v>
      </c>
      <c r="CG521" s="120">
        <v>0.13485186657874138</v>
      </c>
      <c r="CH521" s="120">
        <v>0.14185412107234455</v>
      </c>
      <c r="CI521" s="120">
        <v>0.14933547701733302</v>
      </c>
      <c r="CJ521" s="120">
        <v>0.15800800061295664</v>
      </c>
      <c r="CK521" s="120">
        <v>0.16777017868656935</v>
      </c>
      <c r="CL521" s="120">
        <v>0.18621954949284222</v>
      </c>
      <c r="CM521" s="120">
        <v>0.21993140551114521</v>
      </c>
      <c r="CN521" s="120">
        <v>0.24799243627205389</v>
      </c>
      <c r="CO521" s="120">
        <v>0.27331645269815508</v>
      </c>
      <c r="CP521" s="120">
        <v>0.31333435777504981</v>
      </c>
      <c r="CQ521" s="120">
        <v>0.37227389461840904</v>
      </c>
      <c r="CR521" s="120">
        <v>0.45943590298995113</v>
      </c>
    </row>
    <row r="522" spans="38:96" ht="12.75" x14ac:dyDescent="0.2">
      <c r="AN522" t="s">
        <v>99</v>
      </c>
      <c r="AO522" s="159">
        <v>14.4</v>
      </c>
      <c r="AP522" s="159">
        <v>12.7</v>
      </c>
      <c r="AQ522" s="159">
        <v>12.7</v>
      </c>
      <c r="AR522" s="159">
        <v>13.3</v>
      </c>
      <c r="AS522" s="126">
        <f t="shared" si="401"/>
        <v>14</v>
      </c>
      <c r="AT522" s="159">
        <v>14.7</v>
      </c>
      <c r="AU522" s="159">
        <v>15.9</v>
      </c>
      <c r="AV522" s="159">
        <v>18</v>
      </c>
      <c r="AW522" s="159">
        <v>19.8</v>
      </c>
      <c r="AX522" s="159">
        <v>21.4</v>
      </c>
      <c r="AY522" s="159">
        <v>24</v>
      </c>
      <c r="AZ522" s="159">
        <v>28</v>
      </c>
      <c r="BA522" s="159">
        <v>34.299999999999997</v>
      </c>
      <c r="BC522" s="111">
        <f t="shared" si="414"/>
        <v>0.30000000000000071</v>
      </c>
      <c r="BD522" s="111">
        <f t="shared" si="402"/>
        <v>0.59999999999999964</v>
      </c>
      <c r="BE522" s="111">
        <f t="shared" si="403"/>
        <v>0.89999999999999858</v>
      </c>
      <c r="BF522" s="111">
        <f t="shared" si="404"/>
        <v>1</v>
      </c>
      <c r="BG522" s="111">
        <f t="shared" si="405"/>
        <v>1</v>
      </c>
      <c r="BH522" s="111">
        <f t="shared" si="406"/>
        <v>1</v>
      </c>
      <c r="BI522" s="111">
        <f t="shared" si="407"/>
        <v>0.90000000000000036</v>
      </c>
      <c r="BJ522" s="111">
        <f t="shared" si="408"/>
        <v>0.80000000000000071</v>
      </c>
      <c r="BK522" s="111">
        <f t="shared" si="409"/>
        <v>0.69999999999999929</v>
      </c>
      <c r="BL522" s="111">
        <f t="shared" si="410"/>
        <v>0.59999999999999787</v>
      </c>
      <c r="BM522" s="111">
        <f t="shared" si="411"/>
        <v>0.30000000000000071</v>
      </c>
      <c r="BN522" s="111">
        <f t="shared" si="412"/>
        <v>-0.19999999999999929</v>
      </c>
      <c r="BO522" s="111">
        <f t="shared" si="413"/>
        <v>-1.1000000000000014</v>
      </c>
      <c r="BR522" s="120">
        <v>3.8013651905643895E-3</v>
      </c>
      <c r="BS522" s="120">
        <v>3.5154562367949089E-3</v>
      </c>
      <c r="BT522" s="120">
        <v>3.5946377160780297E-3</v>
      </c>
      <c r="BU522" s="120">
        <v>3.8461780857004507E-3</v>
      </c>
      <c r="BV522" s="120">
        <v>4.1333013732209054E-3</v>
      </c>
      <c r="BW522" s="120">
        <v>4.4277132025460431E-3</v>
      </c>
      <c r="BX522" s="120">
        <v>4.9755841534400809E-3</v>
      </c>
      <c r="BY522" s="120">
        <v>6.0402529511477216E-3</v>
      </c>
      <c r="BZ522" s="120">
        <v>7.0741763267078983E-3</v>
      </c>
      <c r="CA522" s="120">
        <v>8.0934796910808269E-3</v>
      </c>
      <c r="CB522" s="120">
        <v>1.0035636006785852E-2</v>
      </c>
      <c r="CC522" s="120">
        <v>1.3787685919489914E-2</v>
      </c>
      <c r="CD522" s="120">
        <v>2.2569682498706219E-2</v>
      </c>
      <c r="CF522" s="120">
        <v>0.14400020908455963</v>
      </c>
      <c r="CG522" s="120">
        <v>0.1270004596674463</v>
      </c>
      <c r="CH522" s="120">
        <v>0.12699628000605831</v>
      </c>
      <c r="CI522" s="120">
        <v>0.13300012615192355</v>
      </c>
      <c r="CJ522" s="120">
        <v>0.14000049019243296</v>
      </c>
      <c r="CK522" s="120">
        <v>0.14700105258168034</v>
      </c>
      <c r="CL522" s="120">
        <v>0.15900252539802784</v>
      </c>
      <c r="CM522" s="120">
        <v>0.18000555302480878</v>
      </c>
      <c r="CN522" s="120">
        <v>0.19800002938856295</v>
      </c>
      <c r="CO522" s="120">
        <v>0.21401593230092597</v>
      </c>
      <c r="CP522" s="120">
        <v>0.24002003099044414</v>
      </c>
      <c r="CQ522" s="120">
        <v>0.28003564302067901</v>
      </c>
      <c r="CR522" s="120">
        <v>0.34305510911747983</v>
      </c>
    </row>
    <row r="523" spans="38:96" ht="12.75" x14ac:dyDescent="0.2">
      <c r="AN523" t="s">
        <v>101</v>
      </c>
      <c r="AO523" s="159">
        <v>16.600000000000001</v>
      </c>
      <c r="AP523" s="159">
        <v>15</v>
      </c>
      <c r="AQ523" s="159">
        <v>15</v>
      </c>
      <c r="AR523" s="159">
        <v>15.4</v>
      </c>
      <c r="AS523" s="126">
        <f t="shared" si="401"/>
        <v>15.899999999999999</v>
      </c>
      <c r="AT523" s="159">
        <v>16.399999999999999</v>
      </c>
      <c r="AU523" s="159">
        <v>17.3</v>
      </c>
      <c r="AV523" s="159">
        <v>19</v>
      </c>
      <c r="AW523" s="159">
        <v>20.5</v>
      </c>
      <c r="AX523" s="159">
        <v>21.8</v>
      </c>
      <c r="AY523" s="159">
        <v>24.1</v>
      </c>
      <c r="AZ523" s="159">
        <v>27.3</v>
      </c>
      <c r="BA523" s="159">
        <v>32</v>
      </c>
      <c r="BC523" s="111">
        <f t="shared" si="414"/>
        <v>0.5</v>
      </c>
      <c r="BD523" s="111">
        <f t="shared" si="402"/>
        <v>0.69999999999999929</v>
      </c>
      <c r="BE523" s="111">
        <f t="shared" si="403"/>
        <v>1</v>
      </c>
      <c r="BF523" s="111">
        <f t="shared" si="404"/>
        <v>1.0999999999999996</v>
      </c>
      <c r="BG523" s="111">
        <f t="shared" si="405"/>
        <v>1.0999999999999979</v>
      </c>
      <c r="BH523" s="111">
        <f t="shared" si="406"/>
        <v>1.0999999999999979</v>
      </c>
      <c r="BI523" s="111">
        <f t="shared" si="407"/>
        <v>1.1000000000000014</v>
      </c>
      <c r="BJ523" s="111">
        <f t="shared" si="408"/>
        <v>1</v>
      </c>
      <c r="BK523" s="111">
        <f t="shared" si="409"/>
        <v>1</v>
      </c>
      <c r="BL523" s="111">
        <f t="shared" si="410"/>
        <v>0.90000000000000213</v>
      </c>
      <c r="BM523" s="111">
        <f t="shared" si="411"/>
        <v>0.90000000000000213</v>
      </c>
      <c r="BN523" s="111">
        <f t="shared" si="412"/>
        <v>0.69999999999999929</v>
      </c>
      <c r="BO523" s="111">
        <f t="shared" si="413"/>
        <v>0.30000000000000071</v>
      </c>
      <c r="BR523" s="120">
        <v>5.9113553444003963E-3</v>
      </c>
      <c r="BS523" s="120">
        <v>5.9158525110991379E-3</v>
      </c>
      <c r="BT523" s="120">
        <v>5.9921521733751083E-3</v>
      </c>
      <c r="BU523" s="120">
        <v>5.9951482642171885E-3</v>
      </c>
      <c r="BV523" s="120">
        <v>6.0301090371445397E-3</v>
      </c>
      <c r="BW523" s="120">
        <v>6.0891230872676914E-3</v>
      </c>
      <c r="BX523" s="120">
        <v>6.3058756567381455E-3</v>
      </c>
      <c r="BY523" s="120">
        <v>7.0038002966182301E-3</v>
      </c>
      <c r="BZ523" s="120">
        <v>7.815218163834476E-3</v>
      </c>
      <c r="CA523" s="120">
        <v>8.6326838052918683E-3</v>
      </c>
      <c r="CB523" s="120">
        <v>1.0392333936010344E-2</v>
      </c>
      <c r="CC523" s="120">
        <v>1.3568566121107734E-2</v>
      </c>
      <c r="CD523" s="120">
        <v>2.0733860865451322E-2</v>
      </c>
      <c r="CF523" s="120">
        <v>0.2167962348244909</v>
      </c>
      <c r="CG523" s="120">
        <v>0.20700216550420236</v>
      </c>
      <c r="CH523" s="120">
        <v>0.20507134306509478</v>
      </c>
      <c r="CI523" s="120">
        <v>0.20075922231812979</v>
      </c>
      <c r="CJ523" s="120">
        <v>0.19774899029564905</v>
      </c>
      <c r="CK523" s="120">
        <v>0.19570108227631203</v>
      </c>
      <c r="CL523" s="120">
        <v>0.19510062080943832</v>
      </c>
      <c r="CM523" s="120">
        <v>0.2022713698884698</v>
      </c>
      <c r="CN523" s="120">
        <v>0.21223137878149942</v>
      </c>
      <c r="CO523" s="120">
        <v>0.2216409081750875</v>
      </c>
      <c r="CP523" s="120">
        <v>0.24175323981290717</v>
      </c>
      <c r="CQ523" s="120">
        <v>0.26851909972566401</v>
      </c>
      <c r="CR523" s="120">
        <v>0.30754258086630026</v>
      </c>
    </row>
    <row r="524" spans="38:96" ht="12.75" x14ac:dyDescent="0.2">
      <c r="AN524" t="s">
        <v>102</v>
      </c>
      <c r="AO524" s="159">
        <v>18.5</v>
      </c>
      <c r="AP524" s="159">
        <v>17</v>
      </c>
      <c r="AQ524" s="159">
        <v>16.8</v>
      </c>
      <c r="AR524" s="159">
        <v>17</v>
      </c>
      <c r="AS524" s="126">
        <f t="shared" si="401"/>
        <v>17.3</v>
      </c>
      <c r="AT524" s="159">
        <v>17.600000000000001</v>
      </c>
      <c r="AU524" s="159">
        <v>18.2</v>
      </c>
      <c r="AV524" s="159">
        <v>19.3</v>
      </c>
      <c r="AW524" s="159">
        <v>20.3</v>
      </c>
      <c r="AX524" s="159">
        <v>21.2</v>
      </c>
      <c r="AY524" s="159">
        <v>22.8</v>
      </c>
      <c r="AZ524" s="159">
        <v>25.4</v>
      </c>
      <c r="BA524" s="159">
        <v>29.1</v>
      </c>
      <c r="BC524" s="111">
        <f t="shared" si="414"/>
        <v>0.60000000000000142</v>
      </c>
      <c r="BD524" s="111">
        <f t="shared" si="402"/>
        <v>0.80000000000000071</v>
      </c>
      <c r="BE524" s="111">
        <f t="shared" si="403"/>
        <v>0.90000000000000036</v>
      </c>
      <c r="BF524" s="111">
        <f t="shared" si="404"/>
        <v>1</v>
      </c>
      <c r="BG524" s="111">
        <f t="shared" si="405"/>
        <v>1</v>
      </c>
      <c r="BH524" s="111">
        <f t="shared" si="406"/>
        <v>1</v>
      </c>
      <c r="BI524" s="111">
        <f t="shared" si="407"/>
        <v>1</v>
      </c>
      <c r="BJ524" s="111">
        <f t="shared" si="408"/>
        <v>1.1000000000000014</v>
      </c>
      <c r="BK524" s="111">
        <f t="shared" si="409"/>
        <v>1</v>
      </c>
      <c r="BL524" s="111">
        <f t="shared" si="410"/>
        <v>1</v>
      </c>
      <c r="BM524" s="111">
        <f t="shared" si="411"/>
        <v>0.90000000000000213</v>
      </c>
      <c r="BN524" s="111">
        <f t="shared" si="412"/>
        <v>0.89999999999999858</v>
      </c>
      <c r="BO524" s="111">
        <f t="shared" si="413"/>
        <v>0.60000000000000142</v>
      </c>
      <c r="BR524" s="120">
        <v>6.5682459795539765E-3</v>
      </c>
      <c r="BS524" s="120">
        <v>6.5373900079587636E-3</v>
      </c>
      <c r="BT524" s="120">
        <v>6.3856162314237328E-3</v>
      </c>
      <c r="BU524" s="120">
        <v>6.3734252975535012E-3</v>
      </c>
      <c r="BV524" s="120">
        <v>6.3912343416291477E-3</v>
      </c>
      <c r="BW524" s="120">
        <v>6.4200384008195402E-3</v>
      </c>
      <c r="BX524" s="120">
        <v>6.5876815203299022E-3</v>
      </c>
      <c r="BY524" s="120">
        <v>7.0029568407932773E-3</v>
      </c>
      <c r="BZ524" s="120">
        <v>7.5498242395570358E-3</v>
      </c>
      <c r="CA524" s="120">
        <v>8.1708030647220688E-3</v>
      </c>
      <c r="CB524" s="120">
        <v>9.425094527131115E-3</v>
      </c>
      <c r="CC524" s="120">
        <v>1.2296382614156907E-2</v>
      </c>
      <c r="CD524" s="120">
        <v>1.8685377396928615E-2</v>
      </c>
      <c r="CF524" s="120">
        <v>0.23164049997392566</v>
      </c>
      <c r="CG524" s="120">
        <v>0.21994439903068672</v>
      </c>
      <c r="CH524" s="120">
        <v>0.20999387465925701</v>
      </c>
      <c r="CI524" s="120">
        <v>0.20519247080977482</v>
      </c>
      <c r="CJ524" s="120">
        <v>0.20160535859356082</v>
      </c>
      <c r="CK524" s="120">
        <v>0.19856205829031368</v>
      </c>
      <c r="CL524" s="120">
        <v>0.19626843393378832</v>
      </c>
      <c r="CM524" s="120">
        <v>0.19479586963294082</v>
      </c>
      <c r="CN524" s="120">
        <v>0.1974701735909144</v>
      </c>
      <c r="CO524" s="120">
        <v>0.20212243027966112</v>
      </c>
      <c r="CP524" s="120">
        <v>0.21119220784979223</v>
      </c>
      <c r="CQ524" s="120">
        <v>0.23486414292831156</v>
      </c>
      <c r="CR524" s="120">
        <v>0.26849813383734084</v>
      </c>
    </row>
    <row r="525" spans="38:96" ht="12.75" x14ac:dyDescent="0.2">
      <c r="AN525" t="s">
        <v>103</v>
      </c>
      <c r="AO525" s="159">
        <v>19.7</v>
      </c>
      <c r="AP525" s="159">
        <v>18.3</v>
      </c>
      <c r="AQ525" s="159">
        <v>18.100000000000001</v>
      </c>
      <c r="AR525" s="159">
        <v>18.2</v>
      </c>
      <c r="AS525" s="126">
        <f t="shared" si="401"/>
        <v>18.350000000000001</v>
      </c>
      <c r="AT525" s="159">
        <v>18.5</v>
      </c>
      <c r="AU525" s="159">
        <v>18.8</v>
      </c>
      <c r="AV525" s="159">
        <v>19.399999999999999</v>
      </c>
      <c r="AW525" s="159">
        <v>20</v>
      </c>
      <c r="AX525" s="159">
        <v>20.6</v>
      </c>
      <c r="AY525" s="159">
        <v>21.7</v>
      </c>
      <c r="AZ525" s="159">
        <v>23.7</v>
      </c>
      <c r="BA525" s="159">
        <v>26.6</v>
      </c>
      <c r="BC525" s="111">
        <f t="shared" si="414"/>
        <v>0.5</v>
      </c>
      <c r="BD525" s="111">
        <f t="shared" si="402"/>
        <v>0.80000000000000071</v>
      </c>
      <c r="BE525" s="111">
        <f t="shared" si="403"/>
        <v>0.90000000000000213</v>
      </c>
      <c r="BF525" s="111">
        <f t="shared" si="404"/>
        <v>1</v>
      </c>
      <c r="BG525" s="111">
        <f t="shared" si="405"/>
        <v>0.95000000000000284</v>
      </c>
      <c r="BH525" s="111">
        <f t="shared" si="406"/>
        <v>0.89999999999999858</v>
      </c>
      <c r="BI525" s="111">
        <f t="shared" si="407"/>
        <v>0.90000000000000213</v>
      </c>
      <c r="BJ525" s="111">
        <f t="shared" si="408"/>
        <v>0.89999999999999858</v>
      </c>
      <c r="BK525" s="111">
        <f t="shared" si="409"/>
        <v>0.89999999999999858</v>
      </c>
      <c r="BL525" s="111">
        <f t="shared" si="410"/>
        <v>0.90000000000000213</v>
      </c>
      <c r="BM525" s="111">
        <f t="shared" si="411"/>
        <v>0.89999999999999858</v>
      </c>
      <c r="BN525" s="111">
        <f t="shared" si="412"/>
        <v>0.89999999999999858</v>
      </c>
      <c r="BO525" s="111">
        <f t="shared" si="413"/>
        <v>0.60000000000000142</v>
      </c>
      <c r="BR525" s="120">
        <v>6.8792898047316219E-3</v>
      </c>
      <c r="BS525" s="120">
        <v>6.8947922005633778E-3</v>
      </c>
      <c r="BT525" s="120">
        <v>7.0163406424509208E-3</v>
      </c>
      <c r="BU525" s="120">
        <v>7.0635934028902793E-3</v>
      </c>
      <c r="BV525" s="120">
        <v>7.0555478205853285E-3</v>
      </c>
      <c r="BW525" s="120">
        <v>7.0514739109566685E-3</v>
      </c>
      <c r="BX525" s="120">
        <v>7.0537479244408173E-3</v>
      </c>
      <c r="BY525" s="120">
        <v>7.3002930036277841E-3</v>
      </c>
      <c r="BZ525" s="120">
        <v>7.7188320093277999E-3</v>
      </c>
      <c r="CA525" s="120">
        <v>8.2462033470469525E-3</v>
      </c>
      <c r="CB525" s="120">
        <v>9.3824737767302553E-3</v>
      </c>
      <c r="CC525" s="120">
        <v>1.1800590892607004E-2</v>
      </c>
      <c r="CD525" s="120">
        <v>1.7391974019880203E-2</v>
      </c>
      <c r="CF525" s="120">
        <v>0.23352374585570954</v>
      </c>
      <c r="CG525" s="120">
        <v>0.22346481847668065</v>
      </c>
      <c r="CH525" s="120">
        <v>0.22267022513771959</v>
      </c>
      <c r="CI525" s="120">
        <v>0.21952718893149012</v>
      </c>
      <c r="CJ525" s="120">
        <v>0.21483918799427479</v>
      </c>
      <c r="CK525" s="120">
        <v>0.21050816150931173</v>
      </c>
      <c r="CL525" s="120">
        <v>0.20277782466105054</v>
      </c>
      <c r="CM525" s="120">
        <v>0.19604429475482898</v>
      </c>
      <c r="CN525" s="120">
        <v>0.19505775016288518</v>
      </c>
      <c r="CO525" s="120">
        <v>0.19721732810166395</v>
      </c>
      <c r="CP525" s="120">
        <v>0.20364189288625845</v>
      </c>
      <c r="CQ525" s="120">
        <v>0.2185176234062339</v>
      </c>
      <c r="CR525" s="120">
        <v>0.24269366427746117</v>
      </c>
    </row>
    <row r="526" spans="38:96" ht="12.75" x14ac:dyDescent="0.2">
      <c r="AN526" t="s">
        <v>104</v>
      </c>
      <c r="AO526" s="159">
        <v>20.6</v>
      </c>
      <c r="AP526" s="159">
        <v>19.2</v>
      </c>
      <c r="AQ526" s="159">
        <v>19</v>
      </c>
      <c r="AR526" s="159">
        <v>19</v>
      </c>
      <c r="AS526" s="126">
        <f t="shared" si="401"/>
        <v>19.05</v>
      </c>
      <c r="AT526" s="159">
        <v>19.100000000000001</v>
      </c>
      <c r="AU526" s="159">
        <v>19.2</v>
      </c>
      <c r="AV526" s="159">
        <v>19.399999999999999</v>
      </c>
      <c r="AW526" s="159">
        <v>19.600000000000001</v>
      </c>
      <c r="AX526" s="159">
        <v>19.899999999999999</v>
      </c>
      <c r="AY526" s="159">
        <v>20.6</v>
      </c>
      <c r="AZ526" s="159">
        <v>22</v>
      </c>
      <c r="BA526" s="159">
        <v>24.4</v>
      </c>
      <c r="BC526" s="111">
        <f t="shared" si="414"/>
        <v>0.5</v>
      </c>
      <c r="BD526" s="111">
        <f t="shared" si="402"/>
        <v>0.69999999999999929</v>
      </c>
      <c r="BE526" s="111">
        <f t="shared" si="403"/>
        <v>0.89999999999999858</v>
      </c>
      <c r="BF526" s="111">
        <f t="shared" si="404"/>
        <v>0.89999999999999858</v>
      </c>
      <c r="BG526" s="111">
        <f t="shared" si="405"/>
        <v>0.90000000000000213</v>
      </c>
      <c r="BH526" s="111">
        <f t="shared" si="406"/>
        <v>0.90000000000000213</v>
      </c>
      <c r="BI526" s="111">
        <f t="shared" si="407"/>
        <v>0.89999999999999858</v>
      </c>
      <c r="BJ526" s="111">
        <f t="shared" si="408"/>
        <v>0.89999999999999858</v>
      </c>
      <c r="BK526" s="111">
        <f t="shared" si="409"/>
        <v>0.90000000000000213</v>
      </c>
      <c r="BL526" s="111">
        <f t="shared" si="410"/>
        <v>0.89999999999999858</v>
      </c>
      <c r="BM526" s="111">
        <f t="shared" si="411"/>
        <v>0.90000000000000213</v>
      </c>
      <c r="BN526" s="111">
        <f t="shared" si="412"/>
        <v>0.80000000000000071</v>
      </c>
      <c r="BO526" s="111">
        <f t="shared" si="413"/>
        <v>0.69999999999999929</v>
      </c>
      <c r="BR526" s="120">
        <v>7.3779265338489008E-3</v>
      </c>
      <c r="BS526" s="120">
        <v>7.2582277733572271E-3</v>
      </c>
      <c r="BT526" s="120">
        <v>7.3079773132977274E-3</v>
      </c>
      <c r="BU526" s="120">
        <v>7.2883480637962583E-3</v>
      </c>
      <c r="BV526" s="120">
        <v>7.2991558946494759E-3</v>
      </c>
      <c r="BW526" s="120">
        <v>7.3094485999376192E-3</v>
      </c>
      <c r="BX526" s="120">
        <v>7.3485757230681058E-3</v>
      </c>
      <c r="BY526" s="120">
        <v>7.4595076681577242E-3</v>
      </c>
      <c r="BZ526" s="120">
        <v>7.6234979201184709E-3</v>
      </c>
      <c r="CA526" s="120">
        <v>7.9587165374271265E-3</v>
      </c>
      <c r="CB526" s="120">
        <v>8.8840424857713554E-3</v>
      </c>
      <c r="CC526" s="120">
        <v>1.0851654333427812E-2</v>
      </c>
      <c r="CD526" s="120">
        <v>1.6058258162914028E-2</v>
      </c>
      <c r="CF526" s="120">
        <v>0.24164325065083436</v>
      </c>
      <c r="CG526" s="120">
        <v>0.22684876666176965</v>
      </c>
      <c r="CH526" s="120">
        <v>0.22348222744318783</v>
      </c>
      <c r="CI526" s="120">
        <v>0.21823169610865301</v>
      </c>
      <c r="CJ526" s="120">
        <v>0.21419650477652019</v>
      </c>
      <c r="CK526" s="120">
        <v>0.21036852010443852</v>
      </c>
      <c r="CL526" s="120">
        <v>0.20382628807618772</v>
      </c>
      <c r="CM526" s="120">
        <v>0.1933275809481099</v>
      </c>
      <c r="CN526" s="120">
        <v>0.18588775492353415</v>
      </c>
      <c r="CO526" s="120">
        <v>0.18366326740969044</v>
      </c>
      <c r="CP526" s="120">
        <v>0.18611626693105182</v>
      </c>
      <c r="CQ526" s="120">
        <v>0.1941715845830175</v>
      </c>
      <c r="CR526" s="120">
        <v>0.21729649181457533</v>
      </c>
    </row>
    <row r="527" spans="38:96" ht="12.75" x14ac:dyDescent="0.2">
      <c r="AN527" t="s">
        <v>105</v>
      </c>
      <c r="AO527" s="159">
        <v>21.3</v>
      </c>
      <c r="AP527" s="159">
        <v>19.899999999999999</v>
      </c>
      <c r="AQ527" s="159">
        <v>19.600000000000001</v>
      </c>
      <c r="AR527" s="159">
        <v>19.5</v>
      </c>
      <c r="AS527" s="126">
        <f t="shared" si="401"/>
        <v>19.5</v>
      </c>
      <c r="AT527" s="159">
        <v>19.5</v>
      </c>
      <c r="AU527" s="159">
        <v>19.399999999999999</v>
      </c>
      <c r="AV527" s="159">
        <v>19.3</v>
      </c>
      <c r="AW527" s="159">
        <v>19.3</v>
      </c>
      <c r="AX527" s="159">
        <v>19.399999999999999</v>
      </c>
      <c r="AY527" s="159">
        <v>19.7</v>
      </c>
      <c r="AZ527" s="159">
        <v>20.6</v>
      </c>
      <c r="BA527" s="159">
        <v>22.5</v>
      </c>
      <c r="BC527" s="111">
        <f t="shared" si="414"/>
        <v>0.60000000000000142</v>
      </c>
      <c r="BD527" s="111">
        <f t="shared" si="402"/>
        <v>0.69999999999999929</v>
      </c>
      <c r="BE527" s="111">
        <f t="shared" si="403"/>
        <v>0.80000000000000071</v>
      </c>
      <c r="BF527" s="111">
        <f t="shared" si="404"/>
        <v>0.89999999999999858</v>
      </c>
      <c r="BG527" s="111">
        <f t="shared" si="405"/>
        <v>0.89999999999999858</v>
      </c>
      <c r="BH527" s="111">
        <f t="shared" si="406"/>
        <v>0.89999999999999858</v>
      </c>
      <c r="BI527" s="111">
        <f t="shared" si="407"/>
        <v>0.79999999999999716</v>
      </c>
      <c r="BJ527" s="111">
        <f t="shared" si="408"/>
        <v>0.80000000000000071</v>
      </c>
      <c r="BK527" s="111">
        <f t="shared" si="409"/>
        <v>0.80000000000000071</v>
      </c>
      <c r="BL527" s="111">
        <f t="shared" si="410"/>
        <v>0.89999999999999858</v>
      </c>
      <c r="BM527" s="111">
        <f t="shared" si="411"/>
        <v>0.80000000000000071</v>
      </c>
      <c r="BN527" s="111">
        <f t="shared" si="412"/>
        <v>0.80000000000000071</v>
      </c>
      <c r="BO527" s="111">
        <f t="shared" si="413"/>
        <v>0.69999999999999929</v>
      </c>
      <c r="BR527" s="120">
        <v>7.6963656101060726E-3</v>
      </c>
      <c r="BS527" s="120">
        <v>7.6221998663508362E-3</v>
      </c>
      <c r="BT527" s="120">
        <v>7.4808891281372848E-3</v>
      </c>
      <c r="BU527" s="120">
        <v>7.4239675333779486E-3</v>
      </c>
      <c r="BV527" s="120">
        <v>7.484748477748094E-3</v>
      </c>
      <c r="BW527" s="120">
        <v>7.5427722852379206E-3</v>
      </c>
      <c r="BX527" s="120">
        <v>7.4351000083937224E-3</v>
      </c>
      <c r="BY527" s="120">
        <v>7.4981932506248544E-3</v>
      </c>
      <c r="BZ527" s="120">
        <v>7.8028329394506475E-3</v>
      </c>
      <c r="CA527" s="120">
        <v>8.1246152550850225E-3</v>
      </c>
      <c r="CB527" s="120">
        <v>8.755887283824846E-3</v>
      </c>
      <c r="CC527" s="120">
        <v>1.0443764040141889E-2</v>
      </c>
      <c r="CD527" s="120">
        <v>1.4904065713880298E-2</v>
      </c>
      <c r="CF527" s="120">
        <v>0.24483073164790295</v>
      </c>
      <c r="CG527" s="120">
        <v>0.23154501327924559</v>
      </c>
      <c r="CH527" s="120">
        <v>0.2222426266155535</v>
      </c>
      <c r="CI527" s="120">
        <v>0.21595932372875098</v>
      </c>
      <c r="CJ527" s="120">
        <v>0.21346888086701077</v>
      </c>
      <c r="CK527" s="120">
        <v>0.21104566981164213</v>
      </c>
      <c r="CL527" s="120">
        <v>0.20037379188142357</v>
      </c>
      <c r="CM527" s="120">
        <v>0.18891553867604788</v>
      </c>
      <c r="CN527" s="120">
        <v>0.18521006368492571</v>
      </c>
      <c r="CO527" s="120">
        <v>0.1826524013891839</v>
      </c>
      <c r="CP527" s="120">
        <v>0.17875744525478091</v>
      </c>
      <c r="CQ527" s="120">
        <v>0.18234368824810959</v>
      </c>
      <c r="CR527" s="120">
        <v>0.19691766839532052</v>
      </c>
    </row>
    <row r="528" spans="38:96" ht="12.75" x14ac:dyDescent="0.2">
      <c r="AN528" t="s">
        <v>106</v>
      </c>
      <c r="AO528" s="159">
        <v>21.6</v>
      </c>
      <c r="AP528" s="159">
        <v>20.3</v>
      </c>
      <c r="AQ528" s="159">
        <v>20</v>
      </c>
      <c r="AR528" s="159">
        <v>19.8</v>
      </c>
      <c r="AS528" s="126">
        <f t="shared" si="401"/>
        <v>19.75</v>
      </c>
      <c r="AT528" s="159">
        <v>19.7</v>
      </c>
      <c r="AU528" s="159">
        <v>19.5</v>
      </c>
      <c r="AV528" s="159">
        <v>19.2</v>
      </c>
      <c r="AW528" s="159">
        <v>19</v>
      </c>
      <c r="AX528" s="159">
        <v>18.899999999999999</v>
      </c>
      <c r="AY528" s="159">
        <v>19</v>
      </c>
      <c r="AZ528" s="159">
        <v>19.7</v>
      </c>
      <c r="BA528" s="159">
        <v>21.3</v>
      </c>
      <c r="BC528" s="111">
        <f t="shared" si="414"/>
        <v>0.5</v>
      </c>
      <c r="BD528" s="111">
        <f t="shared" si="402"/>
        <v>0.69999999999999929</v>
      </c>
      <c r="BE528" s="111">
        <f t="shared" si="403"/>
        <v>0.80000000000000071</v>
      </c>
      <c r="BF528" s="111">
        <f t="shared" si="404"/>
        <v>0.80000000000000071</v>
      </c>
      <c r="BG528" s="111">
        <f t="shared" si="405"/>
        <v>0.80000000000000071</v>
      </c>
      <c r="BH528" s="111">
        <f t="shared" si="406"/>
        <v>0.80000000000000071</v>
      </c>
      <c r="BI528" s="111">
        <f t="shared" si="407"/>
        <v>0.80000000000000071</v>
      </c>
      <c r="BJ528" s="111">
        <f t="shared" si="408"/>
        <v>0.69999999999999929</v>
      </c>
      <c r="BK528" s="111">
        <f t="shared" si="409"/>
        <v>0.69999999999999929</v>
      </c>
      <c r="BL528" s="111">
        <f t="shared" si="410"/>
        <v>0.69999999999999929</v>
      </c>
      <c r="BM528" s="111">
        <f t="shared" si="411"/>
        <v>0.80000000000000071</v>
      </c>
      <c r="BN528" s="111">
        <f t="shared" si="412"/>
        <v>0.80000000000000071</v>
      </c>
      <c r="BO528" s="111">
        <f t="shared" si="413"/>
        <v>0.60000000000000142</v>
      </c>
      <c r="BR528" s="120">
        <v>7.370455035333635E-3</v>
      </c>
      <c r="BS528" s="120">
        <v>7.5066688975070966E-3</v>
      </c>
      <c r="BT528" s="120">
        <v>7.6181744818065575E-3</v>
      </c>
      <c r="BU528" s="120">
        <v>7.5027789012755792E-3</v>
      </c>
      <c r="BV528" s="120">
        <v>7.5192231400443435E-3</v>
      </c>
      <c r="BW528" s="120">
        <v>7.5331969396224179E-3</v>
      </c>
      <c r="BX528" s="120">
        <v>7.5863973171173505E-3</v>
      </c>
      <c r="BY528" s="120">
        <v>7.6661964517160093E-3</v>
      </c>
      <c r="BZ528" s="120">
        <v>7.7455465193787022E-3</v>
      </c>
      <c r="CA528" s="120">
        <v>7.8903770845726393E-3</v>
      </c>
      <c r="CB528" s="120">
        <v>8.6712004077716311E-3</v>
      </c>
      <c r="CC528" s="120">
        <v>1.0588585519569843E-2</v>
      </c>
      <c r="CD528" s="120">
        <v>1.5201313581445559E-2</v>
      </c>
      <c r="CF528" s="120">
        <v>0.227288012693736</v>
      </c>
      <c r="CG528" s="120">
        <v>0.22141137794871388</v>
      </c>
      <c r="CH528" s="120">
        <v>0.22011998210004899</v>
      </c>
      <c r="CI528" s="120">
        <v>0.21223479076430152</v>
      </c>
      <c r="CJ528" s="120">
        <v>0.20850743730354029</v>
      </c>
      <c r="CK528" s="120">
        <v>0.20491413174370413</v>
      </c>
      <c r="CL528" s="120">
        <v>0.19901714779237678</v>
      </c>
      <c r="CM528" s="120">
        <v>0.1881158650194798</v>
      </c>
      <c r="CN528" s="120">
        <v>0.17893659012495602</v>
      </c>
      <c r="CO528" s="120">
        <v>0.17260082779915972</v>
      </c>
      <c r="CP528" s="120">
        <v>0.17252738556978131</v>
      </c>
      <c r="CQ528" s="120">
        <v>0.18057304207284741</v>
      </c>
      <c r="CR528" s="120">
        <v>0.19690592549746652</v>
      </c>
    </row>
    <row r="529" spans="38:96" ht="12.75" x14ac:dyDescent="0.2">
      <c r="AN529" t="s">
        <v>79</v>
      </c>
      <c r="AO529" s="159">
        <v>21.8</v>
      </c>
      <c r="AP529" s="159">
        <v>20.5</v>
      </c>
      <c r="AQ529" s="159">
        <v>20.2</v>
      </c>
      <c r="AR529" s="159">
        <v>20</v>
      </c>
      <c r="AS529" s="126">
        <f t="shared" si="401"/>
        <v>19.850000000000001</v>
      </c>
      <c r="AT529" s="159">
        <v>19.7</v>
      </c>
      <c r="AU529" s="159">
        <v>19.5</v>
      </c>
      <c r="AV529" s="159">
        <v>19.100000000000001</v>
      </c>
      <c r="AW529" s="159">
        <v>18.8</v>
      </c>
      <c r="AX529" s="159">
        <v>18.600000000000001</v>
      </c>
      <c r="AY529" s="159">
        <v>18.5</v>
      </c>
      <c r="AZ529" s="159">
        <v>18.899999999999999</v>
      </c>
      <c r="BA529" s="159">
        <v>20.2</v>
      </c>
      <c r="BC529" s="111">
        <f t="shared" si="414"/>
        <v>0.5</v>
      </c>
      <c r="BD529" s="111">
        <f t="shared" si="402"/>
        <v>0.60000000000000142</v>
      </c>
      <c r="BE529" s="111">
        <f t="shared" si="403"/>
        <v>0.69999999999999929</v>
      </c>
      <c r="BF529" s="111">
        <f t="shared" si="404"/>
        <v>0.80000000000000071</v>
      </c>
      <c r="BG529" s="111">
        <f t="shared" si="405"/>
        <v>0.75</v>
      </c>
      <c r="BH529" s="111">
        <f t="shared" si="406"/>
        <v>0.69999999999999929</v>
      </c>
      <c r="BI529" s="111">
        <f t="shared" si="407"/>
        <v>0.69999999999999929</v>
      </c>
      <c r="BJ529" s="111">
        <f t="shared" si="408"/>
        <v>0.70000000000000284</v>
      </c>
      <c r="BK529" s="111">
        <f t="shared" si="409"/>
        <v>0.80000000000000071</v>
      </c>
      <c r="BL529" s="111">
        <f t="shared" si="410"/>
        <v>0.80000000000000071</v>
      </c>
      <c r="BM529" s="111">
        <f t="shared" si="411"/>
        <v>0.80000000000000071</v>
      </c>
      <c r="BN529" s="111">
        <f t="shared" si="412"/>
        <v>0.79999999999999716</v>
      </c>
      <c r="BO529" s="111">
        <f t="shared" si="413"/>
        <v>0.69999999999999929</v>
      </c>
      <c r="BR529" s="120">
        <v>7.4980552065090815E-3</v>
      </c>
      <c r="BS529" s="120">
        <v>7.3387241796734077E-3</v>
      </c>
      <c r="BT529" s="120">
        <v>7.3680055924865845E-3</v>
      </c>
      <c r="BU529" s="120">
        <v>7.5035356337758612E-3</v>
      </c>
      <c r="BV529" s="120">
        <v>7.346849435800191E-3</v>
      </c>
      <c r="BW529" s="120">
        <v>7.1861368704337287E-3</v>
      </c>
      <c r="BX529" s="120">
        <v>7.419642861141414E-3</v>
      </c>
      <c r="BY529" s="120">
        <v>7.6136094113237992E-3</v>
      </c>
      <c r="BZ529" s="120">
        <v>7.8419917199666327E-3</v>
      </c>
      <c r="CA529" s="120">
        <v>8.0896691186107383E-3</v>
      </c>
      <c r="CB529" s="120">
        <v>8.5620122249770517E-3</v>
      </c>
      <c r="CC529" s="120">
        <v>9.8264670711182816E-3</v>
      </c>
      <c r="CD529" s="120">
        <v>1.3673663599494523E-2</v>
      </c>
      <c r="CF529" s="120">
        <v>0.23061768065749469</v>
      </c>
      <c r="CG529" s="120">
        <v>0.21547585510894757</v>
      </c>
      <c r="CH529" s="120">
        <v>0.21175322122388146</v>
      </c>
      <c r="CI529" s="120">
        <v>0.21139920606619567</v>
      </c>
      <c r="CJ529" s="120">
        <v>0.20275223874566337</v>
      </c>
      <c r="CK529" s="120">
        <v>0.19440303346880883</v>
      </c>
      <c r="CL529" s="120">
        <v>0.19368142845908937</v>
      </c>
      <c r="CM529" s="120">
        <v>0.18598424840361988</v>
      </c>
      <c r="CN529" s="120">
        <v>0.18051161238549071</v>
      </c>
      <c r="CO529" s="120">
        <v>0.17641230776001784</v>
      </c>
      <c r="CP529" s="120">
        <v>0.16964995139203831</v>
      </c>
      <c r="CQ529" s="120">
        <v>0.16660655657598017</v>
      </c>
      <c r="CR529" s="120">
        <v>0.17584298748325822</v>
      </c>
    </row>
    <row r="530" spans="38:96" ht="12.75" x14ac:dyDescent="0.2">
      <c r="AN530" t="s">
        <v>159</v>
      </c>
      <c r="AO530" s="159">
        <v>21.8</v>
      </c>
      <c r="AP530" s="159">
        <v>20.6</v>
      </c>
      <c r="AQ530" s="159">
        <v>20.2</v>
      </c>
      <c r="AR530" s="159">
        <v>20</v>
      </c>
      <c r="AS530" s="126">
        <f t="shared" si="401"/>
        <v>19.8</v>
      </c>
      <c r="AT530" s="159">
        <v>19.600000000000001</v>
      </c>
      <c r="AU530" s="159">
        <v>19.3</v>
      </c>
      <c r="AV530" s="159">
        <v>18.7</v>
      </c>
      <c r="AW530" s="159">
        <v>18.3</v>
      </c>
      <c r="AX530" s="159">
        <v>17.899999999999999</v>
      </c>
      <c r="AY530" s="159">
        <v>17.600000000000001</v>
      </c>
      <c r="AZ530" s="159">
        <v>17.600000000000001</v>
      </c>
      <c r="BA530" s="159">
        <v>18.399999999999999</v>
      </c>
      <c r="BC530" s="111">
        <f t="shared" si="414"/>
        <v>0.5</v>
      </c>
      <c r="BD530" s="111">
        <f t="shared" si="402"/>
        <v>0.60000000000000142</v>
      </c>
      <c r="BE530" s="111">
        <f t="shared" si="403"/>
        <v>0.59999999999999787</v>
      </c>
      <c r="BF530" s="111">
        <f t="shared" si="404"/>
        <v>0.69999999999999929</v>
      </c>
      <c r="BG530" s="111">
        <f t="shared" si="405"/>
        <v>0.65000000000000213</v>
      </c>
      <c r="BH530" s="111">
        <f t="shared" si="406"/>
        <v>0.60000000000000142</v>
      </c>
      <c r="BI530" s="111">
        <f t="shared" si="407"/>
        <v>0.60000000000000142</v>
      </c>
      <c r="BJ530" s="111">
        <f t="shared" si="408"/>
        <v>0.59999999999999787</v>
      </c>
      <c r="BK530" s="111">
        <f t="shared" si="409"/>
        <v>0.69999999999999929</v>
      </c>
      <c r="BL530" s="111">
        <f t="shared" si="410"/>
        <v>0.59999999999999787</v>
      </c>
      <c r="BM530" s="111">
        <f t="shared" si="411"/>
        <v>0.70000000000000284</v>
      </c>
      <c r="BN530" s="111">
        <f t="shared" si="412"/>
        <v>0.70000000000000284</v>
      </c>
      <c r="BO530" s="111">
        <f t="shared" si="413"/>
        <v>0.59999999999999787</v>
      </c>
      <c r="BR530" s="120">
        <v>6.9675752523126527E-3</v>
      </c>
      <c r="BS530" s="120">
        <v>7.1088911662792022E-3</v>
      </c>
      <c r="BT530" s="120">
        <v>6.9401098564343851E-3</v>
      </c>
      <c r="BU530" s="120">
        <v>6.9765419230317779E-3</v>
      </c>
      <c r="BV530" s="120">
        <v>7.0888981405143039E-3</v>
      </c>
      <c r="BW530" s="120">
        <v>7.1965697339818032E-3</v>
      </c>
      <c r="BX530" s="120">
        <v>7.1308084832041639E-3</v>
      </c>
      <c r="BY530" s="120">
        <v>7.121024372473703E-3</v>
      </c>
      <c r="BZ530" s="120">
        <v>7.3363514163243722E-3</v>
      </c>
      <c r="CA530" s="120">
        <v>7.3485479247770696E-3</v>
      </c>
      <c r="CB530" s="120">
        <v>7.9445007862295729E-3</v>
      </c>
      <c r="CC530" s="120">
        <v>9.151072705692322E-3</v>
      </c>
      <c r="CD530" s="120">
        <v>1.2398082887836698E-2</v>
      </c>
      <c r="CF530" s="120">
        <v>0.21064215727686117</v>
      </c>
      <c r="CG530" s="120">
        <v>0.20562325964816988</v>
      </c>
      <c r="CH530" s="120">
        <v>0.19630453794315975</v>
      </c>
      <c r="CI530" s="120">
        <v>0.19333029828377346</v>
      </c>
      <c r="CJ530" s="120">
        <v>0.19273683518134105</v>
      </c>
      <c r="CK530" s="120">
        <v>0.19207777969514953</v>
      </c>
      <c r="CL530" s="120">
        <v>0.18340217608013973</v>
      </c>
      <c r="CM530" s="120">
        <v>0.17127767251646861</v>
      </c>
      <c r="CN530" s="120">
        <v>0.1662956255342698</v>
      </c>
      <c r="CO530" s="120">
        <v>0.15769348425626534</v>
      </c>
      <c r="CP530" s="120">
        <v>0.15510133322373665</v>
      </c>
      <c r="CQ530" s="120">
        <v>0.15306342107295431</v>
      </c>
      <c r="CR530" s="120">
        <v>0.15746947051278898</v>
      </c>
    </row>
    <row r="531" spans="38:96" ht="12.75" x14ac:dyDescent="0.2">
      <c r="AN531" t="s">
        <v>107</v>
      </c>
      <c r="AO531" s="159">
        <v>21.5</v>
      </c>
      <c r="AP531" s="159">
        <v>20.399999999999999</v>
      </c>
      <c r="AQ531" s="159">
        <v>20.100000000000001</v>
      </c>
      <c r="AR531" s="159">
        <v>19.8</v>
      </c>
      <c r="AS531" s="126">
        <f t="shared" si="401"/>
        <v>19.600000000000001</v>
      </c>
      <c r="AT531" s="159">
        <v>19.399999999999999</v>
      </c>
      <c r="AU531" s="159">
        <v>19</v>
      </c>
      <c r="AV531" s="159">
        <v>18.3</v>
      </c>
      <c r="AW531" s="159">
        <v>17.7</v>
      </c>
      <c r="AX531" s="159">
        <v>17.3</v>
      </c>
      <c r="AY531" s="159">
        <v>16.8</v>
      </c>
      <c r="AZ531" s="159">
        <v>16.399999999999999</v>
      </c>
      <c r="BA531" s="159">
        <v>16.600000000000001</v>
      </c>
      <c r="BC531" s="111">
        <f t="shared" si="414"/>
        <v>0.5</v>
      </c>
      <c r="BD531" s="111">
        <f t="shared" si="402"/>
        <v>0.59999999999999787</v>
      </c>
      <c r="BE531" s="111">
        <f t="shared" si="403"/>
        <v>0.70000000000000284</v>
      </c>
      <c r="BF531" s="111">
        <f t="shared" si="404"/>
        <v>0.69999999999999929</v>
      </c>
      <c r="BG531" s="111">
        <f t="shared" si="405"/>
        <v>0.70000000000000284</v>
      </c>
      <c r="BH531" s="111">
        <f t="shared" si="406"/>
        <v>0.69999999999999929</v>
      </c>
      <c r="BI531" s="111">
        <f t="shared" si="407"/>
        <v>0.69999999999999929</v>
      </c>
      <c r="BJ531" s="111">
        <f t="shared" si="408"/>
        <v>0.60000000000000142</v>
      </c>
      <c r="BK531" s="111">
        <f t="shared" si="409"/>
        <v>0.59999999999999787</v>
      </c>
      <c r="BL531" s="111">
        <f t="shared" si="410"/>
        <v>0.60000000000000142</v>
      </c>
      <c r="BM531" s="111">
        <f t="shared" si="411"/>
        <v>0.69999999999999929</v>
      </c>
      <c r="BN531" s="111">
        <f t="shared" si="412"/>
        <v>0.59999999999999787</v>
      </c>
      <c r="BO531" s="111">
        <f t="shared" si="413"/>
        <v>0.60000000000000142</v>
      </c>
      <c r="BR531" s="120">
        <v>6.7016249698263709E-3</v>
      </c>
      <c r="BS531" s="120">
        <v>6.641795222936028E-3</v>
      </c>
      <c r="BT531" s="120">
        <v>6.9723711631983123E-3</v>
      </c>
      <c r="BU531" s="120">
        <v>6.8618006445795186E-3</v>
      </c>
      <c r="BV531" s="120">
        <v>6.8951071758389625E-3</v>
      </c>
      <c r="BW531" s="120">
        <v>6.9249315211181795E-3</v>
      </c>
      <c r="BX531" s="120">
        <v>7.0072841716505695E-3</v>
      </c>
      <c r="BY531" s="120">
        <v>7.2338242025205748E-3</v>
      </c>
      <c r="BZ531" s="120">
        <v>7.1471040047047778E-3</v>
      </c>
      <c r="CA531" s="120">
        <v>7.5794574531694294E-3</v>
      </c>
      <c r="CB531" s="120">
        <v>7.8595552241020432E-3</v>
      </c>
      <c r="CC531" s="120">
        <v>8.5928053277925884E-3</v>
      </c>
      <c r="CD531" s="120">
        <v>1.0934568715054074E-2</v>
      </c>
      <c r="CF531" s="120">
        <v>0.20521550343006376</v>
      </c>
      <c r="CG531" s="120">
        <v>0.19418713287485104</v>
      </c>
      <c r="CH531" s="120">
        <v>0.19989852735257474</v>
      </c>
      <c r="CI531" s="120">
        <v>0.19257261874371082</v>
      </c>
      <c r="CJ531" s="120">
        <v>0.1896871299711673</v>
      </c>
      <c r="CK531" s="120">
        <v>0.18687297226564414</v>
      </c>
      <c r="CL531" s="120">
        <v>0.18232835434695824</v>
      </c>
      <c r="CM531" s="120">
        <v>0.17612518010019382</v>
      </c>
      <c r="CN531" s="120">
        <v>0.16373871328792541</v>
      </c>
      <c r="CO531" s="120">
        <v>0.1646221667710521</v>
      </c>
      <c r="CP531" s="120">
        <v>0.15502568855199608</v>
      </c>
      <c r="CQ531" s="120">
        <v>0.14491823571589293</v>
      </c>
      <c r="CR531" s="120">
        <v>0.13971279339559464</v>
      </c>
    </row>
    <row r="532" spans="38:96" ht="12.75" x14ac:dyDescent="0.2">
      <c r="AN532" t="s">
        <v>108</v>
      </c>
      <c r="AO532" s="159">
        <v>21</v>
      </c>
      <c r="AP532" s="159">
        <v>20.100000000000001</v>
      </c>
      <c r="AQ532" s="159">
        <v>19.8</v>
      </c>
      <c r="AR532" s="159">
        <v>19.5</v>
      </c>
      <c r="AS532" s="126">
        <f t="shared" si="401"/>
        <v>19.25</v>
      </c>
      <c r="AT532" s="159">
        <v>19</v>
      </c>
      <c r="AU532" s="159">
        <v>18.600000000000001</v>
      </c>
      <c r="AV532" s="159">
        <v>17.899999999999999</v>
      </c>
      <c r="AW532" s="159">
        <v>17.3</v>
      </c>
      <c r="AX532" s="159">
        <v>16.8</v>
      </c>
      <c r="AY532" s="159">
        <v>16.2</v>
      </c>
      <c r="AZ532" s="159">
        <v>15.6</v>
      </c>
      <c r="BA532" s="159">
        <v>15.2</v>
      </c>
      <c r="BC532" s="111">
        <f t="shared" si="414"/>
        <v>0.60000000000000142</v>
      </c>
      <c r="BD532" s="111">
        <f t="shared" si="402"/>
        <v>0.70000000000000284</v>
      </c>
      <c r="BE532" s="111">
        <f t="shared" si="403"/>
        <v>0.69999999999999929</v>
      </c>
      <c r="BF532" s="111">
        <f t="shared" si="404"/>
        <v>0.69999999999999929</v>
      </c>
      <c r="BG532" s="111">
        <f t="shared" si="405"/>
        <v>0.64999999999999858</v>
      </c>
      <c r="BH532" s="111">
        <f t="shared" si="406"/>
        <v>0.60000000000000142</v>
      </c>
      <c r="BI532" s="111">
        <f t="shared" si="407"/>
        <v>0.70000000000000284</v>
      </c>
      <c r="BJ532" s="111">
        <f t="shared" si="408"/>
        <v>0.69999999999999929</v>
      </c>
      <c r="BK532" s="111">
        <f t="shared" si="409"/>
        <v>0.69999999999999929</v>
      </c>
      <c r="BL532" s="111">
        <f t="shared" si="410"/>
        <v>0.60000000000000142</v>
      </c>
      <c r="BM532" s="111">
        <f t="shared" si="411"/>
        <v>0.59999999999999964</v>
      </c>
      <c r="BN532" s="111">
        <f t="shared" si="412"/>
        <v>0.59999999999999964</v>
      </c>
      <c r="BO532" s="111">
        <f t="shared" si="413"/>
        <v>0.59999999999999964</v>
      </c>
      <c r="BR532" s="120">
        <v>6.1576012796029297E-3</v>
      </c>
      <c r="BS532" s="120">
        <v>6.4076098579308642E-3</v>
      </c>
      <c r="BT532" s="120">
        <v>6.2183151930693776E-3</v>
      </c>
      <c r="BU532" s="120">
        <v>6.362150298792486E-3</v>
      </c>
      <c r="BV532" s="120">
        <v>6.3565274195218477E-3</v>
      </c>
      <c r="BW532" s="120">
        <v>6.343609801654505E-3</v>
      </c>
      <c r="BX532" s="120">
        <v>6.4572902306847292E-3</v>
      </c>
      <c r="BY532" s="120">
        <v>6.6281910533752594E-3</v>
      </c>
      <c r="BZ532" s="120">
        <v>7.0339938376436321E-3</v>
      </c>
      <c r="CA532" s="120">
        <v>6.9013629881801136E-3</v>
      </c>
      <c r="CB532" s="120">
        <v>7.398225021703053E-3</v>
      </c>
      <c r="CC532" s="120">
        <v>8.4205437316797541E-3</v>
      </c>
      <c r="CD532" s="120">
        <v>1.0483042587128651E-2</v>
      </c>
      <c r="CF532" s="120">
        <v>0.19722016248717061</v>
      </c>
      <c r="CG532" s="120">
        <v>0.19613821025692854</v>
      </c>
      <c r="CH532" s="120">
        <v>0.18615526560100926</v>
      </c>
      <c r="CI532" s="120">
        <v>0.18653394270262405</v>
      </c>
      <c r="CJ532" s="120">
        <v>0.18260065334595038</v>
      </c>
      <c r="CK532" s="120">
        <v>0.17865860149128998</v>
      </c>
      <c r="CL532" s="120">
        <v>0.17526390811215062</v>
      </c>
      <c r="CM532" s="120">
        <v>0.16813915975545535</v>
      </c>
      <c r="CN532" s="120">
        <v>0.1679299615790863</v>
      </c>
      <c r="CO532" s="120">
        <v>0.15580981085609072</v>
      </c>
      <c r="CP532" s="120">
        <v>0.15154613340256687</v>
      </c>
      <c r="CQ532" s="120">
        <v>0.14725204775328019</v>
      </c>
      <c r="CR532" s="120">
        <v>0.13838881802242756</v>
      </c>
    </row>
    <row r="533" spans="38:96" ht="12.75" x14ac:dyDescent="0.2">
      <c r="AN533" t="s">
        <v>109</v>
      </c>
      <c r="AO533" s="159">
        <v>20.8</v>
      </c>
      <c r="AP533" s="159">
        <v>19.899999999999999</v>
      </c>
      <c r="AQ533" s="159">
        <v>19.600000000000001</v>
      </c>
      <c r="AR533" s="159">
        <v>19.3</v>
      </c>
      <c r="AS533" s="126">
        <f t="shared" si="401"/>
        <v>19.100000000000001</v>
      </c>
      <c r="AT533" s="159">
        <v>18.899999999999999</v>
      </c>
      <c r="AU533" s="159">
        <v>18.399999999999999</v>
      </c>
      <c r="AV533" s="159">
        <v>17.7</v>
      </c>
      <c r="AW533" s="159">
        <v>17.100000000000001</v>
      </c>
      <c r="AX533" s="159">
        <v>16.600000000000001</v>
      </c>
      <c r="AY533" s="159">
        <v>15.9</v>
      </c>
      <c r="AZ533" s="159">
        <v>15.2</v>
      </c>
      <c r="BA533" s="159">
        <v>14.5</v>
      </c>
      <c r="BC533" s="111">
        <f t="shared" si="414"/>
        <v>0.69999999999999929</v>
      </c>
      <c r="BD533" s="111">
        <f t="shared" si="402"/>
        <v>0.59999999999999787</v>
      </c>
      <c r="BE533" s="111">
        <f t="shared" si="403"/>
        <v>0.70000000000000284</v>
      </c>
      <c r="BF533" s="111">
        <f t="shared" si="404"/>
        <v>0.69999999999999929</v>
      </c>
      <c r="BG533" s="111">
        <f t="shared" si="405"/>
        <v>0.70000000000000284</v>
      </c>
      <c r="BH533" s="111">
        <f t="shared" si="406"/>
        <v>0.69999999999999929</v>
      </c>
      <c r="BI533" s="111">
        <f t="shared" si="407"/>
        <v>0.59999999999999787</v>
      </c>
      <c r="BJ533" s="111">
        <f t="shared" si="408"/>
        <v>0.69999999999999929</v>
      </c>
      <c r="BK533" s="111">
        <f t="shared" si="409"/>
        <v>0.70000000000000284</v>
      </c>
      <c r="BL533" s="111">
        <f t="shared" si="410"/>
        <v>0.60000000000000142</v>
      </c>
      <c r="BM533" s="111">
        <f t="shared" si="411"/>
        <v>0.59999999999999964</v>
      </c>
      <c r="BN533" s="111">
        <f t="shared" si="412"/>
        <v>0.59999999999999964</v>
      </c>
      <c r="BO533" s="111">
        <f t="shared" si="413"/>
        <v>0.59999999999999964</v>
      </c>
      <c r="BR533" s="120">
        <v>6.2327704979653177E-3</v>
      </c>
      <c r="BS533" s="120">
        <v>6.0508323215546413E-3</v>
      </c>
      <c r="BT533" s="120">
        <v>6.267813326679768E-3</v>
      </c>
      <c r="BU533" s="120">
        <v>6.2117382299233326E-3</v>
      </c>
      <c r="BV533" s="120">
        <v>6.4004692933625519E-3</v>
      </c>
      <c r="BW533" s="120">
        <v>6.5922547918222585E-3</v>
      </c>
      <c r="BX533" s="120">
        <v>6.4562162127102937E-3</v>
      </c>
      <c r="BY533" s="120">
        <v>6.6579198731180865E-3</v>
      </c>
      <c r="BZ533" s="120">
        <v>6.6539619112084628E-3</v>
      </c>
      <c r="CA533" s="120">
        <v>7.0848225591708383E-3</v>
      </c>
      <c r="CB533" s="120">
        <v>7.2102894857248188E-3</v>
      </c>
      <c r="CC533" s="120">
        <v>7.8494872125299837E-3</v>
      </c>
      <c r="CD533" s="120">
        <v>9.7230142735900936E-3</v>
      </c>
      <c r="CF533" s="120">
        <v>0.20731256415954674</v>
      </c>
      <c r="CG533" s="120">
        <v>0.19164627383164362</v>
      </c>
      <c r="CH533" s="120">
        <v>0.19413483386834721</v>
      </c>
      <c r="CI533" s="120">
        <v>0.18833074370547909</v>
      </c>
      <c r="CJ533" s="120">
        <v>0.19031480551891927</v>
      </c>
      <c r="CK533" s="120">
        <v>0.19236557251443545</v>
      </c>
      <c r="CL533" s="120">
        <v>0.1810690665236088</v>
      </c>
      <c r="CM533" s="120">
        <v>0.17428694670226655</v>
      </c>
      <c r="CN533" s="120">
        <v>0.16379390949706493</v>
      </c>
      <c r="CO533" s="120">
        <v>0.16487357962003146</v>
      </c>
      <c r="CP533" s="120">
        <v>0.15190662283110254</v>
      </c>
      <c r="CQ533" s="120">
        <v>0.14091494912438671</v>
      </c>
      <c r="CR533" s="120">
        <v>0.13135047401873842</v>
      </c>
    </row>
    <row r="534" spans="38:96" ht="12.75" x14ac:dyDescent="0.2">
      <c r="AN534" t="s">
        <v>110</v>
      </c>
      <c r="AO534" s="159">
        <v>20.6</v>
      </c>
      <c r="AP534" s="159">
        <v>19.8</v>
      </c>
      <c r="AQ534" s="159">
        <v>19.5</v>
      </c>
      <c r="AR534" s="159">
        <v>19.2</v>
      </c>
      <c r="AS534" s="126">
        <f t="shared" si="401"/>
        <v>18.95</v>
      </c>
      <c r="AT534" s="159">
        <v>18.7</v>
      </c>
      <c r="AU534" s="159">
        <v>18.3</v>
      </c>
      <c r="AV534" s="159">
        <v>17.5</v>
      </c>
      <c r="AW534" s="159">
        <v>16.899999999999999</v>
      </c>
      <c r="AX534" s="159">
        <v>16.399999999999999</v>
      </c>
      <c r="AY534" s="159">
        <v>15.7</v>
      </c>
      <c r="AZ534" s="159">
        <v>14.9</v>
      </c>
      <c r="BA534" s="159">
        <v>13.9</v>
      </c>
      <c r="BC534" s="111">
        <f t="shared" si="414"/>
        <v>0.70000000000000284</v>
      </c>
      <c r="BD534" s="111">
        <f t="shared" si="402"/>
        <v>0.69999999999999929</v>
      </c>
      <c r="BE534" s="111">
        <f t="shared" si="403"/>
        <v>0.69999999999999929</v>
      </c>
      <c r="BF534" s="111">
        <f t="shared" si="404"/>
        <v>0.69999999999999929</v>
      </c>
      <c r="BG534" s="111">
        <f t="shared" si="405"/>
        <v>0.69999999999999929</v>
      </c>
      <c r="BH534" s="111">
        <f t="shared" si="406"/>
        <v>0.69999999999999929</v>
      </c>
      <c r="BI534" s="111">
        <f t="shared" si="407"/>
        <v>0.69999999999999929</v>
      </c>
      <c r="BJ534" s="111">
        <f t="shared" si="408"/>
        <v>0.69999999999999929</v>
      </c>
      <c r="BK534" s="111">
        <f t="shared" si="409"/>
        <v>0.69999999999999929</v>
      </c>
      <c r="BL534" s="111">
        <f t="shared" si="410"/>
        <v>0.59999999999999787</v>
      </c>
      <c r="BM534" s="111">
        <f t="shared" si="411"/>
        <v>0.59999999999999964</v>
      </c>
      <c r="BN534" s="111">
        <f t="shared" si="412"/>
        <v>0.59999999999999964</v>
      </c>
      <c r="BO534" s="111">
        <f t="shared" si="413"/>
        <v>0.5</v>
      </c>
      <c r="BR534" s="120">
        <v>5.6702214178921623E-3</v>
      </c>
      <c r="BS534" s="120">
        <v>6.06055139708665E-3</v>
      </c>
      <c r="BT534" s="120">
        <v>5.9590730205365356E-3</v>
      </c>
      <c r="BU534" s="120">
        <v>6.0661510766493827E-3</v>
      </c>
      <c r="BV534" s="120">
        <v>5.8946942006576301E-3</v>
      </c>
      <c r="BW534" s="120">
        <v>5.706653366928818E-3</v>
      </c>
      <c r="BX534" s="120">
        <v>6.1989901674676046E-3</v>
      </c>
      <c r="BY534" s="120">
        <v>6.0824476292333169E-3</v>
      </c>
      <c r="BZ534" s="120">
        <v>6.3901499604256673E-3</v>
      </c>
      <c r="CA534" s="120">
        <v>6.351584144185035E-3</v>
      </c>
      <c r="CB534" s="120">
        <v>6.9466479123418655E-3</v>
      </c>
      <c r="CC534" s="120">
        <v>7.6741617019622111E-3</v>
      </c>
      <c r="CD534" s="120">
        <v>8.9357692239085216E-3</v>
      </c>
      <c r="CF534" s="120">
        <v>0.19269072848204286</v>
      </c>
      <c r="CG534" s="120">
        <v>0.19679763261763605</v>
      </c>
      <c r="CH534" s="120">
        <v>0.18927022366871404</v>
      </c>
      <c r="CI534" s="120">
        <v>0.18847672736111409</v>
      </c>
      <c r="CJ534" s="120">
        <v>0.17903640579990732</v>
      </c>
      <c r="CK534" s="120">
        <v>0.16954964028243827</v>
      </c>
      <c r="CL534" s="120">
        <v>0.1779410919968874</v>
      </c>
      <c r="CM534" s="120">
        <v>0.16238967091316253</v>
      </c>
      <c r="CN534" s="120">
        <v>0.16019659080710719</v>
      </c>
      <c r="CO534" s="120">
        <v>0.15054733875797247</v>
      </c>
      <c r="CP534" s="120">
        <v>0.14913306790749586</v>
      </c>
      <c r="CQ534" s="120">
        <v>0.14002400474780552</v>
      </c>
      <c r="CR534" s="120">
        <v>0.1222842566264682</v>
      </c>
    </row>
    <row r="536" spans="38:96" x14ac:dyDescent="0.2">
      <c r="AO536">
        <v>-0.5</v>
      </c>
      <c r="AP536">
        <v>-0.25</v>
      </c>
      <c r="AQ536">
        <v>-0.13</v>
      </c>
      <c r="AR536">
        <v>0</v>
      </c>
      <c r="AS536">
        <v>0.125</v>
      </c>
      <c r="AT536">
        <v>0.25</v>
      </c>
      <c r="AU536">
        <v>0.5</v>
      </c>
      <c r="AV536">
        <v>1</v>
      </c>
      <c r="AW536">
        <v>1.5</v>
      </c>
      <c r="AX536">
        <v>2</v>
      </c>
      <c r="AY536">
        <v>3</v>
      </c>
      <c r="AZ536">
        <v>5</v>
      </c>
      <c r="BA536">
        <v>10</v>
      </c>
    </row>
    <row r="537" spans="38:96" ht="12.75" x14ac:dyDescent="0.2">
      <c r="AL537" s="105" t="s">
        <v>463</v>
      </c>
      <c r="AN537" t="s">
        <v>25</v>
      </c>
      <c r="AO537" s="159">
        <v>9.4</v>
      </c>
      <c r="AP537" s="159">
        <v>7.7</v>
      </c>
      <c r="AQ537" s="159">
        <v>8.8000000000000007</v>
      </c>
      <c r="AR537" s="159">
        <v>10.3</v>
      </c>
      <c r="AS537" s="126">
        <f t="shared" ref="AS537:AS551" si="415">(AR537+AT537)/2</f>
        <v>11.7</v>
      </c>
      <c r="AT537" s="159">
        <v>13.1</v>
      </c>
      <c r="AU537" s="159">
        <v>15.7</v>
      </c>
      <c r="AV537" s="159">
        <v>20</v>
      </c>
      <c r="AW537" s="159">
        <v>23.7</v>
      </c>
      <c r="AX537" s="159">
        <v>26.8</v>
      </c>
      <c r="AY537" s="159">
        <v>32</v>
      </c>
      <c r="AZ537" s="159">
        <v>39.6</v>
      </c>
      <c r="BA537" s="159">
        <v>51.4</v>
      </c>
      <c r="BC537" s="111">
        <f>AO537-AO520</f>
        <v>-9.9999999999999645E-2</v>
      </c>
      <c r="BD537" s="111">
        <f t="shared" ref="BD537:BD551" si="416">AP537-AP520</f>
        <v>-0.39999999999999947</v>
      </c>
      <c r="BE537" s="111">
        <f t="shared" ref="BE537:BE551" si="417">AQ537-AQ520</f>
        <v>-0.29999999999999893</v>
      </c>
      <c r="BF537" s="111">
        <f t="shared" ref="BF537:BF551" si="418">AR537-AR520</f>
        <v>-0.29999999999999893</v>
      </c>
      <c r="BG537" s="111">
        <f t="shared" ref="BG537:BG551" si="419">AS537-AS520</f>
        <v>-0.35000000000000142</v>
      </c>
      <c r="BH537" s="111">
        <f t="shared" ref="BH537:BH551" si="420">AT537-AT520</f>
        <v>-0.40000000000000036</v>
      </c>
      <c r="BI537" s="111">
        <f t="shared" ref="BI537:BI551" si="421">AU537-AU520</f>
        <v>-0.30000000000000071</v>
      </c>
      <c r="BJ537" s="111">
        <f t="shared" ref="BJ537:BJ551" si="422">AV537-AV520</f>
        <v>-0.39999999999999858</v>
      </c>
      <c r="BK537" s="111">
        <f t="shared" ref="BK537:BK551" si="423">AW537-AW520</f>
        <v>-0.40000000000000213</v>
      </c>
      <c r="BL537" s="111">
        <f t="shared" ref="BL537:BL551" si="424">AX537-AX520</f>
        <v>-0.39999999999999858</v>
      </c>
      <c r="BM537" s="111">
        <f t="shared" ref="BM537:BM551" si="425">AY537-AY520</f>
        <v>-0.39999999999999858</v>
      </c>
      <c r="BN537" s="111">
        <f t="shared" ref="BN537:BN551" si="426">AZ537-AZ520</f>
        <v>-0.5</v>
      </c>
      <c r="BO537" s="111">
        <f t="shared" ref="BO537:BO551" si="427">BA537-BA520</f>
        <v>-0.60000000000000142</v>
      </c>
    </row>
    <row r="538" spans="38:96" ht="12.75" x14ac:dyDescent="0.2">
      <c r="AN538" t="s">
        <v>157</v>
      </c>
      <c r="AO538" s="159">
        <v>11.2</v>
      </c>
      <c r="AP538" s="159">
        <v>10.3</v>
      </c>
      <c r="AQ538" s="159">
        <v>11.3</v>
      </c>
      <c r="AR538" s="159">
        <v>12.6</v>
      </c>
      <c r="AS538" s="126">
        <f t="shared" si="415"/>
        <v>13.85</v>
      </c>
      <c r="AT538" s="159">
        <v>15.1</v>
      </c>
      <c r="AU538" s="159">
        <v>17.399999999999999</v>
      </c>
      <c r="AV538" s="159">
        <v>21.2</v>
      </c>
      <c r="AW538" s="159">
        <v>24.3</v>
      </c>
      <c r="AX538" s="159">
        <v>26.9</v>
      </c>
      <c r="AY538" s="159">
        <v>31.3</v>
      </c>
      <c r="AZ538" s="159">
        <v>37.5</v>
      </c>
      <c r="BA538" s="159">
        <v>46.7</v>
      </c>
      <c r="BC538" s="111">
        <f t="shared" ref="BC538:BC551" si="428">AO538-AO521</f>
        <v>-0.30000000000000071</v>
      </c>
      <c r="BD538" s="111">
        <f t="shared" si="416"/>
        <v>-0.29999999999999893</v>
      </c>
      <c r="BE538" s="111">
        <f t="shared" si="417"/>
        <v>-0.39999999999999858</v>
      </c>
      <c r="BF538" s="111">
        <f t="shared" si="418"/>
        <v>-0.40000000000000036</v>
      </c>
      <c r="BG538" s="111">
        <f t="shared" si="419"/>
        <v>-0.40000000000000036</v>
      </c>
      <c r="BH538" s="111">
        <f t="shared" si="420"/>
        <v>-0.40000000000000036</v>
      </c>
      <c r="BI538" s="111">
        <f t="shared" si="421"/>
        <v>-0.30000000000000071</v>
      </c>
      <c r="BJ538" s="111">
        <f t="shared" si="422"/>
        <v>-0.30000000000000071</v>
      </c>
      <c r="BK538" s="111">
        <f t="shared" si="423"/>
        <v>-0.30000000000000071</v>
      </c>
      <c r="BL538" s="111">
        <f t="shared" si="424"/>
        <v>-0.40000000000000213</v>
      </c>
      <c r="BM538" s="111">
        <f t="shared" si="425"/>
        <v>-0.30000000000000071</v>
      </c>
      <c r="BN538" s="111">
        <f t="shared" si="426"/>
        <v>-0.39999999999999858</v>
      </c>
      <c r="BO538" s="111">
        <f t="shared" si="427"/>
        <v>-0.5</v>
      </c>
    </row>
    <row r="539" spans="38:96" ht="12.75" x14ac:dyDescent="0.2">
      <c r="AN539" t="s">
        <v>99</v>
      </c>
      <c r="AO539" s="159">
        <v>14.1</v>
      </c>
      <c r="AP539" s="159">
        <v>12.3</v>
      </c>
      <c r="AQ539" s="159">
        <v>12.3</v>
      </c>
      <c r="AR539" s="159">
        <v>12.9</v>
      </c>
      <c r="AS539" s="126">
        <f t="shared" si="415"/>
        <v>13.55</v>
      </c>
      <c r="AT539" s="159">
        <v>14.2</v>
      </c>
      <c r="AU539" s="159">
        <v>15.5</v>
      </c>
      <c r="AV539" s="159">
        <v>17.600000000000001</v>
      </c>
      <c r="AW539" s="159">
        <v>19.399999999999999</v>
      </c>
      <c r="AX539" s="159">
        <v>21</v>
      </c>
      <c r="AY539" s="159">
        <v>23.7</v>
      </c>
      <c r="AZ539" s="159">
        <v>27.7</v>
      </c>
      <c r="BA539" s="159">
        <v>34</v>
      </c>
      <c r="BC539" s="111">
        <f t="shared" si="428"/>
        <v>-0.30000000000000071</v>
      </c>
      <c r="BD539" s="111">
        <f t="shared" si="416"/>
        <v>-0.39999999999999858</v>
      </c>
      <c r="BE539" s="111">
        <f t="shared" si="417"/>
        <v>-0.39999999999999858</v>
      </c>
      <c r="BF539" s="111">
        <f t="shared" si="418"/>
        <v>-0.40000000000000036</v>
      </c>
      <c r="BG539" s="111">
        <f t="shared" si="419"/>
        <v>-0.44999999999999929</v>
      </c>
      <c r="BH539" s="111">
        <f t="shared" si="420"/>
        <v>-0.5</v>
      </c>
      <c r="BI539" s="111">
        <f t="shared" si="421"/>
        <v>-0.40000000000000036</v>
      </c>
      <c r="BJ539" s="111">
        <f t="shared" si="422"/>
        <v>-0.39999999999999858</v>
      </c>
      <c r="BK539" s="111">
        <f t="shared" si="423"/>
        <v>-0.40000000000000213</v>
      </c>
      <c r="BL539" s="111">
        <f t="shared" si="424"/>
        <v>-0.39999999999999858</v>
      </c>
      <c r="BM539" s="111">
        <f t="shared" si="425"/>
        <v>-0.30000000000000071</v>
      </c>
      <c r="BN539" s="111">
        <f t="shared" si="426"/>
        <v>-0.30000000000000071</v>
      </c>
      <c r="BO539" s="111">
        <f t="shared" si="427"/>
        <v>-0.29999999999999716</v>
      </c>
    </row>
    <row r="540" spans="38:96" ht="12.75" x14ac:dyDescent="0.2">
      <c r="AN540" t="s">
        <v>101</v>
      </c>
      <c r="AO540" s="159">
        <v>16.2</v>
      </c>
      <c r="AP540" s="159">
        <v>14.7</v>
      </c>
      <c r="AQ540" s="159">
        <v>14.6</v>
      </c>
      <c r="AR540" s="159">
        <v>15</v>
      </c>
      <c r="AS540" s="126">
        <f t="shared" si="415"/>
        <v>15.5</v>
      </c>
      <c r="AT540" s="159">
        <v>16</v>
      </c>
      <c r="AU540" s="159">
        <v>17</v>
      </c>
      <c r="AV540" s="159">
        <v>18.7</v>
      </c>
      <c r="AW540" s="159">
        <v>20.3</v>
      </c>
      <c r="AX540" s="159">
        <v>21.6</v>
      </c>
      <c r="AY540" s="159">
        <v>23.9</v>
      </c>
      <c r="AZ540" s="159">
        <v>27.2</v>
      </c>
      <c r="BA540" s="159">
        <v>31.9</v>
      </c>
      <c r="BC540" s="111">
        <f t="shared" si="428"/>
        <v>-0.40000000000000213</v>
      </c>
      <c r="BD540" s="111">
        <f t="shared" si="416"/>
        <v>-0.30000000000000071</v>
      </c>
      <c r="BE540" s="111">
        <f t="shared" si="417"/>
        <v>-0.40000000000000036</v>
      </c>
      <c r="BF540" s="111">
        <f t="shared" si="418"/>
        <v>-0.40000000000000036</v>
      </c>
      <c r="BG540" s="111">
        <f t="shared" si="419"/>
        <v>-0.39999999999999858</v>
      </c>
      <c r="BH540" s="111">
        <f t="shared" si="420"/>
        <v>-0.39999999999999858</v>
      </c>
      <c r="BI540" s="111">
        <f t="shared" si="421"/>
        <v>-0.30000000000000071</v>
      </c>
      <c r="BJ540" s="111">
        <f t="shared" si="422"/>
        <v>-0.30000000000000071</v>
      </c>
      <c r="BK540" s="111">
        <f t="shared" si="423"/>
        <v>-0.19999999999999929</v>
      </c>
      <c r="BL540" s="111">
        <f t="shared" si="424"/>
        <v>-0.19999999999999929</v>
      </c>
      <c r="BM540" s="111">
        <f t="shared" si="425"/>
        <v>-0.20000000000000284</v>
      </c>
      <c r="BN540" s="111">
        <f t="shared" si="426"/>
        <v>-0.10000000000000142</v>
      </c>
      <c r="BO540" s="111">
        <f t="shared" si="427"/>
        <v>-0.10000000000000142</v>
      </c>
    </row>
    <row r="541" spans="38:96" ht="12.75" x14ac:dyDescent="0.2">
      <c r="AN541" t="s">
        <v>102</v>
      </c>
      <c r="AO541" s="159">
        <v>18.2</v>
      </c>
      <c r="AP541" s="159">
        <v>16.7</v>
      </c>
      <c r="AQ541" s="159">
        <v>16.5</v>
      </c>
      <c r="AR541" s="159">
        <v>16.8</v>
      </c>
      <c r="AS541" s="126">
        <f t="shared" si="415"/>
        <v>17.100000000000001</v>
      </c>
      <c r="AT541" s="159">
        <v>17.399999999999999</v>
      </c>
      <c r="AU541" s="159">
        <v>18</v>
      </c>
      <c r="AV541" s="159">
        <v>19.2</v>
      </c>
      <c r="AW541" s="159">
        <v>20.2</v>
      </c>
      <c r="AX541" s="159">
        <v>21.2</v>
      </c>
      <c r="AY541" s="159">
        <v>22.8</v>
      </c>
      <c r="AZ541" s="159">
        <v>25.4</v>
      </c>
      <c r="BA541" s="159">
        <v>29.1</v>
      </c>
      <c r="BC541" s="111">
        <f t="shared" si="428"/>
        <v>-0.30000000000000071</v>
      </c>
      <c r="BD541" s="111">
        <f t="shared" si="416"/>
        <v>-0.30000000000000071</v>
      </c>
      <c r="BE541" s="111">
        <f t="shared" si="417"/>
        <v>-0.30000000000000071</v>
      </c>
      <c r="BF541" s="111">
        <f t="shared" si="418"/>
        <v>-0.19999999999999929</v>
      </c>
      <c r="BG541" s="111">
        <f t="shared" si="419"/>
        <v>-0.19999999999999929</v>
      </c>
      <c r="BH541" s="111">
        <f t="shared" si="420"/>
        <v>-0.20000000000000284</v>
      </c>
      <c r="BI541" s="111">
        <f t="shared" si="421"/>
        <v>-0.19999999999999929</v>
      </c>
      <c r="BJ541" s="111">
        <f t="shared" si="422"/>
        <v>-0.10000000000000142</v>
      </c>
      <c r="BK541" s="111">
        <f t="shared" si="423"/>
        <v>-0.10000000000000142</v>
      </c>
      <c r="BL541" s="111">
        <f t="shared" si="424"/>
        <v>0</v>
      </c>
      <c r="BM541" s="111">
        <f t="shared" si="425"/>
        <v>0</v>
      </c>
      <c r="BN541" s="111">
        <f t="shared" si="426"/>
        <v>0</v>
      </c>
      <c r="BO541" s="111">
        <f t="shared" si="427"/>
        <v>0</v>
      </c>
    </row>
    <row r="542" spans="38:96" ht="12.75" x14ac:dyDescent="0.2">
      <c r="AN542" t="s">
        <v>103</v>
      </c>
      <c r="AO542" s="159">
        <v>19.600000000000001</v>
      </c>
      <c r="AP542" s="159">
        <v>18.100000000000001</v>
      </c>
      <c r="AQ542" s="159">
        <v>17.899999999999999</v>
      </c>
      <c r="AR542" s="159">
        <v>18</v>
      </c>
      <c r="AS542" s="126">
        <f t="shared" si="415"/>
        <v>18.2</v>
      </c>
      <c r="AT542" s="159">
        <v>18.399999999999999</v>
      </c>
      <c r="AU542" s="159">
        <v>18.7</v>
      </c>
      <c r="AV542" s="159">
        <v>19.399999999999999</v>
      </c>
      <c r="AW542" s="159">
        <v>20</v>
      </c>
      <c r="AX542" s="159">
        <v>20.6</v>
      </c>
      <c r="AY542" s="159">
        <v>21.8</v>
      </c>
      <c r="AZ542" s="159">
        <v>23.8</v>
      </c>
      <c r="BA542" s="159">
        <v>26.7</v>
      </c>
      <c r="BC542" s="111">
        <f t="shared" si="428"/>
        <v>-9.9999999999997868E-2</v>
      </c>
      <c r="BD542" s="111">
        <f t="shared" si="416"/>
        <v>-0.19999999999999929</v>
      </c>
      <c r="BE542" s="111">
        <f t="shared" si="417"/>
        <v>-0.20000000000000284</v>
      </c>
      <c r="BF542" s="111">
        <f t="shared" si="418"/>
        <v>-0.19999999999999929</v>
      </c>
      <c r="BG542" s="111">
        <f t="shared" si="419"/>
        <v>-0.15000000000000213</v>
      </c>
      <c r="BH542" s="111">
        <f t="shared" si="420"/>
        <v>-0.10000000000000142</v>
      </c>
      <c r="BI542" s="111">
        <f t="shared" si="421"/>
        <v>-0.10000000000000142</v>
      </c>
      <c r="BJ542" s="111">
        <f t="shared" si="422"/>
        <v>0</v>
      </c>
      <c r="BK542" s="111">
        <f t="shared" si="423"/>
        <v>0</v>
      </c>
      <c r="BL542" s="111">
        <f t="shared" si="424"/>
        <v>0</v>
      </c>
      <c r="BM542" s="111">
        <f t="shared" si="425"/>
        <v>0.10000000000000142</v>
      </c>
      <c r="BN542" s="111">
        <f t="shared" si="426"/>
        <v>0.10000000000000142</v>
      </c>
      <c r="BO542" s="111">
        <f t="shared" si="427"/>
        <v>9.9999999999997868E-2</v>
      </c>
    </row>
    <row r="543" spans="38:96" ht="12.75" x14ac:dyDescent="0.2">
      <c r="AN543" t="s">
        <v>104</v>
      </c>
      <c r="AO543" s="159">
        <v>20.5</v>
      </c>
      <c r="AP543" s="159">
        <v>19.100000000000001</v>
      </c>
      <c r="AQ543" s="159">
        <v>18.899999999999999</v>
      </c>
      <c r="AR543" s="159">
        <v>18.899999999999999</v>
      </c>
      <c r="AS543" s="126">
        <f t="shared" si="415"/>
        <v>18.95</v>
      </c>
      <c r="AT543" s="159">
        <v>19</v>
      </c>
      <c r="AU543" s="159">
        <v>19.2</v>
      </c>
      <c r="AV543" s="159">
        <v>19.399999999999999</v>
      </c>
      <c r="AW543" s="159">
        <v>19.7</v>
      </c>
      <c r="AX543" s="159">
        <v>20.100000000000001</v>
      </c>
      <c r="AY543" s="159">
        <v>20.8</v>
      </c>
      <c r="AZ543" s="159">
        <v>22.2</v>
      </c>
      <c r="BA543" s="159">
        <v>24.5</v>
      </c>
      <c r="BC543" s="111">
        <f t="shared" si="428"/>
        <v>-0.10000000000000142</v>
      </c>
      <c r="BD543" s="111">
        <f t="shared" si="416"/>
        <v>-9.9999999999997868E-2</v>
      </c>
      <c r="BE543" s="111">
        <f t="shared" si="417"/>
        <v>-0.10000000000000142</v>
      </c>
      <c r="BF543" s="111">
        <f t="shared" si="418"/>
        <v>-0.10000000000000142</v>
      </c>
      <c r="BG543" s="111">
        <f t="shared" si="419"/>
        <v>-0.10000000000000142</v>
      </c>
      <c r="BH543" s="111">
        <f t="shared" si="420"/>
        <v>-0.10000000000000142</v>
      </c>
      <c r="BI543" s="111">
        <f t="shared" si="421"/>
        <v>0</v>
      </c>
      <c r="BJ543" s="111">
        <f t="shared" si="422"/>
        <v>0</v>
      </c>
      <c r="BK543" s="111">
        <f t="shared" si="423"/>
        <v>9.9999999999997868E-2</v>
      </c>
      <c r="BL543" s="111">
        <f t="shared" si="424"/>
        <v>0.20000000000000284</v>
      </c>
      <c r="BM543" s="111">
        <f t="shared" si="425"/>
        <v>0.19999999999999929</v>
      </c>
      <c r="BN543" s="111">
        <f t="shared" si="426"/>
        <v>0.19999999999999929</v>
      </c>
      <c r="BO543" s="111">
        <f t="shared" si="427"/>
        <v>0.10000000000000142</v>
      </c>
    </row>
    <row r="544" spans="38:96" ht="12.75" x14ac:dyDescent="0.2">
      <c r="AN544" t="s">
        <v>105</v>
      </c>
      <c r="AO544" s="159">
        <v>21.2</v>
      </c>
      <c r="AP544" s="159">
        <v>19.8</v>
      </c>
      <c r="AQ544" s="159">
        <v>19.5</v>
      </c>
      <c r="AR544" s="159">
        <v>19.399999999999999</v>
      </c>
      <c r="AS544" s="126">
        <f t="shared" si="415"/>
        <v>19.399999999999999</v>
      </c>
      <c r="AT544" s="159">
        <v>19.399999999999999</v>
      </c>
      <c r="AU544" s="159">
        <v>19.399999999999999</v>
      </c>
      <c r="AV544" s="159">
        <v>19.399999999999999</v>
      </c>
      <c r="AW544" s="159">
        <v>19.5</v>
      </c>
      <c r="AX544" s="159">
        <v>19.5</v>
      </c>
      <c r="AY544" s="159">
        <v>19.899999999999999</v>
      </c>
      <c r="AZ544" s="159">
        <v>20.8</v>
      </c>
      <c r="BA544" s="159">
        <v>22.7</v>
      </c>
      <c r="BC544" s="111">
        <f t="shared" si="428"/>
        <v>-0.10000000000000142</v>
      </c>
      <c r="BD544" s="111">
        <f t="shared" si="416"/>
        <v>-9.9999999999997868E-2</v>
      </c>
      <c r="BE544" s="111">
        <f t="shared" si="417"/>
        <v>-0.10000000000000142</v>
      </c>
      <c r="BF544" s="111">
        <f t="shared" si="418"/>
        <v>-0.10000000000000142</v>
      </c>
      <c r="BG544" s="111">
        <f t="shared" si="419"/>
        <v>-0.10000000000000142</v>
      </c>
      <c r="BH544" s="111">
        <f t="shared" si="420"/>
        <v>-0.10000000000000142</v>
      </c>
      <c r="BI544" s="111">
        <f t="shared" si="421"/>
        <v>0</v>
      </c>
      <c r="BJ544" s="111">
        <f t="shared" si="422"/>
        <v>9.9999999999997868E-2</v>
      </c>
      <c r="BK544" s="111">
        <f t="shared" si="423"/>
        <v>0.19999999999999929</v>
      </c>
      <c r="BL544" s="111">
        <f t="shared" si="424"/>
        <v>0.10000000000000142</v>
      </c>
      <c r="BM544" s="111">
        <f t="shared" si="425"/>
        <v>0.19999999999999929</v>
      </c>
      <c r="BN544" s="111">
        <f t="shared" si="426"/>
        <v>0.19999999999999929</v>
      </c>
      <c r="BO544" s="111">
        <f t="shared" si="427"/>
        <v>0.19999999999999929</v>
      </c>
    </row>
    <row r="545" spans="38:96" ht="12.75" x14ac:dyDescent="0.2">
      <c r="AN545" t="s">
        <v>106</v>
      </c>
      <c r="AO545" s="159">
        <v>21.6</v>
      </c>
      <c r="AP545" s="159">
        <v>20.3</v>
      </c>
      <c r="AQ545" s="159">
        <v>20</v>
      </c>
      <c r="AR545" s="159">
        <v>19.8</v>
      </c>
      <c r="AS545" s="126">
        <f t="shared" si="415"/>
        <v>19.75</v>
      </c>
      <c r="AT545" s="159">
        <v>19.7</v>
      </c>
      <c r="AU545" s="159">
        <v>19.600000000000001</v>
      </c>
      <c r="AV545" s="159">
        <v>19.3</v>
      </c>
      <c r="AW545" s="159">
        <v>19.2</v>
      </c>
      <c r="AX545" s="159">
        <v>19.100000000000001</v>
      </c>
      <c r="AY545" s="159">
        <v>19.3</v>
      </c>
      <c r="AZ545" s="159">
        <v>20</v>
      </c>
      <c r="BA545" s="159">
        <v>21.6</v>
      </c>
      <c r="BC545" s="111">
        <f t="shared" si="428"/>
        <v>0</v>
      </c>
      <c r="BD545" s="111">
        <f t="shared" si="416"/>
        <v>0</v>
      </c>
      <c r="BE545" s="111">
        <f t="shared" si="417"/>
        <v>0</v>
      </c>
      <c r="BF545" s="111">
        <f t="shared" si="418"/>
        <v>0</v>
      </c>
      <c r="BG545" s="111">
        <f t="shared" si="419"/>
        <v>0</v>
      </c>
      <c r="BH545" s="111">
        <f t="shared" si="420"/>
        <v>0</v>
      </c>
      <c r="BI545" s="111">
        <f t="shared" si="421"/>
        <v>0.10000000000000142</v>
      </c>
      <c r="BJ545" s="111">
        <f t="shared" si="422"/>
        <v>0.10000000000000142</v>
      </c>
      <c r="BK545" s="111">
        <f t="shared" si="423"/>
        <v>0.19999999999999929</v>
      </c>
      <c r="BL545" s="111">
        <f t="shared" si="424"/>
        <v>0.20000000000000284</v>
      </c>
      <c r="BM545" s="111">
        <f t="shared" si="425"/>
        <v>0.30000000000000071</v>
      </c>
      <c r="BN545" s="111">
        <f t="shared" si="426"/>
        <v>0.30000000000000071</v>
      </c>
      <c r="BO545" s="111">
        <f t="shared" si="427"/>
        <v>0.30000000000000071</v>
      </c>
    </row>
    <row r="546" spans="38:96" ht="12.75" x14ac:dyDescent="0.2">
      <c r="AN546" t="s">
        <v>79</v>
      </c>
      <c r="AO546" s="159">
        <v>21.8</v>
      </c>
      <c r="AP546" s="159">
        <v>20.5</v>
      </c>
      <c r="AQ546" s="159">
        <v>20.2</v>
      </c>
      <c r="AR546" s="159">
        <v>20</v>
      </c>
      <c r="AS546" s="126">
        <f t="shared" si="415"/>
        <v>19.899999999999999</v>
      </c>
      <c r="AT546" s="159">
        <v>19.8</v>
      </c>
      <c r="AU546" s="159">
        <v>19.600000000000001</v>
      </c>
      <c r="AV546" s="159">
        <v>19.2</v>
      </c>
      <c r="AW546" s="159">
        <v>19</v>
      </c>
      <c r="AX546" s="159">
        <v>18.8</v>
      </c>
      <c r="AY546" s="159">
        <v>18.7</v>
      </c>
      <c r="AZ546" s="159">
        <v>19.2</v>
      </c>
      <c r="BA546" s="159">
        <v>20.399999999999999</v>
      </c>
      <c r="BC546" s="111">
        <f t="shared" si="428"/>
        <v>0</v>
      </c>
      <c r="BD546" s="111">
        <f t="shared" si="416"/>
        <v>0</v>
      </c>
      <c r="BE546" s="111">
        <f t="shared" si="417"/>
        <v>0</v>
      </c>
      <c r="BF546" s="111">
        <f t="shared" si="418"/>
        <v>0</v>
      </c>
      <c r="BG546" s="111">
        <f t="shared" si="419"/>
        <v>4.9999999999997158E-2</v>
      </c>
      <c r="BH546" s="111">
        <f t="shared" si="420"/>
        <v>0.10000000000000142</v>
      </c>
      <c r="BI546" s="111">
        <f t="shared" si="421"/>
        <v>0.10000000000000142</v>
      </c>
      <c r="BJ546" s="111">
        <f t="shared" si="422"/>
        <v>9.9999999999997868E-2</v>
      </c>
      <c r="BK546" s="111">
        <f t="shared" si="423"/>
        <v>0.19999999999999929</v>
      </c>
      <c r="BL546" s="111">
        <f t="shared" si="424"/>
        <v>0.19999999999999929</v>
      </c>
      <c r="BM546" s="111">
        <f t="shared" si="425"/>
        <v>0.19999999999999929</v>
      </c>
      <c r="BN546" s="111">
        <f t="shared" si="426"/>
        <v>0.30000000000000071</v>
      </c>
      <c r="BO546" s="111">
        <f t="shared" si="427"/>
        <v>0.19999999999999929</v>
      </c>
    </row>
    <row r="547" spans="38:96" ht="12.75" x14ac:dyDescent="0.2">
      <c r="AN547" t="s">
        <v>159</v>
      </c>
      <c r="AO547" s="159">
        <v>21.9</v>
      </c>
      <c r="AP547" s="159">
        <v>20.7</v>
      </c>
      <c r="AQ547" s="159">
        <v>20.3</v>
      </c>
      <c r="AR547" s="159">
        <v>20.100000000000001</v>
      </c>
      <c r="AS547" s="126">
        <f t="shared" si="415"/>
        <v>19.950000000000003</v>
      </c>
      <c r="AT547" s="159">
        <v>19.8</v>
      </c>
      <c r="AU547" s="159">
        <v>19.5</v>
      </c>
      <c r="AV547" s="159">
        <v>18.899999999999999</v>
      </c>
      <c r="AW547" s="159">
        <v>18.5</v>
      </c>
      <c r="AX547" s="159">
        <v>18.2</v>
      </c>
      <c r="AY547" s="159">
        <v>17.899999999999999</v>
      </c>
      <c r="AZ547" s="159">
        <v>17.899999999999999</v>
      </c>
      <c r="BA547" s="159">
        <v>18.600000000000001</v>
      </c>
      <c r="BC547" s="111">
        <f t="shared" si="428"/>
        <v>9.9999999999997868E-2</v>
      </c>
      <c r="BD547" s="111">
        <f t="shared" si="416"/>
        <v>9.9999999999997868E-2</v>
      </c>
      <c r="BE547" s="111">
        <f t="shared" si="417"/>
        <v>0.10000000000000142</v>
      </c>
      <c r="BF547" s="111">
        <f t="shared" si="418"/>
        <v>0.10000000000000142</v>
      </c>
      <c r="BG547" s="111">
        <f t="shared" si="419"/>
        <v>0.15000000000000213</v>
      </c>
      <c r="BH547" s="111">
        <f t="shared" si="420"/>
        <v>0.19999999999999929</v>
      </c>
      <c r="BI547" s="111">
        <f t="shared" si="421"/>
        <v>0.19999999999999929</v>
      </c>
      <c r="BJ547" s="111">
        <f t="shared" si="422"/>
        <v>0.19999999999999929</v>
      </c>
      <c r="BK547" s="111">
        <f t="shared" si="423"/>
        <v>0.19999999999999929</v>
      </c>
      <c r="BL547" s="111">
        <f t="shared" si="424"/>
        <v>0.30000000000000071</v>
      </c>
      <c r="BM547" s="111">
        <f t="shared" si="425"/>
        <v>0.29999999999999716</v>
      </c>
      <c r="BN547" s="111">
        <f t="shared" si="426"/>
        <v>0.29999999999999716</v>
      </c>
      <c r="BO547" s="111">
        <f t="shared" si="427"/>
        <v>0.20000000000000284</v>
      </c>
    </row>
    <row r="548" spans="38:96" ht="12.75" x14ac:dyDescent="0.2">
      <c r="AN548" t="s">
        <v>107</v>
      </c>
      <c r="AO548" s="159">
        <v>21.7</v>
      </c>
      <c r="AP548" s="159">
        <v>20.6</v>
      </c>
      <c r="AQ548" s="159">
        <v>20.2</v>
      </c>
      <c r="AR548" s="159">
        <v>20</v>
      </c>
      <c r="AS548" s="126">
        <f t="shared" si="415"/>
        <v>19.75</v>
      </c>
      <c r="AT548" s="159">
        <v>19.5</v>
      </c>
      <c r="AU548" s="159">
        <v>19.2</v>
      </c>
      <c r="AV548" s="159">
        <v>18.5</v>
      </c>
      <c r="AW548" s="159">
        <v>18</v>
      </c>
      <c r="AX548" s="159">
        <v>17.600000000000001</v>
      </c>
      <c r="AY548" s="159">
        <v>17.100000000000001</v>
      </c>
      <c r="AZ548" s="159">
        <v>16.8</v>
      </c>
      <c r="BA548" s="159">
        <v>16.899999999999999</v>
      </c>
      <c r="BC548" s="111">
        <f t="shared" si="428"/>
        <v>0.19999999999999929</v>
      </c>
      <c r="BD548" s="111">
        <f t="shared" si="416"/>
        <v>0.20000000000000284</v>
      </c>
      <c r="BE548" s="111">
        <f t="shared" si="417"/>
        <v>9.9999999999997868E-2</v>
      </c>
      <c r="BF548" s="111">
        <f t="shared" si="418"/>
        <v>0.19999999999999929</v>
      </c>
      <c r="BG548" s="111">
        <f t="shared" si="419"/>
        <v>0.14999999999999858</v>
      </c>
      <c r="BH548" s="111">
        <f t="shared" si="420"/>
        <v>0.10000000000000142</v>
      </c>
      <c r="BI548" s="111">
        <f t="shared" si="421"/>
        <v>0.19999999999999929</v>
      </c>
      <c r="BJ548" s="111">
        <f t="shared" si="422"/>
        <v>0.19999999999999929</v>
      </c>
      <c r="BK548" s="111">
        <f t="shared" si="423"/>
        <v>0.30000000000000071</v>
      </c>
      <c r="BL548" s="111">
        <f t="shared" si="424"/>
        <v>0.30000000000000071</v>
      </c>
      <c r="BM548" s="111">
        <f t="shared" si="425"/>
        <v>0.30000000000000071</v>
      </c>
      <c r="BN548" s="111">
        <f t="shared" si="426"/>
        <v>0.40000000000000213</v>
      </c>
      <c r="BO548" s="111">
        <f t="shared" si="427"/>
        <v>0.29999999999999716</v>
      </c>
    </row>
    <row r="549" spans="38:96" ht="12.75" x14ac:dyDescent="0.2">
      <c r="AN549" t="s">
        <v>108</v>
      </c>
      <c r="AO549" s="159">
        <v>21.3</v>
      </c>
      <c r="AP549" s="159">
        <v>20.3</v>
      </c>
      <c r="AQ549" s="159">
        <v>20</v>
      </c>
      <c r="AR549" s="159">
        <v>19.7</v>
      </c>
      <c r="AS549" s="126">
        <f t="shared" si="415"/>
        <v>19.5</v>
      </c>
      <c r="AT549" s="159">
        <v>19.3</v>
      </c>
      <c r="AU549" s="159">
        <v>18.899999999999999</v>
      </c>
      <c r="AV549" s="159">
        <v>18.2</v>
      </c>
      <c r="AW549" s="159">
        <v>17.600000000000001</v>
      </c>
      <c r="AX549" s="159">
        <v>17.2</v>
      </c>
      <c r="AY549" s="159">
        <v>16.5</v>
      </c>
      <c r="AZ549" s="159">
        <v>15.9</v>
      </c>
      <c r="BA549" s="159">
        <v>15.5</v>
      </c>
      <c r="BC549" s="111">
        <f t="shared" si="428"/>
        <v>0.30000000000000071</v>
      </c>
      <c r="BD549" s="111">
        <f t="shared" si="416"/>
        <v>0.19999999999999929</v>
      </c>
      <c r="BE549" s="111">
        <f t="shared" si="417"/>
        <v>0.19999999999999929</v>
      </c>
      <c r="BF549" s="111">
        <f t="shared" si="418"/>
        <v>0.19999999999999929</v>
      </c>
      <c r="BG549" s="111">
        <f t="shared" si="419"/>
        <v>0.25</v>
      </c>
      <c r="BH549" s="111">
        <f t="shared" si="420"/>
        <v>0.30000000000000071</v>
      </c>
      <c r="BI549" s="111">
        <f t="shared" si="421"/>
        <v>0.29999999999999716</v>
      </c>
      <c r="BJ549" s="111">
        <f t="shared" si="422"/>
        <v>0.30000000000000071</v>
      </c>
      <c r="BK549" s="111">
        <f t="shared" si="423"/>
        <v>0.30000000000000071</v>
      </c>
      <c r="BL549" s="111">
        <f t="shared" si="424"/>
        <v>0.39999999999999858</v>
      </c>
      <c r="BM549" s="111">
        <f t="shared" si="425"/>
        <v>0.30000000000000071</v>
      </c>
      <c r="BN549" s="111">
        <f t="shared" si="426"/>
        <v>0.30000000000000071</v>
      </c>
      <c r="BO549" s="111">
        <f t="shared" si="427"/>
        <v>0.30000000000000071</v>
      </c>
    </row>
    <row r="550" spans="38:96" ht="12.75" x14ac:dyDescent="0.2">
      <c r="AN550" t="s">
        <v>109</v>
      </c>
      <c r="AO550" s="159">
        <v>21.1</v>
      </c>
      <c r="AP550" s="159">
        <v>20.2</v>
      </c>
      <c r="AQ550" s="159">
        <v>19.899999999999999</v>
      </c>
      <c r="AR550" s="159">
        <v>19.600000000000001</v>
      </c>
      <c r="AS550" s="126">
        <f t="shared" si="415"/>
        <v>19.350000000000001</v>
      </c>
      <c r="AT550" s="159">
        <v>19.100000000000001</v>
      </c>
      <c r="AU550" s="159">
        <v>18.7</v>
      </c>
      <c r="AV550" s="159">
        <v>18</v>
      </c>
      <c r="AW550" s="159">
        <v>17.399999999999999</v>
      </c>
      <c r="AX550" s="159">
        <v>16.899999999999999</v>
      </c>
      <c r="AY550" s="159">
        <v>16.3</v>
      </c>
      <c r="AZ550" s="159">
        <v>15.5</v>
      </c>
      <c r="BA550" s="159">
        <v>14.7</v>
      </c>
      <c r="BC550" s="111">
        <f t="shared" si="428"/>
        <v>0.30000000000000071</v>
      </c>
      <c r="BD550" s="111">
        <f t="shared" si="416"/>
        <v>0.30000000000000071</v>
      </c>
      <c r="BE550" s="111">
        <f t="shared" si="417"/>
        <v>0.29999999999999716</v>
      </c>
      <c r="BF550" s="111">
        <f t="shared" si="418"/>
        <v>0.30000000000000071</v>
      </c>
      <c r="BG550" s="111">
        <f t="shared" si="419"/>
        <v>0.25</v>
      </c>
      <c r="BH550" s="111">
        <f t="shared" si="420"/>
        <v>0.20000000000000284</v>
      </c>
      <c r="BI550" s="111">
        <f t="shared" si="421"/>
        <v>0.30000000000000071</v>
      </c>
      <c r="BJ550" s="111">
        <f t="shared" si="422"/>
        <v>0.30000000000000071</v>
      </c>
      <c r="BK550" s="111">
        <f t="shared" si="423"/>
        <v>0.29999999999999716</v>
      </c>
      <c r="BL550" s="111">
        <f t="shared" si="424"/>
        <v>0.29999999999999716</v>
      </c>
      <c r="BM550" s="111">
        <f t="shared" si="425"/>
        <v>0.40000000000000036</v>
      </c>
      <c r="BN550" s="111">
        <f t="shared" si="426"/>
        <v>0.30000000000000071</v>
      </c>
      <c r="BO550" s="111">
        <f t="shared" si="427"/>
        <v>0.19999999999999929</v>
      </c>
    </row>
    <row r="551" spans="38:96" ht="12.75" x14ac:dyDescent="0.2">
      <c r="AN551" t="s">
        <v>110</v>
      </c>
      <c r="AO551" s="159">
        <v>20.9</v>
      </c>
      <c r="AP551" s="159">
        <v>20.100000000000001</v>
      </c>
      <c r="AQ551" s="159">
        <v>19.8</v>
      </c>
      <c r="AR551" s="159">
        <v>19.5</v>
      </c>
      <c r="AS551" s="126">
        <f t="shared" si="415"/>
        <v>19.25</v>
      </c>
      <c r="AT551" s="159">
        <v>19</v>
      </c>
      <c r="AU551" s="159">
        <v>18.600000000000001</v>
      </c>
      <c r="AV551" s="159">
        <v>17.8</v>
      </c>
      <c r="AW551" s="159">
        <v>17.2</v>
      </c>
      <c r="AX551" s="159">
        <v>16.7</v>
      </c>
      <c r="AY551" s="159">
        <v>16</v>
      </c>
      <c r="AZ551" s="159">
        <v>15.1</v>
      </c>
      <c r="BA551" s="159">
        <v>14.2</v>
      </c>
      <c r="BC551" s="111">
        <f t="shared" si="428"/>
        <v>0.29999999999999716</v>
      </c>
      <c r="BD551" s="111">
        <f t="shared" si="416"/>
        <v>0.30000000000000071</v>
      </c>
      <c r="BE551" s="111">
        <f t="shared" si="417"/>
        <v>0.30000000000000071</v>
      </c>
      <c r="BF551" s="111">
        <f t="shared" si="418"/>
        <v>0.30000000000000071</v>
      </c>
      <c r="BG551" s="111">
        <f t="shared" si="419"/>
        <v>0.30000000000000071</v>
      </c>
      <c r="BH551" s="111">
        <f t="shared" si="420"/>
        <v>0.30000000000000071</v>
      </c>
      <c r="BI551" s="111">
        <f t="shared" si="421"/>
        <v>0.30000000000000071</v>
      </c>
      <c r="BJ551" s="111">
        <f t="shared" si="422"/>
        <v>0.30000000000000071</v>
      </c>
      <c r="BK551" s="111">
        <f t="shared" si="423"/>
        <v>0.30000000000000071</v>
      </c>
      <c r="BL551" s="111">
        <f t="shared" si="424"/>
        <v>0.30000000000000071</v>
      </c>
      <c r="BM551" s="111">
        <f t="shared" si="425"/>
        <v>0.30000000000000071</v>
      </c>
      <c r="BN551" s="111">
        <f t="shared" si="426"/>
        <v>0.19999999999999929</v>
      </c>
      <c r="BO551" s="111">
        <f t="shared" si="427"/>
        <v>0.29999999999999893</v>
      </c>
    </row>
    <row r="553" spans="38:96" x14ac:dyDescent="0.2">
      <c r="AO553">
        <v>-0.5</v>
      </c>
      <c r="AP553">
        <v>-0.25</v>
      </c>
      <c r="AQ553">
        <v>-0.13</v>
      </c>
      <c r="AR553">
        <v>0</v>
      </c>
      <c r="AS553">
        <v>0.125</v>
      </c>
      <c r="AT553">
        <v>0.25</v>
      </c>
      <c r="AU553">
        <v>0.5</v>
      </c>
      <c r="AV553">
        <v>1</v>
      </c>
      <c r="AW553">
        <v>1.5</v>
      </c>
      <c r="AX553">
        <v>2</v>
      </c>
      <c r="AY553">
        <v>3</v>
      </c>
      <c r="AZ553">
        <v>5</v>
      </c>
      <c r="BA553">
        <v>10</v>
      </c>
    </row>
    <row r="554" spans="38:96" ht="12.75" x14ac:dyDescent="0.2">
      <c r="AL554" s="105" t="s">
        <v>465</v>
      </c>
      <c r="AN554" t="s">
        <v>25</v>
      </c>
      <c r="AO554" s="159">
        <v>8.6</v>
      </c>
      <c r="AP554" s="159">
        <v>7.4</v>
      </c>
      <c r="AQ554" s="159">
        <v>8.6</v>
      </c>
      <c r="AR554" s="159">
        <v>10.1</v>
      </c>
      <c r="AS554" s="126">
        <f t="shared" ref="AS554:AS568" si="429">(AR554+AT554)/2</f>
        <v>11.55</v>
      </c>
      <c r="AT554" s="159">
        <v>13</v>
      </c>
      <c r="AU554" s="159">
        <v>15.5</v>
      </c>
      <c r="AV554" s="159">
        <v>19.8</v>
      </c>
      <c r="AW554" s="159">
        <v>23.5</v>
      </c>
      <c r="AX554" s="159">
        <v>26.6</v>
      </c>
      <c r="AY554" s="159">
        <v>31.7</v>
      </c>
      <c r="AZ554" s="159">
        <v>39.200000000000003</v>
      </c>
      <c r="BA554" s="159">
        <v>51</v>
      </c>
      <c r="BC554" s="111">
        <f>AO554-AO537</f>
        <v>-0.80000000000000071</v>
      </c>
      <c r="BD554" s="111">
        <f t="shared" ref="BD554:BD568" si="430">AP554-AP537</f>
        <v>-0.29999999999999982</v>
      </c>
      <c r="BE554" s="111">
        <f t="shared" ref="BE554:BE568" si="431">AQ554-AQ537</f>
        <v>-0.20000000000000107</v>
      </c>
      <c r="BF554" s="111">
        <f t="shared" ref="BF554:BF568" si="432">AR554-AR537</f>
        <v>-0.20000000000000107</v>
      </c>
      <c r="BG554" s="111">
        <f t="shared" ref="BG554:BG568" si="433">AS554-AS537</f>
        <v>-0.14999999999999858</v>
      </c>
      <c r="BH554" s="111">
        <f t="shared" ref="BH554:BH568" si="434">AT554-AT537</f>
        <v>-9.9999999999999645E-2</v>
      </c>
      <c r="BI554" s="111">
        <f t="shared" ref="BI554:BI568" si="435">AU554-AU537</f>
        <v>-0.19999999999999929</v>
      </c>
      <c r="BJ554" s="111">
        <f t="shared" ref="BJ554:BJ568" si="436">AV554-AV537</f>
        <v>-0.19999999999999929</v>
      </c>
      <c r="BK554" s="111">
        <f t="shared" ref="BK554:BK568" si="437">AW554-AW537</f>
        <v>-0.19999999999999929</v>
      </c>
      <c r="BL554" s="111">
        <f t="shared" ref="BL554:BL568" si="438">AX554-AX537</f>
        <v>-0.19999999999999929</v>
      </c>
      <c r="BM554" s="111">
        <f t="shared" ref="BM554:BM568" si="439">AY554-AY537</f>
        <v>-0.30000000000000071</v>
      </c>
      <c r="BN554" s="111">
        <f t="shared" ref="BN554:BN568" si="440">AZ554-AZ537</f>
        <v>-0.39999999999999858</v>
      </c>
      <c r="BO554" s="111">
        <f t="shared" ref="BO554:BO568" si="441">BA554-BA537</f>
        <v>-0.39999999999999858</v>
      </c>
      <c r="BR554" s="120">
        <v>2.2119728591541363E-3</v>
      </c>
      <c r="BS554" s="120">
        <v>1.9972859422563763E-3</v>
      </c>
      <c r="BT554" s="120">
        <v>2.3735314671928685E-3</v>
      </c>
      <c r="BU554" s="120">
        <v>2.8477335765035331E-3</v>
      </c>
      <c r="BV554" s="120">
        <v>3.3243965782466982E-3</v>
      </c>
      <c r="BW554" s="120">
        <v>3.8171418510236591E-3</v>
      </c>
      <c r="BX554" s="120">
        <v>4.7279904470082052E-3</v>
      </c>
      <c r="BY554" s="120">
        <v>6.4776673267500137E-3</v>
      </c>
      <c r="BZ554" s="120">
        <v>8.2128805130258931E-3</v>
      </c>
      <c r="CA554" s="120">
        <v>9.8378561669154423E-3</v>
      </c>
      <c r="CB554" s="120">
        <v>1.2971043387815377E-2</v>
      </c>
      <c r="CC554" s="120">
        <v>1.8947842791987857E-2</v>
      </c>
      <c r="CD554" s="120">
        <v>3.3012083317180162E-2</v>
      </c>
      <c r="CF554" s="120">
        <v>8.6011282692213281E-2</v>
      </c>
      <c r="CG554" s="120">
        <v>7.4002126237428925E-2</v>
      </c>
      <c r="CH554" s="120">
        <v>8.6006733620426212E-2</v>
      </c>
      <c r="CI554" s="120">
        <v>0.10101122143564188</v>
      </c>
      <c r="CJ554" s="120">
        <v>0.11551315322027957</v>
      </c>
      <c r="CK554" s="120">
        <v>0.13001321063848947</v>
      </c>
      <c r="CL554" s="120">
        <v>0.15501480998810083</v>
      </c>
      <c r="CM554" s="120">
        <v>0.19837494029909955</v>
      </c>
      <c r="CN554" s="120">
        <v>0.23532760208773507</v>
      </c>
      <c r="CO554" s="120">
        <v>0.26630558763355405</v>
      </c>
      <c r="CP554" s="120">
        <v>0.31737920057818098</v>
      </c>
      <c r="CQ554" s="120">
        <v>0.39280032842659829</v>
      </c>
      <c r="CR554" s="120">
        <v>0.51763460273079553</v>
      </c>
    </row>
    <row r="555" spans="38:96" ht="12.75" x14ac:dyDescent="0.2">
      <c r="AN555" t="s">
        <v>157</v>
      </c>
      <c r="AO555" s="141">
        <v>10.7</v>
      </c>
      <c r="AP555" s="159">
        <v>10</v>
      </c>
      <c r="AQ555" s="159">
        <v>11.2</v>
      </c>
      <c r="AR555" s="159">
        <v>12.5</v>
      </c>
      <c r="AS555" s="126">
        <f t="shared" si="429"/>
        <v>13.75</v>
      </c>
      <c r="AT555" s="159">
        <v>15</v>
      </c>
      <c r="AU555" s="159">
        <v>17.2</v>
      </c>
      <c r="AV555" s="159">
        <v>21</v>
      </c>
      <c r="AW555" s="159">
        <v>24.1</v>
      </c>
      <c r="AX555" s="159">
        <v>26.8</v>
      </c>
      <c r="AY555" s="159">
        <v>31.1</v>
      </c>
      <c r="AZ555" s="159">
        <v>37.299999999999997</v>
      </c>
      <c r="BA555" s="159">
        <v>46.5</v>
      </c>
      <c r="BC555" s="111">
        <f t="shared" ref="BC555:BC568" si="442">AO555-AO538</f>
        <v>-0.5</v>
      </c>
      <c r="BD555" s="111">
        <f t="shared" si="430"/>
        <v>-0.30000000000000071</v>
      </c>
      <c r="BE555" s="111">
        <f t="shared" si="431"/>
        <v>-0.10000000000000142</v>
      </c>
      <c r="BF555" s="111">
        <f t="shared" si="432"/>
        <v>-9.9999999999999645E-2</v>
      </c>
      <c r="BG555" s="111">
        <f t="shared" si="433"/>
        <v>-9.9999999999999645E-2</v>
      </c>
      <c r="BH555" s="111">
        <f t="shared" si="434"/>
        <v>-9.9999999999999645E-2</v>
      </c>
      <c r="BI555" s="111">
        <f t="shared" si="435"/>
        <v>-0.19999999999999929</v>
      </c>
      <c r="BJ555" s="111">
        <f t="shared" si="436"/>
        <v>-0.19999999999999929</v>
      </c>
      <c r="BK555" s="111">
        <f t="shared" si="437"/>
        <v>-0.19999999999999929</v>
      </c>
      <c r="BL555" s="111">
        <f t="shared" si="438"/>
        <v>-9.9999999999997868E-2</v>
      </c>
      <c r="BM555" s="111">
        <f t="shared" si="439"/>
        <v>-0.19999999999999929</v>
      </c>
      <c r="BN555" s="111">
        <f t="shared" si="440"/>
        <v>-0.20000000000000284</v>
      </c>
      <c r="BO555" s="111">
        <f t="shared" si="441"/>
        <v>-0.20000000000000284</v>
      </c>
      <c r="BR555" s="120">
        <v>3.2639119039086254E-3</v>
      </c>
      <c r="BS555" s="120">
        <v>3.4610818445742837E-3</v>
      </c>
      <c r="BT555" s="120">
        <v>3.7150728893526374E-3</v>
      </c>
      <c r="BU555" s="120">
        <v>4.008599422147186E-3</v>
      </c>
      <c r="BV555" s="120">
        <v>4.3454432487107283E-3</v>
      </c>
      <c r="BW555" s="120">
        <v>4.7219476451589425E-3</v>
      </c>
      <c r="BX555" s="120">
        <v>5.4720328735004473E-3</v>
      </c>
      <c r="BY555" s="120">
        <v>6.9795228052140518E-3</v>
      </c>
      <c r="BZ555" s="120">
        <v>8.3912218526139386E-3</v>
      </c>
      <c r="CA555" s="120">
        <v>9.8116231606280146E-3</v>
      </c>
      <c r="CB555" s="120">
        <v>1.2479884776349249E-2</v>
      </c>
      <c r="CC555" s="120">
        <v>1.7487778859688115E-2</v>
      </c>
      <c r="CD555" s="120">
        <v>2.8904335286630254E-2</v>
      </c>
      <c r="CF555" s="120">
        <v>0.12802334068066898</v>
      </c>
      <c r="CG555" s="120">
        <v>0.12942079546389379</v>
      </c>
      <c r="CH555" s="120">
        <v>0.13585513120024079</v>
      </c>
      <c r="CI555" s="120">
        <v>0.14347202161374792</v>
      </c>
      <c r="CJ555" s="120">
        <v>0.15233056782263954</v>
      </c>
      <c r="CK555" s="120">
        <v>0.16224376678050162</v>
      </c>
      <c r="CL555" s="120">
        <v>0.18096516249189878</v>
      </c>
      <c r="CM555" s="120">
        <v>0.21511174295371863</v>
      </c>
      <c r="CN555" s="120">
        <v>0.24323254676372602</v>
      </c>
      <c r="CO555" s="120">
        <v>0.26866395211442373</v>
      </c>
      <c r="CP555" s="120">
        <v>0.30897182349424718</v>
      </c>
      <c r="CQ555" s="120">
        <v>0.36745701841223161</v>
      </c>
      <c r="CR555" s="120">
        <v>0.45207615763786252</v>
      </c>
    </row>
    <row r="556" spans="38:96" ht="12.75" x14ac:dyDescent="0.2">
      <c r="AN556" t="s">
        <v>99</v>
      </c>
      <c r="AO556" s="141">
        <v>13.5</v>
      </c>
      <c r="AP556" s="159">
        <v>11.9</v>
      </c>
      <c r="AQ556" s="159">
        <v>11.9</v>
      </c>
      <c r="AR556" s="159">
        <v>12.5</v>
      </c>
      <c r="AS556" s="126">
        <f t="shared" si="429"/>
        <v>13.2</v>
      </c>
      <c r="AT556" s="159">
        <v>13.9</v>
      </c>
      <c r="AU556" s="159">
        <v>15.2</v>
      </c>
      <c r="AV556" s="159">
        <v>17.3</v>
      </c>
      <c r="AW556" s="159">
        <v>19.2</v>
      </c>
      <c r="AX556" s="159">
        <v>20.8</v>
      </c>
      <c r="AY556" s="159">
        <v>23.4</v>
      </c>
      <c r="AZ556" s="159">
        <v>27.5</v>
      </c>
      <c r="BA556" s="159">
        <v>33.9</v>
      </c>
      <c r="BC556" s="111">
        <f t="shared" si="442"/>
        <v>-0.59999999999999964</v>
      </c>
      <c r="BD556" s="111">
        <f t="shared" si="430"/>
        <v>-0.40000000000000036</v>
      </c>
      <c r="BE556" s="111">
        <f t="shared" si="431"/>
        <v>-0.40000000000000036</v>
      </c>
      <c r="BF556" s="111">
        <f t="shared" si="432"/>
        <v>-0.40000000000000036</v>
      </c>
      <c r="BG556" s="111">
        <f t="shared" si="433"/>
        <v>-0.35000000000000142</v>
      </c>
      <c r="BH556" s="111">
        <f t="shared" si="434"/>
        <v>-0.29999999999999893</v>
      </c>
      <c r="BI556" s="111">
        <f t="shared" si="435"/>
        <v>-0.30000000000000071</v>
      </c>
      <c r="BJ556" s="111">
        <f t="shared" si="436"/>
        <v>-0.30000000000000071</v>
      </c>
      <c r="BK556" s="111">
        <f t="shared" si="437"/>
        <v>-0.19999999999999929</v>
      </c>
      <c r="BL556" s="111">
        <f t="shared" si="438"/>
        <v>-0.19999999999999929</v>
      </c>
      <c r="BM556" s="111">
        <f t="shared" si="439"/>
        <v>-0.30000000000000071</v>
      </c>
      <c r="BN556" s="111">
        <f t="shared" si="440"/>
        <v>-0.19999999999999929</v>
      </c>
      <c r="BO556" s="111">
        <f t="shared" si="441"/>
        <v>-0.10000000000000142</v>
      </c>
      <c r="BR556" s="120">
        <v>3.5611956509974249E-3</v>
      </c>
      <c r="BS556" s="120">
        <v>3.2912006272857045E-3</v>
      </c>
      <c r="BT556" s="120">
        <v>3.3654714223591274E-3</v>
      </c>
      <c r="BU556" s="120">
        <v>3.6119561207167664E-3</v>
      </c>
      <c r="BV556" s="120">
        <v>3.8942250958709985E-3</v>
      </c>
      <c r="BW556" s="120">
        <v>4.1836452777652532E-3</v>
      </c>
      <c r="BX556" s="120">
        <v>4.7529789844400223E-3</v>
      </c>
      <c r="BY556" s="120">
        <v>5.8009392022962628E-3</v>
      </c>
      <c r="BZ556" s="120">
        <v>6.8540096571132834E-3</v>
      </c>
      <c r="CA556" s="120">
        <v>7.8597814167888601E-3</v>
      </c>
      <c r="CB556" s="120">
        <v>9.7775859200926046E-3</v>
      </c>
      <c r="CC556" s="120">
        <v>1.3530012633322069E-2</v>
      </c>
      <c r="CD556" s="120">
        <v>2.2297883459183803E-2</v>
      </c>
      <c r="CF556" s="120">
        <v>0.13500111517232199</v>
      </c>
      <c r="CG556" s="120">
        <v>0.11900032476738751</v>
      </c>
      <c r="CH556" s="120">
        <v>0.11899953665943605</v>
      </c>
      <c r="CI556" s="120">
        <v>0.12500031489453722</v>
      </c>
      <c r="CJ556" s="120">
        <v>0.13200113628178442</v>
      </c>
      <c r="CK556" s="120">
        <v>0.13900234715344173</v>
      </c>
      <c r="CL556" s="120">
        <v>0.15200334413190314</v>
      </c>
      <c r="CM556" s="120">
        <v>0.1730071462379236</v>
      </c>
      <c r="CN556" s="120">
        <v>0.19200553443477877</v>
      </c>
      <c r="CO556" s="120">
        <v>0.20800661966620393</v>
      </c>
      <c r="CP556" s="120">
        <v>0.23400782609922738</v>
      </c>
      <c r="CQ556" s="120">
        <v>0.27500324701250267</v>
      </c>
      <c r="CR556" s="120">
        <v>0.33903173959146315</v>
      </c>
    </row>
    <row r="557" spans="38:96" ht="12.75" x14ac:dyDescent="0.2">
      <c r="AN557" t="s">
        <v>101</v>
      </c>
      <c r="AO557" s="159">
        <v>15.6</v>
      </c>
      <c r="AP557" s="159">
        <v>14.1</v>
      </c>
      <c r="AQ557" s="159">
        <v>14.1</v>
      </c>
      <c r="AR557" s="159">
        <v>14.6</v>
      </c>
      <c r="AS557" s="126">
        <f t="shared" si="429"/>
        <v>15.1</v>
      </c>
      <c r="AT557" s="159">
        <v>15.6</v>
      </c>
      <c r="AU557" s="159">
        <v>16.600000000000001</v>
      </c>
      <c r="AV557" s="159">
        <v>18.399999999999999</v>
      </c>
      <c r="AW557" s="159">
        <v>20</v>
      </c>
      <c r="AX557" s="159">
        <v>21.4</v>
      </c>
      <c r="AY557" s="159">
        <v>23.7</v>
      </c>
      <c r="AZ557" s="159">
        <v>26.9</v>
      </c>
      <c r="BA557" s="159">
        <v>31.7</v>
      </c>
      <c r="BC557" s="111">
        <f t="shared" si="442"/>
        <v>-0.59999999999999964</v>
      </c>
      <c r="BD557" s="111">
        <f t="shared" si="430"/>
        <v>-0.59999999999999964</v>
      </c>
      <c r="BE557" s="111">
        <f t="shared" si="431"/>
        <v>-0.5</v>
      </c>
      <c r="BF557" s="111">
        <f t="shared" si="432"/>
        <v>-0.40000000000000036</v>
      </c>
      <c r="BG557" s="111">
        <f t="shared" si="433"/>
        <v>-0.40000000000000036</v>
      </c>
      <c r="BH557" s="111">
        <f t="shared" si="434"/>
        <v>-0.40000000000000036</v>
      </c>
      <c r="BI557" s="111">
        <f t="shared" si="435"/>
        <v>-0.39999999999999858</v>
      </c>
      <c r="BJ557" s="111">
        <f t="shared" si="436"/>
        <v>-0.30000000000000071</v>
      </c>
      <c r="BK557" s="111">
        <f t="shared" si="437"/>
        <v>-0.30000000000000071</v>
      </c>
      <c r="BL557" s="111">
        <f t="shared" si="438"/>
        <v>-0.20000000000000284</v>
      </c>
      <c r="BM557" s="111">
        <f t="shared" si="439"/>
        <v>-0.19999999999999929</v>
      </c>
      <c r="BN557" s="111">
        <f t="shared" si="440"/>
        <v>-0.30000000000000071</v>
      </c>
      <c r="BO557" s="111">
        <f t="shared" si="441"/>
        <v>-0.19999999999999929</v>
      </c>
      <c r="BR557" s="120">
        <v>5.5207040754008292E-3</v>
      </c>
      <c r="BS557" s="120">
        <v>5.5507110809784477E-3</v>
      </c>
      <c r="BT557" s="120">
        <v>5.6182901102839388E-3</v>
      </c>
      <c r="BU557" s="120">
        <v>5.7066265442554717E-3</v>
      </c>
      <c r="BV557" s="120">
        <v>5.73120514171435E-3</v>
      </c>
      <c r="BW557" s="120">
        <v>5.7831780287703827E-3</v>
      </c>
      <c r="BX557" s="120">
        <v>6.0239632428771674E-3</v>
      </c>
      <c r="BY557" s="120">
        <v>6.7787005991822909E-3</v>
      </c>
      <c r="BZ557" s="120">
        <v>7.6076441830446274E-3</v>
      </c>
      <c r="CA557" s="120">
        <v>8.4799098319127408E-3</v>
      </c>
      <c r="CB557" s="120">
        <v>1.0207991390575474E-2</v>
      </c>
      <c r="CC557" s="120">
        <v>1.3307672332543095E-2</v>
      </c>
      <c r="CD557" s="120">
        <v>2.0428195096766844E-2</v>
      </c>
      <c r="CF557" s="120">
        <v>0.20402317589093991</v>
      </c>
      <c r="CG557" s="120">
        <v>0.19569744347337509</v>
      </c>
      <c r="CH557" s="120">
        <v>0.19372888191928686</v>
      </c>
      <c r="CI557" s="120">
        <v>0.19258908086338739</v>
      </c>
      <c r="CJ557" s="120">
        <v>0.18942524789606904</v>
      </c>
      <c r="CK557" s="120">
        <v>0.18732308067781994</v>
      </c>
      <c r="CL557" s="120">
        <v>0.18784362867141469</v>
      </c>
      <c r="CM557" s="120">
        <v>0.19731549679310958</v>
      </c>
      <c r="CN557" s="120">
        <v>0.20818991936111786</v>
      </c>
      <c r="CO557" s="120">
        <v>0.21942449909333661</v>
      </c>
      <c r="CP557" s="120">
        <v>0.23926285674845457</v>
      </c>
      <c r="CQ557" s="120">
        <v>0.26521115004761353</v>
      </c>
      <c r="CR557" s="120">
        <v>0.30505280056527195</v>
      </c>
    </row>
    <row r="558" spans="38:96" ht="12.75" x14ac:dyDescent="0.2">
      <c r="AN558" t="s">
        <v>102</v>
      </c>
      <c r="AO558" s="159">
        <v>17.600000000000001</v>
      </c>
      <c r="AP558" s="159">
        <v>16.100000000000001</v>
      </c>
      <c r="AQ558" s="159">
        <v>16</v>
      </c>
      <c r="AR558" s="159">
        <v>16.3</v>
      </c>
      <c r="AS558" s="126">
        <f t="shared" si="429"/>
        <v>16.649999999999999</v>
      </c>
      <c r="AT558" s="159">
        <v>17</v>
      </c>
      <c r="AU558" s="159">
        <v>17.7</v>
      </c>
      <c r="AV558" s="159">
        <v>18.899999999999999</v>
      </c>
      <c r="AW558" s="159">
        <v>20</v>
      </c>
      <c r="AX558" s="159">
        <v>21</v>
      </c>
      <c r="AY558" s="159">
        <v>22.7</v>
      </c>
      <c r="AZ558" s="159">
        <v>25.3</v>
      </c>
      <c r="BA558" s="159">
        <v>29</v>
      </c>
      <c r="BC558" s="111">
        <f t="shared" si="442"/>
        <v>-0.59999999999999787</v>
      </c>
      <c r="BD558" s="111">
        <f t="shared" si="430"/>
        <v>-0.59999999999999787</v>
      </c>
      <c r="BE558" s="111">
        <f t="shared" si="431"/>
        <v>-0.5</v>
      </c>
      <c r="BF558" s="111">
        <f t="shared" si="432"/>
        <v>-0.5</v>
      </c>
      <c r="BG558" s="111">
        <f t="shared" si="433"/>
        <v>-0.45000000000000284</v>
      </c>
      <c r="BH558" s="111">
        <f t="shared" si="434"/>
        <v>-0.39999999999999858</v>
      </c>
      <c r="BI558" s="111">
        <f t="shared" si="435"/>
        <v>-0.30000000000000071</v>
      </c>
      <c r="BJ558" s="111">
        <f t="shared" si="436"/>
        <v>-0.30000000000000071</v>
      </c>
      <c r="BK558" s="111">
        <f t="shared" si="437"/>
        <v>-0.19999999999999929</v>
      </c>
      <c r="BL558" s="111">
        <f t="shared" si="438"/>
        <v>-0.19999999999999929</v>
      </c>
      <c r="BM558" s="111">
        <f t="shared" si="439"/>
        <v>-0.10000000000000142</v>
      </c>
      <c r="BN558" s="111">
        <f t="shared" si="440"/>
        <v>-9.9999999999997868E-2</v>
      </c>
      <c r="BO558" s="111">
        <f t="shared" si="441"/>
        <v>-0.10000000000000142</v>
      </c>
      <c r="BR558" s="120">
        <v>6.3373343783524059E-3</v>
      </c>
      <c r="BS558" s="120">
        <v>6.2161735659982233E-3</v>
      </c>
      <c r="BT558" s="120">
        <v>6.1837288716527616E-3</v>
      </c>
      <c r="BU558" s="120">
        <v>6.1711387829378773E-3</v>
      </c>
      <c r="BV558" s="120">
        <v>6.240489090058773E-3</v>
      </c>
      <c r="BW558" s="120">
        <v>6.3170348048335158E-3</v>
      </c>
      <c r="BX558" s="120">
        <v>6.4950852613300603E-3</v>
      </c>
      <c r="BY558" s="120">
        <v>6.9011014418018553E-3</v>
      </c>
      <c r="BZ558" s="120">
        <v>7.4638080762145283E-3</v>
      </c>
      <c r="CA558" s="120">
        <v>8.096755461787862E-3</v>
      </c>
      <c r="CB558" s="120">
        <v>9.4308311831430795E-3</v>
      </c>
      <c r="CC558" s="120">
        <v>1.2284956833020992E-2</v>
      </c>
      <c r="CD558" s="120">
        <v>1.8567946587795644E-2</v>
      </c>
      <c r="CF558" s="120">
        <v>0.22616774264025996</v>
      </c>
      <c r="CG558" s="120">
        <v>0.21152822406759314</v>
      </c>
      <c r="CH558" s="120">
        <v>0.2057708473784727</v>
      </c>
      <c r="CI558" s="120">
        <v>0.20099522114412927</v>
      </c>
      <c r="CJ558" s="120">
        <v>0.19916503627206109</v>
      </c>
      <c r="CK558" s="120">
        <v>0.19769130855481182</v>
      </c>
      <c r="CL558" s="120">
        <v>0.19577020134573053</v>
      </c>
      <c r="CM558" s="120">
        <v>0.19414054572055225</v>
      </c>
      <c r="CN558" s="120">
        <v>0.19740690728172419</v>
      </c>
      <c r="CO558" s="120">
        <v>0.20247285217879538</v>
      </c>
      <c r="CP558" s="120">
        <v>0.21363851298395381</v>
      </c>
      <c r="CQ558" s="120">
        <v>0.23710478567827228</v>
      </c>
      <c r="CR558" s="120">
        <v>0.26925433719378533</v>
      </c>
    </row>
    <row r="559" spans="38:96" ht="12.75" x14ac:dyDescent="0.2">
      <c r="AN559" t="s">
        <v>103</v>
      </c>
      <c r="AO559" s="159">
        <v>18.899999999999999</v>
      </c>
      <c r="AP559" s="159">
        <v>17.600000000000001</v>
      </c>
      <c r="AQ559" s="159">
        <v>17.399999999999999</v>
      </c>
      <c r="AR559" s="159">
        <v>17.600000000000001</v>
      </c>
      <c r="AS559" s="126">
        <f t="shared" si="429"/>
        <v>17.8</v>
      </c>
      <c r="AT559" s="159">
        <v>18</v>
      </c>
      <c r="AU559" s="159">
        <v>18.399999999999999</v>
      </c>
      <c r="AV559" s="159">
        <v>19.100000000000001</v>
      </c>
      <c r="AW559" s="159">
        <v>19.8</v>
      </c>
      <c r="AX559" s="159">
        <v>20.5</v>
      </c>
      <c r="AY559" s="159">
        <v>21.7</v>
      </c>
      <c r="AZ559" s="159">
        <v>23.7</v>
      </c>
      <c r="BA559" s="159">
        <v>26.7</v>
      </c>
      <c r="BC559" s="111">
        <f t="shared" si="442"/>
        <v>-0.70000000000000284</v>
      </c>
      <c r="BD559" s="111">
        <f t="shared" si="430"/>
        <v>-0.5</v>
      </c>
      <c r="BE559" s="111">
        <f t="shared" si="431"/>
        <v>-0.5</v>
      </c>
      <c r="BF559" s="111">
        <f t="shared" si="432"/>
        <v>-0.39999999999999858</v>
      </c>
      <c r="BG559" s="111">
        <f t="shared" si="433"/>
        <v>-0.39999999999999858</v>
      </c>
      <c r="BH559" s="111">
        <f t="shared" si="434"/>
        <v>-0.39999999999999858</v>
      </c>
      <c r="BI559" s="111">
        <f t="shared" si="435"/>
        <v>-0.30000000000000071</v>
      </c>
      <c r="BJ559" s="111">
        <f t="shared" si="436"/>
        <v>-0.29999999999999716</v>
      </c>
      <c r="BK559" s="111">
        <f t="shared" si="437"/>
        <v>-0.19999999999999929</v>
      </c>
      <c r="BL559" s="111">
        <f t="shared" si="438"/>
        <v>-0.10000000000000142</v>
      </c>
      <c r="BM559" s="111">
        <f t="shared" si="439"/>
        <v>-0.10000000000000142</v>
      </c>
      <c r="BN559" s="111">
        <f t="shared" si="440"/>
        <v>-0.10000000000000142</v>
      </c>
      <c r="BO559" s="111">
        <f t="shared" si="441"/>
        <v>0</v>
      </c>
      <c r="BR559" s="120">
        <v>6.578992702689624E-3</v>
      </c>
      <c r="BS559" s="120">
        <v>6.7794234669407323E-3</v>
      </c>
      <c r="BT559" s="120">
        <v>6.7419703139545688E-3</v>
      </c>
      <c r="BU559" s="120">
        <v>6.82265212709401E-3</v>
      </c>
      <c r="BV559" s="120">
        <v>6.8120582575181398E-3</v>
      </c>
      <c r="BW559" s="120">
        <v>6.8071710867310745E-3</v>
      </c>
      <c r="BX559" s="120">
        <v>6.8384034359163055E-3</v>
      </c>
      <c r="BY559" s="120">
        <v>7.1101417699778327E-3</v>
      </c>
      <c r="BZ559" s="120">
        <v>7.5485430462436049E-3</v>
      </c>
      <c r="CA559" s="120">
        <v>8.1008458419185494E-3</v>
      </c>
      <c r="CB559" s="120">
        <v>9.2292515380634488E-3</v>
      </c>
      <c r="CC559" s="120">
        <v>1.1595028585672351E-2</v>
      </c>
      <c r="CD559" s="120">
        <v>1.7290033423111844E-2</v>
      </c>
      <c r="CF559" s="120">
        <v>0.2277978436007691</v>
      </c>
      <c r="CG559" s="120">
        <v>0.22427741874776702</v>
      </c>
      <c r="CH559" s="120">
        <v>0.21816169930269841</v>
      </c>
      <c r="CI559" s="120">
        <v>0.21621389585438905</v>
      </c>
      <c r="CJ559" s="120">
        <v>0.21146279274996715</v>
      </c>
      <c r="CK559" s="120">
        <v>0.20714296437040675</v>
      </c>
      <c r="CL559" s="120">
        <v>0.20037905799010156</v>
      </c>
      <c r="CM559" s="120">
        <v>0.19457071188842662</v>
      </c>
      <c r="CN559" s="120">
        <v>0.19432402774455992</v>
      </c>
      <c r="CO559" s="120">
        <v>0.19732819648991379</v>
      </c>
      <c r="CP559" s="120">
        <v>0.20386839223059511</v>
      </c>
      <c r="CQ559" s="120">
        <v>0.2183040399691652</v>
      </c>
      <c r="CR559" s="120">
        <v>0.24512060092023577</v>
      </c>
    </row>
    <row r="560" spans="38:96" ht="12.75" x14ac:dyDescent="0.2">
      <c r="AN560" t="s">
        <v>104</v>
      </c>
      <c r="AO560" s="159">
        <v>19.899999999999999</v>
      </c>
      <c r="AP560" s="159">
        <v>18.600000000000001</v>
      </c>
      <c r="AQ560" s="159">
        <v>18.399999999999999</v>
      </c>
      <c r="AR560" s="159">
        <v>18.399999999999999</v>
      </c>
      <c r="AS560" s="126">
        <f t="shared" si="429"/>
        <v>18.5</v>
      </c>
      <c r="AT560" s="159">
        <v>18.600000000000001</v>
      </c>
      <c r="AU560" s="159">
        <v>18.8</v>
      </c>
      <c r="AV560" s="159">
        <v>19.2</v>
      </c>
      <c r="AW560" s="159">
        <v>19.5</v>
      </c>
      <c r="AX560" s="159">
        <v>19.899999999999999</v>
      </c>
      <c r="AY560" s="159">
        <v>20.7</v>
      </c>
      <c r="AZ560" s="159">
        <v>22.1</v>
      </c>
      <c r="BA560" s="159">
        <v>24.5</v>
      </c>
      <c r="BC560" s="111">
        <f t="shared" si="442"/>
        <v>-0.60000000000000142</v>
      </c>
      <c r="BD560" s="111">
        <f t="shared" si="430"/>
        <v>-0.5</v>
      </c>
      <c r="BE560" s="111">
        <f t="shared" si="431"/>
        <v>-0.5</v>
      </c>
      <c r="BF560" s="111">
        <f t="shared" si="432"/>
        <v>-0.5</v>
      </c>
      <c r="BG560" s="111">
        <f t="shared" si="433"/>
        <v>-0.44999999999999929</v>
      </c>
      <c r="BH560" s="111">
        <f t="shared" si="434"/>
        <v>-0.39999999999999858</v>
      </c>
      <c r="BI560" s="111">
        <f t="shared" si="435"/>
        <v>-0.39999999999999858</v>
      </c>
      <c r="BJ560" s="111">
        <f t="shared" si="436"/>
        <v>-0.19999999999999929</v>
      </c>
      <c r="BK560" s="111">
        <f t="shared" si="437"/>
        <v>-0.19999999999999929</v>
      </c>
      <c r="BL560" s="111">
        <f t="shared" si="438"/>
        <v>-0.20000000000000284</v>
      </c>
      <c r="BM560" s="111">
        <f t="shared" si="439"/>
        <v>-0.10000000000000142</v>
      </c>
      <c r="BN560" s="111">
        <f t="shared" si="440"/>
        <v>-9.9999999999997868E-2</v>
      </c>
      <c r="BO560" s="111">
        <f t="shared" si="441"/>
        <v>0</v>
      </c>
      <c r="BR560" s="120">
        <v>7.1627874863786087E-3</v>
      </c>
      <c r="BS560" s="120">
        <v>7.0227381987763432E-3</v>
      </c>
      <c r="BT560" s="120">
        <v>7.117892121257117E-3</v>
      </c>
      <c r="BU560" s="120">
        <v>6.9320902552839226E-3</v>
      </c>
      <c r="BV560" s="120">
        <v>6.9603540743154585E-3</v>
      </c>
      <c r="BW560" s="120">
        <v>6.9899419229993353E-3</v>
      </c>
      <c r="BX560" s="120">
        <v>7.0622317377932262E-3</v>
      </c>
      <c r="BY560" s="120">
        <v>7.3724348434083048E-3</v>
      </c>
      <c r="BZ560" s="120">
        <v>7.5682002268595994E-3</v>
      </c>
      <c r="CA560" s="120">
        <v>7.9359948265471762E-3</v>
      </c>
      <c r="CB560" s="120">
        <v>8.9016153706184334E-3</v>
      </c>
      <c r="CC560" s="120">
        <v>1.0870365623928449E-2</v>
      </c>
      <c r="CD560" s="120">
        <v>1.5887784576821724E-2</v>
      </c>
      <c r="CF560" s="120">
        <v>0.23865137411118503</v>
      </c>
      <c r="CG560" s="120">
        <v>0.22311413257244223</v>
      </c>
      <c r="CH560" s="120">
        <v>0.22137211608813714</v>
      </c>
      <c r="CI560" s="120">
        <v>0.21087748593750263</v>
      </c>
      <c r="CJ560" s="120">
        <v>0.20752995259899487</v>
      </c>
      <c r="CK560" s="120">
        <v>0.20440120026259664</v>
      </c>
      <c r="CL560" s="120">
        <v>0.19900907665869952</v>
      </c>
      <c r="CM560" s="120">
        <v>0.19420522888761529</v>
      </c>
      <c r="CN560" s="120">
        <v>0.1875121695089994</v>
      </c>
      <c r="CO560" s="120">
        <v>0.18604941933495076</v>
      </c>
      <c r="CP560" s="120">
        <v>0.18940059534251066</v>
      </c>
      <c r="CQ560" s="120">
        <v>0.19741926577982724</v>
      </c>
      <c r="CR560" s="120">
        <v>0.21772667025746176</v>
      </c>
    </row>
    <row r="561" spans="38:96" ht="12.75" x14ac:dyDescent="0.2">
      <c r="AN561" t="s">
        <v>105</v>
      </c>
      <c r="AO561" s="159">
        <v>20.6</v>
      </c>
      <c r="AP561" s="159">
        <v>19.3</v>
      </c>
      <c r="AQ561" s="159">
        <v>19.100000000000001</v>
      </c>
      <c r="AR561" s="159">
        <v>19</v>
      </c>
      <c r="AS561" s="126">
        <f t="shared" si="429"/>
        <v>19.05</v>
      </c>
      <c r="AT561" s="159">
        <v>19.100000000000001</v>
      </c>
      <c r="AU561" s="159">
        <v>19.100000000000001</v>
      </c>
      <c r="AV561" s="159">
        <v>19.2</v>
      </c>
      <c r="AW561" s="159">
        <v>19.2</v>
      </c>
      <c r="AX561" s="159">
        <v>19.399999999999999</v>
      </c>
      <c r="AY561" s="159">
        <v>19.8</v>
      </c>
      <c r="AZ561" s="159">
        <v>20.7</v>
      </c>
      <c r="BA561" s="159">
        <v>22.7</v>
      </c>
      <c r="BC561" s="111">
        <f t="shared" si="442"/>
        <v>-0.59999999999999787</v>
      </c>
      <c r="BD561" s="111">
        <f t="shared" si="430"/>
        <v>-0.5</v>
      </c>
      <c r="BE561" s="111">
        <f t="shared" si="431"/>
        <v>-0.39999999999999858</v>
      </c>
      <c r="BF561" s="111">
        <f t="shared" si="432"/>
        <v>-0.39999999999999858</v>
      </c>
      <c r="BG561" s="111">
        <f t="shared" si="433"/>
        <v>-0.34999999999999787</v>
      </c>
      <c r="BH561" s="111">
        <f t="shared" si="434"/>
        <v>-0.29999999999999716</v>
      </c>
      <c r="BI561" s="111">
        <f t="shared" si="435"/>
        <v>-0.29999999999999716</v>
      </c>
      <c r="BJ561" s="111">
        <f t="shared" si="436"/>
        <v>-0.19999999999999929</v>
      </c>
      <c r="BK561" s="111">
        <f t="shared" si="437"/>
        <v>-0.30000000000000071</v>
      </c>
      <c r="BL561" s="111">
        <f t="shared" si="438"/>
        <v>-0.10000000000000142</v>
      </c>
      <c r="BM561" s="111">
        <f t="shared" si="439"/>
        <v>-9.9999999999997868E-2</v>
      </c>
      <c r="BN561" s="111">
        <f t="shared" si="440"/>
        <v>-0.10000000000000142</v>
      </c>
      <c r="BO561" s="111">
        <f t="shared" si="441"/>
        <v>0</v>
      </c>
      <c r="BR561" s="120">
        <v>7.3014105131270941E-3</v>
      </c>
      <c r="BS561" s="120">
        <v>7.2630015128569573E-3</v>
      </c>
      <c r="BT561" s="120">
        <v>7.3268224388920288E-3</v>
      </c>
      <c r="BU561" s="120">
        <v>7.3214872229859463E-3</v>
      </c>
      <c r="BV561" s="120">
        <v>7.3911141889700148E-3</v>
      </c>
      <c r="BW561" s="120">
        <v>7.4576989977691152E-3</v>
      </c>
      <c r="BX561" s="120">
        <v>7.3775228798046381E-3</v>
      </c>
      <c r="BY561" s="120">
        <v>7.4582195815239682E-3</v>
      </c>
      <c r="BZ561" s="120">
        <v>7.6051322983403981E-3</v>
      </c>
      <c r="CA561" s="120">
        <v>7.9693173660531323E-3</v>
      </c>
      <c r="CB561" s="120">
        <v>8.6429718838114435E-3</v>
      </c>
      <c r="CC561" s="120">
        <v>1.0320064651733827E-2</v>
      </c>
      <c r="CD561" s="120">
        <v>1.5067890223916962E-2</v>
      </c>
      <c r="CF561" s="120">
        <v>0.23631385091193691</v>
      </c>
      <c r="CG561" s="120">
        <v>0.22452521787722585</v>
      </c>
      <c r="CH561" s="120">
        <v>0.22167958871726082</v>
      </c>
      <c r="CI561" s="120">
        <v>0.21699266527019548</v>
      </c>
      <c r="CJ561" s="120">
        <v>0.21474073016592443</v>
      </c>
      <c r="CK561" s="120">
        <v>0.21254229399867952</v>
      </c>
      <c r="CL561" s="120">
        <v>0.20249526603273937</v>
      </c>
      <c r="CM561" s="120">
        <v>0.19126607655289934</v>
      </c>
      <c r="CN561" s="120">
        <v>0.18357281364296621</v>
      </c>
      <c r="CO561" s="120">
        <v>0.18215992604971379</v>
      </c>
      <c r="CP561" s="120">
        <v>0.17932008033034993</v>
      </c>
      <c r="CQ561" s="120">
        <v>0.18294500754933823</v>
      </c>
      <c r="CR561" s="120">
        <v>0.20215350514889449</v>
      </c>
    </row>
    <row r="562" spans="38:96" ht="12.75" x14ac:dyDescent="0.2">
      <c r="AN562" t="s">
        <v>106</v>
      </c>
      <c r="AO562" s="159">
        <v>21.1</v>
      </c>
      <c r="AP562" s="159">
        <v>19.8</v>
      </c>
      <c r="AQ562" s="159">
        <v>19.5</v>
      </c>
      <c r="AR562" s="159">
        <v>19.399999999999999</v>
      </c>
      <c r="AS562" s="126">
        <f t="shared" si="429"/>
        <v>19.350000000000001</v>
      </c>
      <c r="AT562" s="159">
        <v>19.3</v>
      </c>
      <c r="AU562" s="159">
        <v>19.2</v>
      </c>
      <c r="AV562" s="159">
        <v>19.100000000000001</v>
      </c>
      <c r="AW562" s="159">
        <v>19</v>
      </c>
      <c r="AX562" s="159">
        <v>18.899999999999999</v>
      </c>
      <c r="AY562" s="159">
        <v>19.100000000000001</v>
      </c>
      <c r="AZ562" s="159">
        <v>19.8</v>
      </c>
      <c r="BA562" s="159">
        <v>21.5</v>
      </c>
      <c r="BC562" s="111">
        <f t="shared" si="442"/>
        <v>-0.5</v>
      </c>
      <c r="BD562" s="111">
        <f t="shared" si="430"/>
        <v>-0.5</v>
      </c>
      <c r="BE562" s="111">
        <f t="shared" si="431"/>
        <v>-0.5</v>
      </c>
      <c r="BF562" s="111">
        <f t="shared" si="432"/>
        <v>-0.40000000000000213</v>
      </c>
      <c r="BG562" s="111">
        <f t="shared" si="433"/>
        <v>-0.39999999999999858</v>
      </c>
      <c r="BH562" s="111">
        <f t="shared" si="434"/>
        <v>-0.39999999999999858</v>
      </c>
      <c r="BI562" s="111">
        <f t="shared" si="435"/>
        <v>-0.40000000000000213</v>
      </c>
      <c r="BJ562" s="111">
        <f t="shared" si="436"/>
        <v>-0.19999999999999929</v>
      </c>
      <c r="BK562" s="111">
        <f t="shared" si="437"/>
        <v>-0.19999999999999929</v>
      </c>
      <c r="BL562" s="111">
        <f t="shared" si="438"/>
        <v>-0.20000000000000284</v>
      </c>
      <c r="BM562" s="111">
        <f t="shared" si="439"/>
        <v>-0.19999999999999929</v>
      </c>
      <c r="BN562" s="111">
        <f t="shared" si="440"/>
        <v>-0.19999999999999929</v>
      </c>
      <c r="BO562" s="111">
        <f t="shared" si="441"/>
        <v>-0.10000000000000142</v>
      </c>
      <c r="BR562" s="120">
        <v>7.4735954430693967E-3</v>
      </c>
      <c r="BS562" s="120">
        <v>7.3958895231786229E-3</v>
      </c>
      <c r="BT562" s="120">
        <v>7.2179940712525934E-3</v>
      </c>
      <c r="BU562" s="120">
        <v>7.349522488614325E-3</v>
      </c>
      <c r="BV562" s="120">
        <v>7.2498305525448021E-3</v>
      </c>
      <c r="BW562" s="120">
        <v>7.1496549161531838E-3</v>
      </c>
      <c r="BX562" s="120">
        <v>7.2409524610529677E-3</v>
      </c>
      <c r="BY562" s="120">
        <v>7.418386504709538E-3</v>
      </c>
      <c r="BZ562" s="120">
        <v>7.7793085405168895E-3</v>
      </c>
      <c r="CA562" s="120">
        <v>7.739919180790894E-3</v>
      </c>
      <c r="CB562" s="120">
        <v>8.5532023919838128E-3</v>
      </c>
      <c r="CC562" s="120">
        <v>1.0442281817171582E-2</v>
      </c>
      <c r="CD562" s="120">
        <v>1.4978478852596675E-2</v>
      </c>
      <c r="CF562" s="120">
        <v>0.23660541346844055</v>
      </c>
      <c r="CG562" s="120">
        <v>0.22352553280003756</v>
      </c>
      <c r="CH562" s="120">
        <v>0.21327300283483194</v>
      </c>
      <c r="CI562" s="120">
        <v>0.21282343710450241</v>
      </c>
      <c r="CJ562" s="120">
        <v>0.20564829837203774</v>
      </c>
      <c r="CK562" s="120">
        <v>0.19880954866606942</v>
      </c>
      <c r="CL562" s="120">
        <v>0.19416087835090706</v>
      </c>
      <c r="CM562" s="120">
        <v>0.18607435603358444</v>
      </c>
      <c r="CN562" s="120">
        <v>0.18386232415028717</v>
      </c>
      <c r="CO562" s="120">
        <v>0.1730236435476071</v>
      </c>
      <c r="CP562" s="120">
        <v>0.1738131921393995</v>
      </c>
      <c r="CQ562" s="120">
        <v>0.18168107772248282</v>
      </c>
      <c r="CR562" s="120">
        <v>0.19745929739031454</v>
      </c>
    </row>
    <row r="563" spans="38:96" ht="12.75" x14ac:dyDescent="0.2">
      <c r="AN563" t="s">
        <v>79</v>
      </c>
      <c r="AO563" s="159">
        <v>21.3</v>
      </c>
      <c r="AP563" s="159">
        <v>20.100000000000001</v>
      </c>
      <c r="AQ563" s="159">
        <v>19.8</v>
      </c>
      <c r="AR563" s="159">
        <v>19.600000000000001</v>
      </c>
      <c r="AS563" s="126">
        <f t="shared" si="429"/>
        <v>19.5</v>
      </c>
      <c r="AT563" s="159">
        <v>19.399999999999999</v>
      </c>
      <c r="AU563" s="159">
        <v>19.3</v>
      </c>
      <c r="AV563" s="159">
        <v>18.899999999999999</v>
      </c>
      <c r="AW563" s="159">
        <v>18.7</v>
      </c>
      <c r="AX563" s="159">
        <v>18.600000000000001</v>
      </c>
      <c r="AY563" s="159">
        <v>18.5</v>
      </c>
      <c r="AZ563" s="159">
        <v>19</v>
      </c>
      <c r="BA563" s="159">
        <v>20.3</v>
      </c>
      <c r="BC563" s="111">
        <f t="shared" si="442"/>
        <v>-0.5</v>
      </c>
      <c r="BD563" s="111">
        <f t="shared" si="430"/>
        <v>-0.39999999999999858</v>
      </c>
      <c r="BE563" s="111">
        <f t="shared" si="431"/>
        <v>-0.39999999999999858</v>
      </c>
      <c r="BF563" s="111">
        <f t="shared" si="432"/>
        <v>-0.39999999999999858</v>
      </c>
      <c r="BG563" s="111">
        <f t="shared" si="433"/>
        <v>-0.39999999999999858</v>
      </c>
      <c r="BH563" s="111">
        <f t="shared" si="434"/>
        <v>-0.40000000000000213</v>
      </c>
      <c r="BI563" s="111">
        <f t="shared" si="435"/>
        <v>-0.30000000000000071</v>
      </c>
      <c r="BJ563" s="111">
        <f t="shared" si="436"/>
        <v>-0.30000000000000071</v>
      </c>
      <c r="BK563" s="111">
        <f t="shared" si="437"/>
        <v>-0.30000000000000071</v>
      </c>
      <c r="BL563" s="111">
        <f t="shared" si="438"/>
        <v>-0.19999999999999929</v>
      </c>
      <c r="BM563" s="111">
        <f t="shared" si="439"/>
        <v>-0.19999999999999929</v>
      </c>
      <c r="BN563" s="111">
        <f t="shared" si="440"/>
        <v>-0.19999999999999929</v>
      </c>
      <c r="BO563" s="111">
        <f t="shared" si="441"/>
        <v>-9.9999999999997868E-2</v>
      </c>
      <c r="BR563" s="120">
        <v>7.0832714475360745E-3</v>
      </c>
      <c r="BS563" s="120">
        <v>7.280326089266805E-3</v>
      </c>
      <c r="BT563" s="120">
        <v>7.4038214891452864E-3</v>
      </c>
      <c r="BU563" s="120">
        <v>7.1980334767672407E-3</v>
      </c>
      <c r="BV563" s="120">
        <v>7.2317349872800521E-3</v>
      </c>
      <c r="BW563" s="120">
        <v>7.2614261436719845E-3</v>
      </c>
      <c r="BX563" s="120">
        <v>7.515769755964471E-3</v>
      </c>
      <c r="BY563" s="120">
        <v>7.2009171804820818E-3</v>
      </c>
      <c r="BZ563" s="120">
        <v>7.4062908429372151E-3</v>
      </c>
      <c r="CA563" s="120">
        <v>7.9884827963540451E-3</v>
      </c>
      <c r="CB563" s="120">
        <v>8.2670755532629273E-3</v>
      </c>
      <c r="CC563" s="120">
        <v>9.80220596558945E-3</v>
      </c>
      <c r="CD563" s="120">
        <v>1.3415647360924503E-2</v>
      </c>
      <c r="CF563" s="120">
        <v>0.22085491862683523</v>
      </c>
      <c r="CG563" s="120">
        <v>0.21714943351936736</v>
      </c>
      <c r="CH563" s="120">
        <v>0.21630659643487368</v>
      </c>
      <c r="CI563" s="120">
        <v>0.20573479436495209</v>
      </c>
      <c r="CJ563" s="120">
        <v>0.20265854027119873</v>
      </c>
      <c r="CK563" s="120">
        <v>0.19964052964065537</v>
      </c>
      <c r="CL563" s="120">
        <v>0.19936921656912246</v>
      </c>
      <c r="CM563" s="120">
        <v>0.1783005651475349</v>
      </c>
      <c r="CN563" s="120">
        <v>0.17272347687191555</v>
      </c>
      <c r="CO563" s="120">
        <v>0.17669974365460012</v>
      </c>
      <c r="CP563" s="120">
        <v>0.16596419515580754</v>
      </c>
      <c r="CQ563" s="120">
        <v>0.16838708824820223</v>
      </c>
      <c r="CR563" s="120">
        <v>0.17452947529169918</v>
      </c>
    </row>
    <row r="564" spans="38:96" ht="12.75" x14ac:dyDescent="0.2">
      <c r="AN564" t="s">
        <v>159</v>
      </c>
      <c r="AO564" s="159">
        <v>21.4</v>
      </c>
      <c r="AP564" s="159">
        <v>20.2</v>
      </c>
      <c r="AQ564" s="159">
        <v>19.899999999999999</v>
      </c>
      <c r="AR564" s="159">
        <v>19.7</v>
      </c>
      <c r="AS564" s="126">
        <f t="shared" si="429"/>
        <v>19.549999999999997</v>
      </c>
      <c r="AT564" s="159">
        <v>19.399999999999999</v>
      </c>
      <c r="AU564" s="159">
        <v>19.100000000000001</v>
      </c>
      <c r="AV564" s="159">
        <v>18.600000000000001</v>
      </c>
      <c r="AW564" s="159">
        <v>18.2</v>
      </c>
      <c r="AX564" s="159">
        <v>17.899999999999999</v>
      </c>
      <c r="AY564" s="159">
        <v>17.600000000000001</v>
      </c>
      <c r="AZ564" s="159">
        <v>17.7</v>
      </c>
      <c r="BA564" s="159">
        <v>18.399999999999999</v>
      </c>
      <c r="BC564" s="111">
        <f t="shared" si="442"/>
        <v>-0.5</v>
      </c>
      <c r="BD564" s="111">
        <f t="shared" si="430"/>
        <v>-0.5</v>
      </c>
      <c r="BE564" s="111">
        <f t="shared" si="431"/>
        <v>-0.40000000000000213</v>
      </c>
      <c r="BF564" s="111">
        <f t="shared" si="432"/>
        <v>-0.40000000000000213</v>
      </c>
      <c r="BG564" s="111">
        <f t="shared" si="433"/>
        <v>-0.40000000000000568</v>
      </c>
      <c r="BH564" s="111">
        <f t="shared" si="434"/>
        <v>-0.40000000000000213</v>
      </c>
      <c r="BI564" s="111">
        <f t="shared" si="435"/>
        <v>-0.39999999999999858</v>
      </c>
      <c r="BJ564" s="111">
        <f t="shared" si="436"/>
        <v>-0.29999999999999716</v>
      </c>
      <c r="BK564" s="111">
        <f t="shared" si="437"/>
        <v>-0.30000000000000071</v>
      </c>
      <c r="BL564" s="111">
        <f t="shared" si="438"/>
        <v>-0.30000000000000071</v>
      </c>
      <c r="BM564" s="111">
        <f t="shared" si="439"/>
        <v>-0.29999999999999716</v>
      </c>
      <c r="BN564" s="111">
        <f t="shared" si="440"/>
        <v>-0.19999999999999929</v>
      </c>
      <c r="BO564" s="111">
        <f t="shared" si="441"/>
        <v>-0.20000000000000284</v>
      </c>
      <c r="BR564" s="120">
        <v>7.0333924416625679E-3</v>
      </c>
      <c r="BS564" s="120">
        <v>6.7982381575237959E-3</v>
      </c>
      <c r="BT564" s="120">
        <v>6.7956029077008966E-3</v>
      </c>
      <c r="BU564" s="120">
        <v>7.0305265390227852E-3</v>
      </c>
      <c r="BV564" s="120">
        <v>7.0568123439970149E-3</v>
      </c>
      <c r="BW564" s="120">
        <v>7.0794317639127653E-3</v>
      </c>
      <c r="BX564" s="120">
        <v>6.8282309402841147E-3</v>
      </c>
      <c r="BY564" s="120">
        <v>7.3442063408368456E-3</v>
      </c>
      <c r="BZ564" s="120">
        <v>7.4190927601396643E-3</v>
      </c>
      <c r="CA564" s="120">
        <v>7.3160158243434949E-3</v>
      </c>
      <c r="CB564" s="120">
        <v>8.0410192448796616E-3</v>
      </c>
      <c r="CC564" s="120">
        <v>9.2077845602986756E-3</v>
      </c>
      <c r="CD564" s="120">
        <v>1.2385215303657509E-2</v>
      </c>
      <c r="CF564" s="120">
        <v>0.21509237772212891</v>
      </c>
      <c r="CG564" s="120">
        <v>0.19826164548921446</v>
      </c>
      <c r="CH564" s="120">
        <v>0.19393810711401516</v>
      </c>
      <c r="CI564" s="120">
        <v>0.19690912287014958</v>
      </c>
      <c r="CJ564" s="120">
        <v>0.19375721716930389</v>
      </c>
      <c r="CK564" s="120">
        <v>0.19067788886085327</v>
      </c>
      <c r="CL564" s="120">
        <v>0.1769978099798134</v>
      </c>
      <c r="CM564" s="120">
        <v>0.17858187504683051</v>
      </c>
      <c r="CN564" s="120">
        <v>0.16988037917518259</v>
      </c>
      <c r="CO564" s="120">
        <v>0.15840555757214039</v>
      </c>
      <c r="CP564" s="120">
        <v>0.15847564087001545</v>
      </c>
      <c r="CQ564" s="120">
        <v>0.15535266474331652</v>
      </c>
      <c r="CR564" s="120">
        <v>0.15854104839018437</v>
      </c>
    </row>
    <row r="565" spans="38:96" ht="12.75" x14ac:dyDescent="0.2">
      <c r="AN565" t="s">
        <v>107</v>
      </c>
      <c r="AO565" s="159">
        <v>21.2</v>
      </c>
      <c r="AP565" s="159">
        <v>20.100000000000001</v>
      </c>
      <c r="AQ565" s="159">
        <v>19.8</v>
      </c>
      <c r="AR565" s="159">
        <v>19.5</v>
      </c>
      <c r="AS565" s="126">
        <f t="shared" si="429"/>
        <v>19.350000000000001</v>
      </c>
      <c r="AT565" s="159">
        <v>19.2</v>
      </c>
      <c r="AU565" s="159">
        <v>18.8</v>
      </c>
      <c r="AV565" s="159">
        <v>18.2</v>
      </c>
      <c r="AW565" s="159">
        <v>17.7</v>
      </c>
      <c r="AX565" s="159">
        <v>17.3</v>
      </c>
      <c r="AY565" s="159">
        <v>16.8</v>
      </c>
      <c r="AZ565" s="159">
        <v>16.5</v>
      </c>
      <c r="BA565" s="159">
        <v>16.600000000000001</v>
      </c>
      <c r="BC565" s="111">
        <f t="shared" si="442"/>
        <v>-0.5</v>
      </c>
      <c r="BD565" s="111">
        <f t="shared" si="430"/>
        <v>-0.5</v>
      </c>
      <c r="BE565" s="111">
        <f t="shared" si="431"/>
        <v>-0.39999999999999858</v>
      </c>
      <c r="BF565" s="111">
        <f t="shared" si="432"/>
        <v>-0.5</v>
      </c>
      <c r="BG565" s="111">
        <f t="shared" si="433"/>
        <v>-0.39999999999999858</v>
      </c>
      <c r="BH565" s="111">
        <f t="shared" si="434"/>
        <v>-0.30000000000000071</v>
      </c>
      <c r="BI565" s="111">
        <f t="shared" si="435"/>
        <v>-0.39999999999999858</v>
      </c>
      <c r="BJ565" s="111">
        <f t="shared" si="436"/>
        <v>-0.30000000000000071</v>
      </c>
      <c r="BK565" s="111">
        <f t="shared" si="437"/>
        <v>-0.30000000000000071</v>
      </c>
      <c r="BL565" s="111">
        <f t="shared" si="438"/>
        <v>-0.30000000000000071</v>
      </c>
      <c r="BM565" s="111">
        <f t="shared" si="439"/>
        <v>-0.30000000000000071</v>
      </c>
      <c r="BN565" s="111">
        <f t="shared" si="440"/>
        <v>-0.30000000000000071</v>
      </c>
      <c r="BO565" s="111">
        <f t="shared" si="441"/>
        <v>-0.29999999999999716</v>
      </c>
      <c r="BR565" s="120">
        <v>6.5069322212573492E-3</v>
      </c>
      <c r="BS565" s="120">
        <v>6.7097027296762835E-3</v>
      </c>
      <c r="BT565" s="120">
        <v>6.7808579964468048E-3</v>
      </c>
      <c r="BU565" s="120">
        <v>6.5301288787129848E-3</v>
      </c>
      <c r="BV565" s="120">
        <v>6.6489674691314069E-3</v>
      </c>
      <c r="BW565" s="120">
        <v>6.7650960048222259E-3</v>
      </c>
      <c r="BX565" s="120">
        <v>6.9766797410022218E-3</v>
      </c>
      <c r="BY565" s="120">
        <v>6.9015345074415896E-3</v>
      </c>
      <c r="BZ565" s="120">
        <v>7.1342384750858771E-3</v>
      </c>
      <c r="CA565" s="120">
        <v>7.5085001541423443E-3</v>
      </c>
      <c r="CB565" s="120">
        <v>7.7140570322001487E-3</v>
      </c>
      <c r="CC565" s="120">
        <v>8.5966892337005687E-3</v>
      </c>
      <c r="CD565" s="120">
        <v>1.0950577398668318E-2</v>
      </c>
      <c r="CF565" s="120">
        <v>0.20129581931772758</v>
      </c>
      <c r="CG565" s="120">
        <v>0.19854549440141558</v>
      </c>
      <c r="CH565" s="120">
        <v>0.19646935806174237</v>
      </c>
      <c r="CI565" s="120">
        <v>0.18501093040218552</v>
      </c>
      <c r="CJ565" s="120">
        <v>0.18476912670141929</v>
      </c>
      <c r="CK565" s="120">
        <v>0.18450777370642046</v>
      </c>
      <c r="CL565" s="120">
        <v>0.1835618186389984</v>
      </c>
      <c r="CM565" s="120">
        <v>0.16960896569773046</v>
      </c>
      <c r="CN565" s="120">
        <v>0.1651527561079551</v>
      </c>
      <c r="CO565" s="120">
        <v>0.16475270463089367</v>
      </c>
      <c r="CP565" s="120">
        <v>0.15361016032889913</v>
      </c>
      <c r="CQ565" s="120">
        <v>0.1463758164100743</v>
      </c>
      <c r="CR565" s="120">
        <v>0.14117723126503484</v>
      </c>
    </row>
    <row r="566" spans="38:96" ht="12.75" x14ac:dyDescent="0.2">
      <c r="AN566" t="s">
        <v>108</v>
      </c>
      <c r="AO566" s="159">
        <v>20.8</v>
      </c>
      <c r="AP566" s="159">
        <v>19.899999999999999</v>
      </c>
      <c r="AQ566" s="159">
        <v>19.5</v>
      </c>
      <c r="AR566" s="159">
        <v>19.3</v>
      </c>
      <c r="AS566" s="126">
        <f t="shared" si="429"/>
        <v>19.100000000000001</v>
      </c>
      <c r="AT566" s="159">
        <v>18.899999999999999</v>
      </c>
      <c r="AU566" s="159">
        <v>18.5</v>
      </c>
      <c r="AV566" s="159">
        <v>17.8</v>
      </c>
      <c r="AW566" s="159">
        <v>17.2</v>
      </c>
      <c r="AX566" s="159">
        <v>16.8</v>
      </c>
      <c r="AY566" s="159">
        <v>16.2</v>
      </c>
      <c r="AZ566" s="159">
        <v>15.6</v>
      </c>
      <c r="BA566" s="159">
        <v>15.2</v>
      </c>
      <c r="BC566" s="111">
        <f t="shared" si="442"/>
        <v>-0.5</v>
      </c>
      <c r="BD566" s="111">
        <f t="shared" si="430"/>
        <v>-0.40000000000000213</v>
      </c>
      <c r="BE566" s="111">
        <f t="shared" si="431"/>
        <v>-0.5</v>
      </c>
      <c r="BF566" s="111">
        <f t="shared" si="432"/>
        <v>-0.39999999999999858</v>
      </c>
      <c r="BG566" s="111">
        <f t="shared" si="433"/>
        <v>-0.39999999999999858</v>
      </c>
      <c r="BH566" s="111">
        <f t="shared" si="434"/>
        <v>-0.40000000000000213</v>
      </c>
      <c r="BI566" s="111">
        <f t="shared" si="435"/>
        <v>-0.39999999999999858</v>
      </c>
      <c r="BJ566" s="111">
        <f t="shared" si="436"/>
        <v>-0.39999999999999858</v>
      </c>
      <c r="BK566" s="111">
        <f t="shared" si="437"/>
        <v>-0.40000000000000213</v>
      </c>
      <c r="BL566" s="111">
        <f t="shared" si="438"/>
        <v>-0.39999999999999858</v>
      </c>
      <c r="BM566" s="111">
        <f t="shared" si="439"/>
        <v>-0.30000000000000071</v>
      </c>
      <c r="BN566" s="111">
        <f t="shared" si="440"/>
        <v>-0.30000000000000071</v>
      </c>
      <c r="BO566" s="111">
        <f t="shared" si="441"/>
        <v>-0.30000000000000071</v>
      </c>
      <c r="BR566" s="120">
        <v>6.1802186392494202E-3</v>
      </c>
      <c r="BS566" s="120">
        <v>6.2306696610469571E-3</v>
      </c>
      <c r="BT566" s="120">
        <v>6.0772280179037449E-3</v>
      </c>
      <c r="BU566" s="120">
        <v>6.4978886762389575E-3</v>
      </c>
      <c r="BV566" s="120">
        <v>6.4567407497824903E-3</v>
      </c>
      <c r="BW566" s="120">
        <v>6.4083621062291148E-3</v>
      </c>
      <c r="BX566" s="120">
        <v>6.4220588090086366E-3</v>
      </c>
      <c r="BY566" s="120">
        <v>6.710765629300593E-3</v>
      </c>
      <c r="BZ566" s="120">
        <v>6.7365527437554277E-3</v>
      </c>
      <c r="CA566" s="120">
        <v>6.8528443130903005E-3</v>
      </c>
      <c r="CB566" s="120">
        <v>7.4151504828271686E-3</v>
      </c>
      <c r="CC566" s="120">
        <v>8.1977609863825955E-3</v>
      </c>
      <c r="CD566" s="120">
        <v>1.039055310463197E-2</v>
      </c>
      <c r="CF566" s="120">
        <v>0.19998589221127203</v>
      </c>
      <c r="CG566" s="120">
        <v>0.1925195289430334</v>
      </c>
      <c r="CH566" s="120">
        <v>0.18348662804905716</v>
      </c>
      <c r="CI566" s="120">
        <v>0.19242312306815906</v>
      </c>
      <c r="CJ566" s="120">
        <v>0.1873099908209041</v>
      </c>
      <c r="CK566" s="120">
        <v>0.18224288179236164</v>
      </c>
      <c r="CL566" s="120">
        <v>0.17596296417874821</v>
      </c>
      <c r="CM566" s="120">
        <v>0.1717821750102756</v>
      </c>
      <c r="CN566" s="120">
        <v>0.16215713561649064</v>
      </c>
      <c r="CO566" s="120">
        <v>0.15607743384460598</v>
      </c>
      <c r="CP566" s="120">
        <v>0.15321244866434494</v>
      </c>
      <c r="CQ566" s="120">
        <v>0.14447939926574224</v>
      </c>
      <c r="CR566" s="120">
        <v>0.13816326906630616</v>
      </c>
    </row>
    <row r="567" spans="38:96" ht="12.75" x14ac:dyDescent="0.2">
      <c r="AN567" t="s">
        <v>109</v>
      </c>
      <c r="AO567" s="159">
        <v>20.6</v>
      </c>
      <c r="AP567" s="159">
        <v>19.7</v>
      </c>
      <c r="AQ567" s="159">
        <v>19.399999999999999</v>
      </c>
      <c r="AR567" s="159">
        <v>19.2</v>
      </c>
      <c r="AS567" s="126">
        <f t="shared" si="429"/>
        <v>18.95</v>
      </c>
      <c r="AT567" s="159">
        <v>18.7</v>
      </c>
      <c r="AU567" s="159">
        <v>18.3</v>
      </c>
      <c r="AV567" s="159">
        <v>17.600000000000001</v>
      </c>
      <c r="AW567" s="159">
        <v>17</v>
      </c>
      <c r="AX567" s="159">
        <v>16.600000000000001</v>
      </c>
      <c r="AY567" s="159">
        <v>15.9</v>
      </c>
      <c r="AZ567" s="159">
        <v>15.2</v>
      </c>
      <c r="BA567" s="159">
        <v>14.4</v>
      </c>
      <c r="BC567" s="111">
        <f t="shared" si="442"/>
        <v>-0.5</v>
      </c>
      <c r="BD567" s="111">
        <f t="shared" si="430"/>
        <v>-0.5</v>
      </c>
      <c r="BE567" s="111">
        <f t="shared" si="431"/>
        <v>-0.5</v>
      </c>
      <c r="BF567" s="111">
        <f t="shared" si="432"/>
        <v>-0.40000000000000213</v>
      </c>
      <c r="BG567" s="111">
        <f t="shared" si="433"/>
        <v>-0.40000000000000213</v>
      </c>
      <c r="BH567" s="111">
        <f t="shared" si="434"/>
        <v>-0.40000000000000213</v>
      </c>
      <c r="BI567" s="111">
        <f t="shared" si="435"/>
        <v>-0.39999999999999858</v>
      </c>
      <c r="BJ567" s="111">
        <f t="shared" si="436"/>
        <v>-0.39999999999999858</v>
      </c>
      <c r="BK567" s="111">
        <f t="shared" si="437"/>
        <v>-0.39999999999999858</v>
      </c>
      <c r="BL567" s="111">
        <f t="shared" si="438"/>
        <v>-0.29999999999999716</v>
      </c>
      <c r="BM567" s="111">
        <f t="shared" si="439"/>
        <v>-0.40000000000000036</v>
      </c>
      <c r="BN567" s="111">
        <f t="shared" si="440"/>
        <v>-0.30000000000000071</v>
      </c>
      <c r="BO567" s="111">
        <f t="shared" si="441"/>
        <v>-0.29999999999999893</v>
      </c>
      <c r="BR567" s="120">
        <v>6.0140069710401464E-3</v>
      </c>
      <c r="BS567" s="120">
        <v>5.9850803426265264E-3</v>
      </c>
      <c r="BT567" s="120">
        <v>6.3197885595396115E-3</v>
      </c>
      <c r="BU567" s="120">
        <v>6.1015197277920286E-3</v>
      </c>
      <c r="BV567" s="120">
        <v>6.135966754023699E-3</v>
      </c>
      <c r="BW567" s="120">
        <v>6.1640961386980496E-3</v>
      </c>
      <c r="BX567" s="120">
        <v>6.3262611858947897E-3</v>
      </c>
      <c r="BY567" s="120">
        <v>6.4301055000119947E-3</v>
      </c>
      <c r="BZ567" s="120">
        <v>6.7282604467778081E-3</v>
      </c>
      <c r="CA567" s="120">
        <v>7.0302776944176021E-3</v>
      </c>
      <c r="CB567" s="120">
        <v>7.1098448019548234E-3</v>
      </c>
      <c r="CC567" s="120">
        <v>7.9451717745717999E-3</v>
      </c>
      <c r="CD567" s="120">
        <v>9.3556142435486135E-3</v>
      </c>
      <c r="CF567" s="120">
        <v>0.20146531451587366</v>
      </c>
      <c r="CG567" s="120">
        <v>0.19092522424889799</v>
      </c>
      <c r="CH567" s="120">
        <v>0.19758931719114328</v>
      </c>
      <c r="CI567" s="120">
        <v>0.18670803129510863</v>
      </c>
      <c r="CJ567" s="120">
        <v>0.1838101025844317</v>
      </c>
      <c r="CK567" s="120">
        <v>0.18088569649736072</v>
      </c>
      <c r="CL567" s="120">
        <v>0.17875069221512421</v>
      </c>
      <c r="CM567" s="120">
        <v>0.16962218555328573</v>
      </c>
      <c r="CN567" s="120">
        <v>0.16684480965881202</v>
      </c>
      <c r="CO567" s="120">
        <v>0.1648552819424646</v>
      </c>
      <c r="CP567" s="120">
        <v>0.15089901454710547</v>
      </c>
      <c r="CQ567" s="120">
        <v>0.14363189904950796</v>
      </c>
      <c r="CR567" s="120">
        <v>0.12708518181101053</v>
      </c>
    </row>
    <row r="568" spans="38:96" ht="12.75" x14ac:dyDescent="0.2">
      <c r="AN568" t="s">
        <v>110</v>
      </c>
      <c r="AO568" s="159">
        <v>20.399999999999999</v>
      </c>
      <c r="AP568" s="159">
        <v>19.600000000000001</v>
      </c>
      <c r="AQ568" s="159">
        <v>19.3</v>
      </c>
      <c r="AR568" s="159">
        <v>19</v>
      </c>
      <c r="AS568" s="126">
        <f t="shared" si="429"/>
        <v>18.75</v>
      </c>
      <c r="AT568" s="159">
        <v>18.5</v>
      </c>
      <c r="AU568" s="159">
        <v>18.100000000000001</v>
      </c>
      <c r="AV568" s="159">
        <v>17.399999999999999</v>
      </c>
      <c r="AW568" s="159">
        <v>16.8</v>
      </c>
      <c r="AX568" s="159">
        <v>16.3</v>
      </c>
      <c r="AY568" s="159">
        <v>15.6</v>
      </c>
      <c r="AZ568" s="141">
        <v>14.8</v>
      </c>
      <c r="BA568" s="159">
        <v>13.9</v>
      </c>
      <c r="BC568" s="111">
        <f t="shared" si="442"/>
        <v>-0.5</v>
      </c>
      <c r="BD568" s="111">
        <f t="shared" si="430"/>
        <v>-0.5</v>
      </c>
      <c r="BE568" s="111">
        <f t="shared" si="431"/>
        <v>-0.5</v>
      </c>
      <c r="BF568" s="111">
        <f t="shared" si="432"/>
        <v>-0.5</v>
      </c>
      <c r="BG568" s="111">
        <f t="shared" si="433"/>
        <v>-0.5</v>
      </c>
      <c r="BH568" s="111">
        <f t="shared" si="434"/>
        <v>-0.5</v>
      </c>
      <c r="BI568" s="111">
        <f t="shared" si="435"/>
        <v>-0.5</v>
      </c>
      <c r="BJ568" s="111">
        <f t="shared" si="436"/>
        <v>-0.40000000000000213</v>
      </c>
      <c r="BK568" s="111">
        <f t="shared" si="437"/>
        <v>-0.39999999999999858</v>
      </c>
      <c r="BL568" s="111">
        <f t="shared" si="438"/>
        <v>-0.39999999999999858</v>
      </c>
      <c r="BM568" s="111">
        <f t="shared" si="439"/>
        <v>-0.40000000000000036</v>
      </c>
      <c r="BN568" s="111">
        <f t="shared" si="440"/>
        <v>-0.29999999999999893</v>
      </c>
      <c r="BO568" s="111">
        <f t="shared" si="441"/>
        <v>-0.29999999999999893</v>
      </c>
      <c r="BR568" s="120">
        <v>5.6889637118830248E-3</v>
      </c>
      <c r="BS568" s="120">
        <v>5.9522454340533524E-3</v>
      </c>
      <c r="BT568" s="120">
        <v>5.7530047323837768E-3</v>
      </c>
      <c r="BU568" s="120">
        <v>5.795683511987536E-3</v>
      </c>
      <c r="BV568" s="120">
        <v>5.840032905559487E-3</v>
      </c>
      <c r="BW568" s="120">
        <v>5.8816609234646697E-3</v>
      </c>
      <c r="BX568" s="120">
        <v>5.9152987611901789E-3</v>
      </c>
      <c r="BY568" s="120">
        <v>6.1499150848027141E-3</v>
      </c>
      <c r="BZ568" s="120">
        <v>6.2122053362085022E-3</v>
      </c>
      <c r="CA568" s="120">
        <v>6.0252730939967941E-3</v>
      </c>
      <c r="CB568" s="120">
        <v>6.6425205618195881E-3</v>
      </c>
      <c r="CC568" s="120">
        <v>7.1984940689048026E-3</v>
      </c>
      <c r="CD568" s="120">
        <v>9.5281325364959205E-3</v>
      </c>
      <c r="CF568" s="120">
        <v>0.19376353729430118</v>
      </c>
      <c r="CG568" s="120">
        <v>0.19376975505053373</v>
      </c>
      <c r="CH568" s="120">
        <v>0.1828509351610236</v>
      </c>
      <c r="CI568" s="120">
        <v>0.17972527448871342</v>
      </c>
      <c r="CJ568" s="120">
        <v>0.17746787906395681</v>
      </c>
      <c r="CK568" s="120">
        <v>0.17526248655055926</v>
      </c>
      <c r="CL568" s="120">
        <v>0.16970426978944492</v>
      </c>
      <c r="CM568" s="120">
        <v>0.16451971948178015</v>
      </c>
      <c r="CN568" s="120">
        <v>0.15613406087061996</v>
      </c>
      <c r="CO568" s="120">
        <v>0.14279194386223806</v>
      </c>
      <c r="CP568" s="120">
        <v>0.14262976863430132</v>
      </c>
      <c r="CQ568" s="120">
        <v>0.13143135021399535</v>
      </c>
      <c r="CR568" s="120">
        <v>0.13093002634746814</v>
      </c>
    </row>
    <row r="570" spans="38:96" x14ac:dyDescent="0.2">
      <c r="AO570">
        <v>-0.5</v>
      </c>
      <c r="AP570">
        <v>-0.25</v>
      </c>
      <c r="AQ570">
        <v>-0.13</v>
      </c>
      <c r="AR570">
        <v>0</v>
      </c>
      <c r="AS570">
        <v>0.125</v>
      </c>
      <c r="AT570">
        <v>0.25</v>
      </c>
      <c r="AU570">
        <v>0.5</v>
      </c>
      <c r="AV570">
        <v>1</v>
      </c>
      <c r="AW570">
        <v>1.5</v>
      </c>
      <c r="AX570">
        <v>2</v>
      </c>
      <c r="AY570">
        <v>3</v>
      </c>
      <c r="AZ570">
        <v>5</v>
      </c>
      <c r="BA570">
        <v>10</v>
      </c>
    </row>
    <row r="571" spans="38:96" ht="12.75" x14ac:dyDescent="0.2">
      <c r="AL571" s="105" t="s">
        <v>466</v>
      </c>
      <c r="AN571" t="s">
        <v>25</v>
      </c>
      <c r="AO571" s="150">
        <v>8.5</v>
      </c>
      <c r="AP571" s="150">
        <v>7.5</v>
      </c>
      <c r="AQ571" s="150">
        <v>8.6999999999999993</v>
      </c>
      <c r="AR571" s="150">
        <v>10.3</v>
      </c>
      <c r="AS571" s="126">
        <f t="shared" ref="AS571:AS585" si="443">(AR571+AT571)/2</f>
        <v>11.7</v>
      </c>
      <c r="AT571" s="159">
        <v>13.1</v>
      </c>
      <c r="AU571" s="159">
        <v>15.7</v>
      </c>
      <c r="AV571" s="159">
        <v>20</v>
      </c>
      <c r="AW571" s="159">
        <v>23.6</v>
      </c>
      <c r="AX571" s="159">
        <v>26.7</v>
      </c>
      <c r="AY571" s="159">
        <v>31.8</v>
      </c>
      <c r="AZ571" s="159">
        <v>39.4</v>
      </c>
      <c r="BA571" s="159">
        <v>51.1</v>
      </c>
      <c r="BC571" s="111">
        <f>AO571-AO554</f>
        <v>-9.9999999999999645E-2</v>
      </c>
      <c r="BD571" s="111">
        <f t="shared" ref="BD571:BD585" si="444">AP571-AP554</f>
        <v>9.9999999999999645E-2</v>
      </c>
      <c r="BE571" s="111">
        <f t="shared" ref="BE571:BE585" si="445">AQ571-AQ554</f>
        <v>9.9999999999999645E-2</v>
      </c>
      <c r="BF571" s="111">
        <f t="shared" ref="BF571:BF585" si="446">AR571-AR554</f>
        <v>0.20000000000000107</v>
      </c>
      <c r="BG571" s="111">
        <f t="shared" ref="BG571:BG585" si="447">AS571-AS554</f>
        <v>0.14999999999999858</v>
      </c>
      <c r="BH571" s="111">
        <f t="shared" ref="BH571:BH585" si="448">AT571-AT554</f>
        <v>9.9999999999999645E-2</v>
      </c>
      <c r="BI571" s="111">
        <f t="shared" ref="BI571:BI585" si="449">AU571-AU554</f>
        <v>0.19999999999999929</v>
      </c>
      <c r="BJ571" s="111">
        <f t="shared" ref="BJ571:BJ585" si="450">AV571-AV554</f>
        <v>0.19999999999999929</v>
      </c>
      <c r="BK571" s="111">
        <f t="shared" ref="BK571:BK585" si="451">AW571-AW554</f>
        <v>0.10000000000000142</v>
      </c>
      <c r="BL571" s="111">
        <f t="shared" ref="BL571:BL585" si="452">AX571-AX554</f>
        <v>9.9999999999997868E-2</v>
      </c>
      <c r="BM571" s="111">
        <f t="shared" ref="BM571:BM585" si="453">AY571-AY554</f>
        <v>0.10000000000000142</v>
      </c>
      <c r="BN571" s="111">
        <f t="shared" ref="BN571:BN585" si="454">AZ571-AZ554</f>
        <v>0.19999999999999574</v>
      </c>
      <c r="BO571" s="111">
        <f t="shared" ref="BO571:BO585" si="455">BA571-BA554</f>
        <v>0.10000000000000142</v>
      </c>
      <c r="BR571" s="120">
        <v>2.1804284290019337E-3</v>
      </c>
      <c r="BS571" s="120">
        <v>2.0190917818128798E-3</v>
      </c>
      <c r="BT571" s="120">
        <v>2.3936692707664897E-3</v>
      </c>
      <c r="BU571" s="120">
        <v>2.8948913625978924E-3</v>
      </c>
      <c r="BV571" s="120">
        <v>3.3576405440291653E-3</v>
      </c>
      <c r="BW571" s="120">
        <v>3.8335051459086685E-3</v>
      </c>
      <c r="BX571" s="120">
        <v>4.7752703514782873E-3</v>
      </c>
      <c r="BY571" s="120">
        <v>6.5221083848109951E-3</v>
      </c>
      <c r="BZ571" s="120">
        <v>8.2128805130258931E-3</v>
      </c>
      <c r="CA571" s="120">
        <v>9.8378561669154423E-3</v>
      </c>
      <c r="CB571" s="120">
        <v>1.2971043387815377E-2</v>
      </c>
      <c r="CC571" s="120">
        <v>1.8947842791987857E-2</v>
      </c>
      <c r="CD571" s="120">
        <v>3.3012083317180162E-2</v>
      </c>
      <c r="CF571" s="120">
        <v>8.5000677295897012E-2</v>
      </c>
      <c r="CG571" s="120">
        <v>7.5000983994816334E-2</v>
      </c>
      <c r="CH571" s="120">
        <v>8.7001447006159194E-2</v>
      </c>
      <c r="CI571" s="120">
        <v>0.10302722920641653</v>
      </c>
      <c r="CJ571" s="120">
        <v>0.1170075820218716</v>
      </c>
      <c r="CK571" s="120">
        <v>0.13099512948157305</v>
      </c>
      <c r="CL571" s="120">
        <v>0.15701414371132258</v>
      </c>
      <c r="CM571" s="120">
        <v>0.20035868970209056</v>
      </c>
      <c r="CN571" s="120">
        <v>0.23532760208773507</v>
      </c>
      <c r="CO571" s="120">
        <v>0.26630558763355405</v>
      </c>
      <c r="CP571" s="120">
        <v>0.31737920057818098</v>
      </c>
      <c r="CQ571" s="120">
        <v>0.39280032842659829</v>
      </c>
      <c r="CR571" s="120">
        <v>0.51763460273079553</v>
      </c>
    </row>
    <row r="572" spans="38:96" ht="12.75" x14ac:dyDescent="0.2">
      <c r="AN572" t="s">
        <v>157</v>
      </c>
      <c r="AO572" s="150">
        <v>10.6</v>
      </c>
      <c r="AP572" s="150">
        <v>10.199999999999999</v>
      </c>
      <c r="AQ572" s="150">
        <v>11.4</v>
      </c>
      <c r="AR572" s="150">
        <v>12.7</v>
      </c>
      <c r="AS572" s="126">
        <f t="shared" si="443"/>
        <v>13.95</v>
      </c>
      <c r="AT572" s="159">
        <v>15.2</v>
      </c>
      <c r="AU572" s="159">
        <v>17.399999999999999</v>
      </c>
      <c r="AV572" s="159">
        <v>21.2</v>
      </c>
      <c r="AW572" s="159">
        <v>24.3</v>
      </c>
      <c r="AX572" s="159">
        <v>26.9</v>
      </c>
      <c r="AY572" s="159">
        <v>31.2</v>
      </c>
      <c r="AZ572" s="159">
        <v>37.4</v>
      </c>
      <c r="BA572" s="159">
        <v>46.6</v>
      </c>
      <c r="BC572" s="111">
        <f t="shared" ref="BC572:BC585" si="456">AO572-AO555</f>
        <v>-9.9999999999999645E-2</v>
      </c>
      <c r="BD572" s="111">
        <f t="shared" si="444"/>
        <v>0.19999999999999929</v>
      </c>
      <c r="BE572" s="111">
        <f t="shared" si="445"/>
        <v>0.20000000000000107</v>
      </c>
      <c r="BF572" s="111">
        <f t="shared" si="446"/>
        <v>0.19999999999999929</v>
      </c>
      <c r="BG572" s="111">
        <f t="shared" si="447"/>
        <v>0.19999999999999929</v>
      </c>
      <c r="BH572" s="111">
        <f t="shared" si="448"/>
        <v>0.19999999999999929</v>
      </c>
      <c r="BI572" s="111">
        <f t="shared" si="449"/>
        <v>0.19999999999999929</v>
      </c>
      <c r="BJ572" s="111">
        <f t="shared" si="450"/>
        <v>0.19999999999999929</v>
      </c>
      <c r="BK572" s="111">
        <f t="shared" si="451"/>
        <v>0.19999999999999929</v>
      </c>
      <c r="BL572" s="111">
        <f t="shared" si="452"/>
        <v>9.9999999999997868E-2</v>
      </c>
      <c r="BM572" s="111">
        <f t="shared" si="453"/>
        <v>9.9999999999997868E-2</v>
      </c>
      <c r="BN572" s="111">
        <f t="shared" si="454"/>
        <v>0.10000000000000142</v>
      </c>
      <c r="BO572" s="111">
        <f t="shared" si="455"/>
        <v>0.10000000000000142</v>
      </c>
      <c r="BR572" s="120">
        <v>3.2387737271226892E-3</v>
      </c>
      <c r="BS572" s="120">
        <v>3.516079037603858E-3</v>
      </c>
      <c r="BT572" s="120">
        <v>3.7647697716154688E-3</v>
      </c>
      <c r="BU572" s="120">
        <v>4.0418384229886761E-3</v>
      </c>
      <c r="BV572" s="120">
        <v>4.3900218669089856E-3</v>
      </c>
      <c r="BW572" s="120">
        <v>4.7769219454692332E-3</v>
      </c>
      <c r="BX572" s="120">
        <v>5.5132394689224483E-3</v>
      </c>
      <c r="BY572" s="120">
        <v>7.0244257982734074E-3</v>
      </c>
      <c r="BZ572" s="120">
        <v>8.4548996641305128E-3</v>
      </c>
      <c r="CA572" s="120">
        <v>9.8268012670049837E-3</v>
      </c>
      <c r="CB572" s="120">
        <v>1.2493880870675362E-2</v>
      </c>
      <c r="CC572" s="120">
        <v>1.7495453779726829E-2</v>
      </c>
      <c r="CD572" s="120">
        <v>2.8904335286630254E-2</v>
      </c>
      <c r="CF572" s="120">
        <v>0.12740702530787587</v>
      </c>
      <c r="CG572" s="120">
        <v>0.13185310804489464</v>
      </c>
      <c r="CH572" s="120">
        <v>0.13803855327693884</v>
      </c>
      <c r="CI572" s="120">
        <v>0.14503003530743905</v>
      </c>
      <c r="CJ572" s="120">
        <v>0.15431397732516161</v>
      </c>
      <c r="CK572" s="120">
        <v>0.16455439555732118</v>
      </c>
      <c r="CL572" s="120">
        <v>0.18282169328820533</v>
      </c>
      <c r="CM572" s="120">
        <v>0.21704640122402799</v>
      </c>
      <c r="CN572" s="120">
        <v>0.24595088884891894</v>
      </c>
      <c r="CO572" s="120">
        <v>0.26994307909199983</v>
      </c>
      <c r="CP572" s="120">
        <v>0.31028777998731571</v>
      </c>
      <c r="CQ572" s="120">
        <v>0.3688037512993983</v>
      </c>
      <c r="CR572" s="120">
        <v>0.45345208842551732</v>
      </c>
    </row>
    <row r="573" spans="38:96" ht="12.75" x14ac:dyDescent="0.2">
      <c r="AN573" t="s">
        <v>99</v>
      </c>
      <c r="AO573" s="150">
        <v>13.4</v>
      </c>
      <c r="AP573" s="150">
        <v>11.9</v>
      </c>
      <c r="AQ573" s="150">
        <v>12</v>
      </c>
      <c r="AR573" s="150">
        <v>12.6</v>
      </c>
      <c r="AS573" s="126">
        <f t="shared" si="443"/>
        <v>13.3</v>
      </c>
      <c r="AT573" s="159">
        <v>14</v>
      </c>
      <c r="AU573" s="159">
        <v>15.2</v>
      </c>
      <c r="AV573" s="159">
        <v>17.399999999999999</v>
      </c>
      <c r="AW573" s="159">
        <v>19.2</v>
      </c>
      <c r="AX573" s="159">
        <v>20.8</v>
      </c>
      <c r="AY573" s="159">
        <v>23.5</v>
      </c>
      <c r="AZ573" s="159">
        <v>27.5</v>
      </c>
      <c r="BA573" s="159">
        <v>34</v>
      </c>
      <c r="BC573" s="111">
        <f t="shared" si="456"/>
        <v>-9.9999999999999645E-2</v>
      </c>
      <c r="BD573" s="111">
        <f t="shared" si="444"/>
        <v>0</v>
      </c>
      <c r="BE573" s="111">
        <f t="shared" si="445"/>
        <v>9.9999999999999645E-2</v>
      </c>
      <c r="BF573" s="111">
        <f t="shared" si="446"/>
        <v>9.9999999999999645E-2</v>
      </c>
      <c r="BG573" s="111">
        <f t="shared" si="447"/>
        <v>0.10000000000000142</v>
      </c>
      <c r="BH573" s="111">
        <f t="shared" si="448"/>
        <v>9.9999999999999645E-2</v>
      </c>
      <c r="BI573" s="111">
        <f t="shared" si="449"/>
        <v>0</v>
      </c>
      <c r="BJ573" s="111">
        <f t="shared" si="450"/>
        <v>9.9999999999997868E-2</v>
      </c>
      <c r="BK573" s="111">
        <f t="shared" si="451"/>
        <v>0</v>
      </c>
      <c r="BL573" s="111">
        <f t="shared" si="452"/>
        <v>0</v>
      </c>
      <c r="BM573" s="111">
        <f t="shared" si="453"/>
        <v>0.10000000000000142</v>
      </c>
      <c r="BN573" s="111">
        <f t="shared" si="454"/>
        <v>0</v>
      </c>
      <c r="BO573" s="111">
        <f t="shared" si="455"/>
        <v>0.10000000000000142</v>
      </c>
      <c r="BR573" s="120">
        <v>3.52433090229928E-3</v>
      </c>
      <c r="BS573" s="120">
        <v>3.279908045394732E-3</v>
      </c>
      <c r="BT573" s="120">
        <v>3.3816067477354431E-3</v>
      </c>
      <c r="BU573" s="120">
        <v>3.6277699432344249E-3</v>
      </c>
      <c r="BV573" s="120">
        <v>3.9093876775646045E-3</v>
      </c>
      <c r="BW573" s="120">
        <v>4.1981771911062792E-3</v>
      </c>
      <c r="BX573" s="120">
        <v>4.7349786596558195E-3</v>
      </c>
      <c r="BY573" s="120">
        <v>5.811119480847963E-3</v>
      </c>
      <c r="BZ573" s="120">
        <v>6.8259951507344966E-3</v>
      </c>
      <c r="CA573" s="120">
        <v>7.8272689079779134E-3</v>
      </c>
      <c r="CB573" s="120">
        <v>9.7775859200926046E-3</v>
      </c>
      <c r="CC573" s="120">
        <v>1.3473021814108614E-2</v>
      </c>
      <c r="CD573" s="120">
        <v>2.2264164336285721E-2</v>
      </c>
      <c r="CF573" s="120">
        <v>0.13402335344990274</v>
      </c>
      <c r="CG573" s="120">
        <v>0.11895337541575299</v>
      </c>
      <c r="CH573" s="120">
        <v>0.11993428161786206</v>
      </c>
      <c r="CI573" s="120">
        <v>0.12593070415336766</v>
      </c>
      <c r="CJ573" s="120">
        <v>0.13292200065802892</v>
      </c>
      <c r="CK573" s="120">
        <v>0.13990973081031013</v>
      </c>
      <c r="CL573" s="120">
        <v>0.15188759306439975</v>
      </c>
      <c r="CM573" s="120">
        <v>0.17383908189301259</v>
      </c>
      <c r="CN573" s="120">
        <v>0.19180168220947993</v>
      </c>
      <c r="CO573" s="120">
        <v>0.20777160154085744</v>
      </c>
      <c r="CP573" s="120">
        <v>0.23471506921346486</v>
      </c>
      <c r="CQ573" s="120">
        <v>0.27465016697467676</v>
      </c>
      <c r="CR573" s="120">
        <v>0.33956884935998183</v>
      </c>
    </row>
    <row r="574" spans="38:96" ht="12.75" x14ac:dyDescent="0.2">
      <c r="AN574" t="s">
        <v>101</v>
      </c>
      <c r="AO574" s="150">
        <v>15.5</v>
      </c>
      <c r="AP574" s="150">
        <v>14.1</v>
      </c>
      <c r="AQ574" s="150">
        <v>14.2</v>
      </c>
      <c r="AR574" s="150">
        <v>14.6</v>
      </c>
      <c r="AS574" s="126">
        <f t="shared" si="443"/>
        <v>15.149999999999999</v>
      </c>
      <c r="AT574" s="159">
        <v>15.7</v>
      </c>
      <c r="AU574" s="159">
        <v>16.7</v>
      </c>
      <c r="AV574" s="159">
        <v>18.5</v>
      </c>
      <c r="AW574" s="159">
        <v>20.100000000000001</v>
      </c>
      <c r="AX574" s="159">
        <v>21.5</v>
      </c>
      <c r="AY574" s="159">
        <v>23.8</v>
      </c>
      <c r="AZ574" s="159">
        <v>27.1</v>
      </c>
      <c r="BA574" s="159">
        <v>31.8</v>
      </c>
      <c r="BC574" s="111">
        <f t="shared" si="456"/>
        <v>-9.9999999999999645E-2</v>
      </c>
      <c r="BD574" s="111">
        <f t="shared" si="444"/>
        <v>0</v>
      </c>
      <c r="BE574" s="111">
        <f t="shared" si="445"/>
        <v>9.9999999999999645E-2</v>
      </c>
      <c r="BF574" s="111">
        <f t="shared" si="446"/>
        <v>0</v>
      </c>
      <c r="BG574" s="111">
        <f t="shared" si="447"/>
        <v>4.9999999999998934E-2</v>
      </c>
      <c r="BH574" s="111">
        <f t="shared" si="448"/>
        <v>9.9999999999999645E-2</v>
      </c>
      <c r="BI574" s="111">
        <f t="shared" si="449"/>
        <v>9.9999999999997868E-2</v>
      </c>
      <c r="BJ574" s="111">
        <f t="shared" si="450"/>
        <v>0.10000000000000142</v>
      </c>
      <c r="BK574" s="111">
        <f t="shared" si="451"/>
        <v>0.10000000000000142</v>
      </c>
      <c r="BL574" s="111">
        <f t="shared" si="452"/>
        <v>0.10000000000000142</v>
      </c>
      <c r="BM574" s="111">
        <f t="shared" si="453"/>
        <v>0.10000000000000142</v>
      </c>
      <c r="BN574" s="111">
        <f t="shared" si="454"/>
        <v>0.20000000000000284</v>
      </c>
      <c r="BO574" s="111">
        <f t="shared" si="455"/>
        <v>0.10000000000000142</v>
      </c>
      <c r="BR574" s="120">
        <v>5.4608645111179684E-3</v>
      </c>
      <c r="BS574" s="120">
        <v>5.5091449933679015E-3</v>
      </c>
      <c r="BT574" s="120">
        <v>5.5974452632532763E-3</v>
      </c>
      <c r="BU574" s="120">
        <v>5.5901198538407283E-3</v>
      </c>
      <c r="BV574" s="120">
        <v>5.6662622225758944E-3</v>
      </c>
      <c r="BW574" s="120">
        <v>5.7665109570704445E-3</v>
      </c>
      <c r="BX574" s="120">
        <v>6.0574401900197888E-3</v>
      </c>
      <c r="BY574" s="120">
        <v>6.7692151626709759E-3</v>
      </c>
      <c r="BZ574" s="120">
        <v>7.6317256069602145E-3</v>
      </c>
      <c r="CA574" s="120">
        <v>8.5007614864573908E-3</v>
      </c>
      <c r="CB574" s="120">
        <v>1.0194583239672166E-2</v>
      </c>
      <c r="CC574" s="120">
        <v>1.34012257000138E-2</v>
      </c>
      <c r="CD574" s="120">
        <v>2.0410720458150029E-2</v>
      </c>
      <c r="CF574" s="120">
        <v>0.20312223988683667</v>
      </c>
      <c r="CG574" s="120">
        <v>0.19548244035003096</v>
      </c>
      <c r="CH574" s="120">
        <v>0.19425288868042731</v>
      </c>
      <c r="CI574" s="120">
        <v>0.18982903726015241</v>
      </c>
      <c r="CJ574" s="120">
        <v>0.18845692234042122</v>
      </c>
      <c r="CK574" s="120">
        <v>0.18798861932302097</v>
      </c>
      <c r="CL574" s="120">
        <v>0.19012656451049192</v>
      </c>
      <c r="CM574" s="120">
        <v>0.19828524858382482</v>
      </c>
      <c r="CN574" s="120">
        <v>0.2101608066299393</v>
      </c>
      <c r="CO574" s="120">
        <v>0.22130874308667542</v>
      </c>
      <c r="CP574" s="120">
        <v>0.24033244054342937</v>
      </c>
      <c r="CQ574" s="120">
        <v>0.26863012095832528</v>
      </c>
      <c r="CR574" s="120">
        <v>0.30625955713403108</v>
      </c>
    </row>
    <row r="575" spans="38:96" ht="12.75" x14ac:dyDescent="0.2">
      <c r="AN575" t="s">
        <v>102</v>
      </c>
      <c r="AO575" s="150">
        <v>17.5</v>
      </c>
      <c r="AP575" s="150">
        <v>16.100000000000001</v>
      </c>
      <c r="AQ575" s="150">
        <v>16.100000000000001</v>
      </c>
      <c r="AR575" s="150">
        <v>16.399999999999999</v>
      </c>
      <c r="AS575" s="126">
        <f t="shared" si="443"/>
        <v>16.75</v>
      </c>
      <c r="AT575" s="159">
        <v>17.100000000000001</v>
      </c>
      <c r="AU575" s="159">
        <v>17.8</v>
      </c>
      <c r="AV575" s="159">
        <v>19</v>
      </c>
      <c r="AW575" s="159">
        <v>20.100000000000001</v>
      </c>
      <c r="AX575" s="159">
        <v>21.1</v>
      </c>
      <c r="AY575" s="159">
        <v>22.9</v>
      </c>
      <c r="AZ575" s="141">
        <v>25.5</v>
      </c>
      <c r="BA575" s="159">
        <v>29.1</v>
      </c>
      <c r="BC575" s="111">
        <f t="shared" si="456"/>
        <v>-0.10000000000000142</v>
      </c>
      <c r="BD575" s="111">
        <f t="shared" si="444"/>
        <v>0</v>
      </c>
      <c r="BE575" s="111">
        <f t="shared" si="445"/>
        <v>0.10000000000000142</v>
      </c>
      <c r="BF575" s="111">
        <f t="shared" si="446"/>
        <v>9.9999999999997868E-2</v>
      </c>
      <c r="BG575" s="111">
        <f t="shared" si="447"/>
        <v>0.10000000000000142</v>
      </c>
      <c r="BH575" s="111">
        <f t="shared" si="448"/>
        <v>0.10000000000000142</v>
      </c>
      <c r="BI575" s="111">
        <f t="shared" si="449"/>
        <v>0.10000000000000142</v>
      </c>
      <c r="BJ575" s="111">
        <f t="shared" si="450"/>
        <v>0.10000000000000142</v>
      </c>
      <c r="BK575" s="111">
        <f t="shared" si="451"/>
        <v>0.10000000000000142</v>
      </c>
      <c r="BL575" s="111">
        <f t="shared" si="452"/>
        <v>0.10000000000000142</v>
      </c>
      <c r="BM575" s="111">
        <f t="shared" si="453"/>
        <v>0.19999999999999929</v>
      </c>
      <c r="BN575" s="111">
        <f t="shared" si="454"/>
        <v>0.19999999999999929</v>
      </c>
      <c r="BO575" s="111">
        <f t="shared" si="455"/>
        <v>0.10000000000000142</v>
      </c>
      <c r="BR575" s="120">
        <v>6.253224823736297E-3</v>
      </c>
      <c r="BS575" s="120">
        <v>6.1519723002332735E-3</v>
      </c>
      <c r="BT575" s="120">
        <v>6.1464289168554551E-3</v>
      </c>
      <c r="BU575" s="120">
        <v>6.2484124821815838E-3</v>
      </c>
      <c r="BV575" s="120">
        <v>6.2608511063440061E-3</v>
      </c>
      <c r="BW575" s="120">
        <v>6.2874109859501941E-3</v>
      </c>
      <c r="BX575" s="120">
        <v>6.4562121260223629E-3</v>
      </c>
      <c r="BY575" s="120">
        <v>6.8837571686104163E-3</v>
      </c>
      <c r="BZ575" s="120">
        <v>7.4372560293799435E-3</v>
      </c>
      <c r="CA575" s="120">
        <v>8.0701896851191786E-3</v>
      </c>
      <c r="CB575" s="120">
        <v>9.5096342740454958E-3</v>
      </c>
      <c r="CC575" s="120">
        <v>1.2284956833020992E-2</v>
      </c>
      <c r="CD575" s="120">
        <v>1.8524979241726344E-2</v>
      </c>
      <c r="CF575" s="120">
        <v>0.22487069958865283</v>
      </c>
      <c r="CG575" s="120">
        <v>0.21093528917091883</v>
      </c>
      <c r="CH575" s="120">
        <v>0.20609264187678333</v>
      </c>
      <c r="CI575" s="120">
        <v>0.20517021493700172</v>
      </c>
      <c r="CJ575" s="120">
        <v>0.2013767917173313</v>
      </c>
      <c r="CK575" s="120">
        <v>0.19823724956210681</v>
      </c>
      <c r="CL575" s="120">
        <v>0.19601605292373298</v>
      </c>
      <c r="CM575" s="120">
        <v>0.19505778244273864</v>
      </c>
      <c r="CN575" s="120">
        <v>0.19808523493387775</v>
      </c>
      <c r="CO575" s="120">
        <v>0.20321090038378364</v>
      </c>
      <c r="CP575" s="120">
        <v>0.21696786106218427</v>
      </c>
      <c r="CQ575" s="120">
        <v>0.23859395734529135</v>
      </c>
      <c r="CR575" s="120">
        <v>0.2702641716093051</v>
      </c>
    </row>
    <row r="576" spans="38:96" ht="12.75" x14ac:dyDescent="0.2">
      <c r="AN576" t="s">
        <v>103</v>
      </c>
      <c r="AO576" s="150">
        <v>18.8</v>
      </c>
      <c r="AP576" s="150">
        <v>17.5</v>
      </c>
      <c r="AQ576" s="150">
        <v>17.399999999999999</v>
      </c>
      <c r="AR576" s="150">
        <v>17.600000000000001</v>
      </c>
      <c r="AS576" s="126">
        <f t="shared" si="443"/>
        <v>17.8</v>
      </c>
      <c r="AT576" s="159">
        <v>18</v>
      </c>
      <c r="AU576" s="159">
        <v>18.399999999999999</v>
      </c>
      <c r="AV576" s="159">
        <v>19.2</v>
      </c>
      <c r="AW576" s="159">
        <v>19.899999999999999</v>
      </c>
      <c r="AX576" s="159">
        <v>20.6</v>
      </c>
      <c r="AY576" s="159">
        <v>21.8</v>
      </c>
      <c r="AZ576" s="159">
        <v>23.8</v>
      </c>
      <c r="BA576" s="159">
        <v>26.7</v>
      </c>
      <c r="BC576" s="111">
        <f t="shared" si="456"/>
        <v>-9.9999999999997868E-2</v>
      </c>
      <c r="BD576" s="111">
        <f t="shared" si="444"/>
        <v>-0.10000000000000142</v>
      </c>
      <c r="BE576" s="111">
        <f t="shared" si="445"/>
        <v>0</v>
      </c>
      <c r="BF576" s="111">
        <f t="shared" si="446"/>
        <v>0</v>
      </c>
      <c r="BG576" s="111">
        <f t="shared" si="447"/>
        <v>0</v>
      </c>
      <c r="BH576" s="111">
        <f t="shared" si="448"/>
        <v>0</v>
      </c>
      <c r="BI576" s="111">
        <f t="shared" si="449"/>
        <v>0</v>
      </c>
      <c r="BJ576" s="111">
        <f t="shared" si="450"/>
        <v>9.9999999999997868E-2</v>
      </c>
      <c r="BK576" s="111">
        <f t="shared" si="451"/>
        <v>9.9999999999997868E-2</v>
      </c>
      <c r="BL576" s="111">
        <f t="shared" si="452"/>
        <v>0.10000000000000142</v>
      </c>
      <c r="BM576" s="111">
        <f t="shared" si="453"/>
        <v>0.10000000000000142</v>
      </c>
      <c r="BN576" s="111">
        <f t="shared" si="454"/>
        <v>0.10000000000000142</v>
      </c>
      <c r="BO576" s="111">
        <f t="shared" si="455"/>
        <v>0</v>
      </c>
      <c r="BR576" s="120">
        <v>6.5514135750107385E-3</v>
      </c>
      <c r="BS576" s="120">
        <v>6.6168601046780115E-3</v>
      </c>
      <c r="BT576" s="120">
        <v>6.6008359520942856E-3</v>
      </c>
      <c r="BU576" s="120">
        <v>6.6412586925872191E-3</v>
      </c>
      <c r="BV576" s="120">
        <v>6.6517054132258155E-3</v>
      </c>
      <c r="BW576" s="120">
        <v>6.6687512517553567E-3</v>
      </c>
      <c r="BX576" s="120">
        <v>6.7170492461561511E-3</v>
      </c>
      <c r="BY576" s="120">
        <v>7.1330324862143041E-3</v>
      </c>
      <c r="BZ576" s="120">
        <v>7.5841391307096724E-3</v>
      </c>
      <c r="CA576" s="120">
        <v>8.1437382687831652E-3</v>
      </c>
      <c r="CB576" s="120">
        <v>9.1848071400264329E-3</v>
      </c>
      <c r="CC576" s="120">
        <v>1.1590486486410036E-2</v>
      </c>
      <c r="CD576" s="120">
        <v>1.7234178098420417E-2</v>
      </c>
      <c r="CF576" s="120">
        <v>0.22718861082769165</v>
      </c>
      <c r="CG576" s="120">
        <v>0.21909442626070694</v>
      </c>
      <c r="CH576" s="120">
        <v>0.21379601612124718</v>
      </c>
      <c r="CI576" s="120">
        <v>0.21058302814454477</v>
      </c>
      <c r="CJ576" s="120">
        <v>0.20664515694327198</v>
      </c>
      <c r="CK576" s="120">
        <v>0.20312430159701469</v>
      </c>
      <c r="CL576" s="120">
        <v>0.19702414731662563</v>
      </c>
      <c r="CM576" s="120">
        <v>0.19548556280664964</v>
      </c>
      <c r="CN576" s="120">
        <v>0.19553655999685909</v>
      </c>
      <c r="CO576" s="120">
        <v>0.19866798075988418</v>
      </c>
      <c r="CP576" s="120">
        <v>0.20307392343953087</v>
      </c>
      <c r="CQ576" s="120">
        <v>0.21847840095602863</v>
      </c>
      <c r="CR576" s="120">
        <v>0.24452553855383299</v>
      </c>
    </row>
    <row r="577" spans="38:96" ht="12.75" x14ac:dyDescent="0.2">
      <c r="AN577" t="s">
        <v>104</v>
      </c>
      <c r="AO577" s="150">
        <v>19.8</v>
      </c>
      <c r="AP577" s="150">
        <v>18.5</v>
      </c>
      <c r="AQ577" s="150">
        <v>18.399999999999999</v>
      </c>
      <c r="AR577" s="150">
        <v>18.399999999999999</v>
      </c>
      <c r="AS577" s="126">
        <f t="shared" si="443"/>
        <v>18.5</v>
      </c>
      <c r="AT577" s="159">
        <v>18.600000000000001</v>
      </c>
      <c r="AU577" s="159">
        <v>18.8</v>
      </c>
      <c r="AV577" s="159">
        <v>19.2</v>
      </c>
      <c r="AW577" s="159">
        <v>19.600000000000001</v>
      </c>
      <c r="AX577" s="159">
        <v>19.899999999999999</v>
      </c>
      <c r="AY577" s="159">
        <v>20.7</v>
      </c>
      <c r="AZ577" s="159">
        <v>22.1</v>
      </c>
      <c r="BA577" s="159">
        <v>24.5</v>
      </c>
      <c r="BC577" s="111">
        <f t="shared" si="456"/>
        <v>-9.9999999999997868E-2</v>
      </c>
      <c r="BD577" s="111">
        <f t="shared" si="444"/>
        <v>-0.10000000000000142</v>
      </c>
      <c r="BE577" s="111">
        <f t="shared" si="445"/>
        <v>0</v>
      </c>
      <c r="BF577" s="111">
        <f t="shared" si="446"/>
        <v>0</v>
      </c>
      <c r="BG577" s="111">
        <f t="shared" si="447"/>
        <v>0</v>
      </c>
      <c r="BH577" s="111">
        <f t="shared" si="448"/>
        <v>0</v>
      </c>
      <c r="BI577" s="111">
        <f t="shared" si="449"/>
        <v>0</v>
      </c>
      <c r="BJ577" s="111">
        <f t="shared" si="450"/>
        <v>0</v>
      </c>
      <c r="BK577" s="111">
        <f t="shared" si="451"/>
        <v>0.10000000000000142</v>
      </c>
      <c r="BL577" s="111">
        <f t="shared" si="452"/>
        <v>0</v>
      </c>
      <c r="BM577" s="111">
        <f t="shared" si="453"/>
        <v>0</v>
      </c>
      <c r="BN577" s="111">
        <f t="shared" si="454"/>
        <v>0</v>
      </c>
      <c r="BO577" s="111">
        <f t="shared" si="455"/>
        <v>0</v>
      </c>
      <c r="BR577" s="120">
        <v>7.0922477086378726E-3</v>
      </c>
      <c r="BS577" s="120">
        <v>6.9877637210691689E-3</v>
      </c>
      <c r="BT577" s="120">
        <v>7.1106586035273051E-3</v>
      </c>
      <c r="BU577" s="120">
        <v>6.9383598013960171E-3</v>
      </c>
      <c r="BV577" s="120">
        <v>6.9597643185019941E-3</v>
      </c>
      <c r="BW577" s="120">
        <v>6.9830531713728087E-3</v>
      </c>
      <c r="BX577" s="120">
        <v>7.0533727315046932E-3</v>
      </c>
      <c r="BY577" s="120">
        <v>7.2111982536586915E-3</v>
      </c>
      <c r="BZ577" s="120">
        <v>7.5708346951115718E-3</v>
      </c>
      <c r="CA577" s="120">
        <v>7.7942372405864864E-3</v>
      </c>
      <c r="CB577" s="120">
        <v>8.7926378385972392E-3</v>
      </c>
      <c r="CC577" s="120">
        <v>1.0734751478473106E-2</v>
      </c>
      <c r="CD577" s="120">
        <v>1.5849550767409709E-2</v>
      </c>
      <c r="CF577" s="120">
        <v>0.23756402830944259</v>
      </c>
      <c r="CG577" s="120">
        <v>0.22328399398650098</v>
      </c>
      <c r="CH577" s="120">
        <v>0.22243522635237109</v>
      </c>
      <c r="CI577" s="120">
        <v>0.2123407910092287</v>
      </c>
      <c r="CJ577" s="120">
        <v>0.20872857109484705</v>
      </c>
      <c r="CK577" s="120">
        <v>0.20537071245754582</v>
      </c>
      <c r="CL577" s="120">
        <v>0.19987605962002936</v>
      </c>
      <c r="CM577" s="120">
        <v>0.19084302218554927</v>
      </c>
      <c r="CN577" s="120">
        <v>0.18855596135445976</v>
      </c>
      <c r="CO577" s="120">
        <v>0.18356472040634167</v>
      </c>
      <c r="CP577" s="120">
        <v>0.18797337125394975</v>
      </c>
      <c r="CQ577" s="120">
        <v>0.19578914135168454</v>
      </c>
      <c r="CR577" s="120">
        <v>0.21817763472419197</v>
      </c>
    </row>
    <row r="578" spans="38:96" ht="12.75" x14ac:dyDescent="0.2">
      <c r="AN578" t="s">
        <v>105</v>
      </c>
      <c r="AO578" s="150">
        <v>20.5</v>
      </c>
      <c r="AP578" s="150">
        <v>19.3</v>
      </c>
      <c r="AQ578" s="150">
        <v>19</v>
      </c>
      <c r="AR578" s="150">
        <v>19</v>
      </c>
      <c r="AS578" s="126">
        <f t="shared" si="443"/>
        <v>19.05</v>
      </c>
      <c r="AT578" s="159">
        <v>19.100000000000001</v>
      </c>
      <c r="AU578" s="159">
        <v>19.100000000000001</v>
      </c>
      <c r="AV578" s="159">
        <v>19.2</v>
      </c>
      <c r="AW578" s="159">
        <v>19.2</v>
      </c>
      <c r="AX578" s="159">
        <v>19.399999999999999</v>
      </c>
      <c r="AY578" s="159">
        <v>19.8</v>
      </c>
      <c r="AZ578" s="159">
        <v>20.8</v>
      </c>
      <c r="BA578" s="159">
        <v>22.7</v>
      </c>
      <c r="BC578" s="111">
        <f t="shared" si="456"/>
        <v>-0.10000000000000142</v>
      </c>
      <c r="BD578" s="111">
        <f t="shared" si="444"/>
        <v>0</v>
      </c>
      <c r="BE578" s="111">
        <f t="shared" si="445"/>
        <v>-0.10000000000000142</v>
      </c>
      <c r="BF578" s="111">
        <f t="shared" si="446"/>
        <v>0</v>
      </c>
      <c r="BG578" s="111">
        <f t="shared" si="447"/>
        <v>0</v>
      </c>
      <c r="BH578" s="111">
        <f t="shared" si="448"/>
        <v>0</v>
      </c>
      <c r="BI578" s="111">
        <f t="shared" si="449"/>
        <v>0</v>
      </c>
      <c r="BJ578" s="111">
        <f t="shared" si="450"/>
        <v>0</v>
      </c>
      <c r="BK578" s="111">
        <f t="shared" si="451"/>
        <v>0</v>
      </c>
      <c r="BL578" s="111">
        <f t="shared" si="452"/>
        <v>0</v>
      </c>
      <c r="BM578" s="111">
        <f t="shared" si="453"/>
        <v>0</v>
      </c>
      <c r="BN578" s="111">
        <f t="shared" si="454"/>
        <v>0.10000000000000142</v>
      </c>
      <c r="BO578" s="111">
        <f t="shared" si="455"/>
        <v>0</v>
      </c>
      <c r="BR578" s="120">
        <v>7.242293754555075E-3</v>
      </c>
      <c r="BS578" s="120">
        <v>7.4048373755956206E-3</v>
      </c>
      <c r="BT578" s="120">
        <v>7.0540043118373493E-3</v>
      </c>
      <c r="BU578" s="120">
        <v>7.2678962962356109E-3</v>
      </c>
      <c r="BV578" s="120">
        <v>7.3395196280326936E-3</v>
      </c>
      <c r="BW578" s="120">
        <v>7.4085900373526588E-3</v>
      </c>
      <c r="BX578" s="120">
        <v>7.3346316363585989E-3</v>
      </c>
      <c r="BY578" s="120">
        <v>7.47556136570316E-3</v>
      </c>
      <c r="BZ578" s="120">
        <v>7.4446606166842615E-3</v>
      </c>
      <c r="CA578" s="120">
        <v>7.9921990857710155E-3</v>
      </c>
      <c r="CB578" s="120">
        <v>8.6592001824478612E-3</v>
      </c>
      <c r="CC578" s="120">
        <v>1.0536337956899244E-2</v>
      </c>
      <c r="CD578" s="120">
        <v>1.5051806400799244E-2</v>
      </c>
      <c r="CF578" s="120">
        <v>0.2351823975947224</v>
      </c>
      <c r="CG578" s="120">
        <v>0.22988420382821531</v>
      </c>
      <c r="CH578" s="120">
        <v>0.21383980528188817</v>
      </c>
      <c r="CI578" s="120">
        <v>0.21606328463245714</v>
      </c>
      <c r="CJ578" s="120">
        <v>0.2138993522273431</v>
      </c>
      <c r="CK578" s="120">
        <v>0.21180073077075609</v>
      </c>
      <c r="CL578" s="120">
        <v>0.20194080877761797</v>
      </c>
      <c r="CM578" s="120">
        <v>0.19239076307725847</v>
      </c>
      <c r="CN578" s="120">
        <v>0.18015603171889516</v>
      </c>
      <c r="CO578" s="120">
        <v>0.18330221415707468</v>
      </c>
      <c r="CP578" s="120">
        <v>0.180228159681181</v>
      </c>
      <c r="CQ578" s="120">
        <v>0.18749116699732121</v>
      </c>
      <c r="CR578" s="120">
        <v>0.2024298523068554</v>
      </c>
    </row>
    <row r="579" spans="38:96" ht="12.75" x14ac:dyDescent="0.2">
      <c r="AN579" t="s">
        <v>106</v>
      </c>
      <c r="AO579" s="150">
        <v>21</v>
      </c>
      <c r="AP579" s="150">
        <v>19.7</v>
      </c>
      <c r="AQ579" s="150">
        <v>19.5</v>
      </c>
      <c r="AR579" s="150">
        <v>19.399999999999999</v>
      </c>
      <c r="AS579" s="126">
        <f t="shared" si="443"/>
        <v>19.350000000000001</v>
      </c>
      <c r="AT579" s="159">
        <v>19.3</v>
      </c>
      <c r="AU579" s="159">
        <v>19.2</v>
      </c>
      <c r="AV579" s="159">
        <v>19.100000000000001</v>
      </c>
      <c r="AW579" s="159">
        <v>18.899999999999999</v>
      </c>
      <c r="AX579" s="159">
        <v>18.899999999999999</v>
      </c>
      <c r="AY579" s="159">
        <v>19.100000000000001</v>
      </c>
      <c r="AZ579" s="159">
        <v>19.8</v>
      </c>
      <c r="BA579" s="159">
        <v>21.5</v>
      </c>
      <c r="BC579" s="111">
        <f t="shared" si="456"/>
        <v>-0.10000000000000142</v>
      </c>
      <c r="BD579" s="111">
        <f t="shared" si="444"/>
        <v>-0.10000000000000142</v>
      </c>
      <c r="BE579" s="111">
        <f t="shared" si="445"/>
        <v>0</v>
      </c>
      <c r="BF579" s="111">
        <f t="shared" si="446"/>
        <v>0</v>
      </c>
      <c r="BG579" s="111">
        <f t="shared" si="447"/>
        <v>0</v>
      </c>
      <c r="BH579" s="111">
        <f t="shared" si="448"/>
        <v>0</v>
      </c>
      <c r="BI579" s="111">
        <f t="shared" si="449"/>
        <v>0</v>
      </c>
      <c r="BJ579" s="111">
        <f t="shared" si="450"/>
        <v>0</v>
      </c>
      <c r="BK579" s="111">
        <f t="shared" si="451"/>
        <v>-0.10000000000000142</v>
      </c>
      <c r="BL579" s="111">
        <f t="shared" si="452"/>
        <v>0</v>
      </c>
      <c r="BM579" s="111">
        <f t="shared" si="453"/>
        <v>0</v>
      </c>
      <c r="BN579" s="111">
        <f t="shared" si="454"/>
        <v>0</v>
      </c>
      <c r="BO579" s="111">
        <f t="shared" si="455"/>
        <v>0</v>
      </c>
      <c r="BR579" s="120">
        <v>7.4395033345645446E-3</v>
      </c>
      <c r="BS579" s="120">
        <v>7.0750184497929136E-3</v>
      </c>
      <c r="BT579" s="120">
        <v>7.5069639295242711E-3</v>
      </c>
      <c r="BU579" s="120">
        <v>7.3458884793474594E-3</v>
      </c>
      <c r="BV579" s="120">
        <v>7.2449320174140979E-3</v>
      </c>
      <c r="BW579" s="120">
        <v>7.1443650473888235E-3</v>
      </c>
      <c r="BX579" s="120">
        <v>7.2323815776947509E-3</v>
      </c>
      <c r="BY579" s="120">
        <v>7.3910086682850871E-3</v>
      </c>
      <c r="BZ579" s="120">
        <v>7.5883723568786008E-3</v>
      </c>
      <c r="CA579" s="120">
        <v>7.7168916848432715E-3</v>
      </c>
      <c r="CB579" s="120">
        <v>8.532538012949193E-3</v>
      </c>
      <c r="CC579" s="120">
        <v>1.0205160710637229E-2</v>
      </c>
      <c r="CD579" s="120">
        <v>1.4960901810957794E-2</v>
      </c>
      <c r="CF579" s="120">
        <v>0.23604837581168003</v>
      </c>
      <c r="CG579" s="120">
        <v>0.2138963914884518</v>
      </c>
      <c r="CH579" s="120">
        <v>0.22275965338237227</v>
      </c>
      <c r="CI579" s="120">
        <v>0.2132294758629647</v>
      </c>
      <c r="CJ579" s="120">
        <v>0.20599479002188481</v>
      </c>
      <c r="CK579" s="120">
        <v>0.19912003747214765</v>
      </c>
      <c r="CL579" s="120">
        <v>0.19437362576943307</v>
      </c>
      <c r="CM579" s="120">
        <v>0.1857569462791423</v>
      </c>
      <c r="CN579" s="120">
        <v>0.17963990494028589</v>
      </c>
      <c r="CO579" s="120">
        <v>0.17284331356393151</v>
      </c>
      <c r="CP579" s="120">
        <v>0.17372833472311147</v>
      </c>
      <c r="CQ579" s="120">
        <v>0.17771461834273142</v>
      </c>
      <c r="CR579" s="120">
        <v>0.197597891674333</v>
      </c>
    </row>
    <row r="580" spans="38:96" ht="12.75" x14ac:dyDescent="0.2">
      <c r="AN580" t="s">
        <v>79</v>
      </c>
      <c r="AO580" s="150">
        <v>21.2</v>
      </c>
      <c r="AP580" s="150">
        <v>20</v>
      </c>
      <c r="AQ580" s="150">
        <v>19.7</v>
      </c>
      <c r="AR580" s="150">
        <v>19.600000000000001</v>
      </c>
      <c r="AS580" s="126">
        <f t="shared" si="443"/>
        <v>19.5</v>
      </c>
      <c r="AT580" s="159">
        <v>19.399999999999999</v>
      </c>
      <c r="AU580" s="159">
        <v>19.2</v>
      </c>
      <c r="AV580" s="159">
        <v>18.899999999999999</v>
      </c>
      <c r="AW580" s="159">
        <v>18.7</v>
      </c>
      <c r="AX580" s="159">
        <v>18.600000000000001</v>
      </c>
      <c r="AY580" s="159">
        <v>18.5</v>
      </c>
      <c r="AZ580" s="159">
        <v>19</v>
      </c>
      <c r="BA580" s="159">
        <v>20.3</v>
      </c>
      <c r="BC580" s="111">
        <f t="shared" si="456"/>
        <v>-0.10000000000000142</v>
      </c>
      <c r="BD580" s="111">
        <f t="shared" si="444"/>
        <v>-0.10000000000000142</v>
      </c>
      <c r="BE580" s="111">
        <f t="shared" si="445"/>
        <v>-0.10000000000000142</v>
      </c>
      <c r="BF580" s="111">
        <f t="shared" si="446"/>
        <v>0</v>
      </c>
      <c r="BG580" s="111">
        <f t="shared" si="447"/>
        <v>0</v>
      </c>
      <c r="BH580" s="111">
        <f t="shared" si="448"/>
        <v>0</v>
      </c>
      <c r="BI580" s="111">
        <f t="shared" si="449"/>
        <v>-0.10000000000000142</v>
      </c>
      <c r="BJ580" s="111">
        <f t="shared" si="450"/>
        <v>0</v>
      </c>
      <c r="BK580" s="111">
        <f t="shared" si="451"/>
        <v>0</v>
      </c>
      <c r="BL580" s="111">
        <f t="shared" si="452"/>
        <v>0</v>
      </c>
      <c r="BM580" s="111">
        <f t="shared" si="453"/>
        <v>0</v>
      </c>
      <c r="BN580" s="111">
        <f t="shared" si="454"/>
        <v>0</v>
      </c>
      <c r="BO580" s="111">
        <f t="shared" si="455"/>
        <v>0</v>
      </c>
      <c r="BR580" s="120">
        <v>7.0348340434789212E-3</v>
      </c>
      <c r="BS580" s="120">
        <v>7.3228097094269126E-3</v>
      </c>
      <c r="BT580" s="120">
        <v>6.9877780478071454E-3</v>
      </c>
      <c r="BU580" s="120">
        <v>7.1767923196765894E-3</v>
      </c>
      <c r="BV580" s="120">
        <v>7.2111528835450134E-3</v>
      </c>
      <c r="BW580" s="120">
        <v>7.2417134382076424E-3</v>
      </c>
      <c r="BX580" s="120">
        <v>7.2043170395838336E-3</v>
      </c>
      <c r="BY580" s="120">
        <v>7.1976078564936971E-3</v>
      </c>
      <c r="BZ580" s="120">
        <v>7.6702543996988604E-3</v>
      </c>
      <c r="CA580" s="120">
        <v>7.9862579437100529E-3</v>
      </c>
      <c r="CB580" s="120">
        <v>8.2730223894997533E-3</v>
      </c>
      <c r="CC580" s="120">
        <v>9.8832009720200894E-3</v>
      </c>
      <c r="CD580" s="120">
        <v>1.3440291590928112E-2</v>
      </c>
      <c r="CF580" s="120">
        <v>0.2197411589664941</v>
      </c>
      <c r="CG580" s="120">
        <v>0.21898574581144176</v>
      </c>
      <c r="CH580" s="120">
        <v>0.2040251942195111</v>
      </c>
      <c r="CI580" s="120">
        <v>0.2055120767553972</v>
      </c>
      <c r="CJ580" s="120">
        <v>0.20246109667628553</v>
      </c>
      <c r="CK580" s="120">
        <v>0.19947289189821291</v>
      </c>
      <c r="CL580" s="120">
        <v>0.19120757838545416</v>
      </c>
      <c r="CM580" s="120">
        <v>0.17856734649545483</v>
      </c>
      <c r="CN580" s="120">
        <v>0.17940117515674547</v>
      </c>
      <c r="CO580" s="120">
        <v>0.17698211441389378</v>
      </c>
      <c r="CP580" s="120">
        <v>0.16638555901031535</v>
      </c>
      <c r="CQ580" s="120">
        <v>0.17015690707569275</v>
      </c>
      <c r="CR580" s="120">
        <v>0.17511775860658335</v>
      </c>
    </row>
    <row r="581" spans="38:96" ht="12.75" x14ac:dyDescent="0.2">
      <c r="AN581" t="s">
        <v>159</v>
      </c>
      <c r="AO581" s="150">
        <v>21.3</v>
      </c>
      <c r="AP581" s="150">
        <v>20.2</v>
      </c>
      <c r="AQ581" s="150">
        <v>19.899999999999999</v>
      </c>
      <c r="AR581" s="150">
        <v>19.7</v>
      </c>
      <c r="AS581" s="126">
        <f t="shared" si="443"/>
        <v>19.549999999999997</v>
      </c>
      <c r="AT581" s="159">
        <v>19.399999999999999</v>
      </c>
      <c r="AU581" s="159">
        <v>19.100000000000001</v>
      </c>
      <c r="AV581" s="159">
        <v>18.600000000000001</v>
      </c>
      <c r="AW581" s="159">
        <v>18.2</v>
      </c>
      <c r="AX581" s="159">
        <v>17.899999999999999</v>
      </c>
      <c r="AY581" s="159">
        <v>17.600000000000001</v>
      </c>
      <c r="AZ581" s="159">
        <v>17.7</v>
      </c>
      <c r="BA581" s="159">
        <v>18.399999999999999</v>
      </c>
      <c r="BC581" s="111">
        <f t="shared" si="456"/>
        <v>-9.9999999999997868E-2</v>
      </c>
      <c r="BD581" s="111">
        <f t="shared" si="444"/>
        <v>0</v>
      </c>
      <c r="BE581" s="111">
        <f t="shared" si="445"/>
        <v>0</v>
      </c>
      <c r="BF581" s="111">
        <f t="shared" si="446"/>
        <v>0</v>
      </c>
      <c r="BG581" s="111">
        <f t="shared" si="447"/>
        <v>0</v>
      </c>
      <c r="BH581" s="111">
        <f t="shared" si="448"/>
        <v>0</v>
      </c>
      <c r="BI581" s="111">
        <f t="shared" si="449"/>
        <v>0</v>
      </c>
      <c r="BJ581" s="111">
        <f t="shared" si="450"/>
        <v>0</v>
      </c>
      <c r="BK581" s="111">
        <f t="shared" si="451"/>
        <v>0</v>
      </c>
      <c r="BL581" s="111">
        <f t="shared" si="452"/>
        <v>0</v>
      </c>
      <c r="BM581" s="111">
        <f t="shared" si="453"/>
        <v>0</v>
      </c>
      <c r="BN581" s="111">
        <f t="shared" si="454"/>
        <v>0</v>
      </c>
      <c r="BO581" s="111">
        <f t="shared" si="455"/>
        <v>0</v>
      </c>
      <c r="BR581" s="120">
        <v>6.9839644938229457E-3</v>
      </c>
      <c r="BS581" s="120">
        <v>6.9118732776447204E-3</v>
      </c>
      <c r="BT581" s="120">
        <v>7.1813568044104947E-3</v>
      </c>
      <c r="BU581" s="120">
        <v>7.0138307108988359E-3</v>
      </c>
      <c r="BV581" s="120">
        <v>7.0402468596615113E-3</v>
      </c>
      <c r="BW581" s="120">
        <v>7.0631257309917862E-3</v>
      </c>
      <c r="BX581" s="120">
        <v>7.1546048757998616E-3</v>
      </c>
      <c r="BY581" s="120">
        <v>7.3249241007449792E-3</v>
      </c>
      <c r="BZ581" s="120">
        <v>7.2465714461767061E-3</v>
      </c>
      <c r="CA581" s="120">
        <v>7.3035623709448716E-3</v>
      </c>
      <c r="CB581" s="120">
        <v>8.0253222302480946E-3</v>
      </c>
      <c r="CC581" s="120">
        <v>9.149678010541144E-3</v>
      </c>
      <c r="CD581" s="120">
        <v>1.2358662222166722E-2</v>
      </c>
      <c r="CF581" s="120">
        <v>0.21415539322661753</v>
      </c>
      <c r="CG581" s="120">
        <v>0.20228150385591936</v>
      </c>
      <c r="CH581" s="120">
        <v>0.20621925609965303</v>
      </c>
      <c r="CI581" s="120">
        <v>0.19700213119475177</v>
      </c>
      <c r="CJ581" s="120">
        <v>0.19384994989733809</v>
      </c>
      <c r="CK581" s="120">
        <v>0.19077469053815982</v>
      </c>
      <c r="CL581" s="120">
        <v>0.18639232485326268</v>
      </c>
      <c r="CM581" s="120">
        <v>0.17858187504683051</v>
      </c>
      <c r="CN581" s="120">
        <v>0.16620010494987145</v>
      </c>
      <c r="CO581" s="120">
        <v>0.15854405375589389</v>
      </c>
      <c r="CP581" s="120">
        <v>0.15856027734320569</v>
      </c>
      <c r="CQ581" s="120">
        <v>0.15467020522057601</v>
      </c>
      <c r="CR581" s="120">
        <v>0.15854895779493283</v>
      </c>
    </row>
    <row r="582" spans="38:96" ht="12.75" x14ac:dyDescent="0.2">
      <c r="AN582" t="s">
        <v>107</v>
      </c>
      <c r="AO582" s="150">
        <v>21.1</v>
      </c>
      <c r="AP582" s="150">
        <v>20.100000000000001</v>
      </c>
      <c r="AQ582" s="150">
        <v>19.8</v>
      </c>
      <c r="AR582" s="150">
        <v>19.5</v>
      </c>
      <c r="AS582" s="126">
        <f t="shared" si="443"/>
        <v>19.3</v>
      </c>
      <c r="AT582" s="159">
        <v>19.100000000000001</v>
      </c>
      <c r="AU582" s="159">
        <v>18.8</v>
      </c>
      <c r="AV582" s="159">
        <v>18.100000000000001</v>
      </c>
      <c r="AW582" s="159">
        <v>17.600000000000001</v>
      </c>
      <c r="AX582" s="159">
        <v>17.3</v>
      </c>
      <c r="AY582" s="159">
        <v>16.8</v>
      </c>
      <c r="AZ582" s="159">
        <v>16.5</v>
      </c>
      <c r="BA582" s="159">
        <v>16.600000000000001</v>
      </c>
      <c r="BC582" s="111">
        <f t="shared" si="456"/>
        <v>-9.9999999999997868E-2</v>
      </c>
      <c r="BD582" s="111">
        <f t="shared" si="444"/>
        <v>0</v>
      </c>
      <c r="BE582" s="111">
        <f t="shared" si="445"/>
        <v>0</v>
      </c>
      <c r="BF582" s="111">
        <f t="shared" si="446"/>
        <v>0</v>
      </c>
      <c r="BG582" s="111">
        <f t="shared" si="447"/>
        <v>-5.0000000000000711E-2</v>
      </c>
      <c r="BH582" s="111">
        <f t="shared" si="448"/>
        <v>-9.9999999999997868E-2</v>
      </c>
      <c r="BI582" s="111">
        <f t="shared" si="449"/>
        <v>0</v>
      </c>
      <c r="BJ582" s="111">
        <f t="shared" si="450"/>
        <v>-9.9999999999997868E-2</v>
      </c>
      <c r="BK582" s="111">
        <f t="shared" si="451"/>
        <v>-9.9999999999997868E-2</v>
      </c>
      <c r="BL582" s="111">
        <f t="shared" si="452"/>
        <v>0</v>
      </c>
      <c r="BM582" s="111">
        <f t="shared" si="453"/>
        <v>0</v>
      </c>
      <c r="BN582" s="111">
        <f t="shared" si="454"/>
        <v>0</v>
      </c>
      <c r="BO582" s="111">
        <f t="shared" si="455"/>
        <v>0</v>
      </c>
      <c r="BR582" s="120">
        <v>6.4624364165743534E-3</v>
      </c>
      <c r="BS582" s="120">
        <v>6.6058991949213483E-3</v>
      </c>
      <c r="BT582" s="120">
        <v>6.4877110573203067E-3</v>
      </c>
      <c r="BU582" s="120">
        <v>6.5174149114567035E-3</v>
      </c>
      <c r="BV582" s="120">
        <v>6.5329383677794001E-3</v>
      </c>
      <c r="BW582" s="120">
        <v>6.5441117931817217E-3</v>
      </c>
      <c r="BX582" s="120">
        <v>6.7267983290069926E-3</v>
      </c>
      <c r="BY582" s="120">
        <v>6.6838071894799091E-3</v>
      </c>
      <c r="BZ582" s="120">
        <v>7.0256906145693557E-3</v>
      </c>
      <c r="CA582" s="120">
        <v>7.4989267696801429E-3</v>
      </c>
      <c r="CB582" s="120">
        <v>7.7084892204844708E-3</v>
      </c>
      <c r="CC582" s="120">
        <v>8.6218916571477681E-3</v>
      </c>
      <c r="CD582" s="120">
        <v>1.0958567324362813E-2</v>
      </c>
      <c r="CF582" s="120">
        <v>0.20023522810446542</v>
      </c>
      <c r="CG582" s="120">
        <v>0.19575982136906811</v>
      </c>
      <c r="CH582" s="120">
        <v>0.18792770092009647</v>
      </c>
      <c r="CI582" s="120">
        <v>0.18497364132598731</v>
      </c>
      <c r="CJ582" s="120">
        <v>0.18175893727873502</v>
      </c>
      <c r="CK582" s="120">
        <v>0.17859426155690317</v>
      </c>
      <c r="CL582" s="120">
        <v>0.17706571089438758</v>
      </c>
      <c r="CM582" s="120">
        <v>0.16439371367009678</v>
      </c>
      <c r="CN582" s="120">
        <v>0.16287751256640748</v>
      </c>
      <c r="CO582" s="120">
        <v>0.16481326508558039</v>
      </c>
      <c r="CP582" s="120">
        <v>0.15374540609564161</v>
      </c>
      <c r="CQ582" s="120">
        <v>0.14706967334256535</v>
      </c>
      <c r="CR582" s="120">
        <v>0.1414635656169935</v>
      </c>
    </row>
    <row r="583" spans="38:96" ht="12.75" x14ac:dyDescent="0.2">
      <c r="AN583" t="s">
        <v>108</v>
      </c>
      <c r="AO583" s="150">
        <v>20.7</v>
      </c>
      <c r="AP583" s="150">
        <v>19.8</v>
      </c>
      <c r="AQ583" s="150">
        <v>19.5</v>
      </c>
      <c r="AR583" s="150">
        <v>19.2</v>
      </c>
      <c r="AS583" s="126">
        <f t="shared" si="443"/>
        <v>19</v>
      </c>
      <c r="AT583" s="159">
        <v>18.8</v>
      </c>
      <c r="AU583" s="159">
        <v>18.399999999999999</v>
      </c>
      <c r="AV583" s="159">
        <v>17.7</v>
      </c>
      <c r="AW583" s="159">
        <v>17.2</v>
      </c>
      <c r="AX583" s="159">
        <v>16.8</v>
      </c>
      <c r="AY583" s="159">
        <v>16.2</v>
      </c>
      <c r="AZ583" s="159">
        <v>15.6</v>
      </c>
      <c r="BA583" s="159">
        <v>15.2</v>
      </c>
      <c r="BC583" s="111">
        <f t="shared" si="456"/>
        <v>-0.10000000000000142</v>
      </c>
      <c r="BD583" s="111">
        <f t="shared" si="444"/>
        <v>-9.9999999999997868E-2</v>
      </c>
      <c r="BE583" s="111">
        <f t="shared" si="445"/>
        <v>0</v>
      </c>
      <c r="BF583" s="111">
        <f t="shared" si="446"/>
        <v>-0.10000000000000142</v>
      </c>
      <c r="BG583" s="111">
        <f t="shared" si="447"/>
        <v>-0.10000000000000142</v>
      </c>
      <c r="BH583" s="111">
        <f t="shared" si="448"/>
        <v>-9.9999999999997868E-2</v>
      </c>
      <c r="BI583" s="111">
        <f t="shared" si="449"/>
        <v>-0.10000000000000142</v>
      </c>
      <c r="BJ583" s="111">
        <f t="shared" si="450"/>
        <v>-0.10000000000000142</v>
      </c>
      <c r="BK583" s="111">
        <f t="shared" si="451"/>
        <v>0</v>
      </c>
      <c r="BL583" s="111">
        <f t="shared" si="452"/>
        <v>0</v>
      </c>
      <c r="BM583" s="111">
        <f t="shared" si="453"/>
        <v>0</v>
      </c>
      <c r="BN583" s="111">
        <f t="shared" si="454"/>
        <v>0</v>
      </c>
      <c r="BO583" s="111">
        <f t="shared" si="455"/>
        <v>0</v>
      </c>
      <c r="BR583" s="120">
        <v>6.1471363247285974E-3</v>
      </c>
      <c r="BS583" s="120">
        <v>6.1353546909834111E-3</v>
      </c>
      <c r="BT583" s="120">
        <v>6.2914549281701234E-3</v>
      </c>
      <c r="BU583" s="120">
        <v>6.3237797180857097E-3</v>
      </c>
      <c r="BV583" s="120">
        <v>6.4173225890499126E-3</v>
      </c>
      <c r="BW583" s="120">
        <v>6.5078624548607763E-3</v>
      </c>
      <c r="BX583" s="120">
        <v>6.4245930083468364E-3</v>
      </c>
      <c r="BY583" s="120">
        <v>6.8046753498291201E-3</v>
      </c>
      <c r="BZ583" s="120">
        <v>6.9367192535474704E-3</v>
      </c>
      <c r="CA583" s="120">
        <v>6.8512325899768032E-3</v>
      </c>
      <c r="CB583" s="120">
        <v>7.4116634790285674E-3</v>
      </c>
      <c r="CC583" s="120">
        <v>8.1738405521155928E-3</v>
      </c>
      <c r="CD583" s="120">
        <v>1.0388279903438965E-2</v>
      </c>
      <c r="CF583" s="120">
        <v>0.19903023358052777</v>
      </c>
      <c r="CG583" s="120">
        <v>0.18951767118803958</v>
      </c>
      <c r="CH583" s="120">
        <v>0.19027094246808238</v>
      </c>
      <c r="CI583" s="120">
        <v>0.1872269627940322</v>
      </c>
      <c r="CJ583" s="120">
        <v>0.18622415219057942</v>
      </c>
      <c r="CK583" s="120">
        <v>0.18522048337179522</v>
      </c>
      <c r="CL583" s="120">
        <v>0.17606702940568097</v>
      </c>
      <c r="CM583" s="120">
        <v>0.17430216699420514</v>
      </c>
      <c r="CN583" s="120">
        <v>0.16718618774681399</v>
      </c>
      <c r="CO583" s="120">
        <v>0.15615974797150692</v>
      </c>
      <c r="CP583" s="120">
        <v>0.15325909977667121</v>
      </c>
      <c r="CQ583" s="120">
        <v>0.14414137107269082</v>
      </c>
      <c r="CR583" s="120">
        <v>0.13825203098561209</v>
      </c>
    </row>
    <row r="584" spans="38:96" ht="12.75" x14ac:dyDescent="0.2">
      <c r="AN584" t="s">
        <v>109</v>
      </c>
      <c r="AO584" s="150">
        <v>20.5</v>
      </c>
      <c r="AP584" s="150">
        <v>19.7</v>
      </c>
      <c r="AQ584" s="150">
        <v>19.399999999999999</v>
      </c>
      <c r="AR584" s="150">
        <v>19.100000000000001</v>
      </c>
      <c r="AS584" s="126">
        <f t="shared" si="443"/>
        <v>18.899999999999999</v>
      </c>
      <c r="AT584" s="159">
        <v>18.7</v>
      </c>
      <c r="AU584" s="159">
        <v>18.3</v>
      </c>
      <c r="AV584" s="159">
        <v>17.600000000000001</v>
      </c>
      <c r="AW584" s="159">
        <v>17</v>
      </c>
      <c r="AX584" s="159">
        <v>16.5</v>
      </c>
      <c r="AY584" s="159">
        <v>15.9</v>
      </c>
      <c r="AZ584" s="159">
        <v>15.1</v>
      </c>
      <c r="BA584" s="159">
        <v>14.4</v>
      </c>
      <c r="BC584" s="111">
        <f t="shared" si="456"/>
        <v>-0.10000000000000142</v>
      </c>
      <c r="BD584" s="111">
        <f t="shared" si="444"/>
        <v>0</v>
      </c>
      <c r="BE584" s="111">
        <f t="shared" si="445"/>
        <v>0</v>
      </c>
      <c r="BF584" s="111">
        <f t="shared" si="446"/>
        <v>-9.9999999999997868E-2</v>
      </c>
      <c r="BG584" s="111">
        <f t="shared" si="447"/>
        <v>-5.0000000000000711E-2</v>
      </c>
      <c r="BH584" s="111">
        <f t="shared" si="448"/>
        <v>0</v>
      </c>
      <c r="BI584" s="111">
        <f t="shared" si="449"/>
        <v>0</v>
      </c>
      <c r="BJ584" s="111">
        <f t="shared" si="450"/>
        <v>0</v>
      </c>
      <c r="BK584" s="111">
        <f t="shared" si="451"/>
        <v>0</v>
      </c>
      <c r="BL584" s="111">
        <f t="shared" si="452"/>
        <v>-0.10000000000000142</v>
      </c>
      <c r="BM584" s="111">
        <f t="shared" si="453"/>
        <v>0</v>
      </c>
      <c r="BN584" s="111">
        <f t="shared" si="454"/>
        <v>-9.9999999999999645E-2</v>
      </c>
      <c r="BO584" s="111">
        <f t="shared" si="455"/>
        <v>0</v>
      </c>
      <c r="BR584" s="120">
        <v>5.9702415359103155E-3</v>
      </c>
      <c r="BS584" s="120">
        <v>6.1828055811696796E-3</v>
      </c>
      <c r="BT584" s="120">
        <v>6.1299333383960496E-3</v>
      </c>
      <c r="BU584" s="120">
        <v>6.1646907906349755E-3</v>
      </c>
      <c r="BV584" s="120">
        <v>6.197564308522638E-3</v>
      </c>
      <c r="BW584" s="120">
        <v>6.2254964949524615E-3</v>
      </c>
      <c r="BX584" s="120">
        <v>6.4713598873272762E-3</v>
      </c>
      <c r="BY584" s="120">
        <v>6.5121119240843881E-3</v>
      </c>
      <c r="BZ584" s="120">
        <v>6.5492480955416021E-3</v>
      </c>
      <c r="CA584" s="120">
        <v>6.751887637323626E-3</v>
      </c>
      <c r="CB584" s="120">
        <v>7.0959412583610302E-3</v>
      </c>
      <c r="CC584" s="120">
        <v>7.6506615231434899E-3</v>
      </c>
      <c r="CD584" s="120">
        <v>9.3440728453670213E-3</v>
      </c>
      <c r="CF584" s="120">
        <v>0.20045553153666831</v>
      </c>
      <c r="CG584" s="120">
        <v>0.19819265715003262</v>
      </c>
      <c r="CH584" s="120">
        <v>0.19211989376727098</v>
      </c>
      <c r="CI584" s="120">
        <v>0.18912138295142791</v>
      </c>
      <c r="CJ584" s="120">
        <v>0.18629332319226719</v>
      </c>
      <c r="CK584" s="120">
        <v>0.18347829199656826</v>
      </c>
      <c r="CL584" s="120">
        <v>0.18366771480253963</v>
      </c>
      <c r="CM584" s="120">
        <v>0.17250428439325033</v>
      </c>
      <c r="CN584" s="120">
        <v>0.16281290435534293</v>
      </c>
      <c r="CO584" s="120">
        <v>0.15845870236303969</v>
      </c>
      <c r="CP584" s="120">
        <v>0.15095821408198087</v>
      </c>
      <c r="CQ584" s="120">
        <v>0.13846470726627755</v>
      </c>
      <c r="CR584" s="120">
        <v>0.12717510821778188</v>
      </c>
    </row>
    <row r="585" spans="38:96" ht="12.75" x14ac:dyDescent="0.2">
      <c r="AN585" t="s">
        <v>110</v>
      </c>
      <c r="AO585" s="150">
        <v>20.3</v>
      </c>
      <c r="AP585" s="150">
        <v>19.5</v>
      </c>
      <c r="AQ585" s="150">
        <v>19.2</v>
      </c>
      <c r="AR585" s="150">
        <v>19</v>
      </c>
      <c r="AS585" s="126">
        <f t="shared" si="443"/>
        <v>18.75</v>
      </c>
      <c r="AT585" s="159">
        <v>18.5</v>
      </c>
      <c r="AU585" s="159">
        <v>18.100000000000001</v>
      </c>
      <c r="AV585" s="159">
        <v>17.399999999999999</v>
      </c>
      <c r="AW585" s="159">
        <v>16.8</v>
      </c>
      <c r="AX585" s="159">
        <v>16.3</v>
      </c>
      <c r="AY585" s="159">
        <v>15.6</v>
      </c>
      <c r="AZ585" s="150">
        <v>14.8</v>
      </c>
      <c r="BA585" s="159">
        <v>13.9</v>
      </c>
      <c r="BC585" s="111">
        <f t="shared" si="456"/>
        <v>-9.9999999999997868E-2</v>
      </c>
      <c r="BD585" s="111">
        <f t="shared" si="444"/>
        <v>-0.10000000000000142</v>
      </c>
      <c r="BE585" s="111">
        <f t="shared" si="445"/>
        <v>-0.10000000000000142</v>
      </c>
      <c r="BF585" s="111">
        <f t="shared" si="446"/>
        <v>0</v>
      </c>
      <c r="BG585" s="111">
        <f t="shared" si="447"/>
        <v>0</v>
      </c>
      <c r="BH585" s="111">
        <f t="shared" si="448"/>
        <v>0</v>
      </c>
      <c r="BI585" s="111">
        <f t="shared" si="449"/>
        <v>0</v>
      </c>
      <c r="BJ585" s="111">
        <f t="shared" si="450"/>
        <v>0</v>
      </c>
      <c r="BK585" s="111">
        <f t="shared" si="451"/>
        <v>0</v>
      </c>
      <c r="BL585" s="111">
        <f t="shared" si="452"/>
        <v>0</v>
      </c>
      <c r="BM585" s="111">
        <f t="shared" si="453"/>
        <v>0</v>
      </c>
      <c r="BN585" s="111">
        <f t="shared" si="454"/>
        <v>0</v>
      </c>
      <c r="BO585" s="111">
        <f t="shared" si="455"/>
        <v>0</v>
      </c>
      <c r="BR585" s="120">
        <v>5.6495067345810543E-3</v>
      </c>
      <c r="BS585" s="120">
        <v>5.5361240349633941E-3</v>
      </c>
      <c r="BT585" s="120">
        <v>5.6408830382744246E-3</v>
      </c>
      <c r="BU585" s="120">
        <v>5.9117232649447786E-3</v>
      </c>
      <c r="BV585" s="120">
        <v>5.8640698757761907E-3</v>
      </c>
      <c r="BW585" s="120">
        <v>5.8069652422157881E-3</v>
      </c>
      <c r="BX585" s="120">
        <v>5.7731999412248174E-3</v>
      </c>
      <c r="BY585" s="120">
        <v>6.0588071629244199E-3</v>
      </c>
      <c r="BZ585" s="120">
        <v>6.3320426267757159E-3</v>
      </c>
      <c r="CA585" s="120">
        <v>6.4753427084675791E-3</v>
      </c>
      <c r="CB585" s="120">
        <v>6.6293138254139763E-3</v>
      </c>
      <c r="CC585" s="120">
        <v>7.6809753092374313E-3</v>
      </c>
      <c r="CD585" s="120">
        <v>9.5057752880521786E-3</v>
      </c>
      <c r="CF585" s="120">
        <v>0.19278035625288265</v>
      </c>
      <c r="CG585" s="120">
        <v>0.17975602102796717</v>
      </c>
      <c r="CH585" s="120">
        <v>0.17909346653245722</v>
      </c>
      <c r="CI585" s="120">
        <v>0.18423348628167224</v>
      </c>
      <c r="CJ585" s="120">
        <v>0.17871254321887028</v>
      </c>
      <c r="CK585" s="120">
        <v>0.17318121515366083</v>
      </c>
      <c r="CL585" s="120">
        <v>0.16575129141401787</v>
      </c>
      <c r="CM585" s="120">
        <v>0.16221527609794889</v>
      </c>
      <c r="CN585" s="120">
        <v>0.15945203289301682</v>
      </c>
      <c r="CO585" s="120">
        <v>0.15425895072397994</v>
      </c>
      <c r="CP585" s="120">
        <v>0.14263308673007227</v>
      </c>
      <c r="CQ585" s="120">
        <v>0.14082248881711387</v>
      </c>
      <c r="CR585" s="120">
        <v>0.13084728326849918</v>
      </c>
    </row>
    <row r="587" spans="38:96" x14ac:dyDescent="0.2">
      <c r="AO587">
        <v>-0.5</v>
      </c>
      <c r="AP587">
        <v>-0.25</v>
      </c>
      <c r="AQ587">
        <v>-0.13</v>
      </c>
      <c r="AR587">
        <v>0</v>
      </c>
      <c r="AS587">
        <v>0.125</v>
      </c>
      <c r="AT587">
        <v>0.25</v>
      </c>
      <c r="AU587">
        <v>0.5</v>
      </c>
      <c r="AV587">
        <v>1</v>
      </c>
      <c r="AW587">
        <v>1.5</v>
      </c>
      <c r="AX587">
        <v>2</v>
      </c>
      <c r="AY587">
        <v>3</v>
      </c>
      <c r="AZ587">
        <v>5</v>
      </c>
      <c r="BA587">
        <v>10</v>
      </c>
    </row>
    <row r="588" spans="38:96" ht="12.75" x14ac:dyDescent="0.2">
      <c r="AL588" s="105" t="s">
        <v>852</v>
      </c>
      <c r="AN588" t="s">
        <v>25</v>
      </c>
      <c r="AO588" s="150">
        <v>8.4</v>
      </c>
      <c r="AP588" s="141">
        <v>7.5</v>
      </c>
      <c r="AQ588" s="150">
        <v>8.8000000000000007</v>
      </c>
      <c r="AR588" s="150">
        <v>10.3</v>
      </c>
      <c r="AS588" s="126">
        <f t="shared" ref="AS588:AS602" si="457">(AR588+AT588)/2</f>
        <v>11.75</v>
      </c>
      <c r="AT588" s="161">
        <v>13.2</v>
      </c>
      <c r="AU588" s="141">
        <v>15.8</v>
      </c>
      <c r="AV588" s="161">
        <v>20.100000000000001</v>
      </c>
      <c r="AW588" s="161">
        <v>23.7</v>
      </c>
      <c r="AX588" s="161">
        <v>26.8</v>
      </c>
      <c r="AY588" s="161">
        <v>31.9</v>
      </c>
      <c r="AZ588" s="161">
        <v>39.4</v>
      </c>
      <c r="BA588" s="161">
        <v>51.2</v>
      </c>
      <c r="BC588" s="111">
        <f>AO588-AO571</f>
        <v>-9.9999999999999645E-2</v>
      </c>
      <c r="BD588" s="111">
        <f t="shared" ref="BD588:BD602" si="458">AP588-AP571</f>
        <v>0</v>
      </c>
      <c r="BE588" s="111">
        <f t="shared" ref="BE588:BE602" si="459">AQ588-AQ571</f>
        <v>0.10000000000000142</v>
      </c>
      <c r="BF588" s="111">
        <f t="shared" ref="BF588:BF602" si="460">AR588-AR571</f>
        <v>0</v>
      </c>
      <c r="BG588" s="111">
        <f t="shared" ref="BG588:BG602" si="461">AS588-AS571</f>
        <v>5.0000000000000711E-2</v>
      </c>
      <c r="BH588" s="111">
        <f t="shared" ref="BH588:BH602" si="462">AT588-AT571</f>
        <v>9.9999999999999645E-2</v>
      </c>
      <c r="BI588" s="111">
        <f t="shared" ref="BI588:BI602" si="463">AU588-AU571</f>
        <v>0.10000000000000142</v>
      </c>
      <c r="BJ588" s="111">
        <f t="shared" ref="BJ588:BJ602" si="464">AV588-AV571</f>
        <v>0.10000000000000142</v>
      </c>
      <c r="BK588" s="111">
        <f t="shared" ref="BK588:BK602" si="465">AW588-AW571</f>
        <v>9.9999999999997868E-2</v>
      </c>
      <c r="BL588" s="111">
        <f t="shared" ref="BL588:BL602" si="466">AX588-AX571</f>
        <v>0.10000000000000142</v>
      </c>
      <c r="BM588" s="111">
        <f t="shared" ref="BM588:BM602" si="467">AY588-AY571</f>
        <v>9.9999999999997868E-2</v>
      </c>
      <c r="BN588" s="111">
        <f t="shared" ref="BN588:BN602" si="468">AZ588-AZ571</f>
        <v>0</v>
      </c>
      <c r="BO588" s="111">
        <f t="shared" ref="BO588:BO602" si="469">BA588-BA571</f>
        <v>0.10000000000000142</v>
      </c>
      <c r="BR588" s="120">
        <v>8.4000715396197315E-2</v>
      </c>
      <c r="BS588" s="120">
        <v>7.5000983994816334E-2</v>
      </c>
      <c r="BT588" s="120">
        <v>8.8001213309456303E-2</v>
      </c>
      <c r="BU588" s="120">
        <v>0.10302722920641653</v>
      </c>
      <c r="BV588" s="120">
        <v>0.11749555359490445</v>
      </c>
      <c r="BW588" s="120">
        <v>0.13199568280744761</v>
      </c>
      <c r="BX588" s="120">
        <v>0.15799156128325068</v>
      </c>
      <c r="BY588" s="120">
        <v>0.2009869958617084</v>
      </c>
      <c r="BZ588" s="120">
        <v>0.23768087810861241</v>
      </c>
      <c r="CA588" s="120">
        <v>0.26896864350988958</v>
      </c>
      <c r="CB588" s="120">
        <v>0.31737920057818098</v>
      </c>
      <c r="CC588" s="120">
        <v>0.39280032842659829</v>
      </c>
      <c r="CD588" s="120">
        <v>0.51763460273079553</v>
      </c>
      <c r="CF588" s="120">
        <v>2.1574666384574005E-3</v>
      </c>
      <c r="CG588" s="120">
        <v>2.0207583406982427E-3</v>
      </c>
      <c r="CH588" s="120">
        <v>2.4260985726054589E-3</v>
      </c>
      <c r="CI588" s="120">
        <v>2.9022851681490091E-3</v>
      </c>
      <c r="CJ588" s="120">
        <v>3.3811282702563136E-3</v>
      </c>
      <c r="CK588" s="120">
        <v>3.8762356787567561E-3</v>
      </c>
      <c r="CL588" s="120">
        <v>4.8230230549930701E-3</v>
      </c>
      <c r="CM588" s="120">
        <v>6.5873294686591049E-3</v>
      </c>
      <c r="CN588" s="120">
        <v>8.2644913381164278E-3</v>
      </c>
      <c r="CO588" s="120">
        <v>9.9362347285845976E-3</v>
      </c>
      <c r="CP588" s="120">
        <v>1.2971043387815377E-2</v>
      </c>
      <c r="CQ588" s="120">
        <v>1.8947842791987857E-2</v>
      </c>
      <c r="CR588" s="120">
        <v>3.3012083317180162E-2</v>
      </c>
    </row>
    <row r="589" spans="38:96" ht="12.75" x14ac:dyDescent="0.2">
      <c r="AN589" t="s">
        <v>157</v>
      </c>
      <c r="AO589" s="150">
        <v>10.6</v>
      </c>
      <c r="AP589" s="150">
        <v>10.3</v>
      </c>
      <c r="AQ589" s="150">
        <v>11.5</v>
      </c>
      <c r="AR589" s="150">
        <v>12.9</v>
      </c>
      <c r="AS589" s="126">
        <f t="shared" si="457"/>
        <v>14.15</v>
      </c>
      <c r="AT589" s="161">
        <v>15.4</v>
      </c>
      <c r="AU589" s="161">
        <v>17.600000000000001</v>
      </c>
      <c r="AV589" s="161">
        <v>21.4</v>
      </c>
      <c r="AW589" s="161">
        <v>24.5</v>
      </c>
      <c r="AX589" s="161">
        <v>27.1</v>
      </c>
      <c r="AY589" s="161">
        <v>31.4</v>
      </c>
      <c r="AZ589" s="141">
        <v>37.6</v>
      </c>
      <c r="BA589" s="161">
        <v>46.8</v>
      </c>
      <c r="BC589" s="111">
        <f t="shared" ref="BC589:BC602" si="470">AO589-AO572</f>
        <v>0</v>
      </c>
      <c r="BD589" s="111">
        <f t="shared" si="458"/>
        <v>0.10000000000000142</v>
      </c>
      <c r="BE589" s="111">
        <f t="shared" si="459"/>
        <v>9.9999999999999645E-2</v>
      </c>
      <c r="BF589" s="111">
        <f t="shared" si="460"/>
        <v>0.20000000000000107</v>
      </c>
      <c r="BG589" s="111">
        <f t="shared" si="461"/>
        <v>0.20000000000000107</v>
      </c>
      <c r="BH589" s="111">
        <f t="shared" si="462"/>
        <v>0.20000000000000107</v>
      </c>
      <c r="BI589" s="111">
        <f t="shared" si="463"/>
        <v>0.20000000000000284</v>
      </c>
      <c r="BJ589" s="111">
        <f t="shared" si="464"/>
        <v>0.19999999999999929</v>
      </c>
      <c r="BK589" s="111">
        <f t="shared" si="465"/>
        <v>0.19999999999999929</v>
      </c>
      <c r="BL589" s="111">
        <f t="shared" si="466"/>
        <v>0.20000000000000284</v>
      </c>
      <c r="BM589" s="111">
        <f t="shared" si="467"/>
        <v>0.19999999999999929</v>
      </c>
      <c r="BN589" s="111">
        <f t="shared" si="468"/>
        <v>0.20000000000000284</v>
      </c>
      <c r="BO589" s="111">
        <f t="shared" si="469"/>
        <v>0.19999999999999574</v>
      </c>
      <c r="BR589" s="120">
        <v>0.12863074300928137</v>
      </c>
      <c r="BS589" s="120">
        <v>0.13359007935725939</v>
      </c>
      <c r="BT589" s="120">
        <v>0.13923540037046073</v>
      </c>
      <c r="BU589" s="120">
        <v>0.14893135168303581</v>
      </c>
      <c r="BV589" s="120">
        <v>0.15782102419965993</v>
      </c>
      <c r="BW589" s="120">
        <v>0.16765287855595964</v>
      </c>
      <c r="BX589" s="120">
        <v>0.18571702011194136</v>
      </c>
      <c r="BY589" s="120">
        <v>0.21982584998171209</v>
      </c>
      <c r="BZ589" s="120">
        <v>0.24790959335647172</v>
      </c>
      <c r="CA589" s="120">
        <v>0.27173497717960715</v>
      </c>
      <c r="CB589" s="120">
        <v>0.31290843063487767</v>
      </c>
      <c r="CC589" s="120">
        <v>0.37129768854773554</v>
      </c>
      <c r="CD589" s="120">
        <v>0.45582038586497614</v>
      </c>
      <c r="CF589" s="120">
        <v>3.263171062677853E-3</v>
      </c>
      <c r="CG589" s="120">
        <v>3.5559948458746401E-3</v>
      </c>
      <c r="CH589" s="120">
        <v>3.7890664412590642E-3</v>
      </c>
      <c r="CI589" s="120">
        <v>4.141373379510864E-3</v>
      </c>
      <c r="CJ589" s="120">
        <v>4.4789026194444331E-3</v>
      </c>
      <c r="CK589" s="120">
        <v>4.8537116270622616E-3</v>
      </c>
      <c r="CL589" s="120">
        <v>5.5848196468817031E-3</v>
      </c>
      <c r="CM589" s="120">
        <v>7.0865602264153756E-3</v>
      </c>
      <c r="CN589" s="120">
        <v>8.5223666084031924E-3</v>
      </c>
      <c r="CO589" s="120">
        <v>9.8779438774375238E-3</v>
      </c>
      <c r="CP589" s="120">
        <v>1.2582352803532853E-2</v>
      </c>
      <c r="CQ589" s="120">
        <v>1.7590081430420353E-2</v>
      </c>
      <c r="CR589" s="120">
        <v>2.9026635805569169E-2</v>
      </c>
    </row>
    <row r="590" spans="38:96" ht="12.75" x14ac:dyDescent="0.2">
      <c r="AN590" t="s">
        <v>99</v>
      </c>
      <c r="AO590" s="150">
        <v>13.4</v>
      </c>
      <c r="AP590" s="150">
        <v>11.9</v>
      </c>
      <c r="AQ590" s="150">
        <v>12</v>
      </c>
      <c r="AR590" s="150">
        <v>12.7</v>
      </c>
      <c r="AS590" s="126">
        <f t="shared" si="457"/>
        <v>13.35</v>
      </c>
      <c r="AT590" s="161">
        <v>14</v>
      </c>
      <c r="AU590" s="161">
        <v>15.3</v>
      </c>
      <c r="AV590" s="161">
        <v>17.5</v>
      </c>
      <c r="AW590" s="161">
        <v>19.3</v>
      </c>
      <c r="AX590" s="161">
        <v>20.9</v>
      </c>
      <c r="AY590" s="161">
        <v>23.6</v>
      </c>
      <c r="AZ590" s="161">
        <v>27.7</v>
      </c>
      <c r="BA590" s="141">
        <v>34.1</v>
      </c>
      <c r="BC590" s="111">
        <f t="shared" si="470"/>
        <v>0</v>
      </c>
      <c r="BD590" s="111">
        <f t="shared" si="458"/>
        <v>0</v>
      </c>
      <c r="BE590" s="111">
        <f t="shared" si="459"/>
        <v>0</v>
      </c>
      <c r="BF590" s="111">
        <f t="shared" si="460"/>
        <v>9.9999999999999645E-2</v>
      </c>
      <c r="BG590" s="111">
        <f t="shared" si="461"/>
        <v>4.9999999999998934E-2</v>
      </c>
      <c r="BH590" s="111">
        <f t="shared" si="462"/>
        <v>0</v>
      </c>
      <c r="BI590" s="111">
        <f t="shared" si="463"/>
        <v>0.10000000000000142</v>
      </c>
      <c r="BJ590" s="111">
        <f t="shared" si="464"/>
        <v>0.10000000000000142</v>
      </c>
      <c r="BK590" s="111">
        <f t="shared" si="465"/>
        <v>0.10000000000000142</v>
      </c>
      <c r="BL590" s="111">
        <f t="shared" si="466"/>
        <v>9.9999999999997868E-2</v>
      </c>
      <c r="BM590" s="111">
        <f t="shared" si="467"/>
        <v>0.10000000000000142</v>
      </c>
      <c r="BN590" s="111">
        <f t="shared" si="468"/>
        <v>0.19999999999999929</v>
      </c>
      <c r="BO590" s="111">
        <f t="shared" si="469"/>
        <v>0.10000000000000142</v>
      </c>
      <c r="BR590" s="120">
        <v>0.13402335344990274</v>
      </c>
      <c r="BS590" s="120">
        <v>0.1180877621615026</v>
      </c>
      <c r="BT590" s="120">
        <v>0.11992953901758731</v>
      </c>
      <c r="BU590" s="120">
        <v>0.12691937559671698</v>
      </c>
      <c r="BV590" s="120">
        <v>0.13341009078361066</v>
      </c>
      <c r="BW590" s="120">
        <v>0.13989866274576607</v>
      </c>
      <c r="BX590" s="120">
        <v>0.15287787551005219</v>
      </c>
      <c r="BY590" s="120">
        <v>0.17483097016336921</v>
      </c>
      <c r="BZ590" s="120">
        <v>0.19279144090169362</v>
      </c>
      <c r="CA590" s="120">
        <v>0.20876034360750062</v>
      </c>
      <c r="CB590" s="120">
        <v>0.23570415980322176</v>
      </c>
      <c r="CC590" s="120">
        <v>0.27663689039776107</v>
      </c>
      <c r="CD590" s="120">
        <v>0.34054851805059883</v>
      </c>
      <c r="CF590" s="120">
        <v>3.5270310285812532E-3</v>
      </c>
      <c r="CG590" s="120">
        <v>3.2587883536621082E-3</v>
      </c>
      <c r="CH590" s="120">
        <v>3.3844761618580126E-3</v>
      </c>
      <c r="CI590" s="120">
        <v>3.6594516605903756E-3</v>
      </c>
      <c r="CJ590" s="120">
        <v>3.9271313192478299E-3</v>
      </c>
      <c r="CK590" s="120">
        <v>4.2013248467689676E-3</v>
      </c>
      <c r="CL590" s="120">
        <v>4.7690492572782248E-3</v>
      </c>
      <c r="CM590" s="120">
        <v>5.8459467137397378E-3</v>
      </c>
      <c r="CN590" s="120">
        <v>6.8609246605315635E-3</v>
      </c>
      <c r="CO590" s="120">
        <v>7.8620893460658349E-3</v>
      </c>
      <c r="CP590" s="120">
        <v>9.8108454141022736E-3</v>
      </c>
      <c r="CQ590" s="120">
        <v>1.3555169109687425E-2</v>
      </c>
      <c r="CR590" s="120">
        <v>2.2298121320438166E-2</v>
      </c>
    </row>
    <row r="591" spans="38:96" ht="12.75" x14ac:dyDescent="0.2">
      <c r="AN591" t="s">
        <v>101</v>
      </c>
      <c r="AO591" s="150">
        <v>15.4</v>
      </c>
      <c r="AP591" s="150">
        <v>14</v>
      </c>
      <c r="AQ591" s="150">
        <v>14.1</v>
      </c>
      <c r="AR591" s="150">
        <v>14.6</v>
      </c>
      <c r="AS591" s="126">
        <f t="shared" si="457"/>
        <v>15.149999999999999</v>
      </c>
      <c r="AT591" s="161">
        <v>15.7</v>
      </c>
      <c r="AU591" s="161">
        <v>16.7</v>
      </c>
      <c r="AV591" s="161">
        <v>18.5</v>
      </c>
      <c r="AW591" s="161">
        <v>20.100000000000001</v>
      </c>
      <c r="AX591" s="161">
        <v>21.5</v>
      </c>
      <c r="AY591" s="161">
        <v>23.8</v>
      </c>
      <c r="AZ591" s="161">
        <v>27.1</v>
      </c>
      <c r="BA591" s="161">
        <v>31.8</v>
      </c>
      <c r="BC591" s="111">
        <f t="shared" si="470"/>
        <v>-9.9999999999999645E-2</v>
      </c>
      <c r="BD591" s="111">
        <f t="shared" si="458"/>
        <v>-9.9999999999999645E-2</v>
      </c>
      <c r="BE591" s="111">
        <f t="shared" si="459"/>
        <v>-9.9999999999999645E-2</v>
      </c>
      <c r="BF591" s="111">
        <f t="shared" si="460"/>
        <v>0</v>
      </c>
      <c r="BG591" s="111">
        <f t="shared" si="461"/>
        <v>0</v>
      </c>
      <c r="BH591" s="111">
        <f t="shared" si="462"/>
        <v>0</v>
      </c>
      <c r="BI591" s="111">
        <f t="shared" si="463"/>
        <v>0</v>
      </c>
      <c r="BJ591" s="111">
        <f t="shared" si="464"/>
        <v>0</v>
      </c>
      <c r="BK591" s="111">
        <f t="shared" si="465"/>
        <v>0</v>
      </c>
      <c r="BL591" s="111">
        <f t="shared" si="466"/>
        <v>0</v>
      </c>
      <c r="BM591" s="111">
        <f t="shared" si="467"/>
        <v>0</v>
      </c>
      <c r="BN591" s="111">
        <f t="shared" si="468"/>
        <v>0</v>
      </c>
      <c r="BO591" s="111">
        <f t="shared" si="469"/>
        <v>0</v>
      </c>
      <c r="BR591" s="120">
        <v>0.19915956101305021</v>
      </c>
      <c r="BS591" s="120">
        <v>0.19211288401296048</v>
      </c>
      <c r="BT591" s="120">
        <v>0.19106616005553623</v>
      </c>
      <c r="BU591" s="120">
        <v>0.18812967952705026</v>
      </c>
      <c r="BV591" s="120">
        <v>0.18808446485208022</v>
      </c>
      <c r="BW591" s="120">
        <v>0.18863342303667247</v>
      </c>
      <c r="BX591" s="120">
        <v>0.18925131104225698</v>
      </c>
      <c r="BY591" s="120">
        <v>0.19752120428528641</v>
      </c>
      <c r="BZ591" s="120">
        <v>0.20944636173621919</v>
      </c>
      <c r="CA591" s="120">
        <v>0.22060660695147771</v>
      </c>
      <c r="CB591" s="120">
        <v>0.23963210793967843</v>
      </c>
      <c r="CC591" s="120">
        <v>0.26722577597805658</v>
      </c>
      <c r="CD591" s="120">
        <v>0.30541721951074008</v>
      </c>
      <c r="CF591" s="120">
        <v>5.3248760471587926E-3</v>
      </c>
      <c r="CG591" s="120">
        <v>5.3844125731849282E-3</v>
      </c>
      <c r="CH591" s="120">
        <v>5.4753688736904798E-3</v>
      </c>
      <c r="CI591" s="120">
        <v>5.5089673442524859E-3</v>
      </c>
      <c r="CJ591" s="120">
        <v>5.6226713925544925E-3</v>
      </c>
      <c r="CK591" s="120">
        <v>5.7526955677591118E-3</v>
      </c>
      <c r="CL591" s="120">
        <v>5.9954897027168835E-3</v>
      </c>
      <c r="CM591" s="120">
        <v>6.706190061042447E-3</v>
      </c>
      <c r="CN591" s="120">
        <v>7.5655123297633728E-3</v>
      </c>
      <c r="CO591" s="120">
        <v>8.4303227868018117E-3</v>
      </c>
      <c r="CP591" s="120">
        <v>1.0116120524438724E-2</v>
      </c>
      <c r="CQ591" s="120">
        <v>1.327433900056205E-2</v>
      </c>
      <c r="CR591" s="120">
        <v>2.0271171723798373E-2</v>
      </c>
    </row>
    <row r="592" spans="38:96" ht="12.75" x14ac:dyDescent="0.2">
      <c r="AN592" t="s">
        <v>102</v>
      </c>
      <c r="AO592" s="150">
        <v>17.3</v>
      </c>
      <c r="AP592" s="150">
        <v>16</v>
      </c>
      <c r="AQ592" s="150">
        <v>16</v>
      </c>
      <c r="AR592" s="150">
        <v>16.3</v>
      </c>
      <c r="AS592" s="126">
        <f t="shared" si="457"/>
        <v>16.649999999999999</v>
      </c>
      <c r="AT592" s="161">
        <v>17</v>
      </c>
      <c r="AU592" s="161">
        <v>17.7</v>
      </c>
      <c r="AV592" s="161">
        <v>19</v>
      </c>
      <c r="AW592" s="161">
        <v>20.100000000000001</v>
      </c>
      <c r="AX592" s="161">
        <v>21.1</v>
      </c>
      <c r="AY592" s="161">
        <v>22.9</v>
      </c>
      <c r="AZ592" s="161">
        <v>25.5</v>
      </c>
      <c r="BA592" s="161">
        <v>29.2</v>
      </c>
      <c r="BC592" s="111">
        <f t="shared" si="470"/>
        <v>-0.19999999999999929</v>
      </c>
      <c r="BD592" s="111">
        <f t="shared" si="458"/>
        <v>-0.10000000000000142</v>
      </c>
      <c r="BE592" s="111">
        <f t="shared" si="459"/>
        <v>-0.10000000000000142</v>
      </c>
      <c r="BF592" s="111">
        <f t="shared" si="460"/>
        <v>-9.9999999999997868E-2</v>
      </c>
      <c r="BG592" s="111">
        <f t="shared" si="461"/>
        <v>-0.10000000000000142</v>
      </c>
      <c r="BH592" s="111">
        <f t="shared" si="462"/>
        <v>-0.10000000000000142</v>
      </c>
      <c r="BI592" s="111">
        <f t="shared" si="463"/>
        <v>-0.10000000000000142</v>
      </c>
      <c r="BJ592" s="111">
        <f t="shared" si="464"/>
        <v>0</v>
      </c>
      <c r="BK592" s="111">
        <f t="shared" si="465"/>
        <v>0</v>
      </c>
      <c r="BL592" s="111">
        <f t="shared" si="466"/>
        <v>0</v>
      </c>
      <c r="BM592" s="111">
        <f t="shared" si="467"/>
        <v>0</v>
      </c>
      <c r="BN592" s="111">
        <f t="shared" si="468"/>
        <v>0</v>
      </c>
      <c r="BO592" s="111">
        <f t="shared" si="469"/>
        <v>9.9999999999997868E-2</v>
      </c>
      <c r="BR592" s="120">
        <v>0.21997002890647066</v>
      </c>
      <c r="BS592" s="120">
        <v>0.21040416769359072</v>
      </c>
      <c r="BT592" s="120">
        <v>0.20573750406328878</v>
      </c>
      <c r="BU592" s="120">
        <v>0.20175107356332977</v>
      </c>
      <c r="BV592" s="120">
        <v>0.19784091464618309</v>
      </c>
      <c r="BW592" s="120">
        <v>0.19462268069442179</v>
      </c>
      <c r="BX592" s="120">
        <v>0.19325120069723614</v>
      </c>
      <c r="BY592" s="120">
        <v>0.19545882873486531</v>
      </c>
      <c r="BZ592" s="120">
        <v>0.19832247214431115</v>
      </c>
      <c r="CA592" s="120">
        <v>0.20334750178534067</v>
      </c>
      <c r="CB592" s="120">
        <v>0.21701741913889444</v>
      </c>
      <c r="CC592" s="120">
        <v>0.23881676235746777</v>
      </c>
      <c r="CD592" s="120">
        <v>0.27236579764432156</v>
      </c>
      <c r="CF592" s="120">
        <v>6.0683287589328077E-3</v>
      </c>
      <c r="CG592" s="120">
        <v>6.0856999265821591E-3</v>
      </c>
      <c r="CH592" s="120">
        <v>6.0852929005053586E-3</v>
      </c>
      <c r="CI592" s="120">
        <v>6.0965160300978406E-3</v>
      </c>
      <c r="CJ592" s="120">
        <v>6.1038989513155246E-3</v>
      </c>
      <c r="CK592" s="120">
        <v>6.1262578385996172E-3</v>
      </c>
      <c r="CL592" s="120">
        <v>6.31678793830125E-3</v>
      </c>
      <c r="CM592" s="120">
        <v>6.8440623641816325E-3</v>
      </c>
      <c r="CN592" s="120">
        <v>7.3889396243933172E-3</v>
      </c>
      <c r="CO592" s="120">
        <v>8.0144982846068278E-3</v>
      </c>
      <c r="CP592" s="120">
        <v>9.4418181441761791E-3</v>
      </c>
      <c r="CQ592" s="120">
        <v>1.2207078413620839E-2</v>
      </c>
      <c r="CR592" s="120">
        <v>1.8543779546278883E-2</v>
      </c>
    </row>
    <row r="593" spans="40:96" ht="12.75" x14ac:dyDescent="0.2">
      <c r="AN593" t="s">
        <v>103</v>
      </c>
      <c r="AO593" s="150">
        <v>18.7</v>
      </c>
      <c r="AP593" s="150">
        <v>17.399999999999999</v>
      </c>
      <c r="AQ593" s="150">
        <v>17.3</v>
      </c>
      <c r="AR593" s="150">
        <v>17.5</v>
      </c>
      <c r="AS593" s="126">
        <f t="shared" si="457"/>
        <v>17.7</v>
      </c>
      <c r="AT593" s="161">
        <v>17.899999999999999</v>
      </c>
      <c r="AU593" s="161">
        <v>18.399999999999999</v>
      </c>
      <c r="AV593" s="161">
        <v>19.2</v>
      </c>
      <c r="AW593" s="161">
        <v>19.899999999999999</v>
      </c>
      <c r="AX593" s="161">
        <v>20.6</v>
      </c>
      <c r="AY593" s="161">
        <v>21.8</v>
      </c>
      <c r="AZ593" s="161">
        <v>23.8</v>
      </c>
      <c r="BA593" s="161">
        <v>26.8</v>
      </c>
      <c r="BC593" s="111">
        <f t="shared" si="470"/>
        <v>-0.10000000000000142</v>
      </c>
      <c r="BD593" s="111">
        <f t="shared" si="458"/>
        <v>-0.10000000000000142</v>
      </c>
      <c r="BE593" s="111">
        <f t="shared" si="459"/>
        <v>-9.9999999999997868E-2</v>
      </c>
      <c r="BF593" s="111">
        <f t="shared" si="460"/>
        <v>-0.10000000000000142</v>
      </c>
      <c r="BG593" s="111">
        <f t="shared" si="461"/>
        <v>-0.10000000000000142</v>
      </c>
      <c r="BH593" s="111">
        <f t="shared" si="462"/>
        <v>-0.10000000000000142</v>
      </c>
      <c r="BI593" s="111">
        <f t="shared" si="463"/>
        <v>0</v>
      </c>
      <c r="BJ593" s="111">
        <f t="shared" si="464"/>
        <v>0</v>
      </c>
      <c r="BK593" s="111">
        <f t="shared" si="465"/>
        <v>0</v>
      </c>
      <c r="BL593" s="111">
        <f t="shared" si="466"/>
        <v>0</v>
      </c>
      <c r="BM593" s="111">
        <f t="shared" si="467"/>
        <v>0</v>
      </c>
      <c r="BN593" s="111">
        <f t="shared" si="468"/>
        <v>0</v>
      </c>
      <c r="BO593" s="111">
        <f t="shared" si="469"/>
        <v>0.10000000000000142</v>
      </c>
      <c r="BR593" s="120">
        <v>0.23086578966178978</v>
      </c>
      <c r="BS593" s="120">
        <v>0.21763244513137242</v>
      </c>
      <c r="BT593" s="120">
        <v>0.21234578362836348</v>
      </c>
      <c r="BU593" s="120">
        <v>0.21020309633596576</v>
      </c>
      <c r="BV593" s="120">
        <v>0.20635139506084599</v>
      </c>
      <c r="BW593" s="120">
        <v>0.2028888299660167</v>
      </c>
      <c r="BX593" s="120">
        <v>0.20073022058618617</v>
      </c>
      <c r="BY593" s="120">
        <v>0.19534990303646441</v>
      </c>
      <c r="BZ593" s="120">
        <v>0.19546798924844289</v>
      </c>
      <c r="CA593" s="120">
        <v>0.19865396234980204</v>
      </c>
      <c r="CB593" s="120">
        <v>0.2031392935564213</v>
      </c>
      <c r="CC593" s="120">
        <v>0.21853453803317893</v>
      </c>
      <c r="CD593" s="120">
        <v>0.24523109906605023</v>
      </c>
      <c r="CF593" s="120">
        <v>6.6032213396558844E-3</v>
      </c>
      <c r="CG593" s="120">
        <v>6.5257428748641579E-3</v>
      </c>
      <c r="CH593" s="120">
        <v>6.5096017291213235E-3</v>
      </c>
      <c r="CI593" s="120">
        <v>6.5805111962213333E-3</v>
      </c>
      <c r="CJ593" s="120">
        <v>6.5934435757305319E-3</v>
      </c>
      <c r="CK593" s="120">
        <v>6.6121828516888387E-3</v>
      </c>
      <c r="CL593" s="120">
        <v>6.7907598468496038E-3</v>
      </c>
      <c r="CM593" s="120">
        <v>7.0792040355873746E-3</v>
      </c>
      <c r="CN593" s="120">
        <v>7.5305284892287945E-3</v>
      </c>
      <c r="CO593" s="120">
        <v>8.0894199263669177E-3</v>
      </c>
      <c r="CP593" s="120">
        <v>9.1291161104268617E-3</v>
      </c>
      <c r="CQ593" s="120">
        <v>1.1524671196825232E-2</v>
      </c>
      <c r="CR593" s="120">
        <v>1.719071082938187E-2</v>
      </c>
    </row>
    <row r="594" spans="40:96" ht="12.75" x14ac:dyDescent="0.2">
      <c r="AN594" t="s">
        <v>104</v>
      </c>
      <c r="AO594" s="150">
        <v>19.600000000000001</v>
      </c>
      <c r="AP594" s="150">
        <v>18.399999999999999</v>
      </c>
      <c r="AQ594" s="150">
        <v>18.2</v>
      </c>
      <c r="AR594" s="150">
        <v>18.3</v>
      </c>
      <c r="AS594" s="126">
        <f t="shared" si="457"/>
        <v>18.399999999999999</v>
      </c>
      <c r="AT594" s="161">
        <v>18.5</v>
      </c>
      <c r="AU594" s="161">
        <v>18.7</v>
      </c>
      <c r="AV594" s="161">
        <v>19.100000000000001</v>
      </c>
      <c r="AW594" s="161">
        <v>19.5</v>
      </c>
      <c r="AX594" s="161">
        <v>19.8</v>
      </c>
      <c r="AY594" s="161">
        <v>20.6</v>
      </c>
      <c r="AZ594" s="161">
        <v>22.1</v>
      </c>
      <c r="BA594" s="161">
        <v>24.5</v>
      </c>
      <c r="BC594" s="111">
        <f t="shared" si="470"/>
        <v>-0.19999999999999929</v>
      </c>
      <c r="BD594" s="111">
        <f t="shared" si="458"/>
        <v>-0.10000000000000142</v>
      </c>
      <c r="BE594" s="111">
        <f t="shared" si="459"/>
        <v>-0.19999999999999929</v>
      </c>
      <c r="BF594" s="111">
        <f t="shared" si="460"/>
        <v>-9.9999999999997868E-2</v>
      </c>
      <c r="BG594" s="111">
        <f t="shared" si="461"/>
        <v>-0.10000000000000142</v>
      </c>
      <c r="BH594" s="111">
        <f t="shared" si="462"/>
        <v>-0.10000000000000142</v>
      </c>
      <c r="BI594" s="111">
        <f t="shared" si="463"/>
        <v>-0.10000000000000142</v>
      </c>
      <c r="BJ594" s="111">
        <f t="shared" si="464"/>
        <v>-9.9999999999997868E-2</v>
      </c>
      <c r="BK594" s="111">
        <f t="shared" si="465"/>
        <v>-0.10000000000000142</v>
      </c>
      <c r="BL594" s="111">
        <f t="shared" si="466"/>
        <v>-9.9999999999997868E-2</v>
      </c>
      <c r="BM594" s="111">
        <f t="shared" si="467"/>
        <v>-9.9999999999997868E-2</v>
      </c>
      <c r="BN594" s="111">
        <f t="shared" si="468"/>
        <v>0</v>
      </c>
      <c r="BO594" s="111">
        <f t="shared" si="469"/>
        <v>0</v>
      </c>
      <c r="BR594" s="120">
        <v>0.22865870633363894</v>
      </c>
      <c r="BS594" s="120">
        <v>0.22218394573870562</v>
      </c>
      <c r="BT594" s="120">
        <v>0.21526269618537533</v>
      </c>
      <c r="BU594" s="120">
        <v>0.21092756354627967</v>
      </c>
      <c r="BV594" s="120">
        <v>0.20731947161051545</v>
      </c>
      <c r="BW594" s="120">
        <v>0.20397117170121035</v>
      </c>
      <c r="BX594" s="120">
        <v>0.19347906199651224</v>
      </c>
      <c r="BY594" s="120">
        <v>0.18652279786205861</v>
      </c>
      <c r="BZ594" s="120">
        <v>0.18472734778212987</v>
      </c>
      <c r="CA594" s="120">
        <v>0.17999831136765942</v>
      </c>
      <c r="CB594" s="120">
        <v>0.18469137213245887</v>
      </c>
      <c r="CC594" s="120">
        <v>0.19571428975262861</v>
      </c>
      <c r="CD594" s="120">
        <v>0.21561145182418445</v>
      </c>
      <c r="CF594" s="120">
        <v>6.7768454978659708E-3</v>
      </c>
      <c r="CG594" s="120">
        <v>6.8929609804199371E-3</v>
      </c>
      <c r="CH594" s="120">
        <v>6.8281768352118277E-3</v>
      </c>
      <c r="CI594" s="120">
        <v>6.8341452200215242E-3</v>
      </c>
      <c r="CJ594" s="120">
        <v>6.8549901675145396E-3</v>
      </c>
      <c r="CK594" s="120">
        <v>6.8778782713855907E-3</v>
      </c>
      <c r="CL594" s="120">
        <v>6.7779659203199005E-3</v>
      </c>
      <c r="CM594" s="120">
        <v>6.9937440741004797E-3</v>
      </c>
      <c r="CN594" s="120">
        <v>7.3607371057310654E-3</v>
      </c>
      <c r="CO594" s="120">
        <v>7.5859836749579464E-3</v>
      </c>
      <c r="CP594" s="120">
        <v>8.5767443222251102E-3</v>
      </c>
      <c r="CQ594" s="120">
        <v>1.065104072379261E-2</v>
      </c>
      <c r="CR594" s="120">
        <v>1.556633074026619E-2</v>
      </c>
    </row>
    <row r="595" spans="40:96" ht="12.75" x14ac:dyDescent="0.2">
      <c r="AN595" t="s">
        <v>105</v>
      </c>
      <c r="AO595" s="150">
        <v>20.3</v>
      </c>
      <c r="AP595" s="150">
        <v>19.100000000000001</v>
      </c>
      <c r="AQ595" s="150">
        <v>18.899999999999999</v>
      </c>
      <c r="AR595" s="150">
        <v>18.8</v>
      </c>
      <c r="AS595" s="126">
        <f t="shared" si="457"/>
        <v>18.850000000000001</v>
      </c>
      <c r="AT595" s="161">
        <v>18.899999999999999</v>
      </c>
      <c r="AU595" s="161">
        <v>18.899999999999999</v>
      </c>
      <c r="AV595" s="161">
        <v>19</v>
      </c>
      <c r="AW595" s="161">
        <v>19.100000000000001</v>
      </c>
      <c r="AX595" s="161">
        <v>19.3</v>
      </c>
      <c r="AY595" s="161">
        <v>19.7</v>
      </c>
      <c r="AZ595" s="161">
        <v>20.7</v>
      </c>
      <c r="BA595" s="161">
        <v>22.6</v>
      </c>
      <c r="BC595" s="111">
        <f t="shared" si="470"/>
        <v>-0.19999999999999929</v>
      </c>
      <c r="BD595" s="111">
        <f t="shared" si="458"/>
        <v>-0.19999999999999929</v>
      </c>
      <c r="BE595" s="111">
        <f t="shared" si="459"/>
        <v>-0.10000000000000142</v>
      </c>
      <c r="BF595" s="111">
        <f t="shared" si="460"/>
        <v>-0.19999999999999929</v>
      </c>
      <c r="BG595" s="111">
        <f t="shared" si="461"/>
        <v>-0.19999999999999929</v>
      </c>
      <c r="BH595" s="111">
        <f t="shared" si="462"/>
        <v>-0.20000000000000284</v>
      </c>
      <c r="BI595" s="111">
        <f t="shared" si="463"/>
        <v>-0.20000000000000284</v>
      </c>
      <c r="BJ595" s="111">
        <f t="shared" si="464"/>
        <v>-0.19999999999999929</v>
      </c>
      <c r="BK595" s="111">
        <f t="shared" si="465"/>
        <v>-9.9999999999997868E-2</v>
      </c>
      <c r="BL595" s="111">
        <f t="shared" si="466"/>
        <v>-9.9999999999997868E-2</v>
      </c>
      <c r="BM595" s="111">
        <f t="shared" si="467"/>
        <v>-0.10000000000000142</v>
      </c>
      <c r="BN595" s="111">
        <f t="shared" si="468"/>
        <v>-0.10000000000000142</v>
      </c>
      <c r="BO595" s="111">
        <f t="shared" si="469"/>
        <v>-9.9999999999997868E-2</v>
      </c>
      <c r="BR595" s="120">
        <v>0.23560817537310452</v>
      </c>
      <c r="BS595" s="120">
        <v>0.22187142232424464</v>
      </c>
      <c r="BT595" s="120">
        <v>0.22060984062796091</v>
      </c>
      <c r="BU595" s="120">
        <v>0.20826016515903012</v>
      </c>
      <c r="BV595" s="120">
        <v>0.20626727035320813</v>
      </c>
      <c r="BW595" s="120">
        <v>0.20436680446173572</v>
      </c>
      <c r="BX595" s="120">
        <v>0.1966945423035357</v>
      </c>
      <c r="BY595" s="120">
        <v>0.18740004429045293</v>
      </c>
      <c r="BZ595" s="120">
        <v>0.18037094427678996</v>
      </c>
      <c r="CA595" s="120">
        <v>0.18351867733414956</v>
      </c>
      <c r="CB595" s="120">
        <v>0.18063968489837526</v>
      </c>
      <c r="CC595" s="120">
        <v>0.18486927526075206</v>
      </c>
      <c r="CD595" s="120">
        <v>0.20087056947444545</v>
      </c>
      <c r="CF595" s="120">
        <v>7.2238761971891111E-3</v>
      </c>
      <c r="CG595" s="120">
        <v>7.1298206028769899E-3</v>
      </c>
      <c r="CH595" s="120">
        <v>7.2400967038476214E-3</v>
      </c>
      <c r="CI595" s="120">
        <v>6.9884254750342233E-3</v>
      </c>
      <c r="CJ595" s="120">
        <v>7.0602018646541793E-3</v>
      </c>
      <c r="CK595" s="120">
        <v>7.1308255078325984E-3</v>
      </c>
      <c r="CL595" s="120">
        <v>7.1217373411663829E-3</v>
      </c>
      <c r="CM595" s="120">
        <v>7.2605694344115785E-3</v>
      </c>
      <c r="CN595" s="120">
        <v>7.4267839354536461E-3</v>
      </c>
      <c r="CO595" s="120">
        <v>7.9727924153743454E-3</v>
      </c>
      <c r="CP595" s="120">
        <v>8.6487212871070047E-3</v>
      </c>
      <c r="CQ595" s="120">
        <v>1.0362979353335295E-2</v>
      </c>
      <c r="CR595" s="120">
        <v>1.4896500229566137E-2</v>
      </c>
    </row>
    <row r="596" spans="40:96" ht="12.75" x14ac:dyDescent="0.2">
      <c r="AN596" t="s">
        <v>106</v>
      </c>
      <c r="AO596" s="150">
        <v>20.7</v>
      </c>
      <c r="AP596" s="150">
        <v>19.5</v>
      </c>
      <c r="AQ596" s="150">
        <v>19.3</v>
      </c>
      <c r="AR596" s="150">
        <v>19.2</v>
      </c>
      <c r="AS596" s="126">
        <f t="shared" si="457"/>
        <v>19.149999999999999</v>
      </c>
      <c r="AT596" s="161">
        <v>19.100000000000001</v>
      </c>
      <c r="AU596" s="161">
        <v>19</v>
      </c>
      <c r="AV596" s="161">
        <v>18.899999999999999</v>
      </c>
      <c r="AW596" s="161">
        <v>18.8</v>
      </c>
      <c r="AX596" s="161">
        <v>18.8</v>
      </c>
      <c r="AY596" s="161">
        <v>19</v>
      </c>
      <c r="AZ596" s="161">
        <v>19.7</v>
      </c>
      <c r="BA596" s="161">
        <v>21.4</v>
      </c>
      <c r="BC596" s="111">
        <f t="shared" si="470"/>
        <v>-0.30000000000000071</v>
      </c>
      <c r="BD596" s="111">
        <f t="shared" si="458"/>
        <v>-0.19999999999999929</v>
      </c>
      <c r="BE596" s="111">
        <f t="shared" si="459"/>
        <v>-0.19999999999999929</v>
      </c>
      <c r="BF596" s="111">
        <f t="shared" si="460"/>
        <v>-0.19999999999999929</v>
      </c>
      <c r="BG596" s="111">
        <f t="shared" si="461"/>
        <v>-0.20000000000000284</v>
      </c>
      <c r="BH596" s="111">
        <f t="shared" si="462"/>
        <v>-0.19999999999999929</v>
      </c>
      <c r="BI596" s="111">
        <f t="shared" si="463"/>
        <v>-0.19999999999999929</v>
      </c>
      <c r="BJ596" s="111">
        <f t="shared" si="464"/>
        <v>-0.20000000000000284</v>
      </c>
      <c r="BK596" s="111">
        <f t="shared" si="465"/>
        <v>-9.9999999999997868E-2</v>
      </c>
      <c r="BL596" s="111">
        <f t="shared" si="466"/>
        <v>-9.9999999999997868E-2</v>
      </c>
      <c r="BM596" s="111">
        <f t="shared" si="467"/>
        <v>-0.10000000000000142</v>
      </c>
      <c r="BN596" s="111">
        <f t="shared" si="468"/>
        <v>-0.10000000000000142</v>
      </c>
      <c r="BO596" s="111">
        <f t="shared" si="469"/>
        <v>-0.10000000000000142</v>
      </c>
      <c r="BR596" s="120">
        <v>0.22515645771856982</v>
      </c>
      <c r="BS596" s="120">
        <v>0.21379209931866974</v>
      </c>
      <c r="BT596" s="120">
        <v>0.21102864788326581</v>
      </c>
      <c r="BU596" s="120">
        <v>0.2130045714594937</v>
      </c>
      <c r="BV596" s="120">
        <v>0.20572690887499279</v>
      </c>
      <c r="BW596" s="120">
        <v>0.19881976742524574</v>
      </c>
      <c r="BX596" s="120">
        <v>0.19338851760336112</v>
      </c>
      <c r="BY596" s="120">
        <v>0.18482957180050952</v>
      </c>
      <c r="BZ596" s="120">
        <v>0.17846114593530565</v>
      </c>
      <c r="CA596" s="120">
        <v>0.17180498912664702</v>
      </c>
      <c r="CB596" s="120">
        <v>0.17271754155867239</v>
      </c>
      <c r="CC596" s="120">
        <v>0.17774469174859778</v>
      </c>
      <c r="CD596" s="120">
        <v>0.19713522110876122</v>
      </c>
      <c r="CF596" s="120">
        <v>7.0580708432978088E-3</v>
      </c>
      <c r="CG596" s="120">
        <v>7.0163815988190199E-3</v>
      </c>
      <c r="CH596" s="120">
        <v>7.075819032903552E-3</v>
      </c>
      <c r="CI596" s="120">
        <v>7.2826063750104086E-3</v>
      </c>
      <c r="CJ596" s="120">
        <v>7.1810105089455114E-3</v>
      </c>
      <c r="CK596" s="120">
        <v>7.0798798224943407E-3</v>
      </c>
      <c r="CL596" s="120">
        <v>7.1443969377980119E-3</v>
      </c>
      <c r="CM596" s="120">
        <v>7.3022224198047167E-3</v>
      </c>
      <c r="CN596" s="120">
        <v>7.4882921547467802E-3</v>
      </c>
      <c r="CO596" s="120">
        <v>7.6201195240382241E-3</v>
      </c>
      <c r="CP596" s="120">
        <v>8.4291503263357517E-3</v>
      </c>
      <c r="CQ596" s="120">
        <v>1.0140781856495647E-2</v>
      </c>
      <c r="CR596" s="120">
        <v>1.4841437969467899E-2</v>
      </c>
    </row>
    <row r="597" spans="40:96" ht="12.75" x14ac:dyDescent="0.2">
      <c r="AN597" t="s">
        <v>79</v>
      </c>
      <c r="AO597" s="150">
        <v>20.9</v>
      </c>
      <c r="AP597" s="150">
        <v>19.8</v>
      </c>
      <c r="AQ597" s="150">
        <v>19.5</v>
      </c>
      <c r="AR597" s="150">
        <v>19.399999999999999</v>
      </c>
      <c r="AS597" s="126">
        <f t="shared" si="457"/>
        <v>19.299999999999997</v>
      </c>
      <c r="AT597" s="161">
        <v>19.2</v>
      </c>
      <c r="AU597" s="161">
        <v>19.100000000000001</v>
      </c>
      <c r="AV597" s="161">
        <v>18.8</v>
      </c>
      <c r="AW597" s="161">
        <v>18.5</v>
      </c>
      <c r="AX597" s="161">
        <v>18.399999999999999</v>
      </c>
      <c r="AY597" s="161">
        <v>18.399999999999999</v>
      </c>
      <c r="AZ597" s="161">
        <v>18.899999999999999</v>
      </c>
      <c r="BA597" s="161">
        <v>20.2</v>
      </c>
      <c r="BC597" s="111">
        <f t="shared" si="470"/>
        <v>-0.30000000000000071</v>
      </c>
      <c r="BD597" s="111">
        <f t="shared" si="458"/>
        <v>-0.19999999999999929</v>
      </c>
      <c r="BE597" s="111">
        <f t="shared" si="459"/>
        <v>-0.19999999999999929</v>
      </c>
      <c r="BF597" s="111">
        <f t="shared" si="460"/>
        <v>-0.20000000000000284</v>
      </c>
      <c r="BG597" s="111">
        <f t="shared" si="461"/>
        <v>-0.20000000000000284</v>
      </c>
      <c r="BH597" s="111">
        <f t="shared" si="462"/>
        <v>-0.19999999999999929</v>
      </c>
      <c r="BI597" s="111">
        <f t="shared" si="463"/>
        <v>-9.9999999999997868E-2</v>
      </c>
      <c r="BJ597" s="111">
        <f t="shared" si="464"/>
        <v>-9.9999999999997868E-2</v>
      </c>
      <c r="BK597" s="111">
        <f t="shared" si="465"/>
        <v>-0.19999999999999929</v>
      </c>
      <c r="BL597" s="111">
        <f t="shared" si="466"/>
        <v>-0.20000000000000284</v>
      </c>
      <c r="BM597" s="111">
        <f t="shared" si="467"/>
        <v>-0.10000000000000142</v>
      </c>
      <c r="BN597" s="111">
        <f t="shared" si="468"/>
        <v>-0.10000000000000142</v>
      </c>
      <c r="BO597" s="111">
        <f t="shared" si="469"/>
        <v>-0.10000000000000142</v>
      </c>
      <c r="BR597" s="120">
        <v>0.21930383437152484</v>
      </c>
      <c r="BS597" s="120">
        <v>0.21624262716123493</v>
      </c>
      <c r="BT597" s="120">
        <v>0.20516135415544881</v>
      </c>
      <c r="BU597" s="120">
        <v>0.20279264751158235</v>
      </c>
      <c r="BV597" s="120">
        <v>0.19977917352365279</v>
      </c>
      <c r="BW597" s="120">
        <v>0.19683241141495111</v>
      </c>
      <c r="BX597" s="120">
        <v>0.19680602873600575</v>
      </c>
      <c r="BY597" s="120">
        <v>0.18338905573790246</v>
      </c>
      <c r="BZ597" s="120">
        <v>0.1724233942316693</v>
      </c>
      <c r="CA597" s="120">
        <v>0.1706140149696769</v>
      </c>
      <c r="CB597" s="120">
        <v>0.16592801027207535</v>
      </c>
      <c r="CC597" s="120">
        <v>0.16939873362014388</v>
      </c>
      <c r="CD597" s="120">
        <v>0.17458211704859664</v>
      </c>
      <c r="CF597" s="120">
        <v>6.9805277919348218E-3</v>
      </c>
      <c r="CG597" s="120">
        <v>7.1964057705396741E-3</v>
      </c>
      <c r="CH597" s="120">
        <v>6.9846703408616541E-3</v>
      </c>
      <c r="CI597" s="120">
        <v>7.0483914268895092E-3</v>
      </c>
      <c r="CJ597" s="120">
        <v>7.0820733806753649E-3</v>
      </c>
      <c r="CK597" s="120">
        <v>7.1122657123909548E-3</v>
      </c>
      <c r="CL597" s="120">
        <v>7.3700271186031858E-3</v>
      </c>
      <c r="CM597" s="120">
        <v>7.3492241756204259E-3</v>
      </c>
      <c r="CN597" s="120">
        <v>7.3429312746583477E-3</v>
      </c>
      <c r="CO597" s="120">
        <v>7.6682645050071569E-3</v>
      </c>
      <c r="CP597" s="120">
        <v>8.2112908399047425E-3</v>
      </c>
      <c r="CQ597" s="120">
        <v>9.797443964256785E-3</v>
      </c>
      <c r="CR597" s="120">
        <v>1.3346451656465232E-2</v>
      </c>
    </row>
    <row r="598" spans="40:96" ht="12.75" x14ac:dyDescent="0.2">
      <c r="AN598" t="s">
        <v>159</v>
      </c>
      <c r="AO598" s="150">
        <v>21.1</v>
      </c>
      <c r="AP598" s="150">
        <v>19.899999999999999</v>
      </c>
      <c r="AQ598" s="150">
        <v>19.7</v>
      </c>
      <c r="AR598" s="150">
        <v>19.5</v>
      </c>
      <c r="AS598" s="126">
        <f t="shared" si="457"/>
        <v>19.350000000000001</v>
      </c>
      <c r="AT598" s="161">
        <v>19.2</v>
      </c>
      <c r="AU598" s="161">
        <v>18.899999999999999</v>
      </c>
      <c r="AV598" s="161">
        <v>18.399999999999999</v>
      </c>
      <c r="AW598" s="161">
        <v>18</v>
      </c>
      <c r="AX598" s="161">
        <v>17.7</v>
      </c>
      <c r="AY598" s="161">
        <v>17.5</v>
      </c>
      <c r="AZ598" s="161">
        <v>17.600000000000001</v>
      </c>
      <c r="BA598" s="161">
        <v>18.399999999999999</v>
      </c>
      <c r="BC598" s="111">
        <f t="shared" si="470"/>
        <v>-0.19999999999999929</v>
      </c>
      <c r="BD598" s="111">
        <f t="shared" si="458"/>
        <v>-0.30000000000000071</v>
      </c>
      <c r="BE598" s="111">
        <f t="shared" si="459"/>
        <v>-0.19999999999999929</v>
      </c>
      <c r="BF598" s="111">
        <f t="shared" si="460"/>
        <v>-0.19999999999999929</v>
      </c>
      <c r="BG598" s="111">
        <f t="shared" si="461"/>
        <v>-0.19999999999999574</v>
      </c>
      <c r="BH598" s="111">
        <f t="shared" si="462"/>
        <v>-0.19999999999999929</v>
      </c>
      <c r="BI598" s="111">
        <f t="shared" si="463"/>
        <v>-0.20000000000000284</v>
      </c>
      <c r="BJ598" s="111">
        <f t="shared" si="464"/>
        <v>-0.20000000000000284</v>
      </c>
      <c r="BK598" s="111">
        <f t="shared" si="465"/>
        <v>-0.19999999999999929</v>
      </c>
      <c r="BL598" s="111">
        <f t="shared" si="466"/>
        <v>-0.19999999999999929</v>
      </c>
      <c r="BM598" s="111">
        <f t="shared" si="467"/>
        <v>-0.10000000000000142</v>
      </c>
      <c r="BN598" s="111">
        <f t="shared" si="468"/>
        <v>-9.9999999999997868E-2</v>
      </c>
      <c r="BO598" s="111">
        <f t="shared" si="469"/>
        <v>0</v>
      </c>
      <c r="BR598" s="120">
        <v>0.21627978612712331</v>
      </c>
      <c r="BS598" s="120">
        <v>0.19398186066662088</v>
      </c>
      <c r="BT598" s="120">
        <v>0.20234245072479165</v>
      </c>
      <c r="BU598" s="120">
        <v>0.19540208236355308</v>
      </c>
      <c r="BV598" s="120">
        <v>0.19223763403812014</v>
      </c>
      <c r="BW598" s="120">
        <v>0.18915228188435987</v>
      </c>
      <c r="BX598" s="120">
        <v>0.17550595581317052</v>
      </c>
      <c r="BY598" s="120">
        <v>0.16885063426139926</v>
      </c>
      <c r="BZ598" s="120">
        <v>0.16743231528559341</v>
      </c>
      <c r="CA598" s="120">
        <v>0.15953795925162931</v>
      </c>
      <c r="CB598" s="120">
        <v>0.15766573488481292</v>
      </c>
      <c r="CC598" s="120">
        <v>0.15397990340062678</v>
      </c>
      <c r="CD598" s="120">
        <v>0.16150016438850801</v>
      </c>
      <c r="CF598" s="120">
        <v>6.9985007754400641E-3</v>
      </c>
      <c r="CG598" s="120">
        <v>6.5898760369105585E-3</v>
      </c>
      <c r="CH598" s="120">
        <v>7.0025083103724545E-3</v>
      </c>
      <c r="CI598" s="120">
        <v>6.9072527258248482E-3</v>
      </c>
      <c r="CJ598" s="120">
        <v>6.9322670539328892E-3</v>
      </c>
      <c r="CK598" s="120">
        <v>6.9537877960883648E-3</v>
      </c>
      <c r="CL598" s="120">
        <v>6.7046340141497735E-3</v>
      </c>
      <c r="CM598" s="120">
        <v>6.8912313694476889E-3</v>
      </c>
      <c r="CN598" s="120">
        <v>7.2467676309167714E-3</v>
      </c>
      <c r="CO598" s="120">
        <v>7.2965056963703329E-3</v>
      </c>
      <c r="CP598" s="120">
        <v>7.9296236611872805E-3</v>
      </c>
      <c r="CQ598" s="120">
        <v>9.0523076025454379E-3</v>
      </c>
      <c r="CR598" s="120">
        <v>1.25096898635648E-2</v>
      </c>
    </row>
    <row r="599" spans="40:96" ht="12.75" x14ac:dyDescent="0.2">
      <c r="AN599" t="s">
        <v>107</v>
      </c>
      <c r="AO599" s="150">
        <v>20.9</v>
      </c>
      <c r="AP599" s="150">
        <v>19.899999999999999</v>
      </c>
      <c r="AQ599" s="150">
        <v>19.600000000000001</v>
      </c>
      <c r="AR599" s="150">
        <v>19.3</v>
      </c>
      <c r="AS599" s="126">
        <f t="shared" si="457"/>
        <v>19.100000000000001</v>
      </c>
      <c r="AT599" s="161">
        <v>18.899999999999999</v>
      </c>
      <c r="AU599" s="161">
        <v>18.600000000000001</v>
      </c>
      <c r="AV599" s="161">
        <v>18</v>
      </c>
      <c r="AW599" s="161">
        <v>17.5</v>
      </c>
      <c r="AX599" s="161">
        <v>17.100000000000001</v>
      </c>
      <c r="AY599" s="161">
        <v>16.600000000000001</v>
      </c>
      <c r="AZ599" s="161">
        <v>16.3</v>
      </c>
      <c r="BA599" s="161">
        <v>16.600000000000001</v>
      </c>
      <c r="BC599" s="111">
        <f t="shared" si="470"/>
        <v>-0.20000000000000284</v>
      </c>
      <c r="BD599" s="111">
        <f t="shared" si="458"/>
        <v>-0.20000000000000284</v>
      </c>
      <c r="BE599" s="111">
        <f t="shared" si="459"/>
        <v>-0.19999999999999929</v>
      </c>
      <c r="BF599" s="111">
        <f t="shared" si="460"/>
        <v>-0.19999999999999929</v>
      </c>
      <c r="BG599" s="111">
        <f t="shared" si="461"/>
        <v>-0.19999999999999929</v>
      </c>
      <c r="BH599" s="111">
        <f t="shared" si="462"/>
        <v>-0.20000000000000284</v>
      </c>
      <c r="BI599" s="111">
        <f t="shared" si="463"/>
        <v>-0.19999999999999929</v>
      </c>
      <c r="BJ599" s="111">
        <f t="shared" si="464"/>
        <v>-0.10000000000000142</v>
      </c>
      <c r="BK599" s="111">
        <f t="shared" si="465"/>
        <v>-0.10000000000000142</v>
      </c>
      <c r="BL599" s="111">
        <f t="shared" si="466"/>
        <v>-0.19999999999999929</v>
      </c>
      <c r="BM599" s="111">
        <f t="shared" si="467"/>
        <v>-0.19999999999999929</v>
      </c>
      <c r="BN599" s="111">
        <f t="shared" si="468"/>
        <v>-0.19999999999999929</v>
      </c>
      <c r="BO599" s="111">
        <f t="shared" si="469"/>
        <v>0</v>
      </c>
      <c r="BR599" s="120">
        <v>0.19537584999287852</v>
      </c>
      <c r="BS599" s="120">
        <v>0.20246517566305938</v>
      </c>
      <c r="BT599" s="120">
        <v>0.18725371753978232</v>
      </c>
      <c r="BU599" s="120">
        <v>0.18271972833604047</v>
      </c>
      <c r="BV599" s="120">
        <v>0.17952609783203044</v>
      </c>
      <c r="BW599" s="120">
        <v>0.17638700590812093</v>
      </c>
      <c r="BX599" s="120">
        <v>0.18135556584905588</v>
      </c>
      <c r="BY599" s="120">
        <v>0.17331423028058626</v>
      </c>
      <c r="BZ599" s="120">
        <v>0.16386180743221757</v>
      </c>
      <c r="CA599" s="120">
        <v>0.16104326028530069</v>
      </c>
      <c r="CB599" s="120">
        <v>0.14876817631242983</v>
      </c>
      <c r="CC599" s="120">
        <v>0.14238855054874006</v>
      </c>
      <c r="CD599" s="120">
        <v>0.13969597184864579</v>
      </c>
      <c r="CF599" s="120">
        <v>6.2875520887869544E-3</v>
      </c>
      <c r="CG599" s="120">
        <v>6.7977172006171947E-3</v>
      </c>
      <c r="CH599" s="120">
        <v>6.4402850809030876E-3</v>
      </c>
      <c r="CI599" s="120">
        <v>6.4179382667219507E-3</v>
      </c>
      <c r="CJ599" s="120">
        <v>6.4327232507694143E-3</v>
      </c>
      <c r="CK599" s="120">
        <v>6.4433234542199905E-3</v>
      </c>
      <c r="CL599" s="120">
        <v>6.8585927812743292E-3</v>
      </c>
      <c r="CM599" s="120">
        <v>7.0100423455550709E-3</v>
      </c>
      <c r="CN599" s="120">
        <v>7.0433511014141659E-3</v>
      </c>
      <c r="CO599" s="120">
        <v>7.3070531205871427E-3</v>
      </c>
      <c r="CP599" s="120">
        <v>7.4396174732053117E-3</v>
      </c>
      <c r="CQ599" s="120">
        <v>8.327476479047146E-3</v>
      </c>
      <c r="CR599" s="120">
        <v>1.0796884851204287E-2</v>
      </c>
    </row>
    <row r="600" spans="40:96" ht="12.75" x14ac:dyDescent="0.2">
      <c r="AN600" t="s">
        <v>108</v>
      </c>
      <c r="AO600" s="150">
        <v>20.5</v>
      </c>
      <c r="AP600" s="150">
        <v>19.600000000000001</v>
      </c>
      <c r="AQ600" s="150">
        <v>19.3</v>
      </c>
      <c r="AR600" s="150">
        <v>19.100000000000001</v>
      </c>
      <c r="AS600" s="126">
        <f t="shared" si="457"/>
        <v>18.850000000000001</v>
      </c>
      <c r="AT600" s="161">
        <v>18.600000000000001</v>
      </c>
      <c r="AU600" s="161">
        <v>18.2</v>
      </c>
      <c r="AV600" s="161">
        <v>17.600000000000001</v>
      </c>
      <c r="AW600" s="161">
        <v>17</v>
      </c>
      <c r="AX600" s="161">
        <v>16.600000000000001</v>
      </c>
      <c r="AY600" s="161">
        <v>16</v>
      </c>
      <c r="AZ600" s="161">
        <v>15.5</v>
      </c>
      <c r="BA600" s="161">
        <v>15.1</v>
      </c>
      <c r="BC600" s="111">
        <f t="shared" si="470"/>
        <v>-0.19999999999999929</v>
      </c>
      <c r="BD600" s="111">
        <f t="shared" si="458"/>
        <v>-0.19999999999999929</v>
      </c>
      <c r="BE600" s="111">
        <f t="shared" si="459"/>
        <v>-0.19999999999999929</v>
      </c>
      <c r="BF600" s="111">
        <f t="shared" si="460"/>
        <v>-9.9999999999997868E-2</v>
      </c>
      <c r="BG600" s="111">
        <f t="shared" si="461"/>
        <v>-0.14999999999999858</v>
      </c>
      <c r="BH600" s="111">
        <f t="shared" si="462"/>
        <v>-0.19999999999999929</v>
      </c>
      <c r="BI600" s="111">
        <f t="shared" si="463"/>
        <v>-0.19999999999999929</v>
      </c>
      <c r="BJ600" s="111">
        <f t="shared" si="464"/>
        <v>-9.9999999999997868E-2</v>
      </c>
      <c r="BK600" s="111">
        <f t="shared" si="465"/>
        <v>-0.19999999999999929</v>
      </c>
      <c r="BL600" s="111">
        <f t="shared" si="466"/>
        <v>-0.19999999999999929</v>
      </c>
      <c r="BM600" s="111">
        <f t="shared" si="467"/>
        <v>-0.19999999999999929</v>
      </c>
      <c r="BN600" s="111">
        <f t="shared" si="468"/>
        <v>-9.9999999999999645E-2</v>
      </c>
      <c r="BO600" s="111">
        <f t="shared" si="469"/>
        <v>-9.9999999999999645E-2</v>
      </c>
      <c r="BR600" s="120">
        <v>0.19928732812563715</v>
      </c>
      <c r="BS600" s="120">
        <v>0.1806585585822795</v>
      </c>
      <c r="BT600" s="120">
        <v>0.18724728959514397</v>
      </c>
      <c r="BU600" s="120">
        <v>0.19069301586492649</v>
      </c>
      <c r="BV600" s="120">
        <v>0.18706161046368031</v>
      </c>
      <c r="BW600" s="120">
        <v>0.18343214325596874</v>
      </c>
      <c r="BX600" s="120">
        <v>0.16911181320644203</v>
      </c>
      <c r="BY600" s="120">
        <v>0.16539261441148351</v>
      </c>
      <c r="BZ600" s="120">
        <v>0.15989501265400768</v>
      </c>
      <c r="CA600" s="120">
        <v>0.15579999243472259</v>
      </c>
      <c r="CB600" s="120">
        <v>0.15392591593995192</v>
      </c>
      <c r="CC600" s="120">
        <v>0.14857536903820262</v>
      </c>
      <c r="CD600" s="120">
        <v>0.13597657796676013</v>
      </c>
      <c r="CF600" s="120">
        <v>6.1153078522592262E-3</v>
      </c>
      <c r="CG600" s="120">
        <v>5.8142977759302918E-3</v>
      </c>
      <c r="CH600" s="120">
        <v>6.1541955273033541E-3</v>
      </c>
      <c r="CI600" s="120">
        <v>6.3934765366718627E-3</v>
      </c>
      <c r="CJ600" s="120">
        <v>6.4025049359163252E-3</v>
      </c>
      <c r="CK600" s="120">
        <v>6.4050252719945779E-3</v>
      </c>
      <c r="CL600" s="120">
        <v>6.1353469929657026E-3</v>
      </c>
      <c r="CM600" s="120">
        <v>6.4191375299202129E-3</v>
      </c>
      <c r="CN600" s="120">
        <v>6.598684745561802E-3</v>
      </c>
      <c r="CO600" s="120">
        <v>6.795461513132546E-3</v>
      </c>
      <c r="CP600" s="120">
        <v>7.4027036952104587E-3</v>
      </c>
      <c r="CQ600" s="120">
        <v>8.3755029434783128E-3</v>
      </c>
      <c r="CR600" s="120">
        <v>1.0166555340491509E-2</v>
      </c>
    </row>
    <row r="601" spans="40:96" ht="12.75" x14ac:dyDescent="0.2">
      <c r="AN601" t="s">
        <v>109</v>
      </c>
      <c r="AO601" s="150">
        <v>20.3</v>
      </c>
      <c r="AP601" s="150">
        <v>19.5</v>
      </c>
      <c r="AQ601" s="150">
        <v>19.2</v>
      </c>
      <c r="AR601" s="150">
        <v>18.899999999999999</v>
      </c>
      <c r="AS601" s="126">
        <f t="shared" si="457"/>
        <v>18.7</v>
      </c>
      <c r="AT601" s="161">
        <v>18.5</v>
      </c>
      <c r="AU601" s="161">
        <v>18.100000000000001</v>
      </c>
      <c r="AV601" s="161">
        <v>17.399999999999999</v>
      </c>
      <c r="AW601" s="161">
        <v>16.8</v>
      </c>
      <c r="AX601" s="161">
        <v>16.399999999999999</v>
      </c>
      <c r="AY601" s="161">
        <v>15.7</v>
      </c>
      <c r="AZ601" s="161">
        <v>15</v>
      </c>
      <c r="BA601" s="161">
        <v>14.3</v>
      </c>
      <c r="BC601" s="111">
        <f t="shared" si="470"/>
        <v>-0.19999999999999929</v>
      </c>
      <c r="BD601" s="111">
        <f t="shared" si="458"/>
        <v>-0.19999999999999929</v>
      </c>
      <c r="BE601" s="111">
        <f t="shared" si="459"/>
        <v>-0.19999999999999929</v>
      </c>
      <c r="BF601" s="111">
        <f t="shared" si="460"/>
        <v>-0.20000000000000284</v>
      </c>
      <c r="BG601" s="111">
        <f t="shared" si="461"/>
        <v>-0.19999999999999929</v>
      </c>
      <c r="BH601" s="111">
        <f t="shared" si="462"/>
        <v>-0.19999999999999929</v>
      </c>
      <c r="BI601" s="111">
        <f t="shared" si="463"/>
        <v>-0.19999999999999929</v>
      </c>
      <c r="BJ601" s="111">
        <f t="shared" si="464"/>
        <v>-0.20000000000000284</v>
      </c>
      <c r="BK601" s="111">
        <f t="shared" si="465"/>
        <v>-0.19999999999999929</v>
      </c>
      <c r="BL601" s="111">
        <f t="shared" si="466"/>
        <v>-0.10000000000000142</v>
      </c>
      <c r="BM601" s="111">
        <f t="shared" si="467"/>
        <v>-0.20000000000000107</v>
      </c>
      <c r="BN601" s="111">
        <f t="shared" si="468"/>
        <v>-9.9999999999999645E-2</v>
      </c>
      <c r="BO601" s="111">
        <f t="shared" si="469"/>
        <v>-9.9999999999999645E-2</v>
      </c>
      <c r="BR601" s="120">
        <v>0.19667321779897023</v>
      </c>
      <c r="BS601" s="120">
        <v>0.20172889960581822</v>
      </c>
      <c r="BT601" s="120">
        <v>0.19095928895229416</v>
      </c>
      <c r="BU601" s="120">
        <v>0.17784166482904401</v>
      </c>
      <c r="BV601" s="120">
        <v>0.17956258596269409</v>
      </c>
      <c r="BW601" s="120">
        <v>0.18132742034344759</v>
      </c>
      <c r="BX601" s="120">
        <v>0.18572102607870883</v>
      </c>
      <c r="BY601" s="120">
        <v>0.17132257902490022</v>
      </c>
      <c r="BZ601" s="120">
        <v>0.16519490339877355</v>
      </c>
      <c r="CA601" s="120">
        <v>0.16159029334754191</v>
      </c>
      <c r="CB601" s="120">
        <v>0.14692018901683157</v>
      </c>
      <c r="CC601" s="120">
        <v>0.13318464097535843</v>
      </c>
      <c r="CD601" s="120">
        <v>0.12735074289835577</v>
      </c>
      <c r="CF601" s="120">
        <v>5.8232641995243674E-3</v>
      </c>
      <c r="CG601" s="120">
        <v>6.2578857505440197E-3</v>
      </c>
      <c r="CH601" s="120">
        <v>6.0578756871695763E-3</v>
      </c>
      <c r="CI601" s="120">
        <v>5.7755533444139948E-3</v>
      </c>
      <c r="CJ601" s="120">
        <v>5.9460875547296954E-3</v>
      </c>
      <c r="CK601" s="120">
        <v>6.1186851931909758E-3</v>
      </c>
      <c r="CL601" s="120">
        <v>6.5083832854600232E-3</v>
      </c>
      <c r="CM601" s="120">
        <v>6.4441530453394772E-3</v>
      </c>
      <c r="CN601" s="120">
        <v>6.6102330609194892E-3</v>
      </c>
      <c r="CO601" s="120">
        <v>6.8384217514400897E-3</v>
      </c>
      <c r="CP601" s="120">
        <v>6.8691497654247433E-3</v>
      </c>
      <c r="CQ601" s="120">
        <v>7.3194208509311685E-3</v>
      </c>
      <c r="CR601" s="120">
        <v>9.3145417292273373E-3</v>
      </c>
    </row>
    <row r="602" spans="40:96" ht="12.75" x14ac:dyDescent="0.2">
      <c r="AN602" t="s">
        <v>110</v>
      </c>
      <c r="AO602" s="150">
        <v>20.100000000000001</v>
      </c>
      <c r="AP602" s="150">
        <v>19.399999999999999</v>
      </c>
      <c r="AQ602" s="150">
        <v>19.100000000000001</v>
      </c>
      <c r="AR602" s="150">
        <v>18.8</v>
      </c>
      <c r="AS602" s="126">
        <f t="shared" si="457"/>
        <v>18.55</v>
      </c>
      <c r="AT602" s="161">
        <v>18.3</v>
      </c>
      <c r="AU602" s="161">
        <v>17.899999999999999</v>
      </c>
      <c r="AV602" s="161">
        <v>17.2</v>
      </c>
      <c r="AW602" s="161">
        <v>16.600000000000001</v>
      </c>
      <c r="AX602" s="161">
        <v>16.2</v>
      </c>
      <c r="AY602" s="161">
        <v>15.5</v>
      </c>
      <c r="AZ602" s="161">
        <v>14.7</v>
      </c>
      <c r="BA602" s="161">
        <v>13.8</v>
      </c>
      <c r="BC602" s="111">
        <f t="shared" si="470"/>
        <v>-0.19999999999999929</v>
      </c>
      <c r="BD602" s="111">
        <f t="shared" si="458"/>
        <v>-0.10000000000000142</v>
      </c>
      <c r="BE602" s="111">
        <f t="shared" si="459"/>
        <v>-9.9999999999997868E-2</v>
      </c>
      <c r="BF602" s="111">
        <f t="shared" si="460"/>
        <v>-0.19999999999999929</v>
      </c>
      <c r="BG602" s="111">
        <f t="shared" si="461"/>
        <v>-0.19999999999999929</v>
      </c>
      <c r="BH602" s="111">
        <f t="shared" si="462"/>
        <v>-0.19999999999999929</v>
      </c>
      <c r="BI602" s="111">
        <f t="shared" si="463"/>
        <v>-0.20000000000000284</v>
      </c>
      <c r="BJ602" s="111">
        <f t="shared" si="464"/>
        <v>-0.19999999999999929</v>
      </c>
      <c r="BK602" s="111">
        <f t="shared" si="465"/>
        <v>-0.19999999999999929</v>
      </c>
      <c r="BL602" s="111">
        <f t="shared" si="466"/>
        <v>-0.10000000000000142</v>
      </c>
      <c r="BM602" s="111">
        <f t="shared" si="467"/>
        <v>-9.9999999999999645E-2</v>
      </c>
      <c r="BN602" s="111">
        <f t="shared" si="468"/>
        <v>-0.10000000000000142</v>
      </c>
      <c r="BO602" s="111">
        <f t="shared" si="469"/>
        <v>-9.9999999999999645E-2</v>
      </c>
      <c r="BR602" s="120">
        <v>0.1922983154012442</v>
      </c>
      <c r="BS602" s="120">
        <v>0.18145610993395078</v>
      </c>
      <c r="BT602" s="120">
        <v>0.18465339899678737</v>
      </c>
      <c r="BU602" s="120">
        <v>0.18981370160235567</v>
      </c>
      <c r="BV602" s="120">
        <v>0.18061929209490704</v>
      </c>
      <c r="BW602" s="120">
        <v>0.17140799756713762</v>
      </c>
      <c r="BX602" s="120">
        <v>0.16061400016415811</v>
      </c>
      <c r="BY602" s="120">
        <v>0.15969322221108012</v>
      </c>
      <c r="BZ602" s="120">
        <v>0.15405373341560141</v>
      </c>
      <c r="CA602" s="120">
        <v>0.15007054261946637</v>
      </c>
      <c r="CB602" s="120">
        <v>0.15009970698738631</v>
      </c>
      <c r="CC602" s="120">
        <v>0.14339302804447404</v>
      </c>
      <c r="CD602" s="120">
        <v>0.12938778830337708</v>
      </c>
      <c r="CF602" s="120">
        <v>5.6143986858183878E-3</v>
      </c>
      <c r="CG602" s="120">
        <v>5.5470447460405853E-3</v>
      </c>
      <c r="CH602" s="120">
        <v>5.7754058592818843E-3</v>
      </c>
      <c r="CI602" s="120">
        <v>6.0597435873169592E-3</v>
      </c>
      <c r="CJ602" s="120">
        <v>5.9003016815744871E-3</v>
      </c>
      <c r="CK602" s="120">
        <v>5.7256995953616887E-3</v>
      </c>
      <c r="CL602" s="120">
        <v>5.5720003602737905E-3</v>
      </c>
      <c r="CM602" s="120">
        <v>5.9334357781251242E-3</v>
      </c>
      <c r="CN602" s="120">
        <v>6.0943700813129026E-3</v>
      </c>
      <c r="CO602" s="120">
        <v>6.2807571390485969E-3</v>
      </c>
      <c r="CP602" s="120">
        <v>6.9376504997221197E-3</v>
      </c>
      <c r="CQ602" s="120">
        <v>7.7948585056111684E-3</v>
      </c>
      <c r="CR602" s="120">
        <v>9.3668569788761882E-3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/>
  <dimension ref="A1:BQ486"/>
  <sheetViews>
    <sheetView topLeftCell="I1" workbookViewId="0">
      <selection activeCell="O115" sqref="O115"/>
    </sheetView>
  </sheetViews>
  <sheetFormatPr defaultRowHeight="11.25" x14ac:dyDescent="0.2"/>
  <cols>
    <col min="1" max="2" width="17" customWidth="1"/>
    <col min="3" max="10" width="10.1640625" customWidth="1"/>
    <col min="11" max="11" width="17" customWidth="1"/>
  </cols>
  <sheetData>
    <row r="1" spans="1:69" x14ac:dyDescent="0.2">
      <c r="A1" s="102">
        <v>42368</v>
      </c>
      <c r="B1" s="102">
        <v>42338</v>
      </c>
      <c r="C1" s="145">
        <v>42307</v>
      </c>
      <c r="D1" s="145">
        <v>42277</v>
      </c>
      <c r="E1" s="145">
        <v>42221</v>
      </c>
      <c r="F1" s="145">
        <v>42216</v>
      </c>
      <c r="G1" s="145">
        <v>42212</v>
      </c>
      <c r="H1" s="145">
        <v>42202</v>
      </c>
      <c r="I1" s="145">
        <v>42185</v>
      </c>
      <c r="J1" s="145">
        <v>42508</v>
      </c>
      <c r="K1" s="102"/>
    </row>
    <row r="2" spans="1:69" x14ac:dyDescent="0.2">
      <c r="A2">
        <v>-0.28749999999999998</v>
      </c>
      <c r="B2">
        <v>-0.23</v>
      </c>
      <c r="C2">
        <v>-0.22</v>
      </c>
      <c r="D2">
        <v>-0.19</v>
      </c>
      <c r="E2">
        <v>-0.20250000000000001</v>
      </c>
      <c r="F2">
        <v>-0.1525</v>
      </c>
      <c r="G2">
        <v>-0.18</v>
      </c>
      <c r="H2">
        <v>-0.18</v>
      </c>
      <c r="I2">
        <v>-0.15</v>
      </c>
      <c r="J2" s="105"/>
    </row>
    <row r="3" spans="1:69" x14ac:dyDescent="0.2">
      <c r="A3">
        <v>-0.3</v>
      </c>
      <c r="B3">
        <v>-0.215</v>
      </c>
      <c r="C3">
        <v>-0.19500000000000001</v>
      </c>
      <c r="D3">
        <v>-0.18</v>
      </c>
      <c r="E3">
        <v>-0.2</v>
      </c>
      <c r="F3">
        <v>-0.20499999999999999</v>
      </c>
      <c r="G3">
        <v>-0.18</v>
      </c>
      <c r="H3">
        <v>-0.18</v>
      </c>
      <c r="I3">
        <v>-0.14000000000000001</v>
      </c>
      <c r="AQ3" s="106" t="s">
        <v>295</v>
      </c>
      <c r="BE3" s="106" t="s">
        <v>296</v>
      </c>
    </row>
    <row r="4" spans="1:69" x14ac:dyDescent="0.2">
      <c r="A4">
        <v>-0.26200000000000001</v>
      </c>
      <c r="B4">
        <v>-0.16600000000000001</v>
      </c>
      <c r="C4">
        <v>-0.14799999999999999</v>
      </c>
      <c r="D4">
        <v>-0.14499999999999999</v>
      </c>
      <c r="E4">
        <v>-0.13400000000000001</v>
      </c>
      <c r="F4">
        <v>-0.13200000000000001</v>
      </c>
      <c r="G4">
        <v>-0.128</v>
      </c>
      <c r="H4">
        <v>-0.13300000000000001</v>
      </c>
      <c r="I4">
        <v>-0.12</v>
      </c>
      <c r="K4" s="105" t="s">
        <v>294</v>
      </c>
      <c r="N4">
        <v>-0.5</v>
      </c>
      <c r="O4">
        <v>-0.25</v>
      </c>
      <c r="P4">
        <v>-0.13</v>
      </c>
      <c r="Q4">
        <v>0</v>
      </c>
      <c r="R4">
        <v>0.125</v>
      </c>
      <c r="S4">
        <v>0.25</v>
      </c>
      <c r="T4">
        <v>0.5</v>
      </c>
      <c r="U4">
        <v>1</v>
      </c>
      <c r="V4">
        <v>1.5</v>
      </c>
      <c r="W4">
        <v>2</v>
      </c>
      <c r="X4">
        <v>3</v>
      </c>
      <c r="Y4">
        <v>5</v>
      </c>
      <c r="Z4">
        <v>10</v>
      </c>
      <c r="AQ4" s="120">
        <v>2.2670579904913711E-3</v>
      </c>
      <c r="AR4" s="120">
        <v>1.9971234302776455E-3</v>
      </c>
      <c r="AS4" s="120">
        <v>2.2928601305137316E-3</v>
      </c>
      <c r="AT4" s="120">
        <v>2.7705487232649729E-3</v>
      </c>
      <c r="AU4" s="120">
        <v>3.2655609601262262E-3</v>
      </c>
      <c r="AV4" s="120">
        <v>3.7479808635228476E-3</v>
      </c>
      <c r="AW4" s="120">
        <v>4.6664783292296305E-3</v>
      </c>
      <c r="AX4" s="120">
        <v>6.3990411440675854E-3</v>
      </c>
      <c r="AY4" s="120">
        <v>8.0512853560093349E-3</v>
      </c>
      <c r="AZ4" s="120">
        <v>9.6485686891241915E-3</v>
      </c>
      <c r="BA4" s="120">
        <v>1.2669731632704101E-2</v>
      </c>
      <c r="BB4" s="120">
        <v>1.8481681766520527E-2</v>
      </c>
      <c r="BC4" s="120">
        <v>3.2130503069171673E-2</v>
      </c>
      <c r="BE4" s="120">
        <v>8.7027974146545756E-2</v>
      </c>
      <c r="BF4" s="120">
        <v>7.3000017266898296E-2</v>
      </c>
      <c r="BG4" s="120">
        <v>8.1998368120294166E-2</v>
      </c>
      <c r="BH4" s="120">
        <v>9.7036873693107567E-2</v>
      </c>
      <c r="BI4" s="120">
        <v>0.11200116917237388</v>
      </c>
      <c r="BJ4" s="120">
        <v>0.12600260291083132</v>
      </c>
      <c r="BK4" s="120">
        <v>0.15100599292947015</v>
      </c>
      <c r="BL4" s="120">
        <v>0.19302103437181581</v>
      </c>
      <c r="BM4" s="120">
        <v>0.22865619099566847</v>
      </c>
      <c r="BN4" s="120">
        <v>0.25890038475909277</v>
      </c>
      <c r="BO4" s="120">
        <v>0.30727848165770877</v>
      </c>
      <c r="BP4" s="120">
        <v>0.3808217732938271</v>
      </c>
      <c r="BQ4" s="120">
        <v>0.49536163817505335</v>
      </c>
    </row>
    <row r="5" spans="1:69" x14ac:dyDescent="0.2">
      <c r="A5">
        <v>-0.251</v>
      </c>
      <c r="B5">
        <v>-0.17199999999999999</v>
      </c>
      <c r="C5">
        <v>-0.14799999999999999</v>
      </c>
      <c r="D5">
        <v>-0.14299999999999999</v>
      </c>
      <c r="E5">
        <v>-0.126</v>
      </c>
      <c r="F5">
        <v>-0.122</v>
      </c>
      <c r="G5">
        <v>-0.11700000000000001</v>
      </c>
      <c r="H5">
        <v>-0.11600000000000001</v>
      </c>
      <c r="I5">
        <v>-0.11</v>
      </c>
      <c r="M5" t="s">
        <v>25</v>
      </c>
      <c r="N5" s="106">
        <v>8.6999999999999993</v>
      </c>
      <c r="O5">
        <v>7.3</v>
      </c>
      <c r="P5">
        <v>8.1999999999999993</v>
      </c>
      <c r="Q5">
        <v>9.6999999999999993</v>
      </c>
      <c r="R5">
        <v>11.2</v>
      </c>
      <c r="S5">
        <v>12.6</v>
      </c>
      <c r="T5">
        <v>15.1</v>
      </c>
      <c r="U5">
        <v>19.3</v>
      </c>
      <c r="V5">
        <v>22.8</v>
      </c>
      <c r="W5">
        <v>25.8</v>
      </c>
      <c r="X5">
        <v>30.6</v>
      </c>
      <c r="Y5">
        <v>37.700000000000003</v>
      </c>
      <c r="Z5">
        <v>48.6</v>
      </c>
      <c r="AQ5" s="120">
        <v>3.0693448471802308E-3</v>
      </c>
      <c r="AR5" s="120">
        <v>3.144163734610475E-3</v>
      </c>
      <c r="AS5" s="120">
        <v>3.1987608382683325E-3</v>
      </c>
      <c r="AT5" s="120">
        <v>3.4066282274167353E-3</v>
      </c>
      <c r="AU5" s="120">
        <v>3.6776978222086104E-3</v>
      </c>
      <c r="AV5" s="120">
        <v>3.9586048554611656E-3</v>
      </c>
      <c r="AW5" s="120">
        <v>4.5921172238040375E-3</v>
      </c>
      <c r="AX5" s="120">
        <v>5.8474310227631917E-3</v>
      </c>
      <c r="AY5" s="120">
        <v>7.0405040847948937E-3</v>
      </c>
      <c r="AZ5" s="120">
        <v>8.1910460843540103E-3</v>
      </c>
      <c r="BA5" s="120">
        <v>1.0366468936644268E-2</v>
      </c>
      <c r="BB5" s="120">
        <v>1.4453384363778399E-2</v>
      </c>
      <c r="BC5" s="120">
        <v>2.3589258375402464E-2</v>
      </c>
      <c r="BE5" s="120">
        <v>0.11717529204365271</v>
      </c>
      <c r="BF5" s="120">
        <v>0.11455390842703335</v>
      </c>
      <c r="BG5" s="120">
        <v>0.11393737278284576</v>
      </c>
      <c r="BH5" s="120">
        <v>0.11872697637855238</v>
      </c>
      <c r="BI5" s="120">
        <v>0.12556692524771412</v>
      </c>
      <c r="BJ5" s="120">
        <v>0.13247932424682451</v>
      </c>
      <c r="BK5" s="120">
        <v>0.14794281230554532</v>
      </c>
      <c r="BL5" s="120">
        <v>0.17576424117001319</v>
      </c>
      <c r="BM5" s="120">
        <v>0.19849669561984806</v>
      </c>
      <c r="BN5" s="120">
        <v>0.21808956482291575</v>
      </c>
      <c r="BO5" s="120">
        <v>0.24976690638340829</v>
      </c>
      <c r="BP5" s="120">
        <v>0.2954143830073736</v>
      </c>
      <c r="BQ5" s="120">
        <v>0.35924130458830167</v>
      </c>
    </row>
    <row r="6" spans="1:69" x14ac:dyDescent="0.2">
      <c r="A6">
        <v>-0.22900000000000001</v>
      </c>
      <c r="B6">
        <v>-0.161</v>
      </c>
      <c r="C6">
        <v>-0.11899999999999999</v>
      </c>
      <c r="D6">
        <v>-0.113</v>
      </c>
      <c r="E6">
        <v>-7.9000000000000001E-2</v>
      </c>
      <c r="F6">
        <v>-7.4999999999999997E-2</v>
      </c>
      <c r="G6">
        <v>-7.3999999999999996E-2</v>
      </c>
      <c r="H6">
        <v>-7.1999999999999995E-2</v>
      </c>
      <c r="I6">
        <v>-6.4000000000000001E-2</v>
      </c>
      <c r="M6" t="s">
        <v>157</v>
      </c>
      <c r="N6">
        <v>10.3</v>
      </c>
      <c r="O6">
        <v>9.1999999999999993</v>
      </c>
      <c r="P6">
        <v>9.8000000000000007</v>
      </c>
      <c r="Q6">
        <v>10.9</v>
      </c>
      <c r="R6">
        <v>12</v>
      </c>
      <c r="S6">
        <v>13</v>
      </c>
      <c r="T6">
        <v>14.9</v>
      </c>
      <c r="U6">
        <v>18.100000000000001</v>
      </c>
      <c r="V6">
        <v>20.7</v>
      </c>
      <c r="W6">
        <v>22.9</v>
      </c>
      <c r="X6">
        <v>26.4</v>
      </c>
      <c r="Y6">
        <v>31.5</v>
      </c>
      <c r="Z6">
        <v>38.9</v>
      </c>
      <c r="AQ6" s="120">
        <v>4.3858164006830205E-3</v>
      </c>
      <c r="AR6" s="120">
        <v>3.8004895056071787E-3</v>
      </c>
      <c r="AS6" s="120">
        <v>3.683719380861007E-3</v>
      </c>
      <c r="AT6" s="120">
        <v>3.7374713061710764E-3</v>
      </c>
      <c r="AU6" s="120">
        <v>3.9105869327426528E-3</v>
      </c>
      <c r="AV6" s="120">
        <v>4.0254867476636688E-3</v>
      </c>
      <c r="AW6" s="120">
        <v>4.3835084514142891E-3</v>
      </c>
      <c r="AX6" s="120">
        <v>5.4338863005361409E-3</v>
      </c>
      <c r="AY6" s="120">
        <v>6.6329167629850449E-3</v>
      </c>
      <c r="AZ6" s="120">
        <v>7.7993846308203711E-3</v>
      </c>
      <c r="BA6" s="120">
        <v>1.0080788991825101E-2</v>
      </c>
      <c r="BB6" s="120">
        <v>1.433566986904003E-2</v>
      </c>
      <c r="BC6" s="120">
        <v>2.3832542309876026E-2</v>
      </c>
      <c r="BE6" s="120">
        <v>0.16200195732590575</v>
      </c>
      <c r="BF6" s="120">
        <v>0.13400031123378572</v>
      </c>
      <c r="BG6" s="120">
        <v>0.12698546197815305</v>
      </c>
      <c r="BH6" s="120">
        <v>0.1260002029634634</v>
      </c>
      <c r="BI6" s="120">
        <v>0.12900154397273306</v>
      </c>
      <c r="BJ6" s="120">
        <v>0.13000000578317253</v>
      </c>
      <c r="BK6" s="120">
        <v>0.13600019493828253</v>
      </c>
      <c r="BL6" s="120">
        <v>0.15700125028851702</v>
      </c>
      <c r="BM6" s="120">
        <v>0.18000109997823466</v>
      </c>
      <c r="BN6" s="120">
        <v>0.20000080206924037</v>
      </c>
      <c r="BO6" s="120">
        <v>0.23400052779328914</v>
      </c>
      <c r="BP6" s="120">
        <v>0.28300076991833428</v>
      </c>
      <c r="BQ6" s="120">
        <v>0.35300234045033291</v>
      </c>
    </row>
    <row r="7" spans="1:69" x14ac:dyDescent="0.2">
      <c r="A7">
        <v>-0.192</v>
      </c>
      <c r="B7">
        <v>-0.13100000000000001</v>
      </c>
      <c r="C7">
        <v>-8.4000000000000005E-2</v>
      </c>
      <c r="D7">
        <v>-7.0000000000000007E-2</v>
      </c>
      <c r="E7">
        <v>-4.9000000000000002E-2</v>
      </c>
      <c r="F7">
        <v>-4.3999999999999997E-2</v>
      </c>
      <c r="G7">
        <v>-4.2999999999999997E-2</v>
      </c>
      <c r="H7">
        <v>-3.9E-2</v>
      </c>
      <c r="I7">
        <v>-3.7999999999999999E-2</v>
      </c>
      <c r="M7" t="s">
        <v>99</v>
      </c>
      <c r="N7">
        <v>16.2</v>
      </c>
      <c r="O7">
        <v>13.4</v>
      </c>
      <c r="P7" s="106">
        <v>12.7</v>
      </c>
      <c r="Q7" s="106">
        <v>12.6</v>
      </c>
      <c r="R7">
        <v>12.9</v>
      </c>
      <c r="S7">
        <v>13</v>
      </c>
      <c r="T7">
        <v>13.6</v>
      </c>
      <c r="U7">
        <v>15.7</v>
      </c>
      <c r="V7">
        <v>18</v>
      </c>
      <c r="W7">
        <v>20</v>
      </c>
      <c r="X7">
        <v>23.4</v>
      </c>
      <c r="Y7">
        <v>28.3</v>
      </c>
      <c r="Z7">
        <v>35.299999999999997</v>
      </c>
      <c r="AQ7" s="120">
        <v>7.5159795362502047E-3</v>
      </c>
      <c r="AR7" s="120">
        <v>7.0281236769087476E-3</v>
      </c>
      <c r="AS7" s="120">
        <v>6.7434053666713886E-3</v>
      </c>
      <c r="AT7" s="120">
        <v>6.3225704920985134E-3</v>
      </c>
      <c r="AU7" s="120">
        <v>5.996031053812521E-3</v>
      </c>
      <c r="AV7" s="120">
        <v>5.7230417659907941E-3</v>
      </c>
      <c r="AW7" s="120">
        <v>5.4306601576742351E-3</v>
      </c>
      <c r="AX7" s="120">
        <v>5.5999418340604403E-3</v>
      </c>
      <c r="AY7" s="120">
        <v>6.3973966730653878E-3</v>
      </c>
      <c r="AZ7" s="120">
        <v>7.5280353549127457E-3</v>
      </c>
      <c r="BA7" s="120">
        <v>9.7072716168989191E-3</v>
      </c>
      <c r="BB7" s="120">
        <v>1.3926167812360708E-2</v>
      </c>
      <c r="BC7" s="120">
        <v>2.3227904024237737E-2</v>
      </c>
      <c r="BE7" s="120">
        <v>0.26144573776307328</v>
      </c>
      <c r="BF7" s="120">
        <v>0.23313015758604363</v>
      </c>
      <c r="BG7" s="120">
        <v>0.21867144407849887</v>
      </c>
      <c r="BH7" s="120">
        <v>0.20045575903541707</v>
      </c>
      <c r="BI7" s="120">
        <v>0.18602135478042464</v>
      </c>
      <c r="BJ7" s="120">
        <v>0.1739375830407042</v>
      </c>
      <c r="BK7" s="120">
        <v>0.15878663989303834</v>
      </c>
      <c r="BL7" s="120">
        <v>0.15273241700611798</v>
      </c>
      <c r="BM7" s="120">
        <v>0.16415268560382351</v>
      </c>
      <c r="BN7" s="120">
        <v>0.18297850170353758</v>
      </c>
      <c r="BO7" s="120">
        <v>0.21432602201043799</v>
      </c>
      <c r="BP7" s="120">
        <v>0.2629113362732079</v>
      </c>
      <c r="BQ7" s="120">
        <v>0.3314445962405142</v>
      </c>
    </row>
    <row r="8" spans="1:69" x14ac:dyDescent="0.2">
      <c r="A8">
        <v>-0.16</v>
      </c>
      <c r="B8">
        <v>-0.114</v>
      </c>
      <c r="C8">
        <v>-6.8000000000000005E-2</v>
      </c>
      <c r="D8">
        <v>-0.04</v>
      </c>
      <c r="E8">
        <v>-2.4E-2</v>
      </c>
      <c r="F8">
        <v>-2.3E-2</v>
      </c>
      <c r="G8">
        <v>-0.02</v>
      </c>
      <c r="H8">
        <v>-1.9E-2</v>
      </c>
      <c r="I8">
        <v>-1.4E-2</v>
      </c>
      <c r="M8" t="s">
        <v>101</v>
      </c>
      <c r="N8">
        <v>19.2</v>
      </c>
      <c r="O8">
        <v>16.2</v>
      </c>
      <c r="P8" s="106">
        <v>15.3</v>
      </c>
      <c r="Q8" s="106">
        <v>14.8</v>
      </c>
      <c r="R8" s="106">
        <v>14.7</v>
      </c>
      <c r="S8" s="106">
        <v>14.5</v>
      </c>
      <c r="T8" s="106">
        <v>14.5</v>
      </c>
      <c r="U8">
        <v>15.5</v>
      </c>
      <c r="V8">
        <v>17.2</v>
      </c>
      <c r="W8">
        <v>19.100000000000001</v>
      </c>
      <c r="X8">
        <v>22.3</v>
      </c>
      <c r="Y8">
        <v>27.1</v>
      </c>
      <c r="Z8">
        <v>33.9</v>
      </c>
      <c r="AQ8" s="120">
        <v>6.7255910651691604E-3</v>
      </c>
      <c r="AR8" s="120">
        <v>6.5646386718037136E-3</v>
      </c>
      <c r="AS8" s="120">
        <v>6.4589946931055296E-3</v>
      </c>
      <c r="AT8" s="120">
        <v>6.3557060078532563E-3</v>
      </c>
      <c r="AU8" s="120">
        <v>6.3489716943858901E-3</v>
      </c>
      <c r="AV8" s="120">
        <v>6.2676698725411999E-3</v>
      </c>
      <c r="AW8" s="120">
        <v>6.2207142123114545E-3</v>
      </c>
      <c r="AX8" s="120">
        <v>6.232548570192664E-3</v>
      </c>
      <c r="AY8" s="120">
        <v>6.4312694825044425E-3</v>
      </c>
      <c r="AZ8" s="120">
        <v>6.7278646209377735E-3</v>
      </c>
      <c r="BA8" s="120">
        <v>7.7920017708593891E-3</v>
      </c>
      <c r="BB8" s="120">
        <v>1.0039588495786702E-2</v>
      </c>
      <c r="BC8" s="120">
        <v>1.556102443476323E-2</v>
      </c>
      <c r="BE8" s="120">
        <v>0.22298590267147442</v>
      </c>
      <c r="BF8" s="120">
        <v>0.20794202065438874</v>
      </c>
      <c r="BG8" s="120">
        <v>0.20025101694666059</v>
      </c>
      <c r="BH8" s="120">
        <v>0.19308978609193472</v>
      </c>
      <c r="BI8" s="120">
        <v>0.18919177015612959</v>
      </c>
      <c r="BJ8" s="120">
        <v>0.18322939482011871</v>
      </c>
      <c r="BK8" s="120">
        <v>0.17533304330234945</v>
      </c>
      <c r="BL8" s="120">
        <v>0.1641987381992514</v>
      </c>
      <c r="BM8" s="120">
        <v>0.15935902559032311</v>
      </c>
      <c r="BN8" s="120">
        <v>0.15753747747846389</v>
      </c>
      <c r="BO8" s="120">
        <v>0.16522943112877667</v>
      </c>
      <c r="BP8" s="120">
        <v>0.18078967594108838</v>
      </c>
      <c r="BQ8" s="120">
        <v>0.20957397316640894</v>
      </c>
    </row>
    <row r="9" spans="1:69" ht="12.75" x14ac:dyDescent="0.2">
      <c r="A9">
        <v>-8.3000000000000004E-2</v>
      </c>
      <c r="B9">
        <v>-4.2999999999999997E-2</v>
      </c>
      <c r="C9">
        <v>6.0000000000000001E-3</v>
      </c>
      <c r="D9">
        <v>2.9000000000000001E-2</v>
      </c>
      <c r="E9">
        <v>4.8000000000000001E-2</v>
      </c>
      <c r="F9">
        <v>4.8000000000000001E-2</v>
      </c>
      <c r="G9">
        <v>4.9000000000000002E-2</v>
      </c>
      <c r="H9">
        <v>4.9000000000000002E-2</v>
      </c>
      <c r="I9">
        <v>0.05</v>
      </c>
      <c r="K9" s="139"/>
      <c r="M9" t="s">
        <v>102</v>
      </c>
      <c r="N9" s="106">
        <v>20.399999999999999</v>
      </c>
      <c r="O9" s="106">
        <v>17.7</v>
      </c>
      <c r="P9" s="106">
        <v>16.8</v>
      </c>
      <c r="Q9" s="106">
        <v>16.2</v>
      </c>
      <c r="R9" s="106">
        <v>16</v>
      </c>
      <c r="S9">
        <v>15.7</v>
      </c>
      <c r="T9">
        <v>15.5</v>
      </c>
      <c r="U9">
        <v>15.8</v>
      </c>
      <c r="V9">
        <v>16.600000000000001</v>
      </c>
      <c r="W9">
        <v>17.600000000000001</v>
      </c>
      <c r="X9">
        <v>19.7</v>
      </c>
      <c r="Y9">
        <v>23.2</v>
      </c>
      <c r="Z9">
        <v>28.7</v>
      </c>
      <c r="AQ9" s="120">
        <v>7.3717175220143353E-3</v>
      </c>
      <c r="AR9" s="120">
        <v>7.116313509379908E-3</v>
      </c>
      <c r="AS9" s="120">
        <v>7.1286607776007331E-3</v>
      </c>
      <c r="AT9" s="120">
        <v>7.0485619793914473E-3</v>
      </c>
      <c r="AU9" s="120">
        <v>6.8991964785061911E-3</v>
      </c>
      <c r="AV9" s="120">
        <v>6.8841191699081962E-3</v>
      </c>
      <c r="AW9" s="120">
        <v>6.8075426616534913E-3</v>
      </c>
      <c r="AX9" s="120">
        <v>6.7423526549049472E-3</v>
      </c>
      <c r="AY9" s="120">
        <v>6.9148667738898918E-3</v>
      </c>
      <c r="AZ9" s="120">
        <v>7.2769355171348471E-3</v>
      </c>
      <c r="BA9" s="120">
        <v>8.1472969535263881E-3</v>
      </c>
      <c r="BB9" s="120">
        <v>1.0661621635672653E-2</v>
      </c>
      <c r="BC9" s="120">
        <v>1.6400456922550141E-2</v>
      </c>
      <c r="BE9" s="120">
        <v>0.23589129701935005</v>
      </c>
      <c r="BF9" s="120">
        <v>0.21732610776879868</v>
      </c>
      <c r="BG9" s="120">
        <v>0.21309358742012663</v>
      </c>
      <c r="BH9" s="120">
        <v>0.20630076901369798</v>
      </c>
      <c r="BI9" s="120">
        <v>0.19777618435280347</v>
      </c>
      <c r="BJ9" s="120">
        <v>0.19355603363767368</v>
      </c>
      <c r="BK9" s="120">
        <v>0.18443088983728526</v>
      </c>
      <c r="BL9" s="120">
        <v>0.17074270254074847</v>
      </c>
      <c r="BM9" s="120">
        <v>0.16494761197501021</v>
      </c>
      <c r="BN9" s="120">
        <v>0.16451053858675441</v>
      </c>
      <c r="BO9" s="120">
        <v>0.16744951411783543</v>
      </c>
      <c r="BP9" s="120">
        <v>0.18794431050814869</v>
      </c>
      <c r="BQ9" s="120">
        <v>0.21955592751805922</v>
      </c>
    </row>
    <row r="10" spans="1:69" ht="12.75" x14ac:dyDescent="0.2">
      <c r="A10" s="139">
        <v>-0.114</v>
      </c>
      <c r="B10" s="139">
        <v>-0.11799999999999999</v>
      </c>
      <c r="C10" s="135">
        <v>-1.7000000000000001E-2</v>
      </c>
      <c r="D10" s="135">
        <v>2.5000000000000001E-2</v>
      </c>
      <c r="E10" s="135">
        <v>4.5999999999999999E-2</v>
      </c>
      <c r="F10" s="135">
        <v>4.3999999999999997E-2</v>
      </c>
      <c r="G10" s="135">
        <v>5.3999999999999999E-2</v>
      </c>
      <c r="H10" s="135">
        <v>0.05</v>
      </c>
      <c r="I10" s="135">
        <v>6.8000000000000005E-2</v>
      </c>
      <c r="J10" s="135"/>
      <c r="K10" s="139"/>
      <c r="M10" t="s">
        <v>103</v>
      </c>
      <c r="N10" s="106">
        <v>21.1</v>
      </c>
      <c r="O10">
        <v>18.600000000000001</v>
      </c>
      <c r="P10" s="106">
        <v>17.8</v>
      </c>
      <c r="Q10" s="106">
        <v>17.2</v>
      </c>
      <c r="R10" s="106">
        <v>16.899999999999999</v>
      </c>
      <c r="S10" s="106">
        <v>16.600000000000001</v>
      </c>
      <c r="T10" s="106">
        <v>16.3</v>
      </c>
      <c r="U10">
        <v>16.2</v>
      </c>
      <c r="V10">
        <v>16.5</v>
      </c>
      <c r="W10">
        <v>17</v>
      </c>
      <c r="X10">
        <v>18.2</v>
      </c>
      <c r="Y10">
        <v>20.8</v>
      </c>
      <c r="Z10">
        <v>25.1</v>
      </c>
      <c r="AQ10" s="120">
        <v>7.4131827053473699E-3</v>
      </c>
      <c r="AR10" s="120">
        <v>7.5098452896258591E-3</v>
      </c>
      <c r="AS10" s="120">
        <v>7.35767705448099E-3</v>
      </c>
      <c r="AT10" s="120">
        <v>7.284128306646348E-3</v>
      </c>
      <c r="AU10" s="120">
        <v>7.1210089683413341E-3</v>
      </c>
      <c r="AV10" s="120">
        <v>7.1117467579679006E-3</v>
      </c>
      <c r="AW10" s="120">
        <v>7.0113569830657163E-3</v>
      </c>
      <c r="AX10" s="120">
        <v>6.8687106888738097E-3</v>
      </c>
      <c r="AY10" s="120">
        <v>6.9688609731701195E-3</v>
      </c>
      <c r="AZ10" s="120">
        <v>7.1959690115080193E-3</v>
      </c>
      <c r="BA10" s="120">
        <v>7.9735489670354417E-3</v>
      </c>
      <c r="BB10" s="120">
        <v>9.7685214442547134E-3</v>
      </c>
      <c r="BC10" s="120">
        <v>1.4955811274537734E-2</v>
      </c>
      <c r="BE10" s="120">
        <v>0.22877690291439756</v>
      </c>
      <c r="BF10" s="120">
        <v>0.22174439976697383</v>
      </c>
      <c r="BG10" s="120">
        <v>0.21252014560316587</v>
      </c>
      <c r="BH10" s="120">
        <v>0.20609501453553905</v>
      </c>
      <c r="BI10" s="120">
        <v>0.1974621705743099</v>
      </c>
      <c r="BJ10" s="120">
        <v>0.19347558454757563</v>
      </c>
      <c r="BK10" s="120">
        <v>0.18388522373927108</v>
      </c>
      <c r="BL10" s="120">
        <v>0.16848408520400032</v>
      </c>
      <c r="BM10" s="120">
        <v>0.16102233602404883</v>
      </c>
      <c r="BN10" s="120">
        <v>0.15747397249440837</v>
      </c>
      <c r="BO10" s="120">
        <v>0.15864250859514578</v>
      </c>
      <c r="BP10" s="120">
        <v>0.16618282706713705</v>
      </c>
      <c r="BQ10" s="120">
        <v>0.19292202017627078</v>
      </c>
    </row>
    <row r="11" spans="1:69" ht="12.75" x14ac:dyDescent="0.2">
      <c r="A11" s="139">
        <v>-0.14199999999999999</v>
      </c>
      <c r="B11" s="139">
        <v>-0.13200000000000001</v>
      </c>
      <c r="C11" s="135">
        <v>-3.5000000000000003E-2</v>
      </c>
      <c r="D11" s="135">
        <v>2.4E-2</v>
      </c>
      <c r="E11" s="135">
        <v>4.8000000000000001E-2</v>
      </c>
      <c r="F11" s="135">
        <v>4.5999999999999999E-2</v>
      </c>
      <c r="G11" s="135">
        <v>5.8000000000000003E-2</v>
      </c>
      <c r="H11" s="135">
        <v>5.2999999999999999E-2</v>
      </c>
      <c r="I11" s="135">
        <v>7.6999999999999999E-2</v>
      </c>
      <c r="J11" s="135"/>
      <c r="K11" s="139"/>
      <c r="M11" t="s">
        <v>104</v>
      </c>
      <c r="N11" s="106">
        <v>21.5</v>
      </c>
      <c r="O11" s="106">
        <v>19.3</v>
      </c>
      <c r="P11" s="106">
        <v>18.5</v>
      </c>
      <c r="Q11" s="106">
        <v>17.899999999999999</v>
      </c>
      <c r="R11">
        <v>17.5</v>
      </c>
      <c r="S11" s="106">
        <v>17.2</v>
      </c>
      <c r="T11" s="106">
        <v>16.8</v>
      </c>
      <c r="U11">
        <v>16.399999999999999</v>
      </c>
      <c r="V11">
        <v>16.399999999999999</v>
      </c>
      <c r="W11">
        <v>16.600000000000001</v>
      </c>
      <c r="X11">
        <v>17.3</v>
      </c>
      <c r="Y11">
        <v>19.100000000000001</v>
      </c>
      <c r="Z11">
        <v>22.6</v>
      </c>
      <c r="AQ11" s="120">
        <v>7.7453312500007148E-3</v>
      </c>
      <c r="AR11" s="120">
        <v>7.4653296037387549E-3</v>
      </c>
      <c r="AS11" s="120">
        <v>7.607954906682101E-3</v>
      </c>
      <c r="AT11" s="120">
        <v>7.5396708228244597E-3</v>
      </c>
      <c r="AU11" s="120">
        <v>7.5649271612572948E-3</v>
      </c>
      <c r="AV11" s="120">
        <v>7.569573915804889E-3</v>
      </c>
      <c r="AW11" s="120">
        <v>7.415930729693934E-3</v>
      </c>
      <c r="AX11" s="120">
        <v>7.2792675094828117E-3</v>
      </c>
      <c r="AY11" s="120">
        <v>7.3274605556364831E-3</v>
      </c>
      <c r="AZ11" s="120">
        <v>7.3000265600489615E-3</v>
      </c>
      <c r="BA11" s="120">
        <v>7.8168685835303068E-3</v>
      </c>
      <c r="BB11" s="120">
        <v>9.6238725107861342E-3</v>
      </c>
      <c r="BC11" s="120">
        <v>1.4460351902642653E-2</v>
      </c>
      <c r="BE11" s="120">
        <v>0.23267831598235633</v>
      </c>
      <c r="BF11" s="120">
        <v>0.21404843328395942</v>
      </c>
      <c r="BG11" s="120">
        <v>0.21378019635305642</v>
      </c>
      <c r="BH11" s="120">
        <v>0.2075333451647926</v>
      </c>
      <c r="BI11" s="120">
        <v>0.20422222933159545</v>
      </c>
      <c r="BJ11" s="120">
        <v>0.2005041746628014</v>
      </c>
      <c r="BK11" s="120">
        <v>0.18934723550876847</v>
      </c>
      <c r="BL11" s="120">
        <v>0.17388863954868322</v>
      </c>
      <c r="BM11" s="120">
        <v>0.16495435466666608</v>
      </c>
      <c r="BN11" s="120">
        <v>0.15566241558470917</v>
      </c>
      <c r="BO11" s="120">
        <v>0.15161047147826368</v>
      </c>
      <c r="BP11" s="120">
        <v>0.16019868749910302</v>
      </c>
      <c r="BQ11" s="120">
        <v>0.18318344969379205</v>
      </c>
    </row>
    <row r="12" spans="1:69" ht="12.75" x14ac:dyDescent="0.2">
      <c r="A12" s="139">
        <v>-0.153</v>
      </c>
      <c r="B12" s="139">
        <v>-0.14299999999999999</v>
      </c>
      <c r="C12" s="135">
        <v>-4.2000000000000003E-2</v>
      </c>
      <c r="D12" s="135">
        <v>2.1999999999999999E-2</v>
      </c>
      <c r="E12" s="135">
        <v>0.05</v>
      </c>
      <c r="F12" s="135">
        <v>4.8000000000000001E-2</v>
      </c>
      <c r="G12" s="135">
        <v>6.0999999999999999E-2</v>
      </c>
      <c r="H12" s="135">
        <v>5.5E-2</v>
      </c>
      <c r="I12" s="135">
        <v>8.4000000000000005E-2</v>
      </c>
      <c r="J12" s="135"/>
      <c r="K12" s="139"/>
      <c r="M12" t="s">
        <v>105</v>
      </c>
      <c r="N12" s="106">
        <v>21.8</v>
      </c>
      <c r="O12">
        <v>19.7</v>
      </c>
      <c r="P12">
        <v>19</v>
      </c>
      <c r="Q12">
        <v>18.399999999999999</v>
      </c>
      <c r="R12" s="106">
        <v>18</v>
      </c>
      <c r="S12">
        <v>17.7</v>
      </c>
      <c r="T12">
        <v>17.2</v>
      </c>
      <c r="U12">
        <v>16.600000000000001</v>
      </c>
      <c r="V12">
        <v>16.399999999999999</v>
      </c>
      <c r="W12">
        <v>16.3</v>
      </c>
      <c r="X12">
        <v>16.600000000000001</v>
      </c>
      <c r="Y12">
        <v>17.899999999999999</v>
      </c>
      <c r="Z12">
        <v>20.8</v>
      </c>
      <c r="AQ12" s="120">
        <v>7.7901707948205886E-3</v>
      </c>
      <c r="AR12" s="120">
        <v>7.6897844367048405E-3</v>
      </c>
      <c r="AS12" s="120">
        <v>7.5289291449336781E-3</v>
      </c>
      <c r="AT12" s="120">
        <v>7.4597579557890877E-3</v>
      </c>
      <c r="AU12" s="120">
        <v>7.433087101617269E-3</v>
      </c>
      <c r="AV12" s="120">
        <v>7.4462290805124695E-3</v>
      </c>
      <c r="AW12" s="120">
        <v>7.2479428039331382E-3</v>
      </c>
      <c r="AX12" s="120">
        <v>7.2506839663030809E-3</v>
      </c>
      <c r="AY12" s="120">
        <v>7.1371663982857823E-3</v>
      </c>
      <c r="AZ12" s="120">
        <v>7.1434366917590064E-3</v>
      </c>
      <c r="BA12" s="120">
        <v>7.5561199384988707E-3</v>
      </c>
      <c r="BB12" s="120">
        <v>9.2438442068949935E-3</v>
      </c>
      <c r="BC12" s="120">
        <v>1.4181343497344194E-2</v>
      </c>
      <c r="BE12" s="120">
        <v>0.22966292513928177</v>
      </c>
      <c r="BF12" s="120">
        <v>0.21676138544971307</v>
      </c>
      <c r="BG12" s="120">
        <v>0.20759228975394939</v>
      </c>
      <c r="BH12" s="120">
        <v>0.20150418216418273</v>
      </c>
      <c r="BI12" s="120">
        <v>0.19685896204986225</v>
      </c>
      <c r="BJ12" s="120">
        <v>0.19352604961847944</v>
      </c>
      <c r="BK12" s="120">
        <v>0.18158711435865399</v>
      </c>
      <c r="BL12" s="120">
        <v>0.17009988513690438</v>
      </c>
      <c r="BM12" s="120">
        <v>0.15775368295268957</v>
      </c>
      <c r="BN12" s="120">
        <v>0.14963329418891769</v>
      </c>
      <c r="BO12" s="120">
        <v>0.14403340232438169</v>
      </c>
      <c r="BP12" s="120">
        <v>0.1512067589437362</v>
      </c>
      <c r="BQ12" s="120">
        <v>0.17685899673262176</v>
      </c>
    </row>
    <row r="13" spans="1:69" ht="12.75" x14ac:dyDescent="0.2">
      <c r="A13" s="139">
        <v>-0.16300000000000001</v>
      </c>
      <c r="B13" s="139">
        <v>-0.14899999999999999</v>
      </c>
      <c r="C13" s="135">
        <v>-4.8000000000000001E-2</v>
      </c>
      <c r="D13" s="135">
        <v>2.1999999999999999E-2</v>
      </c>
      <c r="E13" s="135">
        <v>5.1999999999999998E-2</v>
      </c>
      <c r="F13" s="135">
        <v>0.05</v>
      </c>
      <c r="G13" s="135">
        <v>6.5000000000000002E-2</v>
      </c>
      <c r="H13" s="135">
        <v>5.8000000000000003E-2</v>
      </c>
      <c r="I13" s="135">
        <v>8.7999999999999995E-2</v>
      </c>
      <c r="J13" s="135"/>
      <c r="K13" s="139"/>
      <c r="M13" t="s">
        <v>106</v>
      </c>
      <c r="N13">
        <v>22</v>
      </c>
      <c r="O13">
        <v>20</v>
      </c>
      <c r="P13" s="106">
        <v>19.3</v>
      </c>
      <c r="Q13" s="106">
        <v>18.7</v>
      </c>
      <c r="R13" s="106">
        <v>18.3</v>
      </c>
      <c r="S13">
        <v>18</v>
      </c>
      <c r="T13" s="106">
        <v>17.399999999999999</v>
      </c>
      <c r="U13">
        <v>16.7</v>
      </c>
      <c r="V13">
        <v>16.3</v>
      </c>
      <c r="W13">
        <v>16</v>
      </c>
      <c r="X13">
        <v>16</v>
      </c>
      <c r="Y13">
        <v>17</v>
      </c>
      <c r="Z13">
        <v>19.600000000000001</v>
      </c>
      <c r="AQ13" s="120">
        <v>8.0738845467029242E-3</v>
      </c>
      <c r="AR13" s="120">
        <v>7.9975639842431358E-3</v>
      </c>
      <c r="AS13" s="120">
        <v>7.9432358254304669E-3</v>
      </c>
      <c r="AT13" s="120">
        <v>7.8816896938420679E-3</v>
      </c>
      <c r="AU13" s="120">
        <v>7.8808357746400336E-3</v>
      </c>
      <c r="AV13" s="120">
        <v>7.5603935102191086E-3</v>
      </c>
      <c r="AW13" s="120">
        <v>7.6365675703244104E-3</v>
      </c>
      <c r="AX13" s="120">
        <v>7.1740716003977079E-3</v>
      </c>
      <c r="AY13" s="120">
        <v>7.2300114873559054E-3</v>
      </c>
      <c r="AZ13" s="120">
        <v>7.2954660122424471E-3</v>
      </c>
      <c r="BA13" s="120">
        <v>7.6554041351166177E-3</v>
      </c>
      <c r="BB13" s="120">
        <v>9.2648926629907962E-3</v>
      </c>
      <c r="BC13" s="120">
        <v>1.4009550112836769E-2</v>
      </c>
      <c r="BE13" s="120">
        <v>0.23510811024799802</v>
      </c>
      <c r="BF13" s="120">
        <v>0.22257962374005721</v>
      </c>
      <c r="BG13" s="120">
        <v>0.21643264091699854</v>
      </c>
      <c r="BH13" s="120">
        <v>0.21038176518489729</v>
      </c>
      <c r="BI13" s="120">
        <v>0.20628807834821175</v>
      </c>
      <c r="BJ13" s="120">
        <v>0.19390862435559073</v>
      </c>
      <c r="BK13" s="120">
        <v>0.189022121582618</v>
      </c>
      <c r="BL13" s="120">
        <v>0.1659788164004414</v>
      </c>
      <c r="BM13" s="120">
        <v>0.15773626607886582</v>
      </c>
      <c r="BN13" s="120">
        <v>0.15087755405218634</v>
      </c>
      <c r="BO13" s="120">
        <v>0.14410534658215035</v>
      </c>
      <c r="BP13" s="120">
        <v>0.14979907060944359</v>
      </c>
      <c r="BQ13" s="120">
        <v>0.17284044855520284</v>
      </c>
    </row>
    <row r="14" spans="1:69" ht="12.75" x14ac:dyDescent="0.2">
      <c r="A14" s="139">
        <v>-0.16900000000000001</v>
      </c>
      <c r="B14" s="139">
        <v>-0.153</v>
      </c>
      <c r="C14" s="135">
        <v>-5.2999999999999999E-2</v>
      </c>
      <c r="D14" s="135">
        <v>2.1000000000000001E-2</v>
      </c>
      <c r="E14" s="135">
        <v>5.3999999999999999E-2</v>
      </c>
      <c r="F14" s="135">
        <v>5.2999999999999999E-2</v>
      </c>
      <c r="G14" s="135">
        <v>6.9000000000000006E-2</v>
      </c>
      <c r="H14" s="135">
        <v>0.06</v>
      </c>
      <c r="I14" s="135">
        <v>9.1999999999999998E-2</v>
      </c>
      <c r="J14" s="135"/>
      <c r="K14" s="139"/>
      <c r="M14" t="s">
        <v>79</v>
      </c>
      <c r="N14" s="106">
        <v>22.2</v>
      </c>
      <c r="O14" s="106">
        <v>20.3</v>
      </c>
      <c r="P14" s="106">
        <v>19.600000000000001</v>
      </c>
      <c r="Q14" s="106">
        <v>19</v>
      </c>
      <c r="R14">
        <v>18.600000000000001</v>
      </c>
      <c r="S14" s="106">
        <v>18.2</v>
      </c>
      <c r="T14">
        <v>17.600000000000001</v>
      </c>
      <c r="U14">
        <v>16.7</v>
      </c>
      <c r="V14">
        <v>16.2</v>
      </c>
      <c r="W14">
        <v>15.8</v>
      </c>
      <c r="X14">
        <v>15.6</v>
      </c>
      <c r="Y14">
        <v>16.399999999999999</v>
      </c>
      <c r="Z14">
        <v>18.8</v>
      </c>
      <c r="AQ14" s="120">
        <v>6.8300990561464738E-3</v>
      </c>
      <c r="AR14" s="120">
        <v>6.7996370380136945E-3</v>
      </c>
      <c r="AS14" s="120">
        <v>6.6635236806628535E-3</v>
      </c>
      <c r="AT14" s="120">
        <v>6.8336579238070169E-3</v>
      </c>
      <c r="AU14" s="120">
        <v>6.5491069510183438E-3</v>
      </c>
      <c r="AV14" s="120">
        <v>6.9724405400145382E-3</v>
      </c>
      <c r="AW14" s="120">
        <v>6.6874327426267094E-3</v>
      </c>
      <c r="AX14" s="120">
        <v>7.1134309941068294E-3</v>
      </c>
      <c r="AY14" s="120">
        <v>7.1648371169018617E-3</v>
      </c>
      <c r="AZ14" s="120">
        <v>7.2389461706680548E-3</v>
      </c>
      <c r="BA14" s="120">
        <v>7.6310407554410313E-3</v>
      </c>
      <c r="BB14" s="120">
        <v>8.5362471593341382E-3</v>
      </c>
      <c r="BC14" s="120">
        <v>1.1321282597345314E-2</v>
      </c>
      <c r="BE14" s="120">
        <v>0.19356811784532341</v>
      </c>
      <c r="BF14" s="120">
        <v>0.18439215913361831</v>
      </c>
      <c r="BG14" s="120">
        <v>0.17683027149087457</v>
      </c>
      <c r="BH14" s="120">
        <v>0.17795283008797483</v>
      </c>
      <c r="BI14" s="120">
        <v>0.16699709001798935</v>
      </c>
      <c r="BJ14" s="120">
        <v>0.17499746836802643</v>
      </c>
      <c r="BK14" s="120">
        <v>0.16170386404743217</v>
      </c>
      <c r="BL14" s="120">
        <v>0.16154450748538204</v>
      </c>
      <c r="BM14" s="120">
        <v>0.15344321862399785</v>
      </c>
      <c r="BN14" s="120">
        <v>0.14699335451407608</v>
      </c>
      <c r="BO14" s="120">
        <v>0.14112705660119343</v>
      </c>
      <c r="BP14" s="120">
        <v>0.13546273802599712</v>
      </c>
      <c r="BQ14" s="120">
        <v>0.13676111126262566</v>
      </c>
    </row>
    <row r="15" spans="1:69" ht="12.75" x14ac:dyDescent="0.2">
      <c r="A15" s="139">
        <v>-0.17100000000000001</v>
      </c>
      <c r="B15" s="139">
        <v>-0.156</v>
      </c>
      <c r="C15" s="135">
        <v>-5.7000000000000002E-2</v>
      </c>
      <c r="D15" s="135">
        <v>2.1000000000000001E-2</v>
      </c>
      <c r="E15" s="135">
        <v>5.7000000000000002E-2</v>
      </c>
      <c r="F15" s="135">
        <v>5.7000000000000002E-2</v>
      </c>
      <c r="G15" s="135">
        <v>7.1999999999999995E-2</v>
      </c>
      <c r="H15" s="135">
        <v>6.3E-2</v>
      </c>
      <c r="I15" s="135">
        <v>9.7000000000000003E-2</v>
      </c>
      <c r="J15" s="135"/>
      <c r="K15" s="139"/>
      <c r="M15" t="s">
        <v>159</v>
      </c>
      <c r="N15" s="106">
        <v>21.9</v>
      </c>
      <c r="O15" s="106">
        <v>20.2</v>
      </c>
      <c r="P15" s="106">
        <v>19.5</v>
      </c>
      <c r="Q15">
        <v>19</v>
      </c>
      <c r="R15">
        <v>18.5</v>
      </c>
      <c r="S15">
        <v>18.2</v>
      </c>
      <c r="T15">
        <v>17.5</v>
      </c>
      <c r="U15">
        <v>16.600000000000001</v>
      </c>
      <c r="V15">
        <v>16</v>
      </c>
      <c r="W15">
        <v>15.5</v>
      </c>
      <c r="X15">
        <v>15.1</v>
      </c>
      <c r="Y15">
        <v>15.4</v>
      </c>
      <c r="Z15">
        <v>17</v>
      </c>
      <c r="AQ15" s="120">
        <v>6.5745357496593427E-3</v>
      </c>
      <c r="AR15" s="120">
        <v>6.7052767565258129E-3</v>
      </c>
      <c r="AS15" s="120">
        <v>6.8237566311563731E-3</v>
      </c>
      <c r="AT15" s="120">
        <v>6.6185716873143133E-3</v>
      </c>
      <c r="AU15" s="120">
        <v>6.948226534489543E-3</v>
      </c>
      <c r="AV15" s="120">
        <v>6.437897704308207E-3</v>
      </c>
      <c r="AW15" s="120">
        <v>6.8234429293732562E-3</v>
      </c>
      <c r="AX15" s="120">
        <v>6.6712900385201002E-3</v>
      </c>
      <c r="AY15" s="120">
        <v>6.6612447997552717E-3</v>
      </c>
      <c r="AZ15" s="120">
        <v>6.8919438238640943E-3</v>
      </c>
      <c r="BA15" s="120">
        <v>7.0599067058176434E-3</v>
      </c>
      <c r="BB15" s="120">
        <v>8.3012078300979848E-3</v>
      </c>
      <c r="BC15" s="120">
        <v>1.1431542387765828E-2</v>
      </c>
      <c r="BE15" s="120">
        <v>0.18756224678140002</v>
      </c>
      <c r="BF15" s="120">
        <v>0.18309025649041197</v>
      </c>
      <c r="BG15" s="120">
        <v>0.18258829295198914</v>
      </c>
      <c r="BH15" s="120">
        <v>0.17334386729843729</v>
      </c>
      <c r="BI15" s="120">
        <v>0.17878229085612821</v>
      </c>
      <c r="BJ15" s="120">
        <v>0.16207202948102822</v>
      </c>
      <c r="BK15" s="120">
        <v>0.16606450976666945</v>
      </c>
      <c r="BL15" s="120">
        <v>0.15186471319957889</v>
      </c>
      <c r="BM15" s="120">
        <v>0.14295909266730591</v>
      </c>
      <c r="BN15" s="120">
        <v>0.14030352881539165</v>
      </c>
      <c r="BO15" s="120">
        <v>0.130791379220629</v>
      </c>
      <c r="BP15" s="120">
        <v>0.13217371444655118</v>
      </c>
      <c r="BQ15" s="120">
        <v>0.13894687958829233</v>
      </c>
    </row>
    <row r="16" spans="1:69" ht="12.75" x14ac:dyDescent="0.2">
      <c r="A16" s="139">
        <v>-0.17</v>
      </c>
      <c r="B16" s="139">
        <v>-0.156</v>
      </c>
      <c r="C16" s="135">
        <v>-3.6999999999999998E-2</v>
      </c>
      <c r="D16" s="135">
        <v>0.04</v>
      </c>
      <c r="E16" s="135">
        <v>9.8000000000000004E-2</v>
      </c>
      <c r="F16" s="135">
        <v>9.9000000000000005E-2</v>
      </c>
      <c r="G16" s="135">
        <v>0.11</v>
      </c>
      <c r="H16" s="135">
        <v>0.107</v>
      </c>
      <c r="I16" s="135">
        <v>0.13200000000000001</v>
      </c>
      <c r="J16" s="135"/>
      <c r="K16" s="139"/>
      <c r="M16" t="s">
        <v>107</v>
      </c>
      <c r="N16" s="106">
        <v>21.1</v>
      </c>
      <c r="O16" s="106">
        <v>19.7</v>
      </c>
      <c r="P16" s="106">
        <v>19.100000000000001</v>
      </c>
      <c r="Q16" s="106">
        <v>18.600000000000001</v>
      </c>
      <c r="R16" s="106">
        <v>18.2</v>
      </c>
      <c r="S16">
        <v>17.8</v>
      </c>
      <c r="T16">
        <v>17.2</v>
      </c>
      <c r="U16" s="106">
        <v>16.3</v>
      </c>
      <c r="V16">
        <v>15.6</v>
      </c>
      <c r="W16">
        <v>15.1</v>
      </c>
      <c r="X16">
        <v>14.5</v>
      </c>
      <c r="Y16">
        <v>14.5</v>
      </c>
      <c r="Z16">
        <v>15.4</v>
      </c>
      <c r="AQ16" s="120">
        <v>6.3813876638900971E-3</v>
      </c>
      <c r="AR16" s="120">
        <v>6.2580760012884802E-3</v>
      </c>
      <c r="AS16" s="120">
        <v>6.2028864627054385E-3</v>
      </c>
      <c r="AT16" s="120">
        <v>6.2634812350856424E-3</v>
      </c>
      <c r="AU16" s="120">
        <v>6.1564975718551747E-3</v>
      </c>
      <c r="AV16" s="120">
        <v>6.4986403788631804E-3</v>
      </c>
      <c r="AW16" s="120">
        <v>6.4024022210687429E-3</v>
      </c>
      <c r="AX16" s="120">
        <v>6.4269832758150989E-3</v>
      </c>
      <c r="AY16" s="120">
        <v>6.6019675909393593E-3</v>
      </c>
      <c r="AZ16" s="120">
        <v>6.6724084423086232E-3</v>
      </c>
      <c r="BA16" s="120">
        <v>7.0090951881772176E-3</v>
      </c>
      <c r="BB16" s="120">
        <v>7.5313587895823979E-3</v>
      </c>
      <c r="BC16" s="120">
        <v>9.4508094569756302E-3</v>
      </c>
      <c r="BE16" s="120">
        <v>0.18841579412540896</v>
      </c>
      <c r="BF16" s="120">
        <v>0.1764840758399969</v>
      </c>
      <c r="BG16" s="120">
        <v>0.17120239646383001</v>
      </c>
      <c r="BH16" s="120">
        <v>0.16936225981452507</v>
      </c>
      <c r="BI16" s="120">
        <v>0.16319022749933323</v>
      </c>
      <c r="BJ16" s="120">
        <v>0.16919375551766555</v>
      </c>
      <c r="BK16" s="120">
        <v>0.16071424892430217</v>
      </c>
      <c r="BL16" s="120">
        <v>0.15093355237354139</v>
      </c>
      <c r="BM16" s="120">
        <v>0.14609975667042524</v>
      </c>
      <c r="BN16" s="120">
        <v>0.13990529791330852</v>
      </c>
      <c r="BO16" s="120">
        <v>0.13362683539179623</v>
      </c>
      <c r="BP16" s="120">
        <v>0.12299052575726663</v>
      </c>
      <c r="BQ16" s="120">
        <v>0.11718408079408925</v>
      </c>
    </row>
    <row r="17" spans="1:69" ht="12.75" x14ac:dyDescent="0.2">
      <c r="A17" s="139">
        <v>-0.13900000000000001</v>
      </c>
      <c r="B17" s="139">
        <v>-0.11799999999999999</v>
      </c>
      <c r="C17" s="135">
        <v>-1.4999999999999999E-2</v>
      </c>
      <c r="D17" s="135">
        <v>5.0999999999999997E-2</v>
      </c>
      <c r="E17" s="135">
        <v>9.2999999999999999E-2</v>
      </c>
      <c r="F17" s="135">
        <v>9.5000000000000001E-2</v>
      </c>
      <c r="G17" s="135">
        <v>0.104</v>
      </c>
      <c r="H17" s="135">
        <v>0.10299999999999999</v>
      </c>
      <c r="I17" s="135">
        <v>0.124</v>
      </c>
      <c r="J17" s="135"/>
      <c r="K17" s="139"/>
      <c r="M17" t="s">
        <v>108</v>
      </c>
      <c r="N17">
        <v>20.3</v>
      </c>
      <c r="O17">
        <v>19.100000000000001</v>
      </c>
      <c r="P17" s="106">
        <v>18.600000000000001</v>
      </c>
      <c r="Q17">
        <v>18.100000000000001</v>
      </c>
      <c r="R17">
        <v>17.8</v>
      </c>
      <c r="S17">
        <v>17.399999999999999</v>
      </c>
      <c r="T17">
        <v>16.899999999999999</v>
      </c>
      <c r="U17">
        <v>15.9</v>
      </c>
      <c r="V17">
        <v>15.2</v>
      </c>
      <c r="W17">
        <v>14.7</v>
      </c>
      <c r="X17">
        <v>14</v>
      </c>
      <c r="Y17">
        <v>13.7</v>
      </c>
      <c r="Z17">
        <v>14</v>
      </c>
      <c r="AQ17" s="120">
        <v>5.7191150242985505E-3</v>
      </c>
      <c r="AR17" s="120">
        <v>5.9816168032868966E-3</v>
      </c>
      <c r="AS17" s="120">
        <v>6.1618148512579103E-3</v>
      </c>
      <c r="AT17" s="120">
        <v>6.2507258440980176E-3</v>
      </c>
      <c r="AU17" s="120">
        <v>6.1258060666236191E-3</v>
      </c>
      <c r="AV17" s="120">
        <v>6.0420470126129845E-3</v>
      </c>
      <c r="AW17" s="120">
        <v>6.1840333405728419E-3</v>
      </c>
      <c r="AX17" s="120">
        <v>6.4765700661306436E-3</v>
      </c>
      <c r="AY17" s="120">
        <v>6.5034848993500609E-3</v>
      </c>
      <c r="AZ17" s="120">
        <v>6.3893657201854869E-3</v>
      </c>
      <c r="BA17" s="120">
        <v>6.6835558453382342E-3</v>
      </c>
      <c r="BB17" s="120">
        <v>7.4091063293893044E-3</v>
      </c>
      <c r="BC17" s="120">
        <v>9.7369741179647307E-3</v>
      </c>
      <c r="BE17" s="120">
        <v>0.17642461551639246</v>
      </c>
      <c r="BF17" s="120">
        <v>0.17636336803666058</v>
      </c>
      <c r="BG17" s="120">
        <v>0.17791186247359012</v>
      </c>
      <c r="BH17" s="120">
        <v>0.17691103442238018</v>
      </c>
      <c r="BI17" s="120">
        <v>0.16957506562077587</v>
      </c>
      <c r="BJ17" s="120">
        <v>0.16424010000606934</v>
      </c>
      <c r="BK17" s="120">
        <v>0.16192405470018204</v>
      </c>
      <c r="BL17" s="120">
        <v>0.15862714822827842</v>
      </c>
      <c r="BM17" s="120">
        <v>0.14992461255588679</v>
      </c>
      <c r="BN17" s="120">
        <v>0.13923765375828526</v>
      </c>
      <c r="BO17" s="120">
        <v>0.13228992209198284</v>
      </c>
      <c r="BP17" s="120">
        <v>0.12527106908434019</v>
      </c>
      <c r="BQ17" s="120">
        <v>0.12476891064114641</v>
      </c>
    </row>
    <row r="18" spans="1:69" ht="12.75" x14ac:dyDescent="0.2">
      <c r="A18" s="139">
        <v>-8.5999999999999993E-2</v>
      </c>
      <c r="B18" s="139">
        <v>-6.4000000000000001E-2</v>
      </c>
      <c r="C18" s="135">
        <v>5.1999999999999998E-2</v>
      </c>
      <c r="D18" s="135">
        <v>0.122</v>
      </c>
      <c r="E18" s="135">
        <v>0.17599999999999999</v>
      </c>
      <c r="F18" s="135">
        <v>0.17</v>
      </c>
      <c r="G18" s="135">
        <v>0.17599999999999999</v>
      </c>
      <c r="H18" s="135">
        <v>0.186</v>
      </c>
      <c r="I18" s="135">
        <v>0.219</v>
      </c>
      <c r="J18" s="135"/>
      <c r="K18" s="139"/>
      <c r="M18" t="s">
        <v>109</v>
      </c>
      <c r="N18">
        <v>19.7</v>
      </c>
      <c r="O18" s="106">
        <v>18.7</v>
      </c>
      <c r="P18">
        <v>18.3</v>
      </c>
      <c r="Q18">
        <v>17.899999999999999</v>
      </c>
      <c r="R18">
        <v>17.5</v>
      </c>
      <c r="S18">
        <v>17.2</v>
      </c>
      <c r="T18">
        <v>16.7</v>
      </c>
      <c r="U18">
        <v>15.8</v>
      </c>
      <c r="V18">
        <v>15.1</v>
      </c>
      <c r="W18">
        <v>14.5</v>
      </c>
      <c r="X18">
        <v>13.8</v>
      </c>
      <c r="Y18">
        <v>13.3</v>
      </c>
      <c r="Z18">
        <v>13.3</v>
      </c>
      <c r="AQ18" s="120">
        <v>5.8708844846270102E-3</v>
      </c>
      <c r="AR18" s="120">
        <v>5.781892025566066E-3</v>
      </c>
      <c r="AS18" s="120">
        <v>5.6132804114582746E-3</v>
      </c>
      <c r="AT18" s="120">
        <v>5.5053959605212716E-3</v>
      </c>
      <c r="AU18" s="120">
        <v>5.8404798345086991E-3</v>
      </c>
      <c r="AV18" s="120">
        <v>5.9182636727322666E-3</v>
      </c>
      <c r="AW18" s="120">
        <v>5.5547892554558857E-3</v>
      </c>
      <c r="AX18" s="120">
        <v>5.7179872519801589E-3</v>
      </c>
      <c r="AY18" s="120">
        <v>5.834470540161135E-3</v>
      </c>
      <c r="AZ18" s="120">
        <v>6.4418299910197121E-3</v>
      </c>
      <c r="BA18" s="120">
        <v>6.7617552860698288E-3</v>
      </c>
      <c r="BB18" s="120">
        <v>6.9150061535140205E-3</v>
      </c>
      <c r="BC18" s="120">
        <v>8.0831377082885188E-3</v>
      </c>
      <c r="BE18" s="120">
        <v>0.1822987755553406</v>
      </c>
      <c r="BF18" s="120">
        <v>0.17134715745798529</v>
      </c>
      <c r="BG18" s="120">
        <v>0.16252500736847128</v>
      </c>
      <c r="BH18" s="120">
        <v>0.15582331771737129</v>
      </c>
      <c r="BI18" s="120">
        <v>0.16264509804034913</v>
      </c>
      <c r="BJ18" s="120">
        <v>0.16139976194089919</v>
      </c>
      <c r="BK18" s="120">
        <v>0.14551279210267079</v>
      </c>
      <c r="BL18" s="120">
        <v>0.1401846811095033</v>
      </c>
      <c r="BM18" s="120">
        <v>0.13455923810513518</v>
      </c>
      <c r="BN18" s="120">
        <v>0.14109701282979639</v>
      </c>
      <c r="BO18" s="120">
        <v>0.13440416953841131</v>
      </c>
      <c r="BP18" s="120">
        <v>0.11721026869402265</v>
      </c>
      <c r="BQ18" s="120">
        <v>0.10351627226152783</v>
      </c>
    </row>
    <row r="19" spans="1:69" ht="12.75" x14ac:dyDescent="0.2">
      <c r="A19" s="139">
        <v>7.000000000000001E-3</v>
      </c>
      <c r="B19" s="139">
        <v>4.3999999999999997E-2</v>
      </c>
      <c r="C19" s="135">
        <v>0.159</v>
      </c>
      <c r="D19" s="135">
        <v>0.22900000000000001</v>
      </c>
      <c r="E19" s="135">
        <v>0.29399999999999998</v>
      </c>
      <c r="F19" s="135">
        <v>0.27400000000000002</v>
      </c>
      <c r="G19" s="135">
        <v>0.28199999999999997</v>
      </c>
      <c r="H19" s="135">
        <v>0.31</v>
      </c>
      <c r="I19" s="135">
        <v>0.35299999999999998</v>
      </c>
      <c r="J19" s="135"/>
      <c r="K19" s="139"/>
      <c r="M19" t="s">
        <v>110</v>
      </c>
      <c r="N19">
        <v>19.3</v>
      </c>
      <c r="O19">
        <v>18.399999999999999</v>
      </c>
      <c r="P19">
        <v>18</v>
      </c>
      <c r="Q19">
        <v>17.600000000000001</v>
      </c>
      <c r="R19">
        <v>17.3</v>
      </c>
      <c r="S19">
        <v>17</v>
      </c>
      <c r="T19">
        <v>16.399999999999999</v>
      </c>
      <c r="U19">
        <v>15.6</v>
      </c>
      <c r="V19">
        <v>14.9</v>
      </c>
      <c r="W19">
        <v>14.4</v>
      </c>
      <c r="X19">
        <v>13.7</v>
      </c>
      <c r="Y19">
        <v>13</v>
      </c>
      <c r="Z19">
        <v>12.7</v>
      </c>
    </row>
    <row r="20" spans="1:69" ht="12.75" x14ac:dyDescent="0.2">
      <c r="A20" s="139">
        <v>0.12200000000000001</v>
      </c>
      <c r="B20" s="139">
        <v>0.17599999999999999</v>
      </c>
      <c r="C20" s="135">
        <v>0.28599999999999998</v>
      </c>
      <c r="D20" s="135">
        <v>0.35299999999999998</v>
      </c>
      <c r="E20" s="135">
        <v>0.43</v>
      </c>
      <c r="F20" s="135">
        <v>0.39800000000000002</v>
      </c>
      <c r="G20" s="135">
        <v>0.41</v>
      </c>
      <c r="H20" s="135">
        <v>0.45400000000000001</v>
      </c>
      <c r="I20" s="135">
        <v>0.50600000000000001</v>
      </c>
      <c r="J20" s="135"/>
      <c r="K20" s="139"/>
    </row>
    <row r="21" spans="1:69" ht="12.75" x14ac:dyDescent="0.2">
      <c r="A21" s="139">
        <v>0.249</v>
      </c>
      <c r="B21" s="139">
        <v>0.315</v>
      </c>
      <c r="C21" s="135">
        <v>0.41899999999999998</v>
      </c>
      <c r="D21" s="135">
        <v>0.48399999999999999</v>
      </c>
      <c r="E21" s="135">
        <v>0.57299999999999995</v>
      </c>
      <c r="F21" s="135">
        <v>0.52500000000000002</v>
      </c>
      <c r="G21" s="135">
        <v>0.53900000000000003</v>
      </c>
      <c r="H21" s="135">
        <v>0.60099999999999998</v>
      </c>
      <c r="I21" s="135">
        <v>0.65700000000000003</v>
      </c>
      <c r="J21" s="135"/>
      <c r="K21" s="139"/>
    </row>
    <row r="22" spans="1:69" ht="12.75" x14ac:dyDescent="0.2">
      <c r="A22" s="139">
        <v>0.379</v>
      </c>
      <c r="B22" s="139">
        <v>0.45700000000000002</v>
      </c>
      <c r="C22" s="135">
        <v>0.55500000000000005</v>
      </c>
      <c r="D22" s="135">
        <v>0.61699999999999999</v>
      </c>
      <c r="E22" s="135">
        <v>0.71799999999999997</v>
      </c>
      <c r="F22" s="135">
        <v>0.65300000000000002</v>
      </c>
      <c r="G22" s="135">
        <v>0.66700000000000004</v>
      </c>
      <c r="H22" s="135">
        <v>0.74399999999999999</v>
      </c>
      <c r="I22" s="135">
        <v>0.80400000000000005</v>
      </c>
      <c r="J22" s="135"/>
      <c r="K22" s="105" t="s">
        <v>314</v>
      </c>
      <c r="N22">
        <v>-0.5</v>
      </c>
      <c r="O22">
        <v>-0.25</v>
      </c>
      <c r="P22">
        <v>-0.13</v>
      </c>
      <c r="Q22">
        <v>0</v>
      </c>
      <c r="R22">
        <v>0.125</v>
      </c>
      <c r="S22">
        <v>0.25</v>
      </c>
      <c r="T22">
        <v>0.5</v>
      </c>
      <c r="U22">
        <v>1</v>
      </c>
      <c r="V22">
        <v>1.5</v>
      </c>
      <c r="W22">
        <v>2</v>
      </c>
      <c r="X22">
        <v>3</v>
      </c>
      <c r="Y22">
        <v>5</v>
      </c>
      <c r="Z22">
        <v>10</v>
      </c>
    </row>
    <row r="23" spans="1:69" ht="12.75" x14ac:dyDescent="0.2">
      <c r="A23" s="139">
        <v>0.50700000000000001</v>
      </c>
      <c r="B23" s="139">
        <v>0.59799999999999998</v>
      </c>
      <c r="C23" s="135">
        <v>0.68700000000000006</v>
      </c>
      <c r="D23" s="135">
        <v>0.74399999999999999</v>
      </c>
      <c r="E23" s="135">
        <v>0.85199999999999998</v>
      </c>
      <c r="F23" s="135">
        <v>0.78</v>
      </c>
      <c r="G23" s="135">
        <v>0.79200000000000004</v>
      </c>
      <c r="H23" s="135">
        <v>0.88</v>
      </c>
      <c r="I23" s="135">
        <v>0.93899999999999995</v>
      </c>
      <c r="J23" s="135"/>
      <c r="M23" t="s">
        <v>25</v>
      </c>
      <c r="N23" s="105">
        <v>9.6999999999999993</v>
      </c>
      <c r="O23" s="105">
        <v>9.6999999999999993</v>
      </c>
      <c r="P23" s="105">
        <v>11</v>
      </c>
      <c r="Q23" s="105">
        <v>12.5</v>
      </c>
      <c r="R23" s="105">
        <v>14</v>
      </c>
      <c r="S23" s="105">
        <v>15.3</v>
      </c>
      <c r="T23" s="105">
        <v>17.899999999999999</v>
      </c>
      <c r="U23" s="105">
        <v>22.2</v>
      </c>
      <c r="V23" s="105">
        <v>25.8</v>
      </c>
      <c r="W23" s="105">
        <v>28.8</v>
      </c>
      <c r="X23" s="105">
        <v>33.799999999999997</v>
      </c>
      <c r="Y23" s="105">
        <v>41.1</v>
      </c>
      <c r="Z23" s="105">
        <v>52.2</v>
      </c>
      <c r="AQ23" s="120"/>
      <c r="AR23" s="120"/>
      <c r="AS23" s="120"/>
      <c r="AT23" s="120"/>
      <c r="AU23" s="120"/>
      <c r="AV23" s="120"/>
      <c r="AW23" s="120"/>
      <c r="AX23" s="120"/>
      <c r="AY23" s="120"/>
      <c r="AZ23" s="120"/>
      <c r="BA23" s="120"/>
      <c r="BB23" s="120"/>
      <c r="BC23" s="120"/>
      <c r="BE23" s="120"/>
      <c r="BF23" s="120"/>
      <c r="BG23" s="120"/>
      <c r="BH23" s="120"/>
      <c r="BI23" s="120"/>
      <c r="BJ23" s="120"/>
      <c r="BK23" s="120"/>
      <c r="BL23" s="120"/>
      <c r="BM23" s="120"/>
      <c r="BN23" s="120"/>
      <c r="BO23" s="120"/>
      <c r="BP23" s="120"/>
      <c r="BQ23" s="120"/>
    </row>
    <row r="24" spans="1:69" ht="12.75" x14ac:dyDescent="0.2">
      <c r="A24" s="139">
        <v>0.627</v>
      </c>
      <c r="B24" s="139">
        <v>0.72899999999999998</v>
      </c>
      <c r="C24" s="135">
        <v>0.80800000000000005</v>
      </c>
      <c r="D24" s="135">
        <v>0.85799999999999998</v>
      </c>
      <c r="E24" s="135">
        <v>0.97599999999999998</v>
      </c>
      <c r="F24" s="135">
        <v>0.89200000000000002</v>
      </c>
      <c r="G24" s="135">
        <v>0.90400000000000003</v>
      </c>
      <c r="H24" s="135">
        <v>1.004</v>
      </c>
      <c r="I24" s="135">
        <v>1.06</v>
      </c>
      <c r="J24" s="135"/>
      <c r="M24" t="s">
        <v>157</v>
      </c>
      <c r="N24" s="105">
        <v>11.2</v>
      </c>
      <c r="O24" s="105">
        <v>11.3</v>
      </c>
      <c r="P24" s="105">
        <v>12.2</v>
      </c>
      <c r="Q24" s="105">
        <v>13.3</v>
      </c>
      <c r="R24" s="105">
        <v>14.5</v>
      </c>
      <c r="S24" s="105">
        <v>15.4</v>
      </c>
      <c r="T24" s="105">
        <v>17.3</v>
      </c>
      <c r="U24" s="105">
        <v>20.5</v>
      </c>
      <c r="V24" s="105">
        <v>23.1</v>
      </c>
      <c r="W24" s="105">
        <v>25.3</v>
      </c>
      <c r="X24" s="105">
        <v>28.8</v>
      </c>
      <c r="Y24" s="105">
        <v>33.9</v>
      </c>
      <c r="Z24" s="105">
        <v>41.3</v>
      </c>
      <c r="AQ24" s="120"/>
      <c r="AR24" s="120"/>
      <c r="AS24" s="120"/>
      <c r="AT24" s="120"/>
      <c r="AU24" s="120"/>
      <c r="AV24" s="120"/>
      <c r="AW24" s="120"/>
      <c r="AX24" s="120"/>
      <c r="AY24" s="120"/>
      <c r="AZ24" s="120"/>
      <c r="BA24" s="120"/>
      <c r="BB24" s="120"/>
      <c r="BC24" s="120"/>
      <c r="BE24" s="120"/>
      <c r="BF24" s="120"/>
      <c r="BG24" s="120"/>
      <c r="BH24" s="120"/>
      <c r="BI24" s="120"/>
      <c r="BJ24" s="120"/>
      <c r="BK24" s="120"/>
      <c r="BL24" s="120"/>
      <c r="BM24" s="120"/>
      <c r="BN24" s="120"/>
      <c r="BO24" s="120"/>
      <c r="BP24" s="120"/>
      <c r="BQ24" s="120"/>
    </row>
    <row r="25" spans="1:69" ht="12.75" x14ac:dyDescent="0.2">
      <c r="A25" s="139">
        <v>0.73499999999999999</v>
      </c>
      <c r="B25" s="139">
        <v>0.84599999999999997</v>
      </c>
      <c r="C25" s="135">
        <v>0.91600000000000004</v>
      </c>
      <c r="D25" s="135">
        <v>0.96199999999999997</v>
      </c>
      <c r="E25" s="135">
        <v>1.083</v>
      </c>
      <c r="F25" s="135">
        <v>0.99</v>
      </c>
      <c r="G25" s="135">
        <v>1.004</v>
      </c>
      <c r="H25" s="135">
        <v>1.111</v>
      </c>
      <c r="I25" s="135">
        <v>1.1679999999999999</v>
      </c>
      <c r="J25" s="135"/>
      <c r="M25" t="s">
        <v>99</v>
      </c>
      <c r="N25" s="105">
        <v>15.4</v>
      </c>
      <c r="O25" s="105">
        <v>13.3</v>
      </c>
      <c r="P25" s="105">
        <v>13.2</v>
      </c>
      <c r="Q25" s="105">
        <v>13.5</v>
      </c>
      <c r="R25" s="105">
        <v>14</v>
      </c>
      <c r="S25" s="105">
        <v>14.3</v>
      </c>
      <c r="T25" s="105">
        <v>15.3</v>
      </c>
      <c r="U25" s="105">
        <v>17.600000000000001</v>
      </c>
      <c r="V25" s="105">
        <v>19.7</v>
      </c>
      <c r="W25" s="105">
        <v>21.6</v>
      </c>
      <c r="X25" s="105">
        <v>24.7</v>
      </c>
      <c r="Y25" s="105">
        <v>29.2</v>
      </c>
      <c r="Z25" s="105">
        <v>35.5</v>
      </c>
      <c r="AQ25" s="120"/>
      <c r="AR25" s="120"/>
      <c r="AS25" s="120"/>
      <c r="AT25" s="120"/>
      <c r="AU25" s="120"/>
      <c r="AV25" s="120"/>
      <c r="AW25" s="120"/>
      <c r="AX25" s="120"/>
      <c r="AY25" s="120"/>
      <c r="AZ25" s="120"/>
      <c r="BA25" s="120"/>
      <c r="BB25" s="120"/>
      <c r="BC25" s="120"/>
      <c r="BE25" s="120"/>
      <c r="BF25" s="120"/>
      <c r="BG25" s="120"/>
      <c r="BH25" s="120"/>
      <c r="BI25" s="120"/>
      <c r="BJ25" s="120"/>
      <c r="BK25" s="120"/>
      <c r="BL25" s="120"/>
      <c r="BM25" s="120"/>
      <c r="BN25" s="120"/>
      <c r="BO25" s="120"/>
      <c r="BP25" s="120"/>
      <c r="BQ25" s="120"/>
    </row>
    <row r="26" spans="1:69" ht="12.75" x14ac:dyDescent="0.2">
      <c r="A26" s="139">
        <v>0.83199999999999996</v>
      </c>
      <c r="B26" s="139">
        <v>0.95099999999999996</v>
      </c>
      <c r="C26" s="135">
        <v>1.0109999999999999</v>
      </c>
      <c r="D26" s="135">
        <v>1.0569999999999999</v>
      </c>
      <c r="E26" s="135">
        <v>1.177</v>
      </c>
      <c r="F26" s="135">
        <v>1.0780000000000001</v>
      </c>
      <c r="G26" s="135">
        <v>1.0940000000000001</v>
      </c>
      <c r="H26" s="135">
        <v>1.208</v>
      </c>
      <c r="I26" s="135">
        <v>1.2609999999999999</v>
      </c>
      <c r="J26" s="135"/>
      <c r="M26" t="s">
        <v>101</v>
      </c>
      <c r="N26" s="105">
        <v>18</v>
      </c>
      <c r="O26" s="105">
        <v>15.8</v>
      </c>
      <c r="P26" s="105">
        <v>15.4</v>
      </c>
      <c r="Q26" s="105">
        <v>15.4</v>
      </c>
      <c r="R26" s="105">
        <v>15.5</v>
      </c>
      <c r="S26" s="105">
        <v>15.6</v>
      </c>
      <c r="T26" s="105">
        <v>16</v>
      </c>
      <c r="U26" s="105">
        <v>17.2</v>
      </c>
      <c r="V26" s="105">
        <v>18.5</v>
      </c>
      <c r="W26" s="105">
        <v>19.899999999999999</v>
      </c>
      <c r="X26" s="105">
        <v>22.4</v>
      </c>
      <c r="Y26" s="105">
        <v>26.1</v>
      </c>
      <c r="Z26" s="105">
        <v>31.4</v>
      </c>
      <c r="AQ26" s="120"/>
      <c r="AR26" s="120"/>
      <c r="AS26" s="120"/>
      <c r="AT26" s="120"/>
      <c r="AU26" s="120"/>
      <c r="AV26" s="120"/>
      <c r="AW26" s="120"/>
      <c r="AX26" s="120"/>
      <c r="AY26" s="120"/>
      <c r="AZ26" s="120"/>
      <c r="BA26" s="120"/>
      <c r="BB26" s="120"/>
      <c r="BC26" s="120"/>
      <c r="BE26" s="120"/>
      <c r="BF26" s="120"/>
      <c r="BG26" s="120"/>
      <c r="BH26" s="120"/>
      <c r="BI26" s="120"/>
      <c r="BJ26" s="120"/>
      <c r="BK26" s="120"/>
      <c r="BL26" s="120"/>
      <c r="BM26" s="120"/>
      <c r="BN26" s="120"/>
      <c r="BO26" s="120"/>
      <c r="BP26" s="120"/>
      <c r="BQ26" s="120"/>
    </row>
    <row r="27" spans="1:69" ht="12.75" x14ac:dyDescent="0.2">
      <c r="A27" s="139">
        <v>0.92</v>
      </c>
      <c r="B27" s="139">
        <v>1.0449999999999999</v>
      </c>
      <c r="C27" s="135">
        <v>1.0960000000000001</v>
      </c>
      <c r="D27" s="135">
        <v>1.141</v>
      </c>
      <c r="E27" s="135">
        <v>1.258</v>
      </c>
      <c r="F27" s="135">
        <v>1.155</v>
      </c>
      <c r="G27" s="135">
        <v>1.1719999999999999</v>
      </c>
      <c r="H27" s="135">
        <v>1.2929999999999999</v>
      </c>
      <c r="I27" s="135">
        <v>1.3420000000000001</v>
      </c>
      <c r="J27" s="135"/>
      <c r="M27" t="s">
        <v>102</v>
      </c>
      <c r="N27" s="105">
        <v>19.5</v>
      </c>
      <c r="O27" s="105">
        <v>17.399999999999999</v>
      </c>
      <c r="P27" s="105">
        <v>16.899999999999999</v>
      </c>
      <c r="Q27" s="105">
        <v>16.8</v>
      </c>
      <c r="R27" s="105">
        <v>16.8</v>
      </c>
      <c r="S27" s="105">
        <v>16.7</v>
      </c>
      <c r="T27" s="105">
        <v>16.8</v>
      </c>
      <c r="U27" s="105">
        <v>17.2</v>
      </c>
      <c r="V27" s="105">
        <v>17.899999999999999</v>
      </c>
      <c r="W27" s="105">
        <v>18.600000000000001</v>
      </c>
      <c r="X27" s="105">
        <v>20.2</v>
      </c>
      <c r="Y27" s="105">
        <v>23</v>
      </c>
      <c r="Z27" s="105">
        <v>27.2</v>
      </c>
      <c r="AQ27" s="120"/>
      <c r="AR27" s="120"/>
      <c r="AS27" s="120"/>
      <c r="AT27" s="120"/>
      <c r="AU27" s="120"/>
      <c r="AV27" s="120"/>
      <c r="AW27" s="120"/>
      <c r="AX27" s="120"/>
      <c r="AY27" s="120"/>
      <c r="AZ27" s="120"/>
      <c r="BA27" s="120"/>
      <c r="BB27" s="120"/>
      <c r="BC27" s="120"/>
      <c r="BE27" s="120"/>
      <c r="BF27" s="120"/>
      <c r="BG27" s="120"/>
      <c r="BH27" s="120"/>
      <c r="BI27" s="120"/>
      <c r="BJ27" s="120"/>
      <c r="BK27" s="120"/>
      <c r="BL27" s="120"/>
      <c r="BM27" s="120"/>
      <c r="BN27" s="120"/>
      <c r="BO27" s="120"/>
      <c r="BP27" s="120"/>
      <c r="BQ27" s="120"/>
    </row>
    <row r="28" spans="1:69" ht="12.75" x14ac:dyDescent="0.2">
      <c r="A28" s="139">
        <v>0.996</v>
      </c>
      <c r="B28" s="139">
        <v>1.1259999999999999</v>
      </c>
      <c r="C28" s="135">
        <v>1.169</v>
      </c>
      <c r="D28" s="135">
        <v>1.214</v>
      </c>
      <c r="E28" s="135">
        <v>1.3280000000000001</v>
      </c>
      <c r="F28" s="135">
        <v>1.222</v>
      </c>
      <c r="G28" s="135">
        <v>1.24</v>
      </c>
      <c r="H28" s="135">
        <v>1.365</v>
      </c>
      <c r="I28" s="135">
        <v>1.41</v>
      </c>
      <c r="J28" s="135"/>
      <c r="K28" s="139"/>
      <c r="M28" t="s">
        <v>103</v>
      </c>
      <c r="N28" s="105">
        <v>20.399999999999999</v>
      </c>
      <c r="O28" s="105">
        <v>18.5</v>
      </c>
      <c r="P28" s="105">
        <v>18</v>
      </c>
      <c r="Q28" s="105">
        <v>17.7</v>
      </c>
      <c r="R28" s="105">
        <v>17.600000000000001</v>
      </c>
      <c r="S28" s="105">
        <v>17.5</v>
      </c>
      <c r="T28" s="105">
        <v>17.399999999999999</v>
      </c>
      <c r="U28" s="105">
        <v>17.399999999999999</v>
      </c>
      <c r="V28" s="105">
        <v>17.600000000000001</v>
      </c>
      <c r="W28" s="105">
        <v>18</v>
      </c>
      <c r="X28" s="105">
        <v>18.899999999999999</v>
      </c>
      <c r="Y28" s="105">
        <v>20.9</v>
      </c>
      <c r="Z28" s="105">
        <v>24.2</v>
      </c>
      <c r="AQ28" s="120"/>
      <c r="AR28" s="120"/>
      <c r="AS28" s="120"/>
      <c r="AT28" s="120"/>
      <c r="AU28" s="120"/>
      <c r="AV28" s="120"/>
      <c r="AW28" s="120"/>
      <c r="AX28" s="120"/>
      <c r="AY28" s="120"/>
      <c r="AZ28" s="120"/>
      <c r="BA28" s="120"/>
      <c r="BB28" s="120"/>
      <c r="BC28" s="120"/>
      <c r="BE28" s="120"/>
      <c r="BF28" s="120"/>
      <c r="BG28" s="120"/>
      <c r="BH28" s="120"/>
      <c r="BI28" s="120"/>
      <c r="BJ28" s="120"/>
      <c r="BK28" s="120"/>
      <c r="BL28" s="120"/>
      <c r="BM28" s="120"/>
      <c r="BN28" s="120"/>
      <c r="BO28" s="120"/>
      <c r="BP28" s="120"/>
      <c r="BQ28" s="120"/>
    </row>
    <row r="29" spans="1:69" ht="12.75" x14ac:dyDescent="0.2">
      <c r="A29" s="139">
        <v>1.0620000000000001</v>
      </c>
      <c r="B29" s="139">
        <v>1.1970000000000001</v>
      </c>
      <c r="C29" s="135">
        <v>1.2330000000000001</v>
      </c>
      <c r="D29" s="135">
        <v>1.2769999999999999</v>
      </c>
      <c r="E29" s="135">
        <v>1.387</v>
      </c>
      <c r="F29" s="135">
        <v>1.2769999999999999</v>
      </c>
      <c r="G29" s="135">
        <v>1.2969999999999999</v>
      </c>
      <c r="H29" s="135">
        <v>1.425</v>
      </c>
      <c r="I29" s="135">
        <v>1.4670000000000001</v>
      </c>
      <c r="J29" s="135"/>
      <c r="K29" s="139"/>
      <c r="M29" t="s">
        <v>104</v>
      </c>
      <c r="N29" s="105">
        <v>21.1</v>
      </c>
      <c r="O29" s="105">
        <v>19.2</v>
      </c>
      <c r="P29" s="105">
        <v>18.7</v>
      </c>
      <c r="Q29" s="105">
        <v>18.399999999999999</v>
      </c>
      <c r="R29" s="105">
        <v>18.3</v>
      </c>
      <c r="S29" s="105">
        <v>18.100000000000001</v>
      </c>
      <c r="T29" s="105">
        <v>17.8</v>
      </c>
      <c r="U29" s="105">
        <v>17.5</v>
      </c>
      <c r="V29" s="105">
        <v>17.399999999999999</v>
      </c>
      <c r="W29" s="105">
        <v>17.5</v>
      </c>
      <c r="X29" s="105">
        <v>17.899999999999999</v>
      </c>
      <c r="Y29" s="105">
        <v>19.399999999999999</v>
      </c>
      <c r="Z29" s="105">
        <v>22.2</v>
      </c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  <c r="BA29" s="120"/>
      <c r="BB29" s="120"/>
      <c r="BC29" s="120"/>
      <c r="BE29" s="120"/>
      <c r="BF29" s="120"/>
      <c r="BG29" s="120"/>
      <c r="BH29" s="120"/>
      <c r="BI29" s="120"/>
      <c r="BJ29" s="120"/>
      <c r="BK29" s="120"/>
      <c r="BL29" s="120"/>
      <c r="BM29" s="120"/>
      <c r="BN29" s="120"/>
      <c r="BO29" s="120"/>
      <c r="BP29" s="120"/>
      <c r="BQ29" s="120"/>
    </row>
    <row r="30" spans="1:69" ht="12.75" x14ac:dyDescent="0.2">
      <c r="A30" s="139">
        <v>1.1160000000000001</v>
      </c>
      <c r="B30" s="139">
        <v>1.258</v>
      </c>
      <c r="C30" s="135">
        <v>1.29</v>
      </c>
      <c r="D30" s="135">
        <v>1.33</v>
      </c>
      <c r="E30" s="135">
        <v>1.4370000000000001</v>
      </c>
      <c r="F30" s="135">
        <v>1.323</v>
      </c>
      <c r="G30" s="135">
        <v>1.345</v>
      </c>
      <c r="H30" s="135">
        <v>1.476</v>
      </c>
      <c r="I30" s="135">
        <v>1.514</v>
      </c>
      <c r="J30" s="135"/>
      <c r="K30" s="139"/>
      <c r="M30" t="s">
        <v>105</v>
      </c>
      <c r="N30" s="105">
        <v>21.6</v>
      </c>
      <c r="O30" s="105">
        <v>19.8</v>
      </c>
      <c r="P30" s="105">
        <v>19.3</v>
      </c>
      <c r="Q30" s="105">
        <v>18.899999999999999</v>
      </c>
      <c r="R30" s="105">
        <v>18.7</v>
      </c>
      <c r="S30" s="105">
        <v>18.399999999999999</v>
      </c>
      <c r="T30" s="105">
        <v>18.100000000000001</v>
      </c>
      <c r="U30" s="105">
        <v>17.600000000000001</v>
      </c>
      <c r="V30" s="105">
        <v>17.2</v>
      </c>
      <c r="W30" s="105">
        <v>17.100000000000001</v>
      </c>
      <c r="X30" s="105">
        <v>17.2</v>
      </c>
      <c r="Y30" s="105">
        <v>18.2</v>
      </c>
      <c r="Z30" s="105">
        <v>20.7</v>
      </c>
      <c r="AQ30" s="120"/>
      <c r="AR30" s="120"/>
      <c r="AS30" s="120"/>
      <c r="AT30" s="120"/>
      <c r="AU30" s="120"/>
      <c r="AV30" s="120"/>
      <c r="AW30" s="120"/>
      <c r="AX30" s="120"/>
      <c r="AY30" s="120"/>
      <c r="AZ30" s="120"/>
      <c r="BA30" s="120"/>
      <c r="BB30" s="120"/>
      <c r="BC30" s="120"/>
      <c r="BE30" s="120"/>
      <c r="BF30" s="120"/>
      <c r="BG30" s="120"/>
      <c r="BH30" s="120"/>
      <c r="BI30" s="120"/>
      <c r="BJ30" s="120"/>
      <c r="BK30" s="120"/>
      <c r="BL30" s="120"/>
      <c r="BM30" s="120"/>
      <c r="BN30" s="120"/>
      <c r="BO30" s="120"/>
      <c r="BP30" s="120"/>
      <c r="BQ30" s="120"/>
    </row>
    <row r="31" spans="1:69" ht="12.75" x14ac:dyDescent="0.2">
      <c r="A31" s="139">
        <v>1.163</v>
      </c>
      <c r="B31" s="139">
        <v>1.31</v>
      </c>
      <c r="C31" s="135">
        <v>1.335</v>
      </c>
      <c r="D31" s="135">
        <v>1.375</v>
      </c>
      <c r="E31" s="135">
        <v>1.48</v>
      </c>
      <c r="F31" s="135">
        <v>1.363</v>
      </c>
      <c r="G31" s="135">
        <v>1.387</v>
      </c>
      <c r="H31" s="135">
        <v>1.5189999999999999</v>
      </c>
      <c r="I31" s="135">
        <v>1.554</v>
      </c>
      <c r="J31" s="135"/>
      <c r="K31" s="139"/>
      <c r="M31" t="s">
        <v>106</v>
      </c>
      <c r="N31" s="105">
        <v>21.9</v>
      </c>
      <c r="O31" s="105">
        <v>20.2</v>
      </c>
      <c r="P31" s="105">
        <v>19.600000000000001</v>
      </c>
      <c r="Q31" s="105">
        <v>19.2</v>
      </c>
      <c r="R31" s="105">
        <v>19</v>
      </c>
      <c r="S31" s="105">
        <v>18.7</v>
      </c>
      <c r="T31" s="105">
        <v>18.3</v>
      </c>
      <c r="U31" s="105">
        <v>17.600000000000001</v>
      </c>
      <c r="V31" s="105">
        <v>17.100000000000001</v>
      </c>
      <c r="W31" s="105">
        <v>16.8</v>
      </c>
      <c r="X31" s="105">
        <v>16.600000000000001</v>
      </c>
      <c r="Y31" s="105">
        <v>17.399999999999999</v>
      </c>
      <c r="Z31" s="105">
        <v>19.600000000000001</v>
      </c>
      <c r="AQ31" s="120"/>
      <c r="AR31" s="120"/>
      <c r="AS31" s="120"/>
      <c r="AT31" s="120"/>
      <c r="AU31" s="120"/>
      <c r="AV31" s="120"/>
      <c r="AW31" s="120"/>
      <c r="AX31" s="120"/>
      <c r="AY31" s="120"/>
      <c r="AZ31" s="120"/>
      <c r="BA31" s="120"/>
      <c r="BB31" s="120"/>
      <c r="BC31" s="120"/>
      <c r="BE31" s="120"/>
      <c r="BF31" s="120"/>
      <c r="BG31" s="120"/>
      <c r="BH31" s="120"/>
      <c r="BI31" s="120"/>
      <c r="BJ31" s="120"/>
      <c r="BK31" s="120"/>
      <c r="BL31" s="120"/>
      <c r="BM31" s="120"/>
      <c r="BN31" s="120"/>
      <c r="BO31" s="120"/>
      <c r="BP31" s="120"/>
      <c r="BQ31" s="120"/>
    </row>
    <row r="32" spans="1:69" ht="12.75" x14ac:dyDescent="0.2">
      <c r="A32" s="139">
        <v>1.202</v>
      </c>
      <c r="B32" s="139">
        <v>1.355</v>
      </c>
      <c r="C32" s="135">
        <v>1.3740000000000001</v>
      </c>
      <c r="D32" s="135">
        <v>1.4139999999999999</v>
      </c>
      <c r="E32" s="135">
        <v>1.5149999999999999</v>
      </c>
      <c r="F32" s="135">
        <v>1.3959999999999999</v>
      </c>
      <c r="G32" s="135">
        <v>1.4219999999999999</v>
      </c>
      <c r="H32" s="135">
        <v>1.5569999999999999</v>
      </c>
      <c r="I32" s="135">
        <v>1.5880000000000001</v>
      </c>
      <c r="J32" s="135"/>
      <c r="K32" s="139"/>
      <c r="M32" t="s">
        <v>79</v>
      </c>
      <c r="N32" s="105">
        <v>22.1</v>
      </c>
      <c r="O32" s="105">
        <v>20.399999999999999</v>
      </c>
      <c r="P32" s="105">
        <v>19.899999999999999</v>
      </c>
      <c r="Q32" s="105">
        <v>19.5</v>
      </c>
      <c r="R32" s="105">
        <v>19.2</v>
      </c>
      <c r="S32" s="105">
        <v>18.899999999999999</v>
      </c>
      <c r="T32" s="105">
        <v>18.399999999999999</v>
      </c>
      <c r="U32" s="105">
        <v>17.5</v>
      </c>
      <c r="V32" s="105">
        <v>16.899999999999999</v>
      </c>
      <c r="W32" s="105">
        <v>16.5</v>
      </c>
      <c r="X32" s="105">
        <v>16.2</v>
      </c>
      <c r="Y32" s="105">
        <v>16.8</v>
      </c>
      <c r="Z32" s="105">
        <v>18.899999999999999</v>
      </c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  <c r="BA32" s="120"/>
      <c r="BB32" s="120"/>
      <c r="BC32" s="120"/>
      <c r="BE32" s="120"/>
      <c r="BF32" s="120"/>
      <c r="BG32" s="120"/>
      <c r="BH32" s="120"/>
      <c r="BI32" s="120"/>
      <c r="BJ32" s="120"/>
      <c r="BK32" s="120"/>
      <c r="BL32" s="120"/>
      <c r="BM32" s="120"/>
      <c r="BN32" s="120"/>
      <c r="BO32" s="120"/>
      <c r="BP32" s="120"/>
      <c r="BQ32" s="120"/>
    </row>
    <row r="33" spans="1:69" ht="12.75" x14ac:dyDescent="0.2">
      <c r="A33" s="139">
        <v>1.2330000000000001</v>
      </c>
      <c r="B33" s="139">
        <v>1.3919999999999999</v>
      </c>
      <c r="C33" s="135">
        <v>1.407</v>
      </c>
      <c r="D33" s="135">
        <v>1.444</v>
      </c>
      <c r="E33" s="135">
        <v>1.544</v>
      </c>
      <c r="F33" s="135">
        <v>1.423</v>
      </c>
      <c r="G33" s="135">
        <v>1.4510000000000001</v>
      </c>
      <c r="H33" s="135">
        <v>1.587</v>
      </c>
      <c r="I33" s="135">
        <v>1.6160000000000001</v>
      </c>
      <c r="J33" s="135"/>
      <c r="K33" s="139"/>
      <c r="M33" t="s">
        <v>159</v>
      </c>
      <c r="N33" s="105">
        <v>21.9</v>
      </c>
      <c r="O33" s="105">
        <v>20.399999999999999</v>
      </c>
      <c r="P33" s="105">
        <v>19.899999999999999</v>
      </c>
      <c r="Q33" s="105">
        <v>19.5</v>
      </c>
      <c r="R33" s="105">
        <v>19.100000000000001</v>
      </c>
      <c r="S33" s="105">
        <v>18.8</v>
      </c>
      <c r="T33" s="105">
        <v>18.3</v>
      </c>
      <c r="U33" s="105">
        <v>17.3</v>
      </c>
      <c r="V33" s="105">
        <v>16.600000000000001</v>
      </c>
      <c r="W33" s="105">
        <v>16.100000000000001</v>
      </c>
      <c r="X33" s="105">
        <v>15.6</v>
      </c>
      <c r="Y33" s="105">
        <v>15.8</v>
      </c>
      <c r="Z33" s="105">
        <v>17.3</v>
      </c>
      <c r="AQ33" s="120"/>
      <c r="AR33" s="120"/>
      <c r="AS33" s="120"/>
      <c r="AT33" s="120"/>
      <c r="AU33" s="120"/>
      <c r="AV33" s="120"/>
      <c r="AW33" s="120"/>
      <c r="AX33" s="120"/>
      <c r="AY33" s="120"/>
      <c r="AZ33" s="120"/>
      <c r="BA33" s="120"/>
      <c r="BB33" s="120"/>
      <c r="BC33" s="120"/>
      <c r="BE33" s="120"/>
      <c r="BF33" s="120"/>
      <c r="BG33" s="120"/>
      <c r="BH33" s="120"/>
      <c r="BI33" s="120"/>
      <c r="BJ33" s="120"/>
      <c r="BK33" s="120"/>
      <c r="BL33" s="120"/>
      <c r="BM33" s="120"/>
      <c r="BN33" s="120"/>
      <c r="BO33" s="120"/>
      <c r="BP33" s="120"/>
      <c r="BQ33" s="120"/>
    </row>
    <row r="34" spans="1:69" ht="12.75" x14ac:dyDescent="0.2">
      <c r="A34" s="139">
        <v>1.258</v>
      </c>
      <c r="B34" s="139">
        <v>1.423</v>
      </c>
      <c r="C34" s="135">
        <v>1.4330000000000001</v>
      </c>
      <c r="D34" s="135">
        <v>1.468</v>
      </c>
      <c r="E34" s="135">
        <v>1.5669999999999999</v>
      </c>
      <c r="F34" s="135">
        <v>1.4450000000000001</v>
      </c>
      <c r="G34" s="135">
        <v>1.474</v>
      </c>
      <c r="H34" s="135">
        <v>1.6120000000000001</v>
      </c>
      <c r="I34" s="135">
        <v>1.6379999999999999</v>
      </c>
      <c r="J34" s="135"/>
      <c r="K34" s="139"/>
      <c r="M34" t="s">
        <v>107</v>
      </c>
      <c r="N34" s="105">
        <v>21.3</v>
      </c>
      <c r="O34" s="105">
        <v>20</v>
      </c>
      <c r="P34" s="105">
        <v>19.5</v>
      </c>
      <c r="Q34" s="105">
        <v>19.100000000000001</v>
      </c>
      <c r="R34" s="105">
        <v>18.8</v>
      </c>
      <c r="S34" s="105">
        <v>18.399999999999999</v>
      </c>
      <c r="T34" s="105">
        <v>17.899999999999999</v>
      </c>
      <c r="U34" s="105">
        <v>16.899999999999999</v>
      </c>
      <c r="V34" s="105">
        <v>16.2</v>
      </c>
      <c r="W34" s="105">
        <v>15.7</v>
      </c>
      <c r="X34" s="105">
        <v>15.1</v>
      </c>
      <c r="Y34" s="105">
        <v>14.9</v>
      </c>
      <c r="Z34" s="105">
        <v>15.7</v>
      </c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  <c r="BA34" s="120"/>
      <c r="BB34" s="120"/>
      <c r="BC34" s="120"/>
      <c r="BE34" s="120"/>
      <c r="BF34" s="120"/>
      <c r="BG34" s="120"/>
      <c r="BH34" s="120"/>
      <c r="BI34" s="120"/>
      <c r="BJ34" s="120"/>
      <c r="BK34" s="120"/>
      <c r="BL34" s="120"/>
      <c r="BM34" s="120"/>
      <c r="BN34" s="120"/>
      <c r="BO34" s="120"/>
      <c r="BP34" s="120"/>
      <c r="BQ34" s="120"/>
    </row>
    <row r="35" spans="1:69" ht="12.75" x14ac:dyDescent="0.2">
      <c r="A35" s="139">
        <v>1.2769999999999999</v>
      </c>
      <c r="B35" s="139">
        <v>1.4450000000000001</v>
      </c>
      <c r="C35" s="135">
        <v>1.454</v>
      </c>
      <c r="D35" s="135">
        <v>1.486</v>
      </c>
      <c r="E35" s="135">
        <v>1.585</v>
      </c>
      <c r="F35" s="135">
        <v>1.4610000000000001</v>
      </c>
      <c r="G35" s="135">
        <v>1.492</v>
      </c>
      <c r="H35" s="135">
        <v>1.631</v>
      </c>
      <c r="I35" s="135">
        <v>1.655</v>
      </c>
      <c r="J35" s="135"/>
      <c r="K35" s="139"/>
      <c r="M35" t="s">
        <v>108</v>
      </c>
      <c r="N35" s="105">
        <v>20.6</v>
      </c>
      <c r="O35" s="105">
        <v>19.5</v>
      </c>
      <c r="P35" s="105">
        <v>19</v>
      </c>
      <c r="Q35" s="105">
        <v>18.7</v>
      </c>
      <c r="R35" s="105">
        <v>18.3</v>
      </c>
      <c r="S35" s="105">
        <v>18</v>
      </c>
      <c r="T35" s="105">
        <v>17.5</v>
      </c>
      <c r="U35" s="105">
        <v>16.5</v>
      </c>
      <c r="V35" s="105">
        <v>15.8</v>
      </c>
      <c r="W35" s="105">
        <v>15.2</v>
      </c>
      <c r="X35" s="105">
        <v>14.5</v>
      </c>
      <c r="Y35" s="105">
        <v>14.1</v>
      </c>
      <c r="Z35" s="105">
        <v>14.3</v>
      </c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  <c r="BA35" s="120"/>
      <c r="BB35" s="120"/>
      <c r="BC35" s="120"/>
      <c r="BE35" s="120"/>
      <c r="BF35" s="120"/>
      <c r="BG35" s="120"/>
      <c r="BH35" s="120"/>
      <c r="BI35" s="120"/>
      <c r="BJ35" s="120"/>
      <c r="BK35" s="120"/>
      <c r="BL35" s="120"/>
      <c r="BM35" s="120"/>
      <c r="BN35" s="120"/>
      <c r="BO35" s="120"/>
      <c r="BP35" s="120"/>
      <c r="BQ35" s="120"/>
    </row>
    <row r="36" spans="1:69" ht="12.75" x14ac:dyDescent="0.2">
      <c r="A36" s="139">
        <v>1.2929999999999999</v>
      </c>
      <c r="B36" s="139">
        <v>1.4630000000000001</v>
      </c>
      <c r="C36" s="135">
        <v>1.4690000000000001</v>
      </c>
      <c r="D36" s="135">
        <v>1.5</v>
      </c>
      <c r="E36" s="135">
        <v>1.5980000000000001</v>
      </c>
      <c r="F36" s="135">
        <v>1.4730000000000001</v>
      </c>
      <c r="G36" s="135">
        <v>1.5049999999999999</v>
      </c>
      <c r="H36" s="135">
        <v>1.645</v>
      </c>
      <c r="I36" s="135">
        <v>1.667</v>
      </c>
      <c r="J36" s="135"/>
      <c r="K36" s="139"/>
      <c r="M36" t="s">
        <v>109</v>
      </c>
      <c r="N36" s="105">
        <v>20.2</v>
      </c>
      <c r="O36" s="105">
        <v>19.2</v>
      </c>
      <c r="P36" s="105">
        <v>18.8</v>
      </c>
      <c r="Q36" s="105">
        <v>18.399999999999999</v>
      </c>
      <c r="R36" s="105">
        <v>18.100000000000001</v>
      </c>
      <c r="S36" s="105">
        <v>17.8</v>
      </c>
      <c r="T36" s="105">
        <v>17.3</v>
      </c>
      <c r="U36" s="105">
        <v>16.3</v>
      </c>
      <c r="V36" s="105">
        <v>15.6</v>
      </c>
      <c r="W36" s="105">
        <v>15.1</v>
      </c>
      <c r="X36" s="105">
        <v>14.3</v>
      </c>
      <c r="Y36" s="105">
        <v>13.7</v>
      </c>
      <c r="Z36" s="105">
        <v>13.5</v>
      </c>
      <c r="AQ36" s="120"/>
      <c r="AR36" s="120"/>
      <c r="AS36" s="120"/>
      <c r="AT36" s="120"/>
      <c r="AU36" s="120"/>
      <c r="AV36" s="120"/>
      <c r="AW36" s="120"/>
      <c r="AX36" s="120"/>
      <c r="AY36" s="120"/>
      <c r="AZ36" s="120"/>
      <c r="BA36" s="120"/>
      <c r="BB36" s="120"/>
      <c r="BC36" s="120"/>
      <c r="BE36" s="120"/>
      <c r="BF36" s="120"/>
      <c r="BG36" s="120"/>
      <c r="BH36" s="120"/>
      <c r="BI36" s="120"/>
      <c r="BJ36" s="120"/>
      <c r="BK36" s="120"/>
      <c r="BL36" s="120"/>
      <c r="BM36" s="120"/>
      <c r="BN36" s="120"/>
      <c r="BO36" s="120"/>
      <c r="BP36" s="120"/>
      <c r="BQ36" s="120"/>
    </row>
    <row r="37" spans="1:69" ht="12.75" x14ac:dyDescent="0.2">
      <c r="A37" s="139">
        <v>1.304</v>
      </c>
      <c r="B37" s="139">
        <v>1.4750000000000001</v>
      </c>
      <c r="C37" s="135">
        <v>1.4810000000000001</v>
      </c>
      <c r="D37" s="135">
        <v>1.51</v>
      </c>
      <c r="E37" s="135">
        <v>1.6080000000000001</v>
      </c>
      <c r="F37" s="135">
        <v>1.4810000000000001</v>
      </c>
      <c r="G37" s="135">
        <v>1.514</v>
      </c>
      <c r="H37" s="135">
        <v>1.655</v>
      </c>
      <c r="I37" s="135">
        <v>1.6759999999999999</v>
      </c>
      <c r="J37" s="135"/>
      <c r="K37" s="139"/>
      <c r="M37" t="s">
        <v>110</v>
      </c>
      <c r="N37" s="105">
        <v>19.8</v>
      </c>
      <c r="O37" s="105">
        <v>18.899999999999999</v>
      </c>
      <c r="P37" s="105">
        <v>18.5</v>
      </c>
      <c r="Q37" s="105">
        <v>18.2</v>
      </c>
      <c r="R37" s="105">
        <v>17.899999999999999</v>
      </c>
      <c r="S37" s="105">
        <v>17.600000000000001</v>
      </c>
      <c r="T37" s="105">
        <v>17.100000000000001</v>
      </c>
      <c r="U37" s="105">
        <v>16.2</v>
      </c>
      <c r="V37" s="105">
        <v>15.5</v>
      </c>
      <c r="W37" s="105">
        <v>14.9</v>
      </c>
      <c r="X37" s="105">
        <v>14.2</v>
      </c>
      <c r="Y37" s="105">
        <v>13.4</v>
      </c>
      <c r="Z37" s="105">
        <v>13</v>
      </c>
      <c r="AQ37" s="120"/>
      <c r="AR37" s="120"/>
      <c r="AS37" s="120"/>
      <c r="AT37" s="120"/>
      <c r="AU37" s="120"/>
      <c r="AV37" s="120"/>
      <c r="AW37" s="120"/>
      <c r="AX37" s="120"/>
      <c r="AY37" s="120"/>
      <c r="AZ37" s="120"/>
      <c r="BA37" s="120"/>
      <c r="BB37" s="120"/>
      <c r="BC37" s="120"/>
      <c r="BE37" s="120"/>
      <c r="BF37" s="120"/>
      <c r="BG37" s="120"/>
      <c r="BH37" s="120"/>
      <c r="BI37" s="120"/>
      <c r="BJ37" s="120"/>
      <c r="BK37" s="120"/>
      <c r="BL37" s="120"/>
      <c r="BM37" s="120"/>
      <c r="BN37" s="120"/>
      <c r="BO37" s="120"/>
      <c r="BP37" s="120"/>
      <c r="BQ37" s="120"/>
    </row>
    <row r="38" spans="1:69" ht="12.75" x14ac:dyDescent="0.2">
      <c r="A38" s="139">
        <v>1.3129999999999999</v>
      </c>
      <c r="B38" s="139">
        <v>1.4830000000000001</v>
      </c>
      <c r="C38" s="135">
        <v>1.488</v>
      </c>
      <c r="D38" s="135">
        <v>1.516</v>
      </c>
      <c r="E38" s="135">
        <v>1.6140000000000001</v>
      </c>
      <c r="F38" s="135">
        <v>1.486</v>
      </c>
      <c r="G38" s="135">
        <v>1.52</v>
      </c>
      <c r="H38" s="135">
        <v>1.6619999999999999</v>
      </c>
      <c r="I38" s="135">
        <v>1.681</v>
      </c>
      <c r="J38" s="135"/>
      <c r="K38" s="139"/>
    </row>
    <row r="39" spans="1:69" ht="12.75" x14ac:dyDescent="0.2">
      <c r="A39" s="139">
        <v>1.319</v>
      </c>
      <c r="B39" s="139">
        <v>1.4890000000000001</v>
      </c>
      <c r="C39" s="135">
        <v>1.494</v>
      </c>
      <c r="D39" s="135">
        <v>1.518</v>
      </c>
      <c r="E39" s="135">
        <v>1.619</v>
      </c>
      <c r="F39" s="135">
        <v>1.4890000000000001</v>
      </c>
      <c r="G39" s="135">
        <v>1.524</v>
      </c>
      <c r="H39" s="135">
        <v>1.667</v>
      </c>
      <c r="I39" s="135">
        <v>1.6850000000000001</v>
      </c>
      <c r="J39" s="135"/>
      <c r="K39" s="139"/>
    </row>
    <row r="40" spans="1:69" ht="12.75" x14ac:dyDescent="0.2">
      <c r="A40" s="139">
        <v>1.323</v>
      </c>
      <c r="B40" s="139">
        <v>1.4930000000000001</v>
      </c>
      <c r="C40" s="135">
        <v>1.498</v>
      </c>
      <c r="D40" s="135">
        <v>1.52</v>
      </c>
      <c r="E40" s="135">
        <v>1.6220000000000001</v>
      </c>
      <c r="F40" s="135">
        <v>1.4910000000000001</v>
      </c>
      <c r="G40" s="135">
        <v>1.5269999999999999</v>
      </c>
      <c r="H40" s="135">
        <v>1.67</v>
      </c>
      <c r="I40" s="135">
        <v>1.6879999999999999</v>
      </c>
      <c r="J40" s="135"/>
      <c r="K40" s="105" t="s">
        <v>315</v>
      </c>
      <c r="N40">
        <v>-0.5</v>
      </c>
      <c r="O40">
        <v>-0.25</v>
      </c>
      <c r="P40">
        <v>-0.13</v>
      </c>
      <c r="Q40">
        <v>0</v>
      </c>
      <c r="R40">
        <v>0.125</v>
      </c>
      <c r="S40">
        <v>0.25</v>
      </c>
      <c r="T40">
        <v>0.5</v>
      </c>
      <c r="U40">
        <v>1</v>
      </c>
      <c r="V40">
        <v>1.5</v>
      </c>
      <c r="W40">
        <v>2</v>
      </c>
      <c r="X40">
        <v>3</v>
      </c>
      <c r="Y40">
        <v>5</v>
      </c>
      <c r="Z40">
        <v>10</v>
      </c>
    </row>
    <row r="41" spans="1:69" ht="12.75" x14ac:dyDescent="0.2">
      <c r="A41" s="139">
        <v>1.325</v>
      </c>
      <c r="B41" s="139">
        <v>1.496</v>
      </c>
      <c r="C41" s="135">
        <v>1.502</v>
      </c>
      <c r="D41" s="135">
        <v>1.5209999999999999</v>
      </c>
      <c r="E41" s="135">
        <v>1.625</v>
      </c>
      <c r="F41" s="135">
        <v>1.492</v>
      </c>
      <c r="G41" s="135">
        <v>1.5289999999999999</v>
      </c>
      <c r="H41" s="135">
        <v>1.673</v>
      </c>
      <c r="I41" s="135">
        <v>1.6910000000000001</v>
      </c>
      <c r="J41" s="135"/>
      <c r="M41" t="s">
        <v>25</v>
      </c>
      <c r="N41" s="154">
        <v>14.2</v>
      </c>
      <c r="O41" s="154">
        <v>10</v>
      </c>
      <c r="P41" s="154">
        <v>9</v>
      </c>
      <c r="Q41" s="154">
        <v>9.5</v>
      </c>
      <c r="R41" s="154">
        <v>11.1</v>
      </c>
      <c r="S41" s="154">
        <v>12.4</v>
      </c>
      <c r="T41" s="154">
        <v>15.4</v>
      </c>
      <c r="U41" s="154">
        <v>20.5</v>
      </c>
      <c r="V41" s="154">
        <v>24.7</v>
      </c>
      <c r="W41" s="154">
        <v>28.3</v>
      </c>
      <c r="X41" s="154">
        <v>34.299999999999997</v>
      </c>
      <c r="Y41" s="154">
        <v>43</v>
      </c>
      <c r="Z41" s="154">
        <v>56.4</v>
      </c>
      <c r="AQ41" s="120">
        <v>3.8038560170568134E-3</v>
      </c>
      <c r="AR41" s="120">
        <v>2.8082566710855711E-3</v>
      </c>
      <c r="AS41" s="120">
        <v>2.5834568258651198E-3</v>
      </c>
      <c r="AT41" s="120">
        <v>2.7869560480416572E-3</v>
      </c>
      <c r="AU41" s="120">
        <v>3.3245487585992785E-3</v>
      </c>
      <c r="AV41" s="120">
        <v>3.7887857304959712E-3</v>
      </c>
      <c r="AW41" s="120">
        <v>4.8879836128722454E-3</v>
      </c>
      <c r="AX41" s="120">
        <v>6.976478196335378E-3</v>
      </c>
      <c r="AY41" s="120">
        <v>8.943198151239869E-3</v>
      </c>
      <c r="AZ41" s="120">
        <v>1.084374292847076E-2</v>
      </c>
      <c r="BA41" s="120">
        <v>1.4524792486384632E-2</v>
      </c>
      <c r="BB41" s="120">
        <v>2.1433434374818403E-2</v>
      </c>
      <c r="BC41" s="120">
        <v>3.7551482764859111E-2</v>
      </c>
      <c r="BE41" s="120">
        <v>0.14199881453381649</v>
      </c>
      <c r="BF41" s="120">
        <v>9.998265127890256E-2</v>
      </c>
      <c r="BG41" s="120">
        <v>8.9964617520640056E-2</v>
      </c>
      <c r="BH41" s="120">
        <v>9.4985682249330697E-2</v>
      </c>
      <c r="BI41" s="120">
        <v>0.11099818365936667</v>
      </c>
      <c r="BJ41" s="120">
        <v>0.1239762104610236</v>
      </c>
      <c r="BK41" s="120">
        <v>0.15400884243191659</v>
      </c>
      <c r="BL41" s="120">
        <v>0.20500753044189826</v>
      </c>
      <c r="BM41" s="120">
        <v>0.2470820577504112</v>
      </c>
      <c r="BN41" s="120">
        <v>0.28323394361736742</v>
      </c>
      <c r="BO41" s="120">
        <v>0.34301671855182897</v>
      </c>
      <c r="BP41" s="120">
        <v>0.43006838200814956</v>
      </c>
      <c r="BQ41" s="120">
        <v>0.5642900683504436</v>
      </c>
    </row>
    <row r="42" spans="1:69" ht="12.75" x14ac:dyDescent="0.2">
      <c r="A42" s="139">
        <v>1.329</v>
      </c>
      <c r="B42" s="139">
        <v>1.498</v>
      </c>
      <c r="C42" s="135">
        <v>1.504</v>
      </c>
      <c r="D42" s="135">
        <v>1.5229999999999999</v>
      </c>
      <c r="E42" s="135">
        <v>1.627</v>
      </c>
      <c r="F42" s="135">
        <v>1.494</v>
      </c>
      <c r="G42" s="135">
        <v>1.5309999999999999</v>
      </c>
      <c r="H42" s="135">
        <v>1.6759999999999999</v>
      </c>
      <c r="I42" s="135">
        <v>1.694</v>
      </c>
      <c r="J42" s="135"/>
      <c r="M42" t="s">
        <v>157</v>
      </c>
      <c r="N42" s="154">
        <v>14.3</v>
      </c>
      <c r="O42" s="154">
        <v>10.8</v>
      </c>
      <c r="P42" s="154">
        <v>9.8000000000000007</v>
      </c>
      <c r="Q42" s="154">
        <v>9.9</v>
      </c>
      <c r="R42" s="154">
        <v>10.9</v>
      </c>
      <c r="S42" s="154">
        <v>11.7</v>
      </c>
      <c r="T42" s="154">
        <v>13.8</v>
      </c>
      <c r="U42" s="154">
        <v>17.600000000000001</v>
      </c>
      <c r="V42" s="154">
        <v>20.9</v>
      </c>
      <c r="W42" s="154">
        <v>23.6</v>
      </c>
      <c r="X42" s="154">
        <v>28</v>
      </c>
      <c r="Y42" s="154">
        <v>34.299999999999997</v>
      </c>
      <c r="Z42" s="154">
        <v>43.7</v>
      </c>
      <c r="AQ42" s="120">
        <v>3.8827450575947262E-3</v>
      </c>
      <c r="AR42" s="120">
        <v>3.3132342981263881E-3</v>
      </c>
      <c r="AS42" s="120">
        <v>3.1131535334759652E-3</v>
      </c>
      <c r="AT42" s="120">
        <v>3.0514059283302461E-3</v>
      </c>
      <c r="AU42" s="120">
        <v>3.2336864028100778E-3</v>
      </c>
      <c r="AV42" s="120">
        <v>3.4311316426189975E-3</v>
      </c>
      <c r="AW42" s="120">
        <v>4.0680339624934482E-3</v>
      </c>
      <c r="AX42" s="120">
        <v>5.4642829148253214E-3</v>
      </c>
      <c r="AY42" s="120">
        <v>6.904025456533831E-3</v>
      </c>
      <c r="AZ42" s="120">
        <v>8.2233897126008579E-3</v>
      </c>
      <c r="BA42" s="120">
        <v>1.0718878864874874E-2</v>
      </c>
      <c r="BB42" s="120">
        <v>1.5375890624834992E-2</v>
      </c>
      <c r="BC42" s="120">
        <v>2.5914603085717101E-2</v>
      </c>
      <c r="BE42" s="120">
        <v>0.14387069084729173</v>
      </c>
      <c r="BF42" s="120">
        <v>0.11714507204382403</v>
      </c>
      <c r="BG42" s="120">
        <v>0.10763412351804981</v>
      </c>
      <c r="BH42" s="120">
        <v>0.10326423716950217</v>
      </c>
      <c r="BI42" s="120">
        <v>0.10719305180628831</v>
      </c>
      <c r="BJ42" s="120">
        <v>0.11150380977405155</v>
      </c>
      <c r="BK42" s="120">
        <v>0.12729687104871365</v>
      </c>
      <c r="BL42" s="120">
        <v>0.15966184130234218</v>
      </c>
      <c r="BM42" s="120">
        <v>0.1895978968095075</v>
      </c>
      <c r="BN42" s="120">
        <v>0.21339734260913434</v>
      </c>
      <c r="BO42" s="120">
        <v>0.25213869088714269</v>
      </c>
      <c r="BP42" s="120">
        <v>0.30769862516839713</v>
      </c>
      <c r="BQ42" s="120">
        <v>0.38958670425096004</v>
      </c>
    </row>
    <row r="43" spans="1:69" ht="12.75" x14ac:dyDescent="0.2">
      <c r="A43" s="139">
        <v>1.331</v>
      </c>
      <c r="B43" s="139">
        <v>1.5</v>
      </c>
      <c r="C43" s="135">
        <v>1.5069999999999999</v>
      </c>
      <c r="D43" s="135">
        <v>1.5229999999999999</v>
      </c>
      <c r="E43" s="135">
        <v>1.63</v>
      </c>
      <c r="F43" s="135">
        <v>1.4950000000000001</v>
      </c>
      <c r="G43" s="135">
        <v>1.5329999999999999</v>
      </c>
      <c r="H43" s="135">
        <v>1.6779999999999999</v>
      </c>
      <c r="I43" s="135">
        <v>1.6970000000000001</v>
      </c>
      <c r="J43" s="135"/>
      <c r="M43" t="s">
        <v>99</v>
      </c>
      <c r="N43" s="154">
        <v>17.3</v>
      </c>
      <c r="O43" s="154">
        <v>13.6</v>
      </c>
      <c r="P43" s="154">
        <v>12.1</v>
      </c>
      <c r="Q43" s="154">
        <v>11.2</v>
      </c>
      <c r="R43" s="154">
        <v>11.4</v>
      </c>
      <c r="S43" s="154">
        <v>11.5</v>
      </c>
      <c r="T43" s="154">
        <v>12.6</v>
      </c>
      <c r="U43" s="154">
        <v>15.6</v>
      </c>
      <c r="V43" s="154">
        <v>18.3</v>
      </c>
      <c r="W43" s="154">
        <v>20.7</v>
      </c>
      <c r="X43" s="154">
        <v>24.7</v>
      </c>
      <c r="Y43" s="154">
        <v>30.2</v>
      </c>
      <c r="Z43" s="154">
        <v>38</v>
      </c>
      <c r="AQ43" s="120">
        <v>4.8214030854092068E-3</v>
      </c>
      <c r="AR43" s="120">
        <v>3.9651785669262756E-3</v>
      </c>
      <c r="AS43" s="120">
        <v>3.6041720716527511E-3</v>
      </c>
      <c r="AT43" s="120">
        <v>3.388441816053358E-3</v>
      </c>
      <c r="AU43" s="120">
        <v>3.5444322240167797E-3</v>
      </c>
      <c r="AV43" s="120">
        <v>3.6516321301744677E-3</v>
      </c>
      <c r="AW43" s="120">
        <v>4.1628169406214971E-3</v>
      </c>
      <c r="AX43" s="120">
        <v>5.5308961503196053E-3</v>
      </c>
      <c r="AY43" s="120">
        <v>6.9037927839589591E-3</v>
      </c>
      <c r="AZ43" s="120">
        <v>8.2605880235789939E-3</v>
      </c>
      <c r="BA43" s="120">
        <v>1.0879936451282841E-2</v>
      </c>
      <c r="BB43" s="120">
        <v>1.5618600600938217E-2</v>
      </c>
      <c r="BC43" s="120">
        <v>2.6124318200253883E-2</v>
      </c>
      <c r="BE43" s="120">
        <v>0.17342303290594524</v>
      </c>
      <c r="BF43" s="120">
        <v>0.136276260633904</v>
      </c>
      <c r="BG43" s="120">
        <v>0.12119516827642789</v>
      </c>
      <c r="BH43" s="120">
        <v>0.11149120489617341</v>
      </c>
      <c r="BI43" s="120">
        <v>0.11409968223210988</v>
      </c>
      <c r="BJ43" s="120">
        <v>0.11505118674764082</v>
      </c>
      <c r="BK43" s="120">
        <v>0.12598093366215918</v>
      </c>
      <c r="BL43" s="120">
        <v>0.15594599892159694</v>
      </c>
      <c r="BM43" s="120">
        <v>0.18290244250602744</v>
      </c>
      <c r="BN43" s="120">
        <v>0.20690516930101605</v>
      </c>
      <c r="BO43" s="120">
        <v>0.24693418457561681</v>
      </c>
      <c r="BP43" s="120">
        <v>0.30191375950994082</v>
      </c>
      <c r="BQ43" s="120">
        <v>0.37983320312574059</v>
      </c>
    </row>
    <row r="44" spans="1:69" ht="12.75" x14ac:dyDescent="0.2">
      <c r="A44" s="139">
        <v>1.3320000000000001</v>
      </c>
      <c r="B44" s="139">
        <v>1.502</v>
      </c>
      <c r="C44" s="135">
        <v>1.51</v>
      </c>
      <c r="D44" s="135">
        <v>1.5229999999999999</v>
      </c>
      <c r="E44" s="135">
        <v>1.6319999999999999</v>
      </c>
      <c r="F44" s="135">
        <v>1.4970000000000001</v>
      </c>
      <c r="G44" s="135">
        <v>1.5349999999999999</v>
      </c>
      <c r="H44" s="135">
        <v>1.681</v>
      </c>
      <c r="I44" s="135">
        <v>1.7010000000000001</v>
      </c>
      <c r="J44" s="135"/>
      <c r="M44" t="s">
        <v>101</v>
      </c>
      <c r="N44" s="154">
        <v>19.899999999999999</v>
      </c>
      <c r="O44" s="154">
        <v>16.399999999999999</v>
      </c>
      <c r="P44" s="154">
        <v>14.9</v>
      </c>
      <c r="Q44" s="154">
        <v>13.9</v>
      </c>
      <c r="R44" s="154">
        <v>13.8</v>
      </c>
      <c r="S44" s="154">
        <v>13.7</v>
      </c>
      <c r="T44" s="154">
        <v>14.1</v>
      </c>
      <c r="U44" s="154">
        <v>15.6</v>
      </c>
      <c r="V44" s="154">
        <v>17.7</v>
      </c>
      <c r="W44" s="154">
        <v>19.7</v>
      </c>
      <c r="X44" s="154">
        <v>23.2</v>
      </c>
      <c r="Y44" s="154">
        <v>28.2</v>
      </c>
      <c r="Z44" s="154">
        <v>35.200000000000003</v>
      </c>
      <c r="AQ44" s="120">
        <v>7.6138939496160117E-3</v>
      </c>
      <c r="AR44" s="120">
        <v>7.256719459172464E-3</v>
      </c>
      <c r="AS44" s="120">
        <v>7.032263077062971E-3</v>
      </c>
      <c r="AT44" s="120">
        <v>6.7776463786641513E-3</v>
      </c>
      <c r="AU44" s="120">
        <v>6.5058313488996168E-3</v>
      </c>
      <c r="AV44" s="120">
        <v>6.267616904182865E-3</v>
      </c>
      <c r="AW44" s="120">
        <v>5.8841145311975722E-3</v>
      </c>
      <c r="AX44" s="120">
        <v>5.8862759507338196E-3</v>
      </c>
      <c r="AY44" s="120">
        <v>6.8272159455248565E-3</v>
      </c>
      <c r="AZ44" s="120">
        <v>7.906607040633791E-3</v>
      </c>
      <c r="BA44" s="120">
        <v>1.0162811015703729E-2</v>
      </c>
      <c r="BB44" s="120">
        <v>1.4469120392280878E-2</v>
      </c>
      <c r="BC44" s="120">
        <v>2.3938659277861641E-2</v>
      </c>
      <c r="BE44" s="120">
        <v>0.25661668303906621</v>
      </c>
      <c r="BF44" s="120">
        <v>0.23356624300430257</v>
      </c>
      <c r="BG44" s="120">
        <v>0.2214617366627773</v>
      </c>
      <c r="BH44" s="120">
        <v>0.20895320509010096</v>
      </c>
      <c r="BI44" s="120">
        <v>0.19634213630647726</v>
      </c>
      <c r="BJ44" s="120">
        <v>0.18535547487526435</v>
      </c>
      <c r="BK44" s="120">
        <v>0.16734101285268557</v>
      </c>
      <c r="BL44" s="120">
        <v>0.1560183642511922</v>
      </c>
      <c r="BM44" s="120">
        <v>0.17037408091299111</v>
      </c>
      <c r="BN44" s="120">
        <v>0.18686543346370535</v>
      </c>
      <c r="BO44" s="120">
        <v>0.21826668841337885</v>
      </c>
      <c r="BP44" s="120">
        <v>0.2659704525118885</v>
      </c>
      <c r="BQ44" s="120">
        <v>0.33321753799287074</v>
      </c>
    </row>
    <row r="45" spans="1:69" ht="12.75" x14ac:dyDescent="0.2">
      <c r="A45" s="139">
        <v>1.333</v>
      </c>
      <c r="B45" s="139">
        <v>1.504</v>
      </c>
      <c r="C45" s="135">
        <v>1.512</v>
      </c>
      <c r="D45" s="135">
        <v>1.524</v>
      </c>
      <c r="E45" s="135">
        <v>1.635</v>
      </c>
      <c r="F45" s="135">
        <v>1.4990000000000001</v>
      </c>
      <c r="G45" s="135">
        <v>1.536</v>
      </c>
      <c r="H45" s="135">
        <v>1.6839999999999999</v>
      </c>
      <c r="I45" s="135">
        <v>1.704</v>
      </c>
      <c r="J45" s="135"/>
      <c r="M45" t="s">
        <v>102</v>
      </c>
      <c r="N45" s="154">
        <v>21.1</v>
      </c>
      <c r="O45" s="154">
        <v>18</v>
      </c>
      <c r="P45" s="154">
        <v>16.7</v>
      </c>
      <c r="Q45" s="154">
        <v>15.7</v>
      </c>
      <c r="R45" s="154">
        <v>15.5</v>
      </c>
      <c r="S45" s="154">
        <v>15.3</v>
      </c>
      <c r="T45" s="154">
        <v>15.3</v>
      </c>
      <c r="U45" s="154">
        <v>15.9</v>
      </c>
      <c r="V45" s="154">
        <v>16.899999999999999</v>
      </c>
      <c r="W45" s="154">
        <v>18.100000000000001</v>
      </c>
      <c r="X45" s="154">
        <v>20.5</v>
      </c>
      <c r="Y45" s="154">
        <v>24.3</v>
      </c>
      <c r="Z45" s="154">
        <v>30</v>
      </c>
      <c r="AQ45" s="120">
        <v>7.2100771535713853E-3</v>
      </c>
      <c r="AR45" s="120">
        <v>6.964594488606069E-3</v>
      </c>
      <c r="AS45" s="120">
        <v>6.9228910894351828E-3</v>
      </c>
      <c r="AT45" s="120">
        <v>6.7533997858569518E-3</v>
      </c>
      <c r="AU45" s="120">
        <v>6.7430112309530199E-3</v>
      </c>
      <c r="AV45" s="120">
        <v>6.6767139562256324E-3</v>
      </c>
      <c r="AW45" s="120">
        <v>6.4975492672432831E-3</v>
      </c>
      <c r="AX45" s="120">
        <v>6.4479514617089978E-3</v>
      </c>
      <c r="AY45" s="120">
        <v>6.528689389171111E-3</v>
      </c>
      <c r="AZ45" s="120">
        <v>6.9807604510049191E-3</v>
      </c>
      <c r="BA45" s="120">
        <v>8.2199612333747184E-3</v>
      </c>
      <c r="BB45" s="120">
        <v>1.0907425906224372E-2</v>
      </c>
      <c r="BC45" s="120">
        <v>1.7295092960268314E-2</v>
      </c>
      <c r="BE45" s="120">
        <v>0.23241376353901372</v>
      </c>
      <c r="BF45" s="120">
        <v>0.21436195444695294</v>
      </c>
      <c r="BG45" s="120">
        <v>0.20858357606821429</v>
      </c>
      <c r="BH45" s="120">
        <v>0.19925790190042142</v>
      </c>
      <c r="BI45" s="120">
        <v>0.19514902623168945</v>
      </c>
      <c r="BJ45" s="120">
        <v>0.18959203550783937</v>
      </c>
      <c r="BK45" s="120">
        <v>0.17792044316763231</v>
      </c>
      <c r="BL45" s="120">
        <v>0.16519603570278482</v>
      </c>
      <c r="BM45" s="120">
        <v>0.15732718380279748</v>
      </c>
      <c r="BN45" s="120">
        <v>0.15918785944571157</v>
      </c>
      <c r="BO45" s="120">
        <v>0.17007367298320131</v>
      </c>
      <c r="BP45" s="120">
        <v>0.19249094585403018</v>
      </c>
      <c r="BQ45" s="120">
        <v>0.23009656118587526</v>
      </c>
    </row>
    <row r="46" spans="1:69" ht="12.75" x14ac:dyDescent="0.2">
      <c r="A46" s="139">
        <v>1.3320000000000001</v>
      </c>
      <c r="B46" s="139">
        <v>1.5109999999999999</v>
      </c>
      <c r="C46" s="135">
        <v>1.5229999999999999</v>
      </c>
      <c r="D46" s="135">
        <v>1.5269999999999999</v>
      </c>
      <c r="E46" s="135">
        <v>1.65</v>
      </c>
      <c r="F46" s="135">
        <v>1.512</v>
      </c>
      <c r="G46" s="135">
        <v>1.5529999999999999</v>
      </c>
      <c r="H46" s="135">
        <v>1.702</v>
      </c>
      <c r="I46" s="135">
        <v>1.7150000000000001</v>
      </c>
      <c r="J46" s="135"/>
      <c r="K46" s="139"/>
      <c r="M46" t="s">
        <v>103</v>
      </c>
      <c r="N46" s="154">
        <v>22</v>
      </c>
      <c r="O46" s="154">
        <v>19.2</v>
      </c>
      <c r="P46" s="154">
        <v>18</v>
      </c>
      <c r="Q46" s="154">
        <v>17.100000000000001</v>
      </c>
      <c r="R46" s="154">
        <v>16.7</v>
      </c>
      <c r="S46" s="154">
        <v>16.5</v>
      </c>
      <c r="T46" s="154">
        <v>16.3</v>
      </c>
      <c r="U46" s="154">
        <v>16.399999999999999</v>
      </c>
      <c r="V46" s="154">
        <v>16.899999999999999</v>
      </c>
      <c r="W46" s="154">
        <v>17.5</v>
      </c>
      <c r="X46" s="154">
        <v>19.2</v>
      </c>
      <c r="Y46" s="154">
        <v>22.2</v>
      </c>
      <c r="Z46" s="154">
        <v>26.9</v>
      </c>
      <c r="AQ46" s="120">
        <v>8.0446508921924887E-3</v>
      </c>
      <c r="AR46" s="120">
        <v>7.8618611909456165E-3</v>
      </c>
      <c r="AS46" s="120">
        <v>7.7309680140309634E-3</v>
      </c>
      <c r="AT46" s="120">
        <v>7.7222843095525722E-3</v>
      </c>
      <c r="AU46" s="120">
        <v>7.4164951106370485E-3</v>
      </c>
      <c r="AV46" s="120">
        <v>7.4499338958738384E-3</v>
      </c>
      <c r="AW46" s="120">
        <v>7.3063198187502572E-3</v>
      </c>
      <c r="AX46" s="120">
        <v>7.15699270572266E-3</v>
      </c>
      <c r="AY46" s="120">
        <v>7.4065989633757259E-3</v>
      </c>
      <c r="AZ46" s="120">
        <v>7.6526061049157768E-3</v>
      </c>
      <c r="BA46" s="120">
        <v>8.9025223262682272E-3</v>
      </c>
      <c r="BB46" s="120">
        <v>1.1779827214225231E-2</v>
      </c>
      <c r="BC46" s="120">
        <v>1.8541801260185092E-2</v>
      </c>
      <c r="BE46" s="120">
        <v>0.25113400215957771</v>
      </c>
      <c r="BF46" s="120">
        <v>0.23443382585198191</v>
      </c>
      <c r="BG46" s="120">
        <v>0.22553629882376697</v>
      </c>
      <c r="BH46" s="120">
        <v>0.22072794355359912</v>
      </c>
      <c r="BI46" s="120">
        <v>0.20754774101670717</v>
      </c>
      <c r="BJ46" s="120">
        <v>0.20454112912702127</v>
      </c>
      <c r="BK46" s="120">
        <v>0.193318567010895</v>
      </c>
      <c r="BL46" s="120">
        <v>0.17703297788181488</v>
      </c>
      <c r="BM46" s="120">
        <v>0.17270621935021493</v>
      </c>
      <c r="BN46" s="120">
        <v>0.16905298891005341</v>
      </c>
      <c r="BO46" s="120">
        <v>0.17900748187650148</v>
      </c>
      <c r="BP46" s="120">
        <v>0.20328330139127238</v>
      </c>
      <c r="BQ46" s="120">
        <v>0.24347233970613563</v>
      </c>
    </row>
    <row r="47" spans="1:69" ht="12.75" x14ac:dyDescent="0.2">
      <c r="A47" s="139">
        <v>1.2889999999999999</v>
      </c>
      <c r="B47" s="139">
        <v>1.4710000000000001</v>
      </c>
      <c r="C47" s="135">
        <v>1.4810000000000001</v>
      </c>
      <c r="D47" s="135">
        <v>1.4810000000000001</v>
      </c>
      <c r="E47" s="135">
        <v>1.611</v>
      </c>
      <c r="F47" s="135">
        <v>1.4730000000000001</v>
      </c>
      <c r="G47" s="135">
        <v>1.514</v>
      </c>
      <c r="H47" s="135">
        <v>1.663</v>
      </c>
      <c r="I47" s="135">
        <v>1.6719999999999999</v>
      </c>
      <c r="J47" s="135"/>
      <c r="K47" s="139"/>
      <c r="M47" t="s">
        <v>104</v>
      </c>
      <c r="N47" s="154">
        <v>22.4</v>
      </c>
      <c r="O47" s="154">
        <v>19.8</v>
      </c>
      <c r="P47" s="154">
        <v>18.7</v>
      </c>
      <c r="Q47" s="154">
        <v>17.899999999999999</v>
      </c>
      <c r="R47" s="154">
        <v>17.5</v>
      </c>
      <c r="S47" s="154">
        <v>17.2</v>
      </c>
      <c r="T47" s="154">
        <v>17</v>
      </c>
      <c r="U47" s="154">
        <v>16.8</v>
      </c>
      <c r="V47" s="154">
        <v>16.899999999999999</v>
      </c>
      <c r="W47" s="154">
        <v>17.2</v>
      </c>
      <c r="X47" s="154">
        <v>18.100000000000001</v>
      </c>
      <c r="Y47" s="154">
        <v>20.2</v>
      </c>
      <c r="Z47" s="154">
        <v>24</v>
      </c>
      <c r="AQ47" s="120">
        <v>7.8323867668059904E-3</v>
      </c>
      <c r="AR47" s="120">
        <v>7.5859374908588762E-3</v>
      </c>
      <c r="AS47" s="120">
        <v>7.5319493339920376E-3</v>
      </c>
      <c r="AT47" s="120">
        <v>7.5440766561449537E-3</v>
      </c>
      <c r="AU47" s="120">
        <v>7.6197688958743719E-3</v>
      </c>
      <c r="AV47" s="120">
        <v>7.4274427680743431E-3</v>
      </c>
      <c r="AW47" s="120">
        <v>7.6089679569136624E-3</v>
      </c>
      <c r="AX47" s="120">
        <v>7.5164415708223152E-3</v>
      </c>
      <c r="AY47" s="120">
        <v>7.4455665124550409E-3</v>
      </c>
      <c r="AZ47" s="120">
        <v>7.7357479994669852E-3</v>
      </c>
      <c r="BA47" s="120">
        <v>8.1806050220512242E-3</v>
      </c>
      <c r="BB47" s="120">
        <v>9.9700133543941111E-3</v>
      </c>
      <c r="BC47" s="120">
        <v>1.4947815032502761E-2</v>
      </c>
      <c r="BE47" s="120">
        <v>0.23522327450347982</v>
      </c>
      <c r="BF47" s="120">
        <v>0.21763555229900156</v>
      </c>
      <c r="BG47" s="120">
        <v>0.21158296304756463</v>
      </c>
      <c r="BH47" s="120">
        <v>0.20767031073456876</v>
      </c>
      <c r="BI47" s="120">
        <v>0.20586995816658354</v>
      </c>
      <c r="BJ47" s="120">
        <v>0.19674423997698229</v>
      </c>
      <c r="BK47" s="120">
        <v>0.19458450031012661</v>
      </c>
      <c r="BL47" s="120">
        <v>0.17989940196627061</v>
      </c>
      <c r="BM47" s="120">
        <v>0.16781677573956538</v>
      </c>
      <c r="BN47" s="120">
        <v>0.16528163879944396</v>
      </c>
      <c r="BO47" s="120">
        <v>0.15879545519365612</v>
      </c>
      <c r="BP47" s="120">
        <v>0.16561081130489774</v>
      </c>
      <c r="BQ47" s="120">
        <v>0.18818026632062529</v>
      </c>
    </row>
    <row r="48" spans="1:69" ht="12.75" x14ac:dyDescent="0.2">
      <c r="K48" s="139"/>
      <c r="M48" t="s">
        <v>105</v>
      </c>
      <c r="N48" s="154">
        <v>22.6</v>
      </c>
      <c r="O48" s="154">
        <v>20.3</v>
      </c>
      <c r="P48" s="154">
        <v>19.3</v>
      </c>
      <c r="Q48" s="154">
        <v>18.5</v>
      </c>
      <c r="R48" s="154">
        <v>18.100000000000001</v>
      </c>
      <c r="S48" s="154">
        <v>17.8</v>
      </c>
      <c r="T48" s="154">
        <v>17.399999999999999</v>
      </c>
      <c r="U48" s="154">
        <v>17</v>
      </c>
      <c r="V48" s="154">
        <v>16.899999999999999</v>
      </c>
      <c r="W48" s="154">
        <v>16.899999999999999</v>
      </c>
      <c r="X48" s="154">
        <v>17.3</v>
      </c>
      <c r="Y48" s="154">
        <v>18.8</v>
      </c>
      <c r="Z48" s="154">
        <v>21.9</v>
      </c>
      <c r="AQ48" s="120">
        <v>8.0178657647926189E-3</v>
      </c>
      <c r="AR48" s="120">
        <v>8.1588532420571996E-3</v>
      </c>
      <c r="AS48" s="120">
        <v>8.1578562884399922E-3</v>
      </c>
      <c r="AT48" s="120">
        <v>7.9934458383583099E-3</v>
      </c>
      <c r="AU48" s="120">
        <v>7.9614444234155125E-3</v>
      </c>
      <c r="AV48" s="120">
        <v>8.036675778242422E-3</v>
      </c>
      <c r="AW48" s="120">
        <v>7.6243376119142833E-3</v>
      </c>
      <c r="AX48" s="120">
        <v>7.5571320652807611E-3</v>
      </c>
      <c r="AY48" s="120">
        <v>7.695713102918755E-3</v>
      </c>
      <c r="AZ48" s="120">
        <v>7.6718316100447296E-3</v>
      </c>
      <c r="BA48" s="120">
        <v>8.2049682211669667E-3</v>
      </c>
      <c r="BB48" s="120">
        <v>1.0060772105482122E-2</v>
      </c>
      <c r="BC48" s="120">
        <v>1.5027685981275454E-2</v>
      </c>
      <c r="BE48" s="120">
        <v>0.23492416416547099</v>
      </c>
      <c r="BF48" s="120">
        <v>0.22884899877946877</v>
      </c>
      <c r="BG48" s="120">
        <v>0.22405407631109012</v>
      </c>
      <c r="BH48" s="120">
        <v>0.21497640074675411</v>
      </c>
      <c r="BI48" s="120">
        <v>0.20988710057637591</v>
      </c>
      <c r="BJ48" s="120">
        <v>0.20802066182569676</v>
      </c>
      <c r="BK48" s="120">
        <v>0.19001349701091574</v>
      </c>
      <c r="BL48" s="120">
        <v>0.17633331637578897</v>
      </c>
      <c r="BM48" s="120">
        <v>0.16937964074871614</v>
      </c>
      <c r="BN48" s="120">
        <v>0.15997358672806619</v>
      </c>
      <c r="BO48" s="120">
        <v>0.15581022535970962</v>
      </c>
      <c r="BP48" s="120">
        <v>0.16416607183223295</v>
      </c>
      <c r="BQ48" s="120">
        <v>0.18710346180943463</v>
      </c>
    </row>
    <row r="49" spans="1:69" ht="12.75" x14ac:dyDescent="0.2">
      <c r="K49" s="139"/>
      <c r="M49" t="s">
        <v>106</v>
      </c>
      <c r="N49" s="154">
        <v>22.8</v>
      </c>
      <c r="O49" s="154">
        <v>20.6</v>
      </c>
      <c r="P49" s="154">
        <v>19.7</v>
      </c>
      <c r="Q49" s="154">
        <v>18.899999999999999</v>
      </c>
      <c r="R49" s="154">
        <v>18.5</v>
      </c>
      <c r="S49" s="154">
        <v>18.100000000000001</v>
      </c>
      <c r="T49" s="154">
        <v>17.7</v>
      </c>
      <c r="U49" s="154">
        <v>17.100000000000001</v>
      </c>
      <c r="V49" s="154">
        <v>16.8</v>
      </c>
      <c r="W49" s="154">
        <v>16.7</v>
      </c>
      <c r="X49" s="154">
        <v>16.8</v>
      </c>
      <c r="Y49" s="154">
        <v>17.899999999999999</v>
      </c>
      <c r="Z49" s="154">
        <v>20.6</v>
      </c>
      <c r="AQ49" s="120">
        <v>8.2839540135115353E-3</v>
      </c>
      <c r="AR49" s="120">
        <v>7.965428560818829E-3</v>
      </c>
      <c r="AS49" s="120">
        <v>8.015542487238651E-3</v>
      </c>
      <c r="AT49" s="120">
        <v>7.9007749197961726E-3</v>
      </c>
      <c r="AU49" s="120">
        <v>7.907443968399902E-3</v>
      </c>
      <c r="AV49" s="120">
        <v>7.59705994945159E-3</v>
      </c>
      <c r="AW49" s="120">
        <v>7.8438740334158021E-3</v>
      </c>
      <c r="AX49" s="120">
        <v>7.6134394729994604E-3</v>
      </c>
      <c r="AY49" s="120">
        <v>7.5001250138734708E-3</v>
      </c>
      <c r="AZ49" s="120">
        <v>7.8110119371292749E-3</v>
      </c>
      <c r="BA49" s="120">
        <v>8.2556166193280545E-3</v>
      </c>
      <c r="BB49" s="120">
        <v>9.8903134151590924E-3</v>
      </c>
      <c r="BC49" s="120">
        <v>1.4909830080622948E-2</v>
      </c>
      <c r="BE49" s="120">
        <v>0.23920633323217638</v>
      </c>
      <c r="BF49" s="120">
        <v>0.21958975126463268</v>
      </c>
      <c r="BG49" s="120">
        <v>0.21645095366334136</v>
      </c>
      <c r="BH49" s="120">
        <v>0.20900954346489173</v>
      </c>
      <c r="BI49" s="120">
        <v>0.20518788538163943</v>
      </c>
      <c r="BJ49" s="120">
        <v>0.19317457173954011</v>
      </c>
      <c r="BK49" s="120">
        <v>0.19271976832483192</v>
      </c>
      <c r="BL49" s="120">
        <v>0.17505620128094937</v>
      </c>
      <c r="BM49" s="120">
        <v>0.16251191940285162</v>
      </c>
      <c r="BN49" s="120">
        <v>0.16059045223302976</v>
      </c>
      <c r="BO49" s="120">
        <v>0.15451032148454916</v>
      </c>
      <c r="BP49" s="120">
        <v>0.15894657637202753</v>
      </c>
      <c r="BQ49" s="120">
        <v>0.18290107268855396</v>
      </c>
    </row>
    <row r="50" spans="1:69" ht="12.75" x14ac:dyDescent="0.2">
      <c r="K50" s="139"/>
      <c r="M50" t="s">
        <v>79</v>
      </c>
      <c r="N50" s="154">
        <v>23</v>
      </c>
      <c r="O50" s="154">
        <v>20.9</v>
      </c>
      <c r="P50" s="154">
        <v>20</v>
      </c>
      <c r="Q50" s="154">
        <v>19.3</v>
      </c>
      <c r="R50" s="154">
        <v>18.8</v>
      </c>
      <c r="S50" s="154">
        <v>18.5</v>
      </c>
      <c r="T50" s="154">
        <v>18</v>
      </c>
      <c r="U50" s="154">
        <v>17.3</v>
      </c>
      <c r="V50" s="154">
        <v>16.8</v>
      </c>
      <c r="W50" s="154">
        <v>16.5</v>
      </c>
      <c r="X50" s="154">
        <v>16.399999999999999</v>
      </c>
      <c r="Y50" s="154">
        <v>17.3</v>
      </c>
      <c r="Z50" s="154">
        <v>19.7</v>
      </c>
      <c r="AQ50" s="120">
        <v>8.4845352102688367E-3</v>
      </c>
      <c r="AR50" s="120">
        <v>8.3981568017736201E-3</v>
      </c>
      <c r="AS50" s="120">
        <v>8.1917977902030183E-3</v>
      </c>
      <c r="AT50" s="120">
        <v>8.3937494805588608E-3</v>
      </c>
      <c r="AU50" s="120">
        <v>8.0570560247188519E-3</v>
      </c>
      <c r="AV50" s="120">
        <v>8.4878835555763643E-3</v>
      </c>
      <c r="AW50" s="120">
        <v>8.188516144956309E-3</v>
      </c>
      <c r="AX50" s="120">
        <v>8.1825959920492249E-3</v>
      </c>
      <c r="AY50" s="120">
        <v>7.9220951972303749E-3</v>
      </c>
      <c r="AZ50" s="120">
        <v>7.6665699188291653E-3</v>
      </c>
      <c r="BA50" s="120">
        <v>8.0857408579105023E-3</v>
      </c>
      <c r="BB50" s="120">
        <v>9.8693957560303074E-3</v>
      </c>
      <c r="BC50" s="120">
        <v>1.4590629103505471E-2</v>
      </c>
      <c r="BE50" s="120">
        <v>0.24218280801231645</v>
      </c>
      <c r="BF50" s="120">
        <v>0.22921216983292814</v>
      </c>
      <c r="BG50" s="120">
        <v>0.21870019565708498</v>
      </c>
      <c r="BH50" s="120">
        <v>0.21983674803523665</v>
      </c>
      <c r="BI50" s="120">
        <v>0.20660590841523377</v>
      </c>
      <c r="BJ50" s="120">
        <v>0.21405902948564223</v>
      </c>
      <c r="BK50" s="120">
        <v>0.19891898774476863</v>
      </c>
      <c r="BL50" s="120">
        <v>0.18617222070680159</v>
      </c>
      <c r="BM50" s="120">
        <v>0.16980759210988722</v>
      </c>
      <c r="BN50" s="120">
        <v>0.1556298846748557</v>
      </c>
      <c r="BO50" s="120">
        <v>0.14950579005965142</v>
      </c>
      <c r="BP50" s="120">
        <v>0.15693757171419476</v>
      </c>
      <c r="BQ50" s="120">
        <v>0.17726736440058491</v>
      </c>
    </row>
    <row r="51" spans="1:69" ht="12.75" x14ac:dyDescent="0.2">
      <c r="K51" s="139"/>
      <c r="M51" t="s">
        <v>159</v>
      </c>
      <c r="N51" s="154">
        <v>22.7</v>
      </c>
      <c r="O51" s="154">
        <v>20.9</v>
      </c>
      <c r="P51" s="154">
        <v>20.100000000000001</v>
      </c>
      <c r="Q51" s="154">
        <v>19.399999999999999</v>
      </c>
      <c r="R51" s="154">
        <v>19</v>
      </c>
      <c r="S51" s="154">
        <v>18.600000000000001</v>
      </c>
      <c r="T51" s="154">
        <v>18.100000000000001</v>
      </c>
      <c r="U51" s="154">
        <v>17.2</v>
      </c>
      <c r="V51" s="154">
        <v>16.7</v>
      </c>
      <c r="W51" s="154">
        <v>16.3</v>
      </c>
      <c r="X51" s="154">
        <v>15.9</v>
      </c>
      <c r="Y51" s="154">
        <v>16.3</v>
      </c>
      <c r="Z51" s="154">
        <v>18</v>
      </c>
      <c r="AQ51" s="120">
        <v>7.2452803351245052E-3</v>
      </c>
      <c r="AR51" s="120">
        <v>7.3572757316813561E-3</v>
      </c>
      <c r="AS51" s="120">
        <v>7.4600141363491759E-3</v>
      </c>
      <c r="AT51" s="120">
        <v>7.1655815603013859E-3</v>
      </c>
      <c r="AU51" s="120">
        <v>7.5557988964169423E-3</v>
      </c>
      <c r="AV51" s="120">
        <v>7.069052250235533E-3</v>
      </c>
      <c r="AW51" s="120">
        <v>7.3475989811877503E-3</v>
      </c>
      <c r="AX51" s="120">
        <v>7.10652801971637E-3</v>
      </c>
      <c r="AY51" s="120">
        <v>7.6206003274476913E-3</v>
      </c>
      <c r="AZ51" s="120">
        <v>7.9580171823744189E-3</v>
      </c>
      <c r="BA51" s="120">
        <v>8.1572183370248671E-3</v>
      </c>
      <c r="BB51" s="120">
        <v>9.0933053363625328E-3</v>
      </c>
      <c r="BC51" s="120">
        <v>1.2459375027965708E-2</v>
      </c>
      <c r="BE51" s="120">
        <v>0.20271714656519474</v>
      </c>
      <c r="BF51" s="120">
        <v>0.19710811381496998</v>
      </c>
      <c r="BG51" s="120">
        <v>0.19590801395026089</v>
      </c>
      <c r="BH51" s="120">
        <v>0.18409815696426787</v>
      </c>
      <c r="BI51" s="120">
        <v>0.19088063893103094</v>
      </c>
      <c r="BJ51" s="120">
        <v>0.17473406957160911</v>
      </c>
      <c r="BK51" s="120">
        <v>0.17561075493009051</v>
      </c>
      <c r="BL51" s="120">
        <v>0.15896750812559793</v>
      </c>
      <c r="BM51" s="120">
        <v>0.16113035165229656</v>
      </c>
      <c r="BN51" s="120">
        <v>0.15974769623891819</v>
      </c>
      <c r="BO51" s="120">
        <v>0.14906255569259816</v>
      </c>
      <c r="BP51" s="120">
        <v>0.14266288434387686</v>
      </c>
      <c r="BQ51" s="120">
        <v>0.14919242775148464</v>
      </c>
    </row>
    <row r="52" spans="1:69" ht="12.75" x14ac:dyDescent="0.2">
      <c r="K52" s="139"/>
      <c r="M52" t="s">
        <v>107</v>
      </c>
      <c r="N52" s="154">
        <v>22</v>
      </c>
      <c r="O52" s="154">
        <v>20.5</v>
      </c>
      <c r="P52" s="154">
        <v>19.8</v>
      </c>
      <c r="Q52" s="154">
        <v>19.2</v>
      </c>
      <c r="R52" s="154">
        <v>18.8</v>
      </c>
      <c r="S52" s="154">
        <v>18.399999999999999</v>
      </c>
      <c r="T52" s="154">
        <v>17.899999999999999</v>
      </c>
      <c r="U52" s="154">
        <v>17</v>
      </c>
      <c r="V52" s="154">
        <v>16.399999999999999</v>
      </c>
      <c r="W52" s="154">
        <v>15.9</v>
      </c>
      <c r="X52" s="154">
        <v>15.4</v>
      </c>
      <c r="Y52" s="154">
        <v>15.4</v>
      </c>
      <c r="Z52" s="154">
        <v>16.3</v>
      </c>
      <c r="AQ52" s="120">
        <v>7.2115416861788864E-3</v>
      </c>
      <c r="AR52" s="120">
        <v>7.2011506902442618E-3</v>
      </c>
      <c r="AS52" s="120">
        <v>7.1015608167857534E-3</v>
      </c>
      <c r="AT52" s="120">
        <v>7.3310733231239864E-3</v>
      </c>
      <c r="AU52" s="120">
        <v>7.0309595551855189E-3</v>
      </c>
      <c r="AV52" s="120">
        <v>7.3295917996191061E-3</v>
      </c>
      <c r="AW52" s="120">
        <v>7.2286501686323595E-3</v>
      </c>
      <c r="AX52" s="120">
        <v>7.5654282602426017E-3</v>
      </c>
      <c r="AY52" s="120">
        <v>7.3197680170761347E-3</v>
      </c>
      <c r="AZ52" s="120">
        <v>7.2151698498097265E-3</v>
      </c>
      <c r="BA52" s="120">
        <v>7.8099369516934662E-3</v>
      </c>
      <c r="BB52" s="120">
        <v>8.9754124920817212E-3</v>
      </c>
      <c r="BC52" s="120">
        <v>1.1833739029822241E-2</v>
      </c>
      <c r="BE52" s="120">
        <v>0.20171635199743235</v>
      </c>
      <c r="BF52" s="120">
        <v>0.19267698049871176</v>
      </c>
      <c r="BG52" s="120">
        <v>0.18594608735071072</v>
      </c>
      <c r="BH52" s="120">
        <v>0.18841272660301778</v>
      </c>
      <c r="BI52" s="120">
        <v>0.17687639467535426</v>
      </c>
      <c r="BJ52" s="120">
        <v>0.18133468578633039</v>
      </c>
      <c r="BK52" s="120">
        <v>0.17240119157217282</v>
      </c>
      <c r="BL52" s="120">
        <v>0.16926403831947659</v>
      </c>
      <c r="BM52" s="120">
        <v>0.15423259341487366</v>
      </c>
      <c r="BN52" s="120">
        <v>0.14402807580763569</v>
      </c>
      <c r="BO52" s="120">
        <v>0.14214709436869488</v>
      </c>
      <c r="BP52" s="120">
        <v>0.14045712471141938</v>
      </c>
      <c r="BQ52" s="120">
        <v>0.14138723563173922</v>
      </c>
    </row>
    <row r="53" spans="1:69" ht="12.75" x14ac:dyDescent="0.2">
      <c r="K53" s="139"/>
      <c r="M53" t="s">
        <v>108</v>
      </c>
      <c r="N53" s="154">
        <v>21.2</v>
      </c>
      <c r="O53" s="154">
        <v>19.899999999999999</v>
      </c>
      <c r="P53" s="154">
        <v>19.399999999999999</v>
      </c>
      <c r="Q53" s="154">
        <v>18.899999999999999</v>
      </c>
      <c r="R53" s="154">
        <v>18.5</v>
      </c>
      <c r="S53" s="154">
        <v>18.2</v>
      </c>
      <c r="T53" s="154">
        <v>17.600000000000001</v>
      </c>
      <c r="U53" s="154">
        <v>16.7</v>
      </c>
      <c r="V53" s="154">
        <v>16</v>
      </c>
      <c r="W53" s="154">
        <v>15.5</v>
      </c>
      <c r="X53" s="154">
        <v>14.9</v>
      </c>
      <c r="Y53" s="154">
        <v>14.6</v>
      </c>
      <c r="Z53" s="154">
        <v>14.9</v>
      </c>
      <c r="AQ53" s="120">
        <v>6.6838860590708836E-3</v>
      </c>
      <c r="AR53" s="120">
        <v>6.6236548112234492E-3</v>
      </c>
      <c r="AS53" s="120">
        <v>6.8707036509213781E-3</v>
      </c>
      <c r="AT53" s="120">
        <v>6.7327503365663182E-3</v>
      </c>
      <c r="AU53" s="120">
        <v>6.9341035824380809E-3</v>
      </c>
      <c r="AV53" s="120">
        <v>6.8589966682666356E-3</v>
      </c>
      <c r="AW53" s="120">
        <v>6.8173678035635052E-3</v>
      </c>
      <c r="AX53" s="120">
        <v>6.6988924730204099E-3</v>
      </c>
      <c r="AY53" s="120">
        <v>6.9429378905569274E-3</v>
      </c>
      <c r="AZ53" s="120">
        <v>7.316639112673288E-3</v>
      </c>
      <c r="BA53" s="120">
        <v>7.4611245490297778E-3</v>
      </c>
      <c r="BB53" s="120">
        <v>8.1744873411690525E-3</v>
      </c>
      <c r="BC53" s="120">
        <v>1.0681150246278531E-2</v>
      </c>
      <c r="BE53" s="120">
        <v>0.1935921571660231</v>
      </c>
      <c r="BF53" s="120">
        <v>0.18327255448627852</v>
      </c>
      <c r="BG53" s="120">
        <v>0.18635930416983168</v>
      </c>
      <c r="BH53" s="120">
        <v>0.17882412894027119</v>
      </c>
      <c r="BI53" s="120">
        <v>0.18068016682383059</v>
      </c>
      <c r="BJ53" s="120">
        <v>0.17531090407165306</v>
      </c>
      <c r="BK53" s="120">
        <v>0.16798231693487922</v>
      </c>
      <c r="BL53" s="120">
        <v>0.15444775774000319</v>
      </c>
      <c r="BM53" s="120">
        <v>0.15087928974752343</v>
      </c>
      <c r="BN53" s="120">
        <v>0.15078078524871499</v>
      </c>
      <c r="BO53" s="120">
        <v>0.13985681200340647</v>
      </c>
      <c r="BP53" s="120">
        <v>0.13138867102055574</v>
      </c>
      <c r="BQ53" s="120">
        <v>0.13070032666813761</v>
      </c>
    </row>
    <row r="54" spans="1:69" ht="12.75" x14ac:dyDescent="0.2">
      <c r="K54" s="139"/>
      <c r="M54" t="s">
        <v>109</v>
      </c>
      <c r="N54" s="154">
        <v>20.7</v>
      </c>
      <c r="O54" s="154">
        <v>19.600000000000001</v>
      </c>
      <c r="P54" s="154">
        <v>19.100000000000001</v>
      </c>
      <c r="Q54" s="154">
        <v>18.600000000000001</v>
      </c>
      <c r="R54" s="154">
        <v>18.3</v>
      </c>
      <c r="S54" s="154">
        <v>18</v>
      </c>
      <c r="T54" s="154">
        <v>17.399999999999999</v>
      </c>
      <c r="U54" s="154">
        <v>16.5</v>
      </c>
      <c r="V54" s="154">
        <v>15.9</v>
      </c>
      <c r="W54" s="154">
        <v>15.3</v>
      </c>
      <c r="X54" s="154">
        <v>14.7</v>
      </c>
      <c r="Y54" s="154">
        <v>14.1</v>
      </c>
      <c r="Z54" s="154">
        <v>14</v>
      </c>
      <c r="AQ54" s="120">
        <v>6.398728991558706E-3</v>
      </c>
      <c r="AR54" s="120">
        <v>6.5955938884875807E-3</v>
      </c>
      <c r="AS54" s="120">
        <v>6.332385123921128E-3</v>
      </c>
      <c r="AT54" s="120">
        <v>6.35781300714593E-3</v>
      </c>
      <c r="AU54" s="120">
        <v>6.4014431686287695E-3</v>
      </c>
      <c r="AV54" s="120">
        <v>6.4837392419738295E-3</v>
      </c>
      <c r="AW54" s="120">
        <v>6.5334009383893887E-3</v>
      </c>
      <c r="AX54" s="120">
        <v>6.7684880776652211E-3</v>
      </c>
      <c r="AY54" s="120">
        <v>7.0597863407605328E-3</v>
      </c>
      <c r="AZ54" s="120">
        <v>6.7219785909464055E-3</v>
      </c>
      <c r="BA54" s="120">
        <v>7.330769543290162E-3</v>
      </c>
      <c r="BB54" s="120">
        <v>7.652530986194484E-3</v>
      </c>
      <c r="BC54" s="120">
        <v>9.2602499511055154E-3</v>
      </c>
      <c r="BE54" s="120">
        <v>0.19470394219972242</v>
      </c>
      <c r="BF54" s="120">
        <v>0.19180920277843277</v>
      </c>
      <c r="BG54" s="120">
        <v>0.18002648731630208</v>
      </c>
      <c r="BH54" s="120">
        <v>0.17683490922198519</v>
      </c>
      <c r="BI54" s="120">
        <v>0.17475669736366359</v>
      </c>
      <c r="BJ54" s="120">
        <v>0.17355016742826196</v>
      </c>
      <c r="BK54" s="120">
        <v>0.16847145268195646</v>
      </c>
      <c r="BL54" s="120">
        <v>0.16306078410225605</v>
      </c>
      <c r="BM54" s="120">
        <v>0.16040004353264795</v>
      </c>
      <c r="BN54" s="120">
        <v>0.14445652004610765</v>
      </c>
      <c r="BO54" s="120">
        <v>0.14309896837107974</v>
      </c>
      <c r="BP54" s="120">
        <v>0.12757340856772212</v>
      </c>
      <c r="BQ54" s="120">
        <v>0.11707384975032714</v>
      </c>
    </row>
    <row r="55" spans="1:69" ht="12.75" x14ac:dyDescent="0.2">
      <c r="K55" s="139"/>
      <c r="M55" t="s">
        <v>110</v>
      </c>
      <c r="N55" s="154">
        <v>20.2</v>
      </c>
      <c r="O55" s="154">
        <v>19.2</v>
      </c>
      <c r="P55" s="154">
        <v>18.8</v>
      </c>
      <c r="Q55" s="154">
        <v>18.399999999999999</v>
      </c>
      <c r="R55" s="154">
        <v>18</v>
      </c>
      <c r="S55" s="154">
        <v>17.7</v>
      </c>
      <c r="T55" s="154">
        <v>17.2</v>
      </c>
      <c r="U55" s="154">
        <v>16.3</v>
      </c>
      <c r="V55" s="154">
        <v>15.7</v>
      </c>
      <c r="W55" s="154">
        <v>15.1</v>
      </c>
      <c r="X55" s="154">
        <v>14.4</v>
      </c>
      <c r="Y55" s="154">
        <v>13.7</v>
      </c>
      <c r="Z55" s="154">
        <v>13.3</v>
      </c>
      <c r="AQ55" s="120">
        <v>5.8846631756519765E-3</v>
      </c>
      <c r="AR55" s="120">
        <v>5.7981424905053725E-3</v>
      </c>
      <c r="AS55" s="120">
        <v>6.2021608513608663E-3</v>
      </c>
      <c r="AT55" s="120">
        <v>6.3754526939829338E-3</v>
      </c>
      <c r="AU55" s="120">
        <v>6.0767154919301484E-3</v>
      </c>
      <c r="AV55" s="120">
        <v>6.0196572435020114E-3</v>
      </c>
      <c r="AW55" s="120">
        <v>6.2904854391813677E-3</v>
      </c>
      <c r="AX55" s="120">
        <v>6.2222576257164259E-3</v>
      </c>
      <c r="AY55" s="120">
        <v>6.22938059984505E-3</v>
      </c>
      <c r="AZ55" s="120">
        <v>6.6781087796194691E-3</v>
      </c>
      <c r="BA55" s="120">
        <v>6.4556471946779787E-3</v>
      </c>
      <c r="BB55" s="120">
        <v>7.3267682986571372E-3</v>
      </c>
      <c r="BC55" s="120">
        <v>9.1126547249455441E-3</v>
      </c>
      <c r="BE55" s="120">
        <v>0.17718327644316731</v>
      </c>
      <c r="BF55" s="120">
        <v>0.16655101700019531</v>
      </c>
      <c r="BG55" s="120">
        <v>0.17493065033509114</v>
      </c>
      <c r="BH55" s="120">
        <v>0.17658731828223947</v>
      </c>
      <c r="BI55" s="120">
        <v>0.16413022464420685</v>
      </c>
      <c r="BJ55" s="120">
        <v>0.15943029068837156</v>
      </c>
      <c r="BK55" s="120">
        <v>0.16102707302642888</v>
      </c>
      <c r="BL55" s="120">
        <v>0.14884473411869656</v>
      </c>
      <c r="BM55" s="120">
        <v>0.14008347158362733</v>
      </c>
      <c r="BN55" s="120">
        <v>0.14232389657899783</v>
      </c>
      <c r="BO55" s="120">
        <v>0.12466886743453486</v>
      </c>
      <c r="BP55" s="120">
        <v>0.12122359028356161</v>
      </c>
      <c r="BQ55" s="120">
        <v>0.11426041743284518</v>
      </c>
    </row>
    <row r="58" spans="1:69" x14ac:dyDescent="0.2">
      <c r="K58" s="105" t="s">
        <v>311</v>
      </c>
      <c r="N58">
        <v>-0.5</v>
      </c>
      <c r="O58">
        <v>-0.25</v>
      </c>
      <c r="P58">
        <v>-0.13</v>
      </c>
      <c r="Q58">
        <v>0</v>
      </c>
      <c r="R58">
        <v>0.125</v>
      </c>
      <c r="S58">
        <v>0.25</v>
      </c>
      <c r="T58">
        <v>0.5</v>
      </c>
      <c r="U58">
        <v>1</v>
      </c>
      <c r="V58">
        <v>1.5</v>
      </c>
      <c r="W58">
        <v>2</v>
      </c>
      <c r="X58">
        <v>3</v>
      </c>
      <c r="Y58">
        <v>5</v>
      </c>
      <c r="Z58">
        <v>10</v>
      </c>
    </row>
    <row r="59" spans="1:69" x14ac:dyDescent="0.2">
      <c r="M59" t="s">
        <v>25</v>
      </c>
      <c r="N59">
        <v>11.9</v>
      </c>
      <c r="O59" s="106">
        <v>7.9</v>
      </c>
      <c r="P59">
        <v>6.8</v>
      </c>
      <c r="Q59">
        <v>7.7</v>
      </c>
      <c r="R59">
        <v>9.8000000000000007</v>
      </c>
      <c r="S59">
        <v>11.6</v>
      </c>
      <c r="T59">
        <v>15.2</v>
      </c>
      <c r="U59">
        <v>21.1</v>
      </c>
      <c r="V59">
        <v>25.9</v>
      </c>
      <c r="W59">
        <v>30</v>
      </c>
      <c r="X59">
        <v>36.6</v>
      </c>
      <c r="Y59">
        <v>46.2</v>
      </c>
      <c r="Z59">
        <v>61</v>
      </c>
      <c r="AQ59" s="120">
        <v>3.2748812120564842E-3</v>
      </c>
      <c r="AR59" s="120">
        <v>2.2789704243389112E-3</v>
      </c>
      <c r="AS59" s="120">
        <v>2.0049897081540484E-3</v>
      </c>
      <c r="AT59" s="120">
        <v>2.3158567977329771E-3</v>
      </c>
      <c r="AU59" s="120">
        <v>3.0115938629367801E-3</v>
      </c>
      <c r="AV59" s="120">
        <v>3.6360391829676577E-3</v>
      </c>
      <c r="AW59" s="120">
        <v>4.9475110139170957E-3</v>
      </c>
      <c r="AX59" s="120">
        <v>7.3558808643892828E-3</v>
      </c>
      <c r="AY59" s="120">
        <v>9.6036602475572559E-3</v>
      </c>
      <c r="AZ59" s="120">
        <v>1.176503379843207E-2</v>
      </c>
      <c r="BA59" s="120">
        <v>1.5845240890682288E-2</v>
      </c>
      <c r="BB59" s="120">
        <v>2.3499461105401135E-2</v>
      </c>
      <c r="BC59" s="120">
        <v>4.1317351315276189E-2</v>
      </c>
      <c r="BE59" s="120">
        <v>0.11886384722067043</v>
      </c>
      <c r="BF59" s="120">
        <v>7.8971116361523389E-2</v>
      </c>
      <c r="BG59" s="120">
        <v>6.8017973468518719E-2</v>
      </c>
      <c r="BH59" s="120">
        <v>7.6930580446698246E-2</v>
      </c>
      <c r="BI59" s="120">
        <v>9.8000281549221538E-2</v>
      </c>
      <c r="BJ59" s="120">
        <v>0.1160055159343112</v>
      </c>
      <c r="BK59" s="120">
        <v>0.15198802754951005</v>
      </c>
      <c r="BL59" s="120">
        <v>0.21099217239115259</v>
      </c>
      <c r="BM59" s="120">
        <v>0.25899489159861461</v>
      </c>
      <c r="BN59" s="120">
        <v>0.29994271433248365</v>
      </c>
      <c r="BO59" s="120">
        <v>0.36600899145365545</v>
      </c>
      <c r="BP59" s="120">
        <v>0.46213276466309028</v>
      </c>
      <c r="BQ59" s="120">
        <v>0.61051574659701657</v>
      </c>
    </row>
    <row r="60" spans="1:69" x14ac:dyDescent="0.2">
      <c r="M60" t="s">
        <v>157</v>
      </c>
      <c r="N60">
        <v>11.9</v>
      </c>
      <c r="O60" s="106">
        <v>7.3</v>
      </c>
      <c r="P60" s="106">
        <v>11.2</v>
      </c>
      <c r="Q60">
        <v>8.8000000000000007</v>
      </c>
      <c r="R60">
        <v>10.1</v>
      </c>
      <c r="S60">
        <v>11</v>
      </c>
      <c r="T60">
        <v>13.2</v>
      </c>
      <c r="U60">
        <v>16.899999999999999</v>
      </c>
      <c r="V60">
        <v>19.899999999999999</v>
      </c>
      <c r="W60">
        <v>22.5</v>
      </c>
      <c r="X60">
        <v>26.6</v>
      </c>
      <c r="Y60">
        <v>32.6</v>
      </c>
      <c r="Z60">
        <v>41.5</v>
      </c>
      <c r="AQ60" s="120">
        <v>3.3239041789975819E-3</v>
      </c>
      <c r="AR60" s="120">
        <v>1.9827722273841131E-3</v>
      </c>
      <c r="AS60" s="120">
        <v>4.7247243070535931E-3</v>
      </c>
      <c r="AT60" s="120">
        <v>3.0985166402777401E-3</v>
      </c>
      <c r="AU60" s="120">
        <v>3.2527623874406284E-3</v>
      </c>
      <c r="AV60" s="120">
        <v>3.314662949440138E-3</v>
      </c>
      <c r="AW60" s="120">
        <v>3.8331804541105819E-3</v>
      </c>
      <c r="AX60" s="120">
        <v>4.9793440803479784E-3</v>
      </c>
      <c r="AY60" s="120">
        <v>6.0642629080191798E-3</v>
      </c>
      <c r="AZ60" s="120">
        <v>7.1233706658507786E-3</v>
      </c>
      <c r="BA60" s="120">
        <v>9.0235253163260063E-3</v>
      </c>
      <c r="BB60" s="120">
        <v>1.2473314675213227E-2</v>
      </c>
      <c r="BC60" s="120">
        <v>1.8920165181130578E-2</v>
      </c>
      <c r="BE60" s="120">
        <v>0.11908641702739918</v>
      </c>
      <c r="BF60" s="120">
        <v>6.7744736520219437E-2</v>
      </c>
      <c r="BG60" s="120">
        <v>0.15837541581867459</v>
      </c>
      <c r="BH60" s="120">
        <v>0.10148545906025937</v>
      </c>
      <c r="BI60" s="120">
        <v>0.10434114592338717</v>
      </c>
      <c r="BJ60" s="120">
        <v>0.10419130749388195</v>
      </c>
      <c r="BK60" s="120">
        <v>0.11602607663601161</v>
      </c>
      <c r="BL60" s="120">
        <v>0.14068472882433314</v>
      </c>
      <c r="BM60" s="120">
        <v>0.16108137027699576</v>
      </c>
      <c r="BN60" s="120">
        <v>0.17896646612452546</v>
      </c>
      <c r="BO60" s="120">
        <v>0.20511858601623875</v>
      </c>
      <c r="BP60" s="120">
        <v>0.24107532994468542</v>
      </c>
      <c r="BQ60" s="120">
        <v>0.27407696180272423</v>
      </c>
    </row>
    <row r="61" spans="1:69" x14ac:dyDescent="0.2">
      <c r="M61" t="s">
        <v>99</v>
      </c>
      <c r="N61">
        <v>15.2</v>
      </c>
      <c r="O61">
        <v>12.3</v>
      </c>
      <c r="P61">
        <v>11.1</v>
      </c>
      <c r="Q61">
        <v>10.3</v>
      </c>
      <c r="R61">
        <v>10.7</v>
      </c>
      <c r="S61">
        <v>11.1</v>
      </c>
      <c r="T61">
        <v>12.6</v>
      </c>
      <c r="U61">
        <v>15.6</v>
      </c>
      <c r="V61">
        <v>18.3</v>
      </c>
      <c r="W61">
        <v>20.7</v>
      </c>
      <c r="X61">
        <v>24.4</v>
      </c>
      <c r="Y61">
        <v>29.6</v>
      </c>
      <c r="Z61">
        <v>37</v>
      </c>
      <c r="AQ61" s="120">
        <v>4.2912182425273978E-3</v>
      </c>
      <c r="AR61" s="120">
        <v>3.6300991594990276E-3</v>
      </c>
      <c r="AS61" s="120">
        <v>3.3459713204708561E-3</v>
      </c>
      <c r="AT61" s="120">
        <v>3.1413493296569461E-3</v>
      </c>
      <c r="AU61" s="120">
        <v>3.3652155971957984E-3</v>
      </c>
      <c r="AV61" s="120">
        <v>3.5654134814928243E-3</v>
      </c>
      <c r="AW61" s="120">
        <v>4.2114594500381134E-3</v>
      </c>
      <c r="AX61" s="120">
        <v>5.5957812772235525E-3</v>
      </c>
      <c r="AY61" s="120">
        <v>6.9848413976100424E-3</v>
      </c>
      <c r="AZ61" s="120">
        <v>8.3554737930726184E-3</v>
      </c>
      <c r="BA61" s="120">
        <v>1.0868555999196393E-2</v>
      </c>
      <c r="BB61" s="120">
        <v>1.5474329470881643E-2</v>
      </c>
      <c r="BC61" s="120">
        <v>2.5699760803904896E-2</v>
      </c>
      <c r="BE61" s="120">
        <v>0.1519937509315181</v>
      </c>
      <c r="BF61" s="120">
        <v>0.12299998535848722</v>
      </c>
      <c r="BG61" s="120">
        <v>0.11100009935458936</v>
      </c>
      <c r="BH61" s="120">
        <v>0.1020632500815138</v>
      </c>
      <c r="BI61" s="120">
        <v>0.10700080076600808</v>
      </c>
      <c r="BJ61" s="120">
        <v>0.11100000563084822</v>
      </c>
      <c r="BK61" s="120">
        <v>0.12600255917164557</v>
      </c>
      <c r="BL61" s="120">
        <v>0.15600007737917762</v>
      </c>
      <c r="BM61" s="120">
        <v>0.1829987203914695</v>
      </c>
      <c r="BN61" s="120">
        <v>0.20699981983287194</v>
      </c>
      <c r="BO61" s="120">
        <v>0.24399160309761234</v>
      </c>
      <c r="BP61" s="120">
        <v>0.2959997377635048</v>
      </c>
      <c r="BQ61" s="120">
        <v>0.36996305659997553</v>
      </c>
    </row>
    <row r="62" spans="1:69" x14ac:dyDescent="0.2">
      <c r="A62">
        <v>-0.29749999999999999</v>
      </c>
      <c r="B62">
        <v>-0.23</v>
      </c>
      <c r="C62">
        <v>-0.22</v>
      </c>
      <c r="D62">
        <v>-0.19</v>
      </c>
      <c r="E62">
        <v>-0.20250000000000001</v>
      </c>
      <c r="F62">
        <v>-0.1525</v>
      </c>
      <c r="G62">
        <v>-0.18</v>
      </c>
      <c r="H62">
        <v>-0.18</v>
      </c>
      <c r="I62">
        <v>-0.15</v>
      </c>
      <c r="M62" t="s">
        <v>101</v>
      </c>
      <c r="N62">
        <v>17.3</v>
      </c>
      <c r="O62">
        <v>14.7</v>
      </c>
      <c r="P62">
        <v>13.5</v>
      </c>
      <c r="Q62">
        <v>12.7</v>
      </c>
      <c r="R62">
        <v>12.9</v>
      </c>
      <c r="S62">
        <v>13.1</v>
      </c>
      <c r="T62">
        <v>14</v>
      </c>
      <c r="U62">
        <v>15.7</v>
      </c>
      <c r="V62">
        <v>17.399999999999999</v>
      </c>
      <c r="W62">
        <v>19</v>
      </c>
      <c r="X62">
        <v>21.6</v>
      </c>
      <c r="Y62">
        <v>25.5</v>
      </c>
      <c r="Z62">
        <v>31.1</v>
      </c>
      <c r="AQ62" s="120">
        <v>6.4592134711924532E-3</v>
      </c>
      <c r="AR62" s="120">
        <v>6.384828086175443E-3</v>
      </c>
      <c r="AS62" s="120">
        <v>6.2770999089749487E-3</v>
      </c>
      <c r="AT62" s="120">
        <v>6.2285523067969039E-3</v>
      </c>
      <c r="AU62" s="120">
        <v>6.1844697960836787E-3</v>
      </c>
      <c r="AV62" s="120">
        <v>6.0715208564122358E-3</v>
      </c>
      <c r="AW62" s="120">
        <v>5.9182713770193855E-3</v>
      </c>
      <c r="AX62" s="120">
        <v>6.0274877621280427E-3</v>
      </c>
      <c r="AY62" s="120">
        <v>6.6092056942913978E-3</v>
      </c>
      <c r="AZ62" s="120">
        <v>7.3378368264072538E-3</v>
      </c>
      <c r="BA62" s="120">
        <v>8.8794973731876944E-3</v>
      </c>
      <c r="BB62" s="120">
        <v>1.2004657809421507E-2</v>
      </c>
      <c r="BC62" s="120">
        <v>1.890489429390927E-2</v>
      </c>
      <c r="BE62" s="120">
        <v>0.21514926126703268</v>
      </c>
      <c r="BF62" s="120">
        <v>0.20325591097902038</v>
      </c>
      <c r="BG62" s="120">
        <v>0.19556085986456145</v>
      </c>
      <c r="BH62" s="120">
        <v>0.19006727277728674</v>
      </c>
      <c r="BI62" s="120">
        <v>0.18482509444731748</v>
      </c>
      <c r="BJ62" s="120">
        <v>0.17782926407067348</v>
      </c>
      <c r="BK62" s="120">
        <v>0.16675375364729889</v>
      </c>
      <c r="BL62" s="120">
        <v>0.15839878237378163</v>
      </c>
      <c r="BM62" s="120">
        <v>0.16333773659244985</v>
      </c>
      <c r="BN62" s="120">
        <v>0.17152532584203495</v>
      </c>
      <c r="BO62" s="120">
        <v>0.18819097619944342</v>
      </c>
      <c r="BP62" s="120">
        <v>0.21686736155581846</v>
      </c>
      <c r="BQ62" s="120">
        <v>0.25685226341462147</v>
      </c>
    </row>
    <row r="63" spans="1:69" x14ac:dyDescent="0.2">
      <c r="A63">
        <v>-0.3</v>
      </c>
      <c r="B63">
        <v>-0.215</v>
      </c>
      <c r="C63">
        <v>-0.19500000000000001</v>
      </c>
      <c r="D63">
        <v>-0.18</v>
      </c>
      <c r="E63">
        <v>-0.2</v>
      </c>
      <c r="F63">
        <v>-0.20499999999999999</v>
      </c>
      <c r="G63">
        <v>-0.18</v>
      </c>
      <c r="H63">
        <v>-0.18</v>
      </c>
      <c r="I63">
        <v>-0.14000000000000001</v>
      </c>
      <c r="M63" t="s">
        <v>102</v>
      </c>
      <c r="N63">
        <v>18.899999999999999</v>
      </c>
      <c r="O63">
        <v>16.5</v>
      </c>
      <c r="P63">
        <v>15.5</v>
      </c>
      <c r="Q63">
        <v>14.7</v>
      </c>
      <c r="R63">
        <v>14.7</v>
      </c>
      <c r="S63">
        <v>14.7</v>
      </c>
      <c r="T63">
        <v>15.3</v>
      </c>
      <c r="U63">
        <v>16.2</v>
      </c>
      <c r="V63">
        <v>17.100000000000001</v>
      </c>
      <c r="W63">
        <v>18</v>
      </c>
      <c r="X63">
        <v>19.7</v>
      </c>
      <c r="Y63">
        <v>22.5</v>
      </c>
      <c r="Z63">
        <v>26.7</v>
      </c>
      <c r="AQ63" s="120">
        <v>6.9942789876623951E-3</v>
      </c>
      <c r="AR63" s="120">
        <v>6.7942413376254011E-3</v>
      </c>
      <c r="AS63" s="120">
        <v>6.8661795644692743E-3</v>
      </c>
      <c r="AT63" s="120">
        <v>6.7653617437992957E-3</v>
      </c>
      <c r="AU63" s="120">
        <v>6.7016460366749828E-3</v>
      </c>
      <c r="AV63" s="120">
        <v>6.5937714719798684E-3</v>
      </c>
      <c r="AW63" s="120">
        <v>6.7059087233576915E-3</v>
      </c>
      <c r="AX63" s="120">
        <v>6.7765827377803825E-3</v>
      </c>
      <c r="AY63" s="120">
        <v>7.0419068749713043E-3</v>
      </c>
      <c r="AZ63" s="120">
        <v>7.4779302532645342E-3</v>
      </c>
      <c r="BA63" s="120">
        <v>8.6968380796313416E-3</v>
      </c>
      <c r="BB63" s="120">
        <v>1.1312383689903354E-2</v>
      </c>
      <c r="BC63" s="120">
        <v>1.7300010529136614E-2</v>
      </c>
      <c r="BE63" s="120">
        <v>0.22414193283295544</v>
      </c>
      <c r="BF63" s="120">
        <v>0.20786660790128697</v>
      </c>
      <c r="BG63" s="120">
        <v>0.20570562065817458</v>
      </c>
      <c r="BH63" s="120">
        <v>0.19847385635512829</v>
      </c>
      <c r="BI63" s="120">
        <v>0.19274196420411166</v>
      </c>
      <c r="BJ63" s="120">
        <v>0.18601897822015967</v>
      </c>
      <c r="BK63" s="120">
        <v>0.18255832636317706</v>
      </c>
      <c r="BL63" s="120">
        <v>0.17262928608883935</v>
      </c>
      <c r="BM63" s="120">
        <v>0.1689686241604007</v>
      </c>
      <c r="BN63" s="120">
        <v>0.16996491549146334</v>
      </c>
      <c r="BO63" s="120">
        <v>0.17968759636639481</v>
      </c>
      <c r="BP63" s="120">
        <v>0.20007784821105071</v>
      </c>
      <c r="BQ63" s="120">
        <v>0.23184579280399409</v>
      </c>
    </row>
    <row r="64" spans="1:69" ht="12.75" x14ac:dyDescent="0.2">
      <c r="A64">
        <v>-0.23899999999999999</v>
      </c>
      <c r="B64">
        <v>-0.13600000000000001</v>
      </c>
      <c r="C64">
        <v>-0.14199999999999999</v>
      </c>
      <c r="D64">
        <v>-0.14299999999999999</v>
      </c>
      <c r="E64">
        <v>-0.121</v>
      </c>
      <c r="F64">
        <v>-0.12</v>
      </c>
      <c r="G64">
        <v>-0.105</v>
      </c>
      <c r="H64">
        <v>-0.122</v>
      </c>
      <c r="I64">
        <v>-0.12</v>
      </c>
      <c r="K64" s="139"/>
      <c r="M64" t="s">
        <v>103</v>
      </c>
      <c r="N64">
        <v>19.899999999999999</v>
      </c>
      <c r="O64">
        <v>17.7</v>
      </c>
      <c r="P64">
        <v>16.8</v>
      </c>
      <c r="Q64">
        <v>16</v>
      </c>
      <c r="R64">
        <v>15.9</v>
      </c>
      <c r="S64">
        <v>15.9</v>
      </c>
      <c r="T64">
        <v>16.100000000000001</v>
      </c>
      <c r="U64">
        <v>16.7</v>
      </c>
      <c r="V64">
        <v>17.2</v>
      </c>
      <c r="W64">
        <v>17.899999999999999</v>
      </c>
      <c r="X64">
        <v>19.2</v>
      </c>
      <c r="Y64">
        <v>21.6</v>
      </c>
      <c r="Z64">
        <v>25.5</v>
      </c>
      <c r="AQ64" s="120">
        <v>7.3864223855577196E-3</v>
      </c>
      <c r="AR64" s="120">
        <v>7.3049319549077863E-3</v>
      </c>
      <c r="AS64" s="120">
        <v>7.2712683717723603E-3</v>
      </c>
      <c r="AT64" s="120">
        <v>7.1664390558501779E-3</v>
      </c>
      <c r="AU64" s="120">
        <v>7.1583998468316814E-3</v>
      </c>
      <c r="AV64" s="120">
        <v>7.3074178284720228E-3</v>
      </c>
      <c r="AW64" s="120">
        <v>6.9878232467370672E-3</v>
      </c>
      <c r="AX64" s="120">
        <v>7.3035103314376413E-3</v>
      </c>
      <c r="AY64" s="120">
        <v>7.5712897812663989E-3</v>
      </c>
      <c r="AZ64" s="120">
        <v>8.2016578718447346E-3</v>
      </c>
      <c r="BA64" s="120">
        <v>9.4340183496177277E-3</v>
      </c>
      <c r="BB64" s="120">
        <v>1.229315420466884E-2</v>
      </c>
      <c r="BC64" s="120">
        <v>1.9310536724266556E-2</v>
      </c>
      <c r="BE64" s="120">
        <v>0.22815866654845463</v>
      </c>
      <c r="BF64" s="120">
        <v>0.2157456427598102</v>
      </c>
      <c r="BG64" s="120">
        <v>0.21016772530901714</v>
      </c>
      <c r="BH64" s="120">
        <v>0.20289863772751326</v>
      </c>
      <c r="BI64" s="120">
        <v>0.19871918033082819</v>
      </c>
      <c r="BJ64" s="120">
        <v>0.19914937881738634</v>
      </c>
      <c r="BK64" s="120">
        <v>0.18335133636832654</v>
      </c>
      <c r="BL64" s="120">
        <v>0.17944151575798559</v>
      </c>
      <c r="BM64" s="120">
        <v>0.175301247521854</v>
      </c>
      <c r="BN64" s="120">
        <v>0.18006455870688562</v>
      </c>
      <c r="BO64" s="120">
        <v>0.18846046329282878</v>
      </c>
      <c r="BP64" s="120">
        <v>0.2106316560825201</v>
      </c>
      <c r="BQ64" s="120">
        <v>0.25180972309577726</v>
      </c>
    </row>
    <row r="65" spans="1:69" ht="12.75" x14ac:dyDescent="0.2">
      <c r="A65">
        <v>-0.23899999999999999</v>
      </c>
      <c r="B65">
        <v>-0.20599999999999999</v>
      </c>
      <c r="C65" s="139">
        <v>-0.14199999999999999</v>
      </c>
      <c r="D65" s="139">
        <v>-0.14299999999999999</v>
      </c>
      <c r="E65" s="139">
        <v>-0.122</v>
      </c>
      <c r="F65" s="139">
        <v>-0.121</v>
      </c>
      <c r="G65" s="139">
        <v>-0.113</v>
      </c>
      <c r="H65" s="139">
        <v>-0.115</v>
      </c>
      <c r="I65" s="139">
        <v>-0.121</v>
      </c>
      <c r="J65" s="139"/>
      <c r="K65" s="139"/>
      <c r="M65" t="s">
        <v>104</v>
      </c>
      <c r="N65" s="106">
        <v>20.5</v>
      </c>
      <c r="O65">
        <v>18.399999999999999</v>
      </c>
      <c r="P65" s="106">
        <v>17.600000000000001</v>
      </c>
      <c r="Q65">
        <v>16.8</v>
      </c>
      <c r="R65">
        <v>16.7</v>
      </c>
      <c r="S65">
        <v>16.600000000000001</v>
      </c>
      <c r="T65">
        <v>16.7</v>
      </c>
      <c r="U65">
        <v>16.899999999999999</v>
      </c>
      <c r="V65">
        <v>17.2</v>
      </c>
      <c r="W65">
        <v>17.600000000000001</v>
      </c>
      <c r="X65">
        <v>18.600000000000001</v>
      </c>
      <c r="Y65">
        <v>20.7</v>
      </c>
      <c r="Z65">
        <v>24</v>
      </c>
      <c r="AQ65" s="120">
        <v>7.5775299023350309E-3</v>
      </c>
      <c r="AR65" s="120">
        <v>7.35726796553647E-3</v>
      </c>
      <c r="AS65" s="120">
        <v>7.4104140112484168E-3</v>
      </c>
      <c r="AT65" s="120">
        <v>7.2880417315600715E-3</v>
      </c>
      <c r="AU65" s="120">
        <v>7.4123697545372411E-3</v>
      </c>
      <c r="AV65" s="120">
        <v>7.2741044586203457E-3</v>
      </c>
      <c r="AW65" s="120">
        <v>7.4819691678865759E-3</v>
      </c>
      <c r="AX65" s="120">
        <v>7.2880737551784926E-3</v>
      </c>
      <c r="AY65" s="120">
        <v>7.6178987170219606E-3</v>
      </c>
      <c r="AZ65" s="120">
        <v>7.8332900766248919E-3</v>
      </c>
      <c r="BA65" s="120">
        <v>8.8997376182401305E-3</v>
      </c>
      <c r="BB65" s="120">
        <v>1.1483695394081273E-2</v>
      </c>
      <c r="BC65" s="120">
        <v>1.716017172548287E-2</v>
      </c>
      <c r="BE65" s="120">
        <v>0.22627269133152189</v>
      </c>
      <c r="BF65" s="120">
        <v>0.20987776000891201</v>
      </c>
      <c r="BG65" s="120">
        <v>0.2070787780268506</v>
      </c>
      <c r="BH65" s="120">
        <v>0.19949916165367018</v>
      </c>
      <c r="BI65" s="120">
        <v>0.19907102145710689</v>
      </c>
      <c r="BJ65" s="120">
        <v>0.19153486177102094</v>
      </c>
      <c r="BK65" s="120">
        <v>0.19032289199854463</v>
      </c>
      <c r="BL65" s="120">
        <v>0.17337297031165724</v>
      </c>
      <c r="BM65" s="120">
        <v>0.17091941489875481</v>
      </c>
      <c r="BN65" s="120">
        <v>0.16650555817431203</v>
      </c>
      <c r="BO65" s="120">
        <v>0.17223951949349034</v>
      </c>
      <c r="BP65" s="120">
        <v>0.1907913471612927</v>
      </c>
      <c r="BQ65" s="120">
        <v>0.21674937681692366</v>
      </c>
    </row>
    <row r="66" spans="1:69" ht="12.75" x14ac:dyDescent="0.2">
      <c r="A66">
        <v>-0.23899999999999999</v>
      </c>
      <c r="B66">
        <v>-0.23</v>
      </c>
      <c r="C66" s="139">
        <v>-0.14199999999999999</v>
      </c>
      <c r="D66" s="139">
        <v>-0.14299999999999999</v>
      </c>
      <c r="E66" s="139">
        <v>-0.122</v>
      </c>
      <c r="F66" s="139">
        <v>-0.121</v>
      </c>
      <c r="G66" s="139">
        <v>-0.11600000000000001</v>
      </c>
      <c r="H66" s="139">
        <v>-0.11799999999999999</v>
      </c>
      <c r="I66" s="139">
        <v>-0.121</v>
      </c>
      <c r="J66" s="139"/>
      <c r="K66" s="139"/>
      <c r="M66" t="s">
        <v>105</v>
      </c>
      <c r="N66">
        <v>20.7</v>
      </c>
      <c r="O66" s="106">
        <v>18.8</v>
      </c>
      <c r="P66" s="106">
        <v>18</v>
      </c>
      <c r="Q66">
        <v>17.3</v>
      </c>
      <c r="R66">
        <v>17.100000000000001</v>
      </c>
      <c r="S66">
        <v>16.899999999999999</v>
      </c>
      <c r="T66">
        <v>16.899999999999999</v>
      </c>
      <c r="U66">
        <v>17</v>
      </c>
      <c r="V66">
        <v>17.100000000000001</v>
      </c>
      <c r="W66">
        <v>17.3</v>
      </c>
      <c r="X66">
        <v>18</v>
      </c>
      <c r="Y66">
        <v>19.5</v>
      </c>
      <c r="Z66">
        <v>22.2</v>
      </c>
      <c r="AQ66" s="120">
        <v>7.2960666008689452E-3</v>
      </c>
      <c r="AR66" s="120">
        <v>7.3723706671889174E-3</v>
      </c>
      <c r="AS66" s="120">
        <v>7.2030681652805895E-3</v>
      </c>
      <c r="AT66" s="120">
        <v>7.3304874234811634E-3</v>
      </c>
      <c r="AU66" s="120">
        <v>7.1448527293724437E-3</v>
      </c>
      <c r="AV66" s="120">
        <v>7.0165441581757594E-3</v>
      </c>
      <c r="AW66" s="120">
        <v>7.0048242252434539E-3</v>
      </c>
      <c r="AX66" s="120">
        <v>7.4657762274366359E-3</v>
      </c>
      <c r="AY66" s="120">
        <v>7.5999483332365586E-3</v>
      </c>
      <c r="AZ66" s="120">
        <v>7.891251759102217E-3</v>
      </c>
      <c r="BA66" s="120">
        <v>8.7092885469820629E-3</v>
      </c>
      <c r="BB66" s="120">
        <v>1.035210822056E-2</v>
      </c>
      <c r="BC66" s="120">
        <v>1.5223581850523384E-2</v>
      </c>
      <c r="BE66" s="120">
        <v>0.21248052197649142</v>
      </c>
      <c r="BF66" s="120">
        <v>0.20556687120296085</v>
      </c>
      <c r="BG66" s="120">
        <v>0.19652936885503522</v>
      </c>
      <c r="BH66" s="120">
        <v>0.19615682540701232</v>
      </c>
      <c r="BI66" s="120">
        <v>0.18733931997230155</v>
      </c>
      <c r="BJ66" s="120">
        <v>0.1805238276486886</v>
      </c>
      <c r="BK66" s="120">
        <v>0.17379761674683855</v>
      </c>
      <c r="BL66" s="120">
        <v>0.17383747222254503</v>
      </c>
      <c r="BM66" s="120">
        <v>0.16685426893482583</v>
      </c>
      <c r="BN66" s="120">
        <v>0.16433397760197108</v>
      </c>
      <c r="BO66" s="120">
        <v>0.16518050220702002</v>
      </c>
      <c r="BP66" s="120">
        <v>0.1684262816650908</v>
      </c>
      <c r="BQ66" s="120">
        <v>0.18879788444418547</v>
      </c>
    </row>
    <row r="67" spans="1:69" ht="12.75" x14ac:dyDescent="0.2">
      <c r="A67">
        <v>-0.23799999999999999</v>
      </c>
      <c r="B67">
        <v>-0.23899999999999999</v>
      </c>
      <c r="C67" s="139">
        <v>-0.14299999999999999</v>
      </c>
      <c r="D67" s="139">
        <v>-0.14000000000000001</v>
      </c>
      <c r="E67" s="139">
        <v>-0.121</v>
      </c>
      <c r="F67" s="139">
        <v>-0.11899999999999999</v>
      </c>
      <c r="G67" s="139">
        <v>-0.11799999999999999</v>
      </c>
      <c r="H67" s="139">
        <v>-0.12</v>
      </c>
      <c r="I67" s="139">
        <v>-0.11799999999999999</v>
      </c>
      <c r="J67" s="139"/>
      <c r="K67" s="139"/>
      <c r="M67" t="s">
        <v>106</v>
      </c>
      <c r="N67">
        <v>20.7</v>
      </c>
      <c r="O67" s="106">
        <v>19</v>
      </c>
      <c r="P67">
        <v>18.2</v>
      </c>
      <c r="Q67">
        <v>17.600000000000001</v>
      </c>
      <c r="R67">
        <v>17.399999999999999</v>
      </c>
      <c r="S67">
        <v>17.2</v>
      </c>
      <c r="T67">
        <v>17.100000000000001</v>
      </c>
      <c r="U67">
        <v>17</v>
      </c>
      <c r="V67">
        <v>16.899999999999999</v>
      </c>
      <c r="W67">
        <v>17</v>
      </c>
      <c r="X67">
        <v>17.399999999999999</v>
      </c>
      <c r="Y67">
        <v>18.399999999999999</v>
      </c>
      <c r="Z67">
        <v>20.6</v>
      </c>
      <c r="AQ67" s="120">
        <v>7.1334717993536464E-3</v>
      </c>
      <c r="AR67" s="120">
        <v>7.2279209682751741E-3</v>
      </c>
      <c r="AS67" s="120">
        <v>7.1110679402613059E-3</v>
      </c>
      <c r="AT67" s="120">
        <v>7.2302922692379142E-3</v>
      </c>
      <c r="AU67" s="120">
        <v>7.3727566825304378E-3</v>
      </c>
      <c r="AV67" s="120">
        <v>7.4815681572715457E-3</v>
      </c>
      <c r="AW67" s="120">
        <v>7.4734386455742111E-3</v>
      </c>
      <c r="AX67" s="120">
        <v>7.3347945565459139E-3</v>
      </c>
      <c r="AY67" s="120">
        <v>7.3465389647102402E-3</v>
      </c>
      <c r="AZ67" s="120">
        <v>7.6893903968399983E-3</v>
      </c>
      <c r="BA67" s="120">
        <v>8.247147227086157E-3</v>
      </c>
      <c r="BB67" s="120">
        <v>9.6820715169945205E-3</v>
      </c>
      <c r="BC67" s="120">
        <v>1.3836063944193301E-2</v>
      </c>
      <c r="BE67" s="120">
        <v>0.20522186234767678</v>
      </c>
      <c r="BF67" s="120">
        <v>0.19900547442664351</v>
      </c>
      <c r="BG67" s="120">
        <v>0.19169580065360117</v>
      </c>
      <c r="BH67" s="120">
        <v>0.19111128185454646</v>
      </c>
      <c r="BI67" s="120">
        <v>0.19128170981352058</v>
      </c>
      <c r="BJ67" s="120">
        <v>0.19057636653300522</v>
      </c>
      <c r="BK67" s="120">
        <v>0.18370720880774463</v>
      </c>
      <c r="BL67" s="120">
        <v>0.16873782244383548</v>
      </c>
      <c r="BM67" s="120">
        <v>0.15936356694999987</v>
      </c>
      <c r="BN67" s="120">
        <v>0.15823220573380281</v>
      </c>
      <c r="BO67" s="120">
        <v>0.15454019717557507</v>
      </c>
      <c r="BP67" s="120">
        <v>0.15578935697217525</v>
      </c>
      <c r="BQ67" s="120">
        <v>0.1696738089510382</v>
      </c>
    </row>
    <row r="68" spans="1:69" ht="12.75" x14ac:dyDescent="0.2">
      <c r="A68">
        <v>-0.26400000000000001</v>
      </c>
      <c r="B68">
        <v>-0.26</v>
      </c>
      <c r="C68" s="139">
        <v>-0.17</v>
      </c>
      <c r="D68" s="139">
        <v>-0.14499999999999999</v>
      </c>
      <c r="E68" s="139">
        <v>-0.123</v>
      </c>
      <c r="F68" s="139">
        <v>-0.122</v>
      </c>
      <c r="G68" s="139">
        <v>-0.121</v>
      </c>
      <c r="H68" s="139">
        <v>-0.123</v>
      </c>
      <c r="I68" s="139">
        <v>-0.121</v>
      </c>
      <c r="J68" s="139"/>
      <c r="K68" s="139"/>
      <c r="M68" t="s">
        <v>79</v>
      </c>
      <c r="N68">
        <v>20.7</v>
      </c>
      <c r="O68">
        <v>19.100000000000001</v>
      </c>
      <c r="P68">
        <v>18.399999999999999</v>
      </c>
      <c r="Q68">
        <v>17.8</v>
      </c>
      <c r="R68">
        <v>17.600000000000001</v>
      </c>
      <c r="S68">
        <v>17.399999999999999</v>
      </c>
      <c r="T68">
        <v>17.2</v>
      </c>
      <c r="U68">
        <v>17</v>
      </c>
      <c r="V68">
        <v>16.8</v>
      </c>
      <c r="W68">
        <v>16.8</v>
      </c>
      <c r="X68">
        <v>16.899999999999999</v>
      </c>
      <c r="Y68">
        <v>17.5</v>
      </c>
      <c r="Z68">
        <v>19.100000000000001</v>
      </c>
      <c r="AQ68" s="120">
        <v>7.3251040756390565E-3</v>
      </c>
      <c r="AR68" s="120">
        <v>7.2453284711921301E-3</v>
      </c>
      <c r="AS68" s="120">
        <v>7.4357334136254455E-3</v>
      </c>
      <c r="AT68" s="120">
        <v>7.3028163089212741E-3</v>
      </c>
      <c r="AU68" s="120">
        <v>7.3398785750541E-3</v>
      </c>
      <c r="AV68" s="120">
        <v>7.3756857163066545E-3</v>
      </c>
      <c r="AW68" s="120">
        <v>7.2825239146942691E-3</v>
      </c>
      <c r="AX68" s="120">
        <v>7.5158576591071429E-3</v>
      </c>
      <c r="AY68" s="120">
        <v>7.6939315576413855E-3</v>
      </c>
      <c r="AZ68" s="120">
        <v>7.8913771622073445E-3</v>
      </c>
      <c r="BA68" s="120">
        <v>8.1685524817911009E-3</v>
      </c>
      <c r="BB68" s="120">
        <v>9.3464481849759307E-3</v>
      </c>
      <c r="BC68" s="120">
        <v>1.2153086151930267E-2</v>
      </c>
      <c r="BE68" s="120">
        <v>0.2075693232812939</v>
      </c>
      <c r="BF68" s="120">
        <v>0.19638222593868887</v>
      </c>
      <c r="BG68" s="120">
        <v>0.19758984433990626</v>
      </c>
      <c r="BH68" s="120">
        <v>0.19008359900467298</v>
      </c>
      <c r="BI68" s="120">
        <v>0.18739362250627825</v>
      </c>
      <c r="BJ68" s="120">
        <v>0.18483519692321104</v>
      </c>
      <c r="BK68" s="120">
        <v>0.17604563478566562</v>
      </c>
      <c r="BL68" s="120">
        <v>0.17041181297892671</v>
      </c>
      <c r="BM68" s="120">
        <v>0.16460745838691782</v>
      </c>
      <c r="BN68" s="120">
        <v>0.16012938827428258</v>
      </c>
      <c r="BO68" s="120">
        <v>0.15090207822612037</v>
      </c>
      <c r="BP68" s="120">
        <v>0.14827340972350714</v>
      </c>
      <c r="BQ68" s="120">
        <v>0.14679911449729557</v>
      </c>
    </row>
    <row r="69" spans="1:69" ht="12.75" x14ac:dyDescent="0.2">
      <c r="A69">
        <v>-0.28899999999999998</v>
      </c>
      <c r="B69">
        <v>-0.27400000000000002</v>
      </c>
      <c r="C69" s="139">
        <v>-0.188</v>
      </c>
      <c r="D69" s="139">
        <v>-0.14399999999999999</v>
      </c>
      <c r="E69" s="139">
        <v>-0.125</v>
      </c>
      <c r="F69" s="139">
        <v>-0.122</v>
      </c>
      <c r="G69" s="139">
        <v>-0.122</v>
      </c>
      <c r="H69" s="139">
        <v>-0.125</v>
      </c>
      <c r="I69" s="139">
        <v>-0.12</v>
      </c>
      <c r="J69" s="139"/>
      <c r="K69" s="139"/>
      <c r="M69" t="s">
        <v>159</v>
      </c>
      <c r="N69">
        <v>20.6</v>
      </c>
      <c r="O69">
        <v>19.2</v>
      </c>
      <c r="P69">
        <v>18.600000000000001</v>
      </c>
      <c r="Q69">
        <v>18</v>
      </c>
      <c r="R69">
        <v>17.8</v>
      </c>
      <c r="S69">
        <v>17.600000000000001</v>
      </c>
      <c r="T69">
        <v>17.3</v>
      </c>
      <c r="U69">
        <v>16.899999999999999</v>
      </c>
      <c r="V69">
        <v>16.600000000000001</v>
      </c>
      <c r="W69">
        <v>16.399999999999999</v>
      </c>
      <c r="X69">
        <v>16.2</v>
      </c>
      <c r="Y69">
        <v>16.399999999999999</v>
      </c>
      <c r="Z69">
        <v>17.3</v>
      </c>
      <c r="AQ69" s="120">
        <v>7.1951531527632085E-3</v>
      </c>
      <c r="AR69" s="120">
        <v>7.3029124310301013E-3</v>
      </c>
      <c r="AS69" s="120">
        <v>7.2710636774916699E-3</v>
      </c>
      <c r="AT69" s="120">
        <v>7.224898957169542E-3</v>
      </c>
      <c r="AU69" s="120">
        <v>7.3002739967749624E-3</v>
      </c>
      <c r="AV69" s="120">
        <v>7.3652978078005416E-3</v>
      </c>
      <c r="AW69" s="120">
        <v>7.4165623276371889E-3</v>
      </c>
      <c r="AX69" s="120">
        <v>7.3351670490199705E-3</v>
      </c>
      <c r="AY69" s="120">
        <v>7.5269499398653182E-3</v>
      </c>
      <c r="AZ69" s="120">
        <v>7.5688287245140821E-3</v>
      </c>
      <c r="BA69" s="120">
        <v>8.0535760504283141E-3</v>
      </c>
      <c r="BB69" s="120">
        <v>9.3730954845508765E-3</v>
      </c>
      <c r="BC69" s="120">
        <v>1.2870933016754066E-2</v>
      </c>
      <c r="BE69" s="120">
        <v>0.20018539218743212</v>
      </c>
      <c r="BF69" s="120">
        <v>0.19459227473422186</v>
      </c>
      <c r="BG69" s="120">
        <v>0.18969091469070168</v>
      </c>
      <c r="BH69" s="120">
        <v>0.18474493556964508</v>
      </c>
      <c r="BI69" s="120">
        <v>0.18319379145797263</v>
      </c>
      <c r="BJ69" s="120">
        <v>0.18147931137401724</v>
      </c>
      <c r="BK69" s="120">
        <v>0.17642412436176808</v>
      </c>
      <c r="BL69" s="120">
        <v>0.16338402822496767</v>
      </c>
      <c r="BM69" s="120">
        <v>0.15823931688271994</v>
      </c>
      <c r="BN69" s="120">
        <v>0.15088943458070939</v>
      </c>
      <c r="BO69" s="120">
        <v>0.14635638336054313</v>
      </c>
      <c r="BP69" s="120">
        <v>0.14649664518923058</v>
      </c>
      <c r="BQ69" s="120">
        <v>0.15380595524802393</v>
      </c>
    </row>
    <row r="70" spans="1:69" ht="12.75" x14ac:dyDescent="0.2">
      <c r="A70">
        <v>-0.30399999999999999</v>
      </c>
      <c r="B70">
        <v>-0.28399999999999997</v>
      </c>
      <c r="C70" s="139">
        <v>-0.19900000000000001</v>
      </c>
      <c r="D70" s="139">
        <v>-0.14799999999999999</v>
      </c>
      <c r="E70" s="139">
        <v>-0.127</v>
      </c>
      <c r="F70" s="139">
        <v>-0.126</v>
      </c>
      <c r="G70" s="139">
        <v>-0.124</v>
      </c>
      <c r="H70" s="139">
        <v>-0.128</v>
      </c>
      <c r="I70" s="139">
        <v>-0.11899999999999999</v>
      </c>
      <c r="J70" s="139"/>
      <c r="K70" s="139"/>
      <c r="M70" t="s">
        <v>107</v>
      </c>
      <c r="N70">
        <v>20.5</v>
      </c>
      <c r="O70">
        <v>19.2</v>
      </c>
      <c r="P70">
        <v>18.600000000000001</v>
      </c>
      <c r="Q70">
        <v>18.100000000000001</v>
      </c>
      <c r="R70">
        <v>17.8</v>
      </c>
      <c r="S70">
        <v>17.600000000000001</v>
      </c>
      <c r="T70">
        <v>17.3</v>
      </c>
      <c r="U70">
        <v>16.7</v>
      </c>
      <c r="V70">
        <v>16.3</v>
      </c>
      <c r="W70">
        <v>16</v>
      </c>
      <c r="X70">
        <v>15.6</v>
      </c>
      <c r="Y70">
        <v>15.4</v>
      </c>
      <c r="Z70">
        <v>15.9</v>
      </c>
      <c r="AQ70" s="120">
        <v>7.2976836028492455E-3</v>
      </c>
      <c r="AR70" s="120">
        <v>7.1139624543389056E-3</v>
      </c>
      <c r="AS70" s="120">
        <v>7.0088150241031195E-3</v>
      </c>
      <c r="AT70" s="120">
        <v>7.1242682494081508E-3</v>
      </c>
      <c r="AU70" s="120">
        <v>6.9349953827896882E-3</v>
      </c>
      <c r="AV70" s="120">
        <v>6.9755319586710897E-3</v>
      </c>
      <c r="AW70" s="120">
        <v>7.1567909001035079E-3</v>
      </c>
      <c r="AX70" s="120">
        <v>7.2035188408390754E-3</v>
      </c>
      <c r="AY70" s="120">
        <v>7.3235875363510403E-3</v>
      </c>
      <c r="AZ70" s="120">
        <v>7.5839266420294742E-3</v>
      </c>
      <c r="BA70" s="120">
        <v>7.9039570872636838E-3</v>
      </c>
      <c r="BB70" s="120">
        <v>8.6280558979505307E-3</v>
      </c>
      <c r="BC70" s="120">
        <v>1.1622195924444476E-2</v>
      </c>
      <c r="BE70" s="120">
        <v>0.20423428322792167</v>
      </c>
      <c r="BF70" s="120">
        <v>0.19022472083273437</v>
      </c>
      <c r="BG70" s="120">
        <v>0.18346400299925364</v>
      </c>
      <c r="BH70" s="120">
        <v>0.1828724905081863</v>
      </c>
      <c r="BI70" s="120">
        <v>0.17441257138265134</v>
      </c>
      <c r="BJ70" s="120">
        <v>0.17220523857907771</v>
      </c>
      <c r="BK70" s="120">
        <v>0.1706215587719625</v>
      </c>
      <c r="BL70" s="120">
        <v>0.16094633029929714</v>
      </c>
      <c r="BM70" s="120">
        <v>0.15437507173991313</v>
      </c>
      <c r="BN70" s="120">
        <v>0.15168771660264965</v>
      </c>
      <c r="BO70" s="120">
        <v>0.14396621845207494</v>
      </c>
      <c r="BP70" s="120">
        <v>0.13491391679225093</v>
      </c>
      <c r="BQ70" s="120">
        <v>0.13868898387105624</v>
      </c>
    </row>
    <row r="71" spans="1:69" ht="12.75" x14ac:dyDescent="0.2">
      <c r="A71">
        <v>-0.318</v>
      </c>
      <c r="B71">
        <v>-0.29099999999999998</v>
      </c>
      <c r="C71" s="139">
        <v>-0.20699999999999999</v>
      </c>
      <c r="D71" s="139">
        <v>-0.152</v>
      </c>
      <c r="E71" s="139">
        <v>-0.126</v>
      </c>
      <c r="F71" s="139">
        <v>-0.123</v>
      </c>
      <c r="G71" s="139">
        <v>-0.125</v>
      </c>
      <c r="H71" s="139">
        <v>-0.129</v>
      </c>
      <c r="I71" s="139">
        <v>-0.123</v>
      </c>
      <c r="J71" s="139"/>
      <c r="K71" s="139"/>
      <c r="M71" t="s">
        <v>108</v>
      </c>
      <c r="N71">
        <v>20.100000000000001</v>
      </c>
      <c r="O71">
        <v>19</v>
      </c>
      <c r="P71">
        <v>18.600000000000001</v>
      </c>
      <c r="Q71">
        <v>18.100000000000001</v>
      </c>
      <c r="R71">
        <v>17.8</v>
      </c>
      <c r="S71">
        <v>17.600000000000001</v>
      </c>
      <c r="T71">
        <v>17.100000000000001</v>
      </c>
      <c r="U71">
        <v>16.5</v>
      </c>
      <c r="V71">
        <v>15.9</v>
      </c>
      <c r="W71">
        <v>15.5</v>
      </c>
      <c r="X71">
        <v>14.9</v>
      </c>
      <c r="Y71">
        <v>14.5</v>
      </c>
      <c r="Z71">
        <v>14.6</v>
      </c>
      <c r="AQ71" s="120">
        <v>6.4333546222022477E-3</v>
      </c>
      <c r="AR71" s="120">
        <v>6.6252678910746965E-3</v>
      </c>
      <c r="AS71" s="120">
        <v>6.9331526542016518E-3</v>
      </c>
      <c r="AT71" s="120">
        <v>6.7639122418415654E-3</v>
      </c>
      <c r="AU71" s="120">
        <v>6.9443188362756569E-3</v>
      </c>
      <c r="AV71" s="120">
        <v>7.0041727100659526E-3</v>
      </c>
      <c r="AW71" s="120">
        <v>6.6672652144759677E-3</v>
      </c>
      <c r="AX71" s="120">
        <v>6.98746097210853E-3</v>
      </c>
      <c r="AY71" s="120">
        <v>6.8573555137172396E-3</v>
      </c>
      <c r="AZ71" s="120">
        <v>6.8596696622785719E-3</v>
      </c>
      <c r="BA71" s="120">
        <v>7.0659227758114876E-3</v>
      </c>
      <c r="BB71" s="120">
        <v>8.1801211134597245E-3</v>
      </c>
      <c r="BC71" s="120">
        <v>1.0583054933720965E-2</v>
      </c>
      <c r="BE71" s="120">
        <v>0.18594060282622091</v>
      </c>
      <c r="BF71" s="120">
        <v>0.18321029437969444</v>
      </c>
      <c r="BG71" s="120">
        <v>0.18798303535524249</v>
      </c>
      <c r="BH71" s="120">
        <v>0.17952853370602789</v>
      </c>
      <c r="BI71" s="120">
        <v>0.18082207871365977</v>
      </c>
      <c r="BJ71" s="120">
        <v>0.17899697813038468</v>
      </c>
      <c r="BK71" s="120">
        <v>0.16405870711018836</v>
      </c>
      <c r="BL71" s="120">
        <v>0.16107655854824912</v>
      </c>
      <c r="BM71" s="120">
        <v>0.14884205123867972</v>
      </c>
      <c r="BN71" s="120">
        <v>0.14108007954744731</v>
      </c>
      <c r="BO71" s="120">
        <v>0.13218745943934421</v>
      </c>
      <c r="BP71" s="120">
        <v>0.13133982404470038</v>
      </c>
      <c r="BQ71" s="120">
        <v>0.12948192389966612</v>
      </c>
    </row>
    <row r="72" spans="1:69" ht="12.75" x14ac:dyDescent="0.2">
      <c r="A72">
        <v>-0.32900000000000001</v>
      </c>
      <c r="B72">
        <v>-0.29899999999999999</v>
      </c>
      <c r="C72" s="139">
        <v>-0.21299999999999999</v>
      </c>
      <c r="D72" s="139">
        <v>-0.156</v>
      </c>
      <c r="E72" s="139">
        <v>-0.13</v>
      </c>
      <c r="F72" s="139">
        <v>-0.128</v>
      </c>
      <c r="G72" s="139">
        <v>-0.124</v>
      </c>
      <c r="H72" s="139">
        <v>-0.128</v>
      </c>
      <c r="I72" s="139">
        <v>-0.12</v>
      </c>
      <c r="J72" s="139"/>
      <c r="K72" s="139"/>
      <c r="M72" t="s">
        <v>109</v>
      </c>
      <c r="N72">
        <v>19.899999999999999</v>
      </c>
      <c r="O72">
        <v>18.899999999999999</v>
      </c>
      <c r="P72">
        <v>18.5</v>
      </c>
      <c r="Q72">
        <v>18</v>
      </c>
      <c r="R72">
        <v>17.7</v>
      </c>
      <c r="S72">
        <v>17.5</v>
      </c>
      <c r="T72">
        <v>17.100000000000001</v>
      </c>
      <c r="U72">
        <v>16.3</v>
      </c>
      <c r="V72">
        <v>15.8</v>
      </c>
      <c r="W72">
        <v>15.3</v>
      </c>
      <c r="X72">
        <v>14.7</v>
      </c>
      <c r="Y72">
        <v>14</v>
      </c>
      <c r="Z72">
        <v>13.8</v>
      </c>
      <c r="AQ72" s="120">
        <v>6.5483347184718309E-3</v>
      </c>
      <c r="AR72" s="120">
        <v>6.4615189225227989E-3</v>
      </c>
      <c r="AS72" s="120">
        <v>6.2146314512686934E-3</v>
      </c>
      <c r="AT72" s="120">
        <v>6.2690458865387539E-3</v>
      </c>
      <c r="AU72" s="120">
        <v>6.1556357166691229E-3</v>
      </c>
      <c r="AV72" s="120">
        <v>6.1918782599400812E-3</v>
      </c>
      <c r="AW72" s="120">
        <v>6.7992320556005594E-3</v>
      </c>
      <c r="AX72" s="120">
        <v>6.3522834272975942E-3</v>
      </c>
      <c r="AY72" s="120">
        <v>7.0115596525639912E-3</v>
      </c>
      <c r="AZ72" s="120">
        <v>7.0518035070218548E-3</v>
      </c>
      <c r="BA72" s="120">
        <v>7.608552223385405E-3</v>
      </c>
      <c r="BB72" s="120">
        <v>7.4796144811425571E-3</v>
      </c>
      <c r="BC72" s="120">
        <v>9.2877981023037643E-3</v>
      </c>
      <c r="BE72" s="120">
        <v>0.20060520879376315</v>
      </c>
      <c r="BF72" s="120">
        <v>0.18899310204003289</v>
      </c>
      <c r="BG72" s="120">
        <v>0.17782900864515219</v>
      </c>
      <c r="BH72" s="120">
        <v>0.17551061600132017</v>
      </c>
      <c r="BI72" s="120">
        <v>0.16894552619586195</v>
      </c>
      <c r="BJ72" s="120">
        <v>0.16670804220449645</v>
      </c>
      <c r="BK72" s="120">
        <v>0.17664067523467586</v>
      </c>
      <c r="BL72" s="120">
        <v>0.15398200848527877</v>
      </c>
      <c r="BM72" s="120">
        <v>0.16022888091734597</v>
      </c>
      <c r="BN72" s="120">
        <v>0.15238184523037798</v>
      </c>
      <c r="BO72" s="120">
        <v>0.14935237618524583</v>
      </c>
      <c r="BP72" s="120">
        <v>0.12541198528919462</v>
      </c>
      <c r="BQ72" s="120">
        <v>0.11795677489826864</v>
      </c>
    </row>
    <row r="73" spans="1:69" ht="12.75" x14ac:dyDescent="0.2">
      <c r="A73">
        <v>-0.33900000000000002</v>
      </c>
      <c r="B73">
        <v>-0.30599999999999999</v>
      </c>
      <c r="C73" s="139">
        <v>-0.219</v>
      </c>
      <c r="D73" s="139">
        <v>-0.158</v>
      </c>
      <c r="E73" s="139">
        <v>-0.13100000000000001</v>
      </c>
      <c r="F73" s="139">
        <v>-0.129</v>
      </c>
      <c r="G73" s="139">
        <v>-0.125</v>
      </c>
      <c r="H73" s="139">
        <v>-0.13</v>
      </c>
      <c r="I73" s="139">
        <v>-0.123</v>
      </c>
      <c r="J73" s="139"/>
      <c r="K73" s="139"/>
      <c r="M73" t="s">
        <v>110</v>
      </c>
      <c r="N73">
        <v>19.600000000000001</v>
      </c>
      <c r="O73">
        <v>18.7</v>
      </c>
      <c r="P73">
        <v>18.3</v>
      </c>
      <c r="Q73">
        <v>17.899999999999999</v>
      </c>
      <c r="R73">
        <v>17.600000000000001</v>
      </c>
      <c r="S73">
        <v>17.3</v>
      </c>
      <c r="T73">
        <v>16.899999999999999</v>
      </c>
      <c r="U73">
        <v>16.2</v>
      </c>
      <c r="V73">
        <v>15.6</v>
      </c>
      <c r="W73">
        <v>15.1</v>
      </c>
      <c r="X73">
        <v>14.4</v>
      </c>
      <c r="Y73">
        <v>13.7</v>
      </c>
      <c r="Z73">
        <v>13.1</v>
      </c>
      <c r="AQ73" s="120">
        <v>5.7550080393825535E-3</v>
      </c>
      <c r="AR73" s="120">
        <v>5.9678227899699161E-3</v>
      </c>
      <c r="AS73" s="120">
        <v>6.1536972052394709E-3</v>
      </c>
      <c r="AT73" s="120">
        <v>6.2996167086139141E-3</v>
      </c>
      <c r="AU73" s="120">
        <v>6.4211345464337188E-3</v>
      </c>
      <c r="AV73" s="120">
        <v>6.1771088211308904E-3</v>
      </c>
      <c r="AW73" s="120">
        <v>5.8092061117279237E-3</v>
      </c>
      <c r="AX73" s="120">
        <v>6.6961776596414302E-3</v>
      </c>
      <c r="AY73" s="120">
        <v>6.121169395903959E-3</v>
      </c>
      <c r="AZ73" s="120">
        <v>6.3368401914423523E-3</v>
      </c>
      <c r="BA73" s="120">
        <v>6.1483913514387405E-3</v>
      </c>
      <c r="BB73" s="120">
        <v>7.7234374030522961E-3</v>
      </c>
      <c r="BC73" s="120">
        <v>8.6655203987583175E-3</v>
      </c>
      <c r="BE73" s="120">
        <v>0.17440711522091096</v>
      </c>
      <c r="BF73" s="120">
        <v>0.17289840374111215</v>
      </c>
      <c r="BG73" s="120">
        <v>0.17444443145175209</v>
      </c>
      <c r="BH73" s="120">
        <v>0.17534006835215563</v>
      </c>
      <c r="BI73" s="120">
        <v>0.17512730257101697</v>
      </c>
      <c r="BJ73" s="120">
        <v>0.16467784201182392</v>
      </c>
      <c r="BK73" s="120">
        <v>0.14900082190040764</v>
      </c>
      <c r="BL73" s="120">
        <v>0.16147937577289867</v>
      </c>
      <c r="BM73" s="120">
        <v>0.13833207859617755</v>
      </c>
      <c r="BN73" s="120">
        <v>0.13575317786460611</v>
      </c>
      <c r="BO73" s="120">
        <v>0.11931124215691793</v>
      </c>
      <c r="BP73" s="120">
        <v>0.12865437274842492</v>
      </c>
      <c r="BQ73" s="120">
        <v>0.10899242905861657</v>
      </c>
    </row>
    <row r="74" spans="1:69" ht="12.75" x14ac:dyDescent="0.2">
      <c r="A74">
        <v>-0.34699999999999998</v>
      </c>
      <c r="B74">
        <v>-0.31</v>
      </c>
      <c r="C74" s="139">
        <v>-0.22500000000000001</v>
      </c>
      <c r="D74" s="139">
        <v>-0.16200000000000001</v>
      </c>
      <c r="E74" s="139">
        <v>-0.13200000000000001</v>
      </c>
      <c r="F74" s="139">
        <v>-0.13100000000000001</v>
      </c>
      <c r="G74" s="139">
        <v>-0.126</v>
      </c>
      <c r="H74" s="139">
        <v>-0.13100000000000001</v>
      </c>
      <c r="I74" s="139">
        <v>-0.124</v>
      </c>
      <c r="J74" s="139"/>
      <c r="K74" s="139"/>
    </row>
    <row r="75" spans="1:69" ht="12.75" x14ac:dyDescent="0.2">
      <c r="A75">
        <v>-0.35399999999999998</v>
      </c>
      <c r="B75">
        <v>-0.314</v>
      </c>
      <c r="C75" s="139">
        <v>-0.22800000000000001</v>
      </c>
      <c r="D75" s="139">
        <v>-0.16500000000000001</v>
      </c>
      <c r="E75" s="139">
        <v>-0.13200000000000001</v>
      </c>
      <c r="F75" s="139">
        <v>-0.13100000000000001</v>
      </c>
      <c r="G75" s="139">
        <v>-0.126</v>
      </c>
      <c r="H75" s="139">
        <v>-0.13200000000000001</v>
      </c>
      <c r="I75" s="139">
        <v>-0.124</v>
      </c>
      <c r="J75" s="139"/>
      <c r="K75" s="139"/>
    </row>
    <row r="76" spans="1:69" ht="12.75" x14ac:dyDescent="0.2">
      <c r="A76">
        <v>-0.35899999999999999</v>
      </c>
      <c r="B76">
        <v>-0.318</v>
      </c>
      <c r="C76" s="139">
        <v>-0.23300000000000001</v>
      </c>
      <c r="D76" s="139">
        <v>-0.16700000000000001</v>
      </c>
      <c r="E76" s="139">
        <v>-0.13300000000000001</v>
      </c>
      <c r="F76" s="139">
        <v>-0.13200000000000001</v>
      </c>
      <c r="G76" s="139">
        <v>-0.127</v>
      </c>
      <c r="H76" s="139">
        <v>-0.13200000000000001</v>
      </c>
      <c r="I76" s="139">
        <v>-0.124</v>
      </c>
      <c r="J76" s="139"/>
      <c r="K76" s="105" t="s">
        <v>313</v>
      </c>
      <c r="N76">
        <v>-0.5</v>
      </c>
      <c r="O76">
        <v>-0.25</v>
      </c>
      <c r="P76">
        <v>-0.13</v>
      </c>
      <c r="Q76">
        <v>0</v>
      </c>
      <c r="R76">
        <v>0.125</v>
      </c>
      <c r="S76">
        <v>0.25</v>
      </c>
      <c r="T76">
        <v>0.5</v>
      </c>
      <c r="U76">
        <v>1</v>
      </c>
      <c r="V76">
        <v>1.5</v>
      </c>
      <c r="W76">
        <v>2</v>
      </c>
      <c r="X76">
        <v>3</v>
      </c>
      <c r="Y76">
        <v>5</v>
      </c>
      <c r="Z76">
        <v>10</v>
      </c>
    </row>
    <row r="77" spans="1:69" ht="12.75" x14ac:dyDescent="0.2">
      <c r="A77">
        <v>-0.36399999999999999</v>
      </c>
      <c r="B77">
        <v>-0.32200000000000001</v>
      </c>
      <c r="C77" s="139">
        <v>-0.23499999999999999</v>
      </c>
      <c r="D77" s="139">
        <v>-0.17</v>
      </c>
      <c r="E77" s="139">
        <v>-0.13400000000000001</v>
      </c>
      <c r="F77" s="139">
        <v>-0.13300000000000001</v>
      </c>
      <c r="G77" s="139">
        <v>-0.127</v>
      </c>
      <c r="H77" s="139">
        <v>-0.13300000000000001</v>
      </c>
      <c r="I77" s="139">
        <v>-0.125</v>
      </c>
      <c r="J77" s="139"/>
      <c r="M77" t="s">
        <v>25</v>
      </c>
      <c r="N77" s="105">
        <v>8.1</v>
      </c>
      <c r="O77" s="105">
        <v>5.8</v>
      </c>
      <c r="P77" s="105">
        <v>5.2</v>
      </c>
      <c r="Q77" s="105">
        <v>5.7</v>
      </c>
      <c r="R77" s="105">
        <v>7</v>
      </c>
      <c r="S77" s="105">
        <v>8.1</v>
      </c>
      <c r="T77" s="105">
        <v>10.4</v>
      </c>
      <c r="U77" s="105">
        <v>14.2</v>
      </c>
      <c r="V77" s="105">
        <v>17.2</v>
      </c>
      <c r="W77" s="105">
        <v>19.8</v>
      </c>
      <c r="X77" s="105">
        <v>24</v>
      </c>
      <c r="Y77" s="106">
        <v>30</v>
      </c>
      <c r="Z77" s="106">
        <f>Z95-0.3</f>
        <v>40.800000000000004</v>
      </c>
      <c r="AQ77" s="120">
        <v>2.6565103233054843E-3</v>
      </c>
      <c r="AR77" s="120">
        <v>1.664759936125334E-3</v>
      </c>
      <c r="AS77" s="120">
        <v>1.5244581836215548E-3</v>
      </c>
      <c r="AT77" s="120">
        <v>1.7068899397798048E-3</v>
      </c>
      <c r="AU77" s="120">
        <v>2.140176920310456E-3</v>
      </c>
      <c r="AV77" s="120">
        <v>2.5278837395583589E-3</v>
      </c>
      <c r="AW77" s="120">
        <v>3.3740603128866791E-3</v>
      </c>
      <c r="AX77" s="120">
        <v>4.9402015727036848E-3</v>
      </c>
      <c r="AY77" s="120">
        <v>6.370343159768619E-3</v>
      </c>
      <c r="AZ77" s="120">
        <v>7.7647338064539698E-3</v>
      </c>
      <c r="BA77" s="120">
        <v>1.0604827475210228E-2</v>
      </c>
      <c r="BB77" s="120">
        <v>1.5789273917919296E-2</v>
      </c>
      <c r="BC77" s="120">
        <v>2.9604016020488278E-2</v>
      </c>
      <c r="BE77" s="120">
        <v>8.1527247334179057E-2</v>
      </c>
      <c r="BF77" s="120">
        <v>5.8007738037401203E-2</v>
      </c>
      <c r="BG77" s="120">
        <v>5.2005726374267508E-2</v>
      </c>
      <c r="BH77" s="120">
        <v>5.7000047643539935E-2</v>
      </c>
      <c r="BI77" s="120">
        <v>7.0007169059873059E-2</v>
      </c>
      <c r="BJ77" s="120">
        <v>8.1000770699597935E-2</v>
      </c>
      <c r="BK77" s="120">
        <v>0.10401318956725829</v>
      </c>
      <c r="BL77" s="120">
        <v>0.14207871668734284</v>
      </c>
      <c r="BM77" s="120">
        <v>0.17221663757841435</v>
      </c>
      <c r="BN77" s="120">
        <v>0.19836729155574206</v>
      </c>
      <c r="BO77" s="120">
        <v>0.24399219045229742</v>
      </c>
      <c r="BP77" s="120">
        <v>0.30926941218285559</v>
      </c>
      <c r="BQ77" s="120">
        <v>0.43285943065991528</v>
      </c>
    </row>
    <row r="78" spans="1:69" ht="12.75" x14ac:dyDescent="0.2">
      <c r="A78">
        <v>-0.36799999999999999</v>
      </c>
      <c r="B78">
        <v>-0.32500000000000001</v>
      </c>
      <c r="C78" s="139">
        <v>-0.23799999999999999</v>
      </c>
      <c r="D78" s="139">
        <v>-0.17199999999999999</v>
      </c>
      <c r="E78" s="139">
        <v>-0.13400000000000001</v>
      </c>
      <c r="F78" s="139">
        <v>-0.13300000000000001</v>
      </c>
      <c r="G78" s="139">
        <v>-0.127</v>
      </c>
      <c r="H78" s="139">
        <v>-0.13300000000000001</v>
      </c>
      <c r="I78" s="139">
        <v>-0.125</v>
      </c>
      <c r="J78" s="139"/>
      <c r="M78" t="s">
        <v>157</v>
      </c>
      <c r="N78" s="105">
        <v>11.6</v>
      </c>
      <c r="O78" s="105">
        <v>9</v>
      </c>
      <c r="P78" s="105">
        <v>8</v>
      </c>
      <c r="Q78" s="105">
        <v>8</v>
      </c>
      <c r="R78" s="105">
        <v>9.1999999999999993</v>
      </c>
      <c r="S78" s="105">
        <v>10.199999999999999</v>
      </c>
      <c r="T78" s="105">
        <v>12.6</v>
      </c>
      <c r="U78" s="105">
        <v>16.600000000000001</v>
      </c>
      <c r="V78" s="105">
        <v>19.899999999999999</v>
      </c>
      <c r="W78" s="105">
        <v>22.7</v>
      </c>
      <c r="X78" s="105">
        <v>27.1</v>
      </c>
      <c r="Y78" s="106">
        <v>33.5</v>
      </c>
      <c r="Z78" s="106">
        <f t="shared" ref="Z78:Z80" si="0">Z96-0.3</f>
        <v>42.7</v>
      </c>
      <c r="AQ78" s="120">
        <v>3.6685147274875709E-3</v>
      </c>
      <c r="AR78" s="120">
        <v>3.3079916440669098E-3</v>
      </c>
      <c r="AS78" s="120">
        <v>3.2519362189990936E-3</v>
      </c>
      <c r="AT78" s="120">
        <v>3.2593879309834551E-3</v>
      </c>
      <c r="AU78" s="120">
        <v>3.5212959447535838E-3</v>
      </c>
      <c r="AV78" s="120">
        <v>3.7467271381831594E-3</v>
      </c>
      <c r="AW78" s="120">
        <v>4.5568744595723392E-3</v>
      </c>
      <c r="AX78" s="120">
        <v>6.1829408476789527E-3</v>
      </c>
      <c r="AY78" s="120">
        <v>7.7738792523970287E-3</v>
      </c>
      <c r="AZ78" s="120">
        <v>9.2981261599887656E-3</v>
      </c>
      <c r="BA78" s="120">
        <v>1.207919174481187E-2</v>
      </c>
      <c r="BB78" s="120">
        <v>1.736476120361425E-2</v>
      </c>
      <c r="BC78" s="120">
        <v>2.8830764256473119E-2</v>
      </c>
      <c r="BE78" s="120">
        <v>0.13232567072369211</v>
      </c>
      <c r="BF78" s="120">
        <v>0.11413342193769306</v>
      </c>
      <c r="BG78" s="120">
        <v>0.10974434462789605</v>
      </c>
      <c r="BH78" s="120">
        <v>0.10768242927721723</v>
      </c>
      <c r="BI78" s="120">
        <v>0.11395420846919625</v>
      </c>
      <c r="BJ78" s="120">
        <v>0.11890899337770419</v>
      </c>
      <c r="BK78" s="120">
        <v>0.13933270874436463</v>
      </c>
      <c r="BL78" s="120">
        <v>0.17659533524300774</v>
      </c>
      <c r="BM78" s="120">
        <v>0.20886842494524233</v>
      </c>
      <c r="BN78" s="120">
        <v>0.23630398177299941</v>
      </c>
      <c r="BO78" s="120">
        <v>0.2785093464893077</v>
      </c>
      <c r="BP78" s="120">
        <v>0.34093325179136802</v>
      </c>
      <c r="BQ78" s="120">
        <v>0.42596487347194284</v>
      </c>
    </row>
    <row r="79" spans="1:69" ht="12.75" x14ac:dyDescent="0.2">
      <c r="A79">
        <v>-0.377</v>
      </c>
      <c r="B79">
        <v>-0.33200000000000002</v>
      </c>
      <c r="C79" s="139">
        <v>-0.24199999999999999</v>
      </c>
      <c r="D79" s="139">
        <v>-0.17599999999999999</v>
      </c>
      <c r="E79" s="139">
        <v>-0.13400000000000001</v>
      </c>
      <c r="F79" s="139">
        <v>-0.13200000000000001</v>
      </c>
      <c r="G79" s="139">
        <v>-0.125</v>
      </c>
      <c r="H79" s="139">
        <v>-0.13100000000000001</v>
      </c>
      <c r="I79" s="139">
        <v>-0.123</v>
      </c>
      <c r="J79" s="139"/>
      <c r="M79" t="s">
        <v>99</v>
      </c>
      <c r="N79" s="105">
        <v>14.1</v>
      </c>
      <c r="O79" s="105">
        <v>11.9</v>
      </c>
      <c r="P79" s="105">
        <v>11</v>
      </c>
      <c r="Q79" s="105">
        <v>10.5</v>
      </c>
      <c r="R79" s="105">
        <v>10.8</v>
      </c>
      <c r="S79" s="105">
        <v>11.2</v>
      </c>
      <c r="T79" s="105">
        <v>12.6</v>
      </c>
      <c r="U79" s="105">
        <v>15.2</v>
      </c>
      <c r="V79" s="105">
        <v>17.399999999999999</v>
      </c>
      <c r="W79" s="105">
        <v>19.399999999999999</v>
      </c>
      <c r="X79" s="105">
        <v>22.5</v>
      </c>
      <c r="Y79" s="106">
        <v>27</v>
      </c>
      <c r="Z79" s="106">
        <f t="shared" si="0"/>
        <v>33.400000000000006</v>
      </c>
      <c r="AQ79" s="120">
        <v>4.1961025910851046E-3</v>
      </c>
      <c r="AR79" s="120">
        <v>3.5482797101103669E-3</v>
      </c>
      <c r="AS79" s="120">
        <v>3.3483877658889534E-3</v>
      </c>
      <c r="AT79" s="120">
        <v>3.2590625262094355E-3</v>
      </c>
      <c r="AU79" s="120">
        <v>3.4282386448659039E-3</v>
      </c>
      <c r="AV79" s="120">
        <v>3.631004261088588E-3</v>
      </c>
      <c r="AW79" s="120">
        <v>4.2521319324315895E-3</v>
      </c>
      <c r="AX79" s="120">
        <v>5.508853566518342E-3</v>
      </c>
      <c r="AY79" s="120">
        <v>6.7131566336448584E-3</v>
      </c>
      <c r="AZ79" s="120">
        <v>7.9174256473588112E-3</v>
      </c>
      <c r="BA79" s="120">
        <v>1.0135503793962301E-2</v>
      </c>
      <c r="BB79" s="120">
        <v>1.4276468526758694E-2</v>
      </c>
      <c r="BC79" s="120">
        <v>2.3463856688678036E-2</v>
      </c>
      <c r="BE79" s="120">
        <v>0.14100564681310276</v>
      </c>
      <c r="BF79" s="120">
        <v>0.1190002067998648</v>
      </c>
      <c r="BG79" s="120">
        <v>0.110001870992782</v>
      </c>
      <c r="BH79" s="120">
        <v>0.10488128070175871</v>
      </c>
      <c r="BI79" s="120">
        <v>0.1080000253332075</v>
      </c>
      <c r="BJ79" s="120">
        <v>0.11200005368831874</v>
      </c>
      <c r="BK79" s="120">
        <v>0.12600011788313523</v>
      </c>
      <c r="BL79" s="120">
        <v>0.15200002973585947</v>
      </c>
      <c r="BM79" s="120">
        <v>0.1740000587625308</v>
      </c>
      <c r="BN79" s="120">
        <v>0.19400002558766055</v>
      </c>
      <c r="BO79" s="120">
        <v>0.2250122244026545</v>
      </c>
      <c r="BP79" s="120">
        <v>0.27000464772930077</v>
      </c>
      <c r="BQ79" s="120">
        <v>0.33406195816649525</v>
      </c>
    </row>
    <row r="80" spans="1:69" ht="12.75" x14ac:dyDescent="0.2">
      <c r="A80">
        <v>-0.38300000000000001</v>
      </c>
      <c r="B80">
        <v>-0.33500000000000002</v>
      </c>
      <c r="C80" s="139">
        <v>-0.24399999999999999</v>
      </c>
      <c r="D80" s="139">
        <v>-0.17799999999999999</v>
      </c>
      <c r="E80" s="139">
        <v>-0.13200000000000001</v>
      </c>
      <c r="F80" s="139">
        <v>-0.13</v>
      </c>
      <c r="G80" s="139">
        <v>-0.123</v>
      </c>
      <c r="H80" s="139">
        <v>-0.127</v>
      </c>
      <c r="I80" s="139">
        <v>-0.121</v>
      </c>
      <c r="J80" s="139"/>
      <c r="M80" t="s">
        <v>101</v>
      </c>
      <c r="N80" s="105">
        <v>16.100000000000001</v>
      </c>
      <c r="O80" s="105">
        <v>14</v>
      </c>
      <c r="P80" s="105">
        <v>13.1</v>
      </c>
      <c r="Q80" s="105">
        <v>12.6</v>
      </c>
      <c r="R80" s="105">
        <v>12.7</v>
      </c>
      <c r="S80" s="105">
        <v>12.9</v>
      </c>
      <c r="T80" s="105">
        <v>13.9</v>
      </c>
      <c r="U80" s="105">
        <v>15.7</v>
      </c>
      <c r="V80" s="105">
        <v>17.399999999999999</v>
      </c>
      <c r="W80" s="105">
        <v>18.899999999999999</v>
      </c>
      <c r="X80" s="105">
        <v>21.4</v>
      </c>
      <c r="Y80" s="106">
        <v>25.1</v>
      </c>
      <c r="Z80" s="106">
        <f t="shared" si="0"/>
        <v>30.4</v>
      </c>
      <c r="AQ80" s="120">
        <v>6.1118409866210283E-3</v>
      </c>
      <c r="AR80" s="120">
        <v>6.0236671483651022E-3</v>
      </c>
      <c r="AS80" s="120">
        <v>6.012248588719374E-3</v>
      </c>
      <c r="AT80" s="120">
        <v>6.0687242506037827E-3</v>
      </c>
      <c r="AU80" s="120">
        <v>6.0295017717805913E-3</v>
      </c>
      <c r="AV80" s="120">
        <v>5.9363763754534168E-3</v>
      </c>
      <c r="AW80" s="120">
        <v>5.9628557690703998E-3</v>
      </c>
      <c r="AX80" s="120">
        <v>6.3381323122812111E-3</v>
      </c>
      <c r="AY80" s="120">
        <v>7.1247522343282138E-3</v>
      </c>
      <c r="AZ80" s="120">
        <v>7.9459926228072283E-3</v>
      </c>
      <c r="BA80" s="120">
        <v>9.7208102767549331E-3</v>
      </c>
      <c r="BB80" s="120">
        <v>1.3184275931090093E-2</v>
      </c>
      <c r="BC80" s="120">
        <v>2.1034932453713875E-2</v>
      </c>
      <c r="BE80" s="120">
        <v>0.19907586195287028</v>
      </c>
      <c r="BF80" s="120">
        <v>0.18878050245940936</v>
      </c>
      <c r="BG80" s="120">
        <v>0.18441676671587817</v>
      </c>
      <c r="BH80" s="120">
        <v>0.1823405778521279</v>
      </c>
      <c r="BI80" s="120">
        <v>0.17743121825078453</v>
      </c>
      <c r="BJ80" s="120">
        <v>0.17119869568511817</v>
      </c>
      <c r="BK80" s="120">
        <v>0.16552941306135682</v>
      </c>
      <c r="BL80" s="120">
        <v>0.16433676013830126</v>
      </c>
      <c r="BM80" s="120">
        <v>0.17400018539953716</v>
      </c>
      <c r="BN80" s="120">
        <v>0.18376721386760217</v>
      </c>
      <c r="BO80" s="120">
        <v>0.20428298484579038</v>
      </c>
      <c r="BP80" s="120">
        <v>0.23695858334988651</v>
      </c>
      <c r="BQ80" s="120">
        <v>0.28594177887021927</v>
      </c>
    </row>
    <row r="81" spans="1:69" ht="12.75" x14ac:dyDescent="0.2">
      <c r="A81">
        <v>-0.38400000000000001</v>
      </c>
      <c r="B81">
        <v>-0.33300000000000002</v>
      </c>
      <c r="C81" s="139">
        <v>-0.24099999999999999</v>
      </c>
      <c r="D81" s="139">
        <v>-0.17599999999999999</v>
      </c>
      <c r="E81" s="139">
        <v>-0.126</v>
      </c>
      <c r="F81" s="139">
        <v>-0.125</v>
      </c>
      <c r="G81" s="139">
        <v>-0.11700000000000001</v>
      </c>
      <c r="H81" s="139">
        <v>-0.12</v>
      </c>
      <c r="I81" s="139">
        <v>-0.114</v>
      </c>
      <c r="J81" s="139"/>
      <c r="M81" t="s">
        <v>102</v>
      </c>
      <c r="N81" s="105">
        <v>17.7</v>
      </c>
      <c r="O81" s="105">
        <v>15.7</v>
      </c>
      <c r="P81" s="105">
        <v>14.8</v>
      </c>
      <c r="Q81" s="105">
        <v>14.2</v>
      </c>
      <c r="R81" s="105">
        <v>14.2</v>
      </c>
      <c r="S81" s="105">
        <v>14.3</v>
      </c>
      <c r="T81" s="105">
        <v>14.9</v>
      </c>
      <c r="U81" s="105">
        <v>16.100000000000001</v>
      </c>
      <c r="V81" s="105">
        <v>17.3</v>
      </c>
      <c r="W81" s="105">
        <v>18.5</v>
      </c>
      <c r="X81" s="105">
        <v>20.5</v>
      </c>
      <c r="Y81" s="106">
        <v>23.7</v>
      </c>
      <c r="Z81" s="105">
        <v>28.5</v>
      </c>
      <c r="AQ81" s="120">
        <v>6.8977500042375446E-3</v>
      </c>
      <c r="AR81" s="120">
        <v>6.6145121211635726E-3</v>
      </c>
      <c r="AS81" s="120">
        <v>6.5191393499275134E-3</v>
      </c>
      <c r="AT81" s="120">
        <v>6.369320177413245E-3</v>
      </c>
      <c r="AU81" s="120">
        <v>6.4136754166414451E-3</v>
      </c>
      <c r="AV81" s="120">
        <v>6.4551822481254927E-3</v>
      </c>
      <c r="AW81" s="120">
        <v>6.4069505351451216E-3</v>
      </c>
      <c r="AX81" s="120">
        <v>6.7080407764879852E-3</v>
      </c>
      <c r="AY81" s="120">
        <v>7.2527539866553917E-3</v>
      </c>
      <c r="AZ81" s="120">
        <v>8.052712742970411E-3</v>
      </c>
      <c r="BA81" s="120">
        <v>9.6221782854385377E-3</v>
      </c>
      <c r="BB81" s="120">
        <v>1.2939274968128342E-2</v>
      </c>
      <c r="BC81" s="120">
        <v>2.0658897759531128E-2</v>
      </c>
      <c r="BE81" s="120">
        <v>0.21201402184269999</v>
      </c>
      <c r="BF81" s="120">
        <v>0.19879163012285606</v>
      </c>
      <c r="BG81" s="120">
        <v>0.19173418267558967</v>
      </c>
      <c r="BH81" s="120">
        <v>0.18340669656337777</v>
      </c>
      <c r="BI81" s="120">
        <v>0.18115574803335729</v>
      </c>
      <c r="BJ81" s="120">
        <v>0.17897130887684898</v>
      </c>
      <c r="BK81" s="120">
        <v>0.17131895749456305</v>
      </c>
      <c r="BL81" s="120">
        <v>0.16793525301486392</v>
      </c>
      <c r="BM81" s="120">
        <v>0.17109875072537625</v>
      </c>
      <c r="BN81" s="120">
        <v>0.18009738678060674</v>
      </c>
      <c r="BO81" s="120">
        <v>0.19574108222190803</v>
      </c>
      <c r="BP81" s="120">
        <v>0.22560582418926003</v>
      </c>
      <c r="BQ81" s="120">
        <v>0.27364646560528039</v>
      </c>
    </row>
    <row r="82" spans="1:69" ht="12.75" x14ac:dyDescent="0.2">
      <c r="A82">
        <v>-0.38100000000000001</v>
      </c>
      <c r="B82">
        <v>-0.32800000000000001</v>
      </c>
      <c r="C82" s="139">
        <v>-0.23400000000000001</v>
      </c>
      <c r="D82" s="139">
        <v>-0.17100000000000001</v>
      </c>
      <c r="E82" s="139">
        <v>-0.11700000000000001</v>
      </c>
      <c r="F82" s="139">
        <v>-0.11600000000000001</v>
      </c>
      <c r="G82" s="139">
        <v>-0.109</v>
      </c>
      <c r="H82" s="139">
        <v>-0.11</v>
      </c>
      <c r="I82" s="139">
        <v>-0.10199999999999999</v>
      </c>
      <c r="J82" s="139"/>
      <c r="K82" s="139"/>
      <c r="M82" t="s">
        <v>103</v>
      </c>
      <c r="N82" s="105">
        <v>18.8</v>
      </c>
      <c r="O82" s="105">
        <v>16.899999999999999</v>
      </c>
      <c r="P82" s="105">
        <v>16.100000000000001</v>
      </c>
      <c r="Q82" s="105">
        <v>15.5</v>
      </c>
      <c r="R82" s="105">
        <v>15.4</v>
      </c>
      <c r="S82" s="105">
        <v>15.4</v>
      </c>
      <c r="T82" s="105">
        <v>15.7</v>
      </c>
      <c r="U82" s="105">
        <v>16.5</v>
      </c>
      <c r="V82" s="105">
        <v>17.100000000000001</v>
      </c>
      <c r="W82" s="105">
        <v>17.8</v>
      </c>
      <c r="X82" s="105">
        <v>19.2</v>
      </c>
      <c r="Y82" s="106">
        <v>21.6</v>
      </c>
      <c r="Z82" s="105">
        <v>25.4</v>
      </c>
      <c r="AQ82" s="120">
        <v>7.5449083028297122E-3</v>
      </c>
      <c r="AR82" s="120">
        <v>7.1923884628630509E-3</v>
      </c>
      <c r="AS82" s="120">
        <v>7.2653144427035675E-3</v>
      </c>
      <c r="AT82" s="120">
        <v>7.2785389821355241E-3</v>
      </c>
      <c r="AU82" s="120">
        <v>7.2483078998034191E-3</v>
      </c>
      <c r="AV82" s="120">
        <v>7.2088608306253863E-3</v>
      </c>
      <c r="AW82" s="120">
        <v>7.1074940429693215E-3</v>
      </c>
      <c r="AX82" s="120">
        <v>7.2975944681945128E-3</v>
      </c>
      <c r="AY82" s="120">
        <v>7.3144958286847465E-3</v>
      </c>
      <c r="AZ82" s="120">
        <v>7.5779756573207818E-3</v>
      </c>
      <c r="BA82" s="120">
        <v>8.6525739379805962E-3</v>
      </c>
      <c r="BB82" s="120">
        <v>1.0982660421040654E-2</v>
      </c>
      <c r="BC82" s="120">
        <v>1.6481300414717161E-2</v>
      </c>
      <c r="BE82" s="120">
        <v>0.2202435513754091</v>
      </c>
      <c r="BF82" s="120">
        <v>0.20817302672881444</v>
      </c>
      <c r="BG82" s="120">
        <v>0.20600577334599279</v>
      </c>
      <c r="BH82" s="120">
        <v>0.20230843429162693</v>
      </c>
      <c r="BI82" s="120">
        <v>0.19749288910714374</v>
      </c>
      <c r="BJ82" s="120">
        <v>0.19266134662493384</v>
      </c>
      <c r="BK82" s="120">
        <v>0.18314036869438483</v>
      </c>
      <c r="BL82" s="120">
        <v>0.17601941566003551</v>
      </c>
      <c r="BM82" s="120">
        <v>0.16615651302143103</v>
      </c>
      <c r="BN82" s="120">
        <v>0.16303110667055043</v>
      </c>
      <c r="BO82" s="120">
        <v>0.16933681131180028</v>
      </c>
      <c r="BP82" s="120">
        <v>0.18407888450070195</v>
      </c>
      <c r="BQ82" s="120">
        <v>0.20927872518596086</v>
      </c>
    </row>
    <row r="83" spans="1:69" ht="12.75" x14ac:dyDescent="0.2">
      <c r="A83">
        <v>-0.33300000000000002</v>
      </c>
      <c r="B83">
        <v>-0.28199999999999997</v>
      </c>
      <c r="C83" s="139">
        <v>-0.17799999999999999</v>
      </c>
      <c r="D83" s="139">
        <v>-0.11799999999999999</v>
      </c>
      <c r="E83" s="139">
        <v>-5.3999999999999999E-2</v>
      </c>
      <c r="F83" s="139">
        <v>-5.8999999999999997E-2</v>
      </c>
      <c r="G83" s="139">
        <v>-5.3999999999999999E-2</v>
      </c>
      <c r="H83" s="139">
        <v>-4.2000000000000003E-2</v>
      </c>
      <c r="I83" s="139">
        <v>-2.4E-2</v>
      </c>
      <c r="J83" s="139"/>
      <c r="K83" s="139"/>
      <c r="M83" t="s">
        <v>104</v>
      </c>
      <c r="N83" s="105">
        <v>19.5</v>
      </c>
      <c r="O83" s="105">
        <v>17.7</v>
      </c>
      <c r="P83" s="105">
        <v>16.899999999999999</v>
      </c>
      <c r="Q83" s="105">
        <v>16.3</v>
      </c>
      <c r="R83" s="105">
        <v>16.100000000000001</v>
      </c>
      <c r="S83" s="105">
        <v>16.100000000000001</v>
      </c>
      <c r="T83" s="105">
        <v>16.3</v>
      </c>
      <c r="U83" s="105">
        <v>16.600000000000001</v>
      </c>
      <c r="V83" s="105">
        <v>17</v>
      </c>
      <c r="W83" s="105">
        <v>17.3</v>
      </c>
      <c r="X83" s="105">
        <v>18.2</v>
      </c>
      <c r="Y83" s="106">
        <v>19.8</v>
      </c>
      <c r="Z83" s="106">
        <f t="shared" ref="Z83:Z88" si="1">Z101-0.3</f>
        <v>23.099999999999998</v>
      </c>
      <c r="AQ83" s="120">
        <v>7.8522174355805177E-3</v>
      </c>
      <c r="AR83" s="120">
        <v>7.4579299789040406E-3</v>
      </c>
      <c r="AS83" s="120">
        <v>7.3190619362063928E-3</v>
      </c>
      <c r="AT83" s="120">
        <v>7.2543538403664603E-3</v>
      </c>
      <c r="AU83" s="120">
        <v>7.156707328047289E-3</v>
      </c>
      <c r="AV83" s="120">
        <v>7.311614494936839E-3</v>
      </c>
      <c r="AW83" s="120">
        <v>7.4866711197028027E-3</v>
      </c>
      <c r="AX83" s="120">
        <v>7.161957199164925E-3</v>
      </c>
      <c r="AY83" s="120">
        <v>7.6358645983648213E-3</v>
      </c>
      <c r="AZ83" s="120">
        <v>7.7769259107615318E-3</v>
      </c>
      <c r="BA83" s="120">
        <v>8.6218676877460824E-3</v>
      </c>
      <c r="BB83" s="120">
        <v>1.0427327938935546E-2</v>
      </c>
      <c r="BC83" s="120">
        <v>1.6382750202940808E-2</v>
      </c>
      <c r="BE83" s="120">
        <v>0.21988203462049916</v>
      </c>
      <c r="BF83" s="120">
        <v>0.20820292201741825</v>
      </c>
      <c r="BG83" s="120">
        <v>0.19993799913629276</v>
      </c>
      <c r="BH83" s="120">
        <v>0.1941458585935886</v>
      </c>
      <c r="BI83" s="120">
        <v>0.18780746534949924</v>
      </c>
      <c r="BJ83" s="120">
        <v>0.18846224738962958</v>
      </c>
      <c r="BK83" s="120">
        <v>0.18636077371608056</v>
      </c>
      <c r="BL83" s="120">
        <v>0.16677526258063674</v>
      </c>
      <c r="BM83" s="120">
        <v>0.16792825306106304</v>
      </c>
      <c r="BN83" s="120">
        <v>0.16216413228459883</v>
      </c>
      <c r="BO83" s="120">
        <v>0.16375046732077106</v>
      </c>
      <c r="BP83" s="120">
        <v>0.17000449021967171</v>
      </c>
      <c r="BQ83" s="120">
        <v>0.20413266866566893</v>
      </c>
    </row>
    <row r="84" spans="1:69" ht="12.75" x14ac:dyDescent="0.2">
      <c r="A84">
        <v>-0.247</v>
      </c>
      <c r="B84">
        <v>-0.185</v>
      </c>
      <c r="C84" s="139">
        <v>-8.1000000000000003E-2</v>
      </c>
      <c r="D84" s="139">
        <v>-2.7E-2</v>
      </c>
      <c r="E84" s="139">
        <v>0.05</v>
      </c>
      <c r="F84" s="139">
        <v>3.1E-2</v>
      </c>
      <c r="G84" s="139">
        <v>3.7999999999999999E-2</v>
      </c>
      <c r="H84" s="139">
        <v>6.9000000000000006E-2</v>
      </c>
      <c r="I84" s="139">
        <v>0.1</v>
      </c>
      <c r="J84" s="139"/>
      <c r="K84" s="139"/>
      <c r="M84" t="s">
        <v>105</v>
      </c>
      <c r="N84" s="105">
        <v>19.899999999999999</v>
      </c>
      <c r="O84" s="105">
        <v>18.2</v>
      </c>
      <c r="P84" s="105">
        <v>17.5</v>
      </c>
      <c r="Q84" s="105">
        <v>16.899999999999999</v>
      </c>
      <c r="R84" s="105">
        <v>16.7</v>
      </c>
      <c r="S84" s="105">
        <v>16.5</v>
      </c>
      <c r="T84" s="105">
        <v>16.600000000000001</v>
      </c>
      <c r="U84" s="105">
        <v>16.7</v>
      </c>
      <c r="V84" s="105">
        <v>16.8</v>
      </c>
      <c r="W84" s="105">
        <v>16.899999999999999</v>
      </c>
      <c r="X84" s="105">
        <v>17.3</v>
      </c>
      <c r="Y84" s="106">
        <v>18.5</v>
      </c>
      <c r="Z84" s="106">
        <f t="shared" si="1"/>
        <v>21.2</v>
      </c>
      <c r="AQ84" s="120">
        <v>8.3245373991289156E-3</v>
      </c>
      <c r="AR84" s="120">
        <v>7.4478483300488034E-3</v>
      </c>
      <c r="AS84" s="120">
        <v>7.6073693022822124E-3</v>
      </c>
      <c r="AT84" s="120">
        <v>7.5624668201203053E-3</v>
      </c>
      <c r="AU84" s="120">
        <v>7.686888669612508E-3</v>
      </c>
      <c r="AV84" s="120">
        <v>7.2342676771069148E-3</v>
      </c>
      <c r="AW84" s="120">
        <v>7.2707946677321254E-3</v>
      </c>
      <c r="AX84" s="120">
        <v>7.5209933810636278E-3</v>
      </c>
      <c r="AY84" s="120">
        <v>7.3833799467080225E-3</v>
      </c>
      <c r="AZ84" s="120">
        <v>7.6363496006711436E-3</v>
      </c>
      <c r="BA84" s="120">
        <v>8.0043467297989199E-3</v>
      </c>
      <c r="BB84" s="120">
        <v>9.9464592343515429E-3</v>
      </c>
      <c r="BC84" s="120">
        <v>1.4438029767169661E-2</v>
      </c>
      <c r="BE84" s="120">
        <v>0.21482989276096753</v>
      </c>
      <c r="BF84" s="120">
        <v>0.20396669357550512</v>
      </c>
      <c r="BG84" s="120">
        <v>0.20424674411034019</v>
      </c>
      <c r="BH84" s="120">
        <v>0.19900884357775656</v>
      </c>
      <c r="BI84" s="120">
        <v>0.1985129956741237</v>
      </c>
      <c r="BJ84" s="120">
        <v>0.18301741706107519</v>
      </c>
      <c r="BK84" s="120">
        <v>0.17749673235028349</v>
      </c>
      <c r="BL84" s="120">
        <v>0.17222955451449024</v>
      </c>
      <c r="BM84" s="120">
        <v>0.15930846442365126</v>
      </c>
      <c r="BN84" s="120">
        <v>0.15630323860756276</v>
      </c>
      <c r="BO84" s="120">
        <v>0.14913244553836449</v>
      </c>
      <c r="BP84" s="120">
        <v>0.15930111818428891</v>
      </c>
      <c r="BQ84" s="120">
        <v>0.17607559793891631</v>
      </c>
    </row>
    <row r="85" spans="1:69" ht="12.75" x14ac:dyDescent="0.2">
      <c r="A85">
        <v>-0.13600000000000001</v>
      </c>
      <c r="B85">
        <v>-6.3E-2</v>
      </c>
      <c r="C85" s="139">
        <v>3.5999999999999997E-2</v>
      </c>
      <c r="D85" s="139">
        <v>8.4000000000000005E-2</v>
      </c>
      <c r="E85" s="139">
        <v>0.17399999999999999</v>
      </c>
      <c r="F85" s="139">
        <v>0.14499999999999999</v>
      </c>
      <c r="G85" s="139">
        <v>0.158</v>
      </c>
      <c r="H85" s="139">
        <v>0.20599999999999999</v>
      </c>
      <c r="I85" s="139">
        <v>0.247</v>
      </c>
      <c r="J85" s="139"/>
      <c r="K85" s="139"/>
      <c r="M85" t="s">
        <v>106</v>
      </c>
      <c r="N85" s="105">
        <v>20.100000000000001</v>
      </c>
      <c r="O85" s="105">
        <v>18.5</v>
      </c>
      <c r="P85" s="105">
        <v>17.8</v>
      </c>
      <c r="Q85" s="105">
        <v>17.3</v>
      </c>
      <c r="R85" s="105">
        <v>17</v>
      </c>
      <c r="S85" s="105">
        <v>16.899999999999999</v>
      </c>
      <c r="T85" s="105">
        <v>16.8</v>
      </c>
      <c r="U85" s="105">
        <v>16.7</v>
      </c>
      <c r="V85" s="105">
        <v>16.7</v>
      </c>
      <c r="W85" s="106">
        <v>16.8</v>
      </c>
      <c r="X85" s="105">
        <v>16.7</v>
      </c>
      <c r="Y85" s="106">
        <v>17.399999999999999</v>
      </c>
      <c r="Z85" s="106">
        <f t="shared" si="1"/>
        <v>19.599999999999998</v>
      </c>
      <c r="AQ85" s="120">
        <v>8.1217421093194037E-3</v>
      </c>
      <c r="AR85" s="120">
        <v>7.4368377919501174E-3</v>
      </c>
      <c r="AS85" s="120">
        <v>7.2673450684942716E-3</v>
      </c>
      <c r="AT85" s="120">
        <v>7.5018870624183002E-3</v>
      </c>
      <c r="AU85" s="120">
        <v>7.2323143725570305E-3</v>
      </c>
      <c r="AV85" s="120">
        <v>7.7751015795880897E-3</v>
      </c>
      <c r="AW85" s="120">
        <v>7.4629986253377046E-3</v>
      </c>
      <c r="AX85" s="120">
        <v>7.3569709606201312E-3</v>
      </c>
      <c r="AY85" s="120">
        <v>7.7372804079794671E-3</v>
      </c>
      <c r="AZ85" s="120">
        <v>8.2976465496204868E-3</v>
      </c>
      <c r="BA85" s="120">
        <v>8.2014724725990897E-3</v>
      </c>
      <c r="BB85" s="120">
        <v>9.2884298791051974E-3</v>
      </c>
      <c r="BC85" s="120">
        <v>1.3449057642072446E-2</v>
      </c>
      <c r="BE85" s="120">
        <v>0.20959505303380527</v>
      </c>
      <c r="BF85" s="120">
        <v>0.19981033902702208</v>
      </c>
      <c r="BG85" s="120">
        <v>0.19105747396704625</v>
      </c>
      <c r="BH85" s="120">
        <v>0.19355272544058313</v>
      </c>
      <c r="BI85" s="120">
        <v>0.18280127168551022</v>
      </c>
      <c r="BJ85" s="120">
        <v>0.19344193187735845</v>
      </c>
      <c r="BK85" s="120">
        <v>0.17899695882552147</v>
      </c>
      <c r="BL85" s="120">
        <v>0.16525453196280876</v>
      </c>
      <c r="BM85" s="120">
        <v>0.16418922807055458</v>
      </c>
      <c r="BN85" s="120">
        <v>0.16720703500244249</v>
      </c>
      <c r="BO85" s="120">
        <v>0.15037789912775384</v>
      </c>
      <c r="BP85" s="120">
        <v>0.14622548758625084</v>
      </c>
      <c r="BQ85" s="120">
        <v>0.16181788612872147</v>
      </c>
    </row>
    <row r="86" spans="1:69" ht="12.75" x14ac:dyDescent="0.2">
      <c r="A86">
        <v>-8.9999999999999993E-3</v>
      </c>
      <c r="B86">
        <v>7.2999999999999995E-2</v>
      </c>
      <c r="C86" s="139">
        <v>0.16900000000000001</v>
      </c>
      <c r="D86" s="139">
        <v>0.214</v>
      </c>
      <c r="E86" s="139">
        <v>0.315</v>
      </c>
      <c r="F86" s="139">
        <v>0.27</v>
      </c>
      <c r="G86" s="139">
        <v>0.28599999999999998</v>
      </c>
      <c r="H86" s="139">
        <v>0.35199999999999998</v>
      </c>
      <c r="I86" s="139">
        <v>0.39800000000000002</v>
      </c>
      <c r="J86" s="139"/>
      <c r="K86" s="139"/>
      <c r="M86" t="s">
        <v>79</v>
      </c>
      <c r="N86" s="105">
        <v>20.3</v>
      </c>
      <c r="O86" s="105">
        <v>18.8</v>
      </c>
      <c r="P86" s="105">
        <v>18.100000000000001</v>
      </c>
      <c r="Q86" s="105">
        <v>17.600000000000001</v>
      </c>
      <c r="R86" s="105">
        <v>17.3</v>
      </c>
      <c r="S86" s="105">
        <v>17.100000000000001</v>
      </c>
      <c r="T86" s="105">
        <v>17</v>
      </c>
      <c r="U86" s="105">
        <v>16.8</v>
      </c>
      <c r="V86" s="105">
        <v>16.600000000000001</v>
      </c>
      <c r="W86" s="105">
        <v>16.399999999999999</v>
      </c>
      <c r="X86" s="105">
        <v>16.3</v>
      </c>
      <c r="Y86" s="106">
        <v>16.7</v>
      </c>
      <c r="Z86" s="106">
        <f t="shared" si="1"/>
        <v>18.5</v>
      </c>
      <c r="AQ86" s="120">
        <v>7.9910024293200956E-3</v>
      </c>
      <c r="AR86" s="120">
        <v>7.6853056220818877E-3</v>
      </c>
      <c r="AS86" s="120">
        <v>7.6853056220818877E-3</v>
      </c>
      <c r="AT86" s="120">
        <v>7.5738062626147266E-3</v>
      </c>
      <c r="AU86" s="120">
        <v>7.7066617103933224E-3</v>
      </c>
      <c r="AV86" s="120">
        <v>7.2914608032293143E-3</v>
      </c>
      <c r="AW86" s="120">
        <v>7.6674489462050773E-3</v>
      </c>
      <c r="AX86" s="120">
        <v>7.8705706457920244E-3</v>
      </c>
      <c r="AY86" s="120">
        <v>7.5918022692157703E-3</v>
      </c>
      <c r="AZ86" s="120">
        <v>7.0057928889384656E-3</v>
      </c>
      <c r="BA86" s="120">
        <v>8.1380027745678891E-3</v>
      </c>
      <c r="BB86" s="120">
        <v>9.4545679906319294E-3</v>
      </c>
      <c r="BC86" s="120">
        <v>1.3333456186078603E-2</v>
      </c>
      <c r="BE86" s="120">
        <v>0.21528495080279073</v>
      </c>
      <c r="BF86" s="120">
        <v>0.20715184948985588</v>
      </c>
      <c r="BG86" s="120">
        <v>0.20143602148569387</v>
      </c>
      <c r="BH86" s="120">
        <v>0.19447400169147305</v>
      </c>
      <c r="BI86" s="120">
        <v>0.19425051615732294</v>
      </c>
      <c r="BJ86" s="120">
        <v>0.18002615162869354</v>
      </c>
      <c r="BK86" s="120">
        <v>0.18300337235191197</v>
      </c>
      <c r="BL86" s="120">
        <v>0.17618197805037991</v>
      </c>
      <c r="BM86" s="120">
        <v>0.16013093146358873</v>
      </c>
      <c r="BN86" s="120">
        <v>0.13988400449893612</v>
      </c>
      <c r="BO86" s="120">
        <v>0.14836602914617933</v>
      </c>
      <c r="BP86" s="120">
        <v>0.14820774308794091</v>
      </c>
      <c r="BQ86" s="120">
        <v>0.15963101342936037</v>
      </c>
    </row>
    <row r="87" spans="1:69" ht="12.75" x14ac:dyDescent="0.2">
      <c r="A87">
        <v>0.12300000000000001</v>
      </c>
      <c r="B87">
        <v>0.215</v>
      </c>
      <c r="C87" s="139">
        <v>0.30299999999999999</v>
      </c>
      <c r="D87" s="139">
        <v>0.34799999999999998</v>
      </c>
      <c r="E87" s="139">
        <v>0.45900000000000002</v>
      </c>
      <c r="F87" s="139">
        <v>0.39800000000000002</v>
      </c>
      <c r="G87" s="139">
        <v>0.41399999999999998</v>
      </c>
      <c r="H87" s="139">
        <v>0.498</v>
      </c>
      <c r="I87" s="139">
        <v>0.54500000000000004</v>
      </c>
      <c r="J87" s="139"/>
      <c r="K87" s="139"/>
      <c r="M87" t="s">
        <v>159</v>
      </c>
      <c r="N87" s="105">
        <v>20.399999999999999</v>
      </c>
      <c r="O87" s="105">
        <v>26.1</v>
      </c>
      <c r="P87" s="105">
        <v>18.399999999999999</v>
      </c>
      <c r="Q87" s="105">
        <v>17.899999999999999</v>
      </c>
      <c r="R87" s="105">
        <v>17.600000000000001</v>
      </c>
      <c r="S87" s="105">
        <v>17.399999999999999</v>
      </c>
      <c r="T87" s="105">
        <v>17.100000000000001</v>
      </c>
      <c r="U87" s="105">
        <v>16.7</v>
      </c>
      <c r="V87" s="105">
        <v>16.399999999999999</v>
      </c>
      <c r="W87" s="105">
        <v>16.100000000000001</v>
      </c>
      <c r="X87" s="105">
        <v>15.7</v>
      </c>
      <c r="Y87" s="106">
        <v>15.7</v>
      </c>
      <c r="Z87" s="106">
        <f t="shared" si="1"/>
        <v>16.7</v>
      </c>
      <c r="AQ87" s="120">
        <v>7.542389726099886E-3</v>
      </c>
      <c r="AR87" s="120">
        <v>7.311953405166138E-3</v>
      </c>
      <c r="AS87" s="120">
        <v>7.311953405166138E-3</v>
      </c>
      <c r="AT87" s="120">
        <v>7.3193676315046604E-3</v>
      </c>
      <c r="AU87" s="120">
        <v>7.2846445637931604E-3</v>
      </c>
      <c r="AV87" s="120">
        <v>7.6203438070307763E-3</v>
      </c>
      <c r="AW87" s="120">
        <v>7.1834720822219131E-3</v>
      </c>
      <c r="AX87" s="120">
        <v>7.0997864258452639E-3</v>
      </c>
      <c r="AY87" s="120">
        <v>7.5479862728199927E-3</v>
      </c>
      <c r="AZ87" s="120">
        <v>8.1503518702676237E-3</v>
      </c>
      <c r="BA87" s="120">
        <v>7.8914952190227497E-3</v>
      </c>
      <c r="BB87" s="120">
        <v>8.8367740379817032E-3</v>
      </c>
      <c r="BC87" s="120">
        <v>1.1320794103917394E-2</v>
      </c>
      <c r="BE87" s="120">
        <v>0.20206220335596589</v>
      </c>
      <c r="BF87" s="120">
        <v>0.189050488629042</v>
      </c>
      <c r="BG87" s="120">
        <v>0.189050488629042</v>
      </c>
      <c r="BH87" s="120">
        <v>0.18554938454758246</v>
      </c>
      <c r="BI87" s="120">
        <v>0.1810878079783278</v>
      </c>
      <c r="BJ87" s="120">
        <v>0.18634581294313654</v>
      </c>
      <c r="BK87" s="120">
        <v>0.16915160141217234</v>
      </c>
      <c r="BL87" s="120">
        <v>0.15661389289762898</v>
      </c>
      <c r="BM87" s="120">
        <v>0.15740881708698901</v>
      </c>
      <c r="BN87" s="120">
        <v>0.16155967022150414</v>
      </c>
      <c r="BO87" s="120">
        <v>0.1422255792207987</v>
      </c>
      <c r="BP87" s="120">
        <v>0.13686160165353939</v>
      </c>
      <c r="BQ87" s="120">
        <v>0.13376799245205903</v>
      </c>
    </row>
    <row r="88" spans="1:69" ht="12.75" x14ac:dyDescent="0.2">
      <c r="A88">
        <v>0.255</v>
      </c>
      <c r="B88">
        <v>0.35899999999999999</v>
      </c>
      <c r="C88" s="139">
        <v>0.438</v>
      </c>
      <c r="D88" s="139">
        <v>0.47699999999999998</v>
      </c>
      <c r="E88" s="139">
        <v>0.59699999999999998</v>
      </c>
      <c r="F88" s="139">
        <v>0.52800000000000002</v>
      </c>
      <c r="G88" s="139">
        <v>0.54100000000000004</v>
      </c>
      <c r="H88" s="139">
        <v>0.63500000000000001</v>
      </c>
      <c r="I88" s="139">
        <v>0.68200000000000005</v>
      </c>
      <c r="J88" s="139"/>
      <c r="K88" s="139"/>
      <c r="M88" t="s">
        <v>107</v>
      </c>
      <c r="N88" s="105">
        <v>20.2</v>
      </c>
      <c r="O88" s="105">
        <v>25.3</v>
      </c>
      <c r="P88" s="105">
        <v>18.5</v>
      </c>
      <c r="Q88" s="105">
        <v>18</v>
      </c>
      <c r="R88" s="105">
        <v>17.600000000000001</v>
      </c>
      <c r="S88" s="105">
        <v>17.399999999999999</v>
      </c>
      <c r="T88" s="105">
        <v>17.100000000000001</v>
      </c>
      <c r="U88" s="105">
        <v>16.600000000000001</v>
      </c>
      <c r="V88" s="105">
        <v>16.100000000000001</v>
      </c>
      <c r="W88" s="105">
        <v>15.7</v>
      </c>
      <c r="X88" s="105">
        <v>15.2</v>
      </c>
      <c r="Y88" s="106">
        <v>14.9</v>
      </c>
      <c r="Z88" s="106">
        <f t="shared" si="1"/>
        <v>15.2</v>
      </c>
      <c r="AQ88" s="120">
        <v>7.0232849153942121E-3</v>
      </c>
      <c r="AR88" s="120">
        <v>7.1620697981609315E-3</v>
      </c>
      <c r="AS88" s="120">
        <v>7.1620697981609315E-3</v>
      </c>
      <c r="AT88" s="120">
        <v>7.0783625041603935E-3</v>
      </c>
      <c r="AU88" s="120">
        <v>6.8993144042212183E-3</v>
      </c>
      <c r="AV88" s="120">
        <v>6.7477689705653056E-3</v>
      </c>
      <c r="AW88" s="120">
        <v>7.2652583008967417E-3</v>
      </c>
      <c r="AX88" s="120">
        <v>7.5626046308453392E-3</v>
      </c>
      <c r="AY88" s="120">
        <v>7.2199421411771967E-3</v>
      </c>
      <c r="AZ88" s="120">
        <v>6.9830121314426487E-3</v>
      </c>
      <c r="BA88" s="120">
        <v>7.8695882456182829E-3</v>
      </c>
      <c r="BB88" s="120">
        <v>8.8158322137889041E-3</v>
      </c>
      <c r="BC88" s="120">
        <v>1.1454853276775768E-2</v>
      </c>
      <c r="BE88" s="120">
        <v>0.19408505822953701</v>
      </c>
      <c r="BF88" s="120">
        <v>0.18647990915908344</v>
      </c>
      <c r="BG88" s="120">
        <v>0.18647990915908344</v>
      </c>
      <c r="BH88" s="120">
        <v>0.18053966790794049</v>
      </c>
      <c r="BI88" s="120">
        <v>0.17247150482565479</v>
      </c>
      <c r="BJ88" s="120">
        <v>0.16536936190601798</v>
      </c>
      <c r="BK88" s="120">
        <v>0.17228652031069008</v>
      </c>
      <c r="BL88" s="120">
        <v>0.16822832166111362</v>
      </c>
      <c r="BM88" s="120">
        <v>0.15123157986025201</v>
      </c>
      <c r="BN88" s="120">
        <v>0.13853249555841612</v>
      </c>
      <c r="BO88" s="120">
        <v>0.14252807017522326</v>
      </c>
      <c r="BP88" s="120">
        <v>0.13722754495327885</v>
      </c>
      <c r="BQ88" s="120">
        <v>0.13615250722992978</v>
      </c>
    </row>
    <row r="89" spans="1:69" ht="12.75" x14ac:dyDescent="0.2">
      <c r="A89">
        <v>0.38</v>
      </c>
      <c r="B89">
        <v>0.49299999999999999</v>
      </c>
      <c r="C89" s="139">
        <v>0.56699999999999995</v>
      </c>
      <c r="D89" s="139">
        <v>0.59799999999999998</v>
      </c>
      <c r="E89" s="139">
        <v>0.72199999999999998</v>
      </c>
      <c r="F89" s="139">
        <v>0.64300000000000002</v>
      </c>
      <c r="G89" s="139">
        <v>0.65600000000000003</v>
      </c>
      <c r="H89" s="139">
        <v>0.76200000000000001</v>
      </c>
      <c r="I89" s="139">
        <v>0.80600000000000005</v>
      </c>
      <c r="J89" s="139"/>
      <c r="K89" s="139"/>
      <c r="M89" t="s">
        <v>108</v>
      </c>
      <c r="N89" s="105">
        <v>19.899999999999999</v>
      </c>
      <c r="O89" s="105">
        <v>24.5</v>
      </c>
      <c r="P89" s="105">
        <v>18.399999999999999</v>
      </c>
      <c r="Q89" s="105">
        <v>17.899999999999999</v>
      </c>
      <c r="R89" s="105">
        <v>17.600000000000001</v>
      </c>
      <c r="S89" s="105">
        <v>17.399999999999999</v>
      </c>
      <c r="T89" s="105">
        <v>17</v>
      </c>
      <c r="U89" s="105">
        <v>16.3</v>
      </c>
      <c r="V89" s="105">
        <v>15.7</v>
      </c>
      <c r="W89" s="105">
        <v>15.3</v>
      </c>
      <c r="X89" s="105">
        <v>14.6</v>
      </c>
      <c r="Y89" s="106">
        <v>14.1</v>
      </c>
      <c r="Z89" s="106">
        <v>14.1</v>
      </c>
      <c r="AQ89" s="120">
        <v>6.8806624648247898E-3</v>
      </c>
      <c r="AR89" s="120">
        <v>6.6694383119361373E-3</v>
      </c>
      <c r="AS89" s="120">
        <v>6.6694383119361373E-3</v>
      </c>
      <c r="AT89" s="120">
        <v>6.6432541621680432E-3</v>
      </c>
      <c r="AU89" s="120">
        <v>6.9384151963895755E-3</v>
      </c>
      <c r="AV89" s="120">
        <v>7.1446016447820606E-3</v>
      </c>
      <c r="AW89" s="120">
        <v>6.7510212955005098E-3</v>
      </c>
      <c r="AX89" s="120">
        <v>6.4880609128992071E-3</v>
      </c>
      <c r="AY89" s="120">
        <v>6.8609103909120705E-3</v>
      </c>
      <c r="AZ89" s="120">
        <v>7.4101289423810631E-3</v>
      </c>
      <c r="BA89" s="120">
        <v>7.0297442612154964E-3</v>
      </c>
      <c r="BB89" s="120">
        <v>7.7976020018518614E-3</v>
      </c>
      <c r="BC89" s="120">
        <v>1.0427489085138509E-2</v>
      </c>
      <c r="BE89" s="120">
        <v>0.19373999182975815</v>
      </c>
      <c r="BF89" s="120">
        <v>0.17871644971387687</v>
      </c>
      <c r="BG89" s="120">
        <v>0.17871644971387687</v>
      </c>
      <c r="BH89" s="120">
        <v>0.1743722634948395</v>
      </c>
      <c r="BI89" s="120">
        <v>0.17878579828736693</v>
      </c>
      <c r="BJ89" s="120">
        <v>0.18082654662653119</v>
      </c>
      <c r="BK89" s="120">
        <v>0.16455209020716383</v>
      </c>
      <c r="BL89" s="120">
        <v>0.14788234343910045</v>
      </c>
      <c r="BM89" s="120">
        <v>0.14751887365339603</v>
      </c>
      <c r="BN89" s="120">
        <v>0.15120401900816355</v>
      </c>
      <c r="BO89" s="120">
        <v>0.1303313443768031</v>
      </c>
      <c r="BP89" s="120">
        <v>0.12403181181755939</v>
      </c>
      <c r="BQ89" s="120">
        <v>0.12641883313119606</v>
      </c>
    </row>
    <row r="90" spans="1:69" ht="12.75" x14ac:dyDescent="0.2">
      <c r="A90">
        <v>0.49399999999999999</v>
      </c>
      <c r="B90">
        <v>0.61599999999999999</v>
      </c>
      <c r="C90" s="139">
        <v>0.67400000000000004</v>
      </c>
      <c r="D90" s="139">
        <v>0.70599999999999996</v>
      </c>
      <c r="E90" s="139">
        <v>0.83299999999999996</v>
      </c>
      <c r="F90" s="139">
        <v>0.745</v>
      </c>
      <c r="G90" s="139">
        <v>0.75800000000000001</v>
      </c>
      <c r="H90" s="139">
        <v>0.874</v>
      </c>
      <c r="I90" s="139">
        <v>0.91500000000000004</v>
      </c>
      <c r="J90" s="139"/>
      <c r="K90" s="139"/>
      <c r="M90" t="s">
        <v>109</v>
      </c>
      <c r="N90" s="105">
        <v>19.7</v>
      </c>
      <c r="O90" s="105">
        <v>23.9</v>
      </c>
      <c r="P90" s="105">
        <v>18.3</v>
      </c>
      <c r="Q90" s="105">
        <v>17.899999999999999</v>
      </c>
      <c r="R90" s="105">
        <v>17.5</v>
      </c>
      <c r="S90" s="105">
        <v>17.3</v>
      </c>
      <c r="T90" s="105">
        <v>16.899999999999999</v>
      </c>
      <c r="U90" s="105">
        <v>16.100000000000001</v>
      </c>
      <c r="V90" s="105">
        <v>15.5</v>
      </c>
      <c r="W90" s="105">
        <v>15</v>
      </c>
      <c r="X90" s="106">
        <v>14.4</v>
      </c>
      <c r="Y90" s="106">
        <v>13.8</v>
      </c>
      <c r="Z90" s="106">
        <f t="shared" ref="Z90:Z91" si="2">Z108-0.3</f>
        <v>13.899999999999999</v>
      </c>
      <c r="AQ90" s="120">
        <v>6.3917440079394768E-3</v>
      </c>
      <c r="AR90" s="120">
        <v>6.4627006624716583E-3</v>
      </c>
      <c r="AS90" s="120">
        <v>6.4627006624716583E-3</v>
      </c>
      <c r="AT90" s="120">
        <v>6.6284422656100505E-3</v>
      </c>
      <c r="AU90" s="120">
        <v>6.1891831761322156E-3</v>
      </c>
      <c r="AV90" s="120">
        <v>6.1047782626307608E-3</v>
      </c>
      <c r="AW90" s="120">
        <v>6.5620599635746466E-3</v>
      </c>
      <c r="AX90" s="120">
        <v>6.7597027384687057E-3</v>
      </c>
      <c r="AY90" s="120">
        <v>6.6996861682389643E-3</v>
      </c>
      <c r="AZ90" s="120">
        <v>6.2626096623233608E-3</v>
      </c>
      <c r="BA90" s="120">
        <v>7.5150885882902347E-3</v>
      </c>
      <c r="BB90" s="120">
        <v>8.2530966797355679E-3</v>
      </c>
      <c r="BC90" s="120">
        <v>1.1359462464646277E-2</v>
      </c>
      <c r="BE90" s="120">
        <v>0.19097403197577398</v>
      </c>
      <c r="BF90" s="120">
        <v>0.18174234651551696</v>
      </c>
      <c r="BG90" s="120">
        <v>0.18174234651551696</v>
      </c>
      <c r="BH90" s="120">
        <v>0.1827323450838447</v>
      </c>
      <c r="BI90" s="120">
        <v>0.16701099237046088</v>
      </c>
      <c r="BJ90" s="120">
        <v>0.16162506067203897</v>
      </c>
      <c r="BK90" s="120">
        <v>0.16744165738319058</v>
      </c>
      <c r="BL90" s="120">
        <v>0.16110177049901864</v>
      </c>
      <c r="BM90" s="120">
        <v>0.15046260380566182</v>
      </c>
      <c r="BN90" s="120">
        <v>0.13317408967016947</v>
      </c>
      <c r="BO90" s="120">
        <v>0.14524078172871741</v>
      </c>
      <c r="BP90" s="120">
        <v>0.13649295001890541</v>
      </c>
      <c r="BQ90" s="120">
        <v>0.14294758732172086</v>
      </c>
    </row>
    <row r="91" spans="1:69" ht="12.75" x14ac:dyDescent="0.2">
      <c r="A91">
        <v>0.59599999999999997</v>
      </c>
      <c r="B91">
        <v>0.72699999999999998</v>
      </c>
      <c r="C91" s="139">
        <v>0.77600000000000002</v>
      </c>
      <c r="D91" s="139">
        <v>0.80500000000000005</v>
      </c>
      <c r="E91" s="139">
        <v>0.93100000000000005</v>
      </c>
      <c r="F91" s="139">
        <v>0.83899999999999997</v>
      </c>
      <c r="G91" s="139">
        <v>0.85199999999999998</v>
      </c>
      <c r="H91" s="139">
        <v>0.97499999999999998</v>
      </c>
      <c r="I91" s="139">
        <v>1.0129999999999999</v>
      </c>
      <c r="J91" s="139"/>
      <c r="K91" s="139"/>
      <c r="M91" t="s">
        <v>110</v>
      </c>
      <c r="N91" s="105">
        <v>19.5</v>
      </c>
      <c r="O91" s="105">
        <v>23.3</v>
      </c>
      <c r="P91" s="105">
        <v>18.2</v>
      </c>
      <c r="Q91" s="105">
        <v>17.8</v>
      </c>
      <c r="R91" s="106">
        <v>17.5</v>
      </c>
      <c r="S91" s="105">
        <v>17.2</v>
      </c>
      <c r="T91" s="105">
        <v>16.7</v>
      </c>
      <c r="U91" s="105">
        <v>15.9</v>
      </c>
      <c r="V91" s="105">
        <v>15.3</v>
      </c>
      <c r="W91" s="105">
        <v>14.8</v>
      </c>
      <c r="X91" s="105">
        <v>14.2</v>
      </c>
      <c r="Y91" s="106">
        <v>13.7</v>
      </c>
      <c r="Z91" s="106">
        <f t="shared" si="2"/>
        <v>13.6</v>
      </c>
      <c r="AQ91" s="120">
        <v>6.5100997979201788E-3</v>
      </c>
      <c r="AR91" s="120">
        <v>6.3277062868862715E-3</v>
      </c>
      <c r="AS91" s="120">
        <v>6.3277062868862715E-3</v>
      </c>
      <c r="AT91" s="120">
        <v>6.1705969610827659E-3</v>
      </c>
      <c r="AU91" s="120">
        <v>6.7845286306995808E-3</v>
      </c>
      <c r="AV91" s="120">
        <v>6.6410636244903058E-3</v>
      </c>
      <c r="AW91" s="120">
        <v>6.0841180397916434E-3</v>
      </c>
      <c r="AX91" s="120">
        <v>6.085632049427186E-3</v>
      </c>
      <c r="AY91" s="120">
        <v>6.3568439664505533E-3</v>
      </c>
      <c r="AZ91" s="120">
        <v>6.9487109970792571E-3</v>
      </c>
      <c r="BA91" s="120">
        <v>6.5939672897163222E-3</v>
      </c>
      <c r="BB91" s="120">
        <v>8.0257456038321517E-3</v>
      </c>
      <c r="BC91" s="120">
        <v>9.5265721714410615E-3</v>
      </c>
      <c r="BE91" s="120">
        <v>0.18650107053708756</v>
      </c>
      <c r="BF91" s="120">
        <v>0.17586408732892606</v>
      </c>
      <c r="BG91" s="120">
        <v>0.17586408732892606</v>
      </c>
      <c r="BH91" s="120">
        <v>0.16764872499432565</v>
      </c>
      <c r="BI91" s="120">
        <v>0.1815357158252045</v>
      </c>
      <c r="BJ91" s="120">
        <v>0.17376493937890222</v>
      </c>
      <c r="BK91" s="120">
        <v>0.15284206969248768</v>
      </c>
      <c r="BL91" s="120">
        <v>0.14309227650929562</v>
      </c>
      <c r="BM91" s="120">
        <v>0.14075967325229236</v>
      </c>
      <c r="BN91" s="120">
        <v>0.14592572240296217</v>
      </c>
      <c r="BO91" s="120">
        <v>0.12572440230944001</v>
      </c>
      <c r="BP91" s="120">
        <v>0.13160918376449179</v>
      </c>
      <c r="BQ91" s="120">
        <v>0.11830270533628263</v>
      </c>
    </row>
    <row r="92" spans="1:69" ht="12.75" x14ac:dyDescent="0.2">
      <c r="A92">
        <v>0.68899999999999995</v>
      </c>
      <c r="B92">
        <v>0.82499999999999996</v>
      </c>
      <c r="C92" s="139">
        <v>0.86499999999999999</v>
      </c>
      <c r="D92" s="139">
        <v>0.89400000000000002</v>
      </c>
      <c r="E92" s="139">
        <v>1.0189999999999999</v>
      </c>
      <c r="F92" s="139">
        <v>0.92100000000000004</v>
      </c>
      <c r="G92" s="139">
        <v>0.93600000000000005</v>
      </c>
      <c r="H92" s="139">
        <v>1.0649999999999999</v>
      </c>
      <c r="I92" s="139">
        <v>1.099</v>
      </c>
      <c r="J92" s="139"/>
      <c r="K92" s="139"/>
      <c r="N92" s="127"/>
      <c r="O92" s="127"/>
      <c r="P92" s="127"/>
      <c r="Q92" s="127"/>
      <c r="R92" s="127"/>
      <c r="S92" s="128"/>
      <c r="T92" s="128"/>
      <c r="U92" s="128"/>
      <c r="V92" s="128"/>
      <c r="W92" s="128"/>
      <c r="X92" s="128"/>
      <c r="Y92" s="128"/>
      <c r="Z92" s="128"/>
    </row>
    <row r="93" spans="1:69" ht="12.75" x14ac:dyDescent="0.2">
      <c r="A93">
        <v>0.90200000000000002</v>
      </c>
      <c r="B93">
        <v>1.0509999999999999</v>
      </c>
      <c r="C93" s="139">
        <v>1.077</v>
      </c>
      <c r="D93" s="139">
        <v>1.1000000000000001</v>
      </c>
      <c r="E93" s="139">
        <v>1.2110000000000001</v>
      </c>
      <c r="F93" s="139">
        <v>1.1040000000000001</v>
      </c>
      <c r="G93" s="139">
        <v>1.1259999999999999</v>
      </c>
      <c r="H93" s="139">
        <v>1.2649999999999999</v>
      </c>
      <c r="I93" s="139">
        <v>1.286</v>
      </c>
      <c r="J93" s="139"/>
      <c r="K93" s="139"/>
    </row>
    <row r="94" spans="1:69" ht="12.75" x14ac:dyDescent="0.2">
      <c r="A94">
        <v>1.089</v>
      </c>
      <c r="B94">
        <v>1.262</v>
      </c>
      <c r="C94" s="139">
        <v>1.2689999999999999</v>
      </c>
      <c r="D94" s="139">
        <v>1.282</v>
      </c>
      <c r="E94" s="139">
        <v>1.3819999999999999</v>
      </c>
      <c r="F94" s="139">
        <v>1.2669999999999999</v>
      </c>
      <c r="G94" s="139">
        <v>1.298</v>
      </c>
      <c r="H94" s="139">
        <v>1.4450000000000001</v>
      </c>
      <c r="I94" s="139">
        <v>1.4510000000000001</v>
      </c>
      <c r="J94" s="139"/>
      <c r="K94" s="105" t="s">
        <v>312</v>
      </c>
      <c r="N94">
        <v>-0.5</v>
      </c>
      <c r="O94">
        <v>-0.25</v>
      </c>
      <c r="P94">
        <v>-0.13</v>
      </c>
      <c r="Q94">
        <v>0</v>
      </c>
      <c r="R94">
        <v>0.125</v>
      </c>
      <c r="S94">
        <v>0.25</v>
      </c>
      <c r="T94">
        <v>0.5</v>
      </c>
      <c r="U94">
        <v>1</v>
      </c>
      <c r="V94">
        <v>1.5</v>
      </c>
      <c r="W94">
        <v>2</v>
      </c>
      <c r="X94">
        <v>3</v>
      </c>
      <c r="Y94">
        <v>5</v>
      </c>
      <c r="Z94">
        <v>10</v>
      </c>
    </row>
    <row r="95" spans="1:69" ht="12.75" x14ac:dyDescent="0.2">
      <c r="A95">
        <v>1.1539999999999999</v>
      </c>
      <c r="B95">
        <v>1.327</v>
      </c>
      <c r="C95" s="139">
        <v>1.3320000000000001</v>
      </c>
      <c r="D95" s="139">
        <v>1.3380000000000001</v>
      </c>
      <c r="E95" s="139">
        <v>1.4390000000000001</v>
      </c>
      <c r="F95" s="139">
        <v>1.3169999999999999</v>
      </c>
      <c r="G95" s="139">
        <v>1.353</v>
      </c>
      <c r="H95" s="139">
        <v>1.504</v>
      </c>
      <c r="I95" s="139">
        <v>1.5029999999999999</v>
      </c>
      <c r="J95" s="139"/>
      <c r="M95" t="s">
        <v>25</v>
      </c>
      <c r="N95" s="106">
        <v>8.1</v>
      </c>
      <c r="O95" s="106">
        <v>5.8</v>
      </c>
      <c r="P95" s="106">
        <v>5.2</v>
      </c>
      <c r="Q95" s="106">
        <v>5.6</v>
      </c>
      <c r="R95" s="106">
        <v>6.9</v>
      </c>
      <c r="S95" s="106">
        <v>8</v>
      </c>
      <c r="T95" s="106">
        <v>10.3</v>
      </c>
      <c r="U95" s="106">
        <v>14.1</v>
      </c>
      <c r="V95" s="106">
        <v>17.2</v>
      </c>
      <c r="W95" s="106">
        <v>19.7</v>
      </c>
      <c r="X95" s="106">
        <v>23.9</v>
      </c>
      <c r="Y95" s="106">
        <v>31.7</v>
      </c>
      <c r="Z95" s="106">
        <v>41.1</v>
      </c>
    </row>
    <row r="96" spans="1:69" ht="12.75" x14ac:dyDescent="0.2">
      <c r="A96">
        <v>1.177</v>
      </c>
      <c r="B96">
        <v>1.349</v>
      </c>
      <c r="C96" s="139">
        <v>1.357</v>
      </c>
      <c r="D96" s="139">
        <v>1.357</v>
      </c>
      <c r="E96" s="139">
        <v>1.466</v>
      </c>
      <c r="F96" s="139">
        <v>1.3380000000000001</v>
      </c>
      <c r="G96" s="139">
        <v>1.3779999999999999</v>
      </c>
      <c r="H96" s="139">
        <v>1.5309999999999999</v>
      </c>
      <c r="I96" s="139">
        <v>1.5329999999999999</v>
      </c>
      <c r="J96" s="139"/>
      <c r="M96" t="s">
        <v>157</v>
      </c>
      <c r="N96" s="105">
        <v>11.6</v>
      </c>
      <c r="O96" s="105">
        <v>8.9</v>
      </c>
      <c r="P96" s="105">
        <v>7.9</v>
      </c>
      <c r="Q96" s="105">
        <v>7.9</v>
      </c>
      <c r="R96" s="105">
        <v>9.1</v>
      </c>
      <c r="S96" s="105">
        <v>10.1</v>
      </c>
      <c r="T96" s="105">
        <v>12.5</v>
      </c>
      <c r="U96" s="105">
        <v>16.5</v>
      </c>
      <c r="V96" s="105">
        <v>19.8</v>
      </c>
      <c r="W96" s="105">
        <v>22.6</v>
      </c>
      <c r="X96" s="105">
        <v>27.1</v>
      </c>
      <c r="Y96" s="105">
        <v>33.5</v>
      </c>
      <c r="Z96" s="105">
        <v>43</v>
      </c>
    </row>
    <row r="97" spans="1:26" ht="12.75" x14ac:dyDescent="0.2">
      <c r="A97">
        <v>1.196</v>
      </c>
      <c r="B97">
        <v>1.3779999999999999</v>
      </c>
      <c r="C97" s="139">
        <v>1.389</v>
      </c>
      <c r="D97" s="139">
        <v>1.383</v>
      </c>
      <c r="E97" s="139">
        <v>1.504</v>
      </c>
      <c r="F97" s="139">
        <v>1.3720000000000001</v>
      </c>
      <c r="G97" s="139">
        <v>1.419</v>
      </c>
      <c r="H97" s="139">
        <v>1.5660000000000001</v>
      </c>
      <c r="I97" s="139">
        <v>1.5649999999999999</v>
      </c>
      <c r="J97" s="139"/>
      <c r="M97" t="s">
        <v>99</v>
      </c>
      <c r="N97" s="105">
        <v>14</v>
      </c>
      <c r="O97" s="105">
        <v>11.8</v>
      </c>
      <c r="P97" s="105">
        <v>10.9</v>
      </c>
      <c r="Q97" s="105">
        <v>10.4</v>
      </c>
      <c r="R97" s="105">
        <v>10.8</v>
      </c>
      <c r="S97" s="105">
        <v>11.1</v>
      </c>
      <c r="T97" s="105">
        <v>12.6</v>
      </c>
      <c r="U97" s="105">
        <v>15.2</v>
      </c>
      <c r="V97" s="105">
        <v>17.5</v>
      </c>
      <c r="W97" s="105">
        <v>19.399999999999999</v>
      </c>
      <c r="X97" s="105">
        <v>22.6</v>
      </c>
      <c r="Y97" s="105">
        <v>27.1</v>
      </c>
      <c r="Z97" s="105">
        <v>33.700000000000003</v>
      </c>
    </row>
    <row r="98" spans="1:26" ht="12.75" x14ac:dyDescent="0.2">
      <c r="A98">
        <v>1.167</v>
      </c>
      <c r="B98">
        <v>1.353</v>
      </c>
      <c r="C98" s="139">
        <v>1.3640000000000001</v>
      </c>
      <c r="D98" s="139">
        <v>1.353</v>
      </c>
      <c r="E98" s="139">
        <v>1.48</v>
      </c>
      <c r="F98" s="139">
        <v>1.3480000000000001</v>
      </c>
      <c r="G98" s="139">
        <v>1.3939999999999999</v>
      </c>
      <c r="H98" s="139">
        <v>1.542</v>
      </c>
      <c r="I98" s="139">
        <v>1.536</v>
      </c>
      <c r="J98" s="139"/>
      <c r="M98" t="s">
        <v>101</v>
      </c>
      <c r="N98" s="105">
        <v>16</v>
      </c>
      <c r="O98" s="105">
        <v>14</v>
      </c>
      <c r="P98" s="105">
        <v>13.1</v>
      </c>
      <c r="Q98" s="105">
        <v>12.5</v>
      </c>
      <c r="R98" s="105">
        <v>12.7</v>
      </c>
      <c r="S98" s="105">
        <v>12.9</v>
      </c>
      <c r="T98" s="105">
        <v>14</v>
      </c>
      <c r="U98" s="105">
        <v>15.9</v>
      </c>
      <c r="V98" s="105">
        <v>17.600000000000001</v>
      </c>
      <c r="W98" s="105">
        <v>19.100000000000001</v>
      </c>
      <c r="X98" s="105">
        <v>21.6</v>
      </c>
      <c r="Y98" s="105">
        <v>25.3</v>
      </c>
      <c r="Z98" s="105">
        <v>30.7</v>
      </c>
    </row>
    <row r="99" spans="1:26" ht="12.75" x14ac:dyDescent="0.2">
      <c r="C99" s="139"/>
      <c r="D99" s="139"/>
      <c r="E99" s="139"/>
      <c r="F99" s="139"/>
      <c r="G99" s="139"/>
      <c r="H99" s="139"/>
      <c r="I99" s="139"/>
      <c r="J99" s="139"/>
      <c r="M99" t="s">
        <v>102</v>
      </c>
      <c r="N99" s="105">
        <v>17.600000000000001</v>
      </c>
      <c r="O99" s="105">
        <v>15.6</v>
      </c>
      <c r="P99" s="105">
        <v>14.8</v>
      </c>
      <c r="Q99" s="105">
        <v>14.2</v>
      </c>
      <c r="R99" s="105">
        <v>14.2</v>
      </c>
      <c r="S99" s="105">
        <v>14.3</v>
      </c>
      <c r="T99" s="105">
        <v>15</v>
      </c>
      <c r="U99" s="105">
        <v>16.3</v>
      </c>
      <c r="V99" s="105">
        <v>17.600000000000001</v>
      </c>
      <c r="W99" s="105">
        <v>18.8</v>
      </c>
      <c r="X99" s="105">
        <v>20.9</v>
      </c>
      <c r="Y99" s="105">
        <v>24.1</v>
      </c>
      <c r="Z99" s="105">
        <v>28.8</v>
      </c>
    </row>
    <row r="100" spans="1:26" ht="12.75" x14ac:dyDescent="0.2">
      <c r="K100" s="139"/>
      <c r="M100" t="s">
        <v>103</v>
      </c>
      <c r="N100" s="105">
        <v>18.8</v>
      </c>
      <c r="O100" s="105">
        <v>16.899999999999999</v>
      </c>
      <c r="P100" s="105">
        <v>16.100000000000001</v>
      </c>
      <c r="Q100" s="105">
        <v>15.5</v>
      </c>
      <c r="R100" s="105">
        <v>15.4</v>
      </c>
      <c r="S100" s="105">
        <v>15.4</v>
      </c>
      <c r="T100" s="105">
        <v>15.9</v>
      </c>
      <c r="U100" s="105">
        <v>16.7</v>
      </c>
      <c r="V100" s="105">
        <v>17.5</v>
      </c>
      <c r="W100" s="105">
        <v>18.2</v>
      </c>
      <c r="X100" s="105">
        <v>19.7</v>
      </c>
      <c r="Y100" s="105">
        <v>22.1</v>
      </c>
      <c r="Z100" s="105">
        <v>25.8</v>
      </c>
    </row>
    <row r="101" spans="1:26" ht="12.75" x14ac:dyDescent="0.2">
      <c r="K101" s="139"/>
      <c r="M101" t="s">
        <v>104</v>
      </c>
      <c r="N101" s="105">
        <v>19.5</v>
      </c>
      <c r="O101" s="105">
        <v>17.7</v>
      </c>
      <c r="P101" s="105">
        <v>17</v>
      </c>
      <c r="Q101" s="105">
        <v>16.399999999999999</v>
      </c>
      <c r="R101" s="105">
        <v>16.2</v>
      </c>
      <c r="S101" s="105">
        <v>16.2</v>
      </c>
      <c r="T101" s="105">
        <v>16.399999999999999</v>
      </c>
      <c r="U101" s="105">
        <v>16.899999999999999</v>
      </c>
      <c r="V101" s="105">
        <v>17.3</v>
      </c>
      <c r="W101" s="105">
        <v>17.7</v>
      </c>
      <c r="X101" s="105">
        <v>18.7</v>
      </c>
      <c r="Y101" s="105">
        <v>20.399999999999999</v>
      </c>
      <c r="Z101" s="105">
        <v>23.4</v>
      </c>
    </row>
    <row r="102" spans="1:26" ht="12.75" x14ac:dyDescent="0.2">
      <c r="K102" s="139"/>
      <c r="M102" t="s">
        <v>105</v>
      </c>
      <c r="N102" s="105">
        <v>19.899999999999999</v>
      </c>
      <c r="O102" s="105">
        <v>18.3</v>
      </c>
      <c r="P102" s="105">
        <v>17.600000000000001</v>
      </c>
      <c r="Q102" s="105">
        <v>17</v>
      </c>
      <c r="R102" s="105">
        <v>16.8</v>
      </c>
      <c r="S102" s="105">
        <v>16.7</v>
      </c>
      <c r="T102" s="105">
        <v>16.8</v>
      </c>
      <c r="U102" s="105">
        <v>17</v>
      </c>
      <c r="V102" s="105">
        <v>17.100000000000001</v>
      </c>
      <c r="W102" s="105">
        <v>17.3</v>
      </c>
      <c r="X102" s="105">
        <v>17.8</v>
      </c>
      <c r="Y102" s="105">
        <v>19.100000000000001</v>
      </c>
      <c r="Z102" s="105">
        <v>21.5</v>
      </c>
    </row>
    <row r="103" spans="1:26" ht="12.75" x14ac:dyDescent="0.2">
      <c r="K103" s="139"/>
      <c r="M103" t="s">
        <v>106</v>
      </c>
      <c r="N103" s="105">
        <v>20.2</v>
      </c>
      <c r="O103" s="105">
        <v>18.600000000000001</v>
      </c>
      <c r="P103" s="105">
        <v>18</v>
      </c>
      <c r="Q103" s="105">
        <v>17.399999999999999</v>
      </c>
      <c r="R103" s="105">
        <v>17.2</v>
      </c>
      <c r="S103" s="105">
        <v>17</v>
      </c>
      <c r="T103" s="105">
        <v>17</v>
      </c>
      <c r="U103" s="105">
        <v>17</v>
      </c>
      <c r="V103" s="105">
        <v>17</v>
      </c>
      <c r="W103" s="105">
        <v>17</v>
      </c>
      <c r="X103" s="105">
        <v>17.2</v>
      </c>
      <c r="Y103" s="105">
        <v>18</v>
      </c>
      <c r="Z103" s="105">
        <v>19.899999999999999</v>
      </c>
    </row>
    <row r="104" spans="1:26" ht="12.75" x14ac:dyDescent="0.2">
      <c r="K104" s="139"/>
      <c r="M104" t="s">
        <v>79</v>
      </c>
      <c r="N104" s="105">
        <v>20.399999999999999</v>
      </c>
      <c r="O104" s="105">
        <v>18.899999999999999</v>
      </c>
      <c r="P104" s="105">
        <v>18.3</v>
      </c>
      <c r="Q104" s="105">
        <v>17.7</v>
      </c>
      <c r="R104" s="105">
        <v>17.5</v>
      </c>
      <c r="S104" s="105">
        <v>17.3</v>
      </c>
      <c r="T104" s="105">
        <v>17.2</v>
      </c>
      <c r="U104" s="105">
        <v>17</v>
      </c>
      <c r="V104" s="105">
        <v>16.899999999999999</v>
      </c>
      <c r="W104" s="105">
        <v>16.8</v>
      </c>
      <c r="X104" s="105">
        <v>16.8</v>
      </c>
      <c r="Y104" s="105">
        <v>17.2</v>
      </c>
      <c r="Z104" s="105">
        <v>18.8</v>
      </c>
    </row>
    <row r="105" spans="1:26" ht="12.75" x14ac:dyDescent="0.2">
      <c r="K105" s="139"/>
      <c r="M105" t="s">
        <v>159</v>
      </c>
      <c r="N105" s="105">
        <v>20.5</v>
      </c>
      <c r="O105" s="105">
        <v>26.1</v>
      </c>
      <c r="P105" s="105">
        <v>18.600000000000001</v>
      </c>
      <c r="Q105" s="105">
        <v>18.100000000000001</v>
      </c>
      <c r="R105" s="105">
        <v>17.8</v>
      </c>
      <c r="S105" s="105">
        <v>17.600000000000001</v>
      </c>
      <c r="T105" s="105">
        <v>17.3</v>
      </c>
      <c r="U105" s="105">
        <v>17</v>
      </c>
      <c r="V105" s="105">
        <v>16.7</v>
      </c>
      <c r="W105" s="105">
        <v>16.399999999999999</v>
      </c>
      <c r="X105" s="105">
        <v>16.100000000000001</v>
      </c>
      <c r="Y105" s="105">
        <v>16.100000000000001</v>
      </c>
      <c r="Z105" s="105">
        <v>17</v>
      </c>
    </row>
    <row r="106" spans="1:26" ht="12.75" x14ac:dyDescent="0.2">
      <c r="K106" s="139"/>
      <c r="M106" t="s">
        <v>107</v>
      </c>
      <c r="N106" s="105">
        <v>20.3</v>
      </c>
      <c r="O106" s="105">
        <v>25.3</v>
      </c>
      <c r="P106" s="105">
        <v>18.600000000000001</v>
      </c>
      <c r="Q106" s="105">
        <v>18.2</v>
      </c>
      <c r="R106" s="105">
        <v>17.899999999999999</v>
      </c>
      <c r="S106" s="105">
        <v>17.600000000000001</v>
      </c>
      <c r="T106" s="105">
        <v>17.3</v>
      </c>
      <c r="U106" s="105">
        <v>16.8</v>
      </c>
      <c r="V106" s="105">
        <v>16.399999999999999</v>
      </c>
      <c r="W106" s="105">
        <v>16.100000000000001</v>
      </c>
      <c r="X106" s="105">
        <v>15.6</v>
      </c>
      <c r="Y106" s="105">
        <v>15.3</v>
      </c>
      <c r="Z106" s="105">
        <v>15.5</v>
      </c>
    </row>
    <row r="107" spans="1:26" ht="12.75" x14ac:dyDescent="0.2">
      <c r="K107" s="139"/>
      <c r="M107" t="s">
        <v>108</v>
      </c>
      <c r="N107" s="105">
        <v>20.100000000000001</v>
      </c>
      <c r="O107" s="105">
        <v>24.5</v>
      </c>
      <c r="P107" s="105">
        <v>18.600000000000001</v>
      </c>
      <c r="Q107" s="105">
        <v>18.100000000000001</v>
      </c>
      <c r="R107" s="105">
        <v>17.8</v>
      </c>
      <c r="S107" s="105">
        <v>17.600000000000001</v>
      </c>
      <c r="T107" s="105">
        <v>17.2</v>
      </c>
      <c r="U107" s="105">
        <v>16.5</v>
      </c>
      <c r="V107" s="105">
        <v>16</v>
      </c>
      <c r="W107" s="105">
        <v>15.6</v>
      </c>
      <c r="X107" s="105">
        <v>15</v>
      </c>
      <c r="Y107" s="105">
        <v>14.5</v>
      </c>
      <c r="Z107" s="105">
        <v>14.5</v>
      </c>
    </row>
    <row r="108" spans="1:26" ht="12.75" x14ac:dyDescent="0.2">
      <c r="K108" s="139"/>
      <c r="M108" t="s">
        <v>109</v>
      </c>
      <c r="N108" s="105">
        <v>19.899999999999999</v>
      </c>
      <c r="O108" s="105">
        <v>23.9</v>
      </c>
      <c r="P108" s="105">
        <v>18.5</v>
      </c>
      <c r="Q108" s="105">
        <v>18.100000000000001</v>
      </c>
      <c r="R108" s="105">
        <v>17.7</v>
      </c>
      <c r="S108" s="105">
        <v>17.5</v>
      </c>
      <c r="T108" s="105">
        <v>17.100000000000001</v>
      </c>
      <c r="U108" s="105">
        <v>16.399999999999999</v>
      </c>
      <c r="V108" s="105">
        <v>15.8</v>
      </c>
      <c r="W108" s="105">
        <v>15.4</v>
      </c>
      <c r="X108" s="106">
        <v>14.7</v>
      </c>
      <c r="Y108" s="105">
        <v>14.2</v>
      </c>
      <c r="Z108" s="105">
        <v>14.2</v>
      </c>
    </row>
    <row r="109" spans="1:26" ht="12.75" x14ac:dyDescent="0.2">
      <c r="K109" s="139"/>
      <c r="M109" t="s">
        <v>110</v>
      </c>
      <c r="N109" s="105">
        <v>19.8</v>
      </c>
      <c r="O109" s="105">
        <v>23.3</v>
      </c>
      <c r="P109" s="105">
        <v>18.399999999999999</v>
      </c>
      <c r="Q109" s="105">
        <v>18</v>
      </c>
      <c r="R109" s="106">
        <v>17.8</v>
      </c>
      <c r="S109" s="105">
        <v>17.399999999999999</v>
      </c>
      <c r="T109" s="105">
        <v>17</v>
      </c>
      <c r="U109" s="105">
        <v>16.2</v>
      </c>
      <c r="V109" s="105">
        <v>15.6</v>
      </c>
      <c r="W109" s="105">
        <v>15.1</v>
      </c>
      <c r="X109" s="105">
        <v>14.5</v>
      </c>
      <c r="Y109" s="105">
        <v>14</v>
      </c>
      <c r="Z109" s="105">
        <v>13.9</v>
      </c>
    </row>
    <row r="110" spans="1:26" x14ac:dyDescent="0.2">
      <c r="N110" s="129"/>
      <c r="O110" s="129"/>
      <c r="P110" s="129"/>
      <c r="Q110" s="129"/>
      <c r="R110" s="129"/>
      <c r="S110" s="129"/>
      <c r="T110" s="129"/>
      <c r="U110" s="129"/>
      <c r="V110" s="129"/>
      <c r="W110" s="129"/>
      <c r="X110" s="129"/>
      <c r="Y110" s="129"/>
      <c r="Z110" s="129"/>
    </row>
    <row r="111" spans="1:26" x14ac:dyDescent="0.2">
      <c r="A111">
        <v>-0.29749999999999999</v>
      </c>
      <c r="B111">
        <v>-0.23</v>
      </c>
      <c r="C111">
        <v>-0.22</v>
      </c>
      <c r="D111">
        <v>-0.15</v>
      </c>
      <c r="E111">
        <v>-0.20250000000000001</v>
      </c>
      <c r="F111">
        <v>-0.1525</v>
      </c>
      <c r="G111">
        <v>-0.18</v>
      </c>
      <c r="H111">
        <v>-0.18</v>
      </c>
      <c r="I111">
        <v>-0.19</v>
      </c>
    </row>
    <row r="112" spans="1:26" x14ac:dyDescent="0.2">
      <c r="A112">
        <v>-0.3</v>
      </c>
      <c r="B112">
        <v>-0.215</v>
      </c>
      <c r="C112">
        <v>-0.19500000000000001</v>
      </c>
      <c r="D112">
        <v>-0.14000000000000001</v>
      </c>
      <c r="E112">
        <v>-0.2</v>
      </c>
      <c r="F112">
        <v>-0.20499999999999999</v>
      </c>
      <c r="G112">
        <v>-0.18</v>
      </c>
      <c r="H112">
        <v>-0.18</v>
      </c>
      <c r="I112">
        <v>-0.18</v>
      </c>
      <c r="K112" s="105" t="s">
        <v>310</v>
      </c>
      <c r="N112">
        <v>-0.5</v>
      </c>
      <c r="O112">
        <v>-0.25</v>
      </c>
      <c r="P112">
        <v>-0.13</v>
      </c>
      <c r="Q112">
        <v>0</v>
      </c>
      <c r="R112">
        <v>0.125</v>
      </c>
      <c r="S112">
        <v>0.25</v>
      </c>
      <c r="T112">
        <v>0.5</v>
      </c>
      <c r="U112">
        <v>1</v>
      </c>
      <c r="V112">
        <v>1.5</v>
      </c>
      <c r="W112">
        <v>2</v>
      </c>
      <c r="X112">
        <v>3</v>
      </c>
      <c r="Y112">
        <v>5</v>
      </c>
      <c r="Z112">
        <v>10</v>
      </c>
    </row>
    <row r="113" spans="1:26" x14ac:dyDescent="0.2">
      <c r="A113">
        <v>-0.26200000000000001</v>
      </c>
      <c r="B113">
        <v>-0.16600000000000001</v>
      </c>
      <c r="C113">
        <v>-0.14799999999999999</v>
      </c>
      <c r="D113">
        <v>-0.12</v>
      </c>
      <c r="E113">
        <v>-0.13400000000000001</v>
      </c>
      <c r="F113">
        <v>-0.13200000000000001</v>
      </c>
      <c r="G113">
        <v>-0.128</v>
      </c>
      <c r="H113">
        <v>-0.13300000000000001</v>
      </c>
      <c r="I113">
        <v>-0.14499999999999999</v>
      </c>
      <c r="M113" t="s">
        <v>25</v>
      </c>
      <c r="N113" s="105">
        <v>9.1</v>
      </c>
      <c r="O113" s="105">
        <v>6.9</v>
      </c>
      <c r="P113" s="105">
        <v>6.4</v>
      </c>
      <c r="Q113" s="105">
        <v>6.8</v>
      </c>
      <c r="R113" s="105">
        <v>8</v>
      </c>
      <c r="S113" s="105">
        <v>9.1</v>
      </c>
      <c r="T113" s="105">
        <v>11.4</v>
      </c>
      <c r="U113" s="105">
        <v>15.3</v>
      </c>
      <c r="V113" s="105">
        <v>18.399999999999999</v>
      </c>
      <c r="W113" s="105">
        <v>21.1</v>
      </c>
      <c r="X113" s="105">
        <v>25.4</v>
      </c>
      <c r="Y113" s="106">
        <v>31.7</v>
      </c>
      <c r="Z113" s="106">
        <v>41.1</v>
      </c>
    </row>
    <row r="114" spans="1:26" x14ac:dyDescent="0.2">
      <c r="A114">
        <v>-0.22900000000000001</v>
      </c>
      <c r="B114">
        <v>-0.161</v>
      </c>
      <c r="C114">
        <v>-0.11899999999999999</v>
      </c>
      <c r="D114">
        <v>-6.4000000000000001E-2</v>
      </c>
      <c r="E114">
        <v>-7.9000000000000001E-2</v>
      </c>
      <c r="F114">
        <v>-7.4999999999999997E-2</v>
      </c>
      <c r="G114">
        <v>-7.3999999999999996E-2</v>
      </c>
      <c r="H114">
        <v>-7.1999999999999995E-2</v>
      </c>
      <c r="I114">
        <v>-0.113</v>
      </c>
      <c r="M114" t="s">
        <v>157</v>
      </c>
      <c r="N114" s="105">
        <v>11.4</v>
      </c>
      <c r="O114" s="105">
        <v>8.9</v>
      </c>
      <c r="P114" s="105">
        <v>8.1</v>
      </c>
      <c r="Q114" s="105">
        <v>8.1999999999999993</v>
      </c>
      <c r="R114" s="105">
        <v>9.3000000000000007</v>
      </c>
      <c r="S114" s="105">
        <v>10.3</v>
      </c>
      <c r="T114" s="105">
        <v>12.7</v>
      </c>
      <c r="U114" s="105">
        <v>16.7</v>
      </c>
      <c r="V114" s="105">
        <v>20</v>
      </c>
      <c r="W114" s="105">
        <v>22.8</v>
      </c>
      <c r="X114" s="105">
        <v>27.3</v>
      </c>
      <c r="Y114" s="106">
        <v>33.5</v>
      </c>
      <c r="Z114" s="106">
        <v>43</v>
      </c>
    </row>
    <row r="115" spans="1:26" x14ac:dyDescent="0.2">
      <c r="A115">
        <v>-0.192</v>
      </c>
      <c r="B115">
        <v>-0.13100000000000001</v>
      </c>
      <c r="C115">
        <v>-8.4000000000000005E-2</v>
      </c>
      <c r="D115">
        <v>-3.7999999999999999E-2</v>
      </c>
      <c r="E115">
        <v>-4.9000000000000002E-2</v>
      </c>
      <c r="F115">
        <v>-4.3999999999999997E-2</v>
      </c>
      <c r="G115">
        <v>-4.2999999999999997E-2</v>
      </c>
      <c r="H115">
        <v>-3.9E-2</v>
      </c>
      <c r="I115">
        <v>-7.0000000000000007E-2</v>
      </c>
      <c r="M115" t="s">
        <v>99</v>
      </c>
      <c r="N115" s="105">
        <v>13.9</v>
      </c>
      <c r="O115" s="105">
        <v>11.8</v>
      </c>
      <c r="P115" s="105">
        <v>10.9</v>
      </c>
      <c r="Q115" s="105">
        <v>10.3</v>
      </c>
      <c r="R115" s="105">
        <v>10.7</v>
      </c>
      <c r="S115" s="105">
        <v>11.1</v>
      </c>
      <c r="T115" s="105">
        <v>12.6</v>
      </c>
      <c r="U115" s="105">
        <v>15.4</v>
      </c>
      <c r="V115" s="105">
        <v>17.8</v>
      </c>
      <c r="W115" s="105">
        <v>19.899999999999999</v>
      </c>
      <c r="X115" s="105">
        <v>23.2</v>
      </c>
      <c r="Y115" s="106">
        <v>27.5</v>
      </c>
      <c r="Z115" s="106">
        <v>34.299999999999997</v>
      </c>
    </row>
    <row r="116" spans="1:26" x14ac:dyDescent="0.2">
      <c r="A116">
        <v>-0.16</v>
      </c>
      <c r="B116">
        <v>-0.114</v>
      </c>
      <c r="C116">
        <v>-6.8000000000000005E-2</v>
      </c>
      <c r="D116">
        <v>-1.4E-2</v>
      </c>
      <c r="E116">
        <v>-2.4E-2</v>
      </c>
      <c r="F116">
        <v>-2.3E-2</v>
      </c>
      <c r="G116">
        <v>-0.02</v>
      </c>
      <c r="H116">
        <v>-1.9E-2</v>
      </c>
      <c r="I116">
        <v>-0.04</v>
      </c>
      <c r="M116" t="s">
        <v>101</v>
      </c>
      <c r="N116" s="105">
        <v>16.100000000000001</v>
      </c>
      <c r="O116" s="105">
        <v>14</v>
      </c>
      <c r="P116" s="105">
        <v>13.1</v>
      </c>
      <c r="Q116" s="105">
        <v>12.5</v>
      </c>
      <c r="R116" s="105">
        <v>12.6</v>
      </c>
      <c r="S116" s="105">
        <v>12.9</v>
      </c>
      <c r="T116" s="105">
        <v>13.9</v>
      </c>
      <c r="U116" s="105">
        <v>15.9</v>
      </c>
      <c r="V116" s="105">
        <v>17.8</v>
      </c>
      <c r="W116" s="105">
        <v>19.399999999999999</v>
      </c>
      <c r="X116" s="105">
        <v>22.1</v>
      </c>
      <c r="Y116" s="106">
        <v>25.6</v>
      </c>
      <c r="Z116" s="106">
        <v>31.3</v>
      </c>
    </row>
    <row r="117" spans="1:26" ht="12.75" x14ac:dyDescent="0.2">
      <c r="A117">
        <v>-0.19400000000000001</v>
      </c>
      <c r="B117">
        <v>-0.19400000000000001</v>
      </c>
      <c r="C117" s="135">
        <v>-9.7000000000000003E-2</v>
      </c>
      <c r="D117" s="135">
        <v>4.0000000000000001E-3</v>
      </c>
      <c r="E117" s="135">
        <v>-2.7E-2</v>
      </c>
      <c r="F117" s="135">
        <v>-2.5000000000000001E-2</v>
      </c>
      <c r="G117" s="135">
        <v>-1.7999999999999999E-2</v>
      </c>
      <c r="H117" s="135">
        <v>-1.9E-2</v>
      </c>
      <c r="I117" s="135">
        <v>-4.5999999999999999E-2</v>
      </c>
      <c r="J117" s="135"/>
      <c r="M117" t="s">
        <v>102</v>
      </c>
      <c r="N117" s="105">
        <v>17.600000000000001</v>
      </c>
      <c r="O117" s="105">
        <v>15.6</v>
      </c>
      <c r="P117" s="105">
        <v>14.8</v>
      </c>
      <c r="Q117" s="105">
        <v>14.1</v>
      </c>
      <c r="R117" s="105">
        <v>14.1</v>
      </c>
      <c r="S117" s="105">
        <v>14.2</v>
      </c>
      <c r="T117" s="105">
        <v>14.9</v>
      </c>
      <c r="U117" s="105">
        <v>16.3</v>
      </c>
      <c r="V117" s="105">
        <v>17.5</v>
      </c>
      <c r="W117" s="105">
        <v>18.600000000000001</v>
      </c>
      <c r="X117" s="105">
        <v>20.6</v>
      </c>
      <c r="Y117" s="106">
        <v>23.5</v>
      </c>
      <c r="Z117" s="106">
        <v>28.1</v>
      </c>
    </row>
    <row r="118" spans="1:26" ht="12.75" x14ac:dyDescent="0.2">
      <c r="A118">
        <v>-0.23499999999999999</v>
      </c>
      <c r="B118">
        <v>-0.21099999999999999</v>
      </c>
      <c r="C118" s="135">
        <v>-0.12</v>
      </c>
      <c r="D118" s="135">
        <v>0.01</v>
      </c>
      <c r="E118" s="135">
        <v>-2.5999999999999999E-2</v>
      </c>
      <c r="F118" s="135">
        <v>-2.4E-2</v>
      </c>
      <c r="G118" s="135">
        <v>-1.4999999999999999E-2</v>
      </c>
      <c r="H118" s="135">
        <v>-1.7000000000000001E-2</v>
      </c>
      <c r="I118" s="135">
        <v>-4.9000000000000002E-2</v>
      </c>
      <c r="J118" s="135"/>
      <c r="K118" s="139"/>
      <c r="M118" t="s">
        <v>103</v>
      </c>
      <c r="N118" s="105">
        <v>18.8</v>
      </c>
      <c r="O118" s="105">
        <v>16.899999999999999</v>
      </c>
      <c r="P118" s="105">
        <v>16.100000000000001</v>
      </c>
      <c r="Q118" s="105">
        <v>15.4</v>
      </c>
      <c r="R118" s="105">
        <v>15.3</v>
      </c>
      <c r="S118" s="105">
        <v>15.3</v>
      </c>
      <c r="T118" s="105">
        <v>15.8</v>
      </c>
      <c r="U118" s="105">
        <v>16.600000000000001</v>
      </c>
      <c r="V118" s="105">
        <v>17.399999999999999</v>
      </c>
      <c r="W118" s="105">
        <v>18.100000000000001</v>
      </c>
      <c r="X118" s="105">
        <v>19.5</v>
      </c>
      <c r="Y118" s="106">
        <v>21.6</v>
      </c>
      <c r="Z118" s="106">
        <v>25.3</v>
      </c>
    </row>
    <row r="119" spans="1:26" ht="12.75" x14ac:dyDescent="0.2">
      <c r="A119">
        <v>-0.252</v>
      </c>
      <c r="B119">
        <v>-0.22700000000000001</v>
      </c>
      <c r="C119" s="135">
        <v>-0.129</v>
      </c>
      <c r="D119" s="135">
        <v>1.7000000000000001E-2</v>
      </c>
      <c r="E119" s="135">
        <v>-2.5000000000000001E-2</v>
      </c>
      <c r="F119" s="135">
        <v>-2.4E-2</v>
      </c>
      <c r="G119" s="135">
        <v>-1.2E-2</v>
      </c>
      <c r="H119" s="135">
        <v>-1.6E-2</v>
      </c>
      <c r="I119" s="135">
        <v>-5.1999999999999998E-2</v>
      </c>
      <c r="J119" s="135"/>
      <c r="K119" s="139"/>
      <c r="M119" t="s">
        <v>104</v>
      </c>
      <c r="N119" s="105">
        <v>19.5</v>
      </c>
      <c r="O119" s="105">
        <v>17.7</v>
      </c>
      <c r="P119" s="105">
        <v>16.899999999999999</v>
      </c>
      <c r="Q119" s="105">
        <v>16.3</v>
      </c>
      <c r="R119" s="105">
        <v>16.100000000000001</v>
      </c>
      <c r="S119" s="105">
        <v>16.100000000000001</v>
      </c>
      <c r="T119" s="105">
        <v>16.3</v>
      </c>
      <c r="U119" s="105">
        <v>16.8</v>
      </c>
      <c r="V119" s="105">
        <v>17.2</v>
      </c>
      <c r="W119" s="105">
        <v>17.600000000000001</v>
      </c>
      <c r="X119" s="105">
        <v>18.5</v>
      </c>
      <c r="Y119" s="106">
        <v>20.100000000000001</v>
      </c>
      <c r="Z119" s="106">
        <v>23.1</v>
      </c>
    </row>
    <row r="120" spans="1:26" ht="12.75" x14ac:dyDescent="0.2">
      <c r="A120">
        <v>-0.26800000000000002</v>
      </c>
      <c r="B120">
        <v>-0.23799999999999999</v>
      </c>
      <c r="C120" s="135">
        <v>-0.13500000000000001</v>
      </c>
      <c r="D120" s="135">
        <v>1.7999999999999999E-2</v>
      </c>
      <c r="E120" s="135">
        <v>-2.5000000000000001E-2</v>
      </c>
      <c r="F120" s="135">
        <v>-2.4E-2</v>
      </c>
      <c r="G120" s="135">
        <v>-0.01</v>
      </c>
      <c r="H120" s="135">
        <v>-1.6E-2</v>
      </c>
      <c r="I120" s="135">
        <v>-5.3999999999999999E-2</v>
      </c>
      <c r="J120" s="135"/>
      <c r="K120" s="139"/>
      <c r="M120" t="s">
        <v>105</v>
      </c>
      <c r="N120" s="105">
        <v>19.899999999999999</v>
      </c>
      <c r="O120" s="105">
        <v>18.3</v>
      </c>
      <c r="P120" s="105">
        <v>17.5</v>
      </c>
      <c r="Q120" s="105">
        <v>16.899999999999999</v>
      </c>
      <c r="R120" s="105">
        <v>16.7</v>
      </c>
      <c r="S120" s="105">
        <v>16.600000000000001</v>
      </c>
      <c r="T120" s="105">
        <v>16.7</v>
      </c>
      <c r="U120" s="105">
        <v>16.899999999999999</v>
      </c>
      <c r="V120" s="105">
        <v>17.100000000000001</v>
      </c>
      <c r="W120" s="105">
        <v>17.2</v>
      </c>
      <c r="X120" s="105">
        <v>17.7</v>
      </c>
      <c r="Y120" s="106">
        <v>18.8</v>
      </c>
      <c r="Z120" s="106">
        <v>21.3</v>
      </c>
    </row>
    <row r="121" spans="1:26" ht="12.75" x14ac:dyDescent="0.2">
      <c r="A121">
        <v>-0.27800000000000002</v>
      </c>
      <c r="B121">
        <v>-0.24399999999999999</v>
      </c>
      <c r="C121" s="135">
        <v>-0.14000000000000001</v>
      </c>
      <c r="D121" s="135">
        <v>1.9E-2</v>
      </c>
      <c r="E121" s="135">
        <v>-2.4E-2</v>
      </c>
      <c r="F121" s="135">
        <v>-2.4E-2</v>
      </c>
      <c r="G121" s="135">
        <v>-8.0000000000000002E-3</v>
      </c>
      <c r="H121" s="135">
        <v>-1.4999999999999999E-2</v>
      </c>
      <c r="I121" s="135">
        <v>-5.6000000000000001E-2</v>
      </c>
      <c r="J121" s="135"/>
      <c r="K121" s="139"/>
      <c r="M121" t="s">
        <v>106</v>
      </c>
      <c r="N121" s="105">
        <v>20.2</v>
      </c>
      <c r="O121" s="105">
        <v>18.600000000000001</v>
      </c>
      <c r="P121" s="105">
        <v>17.899999999999999</v>
      </c>
      <c r="Q121" s="105">
        <v>17.399999999999999</v>
      </c>
      <c r="R121" s="105">
        <v>17.100000000000001</v>
      </c>
      <c r="S121" s="105">
        <v>17</v>
      </c>
      <c r="T121" s="105">
        <v>17</v>
      </c>
      <c r="U121" s="105">
        <v>17</v>
      </c>
      <c r="V121" s="105">
        <v>16.899999999999999</v>
      </c>
      <c r="W121" s="105">
        <v>16.899999999999999</v>
      </c>
      <c r="X121" s="105">
        <v>17.100000000000001</v>
      </c>
      <c r="Y121" s="106">
        <v>17.8</v>
      </c>
      <c r="Z121" s="106">
        <v>19.7</v>
      </c>
    </row>
    <row r="122" spans="1:26" ht="12.75" x14ac:dyDescent="0.2">
      <c r="A122">
        <v>-0.28399999999999997</v>
      </c>
      <c r="B122">
        <v>-0.249</v>
      </c>
      <c r="C122" s="135">
        <v>-0.14499999999999999</v>
      </c>
      <c r="D122" s="135">
        <v>1.9E-2</v>
      </c>
      <c r="E122" s="135">
        <v>-2.1999999999999999E-2</v>
      </c>
      <c r="F122" s="135">
        <v>-2.1999999999999999E-2</v>
      </c>
      <c r="G122" s="135">
        <v>-8.0000000000000002E-3</v>
      </c>
      <c r="H122" s="135">
        <v>-1.6E-2</v>
      </c>
      <c r="I122" s="135">
        <v>-5.8999999999999997E-2</v>
      </c>
      <c r="J122" s="135"/>
      <c r="K122" s="139"/>
      <c r="M122" t="s">
        <v>79</v>
      </c>
      <c r="N122" s="105">
        <v>20.399999999999999</v>
      </c>
      <c r="O122" s="105">
        <v>18.899999999999999</v>
      </c>
      <c r="P122" s="105">
        <v>18.3</v>
      </c>
      <c r="Q122" s="105">
        <v>17.7</v>
      </c>
      <c r="R122" s="105">
        <v>17.399999999999999</v>
      </c>
      <c r="S122" s="105">
        <v>17.3</v>
      </c>
      <c r="T122" s="105">
        <v>17.2</v>
      </c>
      <c r="U122" s="105">
        <v>17</v>
      </c>
      <c r="V122" s="105">
        <v>16.899999999999999</v>
      </c>
      <c r="W122" s="105">
        <v>16.8</v>
      </c>
      <c r="X122" s="105">
        <v>16.7</v>
      </c>
      <c r="Y122" s="106">
        <v>17.100000000000001</v>
      </c>
      <c r="Z122" s="106">
        <v>18.600000000000001</v>
      </c>
    </row>
    <row r="123" spans="1:26" ht="12.75" x14ac:dyDescent="0.2">
      <c r="A123">
        <v>-0.29099999999999998</v>
      </c>
      <c r="B123">
        <v>-0.26200000000000001</v>
      </c>
      <c r="C123" s="135">
        <v>-0.15</v>
      </c>
      <c r="D123" s="135">
        <v>2.4E-2</v>
      </c>
      <c r="E123" s="135">
        <v>-1.6E-2</v>
      </c>
      <c r="F123" s="135">
        <v>-1.4E-2</v>
      </c>
      <c r="G123" s="135">
        <v>-1E-3</v>
      </c>
      <c r="H123" s="135">
        <v>-1.0999999999999999E-2</v>
      </c>
      <c r="I123" s="135">
        <v>-6.5000000000000002E-2</v>
      </c>
      <c r="J123" s="135"/>
      <c r="K123" s="139"/>
      <c r="M123" t="s">
        <v>159</v>
      </c>
      <c r="N123" s="105">
        <v>20.6</v>
      </c>
      <c r="O123" s="105">
        <v>26.1</v>
      </c>
      <c r="P123" s="105">
        <v>18.600000000000001</v>
      </c>
      <c r="Q123" s="105">
        <v>18.100000000000001</v>
      </c>
      <c r="R123" s="105">
        <v>17.8</v>
      </c>
      <c r="S123" s="105">
        <v>17.600000000000001</v>
      </c>
      <c r="T123" s="105">
        <v>17.399999999999999</v>
      </c>
      <c r="U123" s="105">
        <v>17</v>
      </c>
      <c r="V123" s="105">
        <v>16.7</v>
      </c>
      <c r="W123" s="105">
        <v>16.399999999999999</v>
      </c>
      <c r="X123" s="105">
        <v>16.100000000000001</v>
      </c>
      <c r="Y123" s="106">
        <v>16.100000000000001</v>
      </c>
      <c r="Z123" s="106">
        <v>16.899999999999999</v>
      </c>
    </row>
    <row r="124" spans="1:26" ht="12.75" x14ac:dyDescent="0.2">
      <c r="A124">
        <v>-0.29299999999999998</v>
      </c>
      <c r="B124">
        <v>-0.26300000000000001</v>
      </c>
      <c r="C124" s="135">
        <v>-0.14299999999999999</v>
      </c>
      <c r="D124" s="135">
        <v>3.3000000000000002E-2</v>
      </c>
      <c r="E124" s="135">
        <v>-3.0000000000000001E-3</v>
      </c>
      <c r="F124" s="135">
        <v>-1E-3</v>
      </c>
      <c r="G124" s="135">
        <v>0.01</v>
      </c>
      <c r="H124" s="135">
        <v>4.0000000000000001E-3</v>
      </c>
      <c r="I124" s="135">
        <v>-5.8000000000000003E-2</v>
      </c>
      <c r="J124" s="135"/>
      <c r="K124" s="139"/>
      <c r="M124" t="s">
        <v>107</v>
      </c>
      <c r="N124" s="105">
        <v>20.399999999999999</v>
      </c>
      <c r="O124" s="105">
        <v>25.3</v>
      </c>
      <c r="P124" s="105">
        <v>18.7</v>
      </c>
      <c r="Q124" s="105">
        <v>18.2</v>
      </c>
      <c r="R124" s="105">
        <v>17.899999999999999</v>
      </c>
      <c r="S124" s="105">
        <v>17.7</v>
      </c>
      <c r="T124" s="105">
        <v>17.399999999999999</v>
      </c>
      <c r="U124" s="105">
        <v>16.899999999999999</v>
      </c>
      <c r="V124" s="105">
        <v>16.5</v>
      </c>
      <c r="W124" s="105">
        <v>16.100000000000001</v>
      </c>
      <c r="X124" s="105">
        <v>15.6</v>
      </c>
      <c r="Y124" s="106">
        <v>15.2</v>
      </c>
      <c r="Z124" s="106">
        <v>15.5</v>
      </c>
    </row>
    <row r="125" spans="1:26" ht="12.75" x14ac:dyDescent="0.2">
      <c r="A125">
        <v>-0.2505</v>
      </c>
      <c r="B125">
        <v>-0.2165</v>
      </c>
      <c r="C125" s="135">
        <v>-0.1245</v>
      </c>
      <c r="D125" s="135">
        <v>1.0500000000000001E-2</v>
      </c>
      <c r="E125" s="135">
        <v>-2.1999999999999999E-2</v>
      </c>
      <c r="F125" s="135">
        <v>-2.0500000000000001E-2</v>
      </c>
      <c r="G125" s="135">
        <v>-0.01</v>
      </c>
      <c r="H125" s="135">
        <v>-1.6E-2</v>
      </c>
      <c r="I125" s="135">
        <v>-5.5500000000000001E-2</v>
      </c>
      <c r="J125" s="135"/>
      <c r="K125" s="139"/>
      <c r="M125" t="s">
        <v>108</v>
      </c>
      <c r="N125" s="105">
        <v>20.2</v>
      </c>
      <c r="O125" s="105">
        <v>24.5</v>
      </c>
      <c r="P125" s="105">
        <v>18.7</v>
      </c>
      <c r="Q125" s="105">
        <v>18.2</v>
      </c>
      <c r="R125" s="105">
        <v>17.899999999999999</v>
      </c>
      <c r="S125" s="105">
        <v>17.600000000000001</v>
      </c>
      <c r="T125" s="105">
        <v>17.3</v>
      </c>
      <c r="U125" s="105">
        <v>16.600000000000001</v>
      </c>
      <c r="V125" s="105">
        <v>16.100000000000001</v>
      </c>
      <c r="W125" s="105">
        <v>15.6</v>
      </c>
      <c r="X125" s="105">
        <v>15</v>
      </c>
      <c r="Y125" s="106">
        <v>14.5</v>
      </c>
      <c r="Z125" s="106">
        <v>14.5</v>
      </c>
    </row>
    <row r="126" spans="1:26" ht="12.75" x14ac:dyDescent="0.2">
      <c r="A126">
        <v>-0.25900000000000001</v>
      </c>
      <c r="B126">
        <v>-0.22600000000000001</v>
      </c>
      <c r="C126" s="135">
        <v>-0.114</v>
      </c>
      <c r="D126" s="135">
        <v>4.65E-2</v>
      </c>
      <c r="E126" s="135">
        <v>8.5000000000000006E-3</v>
      </c>
      <c r="F126" s="135">
        <v>1.15E-2</v>
      </c>
      <c r="G126" s="135">
        <v>2.0500000000000001E-2</v>
      </c>
      <c r="H126" s="135">
        <v>1.95E-2</v>
      </c>
      <c r="I126" s="135">
        <v>-3.7999999999999999E-2</v>
      </c>
      <c r="J126" s="135"/>
      <c r="K126" s="139"/>
      <c r="M126" t="s">
        <v>109</v>
      </c>
      <c r="N126" s="105">
        <v>20.100000000000001</v>
      </c>
      <c r="O126" s="105">
        <v>23.9</v>
      </c>
      <c r="P126" s="105">
        <v>18.600000000000001</v>
      </c>
      <c r="Q126" s="105">
        <v>18.2</v>
      </c>
      <c r="R126" s="105">
        <v>17.8</v>
      </c>
      <c r="S126" s="105">
        <v>17.600000000000001</v>
      </c>
      <c r="T126" s="105">
        <v>17.2</v>
      </c>
      <c r="U126" s="105">
        <v>16.5</v>
      </c>
      <c r="V126" s="105">
        <v>15.9</v>
      </c>
      <c r="W126" s="105">
        <v>15.4</v>
      </c>
      <c r="X126" s="106">
        <v>14.8</v>
      </c>
      <c r="Y126" s="106">
        <v>14.2</v>
      </c>
      <c r="Z126" s="106">
        <v>14.1</v>
      </c>
    </row>
    <row r="127" spans="1:26" ht="12.75" x14ac:dyDescent="0.2">
      <c r="A127">
        <v>-0.20799999999999999</v>
      </c>
      <c r="B127">
        <v>-0.17199999999999999</v>
      </c>
      <c r="C127" s="135">
        <v>-4.9000000000000002E-2</v>
      </c>
      <c r="D127" s="135">
        <v>0.13400000000000001</v>
      </c>
      <c r="E127" s="135">
        <v>8.5000000000000006E-2</v>
      </c>
      <c r="F127" s="135">
        <v>7.9500000000000001E-2</v>
      </c>
      <c r="G127" s="135">
        <v>8.4500000000000006E-2</v>
      </c>
      <c r="H127" s="135">
        <v>9.5000000000000001E-2</v>
      </c>
      <c r="I127" s="135">
        <v>2.5000000000000001E-2</v>
      </c>
      <c r="J127" s="135"/>
      <c r="K127" s="139"/>
      <c r="M127" t="s">
        <v>110</v>
      </c>
      <c r="N127" s="105">
        <v>19.899999999999999</v>
      </c>
      <c r="O127" s="105">
        <v>23.3</v>
      </c>
      <c r="P127" s="105">
        <v>18.5</v>
      </c>
      <c r="Q127" s="105">
        <v>18.100000000000001</v>
      </c>
      <c r="R127" s="106">
        <v>17.8</v>
      </c>
      <c r="S127" s="105">
        <v>17.5</v>
      </c>
      <c r="T127" s="105">
        <v>17.100000000000001</v>
      </c>
      <c r="U127" s="105">
        <v>16.3</v>
      </c>
      <c r="V127" s="105">
        <v>15.7</v>
      </c>
      <c r="W127" s="105">
        <v>15.2</v>
      </c>
      <c r="X127" s="105">
        <v>14.6</v>
      </c>
      <c r="Y127" s="106">
        <v>14</v>
      </c>
      <c r="Z127" s="106">
        <v>13.9</v>
      </c>
    </row>
    <row r="128" spans="1:26" ht="12.75" x14ac:dyDescent="0.2">
      <c r="A128">
        <v>-0.11700000000000001</v>
      </c>
      <c r="B128">
        <v>-6.6000000000000003E-2</v>
      </c>
      <c r="C128" s="135">
        <v>5.5E-2</v>
      </c>
      <c r="D128" s="135">
        <v>0.26400000000000001</v>
      </c>
      <c r="E128" s="135">
        <v>0.19850000000000001</v>
      </c>
      <c r="F128" s="135">
        <v>0.17849999999999999</v>
      </c>
      <c r="G128" s="135">
        <v>0.1855</v>
      </c>
      <c r="H128" s="135">
        <v>0.2145</v>
      </c>
      <c r="I128" s="135">
        <v>0.1255</v>
      </c>
      <c r="J128" s="135"/>
      <c r="N128" s="129"/>
      <c r="O128" s="129"/>
      <c r="P128" s="129"/>
      <c r="Q128" s="129"/>
      <c r="R128" s="129"/>
      <c r="S128" s="129"/>
      <c r="T128" s="129"/>
      <c r="U128" s="129"/>
      <c r="V128" s="129"/>
      <c r="W128" s="129"/>
      <c r="X128" s="129"/>
      <c r="Y128" s="129"/>
      <c r="Z128" s="129"/>
    </row>
    <row r="129" spans="1:40" ht="12.75" x14ac:dyDescent="0.2">
      <c r="A129">
        <v>-2.5000000000000005E-3</v>
      </c>
      <c r="B129">
        <v>6.4500000000000002E-2</v>
      </c>
      <c r="C129" s="135">
        <v>0.18</v>
      </c>
      <c r="D129" s="135">
        <v>0.41449999999999998</v>
      </c>
      <c r="E129" s="135">
        <v>0.33200000000000002</v>
      </c>
      <c r="F129" s="135">
        <v>0.3</v>
      </c>
      <c r="G129" s="135">
        <v>0.312</v>
      </c>
      <c r="H129" s="135">
        <v>0.35699999999999998</v>
      </c>
      <c r="I129" s="135">
        <v>0.24399999999999999</v>
      </c>
      <c r="J129" s="135"/>
    </row>
    <row r="130" spans="1:40" ht="12.75" x14ac:dyDescent="0.2">
      <c r="A130">
        <v>0.126</v>
      </c>
      <c r="B130">
        <v>0.20399999999999999</v>
      </c>
      <c r="C130" s="135">
        <v>0.3135</v>
      </c>
      <c r="D130" s="135">
        <v>0.5655</v>
      </c>
      <c r="E130" s="135">
        <v>0.47549999999999998</v>
      </c>
      <c r="F130" s="135">
        <v>0.42749999999999999</v>
      </c>
      <c r="G130" s="135">
        <v>0.441</v>
      </c>
      <c r="H130" s="135">
        <v>0.505</v>
      </c>
      <c r="I130" s="135">
        <v>0.375</v>
      </c>
      <c r="J130" s="135"/>
      <c r="S130" s="126"/>
      <c r="T130" s="126"/>
      <c r="U130" s="126"/>
      <c r="V130" s="126"/>
      <c r="W130" s="126"/>
      <c r="X130" s="126"/>
      <c r="Y130" s="126"/>
      <c r="Z130" s="126"/>
    </row>
    <row r="131" spans="1:40" ht="12.75" x14ac:dyDescent="0.2">
      <c r="A131">
        <v>0.25900000000000001</v>
      </c>
      <c r="B131">
        <v>0.34849999999999998</v>
      </c>
      <c r="C131" s="135">
        <v>0.45200000000000001</v>
      </c>
      <c r="D131" s="135">
        <v>0.71299999999999997</v>
      </c>
      <c r="E131" s="135">
        <v>0.62250000000000005</v>
      </c>
      <c r="F131" s="135">
        <v>0.5575</v>
      </c>
      <c r="G131" s="135">
        <v>0.57050000000000001</v>
      </c>
      <c r="H131" s="135">
        <v>0.64949999999999997</v>
      </c>
      <c r="I131" s="135">
        <v>0.51049999999999995</v>
      </c>
      <c r="J131" s="135"/>
      <c r="K131" s="139"/>
      <c r="N131" s="140"/>
      <c r="O131" s="140"/>
      <c r="P131" s="140"/>
      <c r="Q131" s="140"/>
      <c r="R131" s="129"/>
      <c r="S131" s="140"/>
      <c r="T131" s="140"/>
      <c r="U131" s="140"/>
      <c r="V131" s="140"/>
      <c r="W131" s="140"/>
      <c r="X131" s="140"/>
      <c r="Y131" s="140"/>
      <c r="Z131" s="140"/>
      <c r="AB131" s="111"/>
      <c r="AC131" s="111"/>
      <c r="AD131" s="111"/>
      <c r="AE131" s="111"/>
      <c r="AF131" s="111"/>
      <c r="AG131" s="111"/>
      <c r="AH131" s="111"/>
      <c r="AI131" s="111"/>
      <c r="AJ131" s="111"/>
      <c r="AK131" s="111"/>
      <c r="AL131" s="111"/>
      <c r="AM131" s="111"/>
      <c r="AN131" s="111"/>
    </row>
    <row r="132" spans="1:40" ht="12.75" x14ac:dyDescent="0.2">
      <c r="A132">
        <v>0.39100000000000001</v>
      </c>
      <c r="B132">
        <v>0.49299999999999999</v>
      </c>
      <c r="C132" s="135">
        <v>0.58799999999999997</v>
      </c>
      <c r="D132" s="135">
        <v>0.85</v>
      </c>
      <c r="E132" s="135">
        <v>0.75949999999999995</v>
      </c>
      <c r="F132" s="135">
        <v>0.68799999999999994</v>
      </c>
      <c r="G132" s="135">
        <v>0.69799999999999995</v>
      </c>
      <c r="H132" s="135">
        <v>0.78800000000000003</v>
      </c>
      <c r="I132" s="135">
        <v>0.64049999999999996</v>
      </c>
      <c r="J132" s="135"/>
      <c r="N132" s="140"/>
      <c r="O132" s="140"/>
      <c r="P132" s="140"/>
      <c r="Q132" s="140"/>
      <c r="R132" s="129"/>
      <c r="S132" s="140"/>
      <c r="T132" s="140"/>
      <c r="U132" s="140"/>
      <c r="V132" s="140"/>
      <c r="W132" s="140"/>
      <c r="X132" s="140"/>
      <c r="Y132" s="140"/>
      <c r="Z132" s="140"/>
      <c r="AB132" s="111"/>
      <c r="AC132" s="111"/>
      <c r="AD132" s="111"/>
      <c r="AE132" s="111"/>
      <c r="AF132" s="111"/>
      <c r="AG132" s="111"/>
      <c r="AH132" s="111"/>
      <c r="AI132" s="111"/>
      <c r="AJ132" s="111"/>
      <c r="AK132" s="111"/>
      <c r="AL132" s="111"/>
      <c r="AM132" s="111"/>
      <c r="AN132" s="111"/>
    </row>
    <row r="133" spans="1:40" ht="12.75" x14ac:dyDescent="0.2">
      <c r="A133">
        <v>0.51649999999999996</v>
      </c>
      <c r="B133">
        <v>0.62849999999999995</v>
      </c>
      <c r="C133" s="135">
        <v>0.71399999999999997</v>
      </c>
      <c r="D133" s="135">
        <v>0.97299999999999998</v>
      </c>
      <c r="E133" s="135">
        <v>0.88700000000000001</v>
      </c>
      <c r="F133" s="135">
        <v>0.80349999999999999</v>
      </c>
      <c r="G133" s="135">
        <v>0.8135</v>
      </c>
      <c r="H133" s="135">
        <v>0.91500000000000004</v>
      </c>
      <c r="I133" s="135">
        <v>0.75849999999999995</v>
      </c>
      <c r="J133" s="135"/>
      <c r="N133" s="140"/>
      <c r="O133" s="140"/>
      <c r="P133" s="140"/>
      <c r="Q133" s="140"/>
      <c r="R133" s="129"/>
      <c r="S133" s="140"/>
      <c r="T133" s="140"/>
      <c r="U133" s="140"/>
      <c r="V133" s="140"/>
      <c r="W133" s="140"/>
      <c r="X133" s="140"/>
      <c r="Y133" s="140"/>
      <c r="Z133" s="140"/>
      <c r="AB133" s="111"/>
      <c r="AC133" s="111"/>
      <c r="AD133" s="111"/>
      <c r="AE133" s="111"/>
      <c r="AF133" s="111"/>
      <c r="AG133" s="111"/>
      <c r="AH133" s="111"/>
      <c r="AI133" s="111"/>
      <c r="AJ133" s="111"/>
      <c r="AK133" s="111"/>
      <c r="AL133" s="111"/>
      <c r="AM133" s="111"/>
      <c r="AN133" s="111"/>
    </row>
    <row r="134" spans="1:40" ht="12.75" x14ac:dyDescent="0.2">
      <c r="A134">
        <v>0.63049999999999995</v>
      </c>
      <c r="B134">
        <v>0.751</v>
      </c>
      <c r="C134" s="135">
        <v>0.82750000000000001</v>
      </c>
      <c r="D134" s="135">
        <v>1.0834999999999999</v>
      </c>
      <c r="E134" s="135">
        <v>0.998</v>
      </c>
      <c r="F134" s="135">
        <v>0.90549999999999997</v>
      </c>
      <c r="G134" s="135">
        <v>0.91700000000000004</v>
      </c>
      <c r="H134" s="135">
        <v>1.0255000000000001</v>
      </c>
      <c r="I134" s="135">
        <v>0.86699999999999999</v>
      </c>
      <c r="J134" s="135"/>
      <c r="N134" s="140"/>
      <c r="O134" s="140"/>
      <c r="P134" s="140"/>
      <c r="Q134" s="140"/>
      <c r="R134" s="129"/>
      <c r="S134" s="140"/>
      <c r="T134" s="140"/>
      <c r="U134" s="140"/>
      <c r="V134" s="140"/>
      <c r="W134" s="140"/>
      <c r="X134" s="140"/>
      <c r="Y134" s="140"/>
      <c r="Z134" s="140"/>
      <c r="AB134" s="111"/>
      <c r="AC134" s="111"/>
      <c r="AD134" s="111"/>
      <c r="AE134" s="111"/>
      <c r="AF134" s="111"/>
      <c r="AG134" s="111"/>
      <c r="AH134" s="111"/>
      <c r="AI134" s="111"/>
      <c r="AJ134" s="111"/>
      <c r="AK134" s="111"/>
      <c r="AL134" s="111"/>
      <c r="AM134" s="111"/>
      <c r="AN134" s="111"/>
    </row>
    <row r="135" spans="1:40" ht="12.75" x14ac:dyDescent="0.2">
      <c r="A135">
        <v>0.82599999999999996</v>
      </c>
      <c r="B135">
        <v>0.96050000000000002</v>
      </c>
      <c r="C135" s="135">
        <v>1.016</v>
      </c>
      <c r="D135" s="135">
        <v>1.264</v>
      </c>
      <c r="E135" s="135">
        <v>1.1805000000000001</v>
      </c>
      <c r="F135" s="135">
        <v>1.0774999999999999</v>
      </c>
      <c r="G135" s="135">
        <v>1.0920000000000001</v>
      </c>
      <c r="H135" s="135">
        <v>1.214</v>
      </c>
      <c r="I135" s="135">
        <v>1.054</v>
      </c>
      <c r="J135" s="135"/>
      <c r="N135" s="140"/>
      <c r="O135" s="140"/>
      <c r="P135" s="140"/>
      <c r="Q135" s="140"/>
      <c r="R135" s="129"/>
      <c r="S135" s="140"/>
      <c r="T135" s="140"/>
      <c r="U135" s="140"/>
      <c r="V135" s="140"/>
      <c r="W135" s="140"/>
      <c r="X135" s="140"/>
      <c r="Y135" s="140"/>
      <c r="Z135" s="140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1"/>
      <c r="AM135" s="111"/>
      <c r="AN135" s="111"/>
    </row>
    <row r="136" spans="1:40" ht="12.75" x14ac:dyDescent="0.2">
      <c r="A136">
        <v>1.034</v>
      </c>
      <c r="B136">
        <v>1.1850000000000001</v>
      </c>
      <c r="C136" s="135">
        <v>1.2215</v>
      </c>
      <c r="D136" s="135">
        <v>1.4450000000000001</v>
      </c>
      <c r="E136" s="135">
        <v>1.369</v>
      </c>
      <c r="F136" s="135">
        <v>1.2555000000000001</v>
      </c>
      <c r="G136" s="135">
        <v>1.2749999999999999</v>
      </c>
      <c r="H136" s="135">
        <v>1.407</v>
      </c>
      <c r="I136" s="135">
        <v>1.254</v>
      </c>
      <c r="J136" s="135"/>
      <c r="N136" s="140"/>
      <c r="O136" s="140"/>
      <c r="P136" s="140"/>
      <c r="Q136" s="140"/>
      <c r="R136" s="129"/>
      <c r="S136" s="140"/>
      <c r="T136" s="140"/>
      <c r="U136" s="140"/>
      <c r="V136" s="140"/>
      <c r="W136" s="140"/>
      <c r="X136" s="140"/>
      <c r="Y136" s="140"/>
      <c r="Z136" s="140"/>
      <c r="AB136" s="111"/>
      <c r="AC136" s="111"/>
      <c r="AD136" s="111"/>
      <c r="AE136" s="111"/>
      <c r="AF136" s="111"/>
      <c r="AG136" s="111"/>
      <c r="AH136" s="111"/>
      <c r="AI136" s="111"/>
      <c r="AJ136" s="111"/>
      <c r="AK136" s="111"/>
      <c r="AL136" s="111"/>
      <c r="AM136" s="111"/>
      <c r="AN136" s="111"/>
    </row>
    <row r="137" spans="1:40" ht="12.75" x14ac:dyDescent="0.2">
      <c r="A137">
        <v>1.2095</v>
      </c>
      <c r="B137">
        <v>1.385</v>
      </c>
      <c r="C137" s="135">
        <v>1.3979999999999999</v>
      </c>
      <c r="D137" s="135">
        <v>1.5980000000000001</v>
      </c>
      <c r="E137" s="135">
        <v>1.528</v>
      </c>
      <c r="F137" s="135">
        <v>1.4045000000000001</v>
      </c>
      <c r="G137" s="135">
        <v>1.4339999999999999</v>
      </c>
      <c r="H137" s="135">
        <v>1.5740000000000001</v>
      </c>
      <c r="I137" s="135">
        <v>1.4219999999999999</v>
      </c>
      <c r="J137" s="135"/>
      <c r="N137" s="140"/>
      <c r="O137" s="140"/>
      <c r="P137" s="140"/>
      <c r="Q137" s="140"/>
      <c r="R137" s="129"/>
      <c r="S137" s="140"/>
      <c r="T137" s="140"/>
      <c r="U137" s="140"/>
      <c r="V137" s="140"/>
      <c r="W137" s="140"/>
      <c r="X137" s="140"/>
      <c r="Y137" s="140"/>
      <c r="Z137" s="140"/>
      <c r="AB137" s="111"/>
      <c r="AC137" s="111"/>
      <c r="AD137" s="111"/>
      <c r="AE137" s="111"/>
      <c r="AF137" s="111"/>
      <c r="AG137" s="111"/>
      <c r="AH137" s="111"/>
      <c r="AI137" s="111"/>
      <c r="AJ137" s="111"/>
      <c r="AK137" s="111"/>
      <c r="AL137" s="111"/>
      <c r="AM137" s="111"/>
      <c r="AN137" s="111"/>
    </row>
    <row r="138" spans="1:40" ht="12.75" x14ac:dyDescent="0.2">
      <c r="A138">
        <v>1.2649999999999999</v>
      </c>
      <c r="B138">
        <v>1.4415</v>
      </c>
      <c r="C138" s="135">
        <v>1.45</v>
      </c>
      <c r="D138" s="135">
        <v>1.639</v>
      </c>
      <c r="E138" s="135">
        <v>1.573</v>
      </c>
      <c r="F138" s="135">
        <v>1.4424999999999999</v>
      </c>
      <c r="G138" s="135">
        <v>1.4775</v>
      </c>
      <c r="H138" s="135">
        <v>1.6214999999999999</v>
      </c>
      <c r="I138" s="135">
        <v>1.4650000000000001</v>
      </c>
      <c r="J138" s="135"/>
      <c r="N138" s="140"/>
      <c r="O138" s="140"/>
      <c r="P138" s="140"/>
      <c r="Q138" s="140"/>
      <c r="R138" s="129"/>
      <c r="S138" s="140"/>
      <c r="T138" s="140"/>
      <c r="U138" s="140"/>
      <c r="V138" s="140"/>
      <c r="W138" s="140"/>
      <c r="X138" s="140"/>
      <c r="Y138" s="140"/>
      <c r="Z138" s="140"/>
      <c r="AB138" s="111"/>
      <c r="AC138" s="111"/>
      <c r="AD138" s="111"/>
      <c r="AE138" s="111"/>
      <c r="AF138" s="111"/>
      <c r="AG138" s="111"/>
      <c r="AH138" s="111"/>
      <c r="AI138" s="111"/>
      <c r="AJ138" s="111"/>
      <c r="AK138" s="111"/>
      <c r="AL138" s="111"/>
      <c r="AM138" s="111"/>
      <c r="AN138" s="111"/>
    </row>
    <row r="139" spans="1:40" ht="12.75" x14ac:dyDescent="0.2">
      <c r="A139">
        <v>1.2815000000000001</v>
      </c>
      <c r="B139">
        <v>1.4575</v>
      </c>
      <c r="C139" s="135">
        <v>1.4695</v>
      </c>
      <c r="D139" s="135">
        <v>1.6605000000000001</v>
      </c>
      <c r="E139" s="135">
        <v>1.5914999999999999</v>
      </c>
      <c r="F139" s="135">
        <v>1.456</v>
      </c>
      <c r="G139" s="135">
        <v>1.492</v>
      </c>
      <c r="H139" s="135">
        <v>1.641</v>
      </c>
      <c r="I139" s="135">
        <v>1.4750000000000001</v>
      </c>
      <c r="J139" s="135"/>
      <c r="N139" s="140"/>
      <c r="O139" s="140"/>
      <c r="P139" s="140"/>
      <c r="Q139" s="140"/>
      <c r="R139" s="129"/>
      <c r="S139" s="140"/>
      <c r="T139" s="140"/>
      <c r="U139" s="140"/>
      <c r="V139" s="140"/>
      <c r="W139" s="140"/>
      <c r="X139" s="140"/>
      <c r="Y139" s="140"/>
      <c r="Z139" s="140"/>
      <c r="AB139" s="111"/>
      <c r="AC139" s="111"/>
      <c r="AD139" s="111"/>
      <c r="AE139" s="111"/>
      <c r="AF139" s="111"/>
      <c r="AG139" s="111"/>
      <c r="AH139" s="111"/>
      <c r="AI139" s="111"/>
      <c r="AJ139" s="111"/>
      <c r="AK139" s="111"/>
      <c r="AL139" s="111"/>
      <c r="AM139" s="111"/>
      <c r="AN139" s="111"/>
    </row>
    <row r="140" spans="1:40" ht="12.75" x14ac:dyDescent="0.2">
      <c r="A140">
        <v>1.2889999999999999</v>
      </c>
      <c r="B140">
        <v>1.472</v>
      </c>
      <c r="C140" s="135">
        <v>1.488</v>
      </c>
      <c r="D140" s="135">
        <v>1.6759999999999999</v>
      </c>
      <c r="E140" s="135">
        <v>1.613</v>
      </c>
      <c r="F140" s="135">
        <v>1.476</v>
      </c>
      <c r="G140" s="135">
        <v>1.5149999999999999</v>
      </c>
      <c r="H140" s="135">
        <v>1.669</v>
      </c>
      <c r="I140" s="135">
        <v>1.4910000000000001</v>
      </c>
      <c r="J140" s="135"/>
      <c r="N140" s="140"/>
      <c r="O140" s="140"/>
      <c r="P140" s="140"/>
      <c r="Q140" s="140"/>
      <c r="R140" s="129"/>
      <c r="S140" s="140"/>
      <c r="T140" s="140"/>
      <c r="U140" s="140"/>
      <c r="V140" s="140"/>
      <c r="W140" s="140"/>
      <c r="X140" s="140"/>
      <c r="Y140" s="140"/>
      <c r="Z140" s="140"/>
      <c r="AB140" s="111"/>
      <c r="AC140" s="111"/>
      <c r="AD140" s="111"/>
      <c r="AE140" s="111"/>
      <c r="AF140" s="111"/>
      <c r="AG140" s="111"/>
      <c r="AH140" s="111"/>
      <c r="AI140" s="111"/>
      <c r="AJ140" s="111"/>
      <c r="AK140" s="111"/>
      <c r="AL140" s="111"/>
      <c r="AM140" s="111"/>
      <c r="AN140" s="111"/>
    </row>
    <row r="141" spans="1:40" ht="12.75" x14ac:dyDescent="0.2">
      <c r="A141">
        <v>1.252</v>
      </c>
      <c r="B141">
        <v>1.4370000000000001</v>
      </c>
      <c r="C141" s="135">
        <v>1.45</v>
      </c>
      <c r="D141" s="135">
        <v>1.637</v>
      </c>
      <c r="E141" s="135">
        <v>1.5780000000000001</v>
      </c>
      <c r="F141" s="135">
        <v>1.4410000000000001</v>
      </c>
      <c r="G141" s="135">
        <v>1.48</v>
      </c>
      <c r="H141" s="135">
        <v>1.6339999999999999</v>
      </c>
      <c r="I141" s="135">
        <v>1.45</v>
      </c>
      <c r="J141" s="135"/>
      <c r="N141" s="140"/>
      <c r="O141" s="140"/>
      <c r="P141" s="140"/>
      <c r="Q141" s="140"/>
      <c r="R141" s="129"/>
      <c r="S141" s="140"/>
      <c r="T141" s="140"/>
      <c r="U141" s="140"/>
      <c r="V141" s="140"/>
      <c r="W141" s="140"/>
      <c r="X141" s="140"/>
      <c r="Y141" s="140"/>
      <c r="Z141" s="140"/>
      <c r="AB141" s="111"/>
      <c r="AC141" s="111"/>
      <c r="AD141" s="111"/>
      <c r="AE141" s="111"/>
      <c r="AF141" s="111"/>
      <c r="AG141" s="111"/>
      <c r="AH141" s="111"/>
      <c r="AI141" s="111"/>
      <c r="AJ141" s="111"/>
      <c r="AK141" s="111"/>
      <c r="AL141" s="111"/>
      <c r="AM141" s="111"/>
      <c r="AN141" s="111"/>
    </row>
    <row r="142" spans="1:40" ht="12.75" x14ac:dyDescent="0.2">
      <c r="N142" s="140"/>
      <c r="O142" s="140"/>
      <c r="P142" s="140"/>
      <c r="Q142" s="140"/>
      <c r="R142" s="129"/>
      <c r="S142" s="140"/>
      <c r="T142" s="140"/>
      <c r="U142" s="140"/>
      <c r="V142" s="140"/>
      <c r="W142" s="140"/>
      <c r="X142" s="140"/>
      <c r="Y142" s="140"/>
      <c r="Z142" s="140"/>
      <c r="AB142" s="111"/>
      <c r="AC142" s="111"/>
      <c r="AD142" s="111"/>
      <c r="AE142" s="111"/>
      <c r="AF142" s="111"/>
      <c r="AG142" s="111"/>
      <c r="AH142" s="111"/>
      <c r="AI142" s="111"/>
      <c r="AJ142" s="111"/>
      <c r="AK142" s="111"/>
      <c r="AL142" s="111"/>
      <c r="AM142" s="111"/>
      <c r="AN142" s="111"/>
    </row>
    <row r="143" spans="1:40" ht="12.75" x14ac:dyDescent="0.2">
      <c r="N143" s="140"/>
      <c r="O143" s="140"/>
      <c r="P143" s="140"/>
      <c r="Q143" s="140"/>
      <c r="R143" s="129"/>
      <c r="S143" s="140"/>
      <c r="T143" s="140"/>
      <c r="U143" s="140"/>
      <c r="V143" s="140"/>
      <c r="W143" s="140"/>
      <c r="X143" s="140"/>
      <c r="Y143" s="140"/>
      <c r="Z143" s="140"/>
      <c r="AB143" s="111"/>
      <c r="AC143" s="111"/>
      <c r="AD143" s="111"/>
      <c r="AE143" s="111"/>
      <c r="AF143" s="111"/>
      <c r="AG143" s="111"/>
      <c r="AH143" s="111"/>
      <c r="AI143" s="111"/>
      <c r="AJ143" s="111"/>
      <c r="AK143" s="111"/>
      <c r="AL143" s="111"/>
      <c r="AM143" s="111"/>
      <c r="AN143" s="111"/>
    </row>
    <row r="144" spans="1:40" ht="12.75" x14ac:dyDescent="0.2">
      <c r="N144" s="140"/>
      <c r="O144" s="140"/>
      <c r="P144" s="140"/>
      <c r="Q144" s="140"/>
      <c r="R144" s="129"/>
      <c r="S144" s="140"/>
      <c r="T144" s="140"/>
      <c r="U144" s="140"/>
      <c r="V144" s="140"/>
      <c r="W144" s="140"/>
      <c r="X144" s="140"/>
      <c r="Y144" s="140"/>
      <c r="Z144" s="140"/>
      <c r="AB144" s="111"/>
      <c r="AC144" s="111"/>
      <c r="AD144" s="111"/>
      <c r="AE144" s="111"/>
      <c r="AF144" s="111"/>
      <c r="AG144" s="111"/>
      <c r="AH144" s="111"/>
      <c r="AI144" s="111"/>
      <c r="AJ144" s="111"/>
      <c r="AK144" s="111"/>
      <c r="AL144" s="111"/>
      <c r="AM144" s="111"/>
      <c r="AN144" s="111"/>
    </row>
    <row r="145" spans="11:69" ht="12.75" x14ac:dyDescent="0.2">
      <c r="N145" s="140"/>
      <c r="O145" s="140"/>
      <c r="P145" s="140"/>
      <c r="Q145" s="140"/>
      <c r="R145" s="129"/>
      <c r="S145" s="140"/>
      <c r="T145" s="140"/>
      <c r="U145" s="140"/>
      <c r="V145" s="140"/>
      <c r="W145" s="140"/>
      <c r="X145" s="140"/>
      <c r="Y145" s="140"/>
      <c r="Z145" s="140"/>
      <c r="AB145" s="111"/>
      <c r="AC145" s="111"/>
      <c r="AD145" s="111"/>
      <c r="AE145" s="111"/>
      <c r="AF145" s="111"/>
      <c r="AG145" s="111"/>
      <c r="AH145" s="111"/>
      <c r="AI145" s="111"/>
      <c r="AJ145" s="111"/>
      <c r="AK145" s="111"/>
      <c r="AL145" s="111"/>
      <c r="AM145" s="111"/>
      <c r="AN145" s="111"/>
    </row>
    <row r="147" spans="11:69" x14ac:dyDescent="0.2">
      <c r="S147" s="126"/>
      <c r="T147" s="126"/>
      <c r="U147" s="126"/>
      <c r="V147" s="126"/>
      <c r="W147" s="126"/>
      <c r="X147" s="126"/>
      <c r="Y147" s="126"/>
      <c r="Z147" s="126"/>
      <c r="AQ147" s="106"/>
      <c r="BE147" s="106" t="s">
        <v>296</v>
      </c>
    </row>
    <row r="148" spans="11:69" ht="12.75" x14ac:dyDescent="0.2">
      <c r="K148" s="139"/>
      <c r="N148" s="140"/>
      <c r="O148" s="140"/>
      <c r="P148" s="140"/>
      <c r="Q148" s="140"/>
      <c r="R148" s="129"/>
      <c r="S148" s="140"/>
      <c r="T148" s="140"/>
      <c r="U148" s="140"/>
      <c r="V148" s="140"/>
      <c r="W148" s="140"/>
      <c r="X148" s="137"/>
      <c r="Y148" s="140"/>
      <c r="Z148" s="140"/>
      <c r="AB148" s="111"/>
      <c r="AC148" s="111"/>
      <c r="AD148" s="111"/>
      <c r="AE148" s="111"/>
      <c r="AF148" s="111"/>
      <c r="AG148" s="111"/>
      <c r="AH148" s="111"/>
      <c r="AI148" s="111"/>
      <c r="AJ148" s="111"/>
      <c r="AK148" s="111"/>
      <c r="AL148" s="111"/>
      <c r="AM148" s="111"/>
      <c r="AN148" s="111"/>
      <c r="AQ148" s="120"/>
      <c r="AR148" s="120"/>
      <c r="AS148" s="120"/>
      <c r="AT148" s="120"/>
      <c r="AU148" s="120"/>
      <c r="AV148" s="120"/>
      <c r="AW148" s="120"/>
      <c r="AX148" s="120"/>
      <c r="AY148" s="120"/>
      <c r="AZ148" s="120"/>
      <c r="BA148" s="120">
        <v>1.5354041512250824E-2</v>
      </c>
      <c r="BB148" s="120">
        <v>2.2440254773999455E-2</v>
      </c>
      <c r="BC148" s="120">
        <v>3.8554363515026724E-2</v>
      </c>
      <c r="BE148" s="120">
        <v>0.1259997982554889</v>
      </c>
      <c r="BF148" s="120">
        <v>0.1109598604943647</v>
      </c>
      <c r="BG148" s="120">
        <v>0.12099930614296232</v>
      </c>
      <c r="BH148" s="120">
        <v>0.13699935833428956</v>
      </c>
      <c r="BI148" s="120">
        <v>0.15247442176643022</v>
      </c>
      <c r="BJ148" s="120">
        <v>0.16805259724991542</v>
      </c>
      <c r="BK148" s="120">
        <v>0.19592611556050257</v>
      </c>
      <c r="BL148" s="120">
        <v>0.2460146700910576</v>
      </c>
      <c r="BM148" s="120">
        <v>0.28702764815766224</v>
      </c>
      <c r="BN148" s="120">
        <v>0.32303278003806102</v>
      </c>
      <c r="BO148" s="120">
        <v>0.37745103282068293</v>
      </c>
      <c r="BP148" s="120">
        <v>0.46906240514623776</v>
      </c>
      <c r="BQ148" s="120">
        <v>0.60249392906770183</v>
      </c>
    </row>
    <row r="149" spans="11:69" ht="12.75" x14ac:dyDescent="0.2">
      <c r="N149" s="140"/>
      <c r="O149" s="140"/>
      <c r="P149" s="140"/>
      <c r="Q149" s="140"/>
      <c r="R149" s="129"/>
      <c r="S149" s="140"/>
      <c r="T149" s="140"/>
      <c r="U149" s="140"/>
      <c r="V149" s="140"/>
      <c r="W149" s="140"/>
      <c r="X149" s="140"/>
      <c r="Y149" s="140"/>
      <c r="Z149" s="140"/>
      <c r="AB149" s="111"/>
      <c r="AC149" s="111"/>
      <c r="AD149" s="111"/>
      <c r="AE149" s="111"/>
      <c r="AF149" s="111"/>
      <c r="AG149" s="111"/>
      <c r="AH149" s="111"/>
      <c r="AI149" s="111"/>
      <c r="AJ149" s="111"/>
      <c r="AK149" s="111"/>
      <c r="AL149" s="111"/>
      <c r="AM149" s="111"/>
      <c r="AN149" s="111"/>
      <c r="AQ149" s="120"/>
      <c r="AR149" s="120"/>
      <c r="AS149" s="120"/>
      <c r="AT149" s="120"/>
      <c r="AU149" s="120"/>
      <c r="AV149" s="120"/>
      <c r="AW149" s="120"/>
      <c r="AX149" s="120"/>
      <c r="AY149" s="120"/>
      <c r="AZ149" s="120"/>
      <c r="BA149" s="120">
        <v>1.3246371256498812E-2</v>
      </c>
      <c r="BB149" s="120">
        <v>1.8490913112801606E-2</v>
      </c>
      <c r="BC149" s="120">
        <v>3.0733494862205696E-2</v>
      </c>
      <c r="BE149" s="120">
        <v>0.1636808085089769</v>
      </c>
      <c r="BF149" s="120">
        <v>0.14584958397872139</v>
      </c>
      <c r="BG149" s="120">
        <v>0.14745341931363676</v>
      </c>
      <c r="BH149" s="120">
        <v>0.15221542009245437</v>
      </c>
      <c r="BI149" s="120">
        <v>0.16064110392363201</v>
      </c>
      <c r="BJ149" s="120">
        <v>0.1696970103096839</v>
      </c>
      <c r="BK149" s="120">
        <v>0.18947363928040928</v>
      </c>
      <c r="BL149" s="120">
        <v>0.22427597812119737</v>
      </c>
      <c r="BM149" s="120">
        <v>0.25551061838099454</v>
      </c>
      <c r="BN149" s="120">
        <v>0.28191994681205984</v>
      </c>
      <c r="BO149" s="120">
        <v>0.32724086159241722</v>
      </c>
      <c r="BP149" s="120">
        <v>0.3874733348251278</v>
      </c>
      <c r="BQ149" s="120">
        <v>0.4816956847263536</v>
      </c>
    </row>
    <row r="150" spans="11:69" ht="12.75" x14ac:dyDescent="0.2">
      <c r="N150" s="140"/>
      <c r="O150" s="137"/>
      <c r="P150" s="140"/>
      <c r="Q150" s="140"/>
      <c r="R150" s="129"/>
      <c r="S150" s="140"/>
      <c r="T150" s="140"/>
      <c r="U150" s="140"/>
      <c r="V150" s="140"/>
      <c r="W150" s="140"/>
      <c r="X150" s="140"/>
      <c r="Y150" s="140"/>
      <c r="Z150" s="140"/>
      <c r="AB150" s="111"/>
      <c r="AC150" s="111"/>
      <c r="AD150" s="111"/>
      <c r="AE150" s="111"/>
      <c r="AF150" s="111"/>
      <c r="AG150" s="111"/>
      <c r="AH150" s="111"/>
      <c r="AI150" s="111"/>
      <c r="AJ150" s="111"/>
      <c r="AK150" s="111"/>
      <c r="AL150" s="111"/>
      <c r="AM150" s="111"/>
      <c r="AN150" s="111"/>
      <c r="AQ150" s="120"/>
      <c r="AR150" s="120"/>
      <c r="AS150" s="120"/>
      <c r="AT150" s="120"/>
      <c r="AU150" s="120"/>
      <c r="AV150" s="120"/>
      <c r="AW150" s="120"/>
      <c r="AX150" s="120"/>
      <c r="AY150" s="120"/>
      <c r="AZ150" s="120"/>
      <c r="BA150" s="120">
        <v>1.1204984553800106E-2</v>
      </c>
      <c r="BB150" s="120">
        <v>1.5564535709809202E-2</v>
      </c>
      <c r="BC150" s="120">
        <v>2.5529964503123444E-2</v>
      </c>
      <c r="BE150" s="120">
        <v>0.18799997920907893</v>
      </c>
      <c r="BF150" s="120">
        <v>0.15999999942641643</v>
      </c>
      <c r="BG150" s="120">
        <v>0.15323502218471025</v>
      </c>
      <c r="BH150" s="120">
        <v>0.15299999855545338</v>
      </c>
      <c r="BI150" s="120">
        <v>0.15599998770006659</v>
      </c>
      <c r="BJ150" s="120">
        <v>0.15899997181665648</v>
      </c>
      <c r="BK150" s="120">
        <v>0.16899995528757486</v>
      </c>
      <c r="BL150" s="120">
        <v>0.19099997595025972</v>
      </c>
      <c r="BM150" s="120">
        <v>0.21299193615846468</v>
      </c>
      <c r="BN150" s="120">
        <v>0.23299555997849292</v>
      </c>
      <c r="BO150" s="120">
        <v>0.26599523168361899</v>
      </c>
      <c r="BP150" s="120">
        <v>0.31397645710787936</v>
      </c>
      <c r="BQ150" s="120">
        <v>0.38599299906250634</v>
      </c>
    </row>
    <row r="151" spans="11:69" ht="12.75" x14ac:dyDescent="0.2">
      <c r="N151" s="140"/>
      <c r="O151" s="137"/>
      <c r="P151" s="140"/>
      <c r="Q151" s="140"/>
      <c r="R151" s="129"/>
      <c r="S151" s="140"/>
      <c r="T151" s="140"/>
      <c r="U151" s="140"/>
      <c r="V151" s="140"/>
      <c r="W151" s="140"/>
      <c r="X151" s="140"/>
      <c r="Y151" s="140"/>
      <c r="Z151" s="140"/>
      <c r="AB151" s="111"/>
      <c r="AC151" s="111"/>
      <c r="AD151" s="111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Q151" s="120"/>
      <c r="AR151" s="120"/>
      <c r="AS151" s="120"/>
      <c r="AT151" s="120"/>
      <c r="AU151" s="120"/>
      <c r="AV151" s="120"/>
      <c r="AW151" s="120"/>
      <c r="AX151" s="120"/>
      <c r="AY151" s="120"/>
      <c r="AZ151" s="120"/>
      <c r="BA151" s="120">
        <v>1.0001145621696657E-2</v>
      </c>
      <c r="BB151" s="120">
        <v>1.3471980276893393E-2</v>
      </c>
      <c r="BC151" s="120">
        <v>2.1108273857863877E-2</v>
      </c>
      <c r="BE151" s="120">
        <v>0.25640317672870694</v>
      </c>
      <c r="BF151" s="120">
        <v>0.23683896726786816</v>
      </c>
      <c r="BG151" s="120">
        <v>0.22936113964583554</v>
      </c>
      <c r="BH151" s="120">
        <v>0.21827744948383521</v>
      </c>
      <c r="BI151" s="120">
        <v>0.20999716573165753</v>
      </c>
      <c r="BJ151" s="120">
        <v>0.20258191554585309</v>
      </c>
      <c r="BK151" s="120">
        <v>0.19253932009655117</v>
      </c>
      <c r="BL151" s="120">
        <v>0.19100002639631292</v>
      </c>
      <c r="BM151" s="120">
        <v>0.19815266291639722</v>
      </c>
      <c r="BN151" s="120">
        <v>0.20861476208768542</v>
      </c>
      <c r="BO151" s="120">
        <v>0.22733251832548201</v>
      </c>
      <c r="BP151" s="120">
        <v>0.2608648920385413</v>
      </c>
      <c r="BQ151" s="120">
        <v>0.3068195598517498</v>
      </c>
    </row>
    <row r="152" spans="11:69" ht="12.75" x14ac:dyDescent="0.2">
      <c r="N152" s="140"/>
      <c r="O152" s="140"/>
      <c r="P152" s="140"/>
      <c r="Q152" s="140"/>
      <c r="R152" s="129"/>
      <c r="S152" s="140"/>
      <c r="T152" s="140"/>
      <c r="U152" s="140"/>
      <c r="V152" s="140"/>
      <c r="W152" s="140"/>
      <c r="X152" s="140"/>
      <c r="Y152" s="140"/>
      <c r="Z152" s="140"/>
      <c r="AB152" s="111"/>
      <c r="AC152" s="111"/>
      <c r="AD152" s="111"/>
      <c r="AE152" s="111"/>
      <c r="AF152" s="111"/>
      <c r="AG152" s="111"/>
      <c r="AH152" s="111"/>
      <c r="AI152" s="111"/>
      <c r="AJ152" s="111"/>
      <c r="AK152" s="111"/>
      <c r="AL152" s="111"/>
      <c r="AM152" s="111"/>
      <c r="AN152" s="111"/>
      <c r="AQ152" s="120"/>
      <c r="AR152" s="120"/>
      <c r="AS152" s="120"/>
      <c r="AT152" s="120"/>
      <c r="AU152" s="120"/>
      <c r="AV152" s="120"/>
      <c r="AW152" s="120"/>
      <c r="AX152" s="120"/>
      <c r="AY152" s="120"/>
      <c r="AZ152" s="120"/>
      <c r="BA152" s="120">
        <v>9.7253628512066759E-3</v>
      </c>
      <c r="BB152" s="120">
        <v>1.2760468715585045E-2</v>
      </c>
      <c r="BC152" s="120">
        <v>1.973497849724715E-2</v>
      </c>
      <c r="BE152" s="120">
        <v>0.2539345518253342</v>
      </c>
      <c r="BF152" s="120">
        <v>0.23532788996816423</v>
      </c>
      <c r="BG152" s="120">
        <v>0.22415932350990345</v>
      </c>
      <c r="BH152" s="120">
        <v>0.2215257282488643</v>
      </c>
      <c r="BI152" s="120">
        <v>0.2160405685276342</v>
      </c>
      <c r="BJ152" s="120">
        <v>0.21066877157984504</v>
      </c>
      <c r="BK152" s="120">
        <v>0.20443663021398159</v>
      </c>
      <c r="BL152" s="120">
        <v>0.19691015106839485</v>
      </c>
      <c r="BM152" s="120">
        <v>0.19779405362275182</v>
      </c>
      <c r="BN152" s="120">
        <v>0.19972587523113297</v>
      </c>
      <c r="BO152" s="120">
        <v>0.21442700364579692</v>
      </c>
      <c r="BP152" s="120">
        <v>0.24005397106843152</v>
      </c>
      <c r="BQ152" s="120">
        <v>0.28002090103992699</v>
      </c>
    </row>
    <row r="153" spans="11:69" ht="12.75" x14ac:dyDescent="0.2">
      <c r="N153" s="140"/>
      <c r="O153" s="137"/>
      <c r="P153" s="140"/>
      <c r="Q153" s="140"/>
      <c r="R153" s="129"/>
      <c r="S153" s="140"/>
      <c r="T153" s="140"/>
      <c r="U153" s="140"/>
      <c r="V153" s="140"/>
      <c r="W153" s="140"/>
      <c r="X153" s="140"/>
      <c r="Y153" s="140"/>
      <c r="Z153" s="140"/>
      <c r="AB153" s="111"/>
      <c r="AC153" s="111"/>
      <c r="AD153" s="111"/>
      <c r="AE153" s="111"/>
      <c r="AF153" s="111"/>
      <c r="AG153" s="111"/>
      <c r="AH153" s="111"/>
      <c r="AI153" s="111"/>
      <c r="AJ153" s="111"/>
      <c r="AK153" s="111"/>
      <c r="AL153" s="111"/>
      <c r="AM153" s="111"/>
      <c r="AN153" s="111"/>
      <c r="AQ153" s="120"/>
      <c r="AR153" s="120"/>
      <c r="AS153" s="120"/>
      <c r="AT153" s="120"/>
      <c r="AU153" s="120"/>
      <c r="AV153" s="120"/>
      <c r="AW153" s="120"/>
      <c r="AX153" s="120"/>
      <c r="AY153" s="120"/>
      <c r="AZ153" s="120"/>
      <c r="BA153" s="120">
        <v>9.4027242596876823E-3</v>
      </c>
      <c r="BB153" s="120">
        <v>1.2138932278001337E-2</v>
      </c>
      <c r="BC153" s="120">
        <v>1.8781073070151619E-2</v>
      </c>
      <c r="BE153" s="120">
        <v>0.25472242188352867</v>
      </c>
      <c r="BF153" s="120">
        <v>0.23997955453909131</v>
      </c>
      <c r="BG153" s="120">
        <v>0.23877440764800142</v>
      </c>
      <c r="BH153" s="120">
        <v>0.22373923904538856</v>
      </c>
      <c r="BI153" s="120">
        <v>0.21998145416155568</v>
      </c>
      <c r="BJ153" s="120">
        <v>0.21622800156500771</v>
      </c>
      <c r="BK153" s="120">
        <v>0.20313703639915462</v>
      </c>
      <c r="BL153" s="120">
        <v>0.19171755185024136</v>
      </c>
      <c r="BM153" s="120">
        <v>0.18682542427822701</v>
      </c>
      <c r="BN153" s="120">
        <v>0.19025925741907634</v>
      </c>
      <c r="BO153" s="120">
        <v>0.19900265430472719</v>
      </c>
      <c r="BP153" s="120">
        <v>0.21961698952221584</v>
      </c>
      <c r="BQ153" s="120">
        <v>0.25709403094058758</v>
      </c>
    </row>
    <row r="154" spans="11:69" ht="12.75" x14ac:dyDescent="0.2">
      <c r="N154" s="140"/>
      <c r="O154" s="140"/>
      <c r="P154" s="140"/>
      <c r="Q154" s="140"/>
      <c r="R154" s="129"/>
      <c r="S154" s="140"/>
      <c r="T154" s="140"/>
      <c r="U154" s="140"/>
      <c r="V154" s="140"/>
      <c r="W154" s="140"/>
      <c r="X154" s="140"/>
      <c r="Y154" s="140"/>
      <c r="Z154" s="140"/>
      <c r="AB154" s="111"/>
      <c r="AC154" s="111"/>
      <c r="AD154" s="111"/>
      <c r="AE154" s="111"/>
      <c r="AF154" s="111"/>
      <c r="AG154" s="111"/>
      <c r="AH154" s="111"/>
      <c r="AI154" s="111"/>
      <c r="AJ154" s="111"/>
      <c r="AK154" s="111"/>
      <c r="AL154" s="111"/>
      <c r="AM154" s="111"/>
      <c r="AN154" s="111"/>
      <c r="AQ154" s="120"/>
      <c r="AR154" s="120"/>
      <c r="AS154" s="120"/>
      <c r="AT154" s="120"/>
      <c r="AU154" s="120"/>
      <c r="AV154" s="120"/>
      <c r="AW154" s="120"/>
      <c r="AX154" s="120"/>
      <c r="AY154" s="120"/>
      <c r="AZ154" s="120"/>
      <c r="BA154" s="120">
        <v>8.8388990365605886E-3</v>
      </c>
      <c r="BB154" s="120">
        <v>1.123446745672641E-2</v>
      </c>
      <c r="BC154" s="120">
        <v>1.6948204931147532E-2</v>
      </c>
      <c r="BE154" s="120">
        <v>0.25381234599522928</v>
      </c>
      <c r="BF154" s="120">
        <v>0.24228567527232894</v>
      </c>
      <c r="BG154" s="120">
        <v>0.22788971014873619</v>
      </c>
      <c r="BH154" s="120">
        <v>0.22533011472412925</v>
      </c>
      <c r="BI154" s="120">
        <v>0.21743042992480674</v>
      </c>
      <c r="BJ154" s="120">
        <v>0.20980406159811046</v>
      </c>
      <c r="BK154" s="120">
        <v>0.20432288929019601</v>
      </c>
      <c r="BL154" s="120">
        <v>0.18886211987120474</v>
      </c>
      <c r="BM154" s="120">
        <v>0.18028037430525568</v>
      </c>
      <c r="BN154" s="120">
        <v>0.17790182319650796</v>
      </c>
      <c r="BO154" s="120">
        <v>0.18037548753195359</v>
      </c>
      <c r="BP154" s="120">
        <v>0.19626102593498546</v>
      </c>
      <c r="BQ154" s="120">
        <v>0.22433280240616407</v>
      </c>
    </row>
    <row r="155" spans="11:69" ht="12.75" x14ac:dyDescent="0.2">
      <c r="N155" s="137"/>
      <c r="O155" s="140"/>
      <c r="P155" s="140"/>
      <c r="Q155" s="140"/>
      <c r="R155" s="129"/>
      <c r="S155" s="140"/>
      <c r="T155" s="140"/>
      <c r="U155" s="140"/>
      <c r="V155" s="140"/>
      <c r="W155" s="140"/>
      <c r="X155" s="140"/>
      <c r="Y155" s="140"/>
      <c r="Z155" s="140"/>
      <c r="AB155" s="111"/>
      <c r="AC155" s="111"/>
      <c r="AD155" s="111"/>
      <c r="AE155" s="111"/>
      <c r="AF155" s="111"/>
      <c r="AG155" s="111"/>
      <c r="AH155" s="111"/>
      <c r="AI155" s="111"/>
      <c r="AJ155" s="111"/>
      <c r="AK155" s="111"/>
      <c r="AL155" s="111"/>
      <c r="AM155" s="111"/>
      <c r="AN155" s="111"/>
      <c r="AQ155" s="120"/>
      <c r="AR155" s="120"/>
      <c r="AS155" s="120"/>
      <c r="AT155" s="120"/>
      <c r="AU155" s="120"/>
      <c r="AV155" s="120"/>
      <c r="AW155" s="120"/>
      <c r="AX155" s="120"/>
      <c r="AY155" s="120"/>
      <c r="AZ155" s="120"/>
      <c r="BA155" s="120">
        <v>8.7320411132122602E-3</v>
      </c>
      <c r="BB155" s="120">
        <v>1.0698889420455233E-2</v>
      </c>
      <c r="BC155" s="120">
        <v>1.5952768342463747E-2</v>
      </c>
      <c r="BE155" s="120">
        <v>0.25087164520855904</v>
      </c>
      <c r="BF155" s="120">
        <v>0.22825134482233431</v>
      </c>
      <c r="BG155" s="120">
        <v>0.23072441176841332</v>
      </c>
      <c r="BH155" s="120">
        <v>0.22437058799375725</v>
      </c>
      <c r="BI155" s="120">
        <v>0.21942562977819488</v>
      </c>
      <c r="BJ155" s="120">
        <v>0.21448173489456493</v>
      </c>
      <c r="BK155" s="120">
        <v>0.20459026054004475</v>
      </c>
      <c r="BL155" s="120">
        <v>0.18755384359421351</v>
      </c>
      <c r="BM155" s="120">
        <v>0.18138701785656244</v>
      </c>
      <c r="BN155" s="120">
        <v>0.17442406024416657</v>
      </c>
      <c r="BO155" s="120">
        <v>0.17344593515189163</v>
      </c>
      <c r="BP155" s="120">
        <v>0.18205077155974705</v>
      </c>
      <c r="BQ155" s="120">
        <v>0.20628551274316487</v>
      </c>
    </row>
    <row r="156" spans="11:69" ht="12.75" x14ac:dyDescent="0.2">
      <c r="N156" s="140"/>
      <c r="O156" s="140"/>
      <c r="P156" s="140"/>
      <c r="Q156" s="140"/>
      <c r="R156" s="129"/>
      <c r="S156" s="140"/>
      <c r="T156" s="140"/>
      <c r="U156" s="140"/>
      <c r="V156" s="140"/>
      <c r="W156" s="140"/>
      <c r="X156" s="140"/>
      <c r="Y156" s="140"/>
      <c r="Z156" s="140"/>
      <c r="AB156" s="111"/>
      <c r="AC156" s="111"/>
      <c r="AD156" s="111"/>
      <c r="AE156" s="111"/>
      <c r="AF156" s="111"/>
      <c r="AG156" s="111"/>
      <c r="AH156" s="111"/>
      <c r="AI156" s="111"/>
      <c r="AJ156" s="111"/>
      <c r="AK156" s="111"/>
      <c r="AL156" s="111"/>
      <c r="AM156" s="111"/>
      <c r="AN156" s="111"/>
      <c r="AQ156" s="120"/>
      <c r="AR156" s="120"/>
      <c r="AS156" s="120"/>
      <c r="AT156" s="120"/>
      <c r="AU156" s="120"/>
      <c r="AV156" s="120"/>
      <c r="AW156" s="120"/>
      <c r="AX156" s="120"/>
      <c r="AY156" s="120"/>
      <c r="AZ156" s="120"/>
      <c r="BA156" s="120">
        <v>8.4254895854262313E-3</v>
      </c>
      <c r="BB156" s="120">
        <v>9.9094287305135312E-3</v>
      </c>
      <c r="BC156" s="120">
        <v>1.4935701883773906E-2</v>
      </c>
      <c r="BE156" s="120">
        <v>0.23362757813773044</v>
      </c>
      <c r="BF156" s="120">
        <v>0.23141242839085621</v>
      </c>
      <c r="BG156" s="120">
        <v>0.21405485453111428</v>
      </c>
      <c r="BH156" s="120">
        <v>0.21761817515400031</v>
      </c>
      <c r="BI156" s="120">
        <v>0.21089499625266556</v>
      </c>
      <c r="BJ156" s="120">
        <v>0.20430494604319532</v>
      </c>
      <c r="BK156" s="120">
        <v>0.19441126003747866</v>
      </c>
      <c r="BL156" s="120">
        <v>0.18562777336051042</v>
      </c>
      <c r="BM156" s="120">
        <v>0.17414269432097457</v>
      </c>
      <c r="BN156" s="120">
        <v>0.1676420050242223</v>
      </c>
      <c r="BO156" s="120">
        <v>0.16430108751657233</v>
      </c>
      <c r="BP156" s="120">
        <v>0.16556632701226329</v>
      </c>
      <c r="BQ156" s="120">
        <v>0.18988178191339217</v>
      </c>
    </row>
    <row r="157" spans="11:69" ht="12.75" x14ac:dyDescent="0.2">
      <c r="N157" s="140"/>
      <c r="O157" s="140"/>
      <c r="P157" s="137"/>
      <c r="Q157" s="140"/>
      <c r="R157" s="129"/>
      <c r="S157" s="140"/>
      <c r="T157" s="140"/>
      <c r="U157" s="140"/>
      <c r="V157" s="140"/>
      <c r="W157" s="140"/>
      <c r="X157" s="140"/>
      <c r="Y157" s="137"/>
      <c r="Z157" s="140"/>
      <c r="AB157" s="111"/>
      <c r="AC157" s="111"/>
      <c r="AD157" s="111"/>
      <c r="AE157" s="111"/>
      <c r="AF157" s="111"/>
      <c r="AG157" s="111"/>
      <c r="AH157" s="111"/>
      <c r="AI157" s="111"/>
      <c r="AJ157" s="111"/>
      <c r="AK157" s="111"/>
      <c r="AL157" s="111"/>
      <c r="AM157" s="111"/>
      <c r="AN157" s="111"/>
      <c r="AQ157" s="120"/>
      <c r="AR157" s="120"/>
      <c r="AS157" s="120"/>
      <c r="AT157" s="120"/>
      <c r="AU157" s="120"/>
      <c r="AV157" s="120"/>
      <c r="AW157" s="120"/>
      <c r="AX157" s="120"/>
      <c r="AY157" s="120"/>
      <c r="AZ157" s="120"/>
      <c r="BA157" s="120">
        <v>8.3706163324902029E-3</v>
      </c>
      <c r="BB157" s="120">
        <v>9.9709396174745817E-3</v>
      </c>
      <c r="BC157" s="120">
        <v>1.5258575009381154E-2</v>
      </c>
      <c r="BE157" s="120">
        <v>0.24870365333128625</v>
      </c>
      <c r="BF157" s="120">
        <v>0.22546476638391788</v>
      </c>
      <c r="BG157" s="120">
        <v>0.2219564834073724</v>
      </c>
      <c r="BH157" s="120">
        <v>0.20605182716496723</v>
      </c>
      <c r="BI157" s="120">
        <v>0.20365287441422664</v>
      </c>
      <c r="BJ157" s="120">
        <v>0.20121014690286448</v>
      </c>
      <c r="BK157" s="120">
        <v>0.19789001109512833</v>
      </c>
      <c r="BL157" s="120">
        <v>0.17639190997925325</v>
      </c>
      <c r="BM157" s="120">
        <v>0.16971907576002837</v>
      </c>
      <c r="BN157" s="120">
        <v>0.16492677474933409</v>
      </c>
      <c r="BO157" s="120">
        <v>0.16122719954258921</v>
      </c>
      <c r="BP157" s="120">
        <v>0.16476334055600558</v>
      </c>
      <c r="BQ157" s="120">
        <v>0.1922905505134474</v>
      </c>
    </row>
    <row r="158" spans="11:69" ht="12.75" x14ac:dyDescent="0.2">
      <c r="N158" s="137"/>
      <c r="O158" s="140"/>
      <c r="P158" s="140"/>
      <c r="Q158" s="140"/>
      <c r="R158" s="129"/>
      <c r="S158" s="140"/>
      <c r="T158" s="140"/>
      <c r="U158" s="140"/>
      <c r="V158" s="140"/>
      <c r="W158" s="140"/>
      <c r="X158" s="140"/>
      <c r="Y158" s="140"/>
      <c r="Z158" s="140"/>
      <c r="AB158" s="111"/>
      <c r="AC158" s="111"/>
      <c r="AD158" s="111"/>
      <c r="AE158" s="111"/>
      <c r="AF158" s="111"/>
      <c r="AG158" s="111"/>
      <c r="AH158" s="111"/>
      <c r="AI158" s="111"/>
      <c r="AJ158" s="111"/>
      <c r="AK158" s="111"/>
      <c r="AL158" s="111"/>
      <c r="AM158" s="111"/>
      <c r="AN158" s="111"/>
      <c r="AQ158" s="120"/>
      <c r="AR158" s="120"/>
      <c r="AS158" s="120"/>
      <c r="AT158" s="120"/>
      <c r="AU158" s="120"/>
      <c r="AV158" s="120"/>
      <c r="AW158" s="120"/>
      <c r="AX158" s="120"/>
      <c r="AY158" s="120"/>
      <c r="AZ158" s="120"/>
      <c r="BA158" s="120">
        <v>7.7489679954886479E-3</v>
      </c>
      <c r="BB158" s="120">
        <v>8.9862819090807435E-3</v>
      </c>
      <c r="BC158" s="120">
        <v>1.0592486570016534E-2</v>
      </c>
      <c r="BE158" s="120">
        <v>0.19870826461086138</v>
      </c>
      <c r="BF158" s="120">
        <v>0.19764291974357415</v>
      </c>
      <c r="BG158" s="120">
        <v>0.19556986003350305</v>
      </c>
      <c r="BH158" s="120">
        <v>0.19713020921728691</v>
      </c>
      <c r="BI158" s="120">
        <v>0.19315567760241448</v>
      </c>
      <c r="BJ158" s="120">
        <v>0.18924341234981332</v>
      </c>
      <c r="BK158" s="120">
        <v>0.17735408822687102</v>
      </c>
      <c r="BL158" s="120">
        <v>0.17729989823168013</v>
      </c>
      <c r="BM158" s="120">
        <v>0.16396671344543728</v>
      </c>
      <c r="BN158" s="120">
        <v>0.15902893981177579</v>
      </c>
      <c r="BO158" s="120">
        <v>0.14697083684435336</v>
      </c>
      <c r="BP158" s="120">
        <v>0.14619220764189683</v>
      </c>
      <c r="BQ158" s="120">
        <v>0.1302905021116203</v>
      </c>
    </row>
    <row r="159" spans="11:69" ht="12.75" x14ac:dyDescent="0.2">
      <c r="N159" s="140"/>
      <c r="O159" s="140"/>
      <c r="P159" s="140"/>
      <c r="Q159" s="140"/>
      <c r="R159" s="129"/>
      <c r="S159" s="140"/>
      <c r="T159" s="140"/>
      <c r="U159" s="140"/>
      <c r="V159" s="140"/>
      <c r="W159" s="140"/>
      <c r="X159" s="140"/>
      <c r="Y159" s="140"/>
      <c r="Z159" s="140"/>
      <c r="AB159" s="111"/>
      <c r="AC159" s="111"/>
      <c r="AD159" s="111"/>
      <c r="AE159" s="111"/>
      <c r="AF159" s="111"/>
      <c r="AG159" s="111"/>
      <c r="AH159" s="111"/>
      <c r="AI159" s="111"/>
      <c r="AJ159" s="111"/>
      <c r="AK159" s="111"/>
      <c r="AL159" s="111"/>
      <c r="AM159" s="111"/>
      <c r="AN159" s="111"/>
      <c r="AQ159" s="120"/>
      <c r="AR159" s="120"/>
      <c r="AS159" s="120"/>
      <c r="AT159" s="120"/>
      <c r="AU159" s="120"/>
      <c r="AV159" s="120"/>
      <c r="AW159" s="120"/>
      <c r="AX159" s="120"/>
      <c r="AY159" s="120"/>
      <c r="AZ159" s="120"/>
      <c r="BA159" s="120">
        <v>7.844948158653749E-3</v>
      </c>
      <c r="BB159" s="120">
        <v>8.5384429871578019E-3</v>
      </c>
      <c r="BC159" s="120">
        <v>1.1826653773609424E-2</v>
      </c>
      <c r="BE159" s="120">
        <v>0.2157206436021134</v>
      </c>
      <c r="BF159" s="120">
        <v>0.20134751567293546</v>
      </c>
      <c r="BG159" s="120">
        <v>0.1988078989354965</v>
      </c>
      <c r="BH159" s="120">
        <v>0.18930301101753758</v>
      </c>
      <c r="BI159" s="120">
        <v>0.1862884064052778</v>
      </c>
      <c r="BJ159" s="120">
        <v>0.1832940202406291</v>
      </c>
      <c r="BK159" s="120">
        <v>0.18198041046321792</v>
      </c>
      <c r="BL159" s="120">
        <v>0.16235274484521445</v>
      </c>
      <c r="BM159" s="120">
        <v>0.16140797774273305</v>
      </c>
      <c r="BN159" s="120">
        <v>0.15451599393248061</v>
      </c>
      <c r="BO159" s="120">
        <v>0.14993365177593246</v>
      </c>
      <c r="BP159" s="120">
        <v>0.13979678112587596</v>
      </c>
      <c r="BQ159" s="120">
        <v>0.1475219362670406</v>
      </c>
    </row>
    <row r="160" spans="11:69" ht="12.75" x14ac:dyDescent="0.2">
      <c r="N160" s="140"/>
      <c r="O160" s="140"/>
      <c r="P160" s="140"/>
      <c r="Q160" s="140"/>
      <c r="R160" s="129"/>
      <c r="S160" s="140"/>
      <c r="T160" s="140"/>
      <c r="U160" s="140"/>
      <c r="V160" s="140"/>
      <c r="W160" s="140"/>
      <c r="X160" s="140"/>
      <c r="Y160" s="140"/>
      <c r="Z160" s="140"/>
      <c r="AB160" s="111"/>
      <c r="AC160" s="111"/>
      <c r="AD160" s="111"/>
      <c r="AE160" s="111"/>
      <c r="AF160" s="111"/>
      <c r="AG160" s="111"/>
      <c r="AH160" s="111"/>
      <c r="AI160" s="111"/>
      <c r="AJ160" s="111"/>
      <c r="AK160" s="111"/>
      <c r="AL160" s="111"/>
      <c r="AM160" s="111"/>
      <c r="AN160" s="111"/>
      <c r="AQ160" s="120"/>
      <c r="AR160" s="120"/>
      <c r="AS160" s="120"/>
      <c r="AT160" s="120"/>
      <c r="AU160" s="120"/>
      <c r="AV160" s="120"/>
      <c r="AW160" s="120"/>
      <c r="AX160" s="120"/>
      <c r="AY160" s="120"/>
      <c r="AZ160" s="120"/>
      <c r="BA160" s="120">
        <v>7.2962361859376787E-3</v>
      </c>
      <c r="BB160" s="120">
        <v>8.0039931362159127E-3</v>
      </c>
      <c r="BC160" s="120">
        <v>8.8206573875619747E-3</v>
      </c>
      <c r="BE160" s="120">
        <v>0.18401868992099196</v>
      </c>
      <c r="BF160" s="120">
        <v>0.18533341397137709</v>
      </c>
      <c r="BG160" s="120">
        <v>0.1781739310778814</v>
      </c>
      <c r="BH160" s="120">
        <v>0.181998558088448</v>
      </c>
      <c r="BI160" s="120">
        <v>0.18076295765587624</v>
      </c>
      <c r="BJ160" s="120">
        <v>0.17956742325527311</v>
      </c>
      <c r="BK160" s="120">
        <v>0.17000401697963244</v>
      </c>
      <c r="BL160" s="120">
        <v>0.1735595416512514</v>
      </c>
      <c r="BM160" s="120">
        <v>0.15723986676517021</v>
      </c>
      <c r="BN160" s="120">
        <v>0.15457837779153646</v>
      </c>
      <c r="BO160" s="120">
        <v>0.14440060710329286</v>
      </c>
      <c r="BP160" s="120">
        <v>0.13534212430771106</v>
      </c>
      <c r="BQ160" s="120">
        <v>0.1127717406622052</v>
      </c>
    </row>
    <row r="161" spans="14:69" ht="12.75" x14ac:dyDescent="0.2">
      <c r="N161" s="140"/>
      <c r="O161" s="140"/>
      <c r="P161" s="140"/>
      <c r="Q161" s="140"/>
      <c r="R161" s="129"/>
      <c r="S161" s="140"/>
      <c r="T161" s="140"/>
      <c r="U161" s="140"/>
      <c r="V161" s="140"/>
      <c r="W161" s="140"/>
      <c r="X161" s="140"/>
      <c r="Y161" s="140"/>
      <c r="Z161" s="140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Q161" s="120"/>
      <c r="AR161" s="120"/>
      <c r="AS161" s="120"/>
      <c r="AT161" s="120"/>
      <c r="AU161" s="120"/>
      <c r="AV161" s="120"/>
      <c r="AW161" s="120"/>
      <c r="AX161" s="120"/>
      <c r="AY161" s="120"/>
      <c r="AZ161" s="120"/>
      <c r="BA161" s="120">
        <v>7.2000866483505508E-3</v>
      </c>
      <c r="BB161" s="120">
        <v>8.0139300711235817E-3</v>
      </c>
      <c r="BC161" s="120">
        <v>1.0427523264924216E-2</v>
      </c>
      <c r="BE161" s="120">
        <v>0.21079978990683218</v>
      </c>
      <c r="BF161" s="120">
        <v>0.19589016253034294</v>
      </c>
      <c r="BG161" s="120">
        <v>0.19916308048011577</v>
      </c>
      <c r="BH161" s="120">
        <v>0.18872892848074535</v>
      </c>
      <c r="BI161" s="120">
        <v>0.18420521174310439</v>
      </c>
      <c r="BJ161" s="120">
        <v>0.17968347654961547</v>
      </c>
      <c r="BK161" s="120">
        <v>0.17653995835936886</v>
      </c>
      <c r="BL161" s="120">
        <v>0.15743110649789452</v>
      </c>
      <c r="BM161" s="120">
        <v>0.16322690974548149</v>
      </c>
      <c r="BN161" s="120">
        <v>0.15656627891946265</v>
      </c>
      <c r="BO161" s="120">
        <v>0.14645895064643696</v>
      </c>
      <c r="BP161" s="120">
        <v>0.13919216053254452</v>
      </c>
      <c r="BQ161" s="120">
        <v>0.13662542999783561</v>
      </c>
    </row>
    <row r="162" spans="14:69" ht="12.75" x14ac:dyDescent="0.2">
      <c r="N162" s="140"/>
      <c r="O162" s="140"/>
      <c r="P162" s="140"/>
      <c r="Q162" s="140"/>
      <c r="R162" s="129"/>
      <c r="S162" s="140"/>
      <c r="T162" s="140"/>
      <c r="U162" s="140"/>
      <c r="V162" s="140"/>
      <c r="W162" s="140"/>
      <c r="X162" s="140"/>
      <c r="Y162" s="140"/>
      <c r="Z162" s="140"/>
      <c r="AB162" s="111"/>
      <c r="AC162" s="111"/>
      <c r="AD162" s="111"/>
      <c r="AE162" s="111"/>
      <c r="AF162" s="111"/>
      <c r="AG162" s="111"/>
      <c r="AH162" s="111"/>
      <c r="AI162" s="111"/>
      <c r="AJ162" s="111"/>
      <c r="AK162" s="111"/>
      <c r="AL162" s="111"/>
      <c r="AM162" s="111"/>
      <c r="AN162" s="111"/>
      <c r="AQ162" s="120"/>
      <c r="AR162" s="120"/>
      <c r="AS162" s="120"/>
      <c r="AT162" s="120"/>
      <c r="AU162" s="120"/>
      <c r="AV162" s="120"/>
      <c r="AW162" s="120"/>
      <c r="AX162" s="120"/>
      <c r="AY162" s="120"/>
      <c r="AZ162" s="120"/>
      <c r="BA162" s="120">
        <v>6.9010047444656624E-3</v>
      </c>
      <c r="BB162" s="120">
        <v>7.4052592247310887E-3</v>
      </c>
      <c r="BC162" s="120">
        <v>8.6287720751455285E-3</v>
      </c>
      <c r="BE162" s="120">
        <v>0.1808398323861434</v>
      </c>
      <c r="BF162" s="120">
        <v>0.18223668925290337</v>
      </c>
      <c r="BG162" s="120">
        <v>0.17209718288827974</v>
      </c>
      <c r="BH162" s="120">
        <v>0.18148115180489083</v>
      </c>
      <c r="BI162" s="120">
        <v>0.17540383717053643</v>
      </c>
      <c r="BJ162" s="120">
        <v>0.16932625125493975</v>
      </c>
      <c r="BK162" s="120">
        <v>0.16934833364426438</v>
      </c>
      <c r="BL162" s="120">
        <v>0.16857697468465294</v>
      </c>
      <c r="BM162" s="120">
        <v>0.15972340048821754</v>
      </c>
      <c r="BN162" s="120">
        <v>0.1478110353201289</v>
      </c>
      <c r="BO162" s="120">
        <v>0.14225931722676061</v>
      </c>
      <c r="BP162" s="120">
        <v>0.13000683842329772</v>
      </c>
      <c r="BQ162" s="120">
        <v>0.11436360876232353</v>
      </c>
    </row>
    <row r="164" spans="14:69" x14ac:dyDescent="0.2">
      <c r="S164" s="126"/>
      <c r="T164" s="126"/>
      <c r="U164" s="126"/>
      <c r="V164" s="126"/>
      <c r="W164" s="126"/>
      <c r="X164" s="126"/>
      <c r="Y164" s="126"/>
      <c r="Z164" s="126"/>
    </row>
    <row r="165" spans="14:69" ht="12.75" x14ac:dyDescent="0.2">
      <c r="N165" s="140"/>
      <c r="O165" s="140"/>
      <c r="P165" s="140"/>
      <c r="Q165" s="140"/>
      <c r="R165" s="129"/>
      <c r="S165" s="140"/>
      <c r="T165" s="140"/>
      <c r="U165" s="140"/>
      <c r="V165" s="140"/>
      <c r="W165" s="140"/>
      <c r="X165" s="140"/>
      <c r="Y165" s="140"/>
      <c r="Z165" s="140"/>
      <c r="AB165" s="111"/>
      <c r="AC165" s="111"/>
      <c r="AD165" s="111"/>
      <c r="AE165" s="111"/>
      <c r="AF165" s="111"/>
      <c r="AG165" s="111"/>
      <c r="AH165" s="111"/>
      <c r="AI165" s="111"/>
      <c r="AJ165" s="111"/>
      <c r="AK165" s="111"/>
      <c r="AL165" s="111"/>
      <c r="AM165" s="111"/>
      <c r="AN165" s="111"/>
    </row>
    <row r="166" spans="14:69" ht="12.75" x14ac:dyDescent="0.2">
      <c r="N166" s="140"/>
      <c r="O166" s="140"/>
      <c r="P166" s="140"/>
      <c r="Q166" s="140"/>
      <c r="R166" s="129"/>
      <c r="S166" s="140"/>
      <c r="T166" s="140"/>
      <c r="U166" s="140"/>
      <c r="V166" s="140"/>
      <c r="W166" s="140"/>
      <c r="X166" s="140"/>
      <c r="Y166" s="140"/>
      <c r="Z166" s="140"/>
      <c r="AB166" s="111"/>
      <c r="AC166" s="111"/>
      <c r="AD166" s="111"/>
      <c r="AE166" s="111"/>
      <c r="AF166" s="111"/>
      <c r="AG166" s="111"/>
      <c r="AH166" s="111"/>
      <c r="AI166" s="111"/>
      <c r="AJ166" s="111"/>
      <c r="AK166" s="111"/>
      <c r="AL166" s="111"/>
      <c r="AM166" s="111"/>
      <c r="AN166" s="111"/>
    </row>
    <row r="167" spans="14:69" ht="12.75" x14ac:dyDescent="0.2">
      <c r="N167" s="140"/>
      <c r="O167" s="140"/>
      <c r="P167" s="140"/>
      <c r="Q167" s="140"/>
      <c r="R167" s="129"/>
      <c r="S167" s="140"/>
      <c r="T167" s="140"/>
      <c r="U167" s="140"/>
      <c r="V167" s="140"/>
      <c r="W167" s="140"/>
      <c r="X167" s="140"/>
      <c r="Y167" s="140"/>
      <c r="Z167" s="140"/>
      <c r="AB167" s="111"/>
      <c r="AC167" s="111"/>
      <c r="AD167" s="111"/>
      <c r="AE167" s="111"/>
      <c r="AF167" s="111"/>
      <c r="AG167" s="111"/>
      <c r="AH167" s="111"/>
      <c r="AI167" s="111"/>
      <c r="AJ167" s="111"/>
      <c r="AK167" s="111"/>
      <c r="AL167" s="111"/>
      <c r="AM167" s="111"/>
      <c r="AN167" s="111"/>
    </row>
    <row r="168" spans="14:69" ht="12.75" x14ac:dyDescent="0.2">
      <c r="N168" s="140"/>
      <c r="O168" s="140"/>
      <c r="P168" s="140"/>
      <c r="Q168" s="140"/>
      <c r="R168" s="129"/>
      <c r="S168" s="140"/>
      <c r="T168" s="140"/>
      <c r="U168" s="140"/>
      <c r="V168" s="140"/>
      <c r="W168" s="140"/>
      <c r="X168" s="140"/>
      <c r="Y168" s="140"/>
      <c r="Z168" s="140"/>
      <c r="AB168" s="111"/>
      <c r="AC168" s="111"/>
      <c r="AD168" s="111"/>
      <c r="AE168" s="111"/>
      <c r="AF168" s="111"/>
      <c r="AG168" s="111"/>
      <c r="AH168" s="111"/>
      <c r="AI168" s="111"/>
      <c r="AJ168" s="111"/>
      <c r="AK168" s="111"/>
      <c r="AL168" s="111"/>
      <c r="AM168" s="111"/>
      <c r="AN168" s="111"/>
    </row>
    <row r="169" spans="14:69" ht="12.75" x14ac:dyDescent="0.2">
      <c r="N169" s="140"/>
      <c r="O169" s="140"/>
      <c r="P169" s="140"/>
      <c r="Q169" s="140"/>
      <c r="R169" s="129"/>
      <c r="S169" s="140"/>
      <c r="T169" s="140"/>
      <c r="U169" s="140"/>
      <c r="V169" s="140"/>
      <c r="W169" s="140"/>
      <c r="X169" s="140"/>
      <c r="Y169" s="140"/>
      <c r="Z169" s="140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</row>
    <row r="170" spans="14:69" ht="12.75" x14ac:dyDescent="0.2">
      <c r="N170" s="140"/>
      <c r="O170" s="140"/>
      <c r="P170" s="140"/>
      <c r="Q170" s="140"/>
      <c r="R170" s="129"/>
      <c r="S170" s="140"/>
      <c r="T170" s="140"/>
      <c r="U170" s="140"/>
      <c r="V170" s="140"/>
      <c r="W170" s="140"/>
      <c r="X170" s="140"/>
      <c r="Y170" s="140"/>
      <c r="Z170" s="140"/>
      <c r="AB170" s="111"/>
      <c r="AC170" s="111"/>
      <c r="AD170" s="111"/>
      <c r="AE170" s="111"/>
      <c r="AF170" s="111"/>
      <c r="AG170" s="111"/>
      <c r="AH170" s="111"/>
      <c r="AI170" s="111"/>
      <c r="AJ170" s="111"/>
      <c r="AK170" s="111"/>
      <c r="AL170" s="111"/>
      <c r="AM170" s="111"/>
      <c r="AN170" s="111"/>
    </row>
    <row r="171" spans="14:69" ht="12.75" x14ac:dyDescent="0.2">
      <c r="N171" s="140"/>
      <c r="O171" s="140"/>
      <c r="P171" s="140"/>
      <c r="Q171" s="140"/>
      <c r="R171" s="129"/>
      <c r="S171" s="140"/>
      <c r="T171" s="140"/>
      <c r="U171" s="140"/>
      <c r="V171" s="140"/>
      <c r="W171" s="140"/>
      <c r="X171" s="140"/>
      <c r="Y171" s="140"/>
      <c r="Z171" s="140"/>
      <c r="AB171" s="111"/>
      <c r="AC171" s="111"/>
      <c r="AD171" s="111"/>
      <c r="AE171" s="111"/>
      <c r="AF171" s="111"/>
      <c r="AG171" s="111"/>
      <c r="AH171" s="111"/>
      <c r="AI171" s="111"/>
      <c r="AJ171" s="111"/>
      <c r="AK171" s="111"/>
      <c r="AL171" s="111"/>
      <c r="AM171" s="111"/>
      <c r="AN171" s="111"/>
    </row>
    <row r="172" spans="14:69" ht="12.75" x14ac:dyDescent="0.2">
      <c r="N172" s="140"/>
      <c r="O172" s="140"/>
      <c r="P172" s="140"/>
      <c r="Q172" s="140"/>
      <c r="R172" s="129"/>
      <c r="S172" s="140"/>
      <c r="T172" s="140"/>
      <c r="U172" s="140"/>
      <c r="V172" s="140"/>
      <c r="W172" s="140"/>
      <c r="X172" s="140"/>
      <c r="Y172" s="140"/>
      <c r="Z172" s="140"/>
      <c r="AB172" s="111"/>
      <c r="AC172" s="111"/>
      <c r="AD172" s="111"/>
      <c r="AE172" s="111"/>
      <c r="AF172" s="111"/>
      <c r="AG172" s="111"/>
      <c r="AH172" s="111"/>
      <c r="AI172" s="111"/>
      <c r="AJ172" s="111"/>
      <c r="AK172" s="111"/>
      <c r="AL172" s="111"/>
      <c r="AM172" s="111"/>
      <c r="AN172" s="111"/>
    </row>
    <row r="173" spans="14:69" ht="12.75" x14ac:dyDescent="0.2">
      <c r="N173" s="140"/>
      <c r="O173" s="140"/>
      <c r="P173" s="140"/>
      <c r="Q173" s="140"/>
      <c r="R173" s="129"/>
      <c r="S173" s="140"/>
      <c r="T173" s="140"/>
      <c r="U173" s="140"/>
      <c r="V173" s="140"/>
      <c r="W173" s="140"/>
      <c r="X173" s="140"/>
      <c r="Y173" s="140"/>
      <c r="Z173" s="140"/>
      <c r="AB173" s="111"/>
      <c r="AC173" s="111"/>
      <c r="AD173" s="111"/>
      <c r="AE173" s="111"/>
      <c r="AF173" s="111"/>
      <c r="AG173" s="111"/>
      <c r="AH173" s="111"/>
      <c r="AI173" s="111"/>
      <c r="AJ173" s="111"/>
      <c r="AK173" s="111"/>
      <c r="AL173" s="111"/>
      <c r="AM173" s="111"/>
      <c r="AN173" s="111"/>
    </row>
    <row r="174" spans="14:69" ht="12.75" x14ac:dyDescent="0.2">
      <c r="N174" s="140"/>
      <c r="O174" s="140"/>
      <c r="P174" s="140"/>
      <c r="Q174" s="140"/>
      <c r="R174" s="129"/>
      <c r="S174" s="140"/>
      <c r="T174" s="140"/>
      <c r="U174" s="140"/>
      <c r="V174" s="140"/>
      <c r="W174" s="140"/>
      <c r="X174" s="140"/>
      <c r="Y174" s="140"/>
      <c r="Z174" s="140"/>
      <c r="AB174" s="111"/>
      <c r="AC174" s="111"/>
      <c r="AD174" s="111"/>
      <c r="AE174" s="111"/>
      <c r="AF174" s="111"/>
      <c r="AG174" s="111"/>
      <c r="AH174" s="111"/>
      <c r="AI174" s="111"/>
      <c r="AJ174" s="111"/>
      <c r="AK174" s="111"/>
      <c r="AL174" s="111"/>
      <c r="AM174" s="111"/>
      <c r="AN174" s="111"/>
    </row>
    <row r="175" spans="14:69" ht="12.75" x14ac:dyDescent="0.2">
      <c r="N175" s="140"/>
      <c r="O175" s="140"/>
      <c r="P175" s="140"/>
      <c r="Q175" s="140"/>
      <c r="R175" s="129"/>
      <c r="S175" s="140"/>
      <c r="T175" s="140"/>
      <c r="U175" s="140"/>
      <c r="V175" s="140"/>
      <c r="W175" s="140"/>
      <c r="X175" s="140"/>
      <c r="Y175" s="140"/>
      <c r="Z175" s="140"/>
      <c r="AB175" s="111"/>
      <c r="AC175" s="111"/>
      <c r="AD175" s="111"/>
      <c r="AE175" s="111"/>
      <c r="AF175" s="111"/>
      <c r="AG175" s="111"/>
      <c r="AH175" s="111"/>
      <c r="AI175" s="111"/>
      <c r="AJ175" s="111"/>
      <c r="AK175" s="111"/>
      <c r="AL175" s="111"/>
      <c r="AM175" s="111"/>
      <c r="AN175" s="111"/>
    </row>
    <row r="176" spans="14:69" ht="12.75" x14ac:dyDescent="0.2">
      <c r="N176" s="140"/>
      <c r="O176" s="140"/>
      <c r="P176" s="140"/>
      <c r="Q176" s="140"/>
      <c r="R176" s="129"/>
      <c r="S176" s="140"/>
      <c r="T176" s="140"/>
      <c r="U176" s="140"/>
      <c r="V176" s="140"/>
      <c r="W176" s="140"/>
      <c r="X176" s="140"/>
      <c r="Y176" s="140"/>
      <c r="Z176" s="140"/>
      <c r="AB176" s="111"/>
      <c r="AC176" s="111"/>
      <c r="AD176" s="111"/>
      <c r="AE176" s="111"/>
      <c r="AF176" s="111"/>
      <c r="AG176" s="111"/>
      <c r="AH176" s="111"/>
      <c r="AI176" s="111"/>
      <c r="AJ176" s="111"/>
      <c r="AK176" s="111"/>
      <c r="AL176" s="111"/>
      <c r="AM176" s="111"/>
      <c r="AN176" s="111"/>
    </row>
    <row r="177" spans="14:40" ht="12.75" x14ac:dyDescent="0.2">
      <c r="N177" s="140"/>
      <c r="O177" s="140"/>
      <c r="P177" s="140"/>
      <c r="Q177" s="140"/>
      <c r="R177" s="129"/>
      <c r="S177" s="140"/>
      <c r="T177" s="140"/>
      <c r="U177" s="140"/>
      <c r="V177" s="140"/>
      <c r="W177" s="140"/>
      <c r="X177" s="140"/>
      <c r="Y177" s="140"/>
      <c r="Z177" s="140"/>
      <c r="AB177" s="111"/>
      <c r="AC177" s="111"/>
      <c r="AD177" s="111"/>
      <c r="AE177" s="111"/>
      <c r="AF177" s="111"/>
      <c r="AG177" s="111"/>
      <c r="AH177" s="111"/>
      <c r="AI177" s="111"/>
      <c r="AJ177" s="111"/>
      <c r="AK177" s="111"/>
      <c r="AL177" s="111"/>
      <c r="AM177" s="111"/>
      <c r="AN177" s="111"/>
    </row>
    <row r="178" spans="14:40" ht="12.75" x14ac:dyDescent="0.2">
      <c r="N178" s="140"/>
      <c r="O178" s="140"/>
      <c r="P178" s="140"/>
      <c r="Q178" s="140"/>
      <c r="R178" s="129"/>
      <c r="S178" s="140"/>
      <c r="T178" s="140"/>
      <c r="U178" s="140"/>
      <c r="V178" s="140"/>
      <c r="W178" s="140"/>
      <c r="X178" s="140"/>
      <c r="Y178" s="140"/>
      <c r="Z178" s="140"/>
      <c r="AB178" s="111"/>
      <c r="AC178" s="111"/>
      <c r="AD178" s="111"/>
      <c r="AE178" s="111"/>
      <c r="AF178" s="111"/>
      <c r="AG178" s="111"/>
      <c r="AH178" s="111"/>
      <c r="AI178" s="111"/>
      <c r="AJ178" s="111"/>
      <c r="AK178" s="111"/>
      <c r="AL178" s="111"/>
      <c r="AM178" s="111"/>
      <c r="AN178" s="111"/>
    </row>
    <row r="179" spans="14:40" ht="12.75" x14ac:dyDescent="0.2">
      <c r="N179" s="140"/>
      <c r="O179" s="140"/>
      <c r="P179" s="140"/>
      <c r="Q179" s="140"/>
      <c r="R179" s="129"/>
      <c r="S179" s="140"/>
      <c r="T179" s="140"/>
      <c r="U179" s="140"/>
      <c r="V179" s="140"/>
      <c r="W179" s="140"/>
      <c r="X179" s="140"/>
      <c r="Y179" s="140"/>
      <c r="Z179" s="140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</row>
    <row r="181" spans="14:40" x14ac:dyDescent="0.2">
      <c r="S181" s="126"/>
      <c r="T181" s="126"/>
      <c r="U181" s="126"/>
      <c r="V181" s="126"/>
      <c r="W181" s="126"/>
      <c r="X181" s="126"/>
      <c r="Y181" s="126"/>
      <c r="Z181" s="126"/>
    </row>
    <row r="182" spans="14:40" ht="12.75" x14ac:dyDescent="0.2">
      <c r="N182" s="140"/>
      <c r="O182" s="140"/>
      <c r="P182" s="140"/>
      <c r="Q182" s="140"/>
      <c r="R182" s="129"/>
      <c r="S182" s="140"/>
      <c r="T182" s="140"/>
      <c r="U182" s="140"/>
      <c r="V182" s="140"/>
      <c r="W182" s="140"/>
      <c r="X182" s="140"/>
      <c r="Y182" s="140"/>
      <c r="Z182" s="140"/>
      <c r="AB182" s="111"/>
      <c r="AC182" s="111"/>
      <c r="AD182" s="111"/>
      <c r="AE182" s="111"/>
      <c r="AF182" s="111"/>
      <c r="AG182" s="111"/>
      <c r="AH182" s="111"/>
      <c r="AI182" s="111"/>
      <c r="AJ182" s="111"/>
      <c r="AK182" s="111"/>
      <c r="AL182" s="111"/>
      <c r="AM182" s="111"/>
      <c r="AN182" s="111"/>
    </row>
    <row r="183" spans="14:40" ht="12.75" x14ac:dyDescent="0.2">
      <c r="N183" s="140"/>
      <c r="O183" s="140"/>
      <c r="P183" s="140"/>
      <c r="Q183" s="140"/>
      <c r="R183" s="129"/>
      <c r="S183" s="140"/>
      <c r="T183" s="140"/>
      <c r="U183" s="140"/>
      <c r="V183" s="140"/>
      <c r="W183" s="140"/>
      <c r="X183" s="140"/>
      <c r="Y183" s="140"/>
      <c r="Z183" s="140"/>
      <c r="AB183" s="111"/>
      <c r="AC183" s="111"/>
      <c r="AD183" s="111"/>
      <c r="AE183" s="111"/>
      <c r="AF183" s="111"/>
      <c r="AG183" s="111"/>
      <c r="AH183" s="111"/>
      <c r="AI183" s="111"/>
      <c r="AJ183" s="111"/>
      <c r="AK183" s="111"/>
      <c r="AL183" s="111"/>
      <c r="AM183" s="111"/>
      <c r="AN183" s="111"/>
    </row>
    <row r="184" spans="14:40" ht="12.75" x14ac:dyDescent="0.2">
      <c r="N184" s="140"/>
      <c r="O184" s="140"/>
      <c r="P184" s="140"/>
      <c r="Q184" s="140"/>
      <c r="R184" s="129"/>
      <c r="S184" s="140"/>
      <c r="T184" s="140"/>
      <c r="U184" s="140"/>
      <c r="V184" s="140"/>
      <c r="W184" s="140"/>
      <c r="X184" s="140"/>
      <c r="Y184" s="140"/>
      <c r="Z184" s="140"/>
      <c r="AB184" s="111"/>
      <c r="AC184" s="111"/>
      <c r="AD184" s="111"/>
      <c r="AE184" s="111"/>
      <c r="AF184" s="111"/>
      <c r="AG184" s="111"/>
      <c r="AH184" s="111"/>
      <c r="AI184" s="111"/>
      <c r="AJ184" s="111"/>
      <c r="AK184" s="111"/>
      <c r="AL184" s="111"/>
      <c r="AM184" s="111"/>
      <c r="AN184" s="111"/>
    </row>
    <row r="185" spans="14:40" ht="12.75" x14ac:dyDescent="0.2">
      <c r="N185" s="140"/>
      <c r="O185" s="140"/>
      <c r="P185" s="140"/>
      <c r="Q185" s="140"/>
      <c r="R185" s="129"/>
      <c r="S185" s="140"/>
      <c r="T185" s="140"/>
      <c r="U185" s="140"/>
      <c r="V185" s="140"/>
      <c r="W185" s="140"/>
      <c r="X185" s="140"/>
      <c r="Y185" s="140"/>
      <c r="Z185" s="140"/>
      <c r="AB185" s="111"/>
      <c r="AC185" s="111"/>
      <c r="AD185" s="111"/>
      <c r="AE185" s="111"/>
      <c r="AF185" s="111"/>
      <c r="AG185" s="111"/>
      <c r="AH185" s="111"/>
      <c r="AI185" s="111"/>
      <c r="AJ185" s="111"/>
      <c r="AK185" s="111"/>
      <c r="AL185" s="111"/>
      <c r="AM185" s="111"/>
      <c r="AN185" s="111"/>
    </row>
    <row r="186" spans="14:40" ht="12.75" x14ac:dyDescent="0.2">
      <c r="N186" s="140"/>
      <c r="O186" s="140"/>
      <c r="P186" s="140"/>
      <c r="Q186" s="140"/>
      <c r="R186" s="129"/>
      <c r="S186" s="140"/>
      <c r="T186" s="140"/>
      <c r="U186" s="140"/>
      <c r="V186" s="140"/>
      <c r="W186" s="140"/>
      <c r="X186" s="140"/>
      <c r="Y186" s="140"/>
      <c r="Z186" s="140"/>
      <c r="AB186" s="111"/>
      <c r="AC186" s="111"/>
      <c r="AD186" s="111"/>
      <c r="AE186" s="111"/>
      <c r="AF186" s="111"/>
      <c r="AG186" s="111"/>
      <c r="AH186" s="111"/>
      <c r="AI186" s="111"/>
      <c r="AJ186" s="111"/>
      <c r="AK186" s="111"/>
      <c r="AL186" s="111"/>
      <c r="AM186" s="111"/>
      <c r="AN186" s="111"/>
    </row>
    <row r="187" spans="14:40" ht="12.75" x14ac:dyDescent="0.2">
      <c r="N187" s="140"/>
      <c r="O187" s="140"/>
      <c r="P187" s="140"/>
      <c r="Q187" s="140"/>
      <c r="R187" s="129"/>
      <c r="S187" s="140"/>
      <c r="T187" s="140"/>
      <c r="U187" s="140"/>
      <c r="V187" s="140"/>
      <c r="W187" s="140"/>
      <c r="X187" s="140"/>
      <c r="Y187" s="140"/>
      <c r="Z187" s="140"/>
      <c r="AB187" s="111"/>
      <c r="AC187" s="111"/>
      <c r="AD187" s="111"/>
      <c r="AE187" s="111"/>
      <c r="AF187" s="111"/>
      <c r="AG187" s="111"/>
      <c r="AH187" s="111"/>
      <c r="AI187" s="111"/>
      <c r="AJ187" s="111"/>
      <c r="AK187" s="111"/>
      <c r="AL187" s="111"/>
      <c r="AM187" s="111"/>
      <c r="AN187" s="111"/>
    </row>
    <row r="188" spans="14:40" ht="12.75" x14ac:dyDescent="0.2">
      <c r="N188" s="140"/>
      <c r="O188" s="140"/>
      <c r="P188" s="140"/>
      <c r="Q188" s="140"/>
      <c r="R188" s="129"/>
      <c r="S188" s="140"/>
      <c r="T188" s="140"/>
      <c r="U188" s="140"/>
      <c r="V188" s="140"/>
      <c r="W188" s="140"/>
      <c r="X188" s="140"/>
      <c r="Y188" s="140"/>
      <c r="Z188" s="140"/>
      <c r="AB188" s="111"/>
      <c r="AC188" s="111"/>
      <c r="AD188" s="111"/>
      <c r="AE188" s="111"/>
      <c r="AF188" s="111"/>
      <c r="AG188" s="111"/>
      <c r="AH188" s="111"/>
      <c r="AI188" s="111"/>
      <c r="AJ188" s="111"/>
      <c r="AK188" s="111"/>
      <c r="AL188" s="111"/>
      <c r="AM188" s="111"/>
      <c r="AN188" s="111"/>
    </row>
    <row r="189" spans="14:40" ht="12.75" x14ac:dyDescent="0.2">
      <c r="N189" s="140"/>
      <c r="O189" s="140"/>
      <c r="P189" s="140"/>
      <c r="Q189" s="140"/>
      <c r="R189" s="129"/>
      <c r="S189" s="140"/>
      <c r="T189" s="140"/>
      <c r="U189" s="140"/>
      <c r="V189" s="140"/>
      <c r="W189" s="140"/>
      <c r="X189" s="140"/>
      <c r="Y189" s="140"/>
      <c r="Z189" s="140"/>
      <c r="AB189" s="111"/>
      <c r="AC189" s="111"/>
      <c r="AD189" s="111"/>
      <c r="AE189" s="111"/>
      <c r="AF189" s="111"/>
      <c r="AG189" s="111"/>
      <c r="AH189" s="111"/>
      <c r="AI189" s="111"/>
      <c r="AJ189" s="111"/>
      <c r="AK189" s="111"/>
      <c r="AL189" s="111"/>
      <c r="AM189" s="111"/>
      <c r="AN189" s="111"/>
    </row>
    <row r="190" spans="14:40" ht="12.75" x14ac:dyDescent="0.2">
      <c r="N190" s="140"/>
      <c r="O190" s="140"/>
      <c r="P190" s="140"/>
      <c r="Q190" s="140"/>
      <c r="R190" s="129"/>
      <c r="S190" s="140"/>
      <c r="T190" s="140"/>
      <c r="U190" s="140"/>
      <c r="V190" s="140"/>
      <c r="W190" s="140"/>
      <c r="X190" s="140"/>
      <c r="Y190" s="140"/>
      <c r="Z190" s="140"/>
      <c r="AB190" s="111"/>
      <c r="AC190" s="111"/>
      <c r="AD190" s="111"/>
      <c r="AE190" s="111"/>
      <c r="AF190" s="111"/>
      <c r="AG190" s="111"/>
      <c r="AH190" s="111"/>
      <c r="AI190" s="111"/>
      <c r="AJ190" s="111"/>
      <c r="AK190" s="111"/>
      <c r="AL190" s="111"/>
      <c r="AM190" s="111"/>
      <c r="AN190" s="111"/>
    </row>
    <row r="191" spans="14:40" ht="12.75" x14ac:dyDescent="0.2">
      <c r="N191" s="140"/>
      <c r="O191" s="140"/>
      <c r="P191" s="140"/>
      <c r="Q191" s="140"/>
      <c r="R191" s="129"/>
      <c r="S191" s="140"/>
      <c r="T191" s="140"/>
      <c r="U191" s="140"/>
      <c r="V191" s="140"/>
      <c r="W191" s="140"/>
      <c r="X191" s="140"/>
      <c r="Y191" s="140"/>
      <c r="Z191" s="140"/>
      <c r="AB191" s="111"/>
      <c r="AC191" s="111"/>
      <c r="AD191" s="111"/>
      <c r="AE191" s="111"/>
      <c r="AF191" s="111"/>
      <c r="AG191" s="111"/>
      <c r="AH191" s="111"/>
      <c r="AI191" s="111"/>
      <c r="AJ191" s="111"/>
      <c r="AK191" s="111"/>
      <c r="AL191" s="111"/>
      <c r="AM191" s="111"/>
      <c r="AN191" s="111"/>
    </row>
    <row r="192" spans="14:40" ht="12.75" x14ac:dyDescent="0.2">
      <c r="N192" s="140"/>
      <c r="O192" s="140"/>
      <c r="P192" s="140"/>
      <c r="Q192" s="140"/>
      <c r="R192" s="129"/>
      <c r="S192" s="140"/>
      <c r="T192" s="140"/>
      <c r="U192" s="140"/>
      <c r="V192" s="140"/>
      <c r="W192" s="140"/>
      <c r="X192" s="140"/>
      <c r="Y192" s="140"/>
      <c r="Z192" s="140"/>
      <c r="AB192" s="111"/>
      <c r="AC192" s="111"/>
      <c r="AD192" s="111"/>
      <c r="AE192" s="111"/>
      <c r="AF192" s="111"/>
      <c r="AG192" s="111"/>
      <c r="AH192" s="111"/>
      <c r="AI192" s="111"/>
      <c r="AJ192" s="111"/>
      <c r="AK192" s="111"/>
      <c r="AL192" s="111"/>
      <c r="AM192" s="111"/>
      <c r="AN192" s="111"/>
    </row>
    <row r="193" spans="11:40" ht="12.75" x14ac:dyDescent="0.2">
      <c r="N193" s="140"/>
      <c r="O193" s="140"/>
      <c r="P193" s="140"/>
      <c r="Q193" s="140"/>
      <c r="R193" s="129"/>
      <c r="S193" s="140"/>
      <c r="T193" s="140"/>
      <c r="U193" s="140"/>
      <c r="V193" s="140"/>
      <c r="W193" s="140"/>
      <c r="X193" s="140"/>
      <c r="Y193" s="140"/>
      <c r="Z193" s="140"/>
      <c r="AB193" s="111"/>
      <c r="AC193" s="111"/>
      <c r="AD193" s="111"/>
      <c r="AE193" s="111"/>
      <c r="AF193" s="111"/>
      <c r="AG193" s="111"/>
      <c r="AH193" s="111"/>
      <c r="AI193" s="111"/>
      <c r="AJ193" s="111"/>
      <c r="AK193" s="111"/>
      <c r="AL193" s="111"/>
      <c r="AM193" s="111"/>
      <c r="AN193" s="111"/>
    </row>
    <row r="194" spans="11:40" ht="12.75" x14ac:dyDescent="0.2">
      <c r="N194" s="140"/>
      <c r="O194" s="140"/>
      <c r="P194" s="140"/>
      <c r="Q194" s="140"/>
      <c r="R194" s="129"/>
      <c r="S194" s="140"/>
      <c r="T194" s="140"/>
      <c r="U194" s="140"/>
      <c r="V194" s="140"/>
      <c r="W194" s="140"/>
      <c r="X194" s="140"/>
      <c r="Y194" s="140"/>
      <c r="Z194" s="140"/>
      <c r="AB194" s="111"/>
      <c r="AC194" s="111"/>
      <c r="AD194" s="111"/>
      <c r="AE194" s="111"/>
      <c r="AF194" s="111"/>
      <c r="AG194" s="111"/>
      <c r="AH194" s="111"/>
      <c r="AI194" s="111"/>
      <c r="AJ194" s="111"/>
      <c r="AK194" s="111"/>
      <c r="AL194" s="111"/>
      <c r="AM194" s="111"/>
      <c r="AN194" s="111"/>
    </row>
    <row r="195" spans="11:40" ht="12.75" x14ac:dyDescent="0.2">
      <c r="N195" s="140"/>
      <c r="O195" s="140"/>
      <c r="P195" s="140"/>
      <c r="Q195" s="140"/>
      <c r="R195" s="129"/>
      <c r="S195" s="140"/>
      <c r="T195" s="140"/>
      <c r="U195" s="140"/>
      <c r="V195" s="140"/>
      <c r="W195" s="140"/>
      <c r="X195" s="140"/>
      <c r="Y195" s="140"/>
      <c r="Z195" s="140"/>
      <c r="AB195" s="111"/>
      <c r="AC195" s="111"/>
      <c r="AD195" s="111"/>
      <c r="AE195" s="111"/>
      <c r="AF195" s="111"/>
      <c r="AG195" s="111"/>
      <c r="AH195" s="111"/>
      <c r="AI195" s="111"/>
      <c r="AJ195" s="111"/>
      <c r="AK195" s="111"/>
      <c r="AL195" s="111"/>
      <c r="AM195" s="111"/>
      <c r="AN195" s="111"/>
    </row>
    <row r="196" spans="11:40" ht="12.75" x14ac:dyDescent="0.2">
      <c r="N196" s="140"/>
      <c r="O196" s="140"/>
      <c r="P196" s="140"/>
      <c r="Q196" s="140"/>
      <c r="R196" s="129"/>
      <c r="S196" s="140"/>
      <c r="T196" s="140"/>
      <c r="U196" s="140"/>
      <c r="V196" s="140"/>
      <c r="W196" s="140"/>
      <c r="X196" s="140"/>
      <c r="Y196" s="140"/>
      <c r="Z196" s="140"/>
      <c r="AB196" s="111"/>
      <c r="AC196" s="111"/>
      <c r="AD196" s="111"/>
      <c r="AE196" s="111"/>
      <c r="AF196" s="111"/>
      <c r="AG196" s="111"/>
      <c r="AH196" s="111"/>
      <c r="AI196" s="111"/>
      <c r="AJ196" s="111"/>
      <c r="AK196" s="111"/>
      <c r="AL196" s="111"/>
      <c r="AM196" s="111"/>
      <c r="AN196" s="111"/>
    </row>
    <row r="198" spans="11:40" x14ac:dyDescent="0.2">
      <c r="S198" s="126"/>
      <c r="T198" s="126"/>
      <c r="U198" s="126"/>
      <c r="V198" s="126"/>
      <c r="W198" s="126"/>
      <c r="X198" s="126"/>
      <c r="Y198" s="126"/>
      <c r="Z198" s="126"/>
    </row>
    <row r="199" spans="11:40" ht="12.75" x14ac:dyDescent="0.2">
      <c r="K199" s="105"/>
      <c r="N199" s="140"/>
      <c r="O199" s="140"/>
      <c r="P199" s="140"/>
      <c r="Q199" s="140"/>
      <c r="R199" s="129"/>
      <c r="S199" s="140"/>
      <c r="T199" s="140"/>
      <c r="U199" s="140"/>
      <c r="V199" s="140"/>
      <c r="W199" s="140"/>
      <c r="X199" s="140"/>
      <c r="Y199" s="140"/>
      <c r="Z199" s="140"/>
      <c r="AB199" s="111"/>
      <c r="AC199" s="111"/>
      <c r="AD199" s="111"/>
      <c r="AE199" s="111"/>
      <c r="AF199" s="111"/>
      <c r="AG199" s="111"/>
      <c r="AH199" s="111"/>
      <c r="AI199" s="111"/>
      <c r="AJ199" s="111"/>
      <c r="AK199" s="111"/>
      <c r="AL199" s="111"/>
      <c r="AM199" s="111"/>
      <c r="AN199" s="111"/>
    </row>
    <row r="200" spans="11:40" ht="12.75" x14ac:dyDescent="0.2">
      <c r="N200" s="140"/>
      <c r="O200" s="140"/>
      <c r="P200" s="140"/>
      <c r="Q200" s="140"/>
      <c r="R200" s="129"/>
      <c r="S200" s="140"/>
      <c r="T200" s="140"/>
      <c r="U200" s="140"/>
      <c r="V200" s="140"/>
      <c r="W200" s="140"/>
      <c r="X200" s="140"/>
      <c r="Y200" s="140"/>
      <c r="Z200" s="140"/>
      <c r="AB200" s="111"/>
      <c r="AC200" s="111"/>
      <c r="AD200" s="111"/>
      <c r="AE200" s="111"/>
      <c r="AF200" s="111"/>
      <c r="AG200" s="111"/>
      <c r="AH200" s="111"/>
      <c r="AI200" s="111"/>
      <c r="AJ200" s="111"/>
      <c r="AK200" s="111"/>
      <c r="AL200" s="111"/>
      <c r="AM200" s="111"/>
      <c r="AN200" s="111"/>
    </row>
    <row r="201" spans="11:40" ht="12.75" x14ac:dyDescent="0.2">
      <c r="N201" s="140"/>
      <c r="O201" s="140"/>
      <c r="P201" s="140"/>
      <c r="Q201" s="140"/>
      <c r="R201" s="129"/>
      <c r="S201" s="140"/>
      <c r="T201" s="140"/>
      <c r="U201" s="140"/>
      <c r="V201" s="140"/>
      <c r="W201" s="140"/>
      <c r="X201" s="140"/>
      <c r="Y201" s="140"/>
      <c r="Z201" s="140"/>
      <c r="AB201" s="111"/>
      <c r="AC201" s="111"/>
      <c r="AD201" s="111"/>
      <c r="AE201" s="111"/>
      <c r="AF201" s="111"/>
      <c r="AG201" s="111"/>
      <c r="AH201" s="111"/>
      <c r="AI201" s="111"/>
      <c r="AJ201" s="111"/>
      <c r="AK201" s="111"/>
      <c r="AL201" s="111"/>
      <c r="AM201" s="111"/>
      <c r="AN201" s="111"/>
    </row>
    <row r="202" spans="11:40" ht="12.75" x14ac:dyDescent="0.2">
      <c r="N202" s="140"/>
      <c r="O202" s="140"/>
      <c r="P202" s="140"/>
      <c r="Q202" s="140"/>
      <c r="R202" s="129"/>
      <c r="S202" s="140"/>
      <c r="T202" s="140"/>
      <c r="U202" s="140"/>
      <c r="V202" s="140"/>
      <c r="W202" s="140"/>
      <c r="X202" s="140"/>
      <c r="Y202" s="140"/>
      <c r="Z202" s="140"/>
      <c r="AB202" s="111"/>
      <c r="AC202" s="111"/>
      <c r="AD202" s="111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</row>
    <row r="203" spans="11:40" ht="12.75" x14ac:dyDescent="0.2">
      <c r="N203" s="140"/>
      <c r="O203" s="140"/>
      <c r="P203" s="140"/>
      <c r="Q203" s="140"/>
      <c r="R203" s="129"/>
      <c r="S203" s="140"/>
      <c r="T203" s="140"/>
      <c r="U203" s="140"/>
      <c r="V203" s="140"/>
      <c r="W203" s="140"/>
      <c r="X203" s="140"/>
      <c r="Y203" s="140"/>
      <c r="Z203" s="140"/>
      <c r="AB203" s="111"/>
      <c r="AC203" s="111"/>
      <c r="AD203" s="111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11"/>
    </row>
    <row r="204" spans="11:40" ht="12.75" x14ac:dyDescent="0.2">
      <c r="N204" s="140"/>
      <c r="O204" s="140"/>
      <c r="P204" s="140"/>
      <c r="Q204" s="140"/>
      <c r="R204" s="129"/>
      <c r="S204" s="140"/>
      <c r="T204" s="140"/>
      <c r="U204" s="140"/>
      <c r="V204" s="140"/>
      <c r="W204" s="140"/>
      <c r="X204" s="140"/>
      <c r="Y204" s="140"/>
      <c r="Z204" s="140"/>
      <c r="AB204" s="111"/>
      <c r="AC204" s="111"/>
      <c r="AD204" s="111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11"/>
    </row>
    <row r="205" spans="11:40" ht="12.75" x14ac:dyDescent="0.2">
      <c r="N205" s="140"/>
      <c r="O205" s="140"/>
      <c r="P205" s="140"/>
      <c r="Q205" s="140"/>
      <c r="R205" s="129"/>
      <c r="S205" s="140"/>
      <c r="T205" s="140"/>
      <c r="U205" s="140"/>
      <c r="V205" s="140"/>
      <c r="W205" s="140"/>
      <c r="X205" s="140"/>
      <c r="Y205" s="140"/>
      <c r="Z205" s="140"/>
      <c r="AB205" s="111"/>
      <c r="AC205" s="111"/>
      <c r="AD205" s="111"/>
      <c r="AE205" s="111"/>
      <c r="AF205" s="111"/>
      <c r="AG205" s="111"/>
      <c r="AH205" s="111"/>
      <c r="AI205" s="111"/>
      <c r="AJ205" s="111"/>
      <c r="AK205" s="111"/>
      <c r="AL205" s="111"/>
      <c r="AM205" s="111"/>
      <c r="AN205" s="111"/>
    </row>
    <row r="206" spans="11:40" ht="12.75" x14ac:dyDescent="0.2">
      <c r="N206" s="140"/>
      <c r="O206" s="140"/>
      <c r="P206" s="140"/>
      <c r="Q206" s="140"/>
      <c r="R206" s="129"/>
      <c r="S206" s="140"/>
      <c r="T206" s="140"/>
      <c r="U206" s="140"/>
      <c r="V206" s="140"/>
      <c r="W206" s="140"/>
      <c r="X206" s="140"/>
      <c r="Y206" s="140"/>
      <c r="Z206" s="140"/>
      <c r="AB206" s="111"/>
      <c r="AC206" s="111"/>
      <c r="AD206" s="111"/>
      <c r="AE206" s="111"/>
      <c r="AF206" s="111"/>
      <c r="AG206" s="111"/>
      <c r="AH206" s="111"/>
      <c r="AI206" s="111"/>
      <c r="AJ206" s="111"/>
      <c r="AK206" s="111"/>
      <c r="AL206" s="111"/>
      <c r="AM206" s="111"/>
      <c r="AN206" s="111"/>
    </row>
    <row r="207" spans="11:40" ht="12.75" x14ac:dyDescent="0.2">
      <c r="N207" s="140"/>
      <c r="O207" s="140"/>
      <c r="P207" s="140"/>
      <c r="Q207" s="140"/>
      <c r="R207" s="129"/>
      <c r="S207" s="140"/>
      <c r="T207" s="140"/>
      <c r="U207" s="140"/>
      <c r="V207" s="140"/>
      <c r="W207" s="140"/>
      <c r="X207" s="140"/>
      <c r="Y207" s="140"/>
      <c r="Z207" s="140"/>
      <c r="AB207" s="111"/>
      <c r="AC207" s="111"/>
      <c r="AD207" s="111"/>
      <c r="AE207" s="111"/>
      <c r="AF207" s="111"/>
      <c r="AG207" s="111"/>
      <c r="AH207" s="111"/>
      <c r="AI207" s="111"/>
      <c r="AJ207" s="111"/>
      <c r="AK207" s="111"/>
      <c r="AL207" s="111"/>
      <c r="AM207" s="111"/>
      <c r="AN207" s="111"/>
    </row>
    <row r="208" spans="11:40" ht="12.75" x14ac:dyDescent="0.2">
      <c r="N208" s="140"/>
      <c r="O208" s="140"/>
      <c r="P208" s="140"/>
      <c r="Q208" s="140"/>
      <c r="R208" s="129"/>
      <c r="S208" s="140"/>
      <c r="T208" s="140"/>
      <c r="U208" s="140"/>
      <c r="V208" s="140"/>
      <c r="W208" s="140"/>
      <c r="X208" s="140"/>
      <c r="Y208" s="140"/>
      <c r="Z208" s="140"/>
      <c r="AB208" s="111"/>
      <c r="AC208" s="111"/>
      <c r="AD208" s="111"/>
      <c r="AE208" s="111"/>
      <c r="AF208" s="111"/>
      <c r="AG208" s="111"/>
      <c r="AH208" s="111"/>
      <c r="AI208" s="111"/>
      <c r="AJ208" s="111"/>
      <c r="AK208" s="111"/>
      <c r="AL208" s="111"/>
      <c r="AM208" s="111"/>
      <c r="AN208" s="111"/>
    </row>
    <row r="209" spans="11:40" ht="12.75" x14ac:dyDescent="0.2">
      <c r="N209" s="140"/>
      <c r="O209" s="140"/>
      <c r="P209" s="140"/>
      <c r="Q209" s="140"/>
      <c r="R209" s="129"/>
      <c r="S209" s="140"/>
      <c r="T209" s="140"/>
      <c r="U209" s="140"/>
      <c r="V209" s="140"/>
      <c r="W209" s="140"/>
      <c r="X209" s="140"/>
      <c r="Y209" s="140"/>
      <c r="Z209" s="140"/>
      <c r="AB209" s="111"/>
      <c r="AC209" s="111"/>
      <c r="AD209" s="111"/>
      <c r="AE209" s="111"/>
      <c r="AF209" s="111"/>
      <c r="AG209" s="111"/>
      <c r="AH209" s="111"/>
      <c r="AI209" s="111"/>
      <c r="AJ209" s="111"/>
      <c r="AK209" s="111"/>
      <c r="AL209" s="111"/>
      <c r="AM209" s="111"/>
      <c r="AN209" s="111"/>
    </row>
    <row r="210" spans="11:40" ht="12.75" x14ac:dyDescent="0.2">
      <c r="N210" s="140"/>
      <c r="O210" s="140"/>
      <c r="P210" s="140"/>
      <c r="Q210" s="140"/>
      <c r="R210" s="129"/>
      <c r="S210" s="140"/>
      <c r="T210" s="140"/>
      <c r="U210" s="140"/>
      <c r="V210" s="140"/>
      <c r="W210" s="140"/>
      <c r="X210" s="140"/>
      <c r="Y210" s="140"/>
      <c r="Z210" s="140"/>
      <c r="AB210" s="111"/>
      <c r="AC210" s="111"/>
      <c r="AD210" s="111"/>
      <c r="AE210" s="111"/>
      <c r="AF210" s="111"/>
      <c r="AG210" s="111"/>
      <c r="AH210" s="111"/>
      <c r="AI210" s="111"/>
      <c r="AJ210" s="111"/>
      <c r="AK210" s="111"/>
      <c r="AL210" s="111"/>
      <c r="AM210" s="111"/>
      <c r="AN210" s="111"/>
    </row>
    <row r="211" spans="11:40" ht="12.75" x14ac:dyDescent="0.2">
      <c r="N211" s="140"/>
      <c r="O211" s="140"/>
      <c r="P211" s="140"/>
      <c r="Q211" s="140"/>
      <c r="R211" s="129"/>
      <c r="S211" s="140"/>
      <c r="T211" s="140"/>
      <c r="U211" s="140"/>
      <c r="V211" s="140"/>
      <c r="W211" s="140"/>
      <c r="X211" s="140"/>
      <c r="Y211" s="140"/>
      <c r="Z211" s="140"/>
      <c r="AB211" s="111"/>
      <c r="AC211" s="111"/>
      <c r="AD211" s="111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11"/>
    </row>
    <row r="212" spans="11:40" ht="12.75" x14ac:dyDescent="0.2">
      <c r="N212" s="140"/>
      <c r="O212" s="140"/>
      <c r="P212" s="140"/>
      <c r="Q212" s="140"/>
      <c r="R212" s="129"/>
      <c r="S212" s="140"/>
      <c r="T212" s="140"/>
      <c r="U212" s="140"/>
      <c r="V212" s="140"/>
      <c r="W212" s="140"/>
      <c r="X212" s="140"/>
      <c r="Y212" s="140"/>
      <c r="Z212" s="140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</row>
    <row r="213" spans="11:40" ht="12.75" x14ac:dyDescent="0.2">
      <c r="N213" s="140"/>
      <c r="O213" s="140"/>
      <c r="P213" s="140"/>
      <c r="Q213" s="140"/>
      <c r="R213" s="129"/>
      <c r="S213" s="140"/>
      <c r="T213" s="140"/>
      <c r="U213" s="140"/>
      <c r="V213" s="140"/>
      <c r="W213" s="140"/>
      <c r="X213" s="140"/>
      <c r="Y213" s="140"/>
      <c r="Z213" s="140"/>
      <c r="AB213" s="111"/>
      <c r="AC213" s="111"/>
      <c r="AD213" s="111"/>
      <c r="AE213" s="111"/>
      <c r="AF213" s="111"/>
      <c r="AG213" s="111"/>
      <c r="AH213" s="111"/>
      <c r="AI213" s="111"/>
      <c r="AJ213" s="111"/>
      <c r="AK213" s="111"/>
      <c r="AL213" s="111"/>
      <c r="AM213" s="111"/>
      <c r="AN213" s="111"/>
    </row>
    <row r="215" spans="11:40" x14ac:dyDescent="0.2">
      <c r="S215" s="126"/>
      <c r="T215" s="126"/>
      <c r="U215" s="126"/>
      <c r="V215" s="126"/>
      <c r="W215" s="126"/>
      <c r="X215" s="126"/>
      <c r="Y215" s="126"/>
      <c r="Z215" s="126"/>
    </row>
    <row r="216" spans="11:40" ht="12.75" x14ac:dyDescent="0.2">
      <c r="K216" s="105"/>
      <c r="N216" s="140"/>
      <c r="O216" s="140"/>
      <c r="P216" s="140"/>
      <c r="Q216" s="140"/>
      <c r="R216" s="129"/>
      <c r="S216" s="140"/>
      <c r="T216" s="140"/>
      <c r="U216" s="140"/>
      <c r="V216" s="140"/>
      <c r="W216" s="140"/>
      <c r="X216" s="140"/>
      <c r="Y216" s="140"/>
      <c r="Z216" s="140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</row>
    <row r="217" spans="11:40" ht="12.75" x14ac:dyDescent="0.2">
      <c r="N217" s="140"/>
      <c r="O217" s="140"/>
      <c r="P217" s="137"/>
      <c r="Q217" s="140"/>
      <c r="R217" s="129"/>
      <c r="S217" s="140"/>
      <c r="T217" s="140"/>
      <c r="U217" s="140"/>
      <c r="V217" s="140"/>
      <c r="W217" s="140"/>
      <c r="X217" s="140"/>
      <c r="Y217" s="140"/>
      <c r="Z217" s="140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</row>
    <row r="218" spans="11:40" ht="12.75" x14ac:dyDescent="0.2">
      <c r="N218" s="140"/>
      <c r="O218" s="140"/>
      <c r="P218" s="140"/>
      <c r="Q218" s="140"/>
      <c r="R218" s="129"/>
      <c r="S218" s="140"/>
      <c r="T218" s="140"/>
      <c r="U218" s="140"/>
      <c r="V218" s="140"/>
      <c r="W218" s="140"/>
      <c r="X218" s="140"/>
      <c r="Y218" s="140"/>
      <c r="Z218" s="140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</row>
    <row r="219" spans="11:40" ht="12.75" x14ac:dyDescent="0.2">
      <c r="N219" s="140"/>
      <c r="O219" s="137"/>
      <c r="P219" s="140"/>
      <c r="Q219" s="140"/>
      <c r="R219" s="129"/>
      <c r="S219" s="140"/>
      <c r="T219" s="140"/>
      <c r="U219" s="140"/>
      <c r="V219" s="140"/>
      <c r="W219" s="140"/>
      <c r="X219" s="140"/>
      <c r="Y219" s="140"/>
      <c r="Z219" s="140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</row>
    <row r="220" spans="11:40" ht="12.75" x14ac:dyDescent="0.2">
      <c r="N220" s="137"/>
      <c r="O220" s="140"/>
      <c r="P220" s="140"/>
      <c r="Q220" s="140"/>
      <c r="R220" s="129"/>
      <c r="S220" s="140"/>
      <c r="T220" s="140"/>
      <c r="U220" s="140"/>
      <c r="V220" s="140"/>
      <c r="W220" s="140"/>
      <c r="X220" s="140"/>
      <c r="Y220" s="140"/>
      <c r="Z220" s="140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</row>
    <row r="221" spans="11:40" ht="12.75" x14ac:dyDescent="0.2">
      <c r="N221" s="137"/>
      <c r="O221" s="140"/>
      <c r="P221" s="140"/>
      <c r="Q221" s="140"/>
      <c r="R221" s="129"/>
      <c r="S221" s="140"/>
      <c r="T221" s="140"/>
      <c r="U221" s="140"/>
      <c r="V221" s="140"/>
      <c r="W221" s="140"/>
      <c r="X221" s="140"/>
      <c r="Y221" s="140"/>
      <c r="Z221" s="140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</row>
    <row r="222" spans="11:40" ht="12.75" x14ac:dyDescent="0.2">
      <c r="N222" s="140"/>
      <c r="O222" s="140"/>
      <c r="P222" s="140"/>
      <c r="Q222" s="140"/>
      <c r="R222" s="129"/>
      <c r="S222" s="140"/>
      <c r="T222" s="140"/>
      <c r="U222" s="140"/>
      <c r="V222" s="140"/>
      <c r="W222" s="140"/>
      <c r="X222" s="140"/>
      <c r="Y222" s="140"/>
      <c r="Z222" s="140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</row>
    <row r="223" spans="11:40" ht="12.75" x14ac:dyDescent="0.2">
      <c r="N223" s="137"/>
      <c r="O223" s="140"/>
      <c r="P223" s="140"/>
      <c r="Q223" s="140"/>
      <c r="R223" s="129"/>
      <c r="S223" s="140"/>
      <c r="T223" s="140"/>
      <c r="U223" s="140"/>
      <c r="V223" s="140"/>
      <c r="W223" s="140"/>
      <c r="X223" s="140"/>
      <c r="Y223" s="140"/>
      <c r="Z223" s="140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</row>
    <row r="224" spans="11:40" ht="12.75" x14ac:dyDescent="0.2">
      <c r="N224" s="140"/>
      <c r="O224" s="140"/>
      <c r="P224" s="140"/>
      <c r="Q224" s="140"/>
      <c r="R224" s="129"/>
      <c r="S224" s="140"/>
      <c r="T224" s="140"/>
      <c r="U224" s="140"/>
      <c r="V224" s="140"/>
      <c r="W224" s="140"/>
      <c r="X224" s="140"/>
      <c r="Y224" s="140"/>
      <c r="Z224" s="140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</row>
    <row r="225" spans="11:40" ht="12.75" x14ac:dyDescent="0.2">
      <c r="N225" s="140"/>
      <c r="O225" s="140"/>
      <c r="P225" s="140"/>
      <c r="Q225" s="140"/>
      <c r="R225" s="129"/>
      <c r="S225" s="140"/>
      <c r="T225" s="140"/>
      <c r="U225" s="140"/>
      <c r="V225" s="140"/>
      <c r="W225" s="140"/>
      <c r="X225" s="140"/>
      <c r="Y225" s="140"/>
      <c r="Z225" s="140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</row>
    <row r="226" spans="11:40" ht="12.75" x14ac:dyDescent="0.2">
      <c r="N226" s="140"/>
      <c r="O226" s="140"/>
      <c r="P226" s="140"/>
      <c r="Q226" s="140"/>
      <c r="R226" s="129"/>
      <c r="S226" s="140"/>
      <c r="T226" s="140"/>
      <c r="U226" s="140"/>
      <c r="V226" s="140"/>
      <c r="W226" s="140"/>
      <c r="X226" s="140"/>
      <c r="Y226" s="140"/>
      <c r="Z226" s="140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</row>
    <row r="227" spans="11:40" ht="12.75" x14ac:dyDescent="0.2">
      <c r="N227" s="140"/>
      <c r="O227" s="140"/>
      <c r="P227" s="140"/>
      <c r="Q227" s="140"/>
      <c r="R227" s="129"/>
      <c r="S227" s="140"/>
      <c r="T227" s="140"/>
      <c r="U227" s="140"/>
      <c r="V227" s="140"/>
      <c r="W227" s="140"/>
      <c r="X227" s="140"/>
      <c r="Y227" s="140"/>
      <c r="Z227" s="140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</row>
    <row r="228" spans="11:40" ht="12.75" x14ac:dyDescent="0.2">
      <c r="N228" s="140"/>
      <c r="O228" s="140"/>
      <c r="P228" s="140"/>
      <c r="Q228" s="140"/>
      <c r="R228" s="129"/>
      <c r="S228" s="140"/>
      <c r="T228" s="140"/>
      <c r="U228" s="140"/>
      <c r="V228" s="140"/>
      <c r="W228" s="140"/>
      <c r="X228" s="140"/>
      <c r="Y228" s="140"/>
      <c r="Z228" s="140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</row>
    <row r="229" spans="11:40" ht="12.75" x14ac:dyDescent="0.2">
      <c r="N229" s="140"/>
      <c r="O229" s="140"/>
      <c r="P229" s="140"/>
      <c r="Q229" s="140"/>
      <c r="R229" s="129"/>
      <c r="S229" s="140"/>
      <c r="T229" s="140"/>
      <c r="U229" s="140"/>
      <c r="V229" s="140"/>
      <c r="W229" s="140"/>
      <c r="X229" s="140"/>
      <c r="Y229" s="140"/>
      <c r="Z229" s="140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</row>
    <row r="230" spans="11:40" ht="12.75" x14ac:dyDescent="0.2">
      <c r="N230" s="140"/>
      <c r="O230" s="140"/>
      <c r="P230" s="140"/>
      <c r="Q230" s="140"/>
      <c r="R230" s="129"/>
      <c r="S230" s="140"/>
      <c r="T230" s="140"/>
      <c r="U230" s="140"/>
      <c r="V230" s="140"/>
      <c r="W230" s="140"/>
      <c r="X230" s="140"/>
      <c r="Y230" s="140"/>
      <c r="Z230" s="140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</row>
    <row r="232" spans="11:40" x14ac:dyDescent="0.2">
      <c r="S232" s="126"/>
      <c r="T232" s="126"/>
      <c r="U232" s="126"/>
      <c r="V232" s="126"/>
      <c r="W232" s="126"/>
      <c r="X232" s="126"/>
      <c r="Y232" s="126"/>
      <c r="Z232" s="126"/>
    </row>
    <row r="233" spans="11:40" x14ac:dyDescent="0.2">
      <c r="S233" s="126"/>
      <c r="T233" s="126"/>
      <c r="U233" s="126"/>
      <c r="V233" s="126"/>
      <c r="W233" s="126"/>
      <c r="X233" s="126"/>
      <c r="Y233" s="126"/>
      <c r="Z233" s="126"/>
    </row>
    <row r="234" spans="11:40" ht="12.75" x14ac:dyDescent="0.2">
      <c r="K234" s="105"/>
      <c r="N234" s="140"/>
      <c r="O234" s="140"/>
      <c r="P234" s="140"/>
      <c r="Q234" s="140"/>
      <c r="R234" s="129"/>
      <c r="S234" s="140"/>
      <c r="T234" s="140"/>
      <c r="U234" s="140"/>
      <c r="V234" s="140"/>
      <c r="W234" s="140"/>
      <c r="X234" s="140"/>
      <c r="Y234" s="140"/>
      <c r="Z234" s="140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</row>
    <row r="235" spans="11:40" ht="12.75" x14ac:dyDescent="0.2">
      <c r="N235" s="140"/>
      <c r="O235" s="140"/>
      <c r="P235" s="140"/>
      <c r="Q235" s="140"/>
      <c r="R235" s="129"/>
      <c r="S235" s="140"/>
      <c r="T235" s="140"/>
      <c r="U235" s="140"/>
      <c r="V235" s="140"/>
      <c r="W235" s="140"/>
      <c r="X235" s="140"/>
      <c r="Y235" s="140"/>
      <c r="Z235" s="140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</row>
    <row r="236" spans="11:40" ht="12.75" x14ac:dyDescent="0.2">
      <c r="N236" s="140"/>
      <c r="O236" s="140"/>
      <c r="P236" s="140"/>
      <c r="Q236" s="140"/>
      <c r="R236" s="129"/>
      <c r="S236" s="140"/>
      <c r="T236" s="140"/>
      <c r="U236" s="140"/>
      <c r="V236" s="140"/>
      <c r="W236" s="140"/>
      <c r="X236" s="140"/>
      <c r="Y236" s="140"/>
      <c r="Z236" s="140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</row>
    <row r="237" spans="11:40" ht="12.75" x14ac:dyDescent="0.2">
      <c r="N237" s="140"/>
      <c r="O237" s="140"/>
      <c r="P237" s="140"/>
      <c r="Q237" s="140"/>
      <c r="R237" s="129"/>
      <c r="S237" s="140"/>
      <c r="T237" s="140"/>
      <c r="U237" s="140"/>
      <c r="V237" s="140"/>
      <c r="W237" s="140"/>
      <c r="X237" s="140"/>
      <c r="Y237" s="140"/>
      <c r="Z237" s="140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</row>
    <row r="238" spans="11:40" ht="12.75" x14ac:dyDescent="0.2">
      <c r="N238" s="140"/>
      <c r="O238" s="140"/>
      <c r="P238" s="140"/>
      <c r="Q238" s="140"/>
      <c r="R238" s="129"/>
      <c r="S238" s="140"/>
      <c r="T238" s="140"/>
      <c r="U238" s="140"/>
      <c r="V238" s="140"/>
      <c r="W238" s="140"/>
      <c r="X238" s="140"/>
      <c r="Y238" s="140"/>
      <c r="Z238" s="140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</row>
    <row r="239" spans="11:40" ht="12.75" x14ac:dyDescent="0.2">
      <c r="N239" s="140"/>
      <c r="O239" s="140"/>
      <c r="P239" s="140"/>
      <c r="Q239" s="140"/>
      <c r="R239" s="129"/>
      <c r="S239" s="140"/>
      <c r="T239" s="140"/>
      <c r="U239" s="140"/>
      <c r="V239" s="140"/>
      <c r="W239" s="140"/>
      <c r="X239" s="140"/>
      <c r="Y239" s="140"/>
      <c r="Z239" s="140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</row>
    <row r="240" spans="11:40" ht="12.75" x14ac:dyDescent="0.2">
      <c r="N240" s="140"/>
      <c r="O240" s="140"/>
      <c r="P240" s="140"/>
      <c r="Q240" s="140"/>
      <c r="R240" s="129"/>
      <c r="S240" s="140"/>
      <c r="T240" s="140"/>
      <c r="U240" s="140"/>
      <c r="V240" s="140"/>
      <c r="W240" s="140"/>
      <c r="X240" s="140"/>
      <c r="Y240" s="140"/>
      <c r="Z240" s="140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</row>
    <row r="241" spans="11:40" ht="12.75" x14ac:dyDescent="0.2">
      <c r="N241" s="140"/>
      <c r="O241" s="140"/>
      <c r="P241" s="140"/>
      <c r="Q241" s="140"/>
      <c r="R241" s="129"/>
      <c r="S241" s="140"/>
      <c r="T241" s="140"/>
      <c r="U241" s="140"/>
      <c r="V241" s="140"/>
      <c r="W241" s="140"/>
      <c r="X241" s="140"/>
      <c r="Y241" s="140"/>
      <c r="Z241" s="140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</row>
    <row r="242" spans="11:40" ht="12.75" x14ac:dyDescent="0.2">
      <c r="N242" s="140"/>
      <c r="O242" s="140"/>
      <c r="P242" s="140"/>
      <c r="Q242" s="140"/>
      <c r="R242" s="129"/>
      <c r="S242" s="140"/>
      <c r="T242" s="140"/>
      <c r="U242" s="140"/>
      <c r="V242" s="140"/>
      <c r="W242" s="140"/>
      <c r="X242" s="140"/>
      <c r="Y242" s="140"/>
      <c r="Z242" s="140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</row>
    <row r="243" spans="11:40" ht="12.75" x14ac:dyDescent="0.2">
      <c r="N243" s="140"/>
      <c r="O243" s="140"/>
      <c r="P243" s="140"/>
      <c r="Q243" s="140"/>
      <c r="R243" s="129"/>
      <c r="S243" s="140"/>
      <c r="T243" s="140"/>
      <c r="U243" s="140"/>
      <c r="V243" s="140"/>
      <c r="W243" s="140"/>
      <c r="X243" s="140"/>
      <c r="Y243" s="140"/>
      <c r="Z243" s="140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</row>
    <row r="244" spans="11:40" ht="12.75" x14ac:dyDescent="0.2">
      <c r="N244" s="140"/>
      <c r="O244" s="140"/>
      <c r="P244" s="140"/>
      <c r="Q244" s="140"/>
      <c r="R244" s="129"/>
      <c r="S244" s="140"/>
      <c r="T244" s="140"/>
      <c r="U244" s="140"/>
      <c r="V244" s="140"/>
      <c r="W244" s="140"/>
      <c r="X244" s="140"/>
      <c r="Y244" s="140"/>
      <c r="Z244" s="140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</row>
    <row r="245" spans="11:40" ht="12.75" x14ac:dyDescent="0.2">
      <c r="N245" s="140"/>
      <c r="O245" s="140"/>
      <c r="P245" s="140"/>
      <c r="Q245" s="140"/>
      <c r="R245" s="129"/>
      <c r="S245" s="140"/>
      <c r="T245" s="140"/>
      <c r="U245" s="140"/>
      <c r="V245" s="140"/>
      <c r="W245" s="140"/>
      <c r="X245" s="140"/>
      <c r="Y245" s="140"/>
      <c r="Z245" s="140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</row>
    <row r="246" spans="11:40" ht="12.75" x14ac:dyDescent="0.2">
      <c r="N246" s="140"/>
      <c r="O246" s="140"/>
      <c r="P246" s="140"/>
      <c r="Q246" s="140"/>
      <c r="R246" s="129"/>
      <c r="S246" s="140"/>
      <c r="T246" s="140"/>
      <c r="U246" s="140"/>
      <c r="V246" s="140"/>
      <c r="W246" s="140"/>
      <c r="X246" s="140"/>
      <c r="Y246" s="140"/>
      <c r="Z246" s="140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</row>
    <row r="247" spans="11:40" ht="12.75" x14ac:dyDescent="0.2">
      <c r="N247" s="140"/>
      <c r="O247" s="140"/>
      <c r="P247" s="140"/>
      <c r="Q247" s="140"/>
      <c r="R247" s="129"/>
      <c r="S247" s="140"/>
      <c r="T247" s="140"/>
      <c r="U247" s="140"/>
      <c r="V247" s="140"/>
      <c r="W247" s="140"/>
      <c r="X247" s="140"/>
      <c r="Y247" s="140"/>
      <c r="Z247" s="140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</row>
    <row r="248" spans="11:40" ht="12.75" x14ac:dyDescent="0.2">
      <c r="N248" s="140"/>
      <c r="O248" s="140"/>
      <c r="P248" s="140"/>
      <c r="Q248" s="140"/>
      <c r="R248" s="129"/>
      <c r="S248" s="140"/>
      <c r="T248" s="140"/>
      <c r="U248" s="140"/>
      <c r="V248" s="140"/>
      <c r="W248" s="140"/>
      <c r="X248" s="140"/>
      <c r="Y248" s="140"/>
      <c r="Z248" s="140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</row>
    <row r="250" spans="11:40" x14ac:dyDescent="0.2">
      <c r="S250" s="126"/>
      <c r="T250" s="126"/>
      <c r="U250" s="126"/>
      <c r="V250" s="126"/>
      <c r="W250" s="126"/>
      <c r="X250" s="126"/>
      <c r="Y250" s="126"/>
      <c r="Z250" s="126"/>
    </row>
    <row r="251" spans="11:40" ht="12.75" x14ac:dyDescent="0.2">
      <c r="K251" s="105"/>
      <c r="N251" s="140"/>
      <c r="O251" s="140"/>
      <c r="P251" s="140"/>
      <c r="Q251" s="140"/>
      <c r="R251" s="129"/>
      <c r="S251" s="140"/>
      <c r="T251" s="140"/>
      <c r="U251" s="140"/>
      <c r="V251" s="140"/>
      <c r="W251" s="140"/>
      <c r="X251" s="140"/>
      <c r="Y251" s="140"/>
      <c r="Z251" s="140"/>
      <c r="AB251" s="111"/>
      <c r="AC251" s="111"/>
      <c r="AD251" s="111"/>
      <c r="AE251" s="111"/>
      <c r="AF251" s="111"/>
      <c r="AG251" s="111"/>
      <c r="AH251" s="111"/>
      <c r="AI251" s="111"/>
      <c r="AJ251" s="111"/>
      <c r="AK251" s="111"/>
      <c r="AL251" s="111"/>
      <c r="AM251" s="111"/>
      <c r="AN251" s="111"/>
    </row>
    <row r="252" spans="11:40" ht="12.75" x14ac:dyDescent="0.2">
      <c r="N252" s="140"/>
      <c r="O252" s="140"/>
      <c r="P252" s="140"/>
      <c r="Q252" s="140"/>
      <c r="R252" s="129"/>
      <c r="S252" s="140"/>
      <c r="T252" s="140"/>
      <c r="U252" s="140"/>
      <c r="V252" s="140"/>
      <c r="W252" s="140"/>
      <c r="X252" s="140"/>
      <c r="Y252" s="140"/>
      <c r="Z252" s="140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</row>
    <row r="253" spans="11:40" ht="12.75" x14ac:dyDescent="0.2">
      <c r="N253" s="140"/>
      <c r="O253" s="140"/>
      <c r="P253" s="140"/>
      <c r="Q253" s="140"/>
      <c r="R253" s="129"/>
      <c r="S253" s="140"/>
      <c r="T253" s="140"/>
      <c r="U253" s="140"/>
      <c r="V253" s="140"/>
      <c r="W253" s="140"/>
      <c r="X253" s="140"/>
      <c r="Y253" s="140"/>
      <c r="Z253" s="140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</row>
    <row r="254" spans="11:40" ht="12.75" x14ac:dyDescent="0.2">
      <c r="N254" s="140"/>
      <c r="O254" s="140"/>
      <c r="P254" s="140"/>
      <c r="Q254" s="140"/>
      <c r="R254" s="129"/>
      <c r="S254" s="140"/>
      <c r="T254" s="140"/>
      <c r="U254" s="140"/>
      <c r="V254" s="140"/>
      <c r="W254" s="140"/>
      <c r="X254" s="140"/>
      <c r="Y254" s="140"/>
      <c r="Z254" s="140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</row>
    <row r="255" spans="11:40" ht="12.75" x14ac:dyDescent="0.2">
      <c r="N255" s="140"/>
      <c r="O255" s="140"/>
      <c r="P255" s="140"/>
      <c r="Q255" s="140"/>
      <c r="R255" s="129"/>
      <c r="S255" s="140"/>
      <c r="T255" s="140"/>
      <c r="U255" s="140"/>
      <c r="V255" s="140"/>
      <c r="W255" s="140"/>
      <c r="X255" s="140"/>
      <c r="Y255" s="140"/>
      <c r="Z255" s="140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</row>
    <row r="256" spans="11:40" ht="12.75" x14ac:dyDescent="0.2">
      <c r="N256" s="140"/>
      <c r="O256" s="140"/>
      <c r="P256" s="140"/>
      <c r="Q256" s="140"/>
      <c r="R256" s="129"/>
      <c r="S256" s="140"/>
      <c r="T256" s="140"/>
      <c r="U256" s="140"/>
      <c r="V256" s="140"/>
      <c r="W256" s="140"/>
      <c r="X256" s="140"/>
      <c r="Y256" s="140"/>
      <c r="Z256" s="140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</row>
    <row r="257" spans="11:40" ht="12.75" x14ac:dyDescent="0.2">
      <c r="N257" s="140"/>
      <c r="O257" s="140"/>
      <c r="P257" s="140"/>
      <c r="Q257" s="140"/>
      <c r="R257" s="129"/>
      <c r="S257" s="140"/>
      <c r="T257" s="140"/>
      <c r="U257" s="140"/>
      <c r="V257" s="140"/>
      <c r="W257" s="140"/>
      <c r="X257" s="140"/>
      <c r="Y257" s="140"/>
      <c r="Z257" s="140"/>
      <c r="AB257" s="111"/>
      <c r="AC257" s="111"/>
      <c r="AD257" s="111"/>
      <c r="AE257" s="111"/>
      <c r="AF257" s="111"/>
      <c r="AG257" s="111"/>
      <c r="AH257" s="111"/>
      <c r="AI257" s="111"/>
      <c r="AJ257" s="111"/>
      <c r="AK257" s="111"/>
      <c r="AL257" s="111"/>
      <c r="AM257" s="111"/>
      <c r="AN257" s="111"/>
    </row>
    <row r="258" spans="11:40" ht="12.75" x14ac:dyDescent="0.2">
      <c r="N258" s="140"/>
      <c r="O258" s="140"/>
      <c r="P258" s="140"/>
      <c r="Q258" s="140"/>
      <c r="R258" s="129"/>
      <c r="S258" s="140"/>
      <c r="T258" s="140"/>
      <c r="U258" s="140"/>
      <c r="V258" s="140"/>
      <c r="W258" s="140"/>
      <c r="X258" s="140"/>
      <c r="Y258" s="140"/>
      <c r="Z258" s="140"/>
      <c r="AB258" s="111"/>
      <c r="AC258" s="111"/>
      <c r="AD258" s="111"/>
      <c r="AE258" s="111"/>
      <c r="AF258" s="111"/>
      <c r="AG258" s="111"/>
      <c r="AH258" s="111"/>
      <c r="AI258" s="111"/>
      <c r="AJ258" s="111"/>
      <c r="AK258" s="111"/>
      <c r="AL258" s="111"/>
      <c r="AM258" s="111"/>
      <c r="AN258" s="111"/>
    </row>
    <row r="259" spans="11:40" ht="12.75" x14ac:dyDescent="0.2">
      <c r="N259" s="140"/>
      <c r="O259" s="140"/>
      <c r="P259" s="140"/>
      <c r="Q259" s="140"/>
      <c r="R259" s="129"/>
      <c r="S259" s="140"/>
      <c r="T259" s="140"/>
      <c r="U259" s="140"/>
      <c r="V259" s="140"/>
      <c r="W259" s="140"/>
      <c r="X259" s="140"/>
      <c r="Y259" s="140"/>
      <c r="Z259" s="140"/>
      <c r="AB259" s="111"/>
      <c r="AC259" s="111"/>
      <c r="AD259" s="111"/>
      <c r="AE259" s="111"/>
      <c r="AF259" s="111"/>
      <c r="AG259" s="111"/>
      <c r="AH259" s="111"/>
      <c r="AI259" s="111"/>
      <c r="AJ259" s="111"/>
      <c r="AK259" s="111"/>
      <c r="AL259" s="111"/>
      <c r="AM259" s="111"/>
      <c r="AN259" s="111"/>
    </row>
    <row r="260" spans="11:40" ht="12.75" x14ac:dyDescent="0.2">
      <c r="N260" s="140"/>
      <c r="O260" s="140"/>
      <c r="P260" s="140"/>
      <c r="Q260" s="140"/>
      <c r="R260" s="129"/>
      <c r="S260" s="140"/>
      <c r="T260" s="140"/>
      <c r="U260" s="140"/>
      <c r="V260" s="140"/>
      <c r="W260" s="140"/>
      <c r="X260" s="140"/>
      <c r="Y260" s="140"/>
      <c r="Z260" s="140"/>
      <c r="AB260" s="111"/>
      <c r="AC260" s="111"/>
      <c r="AD260" s="111"/>
      <c r="AE260" s="111"/>
      <c r="AF260" s="111"/>
      <c r="AG260" s="111"/>
      <c r="AH260" s="111"/>
      <c r="AI260" s="111"/>
      <c r="AJ260" s="111"/>
      <c r="AK260" s="111"/>
      <c r="AL260" s="111"/>
      <c r="AM260" s="111"/>
      <c r="AN260" s="111"/>
    </row>
    <row r="261" spans="11:40" ht="12.75" x14ac:dyDescent="0.2">
      <c r="N261" s="140"/>
      <c r="O261" s="140"/>
      <c r="P261" s="140"/>
      <c r="Q261" s="140"/>
      <c r="R261" s="129"/>
      <c r="S261" s="140"/>
      <c r="T261" s="140"/>
      <c r="U261" s="140"/>
      <c r="V261" s="140"/>
      <c r="W261" s="140"/>
      <c r="X261" s="140"/>
      <c r="Y261" s="140"/>
      <c r="Z261" s="140"/>
      <c r="AB261" s="111"/>
      <c r="AC261" s="111"/>
      <c r="AD261" s="111"/>
      <c r="AE261" s="111"/>
      <c r="AF261" s="111"/>
      <c r="AG261" s="111"/>
      <c r="AH261" s="111"/>
      <c r="AI261" s="111"/>
      <c r="AJ261" s="111"/>
      <c r="AK261" s="111"/>
      <c r="AL261" s="111"/>
      <c r="AM261" s="111"/>
      <c r="AN261" s="111"/>
    </row>
    <row r="262" spans="11:40" ht="12.75" x14ac:dyDescent="0.2">
      <c r="N262" s="140"/>
      <c r="O262" s="140"/>
      <c r="P262" s="140"/>
      <c r="Q262" s="140"/>
      <c r="R262" s="129"/>
      <c r="S262" s="140"/>
      <c r="T262" s="140"/>
      <c r="U262" s="140"/>
      <c r="V262" s="140"/>
      <c r="W262" s="140"/>
      <c r="X262" s="140"/>
      <c r="Y262" s="140"/>
      <c r="Z262" s="140"/>
      <c r="AB262" s="111"/>
      <c r="AC262" s="111"/>
      <c r="AD262" s="111"/>
      <c r="AE262" s="111"/>
      <c r="AF262" s="111"/>
      <c r="AG262" s="111"/>
      <c r="AH262" s="111"/>
      <c r="AI262" s="111"/>
      <c r="AJ262" s="111"/>
      <c r="AK262" s="111"/>
      <c r="AL262" s="111"/>
      <c r="AM262" s="111"/>
      <c r="AN262" s="111"/>
    </row>
    <row r="263" spans="11:40" ht="12.75" x14ac:dyDescent="0.2">
      <c r="N263" s="140"/>
      <c r="O263" s="140"/>
      <c r="P263" s="140"/>
      <c r="Q263" s="140"/>
      <c r="R263" s="129"/>
      <c r="S263" s="140"/>
      <c r="T263" s="140"/>
      <c r="U263" s="140"/>
      <c r="V263" s="140"/>
      <c r="W263" s="140"/>
      <c r="X263" s="140"/>
      <c r="Y263" s="140"/>
      <c r="Z263" s="140"/>
      <c r="AB263" s="111"/>
      <c r="AC263" s="111"/>
      <c r="AD263" s="111"/>
      <c r="AE263" s="111"/>
      <c r="AF263" s="111"/>
      <c r="AG263" s="111"/>
      <c r="AH263" s="111"/>
      <c r="AI263" s="111"/>
      <c r="AJ263" s="111"/>
      <c r="AK263" s="111"/>
      <c r="AL263" s="111"/>
      <c r="AM263" s="111"/>
      <c r="AN263" s="111"/>
    </row>
    <row r="264" spans="11:40" ht="12.75" x14ac:dyDescent="0.2">
      <c r="N264" s="140"/>
      <c r="O264" s="140"/>
      <c r="P264" s="140"/>
      <c r="Q264" s="140"/>
      <c r="R264" s="129"/>
      <c r="S264" s="140"/>
      <c r="T264" s="140"/>
      <c r="U264" s="140"/>
      <c r="V264" s="140"/>
      <c r="W264" s="140"/>
      <c r="X264" s="140"/>
      <c r="Y264" s="140"/>
      <c r="Z264" s="140"/>
      <c r="AB264" s="111"/>
      <c r="AC264" s="111"/>
      <c r="AD264" s="111"/>
      <c r="AE264" s="111"/>
      <c r="AF264" s="111"/>
      <c r="AG264" s="111"/>
      <c r="AH264" s="111"/>
      <c r="AI264" s="111"/>
      <c r="AJ264" s="111"/>
      <c r="AK264" s="111"/>
      <c r="AL264" s="111"/>
      <c r="AM264" s="111"/>
      <c r="AN264" s="111"/>
    </row>
    <row r="265" spans="11:40" ht="12.75" x14ac:dyDescent="0.2">
      <c r="N265" s="140"/>
      <c r="O265" s="140"/>
      <c r="P265" s="140"/>
      <c r="Q265" s="140"/>
      <c r="R265" s="129"/>
      <c r="S265" s="140"/>
      <c r="T265" s="140"/>
      <c r="U265" s="140"/>
      <c r="V265" s="140"/>
      <c r="W265" s="140"/>
      <c r="X265" s="140"/>
      <c r="Y265" s="140"/>
      <c r="Z265" s="140"/>
      <c r="AB265" s="111"/>
      <c r="AC265" s="111"/>
      <c r="AD265" s="111"/>
      <c r="AE265" s="111"/>
      <c r="AF265" s="111"/>
      <c r="AG265" s="111"/>
      <c r="AH265" s="111"/>
      <c r="AI265" s="111"/>
      <c r="AJ265" s="111"/>
      <c r="AK265" s="111"/>
      <c r="AL265" s="111"/>
      <c r="AM265" s="111"/>
      <c r="AN265" s="111"/>
    </row>
    <row r="267" spans="11:40" x14ac:dyDescent="0.2">
      <c r="S267" s="126"/>
      <c r="T267" s="126"/>
      <c r="U267" s="126"/>
      <c r="V267" s="126"/>
      <c r="W267" s="126"/>
      <c r="X267" s="126"/>
      <c r="Y267" s="126"/>
      <c r="Z267" s="126"/>
    </row>
    <row r="268" spans="11:40" ht="12.75" x14ac:dyDescent="0.2">
      <c r="K268" s="105"/>
      <c r="N268" s="140"/>
      <c r="O268" s="140"/>
      <c r="P268" s="140"/>
      <c r="Q268" s="140"/>
      <c r="R268" s="129"/>
      <c r="S268" s="140"/>
      <c r="T268" s="140"/>
      <c r="U268" s="140"/>
      <c r="V268" s="140"/>
      <c r="W268" s="140"/>
      <c r="X268" s="140"/>
      <c r="Y268" s="140"/>
      <c r="Z268" s="140"/>
      <c r="AB268" s="111"/>
      <c r="AC268" s="111"/>
      <c r="AD268" s="111"/>
      <c r="AE268" s="111"/>
      <c r="AF268" s="111"/>
      <c r="AG268" s="111"/>
      <c r="AH268" s="111"/>
      <c r="AI268" s="111"/>
      <c r="AJ268" s="111"/>
      <c r="AK268" s="111"/>
      <c r="AL268" s="111"/>
      <c r="AM268" s="111"/>
      <c r="AN268" s="111"/>
    </row>
    <row r="269" spans="11:40" ht="12.75" x14ac:dyDescent="0.2">
      <c r="N269" s="140"/>
      <c r="O269" s="140"/>
      <c r="P269" s="140"/>
      <c r="Q269" s="140"/>
      <c r="R269" s="129"/>
      <c r="S269" s="140"/>
      <c r="T269" s="140"/>
      <c r="U269" s="140"/>
      <c r="V269" s="140"/>
      <c r="W269" s="140"/>
      <c r="X269" s="140"/>
      <c r="Y269" s="140"/>
      <c r="Z269" s="140"/>
      <c r="AB269" s="111"/>
      <c r="AC269" s="111"/>
      <c r="AD269" s="111"/>
      <c r="AE269" s="111"/>
      <c r="AF269" s="111"/>
      <c r="AG269" s="111"/>
      <c r="AH269" s="111"/>
      <c r="AI269" s="111"/>
      <c r="AJ269" s="111"/>
      <c r="AK269" s="111"/>
      <c r="AL269" s="111"/>
      <c r="AM269" s="111"/>
      <c r="AN269" s="111"/>
    </row>
    <row r="270" spans="11:40" ht="12.75" x14ac:dyDescent="0.2">
      <c r="N270" s="140"/>
      <c r="O270" s="140"/>
      <c r="P270" s="140"/>
      <c r="Q270" s="140"/>
      <c r="R270" s="129"/>
      <c r="S270" s="140"/>
      <c r="T270" s="140"/>
      <c r="U270" s="140"/>
      <c r="V270" s="140"/>
      <c r="W270" s="140"/>
      <c r="X270" s="140"/>
      <c r="Y270" s="140"/>
      <c r="Z270" s="140"/>
      <c r="AB270" s="111"/>
      <c r="AC270" s="111"/>
      <c r="AD270" s="111"/>
      <c r="AE270" s="111"/>
      <c r="AF270" s="111"/>
      <c r="AG270" s="111"/>
      <c r="AH270" s="111"/>
      <c r="AI270" s="111"/>
      <c r="AJ270" s="111"/>
      <c r="AK270" s="111"/>
      <c r="AL270" s="111"/>
      <c r="AM270" s="111"/>
      <c r="AN270" s="111"/>
    </row>
    <row r="271" spans="11:40" ht="12.75" x14ac:dyDescent="0.2">
      <c r="N271" s="140"/>
      <c r="O271" s="140"/>
      <c r="P271" s="140"/>
      <c r="Q271" s="140"/>
      <c r="R271" s="129"/>
      <c r="S271" s="140"/>
      <c r="T271" s="140"/>
      <c r="U271" s="140"/>
      <c r="V271" s="140"/>
      <c r="W271" s="140"/>
      <c r="X271" s="140"/>
      <c r="Y271" s="140"/>
      <c r="Z271" s="140"/>
      <c r="AB271" s="111"/>
      <c r="AC271" s="111"/>
      <c r="AD271" s="111"/>
      <c r="AE271" s="111"/>
      <c r="AF271" s="111"/>
      <c r="AG271" s="111"/>
      <c r="AH271" s="111"/>
      <c r="AI271" s="111"/>
      <c r="AJ271" s="111"/>
      <c r="AK271" s="111"/>
      <c r="AL271" s="111"/>
      <c r="AM271" s="111"/>
      <c r="AN271" s="111"/>
    </row>
    <row r="272" spans="11:40" ht="12.75" x14ac:dyDescent="0.2">
      <c r="N272" s="140"/>
      <c r="O272" s="140"/>
      <c r="P272" s="140"/>
      <c r="Q272" s="140"/>
      <c r="R272" s="129"/>
      <c r="S272" s="140"/>
      <c r="T272" s="140"/>
      <c r="U272" s="140"/>
      <c r="V272" s="140"/>
      <c r="W272" s="140"/>
      <c r="X272" s="140"/>
      <c r="Y272" s="140"/>
      <c r="Z272" s="140"/>
      <c r="AB272" s="111"/>
      <c r="AC272" s="111"/>
      <c r="AD272" s="111"/>
      <c r="AE272" s="111"/>
      <c r="AF272" s="111"/>
      <c r="AG272" s="111"/>
      <c r="AH272" s="111"/>
      <c r="AI272" s="111"/>
      <c r="AJ272" s="111"/>
      <c r="AK272" s="111"/>
      <c r="AL272" s="111"/>
      <c r="AM272" s="111"/>
      <c r="AN272" s="111"/>
    </row>
    <row r="273" spans="11:40" ht="12.75" x14ac:dyDescent="0.2">
      <c r="N273" s="140"/>
      <c r="O273" s="140"/>
      <c r="P273" s="140"/>
      <c r="Q273" s="140"/>
      <c r="R273" s="129"/>
      <c r="S273" s="140"/>
      <c r="T273" s="140"/>
      <c r="U273" s="140"/>
      <c r="V273" s="140"/>
      <c r="W273" s="140"/>
      <c r="X273" s="140"/>
      <c r="Y273" s="140"/>
      <c r="Z273" s="140"/>
      <c r="AB273" s="111"/>
      <c r="AC273" s="111"/>
      <c r="AD273" s="111"/>
      <c r="AE273" s="111"/>
      <c r="AF273" s="111"/>
      <c r="AG273" s="111"/>
      <c r="AH273" s="111"/>
      <c r="AI273" s="111"/>
      <c r="AJ273" s="111"/>
      <c r="AK273" s="111"/>
      <c r="AL273" s="111"/>
      <c r="AM273" s="111"/>
      <c r="AN273" s="111"/>
    </row>
    <row r="274" spans="11:40" ht="12.75" x14ac:dyDescent="0.2">
      <c r="N274" s="140"/>
      <c r="O274" s="140"/>
      <c r="P274" s="140"/>
      <c r="Q274" s="140"/>
      <c r="R274" s="129"/>
      <c r="S274" s="140"/>
      <c r="T274" s="140"/>
      <c r="U274" s="140"/>
      <c r="V274" s="140"/>
      <c r="W274" s="140"/>
      <c r="X274" s="140"/>
      <c r="Y274" s="140"/>
      <c r="Z274" s="140"/>
      <c r="AB274" s="111"/>
      <c r="AC274" s="111"/>
      <c r="AD274" s="111"/>
      <c r="AE274" s="111"/>
      <c r="AF274" s="111"/>
      <c r="AG274" s="111"/>
      <c r="AH274" s="111"/>
      <c r="AI274" s="111"/>
      <c r="AJ274" s="111"/>
      <c r="AK274" s="111"/>
      <c r="AL274" s="111"/>
      <c r="AM274" s="111"/>
      <c r="AN274" s="111"/>
    </row>
    <row r="275" spans="11:40" ht="12.75" x14ac:dyDescent="0.2">
      <c r="N275" s="140"/>
      <c r="O275" s="140"/>
      <c r="P275" s="140"/>
      <c r="Q275" s="140"/>
      <c r="R275" s="129"/>
      <c r="S275" s="140"/>
      <c r="T275" s="140"/>
      <c r="U275" s="140"/>
      <c r="V275" s="140"/>
      <c r="W275" s="140"/>
      <c r="X275" s="140"/>
      <c r="Y275" s="140"/>
      <c r="Z275" s="140"/>
      <c r="AB275" s="111"/>
      <c r="AC275" s="111"/>
      <c r="AD275" s="111"/>
      <c r="AE275" s="111"/>
      <c r="AF275" s="111"/>
      <c r="AG275" s="111"/>
      <c r="AH275" s="111"/>
      <c r="AI275" s="111"/>
      <c r="AJ275" s="111"/>
      <c r="AK275" s="111"/>
      <c r="AL275" s="111"/>
      <c r="AM275" s="111"/>
      <c r="AN275" s="111"/>
    </row>
    <row r="276" spans="11:40" ht="12.75" x14ac:dyDescent="0.2">
      <c r="N276" s="140"/>
      <c r="O276" s="140"/>
      <c r="P276" s="140"/>
      <c r="Q276" s="140"/>
      <c r="R276" s="129"/>
      <c r="S276" s="140"/>
      <c r="T276" s="140"/>
      <c r="U276" s="140"/>
      <c r="V276" s="140"/>
      <c r="W276" s="140"/>
      <c r="X276" s="140"/>
      <c r="Y276" s="140"/>
      <c r="Z276" s="140"/>
      <c r="AB276" s="111"/>
      <c r="AC276" s="111"/>
      <c r="AD276" s="111"/>
      <c r="AE276" s="111"/>
      <c r="AF276" s="111"/>
      <c r="AG276" s="111"/>
      <c r="AH276" s="111"/>
      <c r="AI276" s="111"/>
      <c r="AJ276" s="111"/>
      <c r="AK276" s="111"/>
      <c r="AL276" s="111"/>
      <c r="AM276" s="111"/>
      <c r="AN276" s="111"/>
    </row>
    <row r="277" spans="11:40" ht="12.75" x14ac:dyDescent="0.2">
      <c r="N277" s="140"/>
      <c r="O277" s="140"/>
      <c r="P277" s="140"/>
      <c r="Q277" s="140"/>
      <c r="R277" s="129"/>
      <c r="S277" s="140"/>
      <c r="T277" s="140"/>
      <c r="U277" s="140"/>
      <c r="V277" s="140"/>
      <c r="W277" s="140"/>
      <c r="X277" s="140"/>
      <c r="Y277" s="140"/>
      <c r="Z277" s="140"/>
      <c r="AB277" s="111"/>
      <c r="AC277" s="111"/>
      <c r="AD277" s="111"/>
      <c r="AE277" s="111"/>
      <c r="AF277" s="111"/>
      <c r="AG277" s="111"/>
      <c r="AH277" s="111"/>
      <c r="AI277" s="111"/>
      <c r="AJ277" s="111"/>
      <c r="AK277" s="111"/>
      <c r="AL277" s="111"/>
      <c r="AM277" s="111"/>
      <c r="AN277" s="111"/>
    </row>
    <row r="278" spans="11:40" ht="12.75" x14ac:dyDescent="0.2">
      <c r="N278" s="140"/>
      <c r="O278" s="140"/>
      <c r="P278" s="140"/>
      <c r="Q278" s="140"/>
      <c r="R278" s="129"/>
      <c r="S278" s="140"/>
      <c r="T278" s="140"/>
      <c r="U278" s="140"/>
      <c r="V278" s="140"/>
      <c r="W278" s="140"/>
      <c r="X278" s="140"/>
      <c r="Y278" s="140"/>
      <c r="Z278" s="140"/>
      <c r="AB278" s="111"/>
      <c r="AC278" s="111"/>
      <c r="AD278" s="111"/>
      <c r="AE278" s="111"/>
      <c r="AF278" s="111"/>
      <c r="AG278" s="111"/>
      <c r="AH278" s="111"/>
      <c r="AI278" s="111"/>
      <c r="AJ278" s="111"/>
      <c r="AK278" s="111"/>
      <c r="AL278" s="111"/>
      <c r="AM278" s="111"/>
      <c r="AN278" s="111"/>
    </row>
    <row r="279" spans="11:40" ht="12.75" x14ac:dyDescent="0.2">
      <c r="N279" s="140"/>
      <c r="O279" s="140"/>
      <c r="P279" s="140"/>
      <c r="Q279" s="140"/>
      <c r="R279" s="129"/>
      <c r="S279" s="140"/>
      <c r="T279" s="140"/>
      <c r="U279" s="140"/>
      <c r="V279" s="140"/>
      <c r="W279" s="140"/>
      <c r="X279" s="140"/>
      <c r="Y279" s="140"/>
      <c r="Z279" s="140"/>
      <c r="AB279" s="111"/>
      <c r="AC279" s="111"/>
      <c r="AD279" s="111"/>
      <c r="AE279" s="111"/>
      <c r="AF279" s="111"/>
      <c r="AG279" s="111"/>
      <c r="AH279" s="111"/>
      <c r="AI279" s="111"/>
      <c r="AJ279" s="111"/>
      <c r="AK279" s="111"/>
      <c r="AL279" s="111"/>
      <c r="AM279" s="111"/>
      <c r="AN279" s="111"/>
    </row>
    <row r="280" spans="11:40" ht="12.75" x14ac:dyDescent="0.2">
      <c r="N280" s="140"/>
      <c r="O280" s="140"/>
      <c r="P280" s="140"/>
      <c r="Q280" s="140"/>
      <c r="R280" s="129"/>
      <c r="S280" s="140"/>
      <c r="T280" s="140"/>
      <c r="U280" s="140"/>
      <c r="V280" s="140"/>
      <c r="W280" s="140"/>
      <c r="X280" s="140"/>
      <c r="Y280" s="140"/>
      <c r="Z280" s="140"/>
      <c r="AB280" s="111"/>
      <c r="AC280" s="111"/>
      <c r="AD280" s="111"/>
      <c r="AE280" s="111"/>
      <c r="AF280" s="111"/>
      <c r="AG280" s="111"/>
      <c r="AH280" s="111"/>
      <c r="AI280" s="111"/>
      <c r="AJ280" s="111"/>
      <c r="AK280" s="111"/>
      <c r="AL280" s="111"/>
      <c r="AM280" s="111"/>
      <c r="AN280" s="111"/>
    </row>
    <row r="281" spans="11:40" ht="12.75" x14ac:dyDescent="0.2">
      <c r="N281" s="140"/>
      <c r="O281" s="140"/>
      <c r="P281" s="140"/>
      <c r="Q281" s="140"/>
      <c r="R281" s="129"/>
      <c r="S281" s="140"/>
      <c r="T281" s="140"/>
      <c r="U281" s="140"/>
      <c r="V281" s="140"/>
      <c r="W281" s="140"/>
      <c r="X281" s="140"/>
      <c r="Y281" s="140"/>
      <c r="Z281" s="140"/>
      <c r="AB281" s="111"/>
      <c r="AC281" s="111"/>
      <c r="AD281" s="111"/>
      <c r="AE281" s="111"/>
      <c r="AF281" s="111"/>
      <c r="AG281" s="111"/>
      <c r="AH281" s="111"/>
      <c r="AI281" s="111"/>
      <c r="AJ281" s="111"/>
      <c r="AK281" s="111"/>
      <c r="AL281" s="111"/>
      <c r="AM281" s="111"/>
      <c r="AN281" s="111"/>
    </row>
    <row r="282" spans="11:40" ht="12.75" x14ac:dyDescent="0.2">
      <c r="N282" s="140"/>
      <c r="O282" s="140"/>
      <c r="P282" s="140"/>
      <c r="Q282" s="140"/>
      <c r="R282" s="129"/>
      <c r="S282" s="140"/>
      <c r="T282" s="140"/>
      <c r="U282" s="140"/>
      <c r="V282" s="140"/>
      <c r="W282" s="140"/>
      <c r="X282" s="140"/>
      <c r="Y282" s="140"/>
      <c r="Z282" s="140"/>
      <c r="AB282" s="111"/>
      <c r="AC282" s="111"/>
      <c r="AD282" s="111"/>
      <c r="AE282" s="111"/>
      <c r="AF282" s="111"/>
      <c r="AG282" s="111"/>
      <c r="AH282" s="111"/>
      <c r="AI282" s="111"/>
      <c r="AJ282" s="111"/>
      <c r="AK282" s="111"/>
      <c r="AL282" s="111"/>
      <c r="AM282" s="111"/>
      <c r="AN282" s="111"/>
    </row>
    <row r="284" spans="11:40" x14ac:dyDescent="0.2">
      <c r="S284" s="126"/>
      <c r="T284" s="126"/>
      <c r="U284" s="126"/>
      <c r="V284" s="126"/>
      <c r="W284" s="126"/>
      <c r="X284" s="126"/>
      <c r="Y284" s="126"/>
      <c r="Z284" s="126"/>
    </row>
    <row r="285" spans="11:40" ht="12.75" x14ac:dyDescent="0.2">
      <c r="K285" s="105"/>
      <c r="N285" s="140"/>
      <c r="O285" s="140"/>
      <c r="P285" s="140"/>
      <c r="Q285" s="140"/>
      <c r="R285" s="129"/>
      <c r="S285" s="140"/>
      <c r="T285" s="140"/>
      <c r="U285" s="140"/>
      <c r="V285" s="140"/>
      <c r="W285" s="140"/>
      <c r="X285" s="140"/>
      <c r="Y285" s="140"/>
      <c r="Z285" s="140"/>
      <c r="AB285" s="111"/>
      <c r="AC285" s="111"/>
      <c r="AD285" s="111"/>
      <c r="AE285" s="111"/>
      <c r="AF285" s="111"/>
      <c r="AG285" s="111"/>
      <c r="AH285" s="111"/>
      <c r="AI285" s="111"/>
      <c r="AJ285" s="111"/>
      <c r="AK285" s="111"/>
      <c r="AL285" s="111"/>
      <c r="AM285" s="111"/>
      <c r="AN285" s="111"/>
    </row>
    <row r="286" spans="11:40" ht="12.75" x14ac:dyDescent="0.2">
      <c r="N286" s="140"/>
      <c r="O286" s="140"/>
      <c r="P286" s="140"/>
      <c r="Q286" s="140"/>
      <c r="R286" s="129"/>
      <c r="S286" s="140"/>
      <c r="T286" s="140"/>
      <c r="U286" s="140"/>
      <c r="V286" s="140"/>
      <c r="W286" s="140"/>
      <c r="X286" s="140"/>
      <c r="Y286" s="140"/>
      <c r="Z286" s="140"/>
      <c r="AB286" s="111"/>
      <c r="AC286" s="111"/>
      <c r="AD286" s="111"/>
      <c r="AE286" s="111"/>
      <c r="AF286" s="111"/>
      <c r="AG286" s="111"/>
      <c r="AH286" s="111"/>
      <c r="AI286" s="111"/>
      <c r="AJ286" s="111"/>
      <c r="AK286" s="111"/>
      <c r="AL286" s="111"/>
      <c r="AM286" s="111"/>
      <c r="AN286" s="111"/>
    </row>
    <row r="287" spans="11:40" ht="12.75" x14ac:dyDescent="0.2">
      <c r="N287" s="140"/>
      <c r="O287" s="140"/>
      <c r="P287" s="140"/>
      <c r="Q287" s="140"/>
      <c r="R287" s="129"/>
      <c r="S287" s="140"/>
      <c r="T287" s="140"/>
      <c r="U287" s="140"/>
      <c r="V287" s="140"/>
      <c r="W287" s="140"/>
      <c r="X287" s="140"/>
      <c r="Y287" s="140"/>
      <c r="Z287" s="140"/>
      <c r="AB287" s="111"/>
      <c r="AC287" s="111"/>
      <c r="AD287" s="111"/>
      <c r="AE287" s="111"/>
      <c r="AF287" s="111"/>
      <c r="AG287" s="111"/>
      <c r="AH287" s="111"/>
      <c r="AI287" s="111"/>
      <c r="AJ287" s="111"/>
      <c r="AK287" s="111"/>
      <c r="AL287" s="111"/>
      <c r="AM287" s="111"/>
      <c r="AN287" s="111"/>
    </row>
    <row r="288" spans="11:40" ht="12.75" x14ac:dyDescent="0.2">
      <c r="N288" s="140"/>
      <c r="O288" s="140"/>
      <c r="P288" s="140"/>
      <c r="Q288" s="140"/>
      <c r="R288" s="129"/>
      <c r="S288" s="140"/>
      <c r="T288" s="140"/>
      <c r="U288" s="140"/>
      <c r="V288" s="140"/>
      <c r="W288" s="140"/>
      <c r="X288" s="140"/>
      <c r="Y288" s="140"/>
      <c r="Z288" s="140"/>
      <c r="AB288" s="111"/>
      <c r="AC288" s="111"/>
      <c r="AD288" s="111"/>
      <c r="AE288" s="111"/>
      <c r="AF288" s="111"/>
      <c r="AG288" s="111"/>
      <c r="AH288" s="111"/>
      <c r="AI288" s="111"/>
      <c r="AJ288" s="111"/>
      <c r="AK288" s="111"/>
      <c r="AL288" s="111"/>
      <c r="AM288" s="111"/>
      <c r="AN288" s="111"/>
    </row>
    <row r="289" spans="11:40" ht="12.75" x14ac:dyDescent="0.2">
      <c r="N289" s="140"/>
      <c r="O289" s="140"/>
      <c r="P289" s="140"/>
      <c r="Q289" s="140"/>
      <c r="R289" s="129"/>
      <c r="S289" s="140"/>
      <c r="T289" s="140"/>
      <c r="U289" s="140"/>
      <c r="V289" s="140"/>
      <c r="W289" s="140"/>
      <c r="X289" s="140"/>
      <c r="Y289" s="140"/>
      <c r="Z289" s="140"/>
      <c r="AB289" s="111"/>
      <c r="AC289" s="111"/>
      <c r="AD289" s="111"/>
      <c r="AE289" s="111"/>
      <c r="AF289" s="111"/>
      <c r="AG289" s="111"/>
      <c r="AH289" s="111"/>
      <c r="AI289" s="111"/>
      <c r="AJ289" s="111"/>
      <c r="AK289" s="111"/>
      <c r="AL289" s="111"/>
      <c r="AM289" s="111"/>
      <c r="AN289" s="111"/>
    </row>
    <row r="290" spans="11:40" ht="12.75" x14ac:dyDescent="0.2">
      <c r="N290" s="140"/>
      <c r="O290" s="140"/>
      <c r="P290" s="140"/>
      <c r="Q290" s="140"/>
      <c r="R290" s="129"/>
      <c r="S290" s="140"/>
      <c r="T290" s="140"/>
      <c r="U290" s="140"/>
      <c r="V290" s="140"/>
      <c r="W290" s="140"/>
      <c r="X290" s="140"/>
      <c r="Y290" s="140"/>
      <c r="Z290" s="140"/>
      <c r="AB290" s="111"/>
      <c r="AC290" s="111"/>
      <c r="AD290" s="111"/>
      <c r="AE290" s="111"/>
      <c r="AF290" s="111"/>
      <c r="AG290" s="111"/>
      <c r="AH290" s="111"/>
      <c r="AI290" s="111"/>
      <c r="AJ290" s="111"/>
      <c r="AK290" s="111"/>
      <c r="AL290" s="111"/>
      <c r="AM290" s="111"/>
      <c r="AN290" s="111"/>
    </row>
    <row r="291" spans="11:40" ht="12.75" x14ac:dyDescent="0.2">
      <c r="N291" s="140"/>
      <c r="O291" s="140"/>
      <c r="P291" s="140"/>
      <c r="Q291" s="140"/>
      <c r="R291" s="129"/>
      <c r="S291" s="140"/>
      <c r="T291" s="140"/>
      <c r="U291" s="140"/>
      <c r="V291" s="140"/>
      <c r="W291" s="140"/>
      <c r="X291" s="140"/>
      <c r="Y291" s="140"/>
      <c r="Z291" s="140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</row>
    <row r="292" spans="11:40" ht="12.75" x14ac:dyDescent="0.2">
      <c r="N292" s="140"/>
      <c r="O292" s="140"/>
      <c r="P292" s="140"/>
      <c r="Q292" s="140"/>
      <c r="R292" s="129"/>
      <c r="S292" s="140"/>
      <c r="T292" s="140"/>
      <c r="U292" s="140"/>
      <c r="V292" s="140"/>
      <c r="W292" s="140"/>
      <c r="X292" s="140"/>
      <c r="Y292" s="140"/>
      <c r="Z292" s="140"/>
      <c r="AB292" s="111"/>
      <c r="AC292" s="111"/>
      <c r="AD292" s="111"/>
      <c r="AE292" s="111"/>
      <c r="AF292" s="111"/>
      <c r="AG292" s="111"/>
      <c r="AH292" s="111"/>
      <c r="AI292" s="111"/>
      <c r="AJ292" s="111"/>
      <c r="AK292" s="111"/>
      <c r="AL292" s="111"/>
      <c r="AM292" s="111"/>
      <c r="AN292" s="111"/>
    </row>
    <row r="293" spans="11:40" ht="12.75" x14ac:dyDescent="0.2">
      <c r="N293" s="140"/>
      <c r="O293" s="140"/>
      <c r="P293" s="140"/>
      <c r="Q293" s="140"/>
      <c r="R293" s="129"/>
      <c r="S293" s="140"/>
      <c r="T293" s="140"/>
      <c r="U293" s="140"/>
      <c r="V293" s="140"/>
      <c r="W293" s="140"/>
      <c r="X293" s="140"/>
      <c r="Y293" s="140"/>
      <c r="Z293" s="140"/>
      <c r="AB293" s="111"/>
      <c r="AC293" s="111"/>
      <c r="AD293" s="111"/>
      <c r="AE293" s="111"/>
      <c r="AF293" s="111"/>
      <c r="AG293" s="111"/>
      <c r="AH293" s="111"/>
      <c r="AI293" s="111"/>
      <c r="AJ293" s="111"/>
      <c r="AK293" s="111"/>
      <c r="AL293" s="111"/>
      <c r="AM293" s="111"/>
      <c r="AN293" s="111"/>
    </row>
    <row r="294" spans="11:40" ht="12.75" x14ac:dyDescent="0.2">
      <c r="N294" s="140"/>
      <c r="O294" s="140"/>
      <c r="P294" s="140"/>
      <c r="Q294" s="140"/>
      <c r="R294" s="129"/>
      <c r="S294" s="140"/>
      <c r="T294" s="140"/>
      <c r="U294" s="140"/>
      <c r="V294" s="140"/>
      <c r="W294" s="140"/>
      <c r="X294" s="140"/>
      <c r="Y294" s="140"/>
      <c r="Z294" s="140"/>
      <c r="AB294" s="111"/>
      <c r="AC294" s="111"/>
      <c r="AD294" s="111"/>
      <c r="AE294" s="111"/>
      <c r="AF294" s="111"/>
      <c r="AG294" s="111"/>
      <c r="AH294" s="111"/>
      <c r="AI294" s="111"/>
      <c r="AJ294" s="111"/>
      <c r="AK294" s="111"/>
      <c r="AL294" s="111"/>
      <c r="AM294" s="111"/>
      <c r="AN294" s="111"/>
    </row>
    <row r="295" spans="11:40" ht="12.75" x14ac:dyDescent="0.2">
      <c r="N295" s="140"/>
      <c r="O295" s="140"/>
      <c r="P295" s="140"/>
      <c r="Q295" s="140"/>
      <c r="R295" s="129"/>
      <c r="S295" s="140"/>
      <c r="T295" s="140"/>
      <c r="U295" s="140"/>
      <c r="V295" s="140"/>
      <c r="W295" s="140"/>
      <c r="X295" s="140"/>
      <c r="Y295" s="140"/>
      <c r="Z295" s="140"/>
      <c r="AB295" s="111"/>
      <c r="AC295" s="111"/>
      <c r="AD295" s="111"/>
      <c r="AE295" s="111"/>
      <c r="AF295" s="111"/>
      <c r="AG295" s="111"/>
      <c r="AH295" s="111"/>
      <c r="AI295" s="111"/>
      <c r="AJ295" s="111"/>
      <c r="AK295" s="111"/>
      <c r="AL295" s="111"/>
      <c r="AM295" s="111"/>
      <c r="AN295" s="111"/>
    </row>
    <row r="296" spans="11:40" ht="12.75" x14ac:dyDescent="0.2">
      <c r="N296" s="140"/>
      <c r="O296" s="140"/>
      <c r="P296" s="140"/>
      <c r="Q296" s="140"/>
      <c r="R296" s="129"/>
      <c r="S296" s="140"/>
      <c r="T296" s="140"/>
      <c r="U296" s="140"/>
      <c r="V296" s="140"/>
      <c r="W296" s="140"/>
      <c r="X296" s="140"/>
      <c r="Y296" s="140"/>
      <c r="Z296" s="140"/>
      <c r="AB296" s="111"/>
      <c r="AC296" s="111"/>
      <c r="AD296" s="111"/>
      <c r="AE296" s="111"/>
      <c r="AF296" s="111"/>
      <c r="AG296" s="111"/>
      <c r="AH296" s="111"/>
      <c r="AI296" s="111"/>
      <c r="AJ296" s="111"/>
      <c r="AK296" s="111"/>
      <c r="AL296" s="111"/>
      <c r="AM296" s="111"/>
      <c r="AN296" s="111"/>
    </row>
    <row r="297" spans="11:40" ht="12.75" x14ac:dyDescent="0.2">
      <c r="N297" s="140"/>
      <c r="O297" s="140"/>
      <c r="P297" s="140"/>
      <c r="Q297" s="140"/>
      <c r="R297" s="129"/>
      <c r="S297" s="140"/>
      <c r="T297" s="140"/>
      <c r="U297" s="140"/>
      <c r="V297" s="140"/>
      <c r="W297" s="140"/>
      <c r="X297" s="140"/>
      <c r="Y297" s="140"/>
      <c r="Z297" s="140"/>
      <c r="AB297" s="111"/>
      <c r="AC297" s="111"/>
      <c r="AD297" s="111"/>
      <c r="AE297" s="111"/>
      <c r="AF297" s="111"/>
      <c r="AG297" s="111"/>
      <c r="AH297" s="111"/>
      <c r="AI297" s="111"/>
      <c r="AJ297" s="111"/>
      <c r="AK297" s="111"/>
      <c r="AL297" s="111"/>
      <c r="AM297" s="111"/>
      <c r="AN297" s="111"/>
    </row>
    <row r="298" spans="11:40" ht="12.75" x14ac:dyDescent="0.2">
      <c r="N298" s="140"/>
      <c r="O298" s="140"/>
      <c r="P298" s="140"/>
      <c r="Q298" s="140"/>
      <c r="R298" s="129"/>
      <c r="S298" s="140"/>
      <c r="T298" s="140"/>
      <c r="U298" s="140"/>
      <c r="V298" s="140"/>
      <c r="W298" s="140"/>
      <c r="X298" s="140"/>
      <c r="Y298" s="140"/>
      <c r="Z298" s="140"/>
      <c r="AB298" s="111"/>
      <c r="AC298" s="111"/>
      <c r="AD298" s="111"/>
      <c r="AE298" s="111"/>
      <c r="AF298" s="111"/>
      <c r="AG298" s="111"/>
      <c r="AH298" s="111"/>
      <c r="AI298" s="111"/>
      <c r="AJ298" s="111"/>
      <c r="AK298" s="111"/>
      <c r="AL298" s="111"/>
      <c r="AM298" s="111"/>
      <c r="AN298" s="111"/>
    </row>
    <row r="299" spans="11:40" ht="12.75" x14ac:dyDescent="0.2">
      <c r="N299" s="140"/>
      <c r="O299" s="140"/>
      <c r="P299" s="140"/>
      <c r="Q299" s="140"/>
      <c r="R299" s="129"/>
      <c r="S299" s="140"/>
      <c r="T299" s="140"/>
      <c r="U299" s="140"/>
      <c r="V299" s="140"/>
      <c r="W299" s="140"/>
      <c r="X299" s="140"/>
      <c r="Y299" s="140"/>
      <c r="Z299" s="140"/>
      <c r="AB299" s="111"/>
      <c r="AC299" s="111"/>
      <c r="AD299" s="111"/>
      <c r="AE299" s="111"/>
      <c r="AF299" s="111"/>
      <c r="AG299" s="111"/>
      <c r="AH299" s="111"/>
      <c r="AI299" s="111"/>
      <c r="AJ299" s="111"/>
      <c r="AK299" s="111"/>
      <c r="AL299" s="111"/>
      <c r="AM299" s="111"/>
      <c r="AN299" s="111"/>
    </row>
    <row r="301" spans="11:40" x14ac:dyDescent="0.2">
      <c r="S301" s="126"/>
      <c r="T301" s="126"/>
      <c r="U301" s="126"/>
      <c r="V301" s="126"/>
      <c r="W301" s="126"/>
      <c r="X301" s="126"/>
      <c r="Y301" s="126"/>
      <c r="Z301" s="126"/>
    </row>
    <row r="302" spans="11:40" ht="12.75" x14ac:dyDescent="0.2">
      <c r="K302" s="105"/>
      <c r="N302" s="140"/>
      <c r="O302" s="140"/>
      <c r="P302" s="140"/>
      <c r="Q302" s="140"/>
      <c r="R302" s="129"/>
      <c r="S302" s="140"/>
      <c r="T302" s="140"/>
      <c r="U302" s="140"/>
      <c r="V302" s="140"/>
      <c r="W302" s="140"/>
      <c r="X302" s="140"/>
      <c r="Y302" s="140"/>
      <c r="Z302" s="140"/>
      <c r="AB302" s="111"/>
      <c r="AC302" s="111"/>
      <c r="AD302" s="111"/>
      <c r="AE302" s="111"/>
      <c r="AF302" s="111"/>
      <c r="AG302" s="111"/>
      <c r="AH302" s="111"/>
      <c r="AI302" s="111"/>
      <c r="AJ302" s="111"/>
      <c r="AK302" s="111"/>
      <c r="AL302" s="111"/>
      <c r="AM302" s="111"/>
      <c r="AN302" s="111"/>
    </row>
    <row r="303" spans="11:40" ht="12.75" x14ac:dyDescent="0.2">
      <c r="N303" s="140"/>
      <c r="O303" s="140"/>
      <c r="P303" s="140"/>
      <c r="Q303" s="140"/>
      <c r="R303" s="129"/>
      <c r="S303" s="140"/>
      <c r="T303" s="140"/>
      <c r="U303" s="140"/>
      <c r="V303" s="140"/>
      <c r="W303" s="140"/>
      <c r="X303" s="140"/>
      <c r="Y303" s="140"/>
      <c r="Z303" s="140"/>
      <c r="AB303" s="111"/>
      <c r="AC303" s="111"/>
      <c r="AD303" s="111"/>
      <c r="AE303" s="111"/>
      <c r="AF303" s="111"/>
      <c r="AG303" s="111"/>
      <c r="AH303" s="111"/>
      <c r="AI303" s="111"/>
      <c r="AJ303" s="111"/>
      <c r="AK303" s="111"/>
      <c r="AL303" s="111"/>
      <c r="AM303" s="111"/>
      <c r="AN303" s="111"/>
    </row>
    <row r="304" spans="11:40" ht="12.75" x14ac:dyDescent="0.2">
      <c r="N304" s="140"/>
      <c r="O304" s="140"/>
      <c r="P304" s="140"/>
      <c r="Q304" s="140"/>
      <c r="R304" s="129"/>
      <c r="S304" s="140"/>
      <c r="T304" s="140"/>
      <c r="U304" s="140"/>
      <c r="V304" s="140"/>
      <c r="W304" s="140"/>
      <c r="X304" s="140"/>
      <c r="Y304" s="140"/>
      <c r="Z304" s="140"/>
      <c r="AB304" s="111"/>
      <c r="AC304" s="111"/>
      <c r="AD304" s="111"/>
      <c r="AE304" s="111"/>
      <c r="AF304" s="111"/>
      <c r="AG304" s="111"/>
      <c r="AH304" s="111"/>
      <c r="AI304" s="111"/>
      <c r="AJ304" s="111"/>
      <c r="AK304" s="111"/>
      <c r="AL304" s="111"/>
      <c r="AM304" s="111"/>
      <c r="AN304" s="111"/>
    </row>
    <row r="305" spans="11:69" ht="12.75" x14ac:dyDescent="0.2">
      <c r="N305" s="140"/>
      <c r="O305" s="140"/>
      <c r="P305" s="140"/>
      <c r="Q305" s="140"/>
      <c r="R305" s="129"/>
      <c r="S305" s="140"/>
      <c r="T305" s="140"/>
      <c r="U305" s="140"/>
      <c r="V305" s="140"/>
      <c r="W305" s="140"/>
      <c r="X305" s="140"/>
      <c r="Y305" s="140"/>
      <c r="Z305" s="140"/>
      <c r="AB305" s="111"/>
      <c r="AC305" s="111"/>
      <c r="AD305" s="111"/>
      <c r="AE305" s="111"/>
      <c r="AF305" s="111"/>
      <c r="AG305" s="111"/>
      <c r="AH305" s="111"/>
      <c r="AI305" s="111"/>
      <c r="AJ305" s="111"/>
      <c r="AK305" s="111"/>
      <c r="AL305" s="111"/>
      <c r="AM305" s="111"/>
      <c r="AN305" s="111"/>
    </row>
    <row r="306" spans="11:69" ht="12.75" x14ac:dyDescent="0.2">
      <c r="N306" s="140"/>
      <c r="O306" s="140"/>
      <c r="P306" s="140"/>
      <c r="Q306" s="140"/>
      <c r="R306" s="129"/>
      <c r="S306" s="140"/>
      <c r="T306" s="140"/>
      <c r="U306" s="140"/>
      <c r="V306" s="140"/>
      <c r="W306" s="140"/>
      <c r="X306" s="140"/>
      <c r="Y306" s="140"/>
      <c r="Z306" s="140"/>
      <c r="AB306" s="111"/>
      <c r="AC306" s="111"/>
      <c r="AD306" s="111"/>
      <c r="AE306" s="111"/>
      <c r="AF306" s="111"/>
      <c r="AG306" s="111"/>
      <c r="AH306" s="111"/>
      <c r="AI306" s="111"/>
      <c r="AJ306" s="111"/>
      <c r="AK306" s="111"/>
      <c r="AL306" s="111"/>
      <c r="AM306" s="111"/>
      <c r="AN306" s="111"/>
    </row>
    <row r="307" spans="11:69" ht="12.75" x14ac:dyDescent="0.2">
      <c r="N307" s="140"/>
      <c r="O307" s="140"/>
      <c r="P307" s="140"/>
      <c r="Q307" s="140"/>
      <c r="R307" s="129"/>
      <c r="S307" s="140"/>
      <c r="T307" s="140"/>
      <c r="U307" s="140"/>
      <c r="V307" s="140"/>
      <c r="W307" s="140"/>
      <c r="X307" s="140"/>
      <c r="Y307" s="140"/>
      <c r="Z307" s="140"/>
      <c r="AB307" s="111"/>
      <c r="AC307" s="111"/>
      <c r="AD307" s="111"/>
      <c r="AE307" s="111"/>
      <c r="AF307" s="111"/>
      <c r="AG307" s="111"/>
      <c r="AH307" s="111"/>
      <c r="AI307" s="111"/>
      <c r="AJ307" s="111"/>
      <c r="AK307" s="111"/>
      <c r="AL307" s="111"/>
      <c r="AM307" s="111"/>
      <c r="AN307" s="111"/>
    </row>
    <row r="308" spans="11:69" ht="12.75" x14ac:dyDescent="0.2">
      <c r="N308" s="140"/>
      <c r="O308" s="140"/>
      <c r="P308" s="140"/>
      <c r="Q308" s="140"/>
      <c r="R308" s="129"/>
      <c r="S308" s="140"/>
      <c r="T308" s="140"/>
      <c r="U308" s="140"/>
      <c r="V308" s="140"/>
      <c r="W308" s="140"/>
      <c r="X308" s="140"/>
      <c r="Y308" s="140"/>
      <c r="Z308" s="140"/>
      <c r="AB308" s="111"/>
      <c r="AC308" s="111"/>
      <c r="AD308" s="111"/>
      <c r="AE308" s="111"/>
      <c r="AF308" s="111"/>
      <c r="AG308" s="111"/>
      <c r="AH308" s="111"/>
      <c r="AI308" s="111"/>
      <c r="AJ308" s="111"/>
      <c r="AK308" s="111"/>
      <c r="AL308" s="111"/>
      <c r="AM308" s="111"/>
      <c r="AN308" s="111"/>
    </row>
    <row r="309" spans="11:69" ht="12.75" x14ac:dyDescent="0.2">
      <c r="N309" s="140"/>
      <c r="O309" s="140"/>
      <c r="P309" s="140"/>
      <c r="Q309" s="140"/>
      <c r="R309" s="129"/>
      <c r="S309" s="140"/>
      <c r="T309" s="140"/>
      <c r="U309" s="140"/>
      <c r="V309" s="140"/>
      <c r="W309" s="140"/>
      <c r="X309" s="140"/>
      <c r="Y309" s="140"/>
      <c r="Z309" s="140"/>
      <c r="AB309" s="111"/>
      <c r="AC309" s="111"/>
      <c r="AD309" s="111"/>
      <c r="AE309" s="111"/>
      <c r="AF309" s="111"/>
      <c r="AG309" s="111"/>
      <c r="AH309" s="111"/>
      <c r="AI309" s="111"/>
      <c r="AJ309" s="111"/>
      <c r="AK309" s="111"/>
      <c r="AL309" s="111"/>
      <c r="AM309" s="111"/>
      <c r="AN309" s="111"/>
    </row>
    <row r="310" spans="11:69" ht="12.75" x14ac:dyDescent="0.2">
      <c r="N310" s="140"/>
      <c r="O310" s="140"/>
      <c r="P310" s="140"/>
      <c r="Q310" s="140"/>
      <c r="R310" s="129"/>
      <c r="S310" s="140"/>
      <c r="T310" s="140"/>
      <c r="U310" s="140"/>
      <c r="V310" s="140"/>
      <c r="W310" s="140"/>
      <c r="X310" s="140"/>
      <c r="Y310" s="140"/>
      <c r="Z310" s="140"/>
      <c r="AB310" s="111"/>
      <c r="AC310" s="111"/>
      <c r="AD310" s="111"/>
      <c r="AE310" s="111"/>
      <c r="AF310" s="111"/>
      <c r="AG310" s="111"/>
      <c r="AH310" s="111"/>
      <c r="AI310" s="111"/>
      <c r="AJ310" s="111"/>
      <c r="AK310" s="111"/>
      <c r="AL310" s="111"/>
      <c r="AM310" s="111"/>
      <c r="AN310" s="111"/>
    </row>
    <row r="311" spans="11:69" ht="12.75" x14ac:dyDescent="0.2">
      <c r="N311" s="140"/>
      <c r="O311" s="140"/>
      <c r="P311" s="140"/>
      <c r="Q311" s="140"/>
      <c r="R311" s="129"/>
      <c r="S311" s="140"/>
      <c r="T311" s="140"/>
      <c r="U311" s="140"/>
      <c r="V311" s="140"/>
      <c r="W311" s="140"/>
      <c r="X311" s="140"/>
      <c r="Y311" s="140"/>
      <c r="Z311" s="140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</row>
    <row r="312" spans="11:69" ht="12.75" x14ac:dyDescent="0.2">
      <c r="N312" s="140"/>
      <c r="O312" s="140"/>
      <c r="P312" s="140"/>
      <c r="Q312" s="140"/>
      <c r="R312" s="129"/>
      <c r="S312" s="140"/>
      <c r="T312" s="140"/>
      <c r="U312" s="140"/>
      <c r="V312" s="140"/>
      <c r="W312" s="140"/>
      <c r="X312" s="140"/>
      <c r="Y312" s="140"/>
      <c r="Z312" s="140"/>
      <c r="AB312" s="111"/>
      <c r="AC312" s="111"/>
      <c r="AD312" s="111"/>
      <c r="AE312" s="111"/>
      <c r="AF312" s="111"/>
      <c r="AG312" s="111"/>
      <c r="AH312" s="111"/>
      <c r="AI312" s="111"/>
      <c r="AJ312" s="111"/>
      <c r="AK312" s="111"/>
      <c r="AL312" s="111"/>
      <c r="AM312" s="111"/>
      <c r="AN312" s="111"/>
    </row>
    <row r="313" spans="11:69" ht="12.75" x14ac:dyDescent="0.2">
      <c r="N313" s="140"/>
      <c r="O313" s="140"/>
      <c r="P313" s="140"/>
      <c r="Q313" s="140"/>
      <c r="R313" s="129"/>
      <c r="S313" s="140"/>
      <c r="T313" s="140"/>
      <c r="U313" s="140"/>
      <c r="V313" s="140"/>
      <c r="W313" s="140"/>
      <c r="X313" s="140"/>
      <c r="Y313" s="140"/>
      <c r="Z313" s="140"/>
      <c r="AB313" s="111"/>
      <c r="AC313" s="111"/>
      <c r="AD313" s="111"/>
      <c r="AE313" s="111"/>
      <c r="AF313" s="111"/>
      <c r="AG313" s="111"/>
      <c r="AH313" s="111"/>
      <c r="AI313" s="111"/>
      <c r="AJ313" s="111"/>
      <c r="AK313" s="111"/>
      <c r="AL313" s="111"/>
      <c r="AM313" s="111"/>
      <c r="AN313" s="111"/>
    </row>
    <row r="314" spans="11:69" ht="12.75" x14ac:dyDescent="0.2">
      <c r="N314" s="140"/>
      <c r="O314" s="140"/>
      <c r="P314" s="140"/>
      <c r="Q314" s="140"/>
      <c r="R314" s="129"/>
      <c r="S314" s="140"/>
      <c r="T314" s="140"/>
      <c r="U314" s="140"/>
      <c r="V314" s="140"/>
      <c r="W314" s="140"/>
      <c r="X314" s="140"/>
      <c r="Y314" s="140"/>
      <c r="Z314" s="140"/>
      <c r="AB314" s="111"/>
      <c r="AC314" s="111"/>
      <c r="AD314" s="111"/>
      <c r="AE314" s="111"/>
      <c r="AF314" s="111"/>
      <c r="AG314" s="111"/>
      <c r="AH314" s="111"/>
      <c r="AI314" s="111"/>
      <c r="AJ314" s="111"/>
      <c r="AK314" s="111"/>
      <c r="AL314" s="111"/>
      <c r="AM314" s="111"/>
      <c r="AN314" s="111"/>
    </row>
    <row r="315" spans="11:69" ht="12.75" x14ac:dyDescent="0.2">
      <c r="N315" s="140"/>
      <c r="O315" s="140"/>
      <c r="P315" s="140"/>
      <c r="Q315" s="140"/>
      <c r="R315" s="129"/>
      <c r="S315" s="140"/>
      <c r="T315" s="140"/>
      <c r="U315" s="140"/>
      <c r="V315" s="140"/>
      <c r="W315" s="140"/>
      <c r="X315" s="140"/>
      <c r="Y315" s="140"/>
      <c r="Z315" s="140"/>
      <c r="AB315" s="111"/>
      <c r="AC315" s="111"/>
      <c r="AD315" s="111"/>
      <c r="AE315" s="111"/>
      <c r="AF315" s="111"/>
      <c r="AG315" s="111"/>
      <c r="AH315" s="111"/>
      <c r="AI315" s="111"/>
      <c r="AJ315" s="111"/>
      <c r="AK315" s="111"/>
      <c r="AL315" s="111"/>
      <c r="AM315" s="111"/>
      <c r="AN315" s="111"/>
    </row>
    <row r="316" spans="11:69" ht="12.75" x14ac:dyDescent="0.2">
      <c r="N316" s="140"/>
      <c r="O316" s="140"/>
      <c r="P316" s="140"/>
      <c r="Q316" s="140"/>
      <c r="R316" s="129"/>
      <c r="S316" s="140"/>
      <c r="T316" s="140"/>
      <c r="U316" s="140"/>
      <c r="V316" s="140"/>
      <c r="W316" s="140"/>
      <c r="X316" s="140"/>
      <c r="Y316" s="140"/>
      <c r="Z316" s="140"/>
      <c r="AB316" s="111"/>
      <c r="AC316" s="111"/>
      <c r="AD316" s="111"/>
      <c r="AE316" s="111"/>
      <c r="AF316" s="111"/>
      <c r="AG316" s="111"/>
      <c r="AH316" s="111"/>
      <c r="AI316" s="111"/>
      <c r="AJ316" s="111"/>
      <c r="AK316" s="111"/>
      <c r="AL316" s="111"/>
      <c r="AM316" s="111"/>
      <c r="AN316" s="111"/>
    </row>
    <row r="318" spans="11:69" x14ac:dyDescent="0.2">
      <c r="S318" s="126"/>
      <c r="T318" s="126"/>
      <c r="U318" s="126"/>
      <c r="V318" s="126"/>
      <c r="W318" s="126"/>
      <c r="X318" s="126"/>
      <c r="Y318" s="126"/>
      <c r="Z318" s="126"/>
      <c r="AQ318" s="106"/>
    </row>
    <row r="319" spans="11:69" ht="12.75" x14ac:dyDescent="0.2">
      <c r="K319" s="105"/>
      <c r="N319" s="153"/>
      <c r="O319" s="153"/>
      <c r="P319" s="153"/>
      <c r="Q319" s="153"/>
      <c r="R319" s="129"/>
      <c r="S319" s="153"/>
      <c r="T319" s="153"/>
      <c r="U319" s="153"/>
      <c r="V319" s="153"/>
      <c r="W319" s="153"/>
      <c r="X319" s="153"/>
      <c r="Y319" s="153"/>
      <c r="Z319" s="153"/>
      <c r="AB319" s="111"/>
      <c r="AC319" s="111"/>
      <c r="AD319" s="111"/>
      <c r="AE319" s="111"/>
      <c r="AF319" s="111"/>
      <c r="AG319" s="111"/>
      <c r="AH319" s="111"/>
      <c r="AI319" s="111"/>
      <c r="AJ319" s="111"/>
      <c r="AK319" s="111"/>
      <c r="AL319" s="111"/>
      <c r="AM319" s="111"/>
      <c r="AN319" s="111"/>
      <c r="AQ319" s="120"/>
      <c r="AR319" s="120"/>
      <c r="AS319" s="120"/>
      <c r="AT319" s="120"/>
      <c r="AU319" s="120"/>
      <c r="AV319" s="120"/>
      <c r="AW319" s="120"/>
      <c r="AX319" s="120"/>
      <c r="AY319" s="120"/>
      <c r="AZ319" s="120"/>
      <c r="BA319" s="120">
        <v>1.2731081575830108E-2</v>
      </c>
      <c r="BB319" s="120">
        <v>1.8728229385132442E-2</v>
      </c>
      <c r="BC319" s="120">
        <v>3.3372468726213009E-2</v>
      </c>
      <c r="BE319" s="120">
        <v>0.10741141716136082</v>
      </c>
      <c r="BF319" s="120">
        <v>7.0171916687237837E-2</v>
      </c>
      <c r="BG319" s="120">
        <v>7.844867224492777E-2</v>
      </c>
      <c r="BH319" s="120">
        <v>9.1465532004108174E-2</v>
      </c>
      <c r="BI319" s="120">
        <v>0.10558930829823097</v>
      </c>
      <c r="BJ319" s="120">
        <v>0.11973262238816412</v>
      </c>
      <c r="BK319" s="120">
        <v>0.14603636456429986</v>
      </c>
      <c r="BL319" s="120">
        <v>0.18963200087727217</v>
      </c>
      <c r="BM319" s="120">
        <v>0.22520617136385618</v>
      </c>
      <c r="BN319" s="120">
        <v>0.25773810591059965</v>
      </c>
      <c r="BO319" s="120">
        <v>0.3087209847150631</v>
      </c>
      <c r="BP319" s="120">
        <v>0.38568702846007435</v>
      </c>
      <c r="BQ319" s="120">
        <v>0.50618836360405706</v>
      </c>
    </row>
    <row r="320" spans="11:69" ht="12.75" x14ac:dyDescent="0.2">
      <c r="N320" s="153"/>
      <c r="O320" s="153"/>
      <c r="P320" s="153"/>
      <c r="Q320" s="153"/>
      <c r="R320" s="129"/>
      <c r="S320" s="153"/>
      <c r="T320" s="153"/>
      <c r="U320" s="153"/>
      <c r="V320" s="153"/>
      <c r="W320" s="153"/>
      <c r="X320" s="153"/>
      <c r="Y320" s="153"/>
      <c r="Z320" s="153"/>
      <c r="AB320" s="111"/>
      <c r="AC320" s="111"/>
      <c r="AD320" s="111"/>
      <c r="AE320" s="111"/>
      <c r="AF320" s="111"/>
      <c r="AG320" s="111"/>
      <c r="AH320" s="111"/>
      <c r="AI320" s="111"/>
      <c r="AJ320" s="111"/>
      <c r="AK320" s="111"/>
      <c r="AL320" s="111"/>
      <c r="AM320" s="111"/>
      <c r="AN320" s="111"/>
      <c r="AQ320" s="120"/>
      <c r="AR320" s="120"/>
      <c r="AS320" s="120"/>
      <c r="AT320" s="120"/>
      <c r="AU320" s="120"/>
      <c r="AV320" s="120"/>
      <c r="AW320" s="120"/>
      <c r="AX320" s="120"/>
      <c r="AY320" s="120"/>
      <c r="AZ320" s="120"/>
      <c r="BA320" s="120">
        <v>1.0882966626784793E-2</v>
      </c>
      <c r="BB320" s="120">
        <v>1.5419660727753661E-2</v>
      </c>
      <c r="BC320" s="120">
        <v>2.5414562695409683E-2</v>
      </c>
      <c r="BE320" s="120">
        <v>0.12435579431639664</v>
      </c>
      <c r="BF320" s="120">
        <v>0.12005136471055841</v>
      </c>
      <c r="BG320" s="120">
        <v>0.11811663888576786</v>
      </c>
      <c r="BH320" s="120">
        <v>0.12171691331136039</v>
      </c>
      <c r="BI320" s="120">
        <v>0.12761345812845395</v>
      </c>
      <c r="BJ320" s="120">
        <v>0.13483523736611533</v>
      </c>
      <c r="BK320" s="120">
        <v>0.14906285094740981</v>
      </c>
      <c r="BL320" s="120">
        <v>0.18002771653990973</v>
      </c>
      <c r="BM320" s="120">
        <v>0.20532610251815658</v>
      </c>
      <c r="BN320" s="120">
        <v>0.22787458543090469</v>
      </c>
      <c r="BO320" s="120">
        <v>0.26366105269005941</v>
      </c>
      <c r="BP320" s="120">
        <v>0.31708851245312553</v>
      </c>
      <c r="BQ320" s="120">
        <v>0.3941876477426971</v>
      </c>
    </row>
    <row r="321" spans="11:69" ht="12.75" x14ac:dyDescent="0.2">
      <c r="N321" s="153"/>
      <c r="O321" s="153"/>
      <c r="P321" s="153"/>
      <c r="Q321" s="153"/>
      <c r="R321" s="129"/>
      <c r="S321" s="153"/>
      <c r="T321" s="153"/>
      <c r="U321" s="153"/>
      <c r="V321" s="153"/>
      <c r="W321" s="153"/>
      <c r="X321" s="153"/>
      <c r="Y321" s="153"/>
      <c r="Z321" s="153"/>
      <c r="AB321" s="111"/>
      <c r="AC321" s="111"/>
      <c r="AD321" s="111"/>
      <c r="AE321" s="111"/>
      <c r="AF321" s="111"/>
      <c r="AG321" s="111"/>
      <c r="AH321" s="111"/>
      <c r="AI321" s="111"/>
      <c r="AJ321" s="111"/>
      <c r="AK321" s="111"/>
      <c r="AL321" s="111"/>
      <c r="AM321" s="111"/>
      <c r="AN321" s="111"/>
      <c r="AQ321" s="120"/>
      <c r="AR321" s="120"/>
      <c r="AS321" s="120"/>
      <c r="AT321" s="120"/>
      <c r="AU321" s="120"/>
      <c r="AV321" s="120"/>
      <c r="AW321" s="120"/>
      <c r="AX321" s="120"/>
      <c r="AY321" s="120"/>
      <c r="AZ321" s="120"/>
      <c r="BA321" s="120">
        <v>9.386711816032331E-3</v>
      </c>
      <c r="BB321" s="120">
        <v>1.3060554053408849E-2</v>
      </c>
      <c r="BC321" s="120">
        <v>2.1335272181784444E-2</v>
      </c>
      <c r="BE321" s="120">
        <v>0.14700015560058072</v>
      </c>
      <c r="BF321" s="120">
        <v>0.12200240350054524</v>
      </c>
      <c r="BG321" s="120">
        <v>0.11577457300667023</v>
      </c>
      <c r="BH321" s="120">
        <v>0.11600121524328316</v>
      </c>
      <c r="BI321" s="120">
        <v>0.12050000580377547</v>
      </c>
      <c r="BJ321" s="120">
        <v>0.12500004335221637</v>
      </c>
      <c r="BK321" s="120">
        <v>0.13600029697838542</v>
      </c>
      <c r="BL321" s="120">
        <v>0.15700174432029754</v>
      </c>
      <c r="BM321" s="120">
        <v>0.17500747739618552</v>
      </c>
      <c r="BN321" s="120">
        <v>0.19201609069719919</v>
      </c>
      <c r="BO321" s="120">
        <v>0.21900051825722355</v>
      </c>
      <c r="BP321" s="120">
        <v>0.25900342349087685</v>
      </c>
      <c r="BQ321" s="120">
        <v>0.31706515371270194</v>
      </c>
    </row>
    <row r="322" spans="11:69" ht="12.75" x14ac:dyDescent="0.2">
      <c r="N322" s="153"/>
      <c r="O322" s="153"/>
      <c r="P322" s="153"/>
      <c r="Q322" s="153"/>
      <c r="R322" s="129"/>
      <c r="S322" s="153"/>
      <c r="T322" s="153"/>
      <c r="U322" s="153"/>
      <c r="V322" s="153"/>
      <c r="W322" s="153"/>
      <c r="X322" s="153"/>
      <c r="Y322" s="153"/>
      <c r="Z322" s="153"/>
      <c r="AB322" s="111"/>
      <c r="AC322" s="111"/>
      <c r="AD322" s="111"/>
      <c r="AE322" s="111"/>
      <c r="AF322" s="111"/>
      <c r="AG322" s="111"/>
      <c r="AH322" s="111"/>
      <c r="AI322" s="111"/>
      <c r="AJ322" s="111"/>
      <c r="AK322" s="111"/>
      <c r="AL322" s="111"/>
      <c r="AM322" s="111"/>
      <c r="AN322" s="111"/>
      <c r="AQ322" s="120"/>
      <c r="AR322" s="120"/>
      <c r="AS322" s="120"/>
      <c r="AT322" s="120"/>
      <c r="AU322" s="120"/>
      <c r="AV322" s="120"/>
      <c r="AW322" s="120"/>
      <c r="AX322" s="120"/>
      <c r="AY322" s="120"/>
      <c r="AZ322" s="120"/>
      <c r="BA322" s="120">
        <v>8.6310441971004966E-3</v>
      </c>
      <c r="BB322" s="120">
        <v>1.135446241603298E-2</v>
      </c>
      <c r="BC322" s="120">
        <v>1.7622056483645E-2</v>
      </c>
      <c r="BE322" s="120">
        <v>0.21235699699007277</v>
      </c>
      <c r="BF322" s="120">
        <v>0.19944296973305381</v>
      </c>
      <c r="BG322" s="120">
        <v>0.19315868119313823</v>
      </c>
      <c r="BH322" s="120">
        <v>0.18959717316723326</v>
      </c>
      <c r="BI322" s="120">
        <v>0.18292007557883055</v>
      </c>
      <c r="BJ322" s="120">
        <v>0.17707480727621097</v>
      </c>
      <c r="BK322" s="120">
        <v>0.16892124652757781</v>
      </c>
      <c r="BL322" s="120">
        <v>0.16553804398729691</v>
      </c>
      <c r="BM322" s="120">
        <v>0.17111037552565925</v>
      </c>
      <c r="BN322" s="120">
        <v>0.177216368110828</v>
      </c>
      <c r="BO322" s="120">
        <v>0.19296218903433773</v>
      </c>
      <c r="BP322" s="120">
        <v>0.21599370129850448</v>
      </c>
      <c r="BQ322" s="120">
        <v>0.25121078034766298</v>
      </c>
    </row>
    <row r="323" spans="11:69" ht="12.75" x14ac:dyDescent="0.2">
      <c r="N323" s="153"/>
      <c r="O323" s="153"/>
      <c r="P323" s="153"/>
      <c r="Q323" s="153"/>
      <c r="R323" s="129"/>
      <c r="S323" s="153"/>
      <c r="T323" s="153"/>
      <c r="U323" s="153"/>
      <c r="V323" s="153"/>
      <c r="W323" s="153"/>
      <c r="X323" s="153"/>
      <c r="Y323" s="153"/>
      <c r="Z323" s="153"/>
      <c r="AB323" s="111"/>
      <c r="AC323" s="111"/>
      <c r="AD323" s="111"/>
      <c r="AE323" s="111"/>
      <c r="AF323" s="111"/>
      <c r="AG323" s="111"/>
      <c r="AH323" s="111"/>
      <c r="AI323" s="111"/>
      <c r="AJ323" s="111"/>
      <c r="AK323" s="111"/>
      <c r="AL323" s="111"/>
      <c r="AM323" s="111"/>
      <c r="AN323" s="111"/>
      <c r="AQ323" s="120"/>
      <c r="AR323" s="120"/>
      <c r="AS323" s="120"/>
      <c r="AT323" s="120"/>
      <c r="AU323" s="120"/>
      <c r="AV323" s="120"/>
      <c r="AW323" s="120"/>
      <c r="AX323" s="120"/>
      <c r="AY323" s="120"/>
      <c r="AZ323" s="120"/>
      <c r="BA323" s="120">
        <v>9.0974828398765317E-3</v>
      </c>
      <c r="BB323" s="120">
        <v>1.1855930198007113E-2</v>
      </c>
      <c r="BC323" s="120">
        <v>1.8319674943651987E-2</v>
      </c>
      <c r="BE323" s="120">
        <v>0.22546217089190912</v>
      </c>
      <c r="BF323" s="120">
        <v>0.20749830646999459</v>
      </c>
      <c r="BG323" s="120">
        <v>0.20545701559447846</v>
      </c>
      <c r="BH323" s="120">
        <v>0.19527046080167884</v>
      </c>
      <c r="BI323" s="120">
        <v>0.19286138161766478</v>
      </c>
      <c r="BJ323" s="120">
        <v>0.19030413364158194</v>
      </c>
      <c r="BK323" s="120">
        <v>0.18386653933201266</v>
      </c>
      <c r="BL323" s="120">
        <v>0.1793754673281476</v>
      </c>
      <c r="BM323" s="120">
        <v>0.17857875509689827</v>
      </c>
      <c r="BN323" s="120">
        <v>0.18380555010396568</v>
      </c>
      <c r="BO323" s="120">
        <v>0.19698599627236354</v>
      </c>
      <c r="BP323" s="120">
        <v>0.21931811129500747</v>
      </c>
      <c r="BQ323" s="120">
        <v>0.25609977640387399</v>
      </c>
    </row>
    <row r="324" spans="11:69" ht="12.75" x14ac:dyDescent="0.2">
      <c r="N324" s="153"/>
      <c r="O324" s="153"/>
      <c r="P324" s="153"/>
      <c r="Q324" s="153"/>
      <c r="R324" s="129"/>
      <c r="S324" s="153"/>
      <c r="T324" s="153"/>
      <c r="U324" s="153"/>
      <c r="V324" s="153"/>
      <c r="W324" s="153"/>
      <c r="X324" s="153"/>
      <c r="Y324" s="153"/>
      <c r="Z324" s="153"/>
      <c r="AB324" s="111"/>
      <c r="AC324" s="111"/>
      <c r="AD324" s="111"/>
      <c r="AE324" s="111"/>
      <c r="AF324" s="111"/>
      <c r="AG324" s="111"/>
      <c r="AH324" s="111"/>
      <c r="AI324" s="111"/>
      <c r="AJ324" s="111"/>
      <c r="AK324" s="111"/>
      <c r="AL324" s="111"/>
      <c r="AM324" s="111"/>
      <c r="AN324" s="111"/>
      <c r="AQ324" s="120"/>
      <c r="AR324" s="120"/>
      <c r="AS324" s="120"/>
      <c r="AT324" s="120"/>
      <c r="AU324" s="120"/>
      <c r="AV324" s="120"/>
      <c r="AW324" s="120"/>
      <c r="AX324" s="120"/>
      <c r="AY324" s="120"/>
      <c r="AZ324" s="120"/>
      <c r="BA324" s="120">
        <v>8.8635894659633736E-3</v>
      </c>
      <c r="BB324" s="120">
        <v>1.1468309209175125E-2</v>
      </c>
      <c r="BC324" s="120">
        <v>1.7669063560179516E-2</v>
      </c>
      <c r="BE324" s="120">
        <v>0.23441086567555161</v>
      </c>
      <c r="BF324" s="120">
        <v>0.22427702293695931</v>
      </c>
      <c r="BG324" s="120">
        <v>0.2179789326196514</v>
      </c>
      <c r="BH324" s="120">
        <v>0.21158120804575975</v>
      </c>
      <c r="BI324" s="120">
        <v>0.20400285470583576</v>
      </c>
      <c r="BJ324" s="120">
        <v>0.19669614388664894</v>
      </c>
      <c r="BK324" s="120">
        <v>0.18902576682353558</v>
      </c>
      <c r="BL324" s="120">
        <v>0.17899428796762593</v>
      </c>
      <c r="BM324" s="120">
        <v>0.17702681634162631</v>
      </c>
      <c r="BN324" s="120">
        <v>0.1769641671209205</v>
      </c>
      <c r="BO324" s="120">
        <v>0.18428913833406368</v>
      </c>
      <c r="BP324" s="120">
        <v>0.20394869262266127</v>
      </c>
      <c r="BQ324" s="120">
        <v>0.23784426019135887</v>
      </c>
    </row>
    <row r="325" spans="11:69" ht="12.75" x14ac:dyDescent="0.2">
      <c r="N325" s="153"/>
      <c r="O325" s="153"/>
      <c r="P325" s="153"/>
      <c r="Q325" s="153"/>
      <c r="R325" s="129"/>
      <c r="S325" s="153"/>
      <c r="T325" s="153"/>
      <c r="U325" s="153"/>
      <c r="V325" s="153"/>
      <c r="W325" s="153"/>
      <c r="X325" s="153"/>
      <c r="Y325" s="153"/>
      <c r="Z325" s="153"/>
      <c r="AB325" s="111"/>
      <c r="AC325" s="111"/>
      <c r="AD325" s="111"/>
      <c r="AE325" s="111"/>
      <c r="AF325" s="111"/>
      <c r="AG325" s="111"/>
      <c r="AH325" s="111"/>
      <c r="AI325" s="111"/>
      <c r="AJ325" s="111"/>
      <c r="AK325" s="111"/>
      <c r="AL325" s="111"/>
      <c r="AM325" s="111"/>
      <c r="AN325" s="111"/>
      <c r="AQ325" s="120"/>
      <c r="AR325" s="120"/>
      <c r="AS325" s="120"/>
      <c r="AT325" s="120"/>
      <c r="AU325" s="120"/>
      <c r="AV325" s="120"/>
      <c r="AW325" s="120"/>
      <c r="AX325" s="120"/>
      <c r="AY325" s="120"/>
      <c r="AZ325" s="120"/>
      <c r="BA325" s="120">
        <v>8.7104474460151949E-3</v>
      </c>
      <c r="BB325" s="120">
        <v>1.092043767032936E-2</v>
      </c>
      <c r="BC325" s="120">
        <v>1.6541101156945667E-2</v>
      </c>
      <c r="BE325" s="120">
        <v>0.25336923433517461</v>
      </c>
      <c r="BF325" s="120">
        <v>0.23538193301581503</v>
      </c>
      <c r="BG325" s="120">
        <v>0.2231652614919129</v>
      </c>
      <c r="BH325" s="120">
        <v>0.21917804284179351</v>
      </c>
      <c r="BI325" s="120">
        <v>0.21294990149116846</v>
      </c>
      <c r="BJ325" s="120">
        <v>0.20679369373298415</v>
      </c>
      <c r="BK325" s="120">
        <v>0.20047471242509787</v>
      </c>
      <c r="BL325" s="120">
        <v>0.18241545646518989</v>
      </c>
      <c r="BM325" s="120">
        <v>0.17420922357545424</v>
      </c>
      <c r="BN325" s="120">
        <v>0.17359663976237477</v>
      </c>
      <c r="BO325" s="120">
        <v>0.17543593274914471</v>
      </c>
      <c r="BP325" s="120">
        <v>0.18834542452333514</v>
      </c>
      <c r="BQ325" s="120">
        <v>0.21650140542089319</v>
      </c>
    </row>
    <row r="326" spans="11:69" ht="12.75" x14ac:dyDescent="0.2">
      <c r="N326" s="153"/>
      <c r="O326" s="153"/>
      <c r="P326" s="153"/>
      <c r="Q326" s="153"/>
      <c r="R326" s="129"/>
      <c r="S326" s="153"/>
      <c r="T326" s="153"/>
      <c r="U326" s="153"/>
      <c r="V326" s="153"/>
      <c r="W326" s="153"/>
      <c r="X326" s="153"/>
      <c r="Y326" s="153"/>
      <c r="Z326" s="153"/>
      <c r="AB326" s="111"/>
      <c r="AC326" s="111"/>
      <c r="AD326" s="111"/>
      <c r="AE326" s="111"/>
      <c r="AF326" s="111"/>
      <c r="AG326" s="111"/>
      <c r="AH326" s="111"/>
      <c r="AI326" s="111"/>
      <c r="AJ326" s="111"/>
      <c r="AK326" s="111"/>
      <c r="AL326" s="111"/>
      <c r="AM326" s="111"/>
      <c r="AN326" s="111"/>
      <c r="AQ326" s="120"/>
      <c r="AR326" s="120"/>
      <c r="AS326" s="120"/>
      <c r="AT326" s="120"/>
      <c r="AU326" s="120"/>
      <c r="AV326" s="120"/>
      <c r="AW326" s="120"/>
      <c r="AX326" s="120"/>
      <c r="AY326" s="120"/>
      <c r="AZ326" s="120"/>
      <c r="BA326" s="120">
        <v>8.4585403618864553E-3</v>
      </c>
      <c r="BB326" s="120">
        <v>1.0393948464055282E-2</v>
      </c>
      <c r="BC326" s="120">
        <v>1.5534490589954016E-2</v>
      </c>
      <c r="BE326" s="120">
        <v>0.22001789207089067</v>
      </c>
      <c r="BF326" s="120">
        <v>0.21234620129050447</v>
      </c>
      <c r="BG326" s="120">
        <v>0.20960175795077787</v>
      </c>
      <c r="BH326" s="120">
        <v>0.19992591353158554</v>
      </c>
      <c r="BI326" s="120">
        <v>0.19686352410557278</v>
      </c>
      <c r="BJ326" s="120">
        <v>0.19360777910745891</v>
      </c>
      <c r="BK326" s="120">
        <v>0.18786151850737853</v>
      </c>
      <c r="BL326" s="120">
        <v>0.17921020758716452</v>
      </c>
      <c r="BM326" s="120">
        <v>0.1680680637396004</v>
      </c>
      <c r="BN326" s="120">
        <v>0.16452550525634621</v>
      </c>
      <c r="BO326" s="120">
        <v>0.16561256597426005</v>
      </c>
      <c r="BP326" s="120">
        <v>0.17446900120095798</v>
      </c>
      <c r="BQ326" s="120">
        <v>0.19826197690848005</v>
      </c>
    </row>
    <row r="327" spans="11:69" ht="12.75" x14ac:dyDescent="0.2">
      <c r="N327" s="153"/>
      <c r="O327" s="153"/>
      <c r="P327" s="153"/>
      <c r="Q327" s="153"/>
      <c r="R327" s="129"/>
      <c r="S327" s="153"/>
      <c r="T327" s="153"/>
      <c r="U327" s="153"/>
      <c r="V327" s="153"/>
      <c r="W327" s="153"/>
      <c r="X327" s="153"/>
      <c r="Y327" s="153"/>
      <c r="Z327" s="153"/>
      <c r="AB327" s="111"/>
      <c r="AC327" s="111"/>
      <c r="AD327" s="111"/>
      <c r="AE327" s="111"/>
      <c r="AF327" s="111"/>
      <c r="AG327" s="111"/>
      <c r="AH327" s="111"/>
      <c r="AI327" s="111"/>
      <c r="AJ327" s="111"/>
      <c r="AK327" s="111"/>
      <c r="AL327" s="111"/>
      <c r="AM327" s="111"/>
      <c r="AN327" s="111"/>
      <c r="AQ327" s="120"/>
      <c r="AR327" s="120"/>
      <c r="AS327" s="120"/>
      <c r="AT327" s="120"/>
      <c r="AU327" s="120"/>
      <c r="AV327" s="120"/>
      <c r="AW327" s="120"/>
      <c r="AX327" s="120"/>
      <c r="AY327" s="120"/>
      <c r="AZ327" s="120"/>
      <c r="BA327" s="120">
        <v>8.4436522889256797E-3</v>
      </c>
      <c r="BB327" s="120">
        <v>1.0227583093628425E-2</v>
      </c>
      <c r="BC327" s="120">
        <v>1.5421478664261627E-2</v>
      </c>
      <c r="BE327" s="120">
        <v>0.2329507087259273</v>
      </c>
      <c r="BF327" s="120">
        <v>0.22064070426931934</v>
      </c>
      <c r="BG327" s="120">
        <v>0.21360406487660169</v>
      </c>
      <c r="BH327" s="120">
        <v>0.21111621742126035</v>
      </c>
      <c r="BI327" s="120">
        <v>0.20945948459668245</v>
      </c>
      <c r="BJ327" s="120">
        <v>0.20771292823946161</v>
      </c>
      <c r="BK327" s="120">
        <v>0.19129415994315341</v>
      </c>
      <c r="BL327" s="120">
        <v>0.17493893789400203</v>
      </c>
      <c r="BM327" s="120">
        <v>0.17010467348311067</v>
      </c>
      <c r="BN327" s="120">
        <v>0.16269575701434319</v>
      </c>
      <c r="BO327" s="120">
        <v>0.16225248257403646</v>
      </c>
      <c r="BP327" s="120">
        <v>0.16864246261016408</v>
      </c>
      <c r="BQ327" s="120">
        <v>0.19384005533149873</v>
      </c>
    </row>
    <row r="328" spans="11:69" ht="12.75" x14ac:dyDescent="0.2">
      <c r="N328" s="153"/>
      <c r="O328" s="153"/>
      <c r="P328" s="153"/>
      <c r="Q328" s="153"/>
      <c r="R328" s="129"/>
      <c r="S328" s="153"/>
      <c r="T328" s="153"/>
      <c r="U328" s="153"/>
      <c r="V328" s="153"/>
      <c r="W328" s="153"/>
      <c r="X328" s="153"/>
      <c r="Y328" s="153"/>
      <c r="Z328" s="153"/>
      <c r="AB328" s="111"/>
      <c r="AC328" s="111"/>
      <c r="AD328" s="111"/>
      <c r="AE328" s="111"/>
      <c r="AF328" s="111"/>
      <c r="AG328" s="111"/>
      <c r="AH328" s="111"/>
      <c r="AI328" s="111"/>
      <c r="AJ328" s="111"/>
      <c r="AK328" s="111"/>
      <c r="AL328" s="111"/>
      <c r="AM328" s="111"/>
      <c r="AN328" s="111"/>
      <c r="AQ328" s="120"/>
      <c r="AR328" s="120"/>
      <c r="AS328" s="120"/>
      <c r="AT328" s="120"/>
      <c r="AU328" s="120"/>
      <c r="AV328" s="120"/>
      <c r="AW328" s="120"/>
      <c r="AX328" s="120"/>
      <c r="AY328" s="120"/>
      <c r="AZ328" s="120"/>
      <c r="BA328" s="120">
        <v>8.0264695187588705E-3</v>
      </c>
      <c r="BB328" s="120">
        <v>9.7350575140839907E-3</v>
      </c>
      <c r="BC328" s="120">
        <v>1.3736342061830114E-2</v>
      </c>
      <c r="BE328" s="120">
        <v>0.22612893195511855</v>
      </c>
      <c r="BF328" s="120">
        <v>0.20812689016513661</v>
      </c>
      <c r="BG328" s="120">
        <v>0.20250748038275987</v>
      </c>
      <c r="BH328" s="120">
        <v>0.19786177927082463</v>
      </c>
      <c r="BI328" s="120">
        <v>0.19151191295264544</v>
      </c>
      <c r="BJ328" s="120">
        <v>0.18525873959258377</v>
      </c>
      <c r="BK328" s="120">
        <v>0.18624121962209514</v>
      </c>
      <c r="BL328" s="120">
        <v>0.17635152607621829</v>
      </c>
      <c r="BM328" s="120">
        <v>0.16707267768491424</v>
      </c>
      <c r="BN328" s="120">
        <v>0.16262587428542641</v>
      </c>
      <c r="BO328" s="120">
        <v>0.15243721407567859</v>
      </c>
      <c r="BP328" s="120">
        <v>0.15874409499108361</v>
      </c>
      <c r="BQ328" s="120">
        <v>0.17045455739234783</v>
      </c>
    </row>
    <row r="329" spans="11:69" ht="12.75" x14ac:dyDescent="0.2">
      <c r="N329" s="153"/>
      <c r="O329" s="141"/>
      <c r="P329" s="153"/>
      <c r="Q329" s="153"/>
      <c r="R329" s="129"/>
      <c r="S329" s="153"/>
      <c r="T329" s="153"/>
      <c r="U329" s="153"/>
      <c r="V329" s="153"/>
      <c r="W329" s="153"/>
      <c r="X329" s="153"/>
      <c r="Y329" s="153"/>
      <c r="Z329" s="153"/>
      <c r="AB329" s="111"/>
      <c r="AC329" s="111"/>
      <c r="AD329" s="111"/>
      <c r="AE329" s="111"/>
      <c r="AF329" s="111"/>
      <c r="AG329" s="111"/>
      <c r="AH329" s="111"/>
      <c r="AI329" s="111"/>
      <c r="AJ329" s="111"/>
      <c r="AK329" s="111"/>
      <c r="AL329" s="111"/>
      <c r="AM329" s="111"/>
      <c r="AN329" s="111"/>
      <c r="AQ329" s="120"/>
      <c r="AR329" s="120"/>
      <c r="AS329" s="120"/>
      <c r="AT329" s="120"/>
      <c r="AU329" s="120"/>
      <c r="AV329" s="120"/>
      <c r="AW329" s="120"/>
      <c r="AX329" s="120"/>
      <c r="AY329" s="120"/>
      <c r="AZ329" s="120"/>
      <c r="BA329" s="120">
        <v>7.8364719977451862E-3</v>
      </c>
      <c r="BB329" s="120">
        <v>8.7897640660258014E-3</v>
      </c>
      <c r="BC329" s="120">
        <v>1.1997505368689701E-2</v>
      </c>
      <c r="BE329" s="120">
        <v>0.2113059815123785</v>
      </c>
      <c r="BF329" s="120">
        <v>0.2001200720378834</v>
      </c>
      <c r="BG329" s="120">
        <v>0.2001351958637127</v>
      </c>
      <c r="BH329" s="120">
        <v>0.19590907879893657</v>
      </c>
      <c r="BI329" s="120">
        <v>0.19249590364663255</v>
      </c>
      <c r="BJ329" s="120">
        <v>0.18914568491043626</v>
      </c>
      <c r="BK329" s="120">
        <v>0.17648901117669694</v>
      </c>
      <c r="BL329" s="120">
        <v>0.16631697018490979</v>
      </c>
      <c r="BM329" s="120">
        <v>0.16034896623423375</v>
      </c>
      <c r="BN329" s="120">
        <v>0.1505872202330289</v>
      </c>
      <c r="BO329" s="120">
        <v>0.146035378845807</v>
      </c>
      <c r="BP329" s="120">
        <v>0.14048953971857317</v>
      </c>
      <c r="BQ329" s="120">
        <v>0.14616569261156301</v>
      </c>
    </row>
    <row r="330" spans="11:69" ht="12.75" x14ac:dyDescent="0.2">
      <c r="N330" s="153"/>
      <c r="O330" s="153"/>
      <c r="P330" s="153"/>
      <c r="Q330" s="153"/>
      <c r="R330" s="129"/>
      <c r="S330" s="153"/>
      <c r="T330" s="153"/>
      <c r="U330" s="153"/>
      <c r="V330" s="153"/>
      <c r="W330" s="153"/>
      <c r="X330" s="153"/>
      <c r="Y330" s="153"/>
      <c r="Z330" s="153"/>
      <c r="AB330" s="111"/>
      <c r="AC330" s="111"/>
      <c r="AD330" s="111"/>
      <c r="AE330" s="111"/>
      <c r="AF330" s="111"/>
      <c r="AG330" s="111"/>
      <c r="AH330" s="111"/>
      <c r="AI330" s="111"/>
      <c r="AJ330" s="111"/>
      <c r="AK330" s="111"/>
      <c r="AL330" s="111"/>
      <c r="AM330" s="111"/>
      <c r="AN330" s="111"/>
      <c r="AQ330" s="120"/>
      <c r="AR330" s="120"/>
      <c r="AS330" s="120"/>
      <c r="AT330" s="120"/>
      <c r="AU330" s="120"/>
      <c r="AV330" s="120"/>
      <c r="AW330" s="120"/>
      <c r="AX330" s="120"/>
      <c r="AY330" s="120"/>
      <c r="AZ330" s="120"/>
      <c r="BA330" s="120">
        <v>7.5222213469420783E-3</v>
      </c>
      <c r="BB330" s="120">
        <v>8.3633877693298705E-3</v>
      </c>
      <c r="BC330" s="120">
        <v>1.0500337529183964E-2</v>
      </c>
      <c r="BE330" s="120">
        <v>0.18798442576600682</v>
      </c>
      <c r="BF330" s="120">
        <v>0.18784192923517712</v>
      </c>
      <c r="BG330" s="120">
        <v>0.17968243315094004</v>
      </c>
      <c r="BH330" s="120">
        <v>0.1761975317895858</v>
      </c>
      <c r="BI330" s="120">
        <v>0.17155871911980664</v>
      </c>
      <c r="BJ330" s="120">
        <v>0.16690391018548628</v>
      </c>
      <c r="BK330" s="120">
        <v>0.16974535668647692</v>
      </c>
      <c r="BL330" s="120">
        <v>0.16059406882911278</v>
      </c>
      <c r="BM330" s="120">
        <v>0.15234715371276086</v>
      </c>
      <c r="BN330" s="120">
        <v>0.1489153219736537</v>
      </c>
      <c r="BO330" s="120">
        <v>0.14078137650093833</v>
      </c>
      <c r="BP330" s="120">
        <v>0.13431035468456548</v>
      </c>
      <c r="BQ330" s="120">
        <v>0.12830758721361651</v>
      </c>
    </row>
    <row r="331" spans="11:69" ht="12.75" x14ac:dyDescent="0.2">
      <c r="N331" s="153"/>
      <c r="O331" s="153"/>
      <c r="P331" s="153"/>
      <c r="Q331" s="153"/>
      <c r="R331" s="129"/>
      <c r="S331" s="153"/>
      <c r="T331" s="153"/>
      <c r="U331" s="153"/>
      <c r="V331" s="153"/>
      <c r="W331" s="153"/>
      <c r="X331" s="153"/>
      <c r="Y331" s="153"/>
      <c r="Z331" s="153"/>
      <c r="AB331" s="111"/>
      <c r="AC331" s="111"/>
      <c r="AD331" s="111"/>
      <c r="AE331" s="111"/>
      <c r="AF331" s="111"/>
      <c r="AG331" s="111"/>
      <c r="AH331" s="111"/>
      <c r="AI331" s="111"/>
      <c r="AJ331" s="111"/>
      <c r="AK331" s="111"/>
      <c r="AL331" s="111"/>
      <c r="AM331" s="111"/>
      <c r="AN331" s="111"/>
      <c r="AQ331" s="120"/>
      <c r="AR331" s="120"/>
      <c r="AS331" s="120"/>
      <c r="AT331" s="120"/>
      <c r="AU331" s="120"/>
      <c r="AV331" s="120"/>
      <c r="AW331" s="120"/>
      <c r="AX331" s="120"/>
      <c r="AY331" s="120"/>
      <c r="AZ331" s="120"/>
      <c r="BA331" s="120">
        <v>7.1758584117012723E-3</v>
      </c>
      <c r="BB331" s="120">
        <v>7.6696006497171685E-3</v>
      </c>
      <c r="BC331" s="120">
        <v>9.5200243784429907E-3</v>
      </c>
      <c r="BE331" s="120">
        <v>0.19332017057493056</v>
      </c>
      <c r="BF331" s="120">
        <v>0.18512015582200242</v>
      </c>
      <c r="BG331" s="120">
        <v>0.18240657263761012</v>
      </c>
      <c r="BH331" s="120">
        <v>0.18319402609453125</v>
      </c>
      <c r="BI331" s="120">
        <v>0.181448320881296</v>
      </c>
      <c r="BJ331" s="120">
        <v>0.17976801217449678</v>
      </c>
      <c r="BK331" s="120">
        <v>0.16510877141911773</v>
      </c>
      <c r="BL331" s="120">
        <v>0.15848256014485007</v>
      </c>
      <c r="BM331" s="120">
        <v>0.15490878808566177</v>
      </c>
      <c r="BN331" s="120">
        <v>0.14930573533379671</v>
      </c>
      <c r="BO331" s="120">
        <v>0.1389686117770107</v>
      </c>
      <c r="BP331" s="120">
        <v>0.12703662571691873</v>
      </c>
      <c r="BQ331" s="120">
        <v>0.11957999551171133</v>
      </c>
    </row>
    <row r="332" spans="11:69" ht="12.75" x14ac:dyDescent="0.2">
      <c r="N332" s="153"/>
      <c r="O332" s="153"/>
      <c r="P332" s="153"/>
      <c r="Q332" s="153"/>
      <c r="R332" s="129"/>
      <c r="S332" s="153"/>
      <c r="T332" s="153"/>
      <c r="U332" s="153"/>
      <c r="V332" s="153"/>
      <c r="W332" s="153"/>
      <c r="X332" s="153"/>
      <c r="Y332" s="153"/>
      <c r="Z332" s="153"/>
      <c r="AB332" s="111"/>
      <c r="AC332" s="111"/>
      <c r="AD332" s="111"/>
      <c r="AE332" s="111"/>
      <c r="AF332" s="111"/>
      <c r="AG332" s="111"/>
      <c r="AH332" s="111"/>
      <c r="AI332" s="111"/>
      <c r="AJ332" s="111"/>
      <c r="AK332" s="111"/>
      <c r="AL332" s="111"/>
      <c r="AM332" s="111"/>
      <c r="AN332" s="111"/>
      <c r="AQ332" s="120"/>
      <c r="AR332" s="120"/>
      <c r="AS332" s="120"/>
      <c r="AT332" s="120"/>
      <c r="AU332" s="120"/>
      <c r="AV332" s="120"/>
      <c r="AW332" s="120"/>
      <c r="AX332" s="120"/>
      <c r="AY332" s="120"/>
      <c r="AZ332" s="120"/>
      <c r="BA332" s="120">
        <v>7.2158526822288811E-3</v>
      </c>
      <c r="BB332" s="120">
        <v>8.1172466229790588E-3</v>
      </c>
      <c r="BC332" s="120">
        <v>9.6829985137940507E-3</v>
      </c>
      <c r="BE332" s="120">
        <v>0.19337258089910084</v>
      </c>
      <c r="BF332" s="120">
        <v>0.18132290194410994</v>
      </c>
      <c r="BG332" s="120">
        <v>0.18761866593611426</v>
      </c>
      <c r="BH332" s="120">
        <v>0.17474310012863928</v>
      </c>
      <c r="BI332" s="120">
        <v>0.1740248414617169</v>
      </c>
      <c r="BJ332" s="120">
        <v>0.17332450568361116</v>
      </c>
      <c r="BK332" s="120">
        <v>0.17610988028747748</v>
      </c>
      <c r="BL332" s="120">
        <v>0.16700924104195602</v>
      </c>
      <c r="BM332" s="120">
        <v>0.15223817717876739</v>
      </c>
      <c r="BN332" s="120">
        <v>0.1479588047605371</v>
      </c>
      <c r="BO332" s="120">
        <v>0.14432187283523099</v>
      </c>
      <c r="BP332" s="120">
        <v>0.13867842739653077</v>
      </c>
      <c r="BQ332" s="120">
        <v>0.1249724295721177</v>
      </c>
    </row>
    <row r="333" spans="11:69" ht="12.75" x14ac:dyDescent="0.2">
      <c r="N333" s="153"/>
      <c r="O333" s="153"/>
      <c r="P333" s="153"/>
      <c r="Q333" s="153"/>
      <c r="R333" s="129"/>
      <c r="S333" s="153"/>
      <c r="T333" s="153"/>
      <c r="U333" s="153"/>
      <c r="V333" s="153"/>
      <c r="W333" s="153"/>
      <c r="X333" s="153"/>
      <c r="Y333" s="153"/>
      <c r="Z333" s="153"/>
      <c r="AB333" s="111"/>
      <c r="AC333" s="111"/>
      <c r="AD333" s="111"/>
      <c r="AE333" s="111"/>
      <c r="AF333" s="111"/>
      <c r="AG333" s="111"/>
      <c r="AH333" s="111"/>
      <c r="AI333" s="111"/>
      <c r="AJ333" s="111"/>
      <c r="AK333" s="111"/>
      <c r="AL333" s="111"/>
      <c r="AM333" s="111"/>
      <c r="AN333" s="111"/>
      <c r="AQ333" s="120"/>
      <c r="AR333" s="120"/>
      <c r="AS333" s="120"/>
      <c r="AT333" s="120"/>
      <c r="AU333" s="120"/>
      <c r="AV333" s="120"/>
      <c r="AW333" s="120"/>
      <c r="AX333" s="120"/>
      <c r="AY333" s="120"/>
      <c r="AZ333" s="120"/>
      <c r="BA333" s="120">
        <v>6.981546441553515E-3</v>
      </c>
      <c r="BB333" s="120">
        <v>6.9244202891369649E-3</v>
      </c>
      <c r="BC333" s="120">
        <v>9.1517879324681424E-3</v>
      </c>
      <c r="BE333" s="120">
        <v>0.18346021718378952</v>
      </c>
      <c r="BF333" s="120">
        <v>0.18253726814448637</v>
      </c>
      <c r="BG333" s="120">
        <v>0.17175206033071461</v>
      </c>
      <c r="BH333" s="120">
        <v>0.17479714845739455</v>
      </c>
      <c r="BI333" s="120">
        <v>0.17068714789510581</v>
      </c>
      <c r="BJ333" s="120">
        <v>0.16659633699065302</v>
      </c>
      <c r="BK333" s="120">
        <v>0.15509456244966885</v>
      </c>
      <c r="BL333" s="120">
        <v>0.14783781228196541</v>
      </c>
      <c r="BM333" s="120">
        <v>0.15586902817796303</v>
      </c>
      <c r="BN333" s="120">
        <v>0.15037938691506131</v>
      </c>
      <c r="BO333" s="120">
        <v>0.14097924616159882</v>
      </c>
      <c r="BP333" s="120">
        <v>0.11894687386011923</v>
      </c>
      <c r="BQ333" s="120">
        <v>0.11902620483737726</v>
      </c>
    </row>
    <row r="335" spans="11:69" x14ac:dyDescent="0.2">
      <c r="S335" s="126"/>
      <c r="T335" s="126"/>
      <c r="U335" s="126"/>
      <c r="V335" s="126"/>
      <c r="W335" s="126"/>
      <c r="X335" s="126"/>
      <c r="Y335" s="126"/>
      <c r="Z335" s="126"/>
      <c r="AQ335" s="106"/>
    </row>
    <row r="336" spans="11:69" ht="12.75" x14ac:dyDescent="0.2">
      <c r="K336" s="105"/>
      <c r="N336" s="153"/>
      <c r="O336" s="153"/>
      <c r="P336" s="153"/>
      <c r="Q336" s="153"/>
      <c r="R336" s="129"/>
      <c r="S336" s="141"/>
      <c r="T336" s="153"/>
      <c r="U336" s="153"/>
      <c r="V336" s="153"/>
      <c r="W336" s="153"/>
      <c r="X336" s="153"/>
      <c r="Y336" s="153"/>
      <c r="Z336" s="153"/>
      <c r="AB336" s="111"/>
      <c r="AC336" s="111"/>
      <c r="AD336" s="111"/>
      <c r="AE336" s="111"/>
      <c r="AF336" s="111"/>
      <c r="AG336" s="111"/>
      <c r="AH336" s="111"/>
      <c r="AI336" s="111"/>
      <c r="AJ336" s="111"/>
      <c r="AK336" s="111"/>
      <c r="AL336" s="111"/>
      <c r="AM336" s="111"/>
      <c r="AN336" s="111"/>
      <c r="AQ336" s="120"/>
      <c r="AR336" s="120"/>
      <c r="AS336" s="120"/>
      <c r="AT336" s="120"/>
      <c r="AU336" s="120"/>
      <c r="AV336" s="120"/>
      <c r="AW336" s="120"/>
      <c r="AX336" s="120"/>
      <c r="AY336" s="120"/>
      <c r="AZ336" s="120"/>
      <c r="BA336" s="120">
        <v>1.2603770760071806E-2</v>
      </c>
      <c r="BB336" s="120">
        <v>1.8540947091281117E-2</v>
      </c>
      <c r="BC336" s="120">
        <v>3.3038744038950879E-2</v>
      </c>
      <c r="BE336" s="120">
        <v>9.7038214578060958E-2</v>
      </c>
      <c r="BF336" s="120">
        <v>6.8461131222058311E-2</v>
      </c>
      <c r="BG336" s="120">
        <v>7.6022597172010833E-2</v>
      </c>
      <c r="BH336" s="120">
        <v>9.0997793848607469E-2</v>
      </c>
      <c r="BI336" s="120">
        <v>0.10453341521524867</v>
      </c>
      <c r="BJ336" s="120">
        <v>0.11801330904874067</v>
      </c>
      <c r="BK336" s="120">
        <v>0.14401787149806156</v>
      </c>
      <c r="BL336" s="120">
        <v>0.18773568086849945</v>
      </c>
      <c r="BM336" s="120">
        <v>0.22398012076746218</v>
      </c>
      <c r="BN336" s="120">
        <v>0.25406500897255396</v>
      </c>
      <c r="BO336" s="120">
        <v>0.30563377486791249</v>
      </c>
      <c r="BP336" s="120">
        <v>0.38183015817547361</v>
      </c>
      <c r="BQ336" s="120">
        <v>0.50618836360405706</v>
      </c>
    </row>
    <row r="337" spans="14:69" ht="12.75" x14ac:dyDescent="0.2">
      <c r="N337" s="153"/>
      <c r="O337" s="141"/>
      <c r="P337" s="153"/>
      <c r="Q337" s="153"/>
      <c r="R337" s="129"/>
      <c r="S337" s="153"/>
      <c r="T337" s="153"/>
      <c r="U337" s="153"/>
      <c r="V337" s="153"/>
      <c r="W337" s="153"/>
      <c r="X337" s="153"/>
      <c r="Y337" s="153"/>
      <c r="Z337" s="153"/>
      <c r="AB337" s="111"/>
      <c r="AC337" s="111"/>
      <c r="AD337" s="111"/>
      <c r="AE337" s="111"/>
      <c r="AF337" s="111"/>
      <c r="AG337" s="111"/>
      <c r="AH337" s="111"/>
      <c r="AI337" s="111"/>
      <c r="AJ337" s="111"/>
      <c r="AK337" s="111"/>
      <c r="AL337" s="111"/>
      <c r="AM337" s="111"/>
      <c r="AN337" s="111"/>
      <c r="AQ337" s="120"/>
      <c r="AR337" s="120"/>
      <c r="AS337" s="120"/>
      <c r="AT337" s="120"/>
      <c r="AU337" s="120"/>
      <c r="AV337" s="120"/>
      <c r="AW337" s="120"/>
      <c r="AX337" s="120"/>
      <c r="AY337" s="120"/>
      <c r="AZ337" s="120"/>
      <c r="BA337" s="120">
        <v>1.1214655493798679E-2</v>
      </c>
      <c r="BB337" s="120">
        <v>1.5887235807695781E-2</v>
      </c>
      <c r="BC337" s="120">
        <v>2.6260733592180716E-2</v>
      </c>
      <c r="BE337" s="120">
        <v>0.13184920301797748</v>
      </c>
      <c r="BF337" s="120">
        <v>0.12221351660279893</v>
      </c>
      <c r="BG337" s="120">
        <v>0.11462802415741323</v>
      </c>
      <c r="BH337" s="120">
        <v>0.11863792220572106</v>
      </c>
      <c r="BI337" s="120">
        <v>0.12506332382820071</v>
      </c>
      <c r="BJ337" s="120">
        <v>0.13271183188899163</v>
      </c>
      <c r="BK337" s="120">
        <v>0.15016492010662674</v>
      </c>
      <c r="BL337" s="120">
        <v>0.1823140152244607</v>
      </c>
      <c r="BM337" s="120">
        <v>0.20857128390107116</v>
      </c>
      <c r="BN337" s="120">
        <v>0.23205629387992366</v>
      </c>
      <c r="BO337" s="120">
        <v>0.27000367587325796</v>
      </c>
      <c r="BP337" s="120">
        <v>0.3248036084785727</v>
      </c>
      <c r="BQ337" s="120">
        <v>0.40300851518119568</v>
      </c>
    </row>
    <row r="338" spans="14:69" ht="12.75" x14ac:dyDescent="0.2">
      <c r="N338" s="153"/>
      <c r="O338" s="153"/>
      <c r="P338" s="153"/>
      <c r="Q338" s="153"/>
      <c r="R338" s="129"/>
      <c r="S338" s="153"/>
      <c r="T338" s="153"/>
      <c r="U338" s="153"/>
      <c r="V338" s="153"/>
      <c r="W338" s="153"/>
      <c r="X338" s="153"/>
      <c r="Y338" s="153"/>
      <c r="Z338" s="153"/>
      <c r="AB338" s="111"/>
      <c r="AC338" s="111"/>
      <c r="AD338" s="111"/>
      <c r="AE338" s="111"/>
      <c r="AF338" s="111"/>
      <c r="AG338" s="111"/>
      <c r="AH338" s="111"/>
      <c r="AI338" s="111"/>
      <c r="AJ338" s="111"/>
      <c r="AK338" s="111"/>
      <c r="AL338" s="111"/>
      <c r="AM338" s="111"/>
      <c r="AN338" s="111"/>
      <c r="AQ338" s="120"/>
      <c r="AR338" s="120"/>
      <c r="AS338" s="120"/>
      <c r="AT338" s="120"/>
      <c r="AU338" s="120"/>
      <c r="AV338" s="120"/>
      <c r="AW338" s="120"/>
      <c r="AX338" s="120"/>
      <c r="AY338" s="120"/>
      <c r="AZ338" s="120"/>
      <c r="BA338" s="120">
        <v>9.5792621222983831E-3</v>
      </c>
      <c r="BB338" s="120">
        <v>1.3290476648160148E-2</v>
      </c>
      <c r="BC338" s="120">
        <v>2.1721303047946217E-2</v>
      </c>
      <c r="BE338" s="120">
        <v>0.14500279883473896</v>
      </c>
      <c r="BF338" s="120">
        <v>0.12099984766990957</v>
      </c>
      <c r="BG338" s="120">
        <v>0.11475688150988357</v>
      </c>
      <c r="BH338" s="120">
        <v>0.11499995289653783</v>
      </c>
      <c r="BI338" s="120">
        <v>0.12050000580377547</v>
      </c>
      <c r="BJ338" s="120">
        <v>0.12599953029757172</v>
      </c>
      <c r="BK338" s="120">
        <v>0.13699873273614707</v>
      </c>
      <c r="BL338" s="120">
        <v>0.15900515317720781</v>
      </c>
      <c r="BM338" s="120">
        <v>0.17799972313084797</v>
      </c>
      <c r="BN338" s="120">
        <v>0.19499973379606045</v>
      </c>
      <c r="BO338" s="120">
        <v>0.22299856416607106</v>
      </c>
      <c r="BP338" s="120">
        <v>0.26299883083174397</v>
      </c>
      <c r="BQ338" s="120">
        <v>0.32212680287641121</v>
      </c>
    </row>
    <row r="339" spans="14:69" ht="12.75" x14ac:dyDescent="0.2">
      <c r="N339" s="153"/>
      <c r="O339" s="153"/>
      <c r="P339" s="153"/>
      <c r="Q339" s="153"/>
      <c r="R339" s="129"/>
      <c r="S339" s="153"/>
      <c r="T339" s="153"/>
      <c r="U339" s="153"/>
      <c r="V339" s="153"/>
      <c r="W339" s="153"/>
      <c r="X339" s="153"/>
      <c r="Y339" s="153"/>
      <c r="Z339" s="153"/>
      <c r="AB339" s="111"/>
      <c r="AC339" s="111"/>
      <c r="AD339" s="111"/>
      <c r="AE339" s="111"/>
      <c r="AF339" s="111"/>
      <c r="AG339" s="111"/>
      <c r="AH339" s="111"/>
      <c r="AI339" s="111"/>
      <c r="AJ339" s="111"/>
      <c r="AK339" s="111"/>
      <c r="AL339" s="111"/>
      <c r="AM339" s="111"/>
      <c r="AN339" s="111"/>
      <c r="AQ339" s="120"/>
      <c r="AR339" s="120"/>
      <c r="AS339" s="120"/>
      <c r="AT339" s="120"/>
      <c r="AU339" s="120"/>
      <c r="AV339" s="120"/>
      <c r="AW339" s="120"/>
      <c r="AX339" s="120"/>
      <c r="AY339" s="120"/>
      <c r="AZ339" s="120"/>
      <c r="BA339" s="120">
        <v>8.4877148211793766E-3</v>
      </c>
      <c r="BB339" s="120">
        <v>1.1070564846359994E-2</v>
      </c>
      <c r="BC339" s="120">
        <v>1.7031436300819162E-2</v>
      </c>
      <c r="BE339" s="120">
        <v>0.203789889913536</v>
      </c>
      <c r="BF339" s="120">
        <v>0.19535021148744486</v>
      </c>
      <c r="BG339" s="120">
        <v>0.18952538896283627</v>
      </c>
      <c r="BH339" s="120">
        <v>0.18642202742948291</v>
      </c>
      <c r="BI339" s="120">
        <v>0.17938819826200392</v>
      </c>
      <c r="BJ339" s="120">
        <v>0.1733349933006588</v>
      </c>
      <c r="BK339" s="120">
        <v>0.16813031701206688</v>
      </c>
      <c r="BL339" s="120">
        <v>0.16556199934124002</v>
      </c>
      <c r="BM339" s="120">
        <v>0.17001158031756411</v>
      </c>
      <c r="BN339" s="120">
        <v>0.17604627344180154</v>
      </c>
      <c r="BO339" s="120">
        <v>0.18890103888156445</v>
      </c>
      <c r="BP339" s="120">
        <v>0.2094982418219572</v>
      </c>
      <c r="BQ339" s="120">
        <v>0.24143330729330781</v>
      </c>
    </row>
    <row r="340" spans="14:69" ht="12.75" x14ac:dyDescent="0.2">
      <c r="N340" s="141"/>
      <c r="O340" s="141"/>
      <c r="P340" s="153"/>
      <c r="Q340" s="153"/>
      <c r="R340" s="129"/>
      <c r="S340" s="153"/>
      <c r="T340" s="153"/>
      <c r="U340" s="153"/>
      <c r="V340" s="153"/>
      <c r="W340" s="153"/>
      <c r="X340" s="153"/>
      <c r="Y340" s="153"/>
      <c r="Z340" s="153"/>
      <c r="AB340" s="111"/>
      <c r="AC340" s="111"/>
      <c r="AD340" s="111"/>
      <c r="AE340" s="111"/>
      <c r="AF340" s="111"/>
      <c r="AG340" s="111"/>
      <c r="AH340" s="111"/>
      <c r="AI340" s="111"/>
      <c r="AJ340" s="111"/>
      <c r="AK340" s="111"/>
      <c r="AL340" s="111"/>
      <c r="AM340" s="111"/>
      <c r="AN340" s="111"/>
      <c r="AQ340" s="120"/>
      <c r="AR340" s="120"/>
      <c r="AS340" s="120"/>
      <c r="AT340" s="120"/>
      <c r="AU340" s="120"/>
      <c r="AV340" s="120"/>
      <c r="AW340" s="120"/>
      <c r="AX340" s="120"/>
      <c r="AY340" s="120"/>
      <c r="AZ340" s="120"/>
      <c r="BA340" s="120">
        <v>9.1214059732837652E-3</v>
      </c>
      <c r="BB340" s="120">
        <v>1.1937012355915084E-2</v>
      </c>
      <c r="BC340" s="120">
        <v>1.8438705306088279E-2</v>
      </c>
      <c r="BE340" s="120">
        <v>0.23827654379835836</v>
      </c>
      <c r="BF340" s="120">
        <v>0.21466335128820171</v>
      </c>
      <c r="BG340" s="120">
        <v>0.19994789260271909</v>
      </c>
      <c r="BH340" s="120">
        <v>0.19428414688485224</v>
      </c>
      <c r="BI340" s="120">
        <v>0.19073568399378169</v>
      </c>
      <c r="BJ340" s="120">
        <v>0.18710164034527549</v>
      </c>
      <c r="BK340" s="120">
        <v>0.18139894424608186</v>
      </c>
      <c r="BL340" s="120">
        <v>0.17828006537674049</v>
      </c>
      <c r="BM340" s="120">
        <v>0.17781960494621279</v>
      </c>
      <c r="BN340" s="120">
        <v>0.18308298621039337</v>
      </c>
      <c r="BO340" s="120">
        <v>0.19797207907207104</v>
      </c>
      <c r="BP340" s="120">
        <v>0.22140160776395446</v>
      </c>
      <c r="BQ340" s="120">
        <v>0.2583389850943093</v>
      </c>
    </row>
    <row r="341" spans="14:69" ht="12.75" x14ac:dyDescent="0.2">
      <c r="N341" s="153"/>
      <c r="O341" s="153"/>
      <c r="P341" s="153"/>
      <c r="Q341" s="153"/>
      <c r="R341" s="129"/>
      <c r="S341" s="153"/>
      <c r="T341" s="153"/>
      <c r="U341" s="153"/>
      <c r="V341" s="153"/>
      <c r="W341" s="153"/>
      <c r="X341" s="153"/>
      <c r="Y341" s="153"/>
      <c r="Z341" s="153"/>
      <c r="AB341" s="111"/>
      <c r="AC341" s="111"/>
      <c r="AD341" s="111"/>
      <c r="AE341" s="111"/>
      <c r="AF341" s="111"/>
      <c r="AG341" s="111"/>
      <c r="AH341" s="111"/>
      <c r="AI341" s="111"/>
      <c r="AJ341" s="111"/>
      <c r="AK341" s="111"/>
      <c r="AL341" s="111"/>
      <c r="AM341" s="111"/>
      <c r="AN341" s="111"/>
      <c r="AQ341" s="120"/>
      <c r="AR341" s="120"/>
      <c r="AS341" s="120"/>
      <c r="AT341" s="120"/>
      <c r="AU341" s="120"/>
      <c r="AV341" s="120"/>
      <c r="AW341" s="120"/>
      <c r="AX341" s="120"/>
      <c r="AY341" s="120"/>
      <c r="AZ341" s="120"/>
      <c r="BA341" s="120">
        <v>8.7209089699639072E-3</v>
      </c>
      <c r="BB341" s="120">
        <v>1.1300833072120523E-2</v>
      </c>
      <c r="BC341" s="120">
        <v>1.7469592188448044E-2</v>
      </c>
      <c r="BE341" s="120">
        <v>0.21460001102383822</v>
      </c>
      <c r="BF341" s="120">
        <v>0.21127771598428285</v>
      </c>
      <c r="BG341" s="120">
        <v>0.21604518884156554</v>
      </c>
      <c r="BH341" s="120">
        <v>0.20963675371398488</v>
      </c>
      <c r="BI341" s="120">
        <v>0.20247902900122955</v>
      </c>
      <c r="BJ341" s="120">
        <v>0.19549640596987741</v>
      </c>
      <c r="BK341" s="120">
        <v>0.18885568297197219</v>
      </c>
      <c r="BL341" s="120">
        <v>0.17577274150706995</v>
      </c>
      <c r="BM341" s="120">
        <v>0.17407468613267943</v>
      </c>
      <c r="BN341" s="120">
        <v>0.17420391059360624</v>
      </c>
      <c r="BO341" s="120">
        <v>0.18119916324250915</v>
      </c>
      <c r="BP341" s="120">
        <v>0.20077525221216702</v>
      </c>
      <c r="BQ341" s="120">
        <v>0.23494636105670552</v>
      </c>
    </row>
    <row r="342" spans="14:69" ht="12.75" x14ac:dyDescent="0.2">
      <c r="N342" s="153"/>
      <c r="O342" s="153"/>
      <c r="P342" s="153"/>
      <c r="Q342" s="153"/>
      <c r="R342" s="129"/>
      <c r="S342" s="153"/>
      <c r="T342" s="153"/>
      <c r="U342" s="153"/>
      <c r="V342" s="153"/>
      <c r="W342" s="153"/>
      <c r="X342" s="153"/>
      <c r="Y342" s="153"/>
      <c r="Z342" s="153"/>
      <c r="AB342" s="111"/>
      <c r="AC342" s="111"/>
      <c r="AD342" s="111"/>
      <c r="AE342" s="111"/>
      <c r="AF342" s="111"/>
      <c r="AG342" s="111"/>
      <c r="AH342" s="111"/>
      <c r="AI342" s="111"/>
      <c r="AJ342" s="111"/>
      <c r="AK342" s="111"/>
      <c r="AL342" s="111"/>
      <c r="AM342" s="111"/>
      <c r="AN342" s="111"/>
      <c r="AQ342" s="120"/>
      <c r="AR342" s="120"/>
      <c r="AS342" s="120"/>
      <c r="AT342" s="120"/>
      <c r="AU342" s="120"/>
      <c r="AV342" s="120"/>
      <c r="AW342" s="120"/>
      <c r="AX342" s="120"/>
      <c r="AY342" s="120"/>
      <c r="AZ342" s="120"/>
      <c r="BA342" s="120">
        <v>8.5953128280913497E-3</v>
      </c>
      <c r="BB342" s="120">
        <v>1.080594928897931E-2</v>
      </c>
      <c r="BC342" s="120">
        <v>1.6396412056616551E-2</v>
      </c>
      <c r="BE342" s="120">
        <v>0.24234421004025453</v>
      </c>
      <c r="BF342" s="120">
        <v>0.22672440004336614</v>
      </c>
      <c r="BG342" s="120">
        <v>0.21721424128044253</v>
      </c>
      <c r="BH342" s="120">
        <v>0.20937941337892224</v>
      </c>
      <c r="BI342" s="120">
        <v>0.20697262505270775</v>
      </c>
      <c r="BJ342" s="120">
        <v>0.20434888947379209</v>
      </c>
      <c r="BK342" s="120">
        <v>0.18871442883672751</v>
      </c>
      <c r="BL342" s="120">
        <v>0.17871197128860652</v>
      </c>
      <c r="BM342" s="120">
        <v>0.17127747742113675</v>
      </c>
      <c r="BN342" s="120">
        <v>0.17107253896197566</v>
      </c>
      <c r="BO342" s="120">
        <v>0.17351653402710771</v>
      </c>
      <c r="BP342" s="120">
        <v>0.1868036860571004</v>
      </c>
      <c r="BQ342" s="120">
        <v>0.21505161406607748</v>
      </c>
    </row>
    <row r="343" spans="14:69" ht="12.75" x14ac:dyDescent="0.2">
      <c r="N343" s="153"/>
      <c r="O343" s="153"/>
      <c r="P343" s="153"/>
      <c r="Q343" s="153"/>
      <c r="R343" s="129"/>
      <c r="S343" s="153"/>
      <c r="T343" s="153"/>
      <c r="U343" s="153"/>
      <c r="V343" s="153"/>
      <c r="W343" s="153"/>
      <c r="X343" s="153"/>
      <c r="Y343" s="153"/>
      <c r="Z343" s="153"/>
      <c r="AB343" s="111"/>
      <c r="AC343" s="111"/>
      <c r="AD343" s="111"/>
      <c r="AE343" s="111"/>
      <c r="AF343" s="111"/>
      <c r="AG343" s="111"/>
      <c r="AH343" s="111"/>
      <c r="AI343" s="111"/>
      <c r="AJ343" s="111"/>
      <c r="AK343" s="111"/>
      <c r="AL343" s="111"/>
      <c r="AM343" s="111"/>
      <c r="AN343" s="111"/>
      <c r="AQ343" s="120"/>
      <c r="AR343" s="120"/>
      <c r="AS343" s="120"/>
      <c r="AT343" s="120"/>
      <c r="AU343" s="120"/>
      <c r="AV343" s="120"/>
      <c r="AW343" s="120"/>
      <c r="AX343" s="120"/>
      <c r="AY343" s="120"/>
      <c r="AZ343" s="120"/>
      <c r="BA343" s="120">
        <v>8.3018108140822389E-3</v>
      </c>
      <c r="BB343" s="120">
        <v>1.0411869848530221E-2</v>
      </c>
      <c r="BC343" s="120">
        <v>1.5553424327038354E-2</v>
      </c>
      <c r="BE343" s="120">
        <v>0.23241318601955749</v>
      </c>
      <c r="BF343" s="120">
        <v>0.21515744049612309</v>
      </c>
      <c r="BG343" s="120">
        <v>0.21033677496032463</v>
      </c>
      <c r="BH343" s="120">
        <v>0.20832418566819469</v>
      </c>
      <c r="BI343" s="120">
        <v>0.20022798357115745</v>
      </c>
      <c r="BJ343" s="120">
        <v>0.19228322366964776</v>
      </c>
      <c r="BK343" s="120">
        <v>0.19407028810672283</v>
      </c>
      <c r="BL343" s="120">
        <v>0.17672519040283871</v>
      </c>
      <c r="BM343" s="120">
        <v>0.17001397941770402</v>
      </c>
      <c r="BN343" s="120">
        <v>0.16584866161487524</v>
      </c>
      <c r="BO343" s="120">
        <v>0.16252303413950797</v>
      </c>
      <c r="BP343" s="120">
        <v>0.17483759349282646</v>
      </c>
      <c r="BQ343" s="120">
        <v>0.1985963624413816</v>
      </c>
    </row>
    <row r="344" spans="14:69" ht="12.75" x14ac:dyDescent="0.2">
      <c r="N344" s="153"/>
      <c r="O344" s="153"/>
      <c r="P344" s="153"/>
      <c r="Q344" s="153"/>
      <c r="R344" s="129"/>
      <c r="S344" s="153"/>
      <c r="T344" s="153"/>
      <c r="U344" s="153"/>
      <c r="V344" s="153"/>
      <c r="W344" s="153"/>
      <c r="X344" s="153"/>
      <c r="Y344" s="153"/>
      <c r="Z344" s="153"/>
      <c r="AB344" s="111"/>
      <c r="AC344" s="111"/>
      <c r="AD344" s="111"/>
      <c r="AE344" s="111"/>
      <c r="AF344" s="111"/>
      <c r="AG344" s="111"/>
      <c r="AH344" s="111"/>
      <c r="AI344" s="111"/>
      <c r="AJ344" s="111"/>
      <c r="AK344" s="111"/>
      <c r="AL344" s="111"/>
      <c r="AM344" s="111"/>
      <c r="AN344" s="111"/>
      <c r="AQ344" s="120"/>
      <c r="AR344" s="120"/>
      <c r="AS344" s="120"/>
      <c r="AT344" s="120"/>
      <c r="AU344" s="120"/>
      <c r="AV344" s="120"/>
      <c r="AW344" s="120"/>
      <c r="AX344" s="120"/>
      <c r="AY344" s="120"/>
      <c r="AZ344" s="120"/>
      <c r="BA344" s="120">
        <v>8.3466738961750532E-3</v>
      </c>
      <c r="BB344" s="120">
        <v>1.0123462467492855E-2</v>
      </c>
      <c r="BC344" s="120">
        <v>1.5285818067925633E-2</v>
      </c>
      <c r="BE344" s="120">
        <v>0.23272839780344479</v>
      </c>
      <c r="BF344" s="120">
        <v>0.21559319725148107</v>
      </c>
      <c r="BG344" s="120">
        <v>0.21750639513717884</v>
      </c>
      <c r="BH344" s="120">
        <v>0.20560418352619941</v>
      </c>
      <c r="BI344" s="120">
        <v>0.20160556325839782</v>
      </c>
      <c r="BJ344" s="120">
        <v>0.1975419116909585</v>
      </c>
      <c r="BK344" s="120">
        <v>0.18652293559178337</v>
      </c>
      <c r="BL344" s="120">
        <v>0.1730763718631658</v>
      </c>
      <c r="BM344" s="120">
        <v>0.16813457413249741</v>
      </c>
      <c r="BN344" s="120">
        <v>0.16095101934912046</v>
      </c>
      <c r="BO344" s="120">
        <v>0.16075959660392902</v>
      </c>
      <c r="BP344" s="120">
        <v>0.16726702014250483</v>
      </c>
      <c r="BQ344" s="120">
        <v>0.19246525761517647</v>
      </c>
    </row>
    <row r="345" spans="14:69" ht="12.75" x14ac:dyDescent="0.2">
      <c r="N345" s="153"/>
      <c r="O345" s="153"/>
      <c r="P345" s="153"/>
      <c r="Q345" s="153"/>
      <c r="R345" s="129"/>
      <c r="S345" s="153"/>
      <c r="T345" s="153"/>
      <c r="U345" s="153"/>
      <c r="V345" s="153"/>
      <c r="W345" s="153"/>
      <c r="X345" s="153"/>
      <c r="Y345" s="153"/>
      <c r="Z345" s="153"/>
      <c r="AB345" s="111"/>
      <c r="AC345" s="111"/>
      <c r="AD345" s="111"/>
      <c r="AE345" s="111"/>
      <c r="AF345" s="111"/>
      <c r="AG345" s="111"/>
      <c r="AH345" s="111"/>
      <c r="AI345" s="111"/>
      <c r="AJ345" s="111"/>
      <c r="AK345" s="111"/>
      <c r="AL345" s="111"/>
      <c r="AM345" s="111"/>
      <c r="AN345" s="111"/>
      <c r="AQ345" s="120"/>
      <c r="AR345" s="120"/>
      <c r="AS345" s="120"/>
      <c r="AT345" s="120"/>
      <c r="AU345" s="120"/>
      <c r="AV345" s="120"/>
      <c r="AW345" s="120"/>
      <c r="AX345" s="120"/>
      <c r="AY345" s="120"/>
      <c r="AZ345" s="120"/>
      <c r="BA345" s="120">
        <v>8.1834541326924089E-3</v>
      </c>
      <c r="BB345" s="120">
        <v>9.6697229025944666E-3</v>
      </c>
      <c r="BC345" s="120">
        <v>1.3642131882526021E-2</v>
      </c>
      <c r="BE345" s="120">
        <v>0.21441303752070795</v>
      </c>
      <c r="BF345" s="120">
        <v>0.21511647674213522</v>
      </c>
      <c r="BG345" s="120">
        <v>0.19859362736751179</v>
      </c>
      <c r="BH345" s="120">
        <v>0.19711166380718137</v>
      </c>
      <c r="BI345" s="120">
        <v>0.19548893369250267</v>
      </c>
      <c r="BJ345" s="120">
        <v>0.19379520984622245</v>
      </c>
      <c r="BK345" s="120">
        <v>0.18521214118039045</v>
      </c>
      <c r="BL345" s="120">
        <v>0.17430831441718742</v>
      </c>
      <c r="BM345" s="120">
        <v>0.15945789619632</v>
      </c>
      <c r="BN345" s="120">
        <v>0.1556156622222791</v>
      </c>
      <c r="BO345" s="120">
        <v>0.15567214431861268</v>
      </c>
      <c r="BP345" s="120">
        <v>0.15784083526775322</v>
      </c>
      <c r="BQ345" s="120">
        <v>0.16945362183364002</v>
      </c>
    </row>
    <row r="346" spans="14:69" ht="12.75" x14ac:dyDescent="0.2">
      <c r="N346" s="153"/>
      <c r="O346" s="153"/>
      <c r="P346" s="153"/>
      <c r="Q346" s="153"/>
      <c r="R346" s="129"/>
      <c r="S346" s="153"/>
      <c r="T346" s="153"/>
      <c r="U346" s="153"/>
      <c r="V346" s="153"/>
      <c r="W346" s="153"/>
      <c r="X346" s="153"/>
      <c r="Y346" s="153"/>
      <c r="Z346" s="153"/>
      <c r="AB346" s="111"/>
      <c r="AC346" s="111"/>
      <c r="AD346" s="111"/>
      <c r="AE346" s="111"/>
      <c r="AF346" s="111"/>
      <c r="AG346" s="111"/>
      <c r="AH346" s="111"/>
      <c r="AI346" s="111"/>
      <c r="AJ346" s="111"/>
      <c r="AK346" s="111"/>
      <c r="AL346" s="111"/>
      <c r="AM346" s="111"/>
      <c r="AN346" s="111"/>
      <c r="AQ346" s="120"/>
      <c r="AR346" s="120"/>
      <c r="AS346" s="120"/>
      <c r="AT346" s="120"/>
      <c r="AU346" s="120"/>
      <c r="AV346" s="120"/>
      <c r="AW346" s="120"/>
      <c r="AX346" s="120"/>
      <c r="AY346" s="120"/>
      <c r="AZ346" s="120"/>
      <c r="BA346" s="120">
        <v>7.6124334685317065E-3</v>
      </c>
      <c r="BB346" s="120">
        <v>8.70673095046459E-3</v>
      </c>
      <c r="BC346" s="120">
        <v>1.1919212136545048E-2</v>
      </c>
      <c r="BE346" s="120">
        <v>0.20538732542856472</v>
      </c>
      <c r="BF346" s="120">
        <v>0.19323745115032306</v>
      </c>
      <c r="BG346" s="120">
        <v>0.19349660662256102</v>
      </c>
      <c r="BH346" s="120">
        <v>0.18798807456049557</v>
      </c>
      <c r="BI346" s="120">
        <v>0.18225593748387001</v>
      </c>
      <c r="BJ346" s="120">
        <v>0.17662072834494108</v>
      </c>
      <c r="BK346" s="120">
        <v>0.17036884513804357</v>
      </c>
      <c r="BL346" s="120">
        <v>0.16185190284313553</v>
      </c>
      <c r="BM346" s="120">
        <v>0.1598484792113872</v>
      </c>
      <c r="BN346" s="120">
        <v>0.15522452875816112</v>
      </c>
      <c r="BO346" s="120">
        <v>0.14175456162519201</v>
      </c>
      <c r="BP346" s="120">
        <v>0.13916124995316578</v>
      </c>
      <c r="BQ346" s="120">
        <v>0.14521946776442343</v>
      </c>
    </row>
    <row r="347" spans="14:69" ht="12.75" x14ac:dyDescent="0.2">
      <c r="N347" s="153"/>
      <c r="O347" s="153"/>
      <c r="P347" s="153"/>
      <c r="Q347" s="153"/>
      <c r="R347" s="129"/>
      <c r="S347" s="153"/>
      <c r="T347" s="153"/>
      <c r="U347" s="153"/>
      <c r="V347" s="153"/>
      <c r="W347" s="153"/>
      <c r="X347" s="153"/>
      <c r="Y347" s="153"/>
      <c r="Z347" s="153"/>
      <c r="AB347" s="111"/>
      <c r="AC347" s="111"/>
      <c r="AD347" s="111"/>
      <c r="AE347" s="111"/>
      <c r="AF347" s="111"/>
      <c r="AG347" s="111"/>
      <c r="AH347" s="111"/>
      <c r="AI347" s="111"/>
      <c r="AJ347" s="111"/>
      <c r="AK347" s="111"/>
      <c r="AL347" s="111"/>
      <c r="AM347" s="111"/>
      <c r="AN347" s="111"/>
      <c r="AQ347" s="120"/>
      <c r="AR347" s="120"/>
      <c r="AS347" s="120"/>
      <c r="AT347" s="120"/>
      <c r="AU347" s="120"/>
      <c r="AV347" s="120"/>
      <c r="AW347" s="120"/>
      <c r="AX347" s="120"/>
      <c r="AY347" s="120"/>
      <c r="AZ347" s="120"/>
      <c r="BA347" s="120">
        <v>7.630726983600975E-3</v>
      </c>
      <c r="BB347" s="120">
        <v>8.1123228372628562E-3</v>
      </c>
      <c r="BC347" s="120">
        <v>1.0491638913442503E-2</v>
      </c>
      <c r="BE347" s="120">
        <v>0.1985607593003714</v>
      </c>
      <c r="BF347" s="120">
        <v>0.18898218141610898</v>
      </c>
      <c r="BG347" s="120">
        <v>0.18477547456576029</v>
      </c>
      <c r="BH347" s="120">
        <v>0.18180832978697642</v>
      </c>
      <c r="BI347" s="120">
        <v>0.18157287861145302</v>
      </c>
      <c r="BJ347" s="120">
        <v>0.18129586684110668</v>
      </c>
      <c r="BK347" s="120">
        <v>0.17297546324251412</v>
      </c>
      <c r="BL347" s="120">
        <v>0.16201634356425287</v>
      </c>
      <c r="BM347" s="120">
        <v>0.15058904704196271</v>
      </c>
      <c r="BN347" s="120">
        <v>0.14496641619060546</v>
      </c>
      <c r="BO347" s="120">
        <v>0.14288046704200039</v>
      </c>
      <c r="BP347" s="120">
        <v>0.1302025539818209</v>
      </c>
      <c r="BQ347" s="120">
        <v>0.12818739543260441</v>
      </c>
    </row>
    <row r="348" spans="14:69" ht="12.75" x14ac:dyDescent="0.2">
      <c r="N348" s="153"/>
      <c r="O348" s="153"/>
      <c r="P348" s="153"/>
      <c r="Q348" s="153"/>
      <c r="R348" s="129"/>
      <c r="S348" s="153"/>
      <c r="T348" s="153"/>
      <c r="U348" s="153"/>
      <c r="V348" s="153"/>
      <c r="W348" s="153"/>
      <c r="X348" s="153"/>
      <c r="Y348" s="153"/>
      <c r="Z348" s="153"/>
      <c r="AB348" s="111"/>
      <c r="AC348" s="111"/>
      <c r="AD348" s="111"/>
      <c r="AE348" s="111"/>
      <c r="AF348" s="111"/>
      <c r="AG348" s="111"/>
      <c r="AH348" s="111"/>
      <c r="AI348" s="111"/>
      <c r="AJ348" s="111"/>
      <c r="AK348" s="111"/>
      <c r="AL348" s="111"/>
      <c r="AM348" s="111"/>
      <c r="AN348" s="111"/>
      <c r="AQ348" s="120"/>
      <c r="AR348" s="120"/>
      <c r="AS348" s="120"/>
      <c r="AT348" s="120"/>
      <c r="AU348" s="120"/>
      <c r="AV348" s="120"/>
      <c r="AW348" s="120"/>
      <c r="AX348" s="120"/>
      <c r="AY348" s="120"/>
      <c r="AZ348" s="120"/>
      <c r="BA348" s="120">
        <v>6.9917921260946028E-3</v>
      </c>
      <c r="BB348" s="120">
        <v>7.9090406710464051E-3</v>
      </c>
      <c r="BC348" s="120">
        <v>9.7381985740676406E-3</v>
      </c>
      <c r="BE348" s="120">
        <v>0.18157810491336382</v>
      </c>
      <c r="BF348" s="120">
        <v>0.18066586829877751</v>
      </c>
      <c r="BG348" s="120">
        <v>0.17482909009487824</v>
      </c>
      <c r="BH348" s="120">
        <v>0.17519034355865806</v>
      </c>
      <c r="BI348" s="120">
        <v>0.1708249556626745</v>
      </c>
      <c r="BJ348" s="120">
        <v>0.16652880279243579</v>
      </c>
      <c r="BK348" s="120">
        <v>0.16422985886091235</v>
      </c>
      <c r="BL348" s="120">
        <v>0.15893314780837317</v>
      </c>
      <c r="BM348" s="120">
        <v>0.15272741160190234</v>
      </c>
      <c r="BN348" s="120">
        <v>0.15073508574078651</v>
      </c>
      <c r="BO348" s="120">
        <v>0.13546952970701487</v>
      </c>
      <c r="BP348" s="120">
        <v>0.13112388485102988</v>
      </c>
      <c r="BQ348" s="120">
        <v>0.12246172058220567</v>
      </c>
    </row>
    <row r="349" spans="14:69" ht="12.75" x14ac:dyDescent="0.2">
      <c r="N349" s="153"/>
      <c r="O349" s="153"/>
      <c r="P349" s="153"/>
      <c r="Q349" s="153"/>
      <c r="R349" s="129"/>
      <c r="S349" s="153"/>
      <c r="T349" s="153"/>
      <c r="U349" s="153"/>
      <c r="V349" s="153"/>
      <c r="W349" s="153"/>
      <c r="X349" s="153"/>
      <c r="Y349" s="153"/>
      <c r="Z349" s="153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Q349" s="120"/>
      <c r="AR349" s="120"/>
      <c r="AS349" s="120"/>
      <c r="AT349" s="120"/>
      <c r="AU349" s="120"/>
      <c r="AV349" s="120"/>
      <c r="AW349" s="120"/>
      <c r="AX349" s="120"/>
      <c r="AY349" s="120"/>
      <c r="AZ349" s="120"/>
      <c r="BA349" s="120">
        <v>7.2675548256593159E-3</v>
      </c>
      <c r="BB349" s="120">
        <v>7.816838182522828E-3</v>
      </c>
      <c r="BC349" s="120">
        <v>9.0855050378674477E-3</v>
      </c>
      <c r="BE349" s="120">
        <v>0.19920299538789404</v>
      </c>
      <c r="BF349" s="120">
        <v>0.18792042834435926</v>
      </c>
      <c r="BG349" s="120">
        <v>0.19013057736637382</v>
      </c>
      <c r="BH349" s="120">
        <v>0.17758825234514819</v>
      </c>
      <c r="BI349" s="120">
        <v>0.1764842317283144</v>
      </c>
      <c r="BJ349" s="120">
        <v>0.17536493448583412</v>
      </c>
      <c r="BK349" s="120">
        <v>0.1680935445209927</v>
      </c>
      <c r="BL349" s="120">
        <v>0.15788726000903899</v>
      </c>
      <c r="BM349" s="120">
        <v>0.15725818634222513</v>
      </c>
      <c r="BN349" s="120">
        <v>0.14495275344531239</v>
      </c>
      <c r="BO349" s="120">
        <v>0.1453932120913517</v>
      </c>
      <c r="BP349" s="120">
        <v>0.13364262467005841</v>
      </c>
      <c r="BQ349" s="120">
        <v>0.11724471624378034</v>
      </c>
    </row>
    <row r="350" spans="14:69" ht="12.75" x14ac:dyDescent="0.2">
      <c r="N350" s="153"/>
      <c r="O350" s="153"/>
      <c r="P350" s="153"/>
      <c r="Q350" s="153"/>
      <c r="R350" s="129"/>
      <c r="S350" s="153"/>
      <c r="T350" s="153"/>
      <c r="U350" s="153"/>
      <c r="V350" s="153"/>
      <c r="W350" s="153"/>
      <c r="X350" s="153"/>
      <c r="Y350" s="153"/>
      <c r="Z350" s="153"/>
      <c r="AB350" s="111"/>
      <c r="AC350" s="111"/>
      <c r="AD350" s="111"/>
      <c r="AE350" s="111"/>
      <c r="AF350" s="111"/>
      <c r="AG350" s="111"/>
      <c r="AH350" s="111"/>
      <c r="AI350" s="111"/>
      <c r="AJ350" s="111"/>
      <c r="AK350" s="111"/>
      <c r="AL350" s="111"/>
      <c r="AM350" s="111"/>
      <c r="AN350" s="111"/>
      <c r="AQ350" s="120"/>
      <c r="AR350" s="120"/>
      <c r="AS350" s="120"/>
      <c r="AT350" s="120"/>
      <c r="AU350" s="120"/>
      <c r="AV350" s="120"/>
      <c r="AW350" s="120"/>
      <c r="AX350" s="120"/>
      <c r="AY350" s="120"/>
      <c r="AZ350" s="120"/>
      <c r="BA350" s="120">
        <v>6.4391962538680458E-3</v>
      </c>
      <c r="BB350" s="120">
        <v>7.0463532318331438E-3</v>
      </c>
      <c r="BC350" s="120">
        <v>9.4440534525786421E-3</v>
      </c>
      <c r="BE350" s="120">
        <v>0.1751663310445811</v>
      </c>
      <c r="BF350" s="120">
        <v>0.16724156719660288</v>
      </c>
      <c r="BG350" s="120">
        <v>0.16609519810566509</v>
      </c>
      <c r="BH350" s="120">
        <v>0.17722747017358489</v>
      </c>
      <c r="BI350" s="120">
        <v>0.16928203697045283</v>
      </c>
      <c r="BJ350" s="120">
        <v>0.16131221406279464</v>
      </c>
      <c r="BK350" s="120">
        <v>0.16657372221614344</v>
      </c>
      <c r="BL350" s="120">
        <v>0.1603103250897531</v>
      </c>
      <c r="BM350" s="120">
        <v>0.14992368723885235</v>
      </c>
      <c r="BN350" s="120">
        <v>0.14246809036742025</v>
      </c>
      <c r="BO350" s="120">
        <v>0.13003598880194039</v>
      </c>
      <c r="BP350" s="120">
        <v>0.12128848080745339</v>
      </c>
      <c r="BQ350" s="120">
        <v>0.1231165116565946</v>
      </c>
    </row>
    <row r="352" spans="14:69" x14ac:dyDescent="0.2">
      <c r="S352" s="126"/>
      <c r="T352" s="126"/>
      <c r="U352" s="126"/>
      <c r="V352" s="126"/>
      <c r="W352" s="126"/>
      <c r="X352" s="126"/>
      <c r="Y352" s="126"/>
      <c r="Z352" s="126"/>
      <c r="AQ352" s="106"/>
    </row>
    <row r="353" spans="11:69" ht="12.75" x14ac:dyDescent="0.2">
      <c r="K353" s="105"/>
      <c r="N353" s="153"/>
      <c r="O353" s="153"/>
      <c r="P353" s="153"/>
      <c r="Q353" s="153"/>
      <c r="R353" s="129"/>
      <c r="S353" s="153"/>
      <c r="T353" s="153"/>
      <c r="U353" s="153"/>
      <c r="V353" s="153"/>
      <c r="W353" s="153"/>
      <c r="X353" s="153"/>
      <c r="Y353" s="153"/>
      <c r="Z353" s="153"/>
      <c r="AB353" s="111"/>
      <c r="AC353" s="111"/>
      <c r="AD353" s="111"/>
      <c r="AE353" s="111"/>
      <c r="AF353" s="111"/>
      <c r="AG353" s="111"/>
      <c r="AH353" s="111"/>
      <c r="AI353" s="111"/>
      <c r="AJ353" s="111"/>
      <c r="AK353" s="111"/>
      <c r="AL353" s="111"/>
      <c r="AM353" s="111"/>
      <c r="AN353" s="111"/>
      <c r="AQ353" s="120"/>
      <c r="AR353" s="120"/>
      <c r="AS353" s="120"/>
      <c r="AT353" s="120"/>
      <c r="AU353" s="120"/>
      <c r="AV353" s="120"/>
      <c r="AW353" s="120"/>
      <c r="AX353" s="120"/>
      <c r="AY353" s="120"/>
      <c r="AZ353" s="120"/>
      <c r="BA353" s="120">
        <v>1.2603770760071806E-2</v>
      </c>
      <c r="BB353" s="120">
        <v>1.8540947091281117E-2</v>
      </c>
      <c r="BC353" s="120">
        <v>3.3038744038950879E-2</v>
      </c>
      <c r="BE353" s="120">
        <v>9.6000566873987642E-2</v>
      </c>
      <c r="BF353" s="120">
        <v>6.8423683134239674E-2</v>
      </c>
      <c r="BG353" s="120">
        <v>7.7001271501327975E-2</v>
      </c>
      <c r="BH353" s="120">
        <v>9.0997793848607469E-2</v>
      </c>
      <c r="BI353" s="120">
        <v>0.10549904241064233</v>
      </c>
      <c r="BJ353" s="120">
        <v>0.12002244279872185</v>
      </c>
      <c r="BK353" s="120">
        <v>0.14499323984937412</v>
      </c>
      <c r="BL353" s="120">
        <v>0.18898797369297585</v>
      </c>
      <c r="BM353" s="120">
        <v>0.22498090310150837</v>
      </c>
      <c r="BN353" s="120">
        <v>0.25406500897255396</v>
      </c>
      <c r="BO353" s="120">
        <v>0.30563377486791249</v>
      </c>
      <c r="BP353" s="120">
        <v>0.38183015817547361</v>
      </c>
      <c r="BQ353" s="120">
        <v>0.50618836360405706</v>
      </c>
    </row>
    <row r="354" spans="11:69" ht="12.75" x14ac:dyDescent="0.2">
      <c r="N354" s="153"/>
      <c r="O354" s="153"/>
      <c r="P354" s="153"/>
      <c r="Q354" s="153"/>
      <c r="R354" s="129"/>
      <c r="S354" s="153"/>
      <c r="T354" s="153"/>
      <c r="U354" s="153"/>
      <c r="V354" s="153"/>
      <c r="W354" s="153"/>
      <c r="X354" s="153"/>
      <c r="Y354" s="153"/>
      <c r="Z354" s="153"/>
      <c r="AB354" s="111"/>
      <c r="AC354" s="111"/>
      <c r="AD354" s="111"/>
      <c r="AE354" s="111"/>
      <c r="AF354" s="111"/>
      <c r="AG354" s="111"/>
      <c r="AH354" s="111"/>
      <c r="AI354" s="111"/>
      <c r="AJ354" s="111"/>
      <c r="AK354" s="111"/>
      <c r="AL354" s="111"/>
      <c r="AM354" s="111"/>
      <c r="AN354" s="111"/>
      <c r="AQ354" s="120"/>
      <c r="AR354" s="120"/>
      <c r="AS354" s="120"/>
      <c r="AT354" s="120"/>
      <c r="AU354" s="120"/>
      <c r="AV354" s="120"/>
      <c r="AW354" s="120"/>
      <c r="AX354" s="120"/>
      <c r="AY354" s="120"/>
      <c r="AZ354" s="120"/>
      <c r="BA354" s="120">
        <v>1.1227715129858229E-2</v>
      </c>
      <c r="BB354" s="120">
        <v>1.5897745894403716E-2</v>
      </c>
      <c r="BC354" s="120">
        <v>2.636099517171947E-2</v>
      </c>
      <c r="BE354" s="120">
        <v>0.13056682059131686</v>
      </c>
      <c r="BF354" s="120">
        <v>0.11737505913955261</v>
      </c>
      <c r="BG354" s="120">
        <v>0.11530356955240631</v>
      </c>
      <c r="BH354" s="120">
        <v>0.11850754207225304</v>
      </c>
      <c r="BI354" s="120">
        <v>0.12526725135850567</v>
      </c>
      <c r="BJ354" s="120">
        <v>0.13315162604020325</v>
      </c>
      <c r="BK354" s="120">
        <v>0.15120279530711109</v>
      </c>
      <c r="BL354" s="120">
        <v>0.18171453236290028</v>
      </c>
      <c r="BM354" s="120">
        <v>0.20952312118397146</v>
      </c>
      <c r="BN354" s="120">
        <v>0.233401096343826</v>
      </c>
      <c r="BO354" s="120">
        <v>0.27141948661863685</v>
      </c>
      <c r="BP354" s="120">
        <v>0.32627374642977064</v>
      </c>
      <c r="BQ354" s="120">
        <v>0.40563360469112958</v>
      </c>
    </row>
    <row r="355" spans="11:69" ht="12.75" x14ac:dyDescent="0.2">
      <c r="N355" s="153"/>
      <c r="O355" s="153"/>
      <c r="P355" s="153"/>
      <c r="Q355" s="153"/>
      <c r="R355" s="129"/>
      <c r="S355" s="153"/>
      <c r="T355" s="153"/>
      <c r="U355" s="153"/>
      <c r="V355" s="153"/>
      <c r="W355" s="153"/>
      <c r="X355" s="153"/>
      <c r="Y355" s="153"/>
      <c r="Z355" s="153"/>
      <c r="AB355" s="111"/>
      <c r="AC355" s="111"/>
      <c r="AD355" s="111"/>
      <c r="AE355" s="111"/>
      <c r="AF355" s="111"/>
      <c r="AG355" s="111"/>
      <c r="AH355" s="111"/>
      <c r="AI355" s="111"/>
      <c r="AJ355" s="111"/>
      <c r="AK355" s="111"/>
      <c r="AL355" s="111"/>
      <c r="AM355" s="111"/>
      <c r="AN355" s="111"/>
      <c r="AQ355" s="120"/>
      <c r="AR355" s="120"/>
      <c r="AS355" s="120"/>
      <c r="AT355" s="120"/>
      <c r="AU355" s="120"/>
      <c r="AV355" s="120"/>
      <c r="AW355" s="120"/>
      <c r="AX355" s="120"/>
      <c r="AY355" s="120"/>
      <c r="AZ355" s="120"/>
      <c r="BA355" s="120">
        <v>9.6614895604281367E-3</v>
      </c>
      <c r="BB355" s="120">
        <v>1.3375783955201221E-2</v>
      </c>
      <c r="BC355" s="120">
        <v>2.1739109989002043E-2</v>
      </c>
      <c r="BE355" s="120">
        <v>0.14404835794773765</v>
      </c>
      <c r="BF355" s="120">
        <v>0.12000955315919691</v>
      </c>
      <c r="BG355" s="120">
        <v>0.11499701829561114</v>
      </c>
      <c r="BH355" s="120">
        <v>0.11599069456767511</v>
      </c>
      <c r="BI355" s="120">
        <v>0.12148586314135258</v>
      </c>
      <c r="BJ355" s="120">
        <v>0.12697675367888406</v>
      </c>
      <c r="BK355" s="120">
        <v>0.13995856486747424</v>
      </c>
      <c r="BL355" s="120">
        <v>0.16192706491549597</v>
      </c>
      <c r="BM355" s="120">
        <v>0.18089453620155518</v>
      </c>
      <c r="BN355" s="120">
        <v>0.19786918098417497</v>
      </c>
      <c r="BO355" s="120">
        <v>0.22585008553014452</v>
      </c>
      <c r="BP355" s="120">
        <v>0.26578253522424389</v>
      </c>
      <c r="BQ355" s="120">
        <v>0.32366308391566745</v>
      </c>
    </row>
    <row r="356" spans="11:69" ht="12.75" x14ac:dyDescent="0.2">
      <c r="N356" s="153"/>
      <c r="O356" s="153"/>
      <c r="P356" s="153"/>
      <c r="Q356" s="153"/>
      <c r="R356" s="129"/>
      <c r="S356" s="153"/>
      <c r="T356" s="153"/>
      <c r="U356" s="153"/>
      <c r="V356" s="153"/>
      <c r="W356" s="153"/>
      <c r="X356" s="153"/>
      <c r="Y356" s="153"/>
      <c r="Z356" s="153"/>
      <c r="AB356" s="111"/>
      <c r="AC356" s="111"/>
      <c r="AD356" s="111"/>
      <c r="AE356" s="111"/>
      <c r="AF356" s="111"/>
      <c r="AG356" s="111"/>
      <c r="AH356" s="111"/>
      <c r="AI356" s="111"/>
      <c r="AJ356" s="111"/>
      <c r="AK356" s="111"/>
      <c r="AL356" s="111"/>
      <c r="AM356" s="111"/>
      <c r="AN356" s="111"/>
      <c r="AQ356" s="120"/>
      <c r="AR356" s="120"/>
      <c r="AS356" s="120"/>
      <c r="AT356" s="120"/>
      <c r="AU356" s="120"/>
      <c r="AV356" s="120"/>
      <c r="AW356" s="120"/>
      <c r="AX356" s="120"/>
      <c r="AY356" s="120"/>
      <c r="AZ356" s="120"/>
      <c r="BA356" s="120">
        <v>8.6278637093358534E-3</v>
      </c>
      <c r="BB356" s="120">
        <v>1.1211194171373463E-2</v>
      </c>
      <c r="BC356" s="120">
        <v>1.7153086449278432E-2</v>
      </c>
      <c r="BE356" s="120">
        <v>0.20796559909847878</v>
      </c>
      <c r="BF356" s="120">
        <v>0.20010156468625789</v>
      </c>
      <c r="BG356" s="120">
        <v>0.19192849616708327</v>
      </c>
      <c r="BH356" s="120">
        <v>0.19008099942881027</v>
      </c>
      <c r="BI356" s="120">
        <v>0.18485939777286017</v>
      </c>
      <c r="BJ356" s="120">
        <v>0.18028751652123992</v>
      </c>
      <c r="BK356" s="120">
        <v>0.17415987403459321</v>
      </c>
      <c r="BL356" s="120">
        <v>0.17095945908927837</v>
      </c>
      <c r="BM356" s="120">
        <v>0.17695175186159987</v>
      </c>
      <c r="BN356" s="120">
        <v>0.18256879067917908</v>
      </c>
      <c r="BO356" s="120">
        <v>0.19498858506696184</v>
      </c>
      <c r="BP356" s="120">
        <v>0.21537431863519285</v>
      </c>
      <c r="BQ356" s="120">
        <v>0.24705277437903764</v>
      </c>
    </row>
    <row r="357" spans="11:69" ht="12.75" x14ac:dyDescent="0.2">
      <c r="N357" s="153"/>
      <c r="O357" s="153"/>
      <c r="P357" s="153"/>
      <c r="Q357" s="153"/>
      <c r="R357" s="129"/>
      <c r="S357" s="153"/>
      <c r="T357" s="153"/>
      <c r="U357" s="153"/>
      <c r="V357" s="153"/>
      <c r="W357" s="153"/>
      <c r="X357" s="153"/>
      <c r="Y357" s="153"/>
      <c r="Z357" s="153"/>
      <c r="AB357" s="111"/>
      <c r="AC357" s="111"/>
      <c r="AD357" s="111"/>
      <c r="AE357" s="111"/>
      <c r="AF357" s="111"/>
      <c r="AG357" s="111"/>
      <c r="AH357" s="111"/>
      <c r="AI357" s="111"/>
      <c r="AJ357" s="111"/>
      <c r="AK357" s="111"/>
      <c r="AL357" s="111"/>
      <c r="AM357" s="111"/>
      <c r="AN357" s="111"/>
      <c r="AQ357" s="120"/>
      <c r="AR357" s="120"/>
      <c r="AS357" s="120"/>
      <c r="AT357" s="120"/>
      <c r="AU357" s="120"/>
      <c r="AV357" s="120"/>
      <c r="AW357" s="120"/>
      <c r="AX357" s="120"/>
      <c r="AY357" s="120"/>
      <c r="AZ357" s="120"/>
      <c r="BA357" s="120">
        <v>9.3058646155478649E-3</v>
      </c>
      <c r="BB357" s="120">
        <v>1.2135607202740602E-2</v>
      </c>
      <c r="BC357" s="120">
        <v>1.8721322054753846E-2</v>
      </c>
      <c r="BE357" s="120">
        <v>0.22145860882823312</v>
      </c>
      <c r="BF357" s="120">
        <v>0.20903788917575933</v>
      </c>
      <c r="BG357" s="120">
        <v>0.20361873333093863</v>
      </c>
      <c r="BH357" s="120">
        <v>0.19884315419621926</v>
      </c>
      <c r="BI357" s="120">
        <v>0.19545085869132825</v>
      </c>
      <c r="BJ357" s="120">
        <v>0.19207121208936373</v>
      </c>
      <c r="BK357" s="120">
        <v>0.18451338541346618</v>
      </c>
      <c r="BL357" s="120">
        <v>0.18477599351655677</v>
      </c>
      <c r="BM357" s="120">
        <v>0.18480474327446839</v>
      </c>
      <c r="BN357" s="120">
        <v>0.18994328482957523</v>
      </c>
      <c r="BO357" s="120">
        <v>0.20470128237380608</v>
      </c>
      <c r="BP357" s="120">
        <v>0.22796450311834321</v>
      </c>
      <c r="BQ357" s="120">
        <v>0.2652582925397774</v>
      </c>
    </row>
    <row r="358" spans="11:69" ht="12.75" x14ac:dyDescent="0.2">
      <c r="N358" s="153"/>
      <c r="O358" s="153"/>
      <c r="P358" s="153"/>
      <c r="Q358" s="153"/>
      <c r="R358" s="129"/>
      <c r="S358" s="153"/>
      <c r="T358" s="153"/>
      <c r="U358" s="153"/>
      <c r="V358" s="153"/>
      <c r="W358" s="153"/>
      <c r="X358" s="153"/>
      <c r="Y358" s="153"/>
      <c r="Z358" s="153"/>
      <c r="AB358" s="111"/>
      <c r="AC358" s="111"/>
      <c r="AD358" s="111"/>
      <c r="AE358" s="111"/>
      <c r="AF358" s="111"/>
      <c r="AG358" s="111"/>
      <c r="AH358" s="111"/>
      <c r="AI358" s="111"/>
      <c r="AJ358" s="111"/>
      <c r="AK358" s="111"/>
      <c r="AL358" s="111"/>
      <c r="AM358" s="111"/>
      <c r="AN358" s="111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>
        <v>8.8499031377847655E-3</v>
      </c>
      <c r="BB358" s="120">
        <v>1.1442279610213423E-2</v>
      </c>
      <c r="BC358" s="120">
        <v>1.7476360269643023E-2</v>
      </c>
      <c r="BE358" s="120">
        <v>0.24083722384560727</v>
      </c>
      <c r="BF358" s="120">
        <v>0.22281675242162413</v>
      </c>
      <c r="BG358" s="120">
        <v>0.21641337181597659</v>
      </c>
      <c r="BH358" s="120">
        <v>0.20575839647220093</v>
      </c>
      <c r="BI358" s="120">
        <v>0.20202038855331925</v>
      </c>
      <c r="BJ358" s="120">
        <v>0.19835948601507555</v>
      </c>
      <c r="BK358" s="120">
        <v>0.19265515892263038</v>
      </c>
      <c r="BL358" s="120">
        <v>0.18021086989713317</v>
      </c>
      <c r="BM358" s="120">
        <v>0.17975082860657662</v>
      </c>
      <c r="BN358" s="120">
        <v>0.17988540279216467</v>
      </c>
      <c r="BO358" s="120">
        <v>0.1868357332048497</v>
      </c>
      <c r="BP358" s="120">
        <v>0.20640387355313655</v>
      </c>
      <c r="BQ358" s="120">
        <v>0.23826060437291932</v>
      </c>
    </row>
    <row r="359" spans="11:69" ht="12.75" x14ac:dyDescent="0.2">
      <c r="N359" s="153"/>
      <c r="O359" s="153"/>
      <c r="P359" s="153"/>
      <c r="Q359" s="153"/>
      <c r="R359" s="129"/>
      <c r="S359" s="153"/>
      <c r="T359" s="153"/>
      <c r="U359" s="153"/>
      <c r="V359" s="153"/>
      <c r="W359" s="153"/>
      <c r="X359" s="153"/>
      <c r="Y359" s="153"/>
      <c r="Z359" s="153"/>
      <c r="AB359" s="111"/>
      <c r="AC359" s="111"/>
      <c r="AD359" s="111"/>
      <c r="AE359" s="111"/>
      <c r="AF359" s="111"/>
      <c r="AG359" s="111"/>
      <c r="AH359" s="111"/>
      <c r="AI359" s="111"/>
      <c r="AJ359" s="111"/>
      <c r="AK359" s="111"/>
      <c r="AL359" s="111"/>
      <c r="AM359" s="111"/>
      <c r="AN359" s="111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>
        <v>8.7821381304950385E-3</v>
      </c>
      <c r="BB359" s="120">
        <v>1.1017379127399737E-2</v>
      </c>
      <c r="BC359" s="120">
        <v>1.6626219967243189E-2</v>
      </c>
      <c r="BE359" s="120">
        <v>0.23626118385226416</v>
      </c>
      <c r="BF359" s="120">
        <v>0.21883239852439246</v>
      </c>
      <c r="BG359" s="120">
        <v>0.21905671163482041</v>
      </c>
      <c r="BH359" s="120">
        <v>0.21256173998052028</v>
      </c>
      <c r="BI359" s="120">
        <v>0.20727366074525627</v>
      </c>
      <c r="BJ359" s="120">
        <v>0.20205406061340778</v>
      </c>
      <c r="BK359" s="120">
        <v>0.19227903445586675</v>
      </c>
      <c r="BL359" s="120">
        <v>0.18377371074492757</v>
      </c>
      <c r="BM359" s="120">
        <v>0.17341614790465193</v>
      </c>
      <c r="BN359" s="120">
        <v>0.17365358679999393</v>
      </c>
      <c r="BO359" s="120">
        <v>0.17970316419534663</v>
      </c>
      <c r="BP359" s="120">
        <v>0.19293797503518947</v>
      </c>
      <c r="BQ359" s="120">
        <v>0.22070676298928066</v>
      </c>
    </row>
    <row r="360" spans="11:69" ht="12.75" x14ac:dyDescent="0.2">
      <c r="N360" s="153"/>
      <c r="O360" s="153"/>
      <c r="P360" s="153"/>
      <c r="Q360" s="153"/>
      <c r="R360" s="129"/>
      <c r="S360" s="153"/>
      <c r="T360" s="153"/>
      <c r="U360" s="153"/>
      <c r="V360" s="153"/>
      <c r="W360" s="153"/>
      <c r="X360" s="153"/>
      <c r="Y360" s="153"/>
      <c r="Z360" s="153"/>
      <c r="AB360" s="111"/>
      <c r="AC360" s="111"/>
      <c r="AD360" s="111"/>
      <c r="AE360" s="111"/>
      <c r="AF360" s="111"/>
      <c r="AG360" s="111"/>
      <c r="AH360" s="111"/>
      <c r="AI360" s="111"/>
      <c r="AJ360" s="111"/>
      <c r="AK360" s="111"/>
      <c r="AL360" s="111"/>
      <c r="AM360" s="111"/>
      <c r="AN360" s="111"/>
      <c r="AQ360" s="120"/>
      <c r="AR360" s="120"/>
      <c r="AS360" s="120"/>
      <c r="AT360" s="120"/>
      <c r="AU360" s="120"/>
      <c r="AV360" s="120"/>
      <c r="AW360" s="120"/>
      <c r="AX360" s="120"/>
      <c r="AY360" s="120"/>
      <c r="AZ360" s="120"/>
      <c r="BA360" s="120">
        <v>8.4836790056412315E-3</v>
      </c>
      <c r="BB360" s="120">
        <v>1.0615124505619017E-2</v>
      </c>
      <c r="BC360" s="120">
        <v>1.5726005249918865E-2</v>
      </c>
      <c r="BE360" s="120">
        <v>0.236780593883893</v>
      </c>
      <c r="BF360" s="120">
        <v>0.22577768958708982</v>
      </c>
      <c r="BG360" s="120">
        <v>0.21892031530689979</v>
      </c>
      <c r="BH360" s="120">
        <v>0.21633716682133167</v>
      </c>
      <c r="BI360" s="120">
        <v>0.20979206184232302</v>
      </c>
      <c r="BJ360" s="120">
        <v>0.20331068397403323</v>
      </c>
      <c r="BK360" s="120">
        <v>0.19121863173108533</v>
      </c>
      <c r="BL360" s="120">
        <v>0.17605073438600297</v>
      </c>
      <c r="BM360" s="120">
        <v>0.17606561212815036</v>
      </c>
      <c r="BN360" s="120">
        <v>0.17185222269662548</v>
      </c>
      <c r="BO360" s="120">
        <v>0.16862009628585126</v>
      </c>
      <c r="BP360" s="120">
        <v>0.18084373611128285</v>
      </c>
      <c r="BQ360" s="120">
        <v>0.20343802421722051</v>
      </c>
    </row>
    <row r="361" spans="11:69" ht="12.75" x14ac:dyDescent="0.2">
      <c r="N361" s="153"/>
      <c r="O361" s="153"/>
      <c r="P361" s="153"/>
      <c r="Q361" s="153"/>
      <c r="R361" s="129"/>
      <c r="S361" s="153"/>
      <c r="T361" s="153"/>
      <c r="U361" s="153"/>
      <c r="V361" s="153"/>
      <c r="W361" s="153"/>
      <c r="X361" s="153"/>
      <c r="Y361" s="153"/>
      <c r="Z361" s="153"/>
      <c r="AB361" s="111"/>
      <c r="AC361" s="111"/>
      <c r="AD361" s="111"/>
      <c r="AE361" s="111"/>
      <c r="AF361" s="111"/>
      <c r="AG361" s="111"/>
      <c r="AH361" s="111"/>
      <c r="AI361" s="111"/>
      <c r="AJ361" s="111"/>
      <c r="AK361" s="111"/>
      <c r="AL361" s="111"/>
      <c r="AM361" s="111"/>
      <c r="AN361" s="111"/>
      <c r="AQ361" s="120"/>
      <c r="AR361" s="120"/>
      <c r="AS361" s="120"/>
      <c r="AT361" s="120"/>
      <c r="AU361" s="120"/>
      <c r="AV361" s="120"/>
      <c r="AW361" s="120"/>
      <c r="AX361" s="120"/>
      <c r="AY361" s="120"/>
      <c r="AZ361" s="120"/>
      <c r="BA361" s="120">
        <v>8.5435115786285428E-3</v>
      </c>
      <c r="BB361" s="120">
        <v>1.0119530305670204E-2</v>
      </c>
      <c r="BC361" s="120">
        <v>1.5228311725893352E-2</v>
      </c>
      <c r="BE361" s="120">
        <v>0.22607038061507195</v>
      </c>
      <c r="BF361" s="120">
        <v>0.21474659914993122</v>
      </c>
      <c r="BG361" s="120">
        <v>0.21031935608722738</v>
      </c>
      <c r="BH361" s="120">
        <v>0.20677458728370698</v>
      </c>
      <c r="BI361" s="120">
        <v>0.20286718818436608</v>
      </c>
      <c r="BJ361" s="120">
        <v>0.19895495793507142</v>
      </c>
      <c r="BK361" s="120">
        <v>0.19132230777442555</v>
      </c>
      <c r="BL361" s="120">
        <v>0.17864506330548816</v>
      </c>
      <c r="BM361" s="120">
        <v>0.16711479881411381</v>
      </c>
      <c r="BN361" s="120">
        <v>0.16581322367613532</v>
      </c>
      <c r="BO361" s="120">
        <v>0.16682263607236797</v>
      </c>
      <c r="BP361" s="120">
        <v>0.16930210489330852</v>
      </c>
      <c r="BQ361" s="120">
        <v>0.19394705050521099</v>
      </c>
    </row>
    <row r="362" spans="11:69" ht="12.75" x14ac:dyDescent="0.2">
      <c r="N362" s="153"/>
      <c r="O362" s="153"/>
      <c r="P362" s="153"/>
      <c r="Q362" s="153"/>
      <c r="R362" s="129"/>
      <c r="S362" s="153"/>
      <c r="T362" s="153"/>
      <c r="U362" s="153"/>
      <c r="V362" s="153"/>
      <c r="W362" s="153"/>
      <c r="X362" s="153"/>
      <c r="Y362" s="141"/>
      <c r="Z362" s="153"/>
      <c r="AB362" s="111"/>
      <c r="AC362" s="111"/>
      <c r="AD362" s="111"/>
      <c r="AE362" s="111"/>
      <c r="AF362" s="111"/>
      <c r="AG362" s="111"/>
      <c r="AH362" s="111"/>
      <c r="AI362" s="111"/>
      <c r="AJ362" s="111"/>
      <c r="AK362" s="111"/>
      <c r="AL362" s="111"/>
      <c r="AM362" s="111"/>
      <c r="AN362" s="111"/>
      <c r="AQ362" s="120"/>
      <c r="AR362" s="120"/>
      <c r="AS362" s="120"/>
      <c r="AT362" s="120"/>
      <c r="AU362" s="120"/>
      <c r="AV362" s="120"/>
      <c r="AW362" s="120"/>
      <c r="AX362" s="120"/>
      <c r="AY362" s="120"/>
      <c r="AZ362" s="120"/>
      <c r="BA362" s="120">
        <v>8.1382408046039856E-3</v>
      </c>
      <c r="BB362" s="120">
        <v>8.4723984885570047E-3</v>
      </c>
      <c r="BC362" s="120">
        <v>1.4301727031991543E-2</v>
      </c>
      <c r="BE362" s="120">
        <v>0.22702022897013052</v>
      </c>
      <c r="BF362" s="120">
        <v>0.21786607261229296</v>
      </c>
      <c r="BG362" s="120">
        <v>0.20344825655473694</v>
      </c>
      <c r="BH362" s="120">
        <v>0.20045424995677866</v>
      </c>
      <c r="BI362" s="120">
        <v>0.19486319174255298</v>
      </c>
      <c r="BJ362" s="120">
        <v>0.18936413715042941</v>
      </c>
      <c r="BK362" s="120">
        <v>0.18742840945237366</v>
      </c>
      <c r="BL362" s="120">
        <v>0.17778446865185221</v>
      </c>
      <c r="BM362" s="120">
        <v>0.17222004253339526</v>
      </c>
      <c r="BN362" s="120">
        <v>0.1610660479866404</v>
      </c>
      <c r="BO362" s="120">
        <v>0.15670178139150323</v>
      </c>
      <c r="BP362" s="120">
        <v>0.13947605193113577</v>
      </c>
      <c r="BQ362" s="120">
        <v>0.17984927888460039</v>
      </c>
    </row>
    <row r="363" spans="11:69" ht="12.75" x14ac:dyDescent="0.2">
      <c r="N363" s="153"/>
      <c r="O363" s="153"/>
      <c r="P363" s="153"/>
      <c r="Q363" s="153"/>
      <c r="R363" s="129"/>
      <c r="S363" s="153"/>
      <c r="T363" s="153"/>
      <c r="U363" s="153"/>
      <c r="V363" s="153"/>
      <c r="W363" s="153"/>
      <c r="X363" s="153"/>
      <c r="Y363" s="153"/>
      <c r="Z363" s="153"/>
      <c r="AB363" s="111"/>
      <c r="AC363" s="111"/>
      <c r="AD363" s="111"/>
      <c r="AE363" s="111"/>
      <c r="AF363" s="111"/>
      <c r="AG363" s="111"/>
      <c r="AH363" s="111"/>
      <c r="AI363" s="111"/>
      <c r="AJ363" s="111"/>
      <c r="AK363" s="111"/>
      <c r="AL363" s="111"/>
      <c r="AM363" s="111"/>
      <c r="AN363" s="111"/>
      <c r="AQ363" s="120"/>
      <c r="AR363" s="120"/>
      <c r="AS363" s="120"/>
      <c r="AT363" s="120"/>
      <c r="AU363" s="120"/>
      <c r="AV363" s="120"/>
      <c r="AW363" s="120"/>
      <c r="AX363" s="120"/>
      <c r="AY363" s="120"/>
      <c r="AZ363" s="120"/>
      <c r="BA363" s="120">
        <v>7.6702641614460566E-3</v>
      </c>
      <c r="BB363" s="120">
        <v>1.0131872253556747E-2</v>
      </c>
      <c r="BC363" s="120">
        <v>1.1537062795371259E-2</v>
      </c>
      <c r="BE363" s="120">
        <v>0.20112334185446271</v>
      </c>
      <c r="BF363" s="120">
        <v>0.19472941194581722</v>
      </c>
      <c r="BG363" s="120">
        <v>0.20057383234736148</v>
      </c>
      <c r="BH363" s="120">
        <v>0.19069421123937386</v>
      </c>
      <c r="BI363" s="120">
        <v>0.18734803407634937</v>
      </c>
      <c r="BJ363" s="120">
        <v>0.1840164687074628</v>
      </c>
      <c r="BK363" s="120">
        <v>0.17394608825900088</v>
      </c>
      <c r="BL363" s="120">
        <v>0.16639020442671645</v>
      </c>
      <c r="BM363" s="120">
        <v>0.15522740234000265</v>
      </c>
      <c r="BN363" s="120">
        <v>0.15538284863197641</v>
      </c>
      <c r="BO363" s="120">
        <v>0.14515396592141619</v>
      </c>
      <c r="BP363" s="120">
        <v>0.16521052300945296</v>
      </c>
      <c r="BQ363" s="120">
        <v>0.14225372876280123</v>
      </c>
    </row>
    <row r="364" spans="11:69" ht="12.75" x14ac:dyDescent="0.2">
      <c r="N364" s="153"/>
      <c r="O364" s="153"/>
      <c r="P364" s="153"/>
      <c r="Q364" s="153"/>
      <c r="R364" s="129"/>
      <c r="S364" s="153"/>
      <c r="T364" s="153"/>
      <c r="U364" s="153"/>
      <c r="V364" s="153"/>
      <c r="W364" s="153"/>
      <c r="X364" s="153"/>
      <c r="Y364" s="153"/>
      <c r="Z364" s="153"/>
      <c r="AB364" s="111"/>
      <c r="AC364" s="111"/>
      <c r="AD364" s="111"/>
      <c r="AE364" s="111"/>
      <c r="AF364" s="111"/>
      <c r="AG364" s="111"/>
      <c r="AH364" s="111"/>
      <c r="AI364" s="111"/>
      <c r="AJ364" s="111"/>
      <c r="AK364" s="111"/>
      <c r="AL364" s="111"/>
      <c r="AM364" s="111"/>
      <c r="AN364" s="111"/>
      <c r="AQ364" s="120"/>
      <c r="AR364" s="120"/>
      <c r="AS364" s="120"/>
      <c r="AT364" s="120"/>
      <c r="AU364" s="120"/>
      <c r="AV364" s="120"/>
      <c r="AW364" s="120"/>
      <c r="AX364" s="120"/>
      <c r="AY364" s="120"/>
      <c r="AZ364" s="120"/>
      <c r="BA364" s="120">
        <v>7.5690214147574727E-3</v>
      </c>
      <c r="BB364" s="120">
        <v>7.3549142450369566E-3</v>
      </c>
      <c r="BC364" s="120">
        <v>1.0787050817921466E-2</v>
      </c>
      <c r="BE364" s="120">
        <v>0.20482413149010745</v>
      </c>
      <c r="BF364" s="120">
        <v>0.19134687737395384</v>
      </c>
      <c r="BG364" s="120">
        <v>0.17871854744332763</v>
      </c>
      <c r="BH364" s="120">
        <v>0.18503739405141312</v>
      </c>
      <c r="BI364" s="120">
        <v>0.1800675357964398</v>
      </c>
      <c r="BJ364" s="120">
        <v>0.17515639961853616</v>
      </c>
      <c r="BK364" s="120">
        <v>0.17568679765125708</v>
      </c>
      <c r="BL364" s="120">
        <v>0.16023087248046086</v>
      </c>
      <c r="BM364" s="120">
        <v>0.16097112877469411</v>
      </c>
      <c r="BN364" s="120">
        <v>0.14711349554987987</v>
      </c>
      <c r="BO364" s="120">
        <v>0.14328027025504037</v>
      </c>
      <c r="BP364" s="120">
        <v>0.11878959070567062</v>
      </c>
      <c r="BQ364" s="120">
        <v>0.13324308333098139</v>
      </c>
    </row>
    <row r="365" spans="11:69" ht="12.75" x14ac:dyDescent="0.2">
      <c r="N365" s="153"/>
      <c r="O365" s="153"/>
      <c r="P365" s="153"/>
      <c r="Q365" s="153"/>
      <c r="R365" s="129"/>
      <c r="S365" s="153"/>
      <c r="T365" s="153"/>
      <c r="U365" s="153"/>
      <c r="V365" s="153"/>
      <c r="W365" s="153"/>
      <c r="X365" s="153"/>
      <c r="Y365" s="153"/>
      <c r="Z365" s="153"/>
      <c r="AB365" s="111"/>
      <c r="AC365" s="111"/>
      <c r="AD365" s="111"/>
      <c r="AE365" s="111"/>
      <c r="AF365" s="111"/>
      <c r="AG365" s="111"/>
      <c r="AH365" s="111"/>
      <c r="AI365" s="111"/>
      <c r="AJ365" s="111"/>
      <c r="AK365" s="111"/>
      <c r="AL365" s="111"/>
      <c r="AM365" s="111"/>
      <c r="AN365" s="111"/>
      <c r="AQ365" s="120"/>
      <c r="AR365" s="120"/>
      <c r="AS365" s="120"/>
      <c r="AT365" s="120"/>
      <c r="AU365" s="120"/>
      <c r="AV365" s="120"/>
      <c r="AW365" s="120"/>
      <c r="AX365" s="120"/>
      <c r="AY365" s="120"/>
      <c r="AZ365" s="120"/>
      <c r="BA365" s="120">
        <v>7.1601398702070881E-3</v>
      </c>
      <c r="BB365" s="120">
        <v>8.5135767325266593E-3</v>
      </c>
      <c r="BC365" s="120">
        <v>9.419563726085144E-3</v>
      </c>
      <c r="BE365" s="120">
        <v>0.18525793441426025</v>
      </c>
      <c r="BF365" s="120">
        <v>0.1823496287213531</v>
      </c>
      <c r="BG365" s="120">
        <v>0.1884499347722714</v>
      </c>
      <c r="BH365" s="120">
        <v>0.17801884960453832</v>
      </c>
      <c r="BI365" s="120">
        <v>0.17653933487103332</v>
      </c>
      <c r="BJ365" s="120">
        <v>0.17506647219892979</v>
      </c>
      <c r="BK365" s="120">
        <v>0.16754447821787363</v>
      </c>
      <c r="BL365" s="120">
        <v>0.16594189444761251</v>
      </c>
      <c r="BM365" s="120">
        <v>0.15175953262365202</v>
      </c>
      <c r="BN365" s="120">
        <v>0.15468731540160152</v>
      </c>
      <c r="BO365" s="120">
        <v>0.14098553951940734</v>
      </c>
      <c r="BP365" s="120">
        <v>0.14345288057719127</v>
      </c>
      <c r="BQ365" s="120">
        <v>0.11999627857963335</v>
      </c>
    </row>
    <row r="366" spans="11:69" ht="12.75" x14ac:dyDescent="0.2">
      <c r="N366" s="153"/>
      <c r="O366" s="153"/>
      <c r="P366" s="153"/>
      <c r="Q366" s="153"/>
      <c r="R366" s="129"/>
      <c r="S366" s="153"/>
      <c r="T366" s="153"/>
      <c r="U366" s="153"/>
      <c r="V366" s="153"/>
      <c r="W366" s="153"/>
      <c r="X366" s="153"/>
      <c r="Y366" s="153"/>
      <c r="Z366" s="153"/>
      <c r="AB366" s="111"/>
      <c r="AC366" s="111"/>
      <c r="AD366" s="111"/>
      <c r="AE366" s="111"/>
      <c r="AF366" s="111"/>
      <c r="AG366" s="111"/>
      <c r="AH366" s="111"/>
      <c r="AI366" s="111"/>
      <c r="AJ366" s="111"/>
      <c r="AK366" s="111"/>
      <c r="AL366" s="111"/>
      <c r="AM366" s="111"/>
      <c r="AN366" s="111"/>
      <c r="AQ366" s="120"/>
      <c r="AR366" s="120"/>
      <c r="AS366" s="120"/>
      <c r="AT366" s="120"/>
      <c r="AU366" s="120"/>
      <c r="AV366" s="120"/>
      <c r="AW366" s="120"/>
      <c r="AX366" s="120"/>
      <c r="AY366" s="120"/>
      <c r="AZ366" s="120"/>
      <c r="BA366" s="120">
        <v>7.2406365756105045E-3</v>
      </c>
      <c r="BB366" s="120">
        <v>7.483105205022763E-3</v>
      </c>
      <c r="BC366" s="120">
        <v>9.8638842502575663E-3</v>
      </c>
      <c r="BE366" s="120">
        <v>0.20155307997346503</v>
      </c>
      <c r="BF366" s="120">
        <v>0.19014300559940084</v>
      </c>
      <c r="BG366" s="120">
        <v>0.18454923389952396</v>
      </c>
      <c r="BH366" s="120">
        <v>0.18071571377213203</v>
      </c>
      <c r="BI366" s="120">
        <v>0.17980282754131416</v>
      </c>
      <c r="BJ366" s="120">
        <v>0.1789489428198999</v>
      </c>
      <c r="BK366" s="120">
        <v>0.17089503563322017</v>
      </c>
      <c r="BL366" s="120">
        <v>0.15774179675305106</v>
      </c>
      <c r="BM366" s="120">
        <v>0.15860873842008097</v>
      </c>
      <c r="BN366" s="120">
        <v>0.14738029899211569</v>
      </c>
      <c r="BO366" s="120">
        <v>0.14653340310978977</v>
      </c>
      <c r="BP366" s="120">
        <v>0.12933901067143547</v>
      </c>
      <c r="BQ366" s="120">
        <v>0.12866395862015401</v>
      </c>
    </row>
    <row r="367" spans="11:69" ht="12.75" x14ac:dyDescent="0.2">
      <c r="N367" s="153"/>
      <c r="O367" s="153"/>
      <c r="P367" s="153"/>
      <c r="Q367" s="153"/>
      <c r="R367" s="129"/>
      <c r="S367" s="153"/>
      <c r="T367" s="153"/>
      <c r="U367" s="153"/>
      <c r="V367" s="153"/>
      <c r="W367" s="153"/>
      <c r="X367" s="153"/>
      <c r="Y367" s="153"/>
      <c r="Z367" s="153"/>
      <c r="AB367" s="111"/>
      <c r="AC367" s="111"/>
      <c r="AD367" s="111"/>
      <c r="AE367" s="111"/>
      <c r="AF367" s="111"/>
      <c r="AG367" s="111"/>
      <c r="AH367" s="111"/>
      <c r="AI367" s="111"/>
      <c r="AJ367" s="111"/>
      <c r="AK367" s="111"/>
      <c r="AL367" s="111"/>
      <c r="AM367" s="111"/>
      <c r="AN367" s="111"/>
      <c r="AQ367" s="120"/>
      <c r="AR367" s="120"/>
      <c r="AS367" s="120"/>
      <c r="AT367" s="120"/>
      <c r="AU367" s="120"/>
      <c r="AV367" s="120"/>
      <c r="AW367" s="120"/>
      <c r="AX367" s="120"/>
      <c r="AY367" s="120"/>
      <c r="AZ367" s="120"/>
      <c r="BA367" s="120">
        <v>6.5578341929772412E-3</v>
      </c>
      <c r="BB367" s="120">
        <v>7.4604257293788036E-3</v>
      </c>
      <c r="BC367" s="120">
        <v>9.0583280379873208E-3</v>
      </c>
      <c r="BE367" s="120">
        <v>0.17860147720786074</v>
      </c>
      <c r="BF367" s="120">
        <v>0.17717979457340427</v>
      </c>
      <c r="BG367" s="120">
        <v>0.17606367162689085</v>
      </c>
      <c r="BH367" s="120">
        <v>0.18011397529304163</v>
      </c>
      <c r="BI367" s="120">
        <v>0.17203376537559653</v>
      </c>
      <c r="BJ367" s="120">
        <v>0.16388085922299223</v>
      </c>
      <c r="BK367" s="120">
        <v>0.16976797921551681</v>
      </c>
      <c r="BL367" s="120">
        <v>0.16595226020865342</v>
      </c>
      <c r="BM367" s="120">
        <v>0.15437764415936464</v>
      </c>
      <c r="BN367" s="120">
        <v>0.15460018060969166</v>
      </c>
      <c r="BO367" s="120">
        <v>0.13484659548585973</v>
      </c>
      <c r="BP367" s="120">
        <v>0.13060563493431074</v>
      </c>
      <c r="BQ367" s="120">
        <v>0.11989234547226248</v>
      </c>
    </row>
    <row r="369" spans="11:69" x14ac:dyDescent="0.2">
      <c r="S369" s="126"/>
      <c r="T369" s="126"/>
      <c r="U369" s="126"/>
      <c r="V369" s="126"/>
      <c r="W369" s="126"/>
      <c r="X369" s="126"/>
      <c r="Y369" s="126"/>
      <c r="Z369" s="126"/>
      <c r="AQ369" s="106"/>
    </row>
    <row r="370" spans="11:69" ht="12.75" x14ac:dyDescent="0.2">
      <c r="K370" s="105"/>
      <c r="N370" s="153"/>
      <c r="O370" s="153"/>
      <c r="P370" s="153"/>
      <c r="Q370" s="153"/>
      <c r="R370" s="129"/>
      <c r="S370" s="153"/>
      <c r="T370" s="153"/>
      <c r="U370" s="153"/>
      <c r="V370" s="153"/>
      <c r="W370" s="153"/>
      <c r="X370" s="153"/>
      <c r="Y370" s="153"/>
      <c r="Z370" s="153"/>
      <c r="AB370" s="111"/>
      <c r="AC370" s="111"/>
      <c r="AD370" s="111"/>
      <c r="AE370" s="111"/>
      <c r="AF370" s="111"/>
      <c r="AG370" s="111"/>
      <c r="AH370" s="111"/>
      <c r="AI370" s="111"/>
      <c r="AJ370" s="111"/>
      <c r="AK370" s="111"/>
      <c r="AL370" s="111"/>
      <c r="AM370" s="111"/>
      <c r="AN370" s="111"/>
      <c r="AQ370" s="120"/>
      <c r="AR370" s="120"/>
      <c r="AS370" s="120"/>
      <c r="AT370" s="120"/>
      <c r="AU370" s="120"/>
      <c r="AV370" s="120"/>
      <c r="AW370" s="120"/>
      <c r="AX370" s="120"/>
      <c r="AY370" s="120"/>
      <c r="AZ370" s="120"/>
      <c r="BA370" s="120">
        <v>1.2850049447046357E-2</v>
      </c>
      <c r="BB370" s="120">
        <v>1.8726356562193926E-2</v>
      </c>
      <c r="BC370" s="120">
        <v>3.3038744038950879E-2</v>
      </c>
      <c r="BE370" s="120">
        <v>9.6077137964160064E-2</v>
      </c>
      <c r="BF370" s="120">
        <v>7.6646051606447441E-2</v>
      </c>
      <c r="BG370" s="120">
        <v>8.3135014307634647E-2</v>
      </c>
      <c r="BH370" s="120">
        <v>9.6174817344341385E-2</v>
      </c>
      <c r="BI370" s="120">
        <v>0.10979869203184728</v>
      </c>
      <c r="BJ370" s="120">
        <v>0.1236189895263818</v>
      </c>
      <c r="BK370" s="120">
        <v>0.14944023761538797</v>
      </c>
      <c r="BL370" s="120">
        <v>0.19235287151304459</v>
      </c>
      <c r="BM370" s="120">
        <v>0.2293134458969214</v>
      </c>
      <c r="BN370" s="120">
        <v>0.26045210915058381</v>
      </c>
      <c r="BO370" s="120">
        <v>0.30869011261659163</v>
      </c>
      <c r="BP370" s="120">
        <v>0.38183015817547361</v>
      </c>
      <c r="BQ370" s="120">
        <v>0.50618836360405706</v>
      </c>
    </row>
    <row r="371" spans="11:69" ht="12.75" x14ac:dyDescent="0.2">
      <c r="N371" s="153"/>
      <c r="O371" s="153"/>
      <c r="P371" s="153"/>
      <c r="Q371" s="153"/>
      <c r="R371" s="129"/>
      <c r="S371" s="153"/>
      <c r="T371" s="153"/>
      <c r="U371" s="153"/>
      <c r="V371" s="153"/>
      <c r="W371" s="153"/>
      <c r="X371" s="153"/>
      <c r="Y371" s="153"/>
      <c r="Z371" s="153"/>
      <c r="AB371" s="111"/>
      <c r="AC371" s="111"/>
      <c r="AD371" s="111"/>
      <c r="AE371" s="111"/>
      <c r="AF371" s="111"/>
      <c r="AG371" s="111"/>
      <c r="AH371" s="111"/>
      <c r="AI371" s="111"/>
      <c r="AJ371" s="111"/>
      <c r="AK371" s="111"/>
      <c r="AL371" s="111"/>
      <c r="AM371" s="111"/>
      <c r="AN371" s="111"/>
      <c r="AQ371" s="120"/>
      <c r="AR371" s="120"/>
      <c r="AS371" s="120"/>
      <c r="AT371" s="120"/>
      <c r="AU371" s="120"/>
      <c r="AV371" s="120"/>
      <c r="AW371" s="120"/>
      <c r="AX371" s="120"/>
      <c r="AY371" s="120"/>
      <c r="AZ371" s="120"/>
      <c r="BA371" s="120">
        <v>1.1353276753348048E-2</v>
      </c>
      <c r="BB371" s="120">
        <v>1.6083998078532318E-2</v>
      </c>
      <c r="BC371" s="120">
        <v>2.6707891229028453E-2</v>
      </c>
      <c r="BE371" s="120">
        <v>0.13542722088176304</v>
      </c>
      <c r="BF371" s="120">
        <v>0.12061105847937996</v>
      </c>
      <c r="BG371" s="120">
        <v>0.1172942668365845</v>
      </c>
      <c r="BH371" s="120">
        <v>0.12277711667904076</v>
      </c>
      <c r="BI371" s="120">
        <v>0.1298202205700352</v>
      </c>
      <c r="BJ371" s="120">
        <v>0.13791926838424945</v>
      </c>
      <c r="BK371" s="120">
        <v>0.15369182263065503</v>
      </c>
      <c r="BL371" s="120">
        <v>0.18610563532798391</v>
      </c>
      <c r="BM371" s="120">
        <v>0.21343575035671375</v>
      </c>
      <c r="BN371" s="120">
        <v>0.23639667641322004</v>
      </c>
      <c r="BO371" s="120">
        <v>0.27578191918821837</v>
      </c>
      <c r="BP371" s="120">
        <v>0.33175757974111031</v>
      </c>
      <c r="BQ371" s="120">
        <v>0.41118977276335478</v>
      </c>
    </row>
    <row r="372" spans="11:69" ht="12.75" x14ac:dyDescent="0.2">
      <c r="N372" s="153"/>
      <c r="O372" s="153"/>
      <c r="P372" s="153"/>
      <c r="Q372" s="153"/>
      <c r="R372" s="129"/>
      <c r="S372" s="153"/>
      <c r="T372" s="153"/>
      <c r="U372" s="153"/>
      <c r="V372" s="153"/>
      <c r="W372" s="153"/>
      <c r="X372" s="153"/>
      <c r="Y372" s="153"/>
      <c r="Z372" s="153"/>
      <c r="AB372" s="111"/>
      <c r="AC372" s="111"/>
      <c r="AD372" s="111"/>
      <c r="AE372" s="111"/>
      <c r="AF372" s="111"/>
      <c r="AG372" s="111"/>
      <c r="AH372" s="111"/>
      <c r="AI372" s="111"/>
      <c r="AJ372" s="111"/>
      <c r="AK372" s="111"/>
      <c r="AL372" s="111"/>
      <c r="AM372" s="111"/>
      <c r="AN372" s="111"/>
      <c r="AQ372" s="120"/>
      <c r="AR372" s="120"/>
      <c r="AS372" s="120"/>
      <c r="AT372" s="120"/>
      <c r="AU372" s="120"/>
      <c r="AV372" s="120"/>
      <c r="AW372" s="120"/>
      <c r="AX372" s="120"/>
      <c r="AY372" s="120"/>
      <c r="AZ372" s="120"/>
      <c r="BA372" s="120">
        <v>9.6709964012855702E-3</v>
      </c>
      <c r="BB372" s="120">
        <v>1.3393455098090274E-2</v>
      </c>
      <c r="BC372" s="120">
        <v>2.1836443399114402E-2</v>
      </c>
      <c r="BE372" s="120">
        <v>0.1390991645758235</v>
      </c>
      <c r="BF372" s="120">
        <v>0.1173742773084698</v>
      </c>
      <c r="BG372" s="120">
        <v>0.11400948227006277</v>
      </c>
      <c r="BH372" s="120">
        <v>0.1153132481233177</v>
      </c>
      <c r="BI372" s="120">
        <v>0.12148141488755054</v>
      </c>
      <c r="BJ372" s="120">
        <v>0.1275844033153759</v>
      </c>
      <c r="BK372" s="120">
        <v>0.13971079689826787</v>
      </c>
      <c r="BL372" s="120">
        <v>0.16185013851890578</v>
      </c>
      <c r="BM372" s="120">
        <v>0.18192328170757552</v>
      </c>
      <c r="BN372" s="120">
        <v>0.19897431057964823</v>
      </c>
      <c r="BO372" s="120">
        <v>0.226050848073229</v>
      </c>
      <c r="BP372" s="120">
        <v>0.26612741452126537</v>
      </c>
      <c r="BQ372" s="120">
        <v>0.3251993750161622</v>
      </c>
    </row>
    <row r="373" spans="11:69" ht="12.75" x14ac:dyDescent="0.2">
      <c r="N373" s="153"/>
      <c r="O373" s="153"/>
      <c r="P373" s="153"/>
      <c r="Q373" s="153"/>
      <c r="R373" s="129"/>
      <c r="S373" s="153"/>
      <c r="T373" s="153"/>
      <c r="U373" s="153"/>
      <c r="V373" s="153"/>
      <c r="W373" s="153"/>
      <c r="X373" s="153"/>
      <c r="Y373" s="153"/>
      <c r="Z373" s="153"/>
      <c r="AB373" s="111"/>
      <c r="AC373" s="111"/>
      <c r="AD373" s="111"/>
      <c r="AE373" s="111"/>
      <c r="AF373" s="111"/>
      <c r="AG373" s="111"/>
      <c r="AH373" s="111"/>
      <c r="AI373" s="111"/>
      <c r="AJ373" s="111"/>
      <c r="AK373" s="111"/>
      <c r="AL373" s="111"/>
      <c r="AM373" s="111"/>
      <c r="AN373" s="111"/>
      <c r="AQ373" s="120"/>
      <c r="AR373" s="120"/>
      <c r="AS373" s="120"/>
      <c r="AT373" s="120"/>
      <c r="AU373" s="120"/>
      <c r="AV373" s="120"/>
      <c r="AW373" s="120"/>
      <c r="AX373" s="120"/>
      <c r="AY373" s="120"/>
      <c r="AZ373" s="120"/>
      <c r="BA373" s="120">
        <v>8.6213592518352301E-3</v>
      </c>
      <c r="BB373" s="120">
        <v>1.1205727676881442E-2</v>
      </c>
      <c r="BC373" s="120">
        <v>1.7053619496021286E-2</v>
      </c>
      <c r="BE373" s="120">
        <v>0.20979133656944651</v>
      </c>
      <c r="BF373" s="120">
        <v>0.20034108015089744</v>
      </c>
      <c r="BG373" s="120">
        <v>0.19477016104987227</v>
      </c>
      <c r="BH373" s="120">
        <v>0.192587194364542</v>
      </c>
      <c r="BI373" s="120">
        <v>0.18611077499660253</v>
      </c>
      <c r="BJ373" s="120">
        <v>0.1805764548555478</v>
      </c>
      <c r="BK373" s="120">
        <v>0.1735465329033567</v>
      </c>
      <c r="BL373" s="120">
        <v>0.17281572572326453</v>
      </c>
      <c r="BM373" s="120">
        <v>0.17562533223766016</v>
      </c>
      <c r="BN373" s="120">
        <v>0.18135601508615901</v>
      </c>
      <c r="BO373" s="120">
        <v>0.19488084785024645</v>
      </c>
      <c r="BP373" s="120">
        <v>0.21537431863519285</v>
      </c>
      <c r="BQ373" s="120">
        <v>0.24519656203405724</v>
      </c>
    </row>
    <row r="374" spans="11:69" ht="12.75" x14ac:dyDescent="0.2">
      <c r="N374" s="153"/>
      <c r="O374" s="153"/>
      <c r="P374" s="153"/>
      <c r="Q374" s="153"/>
      <c r="R374" s="129"/>
      <c r="S374" s="153"/>
      <c r="T374" s="153"/>
      <c r="U374" s="153"/>
      <c r="V374" s="153"/>
      <c r="W374" s="153"/>
      <c r="X374" s="153"/>
      <c r="Y374" s="153"/>
      <c r="Z374" s="153"/>
      <c r="AB374" s="111"/>
      <c r="AC374" s="111"/>
      <c r="AD374" s="111"/>
      <c r="AE374" s="111"/>
      <c r="AF374" s="111"/>
      <c r="AG374" s="111"/>
      <c r="AH374" s="111"/>
      <c r="AI374" s="111"/>
      <c r="AJ374" s="111"/>
      <c r="AK374" s="111"/>
      <c r="AL374" s="111"/>
      <c r="AM374" s="111"/>
      <c r="AN374" s="111"/>
      <c r="AQ374" s="120"/>
      <c r="AR374" s="120"/>
      <c r="AS374" s="120"/>
      <c r="AT374" s="120"/>
      <c r="AU374" s="120"/>
      <c r="AV374" s="120"/>
      <c r="AW374" s="120"/>
      <c r="AX374" s="120"/>
      <c r="AY374" s="120"/>
      <c r="AZ374" s="120"/>
      <c r="BA374" s="120">
        <v>9.2748868004087857E-3</v>
      </c>
      <c r="BB374" s="120">
        <v>1.2196122568486191E-2</v>
      </c>
      <c r="BC374" s="120">
        <v>1.8688624145227029E-2</v>
      </c>
      <c r="BE374" s="120">
        <v>0.23189202769761114</v>
      </c>
      <c r="BF374" s="120">
        <v>0.21455031547942965</v>
      </c>
      <c r="BG374" s="120">
        <v>0.20893433258681798</v>
      </c>
      <c r="BH374" s="120">
        <v>0.19942646611117609</v>
      </c>
      <c r="BI374" s="120">
        <v>0.19614169981777924</v>
      </c>
      <c r="BJ374" s="120">
        <v>0.19290556722950855</v>
      </c>
      <c r="BK374" s="120">
        <v>0.19114645951638878</v>
      </c>
      <c r="BL374" s="120">
        <v>0.18483693891427658</v>
      </c>
      <c r="BM374" s="120">
        <v>0.1870693344727139</v>
      </c>
      <c r="BN374" s="120">
        <v>0.19194755967501997</v>
      </c>
      <c r="BO374" s="120">
        <v>0.20399136190857695</v>
      </c>
      <c r="BP374" s="120">
        <v>0.22908591698547198</v>
      </c>
      <c r="BQ374" s="120">
        <v>0.26494014009981731</v>
      </c>
    </row>
    <row r="375" spans="11:69" ht="12.75" x14ac:dyDescent="0.2">
      <c r="N375" s="153"/>
      <c r="O375" s="153"/>
      <c r="P375" s="153"/>
      <c r="Q375" s="153"/>
      <c r="R375" s="129"/>
      <c r="S375" s="153"/>
      <c r="T375" s="153"/>
      <c r="U375" s="153"/>
      <c r="V375" s="153"/>
      <c r="W375" s="153"/>
      <c r="X375" s="153"/>
      <c r="Y375" s="153"/>
      <c r="Z375" s="153"/>
      <c r="AB375" s="111"/>
      <c r="AC375" s="111"/>
      <c r="AD375" s="111"/>
      <c r="AE375" s="111"/>
      <c r="AF375" s="111"/>
      <c r="AG375" s="111"/>
      <c r="AH375" s="111"/>
      <c r="AI375" s="111"/>
      <c r="AJ375" s="111"/>
      <c r="AK375" s="111"/>
      <c r="AL375" s="111"/>
      <c r="AM375" s="111"/>
      <c r="AN375" s="111"/>
      <c r="AQ375" s="120"/>
      <c r="AR375" s="120"/>
      <c r="AS375" s="120"/>
      <c r="AT375" s="120"/>
      <c r="AU375" s="120"/>
      <c r="AV375" s="120"/>
      <c r="AW375" s="120"/>
      <c r="AX375" s="120"/>
      <c r="AY375" s="120"/>
      <c r="AZ375" s="120"/>
      <c r="BA375" s="120">
        <v>8.9493084656938268E-3</v>
      </c>
      <c r="BB375" s="120">
        <v>1.1453158203485964E-2</v>
      </c>
      <c r="BC375" s="120">
        <v>1.7587972687021915E-2</v>
      </c>
      <c r="BE375" s="120">
        <v>0.23405994041317077</v>
      </c>
      <c r="BF375" s="120">
        <v>0.22128335002999508</v>
      </c>
      <c r="BG375" s="120">
        <v>0.21616438952441622</v>
      </c>
      <c r="BH375" s="120">
        <v>0.21096107615120668</v>
      </c>
      <c r="BI375" s="120">
        <v>0.20442596792490872</v>
      </c>
      <c r="BJ375" s="120">
        <v>0.19811790032628407</v>
      </c>
      <c r="BK375" s="120">
        <v>0.1873301940925087</v>
      </c>
      <c r="BL375" s="120">
        <v>0.18014653866051533</v>
      </c>
      <c r="BM375" s="120">
        <v>0.17572041837992555</v>
      </c>
      <c r="BN375" s="120">
        <v>0.17918079980330598</v>
      </c>
      <c r="BO375" s="120">
        <v>0.18838569341288075</v>
      </c>
      <c r="BP375" s="120">
        <v>0.20593908182815482</v>
      </c>
      <c r="BQ375" s="120">
        <v>0.23910692936636885</v>
      </c>
    </row>
    <row r="376" spans="11:69" ht="12.75" x14ac:dyDescent="0.2">
      <c r="N376" s="153"/>
      <c r="O376" s="153"/>
      <c r="P376" s="153"/>
      <c r="Q376" s="153"/>
      <c r="R376" s="129"/>
      <c r="S376" s="153"/>
      <c r="T376" s="153"/>
      <c r="U376" s="153"/>
      <c r="V376" s="153"/>
      <c r="W376" s="153"/>
      <c r="X376" s="153"/>
      <c r="Y376" s="153"/>
      <c r="Z376" s="153"/>
      <c r="AB376" s="111"/>
      <c r="AC376" s="111"/>
      <c r="AD376" s="111"/>
      <c r="AE376" s="111"/>
      <c r="AF376" s="111"/>
      <c r="AG376" s="111"/>
      <c r="AH376" s="111"/>
      <c r="AI376" s="111"/>
      <c r="AJ376" s="111"/>
      <c r="AK376" s="111"/>
      <c r="AL376" s="111"/>
      <c r="AM376" s="111"/>
      <c r="AN376" s="111"/>
      <c r="AQ376" s="120"/>
      <c r="AR376" s="120"/>
      <c r="AS376" s="120"/>
      <c r="AT376" s="120"/>
      <c r="AU376" s="120"/>
      <c r="AV376" s="120"/>
      <c r="AW376" s="120"/>
      <c r="AX376" s="120"/>
      <c r="AY376" s="120"/>
      <c r="AZ376" s="120"/>
      <c r="BA376" s="120">
        <v>8.6280409037372465E-3</v>
      </c>
      <c r="BB376" s="120">
        <v>1.0861850162724077E-2</v>
      </c>
      <c r="BC376" s="120">
        <v>1.6571344583164005E-2</v>
      </c>
      <c r="BE376" s="120">
        <v>0.24504086964880156</v>
      </c>
      <c r="BF376" s="120">
        <v>0.23094124001121438</v>
      </c>
      <c r="BG376" s="120">
        <v>0.21911276569653465</v>
      </c>
      <c r="BH376" s="120">
        <v>0.21663848807862601</v>
      </c>
      <c r="BI376" s="120">
        <v>0.21134744396316882</v>
      </c>
      <c r="BJ376" s="120">
        <v>0.20609201983599584</v>
      </c>
      <c r="BK376" s="120">
        <v>0.19757575334177049</v>
      </c>
      <c r="BL376" s="120">
        <v>0.18192305733674727</v>
      </c>
      <c r="BM376" s="120">
        <v>0.17965032526007735</v>
      </c>
      <c r="BN376" s="120">
        <v>0.17567940211571145</v>
      </c>
      <c r="BO376" s="120">
        <v>0.17726592633634472</v>
      </c>
      <c r="BP376" s="120">
        <v>0.19098468145121941</v>
      </c>
      <c r="BQ376" s="120">
        <v>0.22085908614641481</v>
      </c>
    </row>
    <row r="377" spans="11:69" ht="12.75" x14ac:dyDescent="0.2">
      <c r="N377" s="153"/>
      <c r="O377" s="153"/>
      <c r="P377" s="153"/>
      <c r="Q377" s="153"/>
      <c r="R377" s="129"/>
      <c r="S377" s="153"/>
      <c r="T377" s="153"/>
      <c r="U377" s="153"/>
      <c r="V377" s="153"/>
      <c r="W377" s="153"/>
      <c r="X377" s="153"/>
      <c r="Y377" s="153"/>
      <c r="Z377" s="153"/>
      <c r="AB377" s="111"/>
      <c r="AC377" s="111"/>
      <c r="AD377" s="111"/>
      <c r="AE377" s="111"/>
      <c r="AF377" s="111"/>
      <c r="AG377" s="111"/>
      <c r="AH377" s="111"/>
      <c r="AI377" s="111"/>
      <c r="AJ377" s="111"/>
      <c r="AK377" s="111"/>
      <c r="AL377" s="111"/>
      <c r="AM377" s="111"/>
      <c r="AN377" s="111"/>
      <c r="AQ377" s="120"/>
      <c r="AR377" s="120"/>
      <c r="AS377" s="120"/>
      <c r="AT377" s="120"/>
      <c r="AU377" s="120"/>
      <c r="AV377" s="120"/>
      <c r="AW377" s="120"/>
      <c r="AX377" s="120"/>
      <c r="AY377" s="120"/>
      <c r="AZ377" s="120"/>
      <c r="BA377" s="120">
        <v>8.4847054408310092E-3</v>
      </c>
      <c r="BB377" s="120">
        <v>1.0606620518430265E-2</v>
      </c>
      <c r="BC377" s="120">
        <v>1.5761596482864598E-2</v>
      </c>
      <c r="BE377" s="120">
        <v>0.2352317235814943</v>
      </c>
      <c r="BF377" s="120">
        <v>0.21710484007562936</v>
      </c>
      <c r="BG377" s="120">
        <v>0.22006590010802587</v>
      </c>
      <c r="BH377" s="120">
        <v>0.21020206437078987</v>
      </c>
      <c r="BI377" s="120">
        <v>0.2065446167714394</v>
      </c>
      <c r="BJ377" s="120">
        <v>0.20284577138058527</v>
      </c>
      <c r="BK377" s="120">
        <v>0.19015609736775924</v>
      </c>
      <c r="BL377" s="120">
        <v>0.18129984133690191</v>
      </c>
      <c r="BM377" s="120">
        <v>0.16946139684965722</v>
      </c>
      <c r="BN377" s="120">
        <v>0.16704744625459605</v>
      </c>
      <c r="BO377" s="120">
        <v>0.16825456037951025</v>
      </c>
      <c r="BP377" s="120">
        <v>0.18029118784134085</v>
      </c>
      <c r="BQ377" s="120">
        <v>0.2034652105590824</v>
      </c>
    </row>
    <row r="378" spans="11:69" ht="12.75" x14ac:dyDescent="0.2">
      <c r="N378" s="153"/>
      <c r="O378" s="153"/>
      <c r="P378" s="153"/>
      <c r="Q378" s="153"/>
      <c r="R378" s="129"/>
      <c r="S378" s="153"/>
      <c r="T378" s="153"/>
      <c r="U378" s="153"/>
      <c r="V378" s="153"/>
      <c r="W378" s="153"/>
      <c r="X378" s="153"/>
      <c r="Y378" s="153"/>
      <c r="Z378" s="153"/>
      <c r="AB378" s="111"/>
      <c r="AC378" s="111"/>
      <c r="AD378" s="111"/>
      <c r="AE378" s="111"/>
      <c r="AF378" s="111"/>
      <c r="AG378" s="111"/>
      <c r="AH378" s="111"/>
      <c r="AI378" s="111"/>
      <c r="AJ378" s="111"/>
      <c r="AK378" s="111"/>
      <c r="AL378" s="111"/>
      <c r="AM378" s="111"/>
      <c r="AN378" s="111"/>
      <c r="AQ378" s="120"/>
      <c r="AR378" s="120"/>
      <c r="AS378" s="120"/>
      <c r="AT378" s="120"/>
      <c r="AU378" s="120"/>
      <c r="AV378" s="120"/>
      <c r="AW378" s="120"/>
      <c r="AX378" s="120"/>
      <c r="AY378" s="120"/>
      <c r="AZ378" s="120"/>
      <c r="BA378" s="120">
        <v>8.5321165084087935E-3</v>
      </c>
      <c r="BB378" s="120">
        <v>1.032828603327852E-2</v>
      </c>
      <c r="BC378" s="120">
        <v>1.5266175698164457E-2</v>
      </c>
      <c r="BE378" s="120">
        <v>0.23147456106853012</v>
      </c>
      <c r="BF378" s="120">
        <v>0.22174157190402052</v>
      </c>
      <c r="BG378" s="120">
        <v>0.21374791602121751</v>
      </c>
      <c r="BH378" s="120">
        <v>0.21231856324478851</v>
      </c>
      <c r="BI378" s="120">
        <v>0.20720921643306292</v>
      </c>
      <c r="BJ378" s="120">
        <v>0.20216019033359156</v>
      </c>
      <c r="BK378" s="120">
        <v>0.1943567485321239</v>
      </c>
      <c r="BL378" s="120">
        <v>0.17901019623643052</v>
      </c>
      <c r="BM378" s="120">
        <v>0.17545762614341873</v>
      </c>
      <c r="BN378" s="120">
        <v>0.16753967195438893</v>
      </c>
      <c r="BO378" s="120">
        <v>0.16678485256238476</v>
      </c>
      <c r="BP378" s="120">
        <v>0.17308659974552087</v>
      </c>
      <c r="BQ378" s="120">
        <v>0.19463938218441987</v>
      </c>
    </row>
    <row r="379" spans="11:69" ht="12.75" x14ac:dyDescent="0.2">
      <c r="N379" s="153"/>
      <c r="O379" s="153"/>
      <c r="P379" s="153"/>
      <c r="Q379" s="153"/>
      <c r="R379" s="129"/>
      <c r="S379" s="153"/>
      <c r="T379" s="153"/>
      <c r="U379" s="153"/>
      <c r="V379" s="153"/>
      <c r="W379" s="153"/>
      <c r="X379" s="153"/>
      <c r="Y379" s="153"/>
      <c r="Z379" s="153"/>
      <c r="AB379" s="111"/>
      <c r="AC379" s="111"/>
      <c r="AD379" s="111"/>
      <c r="AE379" s="111"/>
      <c r="AF379" s="111"/>
      <c r="AG379" s="111"/>
      <c r="AH379" s="111"/>
      <c r="AI379" s="111"/>
      <c r="AJ379" s="111"/>
      <c r="AK379" s="111"/>
      <c r="AL379" s="111"/>
      <c r="AM379" s="111"/>
      <c r="AN379" s="111"/>
      <c r="AQ379" s="120"/>
      <c r="AR379" s="120"/>
      <c r="AS379" s="120"/>
      <c r="AT379" s="120"/>
      <c r="AU379" s="120"/>
      <c r="AV379" s="120"/>
      <c r="AW379" s="120"/>
      <c r="AX379" s="120"/>
      <c r="AY379" s="120"/>
      <c r="AZ379" s="120"/>
      <c r="BA379" s="120">
        <v>8.0879078103709666E-3</v>
      </c>
      <c r="BB379" s="120">
        <v>9.8789532478427283E-3</v>
      </c>
      <c r="BC379" s="120">
        <v>1.3932435286673518E-2</v>
      </c>
      <c r="BE379" s="120">
        <v>0.22622211400871439</v>
      </c>
      <c r="BF379" s="120">
        <v>0.21639823477897713</v>
      </c>
      <c r="BG379" s="120">
        <v>0.2031312675479211</v>
      </c>
      <c r="BH379" s="120">
        <v>0.1993692112357302</v>
      </c>
      <c r="BI379" s="120">
        <v>0.19414114467330587</v>
      </c>
      <c r="BJ379" s="120">
        <v>0.18898176586233409</v>
      </c>
      <c r="BK379" s="120">
        <v>0.18702834393334014</v>
      </c>
      <c r="BL379" s="120">
        <v>0.17815593004113953</v>
      </c>
      <c r="BM379" s="120">
        <v>0.16305380155872218</v>
      </c>
      <c r="BN379" s="120">
        <v>0.16559945270838497</v>
      </c>
      <c r="BO379" s="120">
        <v>0.15564687115151604</v>
      </c>
      <c r="BP379" s="120">
        <v>0.16316757143227406</v>
      </c>
      <c r="BQ379" s="120">
        <v>0.17497997424049777</v>
      </c>
    </row>
    <row r="380" spans="11:69" ht="12.75" x14ac:dyDescent="0.2">
      <c r="N380" s="153"/>
      <c r="O380" s="153"/>
      <c r="P380" s="153"/>
      <c r="Q380" s="153"/>
      <c r="R380" s="129"/>
      <c r="S380" s="153"/>
      <c r="T380" s="153"/>
      <c r="U380" s="153"/>
      <c r="V380" s="153"/>
      <c r="W380" s="153"/>
      <c r="X380" s="153"/>
      <c r="Y380" s="153"/>
      <c r="Z380" s="153"/>
      <c r="AB380" s="111"/>
      <c r="AC380" s="111"/>
      <c r="AD380" s="111"/>
      <c r="AE380" s="111"/>
      <c r="AF380" s="111"/>
      <c r="AG380" s="111"/>
      <c r="AH380" s="111"/>
      <c r="AI380" s="111"/>
      <c r="AJ380" s="111"/>
      <c r="AK380" s="111"/>
      <c r="AL380" s="111"/>
      <c r="AM380" s="111"/>
      <c r="AN380" s="111"/>
      <c r="AQ380" s="120"/>
      <c r="AR380" s="120"/>
      <c r="AS380" s="120"/>
      <c r="AT380" s="120"/>
      <c r="AU380" s="120"/>
      <c r="AV380" s="120"/>
      <c r="AW380" s="120"/>
      <c r="AX380" s="120"/>
      <c r="AY380" s="120"/>
      <c r="AZ380" s="120"/>
      <c r="BA380" s="120">
        <v>7.7891063585922319E-3</v>
      </c>
      <c r="BB380" s="120">
        <v>8.6097857988388544E-3</v>
      </c>
      <c r="BC380" s="120">
        <v>1.2011078528270184E-2</v>
      </c>
      <c r="BE380" s="120">
        <v>0.19313262735452622</v>
      </c>
      <c r="BF380" s="120">
        <v>0.18852768057000902</v>
      </c>
      <c r="BG380" s="120">
        <v>0.19431654820303484</v>
      </c>
      <c r="BH380" s="120">
        <v>0.18532791681407779</v>
      </c>
      <c r="BI380" s="120">
        <v>0.18221441019366585</v>
      </c>
      <c r="BJ380" s="120">
        <v>0.17908456992696606</v>
      </c>
      <c r="BK380" s="120">
        <v>0.1697070743104212</v>
      </c>
      <c r="BL380" s="120">
        <v>0.16272514139814567</v>
      </c>
      <c r="BM380" s="120">
        <v>0.1616681413931815</v>
      </c>
      <c r="BN380" s="120">
        <v>0.14557519093121798</v>
      </c>
      <c r="BO380" s="120">
        <v>0.14695212449068501</v>
      </c>
      <c r="BP380" s="120">
        <v>0.13914336483635514</v>
      </c>
      <c r="BQ380" s="120">
        <v>0.14786636775366463</v>
      </c>
    </row>
    <row r="381" spans="11:69" ht="12.75" x14ac:dyDescent="0.2">
      <c r="N381" s="153"/>
      <c r="O381" s="153"/>
      <c r="P381" s="153"/>
      <c r="Q381" s="153"/>
      <c r="R381" s="129"/>
      <c r="S381" s="153"/>
      <c r="T381" s="153"/>
      <c r="U381" s="153"/>
      <c r="V381" s="153"/>
      <c r="W381" s="153"/>
      <c r="X381" s="153"/>
      <c r="Y381" s="153"/>
      <c r="Z381" s="153"/>
      <c r="AB381" s="111"/>
      <c r="AC381" s="111"/>
      <c r="AD381" s="111"/>
      <c r="AE381" s="111"/>
      <c r="AF381" s="111"/>
      <c r="AG381" s="111"/>
      <c r="AH381" s="111"/>
      <c r="AI381" s="111"/>
      <c r="AJ381" s="111"/>
      <c r="AK381" s="111"/>
      <c r="AL381" s="111"/>
      <c r="AM381" s="111"/>
      <c r="AN381" s="111"/>
      <c r="AQ381" s="120"/>
      <c r="AR381" s="120"/>
      <c r="AS381" s="120"/>
      <c r="AT381" s="120"/>
      <c r="AU381" s="120"/>
      <c r="AV381" s="120"/>
      <c r="AW381" s="120"/>
      <c r="AX381" s="120"/>
      <c r="AY381" s="120"/>
      <c r="AZ381" s="120"/>
      <c r="BA381" s="120">
        <v>7.5734690725315886E-3</v>
      </c>
      <c r="BB381" s="120">
        <v>8.505426049714401E-3</v>
      </c>
      <c r="BC381" s="120">
        <v>1.0488467845246017E-2</v>
      </c>
      <c r="BE381" s="120">
        <v>0.21950639902212768</v>
      </c>
      <c r="BF381" s="120">
        <v>0.20365991573611919</v>
      </c>
      <c r="BG381" s="120">
        <v>0.19063032148564782</v>
      </c>
      <c r="BH381" s="120">
        <v>0.19572872104008013</v>
      </c>
      <c r="BI381" s="120">
        <v>0.1901638878448394</v>
      </c>
      <c r="BJ381" s="120">
        <v>0.18471495842343846</v>
      </c>
      <c r="BK381" s="120">
        <v>0.18402478205879863</v>
      </c>
      <c r="BL381" s="120">
        <v>0.1670567296915241</v>
      </c>
      <c r="BM381" s="120">
        <v>0.1546241978140806</v>
      </c>
      <c r="BN381" s="120">
        <v>0.16013019781839474</v>
      </c>
      <c r="BO381" s="120">
        <v>0.14409613856906714</v>
      </c>
      <c r="BP381" s="120">
        <v>0.13876980053116519</v>
      </c>
      <c r="BQ381" s="120">
        <v>0.13005855845643083</v>
      </c>
    </row>
    <row r="382" spans="11:69" ht="12.75" x14ac:dyDescent="0.2">
      <c r="N382" s="153"/>
      <c r="O382" s="153"/>
      <c r="P382" s="153"/>
      <c r="Q382" s="153"/>
      <c r="R382" s="129"/>
      <c r="S382" s="153"/>
      <c r="T382" s="153"/>
      <c r="U382" s="153"/>
      <c r="V382" s="153"/>
      <c r="W382" s="153"/>
      <c r="X382" s="153"/>
      <c r="Y382" s="153"/>
      <c r="Z382" s="153"/>
      <c r="AB382" s="111"/>
      <c r="AC382" s="111"/>
      <c r="AD382" s="111"/>
      <c r="AE382" s="111"/>
      <c r="AF382" s="111"/>
      <c r="AG382" s="111"/>
      <c r="AH382" s="111"/>
      <c r="AI382" s="111"/>
      <c r="AJ382" s="111"/>
      <c r="AK382" s="111"/>
      <c r="AL382" s="111"/>
      <c r="AM382" s="111"/>
      <c r="AN382" s="111"/>
      <c r="AQ382" s="120"/>
      <c r="AR382" s="120"/>
      <c r="AS382" s="120"/>
      <c r="AT382" s="120"/>
      <c r="AU382" s="120"/>
      <c r="AV382" s="120"/>
      <c r="AW382" s="120"/>
      <c r="AX382" s="120"/>
      <c r="AY382" s="120"/>
      <c r="AZ382" s="120"/>
      <c r="BA382" s="120">
        <v>7.2177888115007851E-3</v>
      </c>
      <c r="BB382" s="120">
        <v>7.6688890835703164E-3</v>
      </c>
      <c r="BC382" s="120">
        <v>9.7143973843488961E-3</v>
      </c>
      <c r="BE382" s="120">
        <v>0.17773409931198658</v>
      </c>
      <c r="BF382" s="120">
        <v>0.17623319684384897</v>
      </c>
      <c r="BG382" s="120">
        <v>0.18246982770364326</v>
      </c>
      <c r="BH382" s="120">
        <v>0.1727343037765019</v>
      </c>
      <c r="BI382" s="120">
        <v>0.1715397369925829</v>
      </c>
      <c r="BJ382" s="120">
        <v>0.17032004778620741</v>
      </c>
      <c r="BK382" s="120">
        <v>0.16344594695279829</v>
      </c>
      <c r="BL382" s="120">
        <v>0.16255954678614876</v>
      </c>
      <c r="BM382" s="120">
        <v>0.15692415815816113</v>
      </c>
      <c r="BN382" s="120">
        <v>0.14561371680925708</v>
      </c>
      <c r="BO382" s="120">
        <v>0.14154362667667292</v>
      </c>
      <c r="BP382" s="120">
        <v>0.12852507477651254</v>
      </c>
      <c r="BQ382" s="120">
        <v>0.12330145121229706</v>
      </c>
    </row>
    <row r="383" spans="11:69" ht="12.75" x14ac:dyDescent="0.2">
      <c r="N383" s="153"/>
      <c r="O383" s="153"/>
      <c r="P383" s="153"/>
      <c r="Q383" s="153"/>
      <c r="R383" s="129"/>
      <c r="S383" s="153"/>
      <c r="T383" s="153"/>
      <c r="U383" s="153"/>
      <c r="V383" s="153"/>
      <c r="W383" s="153"/>
      <c r="X383" s="153"/>
      <c r="Y383" s="153"/>
      <c r="Z383" s="153"/>
      <c r="AB383" s="111"/>
      <c r="AC383" s="111"/>
      <c r="AD383" s="111"/>
      <c r="AE383" s="111"/>
      <c r="AF383" s="111"/>
      <c r="AG383" s="111"/>
      <c r="AH383" s="111"/>
      <c r="AI383" s="111"/>
      <c r="AJ383" s="111"/>
      <c r="AK383" s="111"/>
      <c r="AL383" s="111"/>
      <c r="AM383" s="111"/>
      <c r="AN383" s="111"/>
      <c r="AQ383" s="120"/>
      <c r="AR383" s="120"/>
      <c r="AS383" s="120"/>
      <c r="AT383" s="120"/>
      <c r="AU383" s="120"/>
      <c r="AV383" s="120"/>
      <c r="AW383" s="120"/>
      <c r="AX383" s="120"/>
      <c r="AY383" s="120"/>
      <c r="AZ383" s="120"/>
      <c r="BA383" s="120">
        <v>7.2041520053715809E-3</v>
      </c>
      <c r="BB383" s="120">
        <v>7.8482607108282722E-3</v>
      </c>
      <c r="BC383" s="120">
        <v>9.660153166966062E-3</v>
      </c>
      <c r="BE383" s="120">
        <v>0.20792508434842105</v>
      </c>
      <c r="BF383" s="120">
        <v>0.19543945612818023</v>
      </c>
      <c r="BG383" s="120">
        <v>0.18975321407631654</v>
      </c>
      <c r="BH383" s="120">
        <v>0.18535836754977872</v>
      </c>
      <c r="BI383" s="120">
        <v>0.18421837347961315</v>
      </c>
      <c r="BJ383" s="120">
        <v>0.18316163709498295</v>
      </c>
      <c r="BK383" s="120">
        <v>0.17457295444473503</v>
      </c>
      <c r="BL383" s="120">
        <v>0.16079845639290846</v>
      </c>
      <c r="BM383" s="120">
        <v>0.15963231804620434</v>
      </c>
      <c r="BN383" s="120">
        <v>0.15507058016498712</v>
      </c>
      <c r="BO383" s="120">
        <v>0.14627717540205409</v>
      </c>
      <c r="BP383" s="120">
        <v>0.13584296687844635</v>
      </c>
      <c r="BQ383" s="120">
        <v>0.12632441168764327</v>
      </c>
    </row>
    <row r="384" spans="11:69" ht="12.75" x14ac:dyDescent="0.2">
      <c r="N384" s="153"/>
      <c r="O384" s="153"/>
      <c r="P384" s="153"/>
      <c r="Q384" s="153"/>
      <c r="R384" s="129"/>
      <c r="S384" s="153"/>
      <c r="T384" s="153"/>
      <c r="U384" s="153"/>
      <c r="V384" s="153"/>
      <c r="W384" s="153"/>
      <c r="X384" s="153"/>
      <c r="Y384" s="153"/>
      <c r="Z384" s="153"/>
      <c r="AB384" s="111"/>
      <c r="AC384" s="111"/>
      <c r="AD384" s="111"/>
      <c r="AE384" s="111"/>
      <c r="AF384" s="111"/>
      <c r="AG384" s="111"/>
      <c r="AH384" s="111"/>
      <c r="AI384" s="111"/>
      <c r="AJ384" s="111"/>
      <c r="AK384" s="111"/>
      <c r="AL384" s="111"/>
      <c r="AM384" s="111"/>
      <c r="AN384" s="111"/>
      <c r="AQ384" s="120"/>
      <c r="AR384" s="120"/>
      <c r="AS384" s="120"/>
      <c r="AT384" s="120"/>
      <c r="AU384" s="120"/>
      <c r="AV384" s="120"/>
      <c r="AW384" s="120"/>
      <c r="AX384" s="120"/>
      <c r="AY384" s="120"/>
      <c r="AZ384" s="120"/>
      <c r="BA384" s="120">
        <v>6.4630526956306594E-3</v>
      </c>
      <c r="BB384" s="120">
        <v>7.3775771568676644E-3</v>
      </c>
      <c r="BC384" s="120">
        <v>8.695587482858402E-3</v>
      </c>
      <c r="BE384" s="120">
        <v>0.16117262156382189</v>
      </c>
      <c r="BF384" s="120">
        <v>0.16211235947532016</v>
      </c>
      <c r="BG384" s="120">
        <v>0.16169469396906633</v>
      </c>
      <c r="BH384" s="120">
        <v>0.16672209973751584</v>
      </c>
      <c r="BI384" s="120">
        <v>0.1593670762740752</v>
      </c>
      <c r="BJ384" s="120">
        <v>0.15188163907011604</v>
      </c>
      <c r="BK384" s="120">
        <v>0.15893047849374778</v>
      </c>
      <c r="BL384" s="120">
        <v>0.15685058832431109</v>
      </c>
      <c r="BM384" s="120">
        <v>0.14787434421225001</v>
      </c>
      <c r="BN384" s="120">
        <v>0.14332822405009646</v>
      </c>
      <c r="BO384" s="120">
        <v>0.13108611266068987</v>
      </c>
      <c r="BP384" s="120">
        <v>0.12791943701524738</v>
      </c>
      <c r="BQ384" s="120">
        <v>0.11345129321787929</v>
      </c>
    </row>
    <row r="386" spans="11:69" x14ac:dyDescent="0.2">
      <c r="S386" s="126"/>
      <c r="T386" s="126"/>
      <c r="U386" s="126"/>
      <c r="V386" s="126"/>
      <c r="W386" s="126"/>
      <c r="X386" s="126"/>
      <c r="Y386" s="126"/>
      <c r="Z386" s="126"/>
      <c r="AQ386" s="106"/>
    </row>
    <row r="387" spans="11:69" ht="12.75" x14ac:dyDescent="0.2">
      <c r="K387" s="105"/>
      <c r="N387" s="153"/>
      <c r="O387" s="153"/>
      <c r="P387" s="153"/>
      <c r="Q387" s="153"/>
      <c r="R387" s="129"/>
      <c r="S387" s="153"/>
      <c r="T387" s="153"/>
      <c r="U387" s="153"/>
      <c r="V387" s="153"/>
      <c r="W387" s="153"/>
      <c r="X387" s="153"/>
      <c r="Y387" s="153"/>
      <c r="Z387" s="153"/>
      <c r="AB387" s="111"/>
      <c r="AC387" s="111"/>
      <c r="AD387" s="111"/>
      <c r="AE387" s="111"/>
      <c r="AF387" s="111"/>
      <c r="AG387" s="111"/>
      <c r="AH387" s="111"/>
      <c r="AI387" s="111"/>
      <c r="AJ387" s="111"/>
      <c r="AK387" s="111"/>
      <c r="AL387" s="111"/>
      <c r="AM387" s="111"/>
      <c r="AN387" s="111"/>
      <c r="AQ387" s="120"/>
      <c r="AR387" s="120"/>
      <c r="AS387" s="120"/>
      <c r="AT387" s="120"/>
      <c r="AU387" s="120"/>
      <c r="AV387" s="120"/>
      <c r="AW387" s="120"/>
      <c r="AX387" s="120"/>
      <c r="AY387" s="120"/>
      <c r="AZ387" s="120"/>
      <c r="BA387" s="120">
        <v>1.2640270311605707E-2</v>
      </c>
      <c r="BB387" s="120">
        <v>1.8726356562193926E-2</v>
      </c>
      <c r="BC387" s="120">
        <v>3.3038744038950879E-2</v>
      </c>
      <c r="BE387" s="120">
        <v>9.5000906604803079E-2</v>
      </c>
      <c r="BF387" s="120">
        <v>6.8131466021167195E-2</v>
      </c>
      <c r="BG387" s="120">
        <v>7.7006035983841883E-2</v>
      </c>
      <c r="BH387" s="120">
        <v>9.2004651330116455E-2</v>
      </c>
      <c r="BI387" s="120">
        <v>0.10600456338428349</v>
      </c>
      <c r="BJ387" s="120">
        <v>0.12011825157296367</v>
      </c>
      <c r="BK387" s="120">
        <v>0.14609830737260027</v>
      </c>
      <c r="BL387" s="120">
        <v>0.18907328037103441</v>
      </c>
      <c r="BM387" s="120">
        <v>0.22513019433124046</v>
      </c>
      <c r="BN387" s="120">
        <v>0.25612078065677385</v>
      </c>
      <c r="BO387" s="120">
        <v>0.30560321149042569</v>
      </c>
      <c r="BP387" s="120">
        <v>0.38183015817547361</v>
      </c>
      <c r="BQ387" s="120">
        <v>0.50618836360405706</v>
      </c>
    </row>
    <row r="388" spans="11:69" ht="12.75" x14ac:dyDescent="0.2">
      <c r="N388" s="153"/>
      <c r="O388" s="153"/>
      <c r="P388" s="153"/>
      <c r="Q388" s="153"/>
      <c r="R388" s="129"/>
      <c r="S388" s="153"/>
      <c r="T388" s="153"/>
      <c r="U388" s="153"/>
      <c r="V388" s="153"/>
      <c r="W388" s="153"/>
      <c r="X388" s="153"/>
      <c r="Y388" s="153"/>
      <c r="Z388" s="153"/>
      <c r="AB388" s="111"/>
      <c r="AC388" s="111"/>
      <c r="AD388" s="111"/>
      <c r="AE388" s="111"/>
      <c r="AF388" s="111"/>
      <c r="AG388" s="111"/>
      <c r="AH388" s="111"/>
      <c r="AI388" s="111"/>
      <c r="AJ388" s="111"/>
      <c r="AK388" s="111"/>
      <c r="AL388" s="111"/>
      <c r="AM388" s="111"/>
      <c r="AN388" s="111"/>
      <c r="AQ388" s="120"/>
      <c r="AR388" s="120"/>
      <c r="AS388" s="120"/>
      <c r="AT388" s="120"/>
      <c r="AU388" s="120"/>
      <c r="AV388" s="120"/>
      <c r="AW388" s="120"/>
      <c r="AX388" s="120"/>
      <c r="AY388" s="120"/>
      <c r="AZ388" s="120"/>
      <c r="BA388" s="120">
        <v>1.1394581236918258E-2</v>
      </c>
      <c r="BB388" s="120">
        <v>1.6095267731714272E-2</v>
      </c>
      <c r="BC388" s="120">
        <v>2.6707891229028453E-2</v>
      </c>
      <c r="BE388" s="120">
        <v>0.13356129539538361</v>
      </c>
      <c r="BF388" s="120">
        <v>0.12265868340482702</v>
      </c>
      <c r="BG388" s="120">
        <v>0.12135786177490972</v>
      </c>
      <c r="BH388" s="120">
        <v>0.12497312087308653</v>
      </c>
      <c r="BI388" s="120">
        <v>0.13166941970542581</v>
      </c>
      <c r="BJ388" s="120">
        <v>0.13955341514478295</v>
      </c>
      <c r="BK388" s="120">
        <v>0.15677640657962205</v>
      </c>
      <c r="BL388" s="120">
        <v>0.18751461427226848</v>
      </c>
      <c r="BM388" s="120">
        <v>0.21514463268888245</v>
      </c>
      <c r="BN388" s="120">
        <v>0.2381499424589576</v>
      </c>
      <c r="BO388" s="120">
        <v>0.27690311987233202</v>
      </c>
      <c r="BP388" s="120">
        <v>0.33299880535363163</v>
      </c>
      <c r="BQ388" s="120">
        <v>0.41249565222642032</v>
      </c>
    </row>
    <row r="389" spans="11:69" ht="12.75" x14ac:dyDescent="0.2">
      <c r="N389" s="153"/>
      <c r="O389" s="153"/>
      <c r="P389" s="153"/>
      <c r="Q389" s="153"/>
      <c r="R389" s="129"/>
      <c r="S389" s="153"/>
      <c r="T389" s="153"/>
      <c r="U389" s="153"/>
      <c r="V389" s="153"/>
      <c r="W389" s="153"/>
      <c r="X389" s="153"/>
      <c r="Y389" s="153"/>
      <c r="Z389" s="153"/>
      <c r="AB389" s="111"/>
      <c r="AC389" s="111"/>
      <c r="AD389" s="111"/>
      <c r="AE389" s="111"/>
      <c r="AF389" s="111"/>
      <c r="AG389" s="111"/>
      <c r="AH389" s="111"/>
      <c r="AI389" s="111"/>
      <c r="AJ389" s="111"/>
      <c r="AK389" s="111"/>
      <c r="AL389" s="111"/>
      <c r="AM389" s="111"/>
      <c r="AN389" s="111"/>
      <c r="AQ389" s="120"/>
      <c r="AR389" s="120"/>
      <c r="AS389" s="120"/>
      <c r="AT389" s="120"/>
      <c r="AU389" s="120"/>
      <c r="AV389" s="120"/>
      <c r="AW389" s="120"/>
      <c r="AX389" s="120"/>
      <c r="AY389" s="120"/>
      <c r="AZ389" s="120"/>
      <c r="BA389" s="120">
        <v>9.7197526268589535E-3</v>
      </c>
      <c r="BB389" s="120">
        <v>1.3444009096147685E-2</v>
      </c>
      <c r="BC389" s="120">
        <v>2.1836443399114402E-2</v>
      </c>
      <c r="BE389" s="120">
        <v>0.14399964394833861</v>
      </c>
      <c r="BF389" s="120">
        <v>0.12000177374236719</v>
      </c>
      <c r="BG389" s="120">
        <v>0.11582143895934395</v>
      </c>
      <c r="BH389" s="120">
        <v>0.11800180954672385</v>
      </c>
      <c r="BI389" s="120">
        <v>0.12350204668004985</v>
      </c>
      <c r="BJ389" s="120">
        <v>0.12900042891346</v>
      </c>
      <c r="BK389" s="120">
        <v>0.14099947538000068</v>
      </c>
      <c r="BL389" s="120">
        <v>0.16400696212269558</v>
      </c>
      <c r="BM389" s="120">
        <v>0.18299395156763218</v>
      </c>
      <c r="BN389" s="120">
        <v>0.19999148805750941</v>
      </c>
      <c r="BO389" s="120">
        <v>0.22799386477879865</v>
      </c>
      <c r="BP389" s="120">
        <v>0.26798274536186806</v>
      </c>
      <c r="BQ389" s="120">
        <v>0.32597357100268198</v>
      </c>
    </row>
    <row r="390" spans="11:69" ht="12.75" x14ac:dyDescent="0.2">
      <c r="N390" s="153"/>
      <c r="O390" s="153"/>
      <c r="P390" s="153"/>
      <c r="Q390" s="153"/>
      <c r="R390" s="129"/>
      <c r="S390" s="153"/>
      <c r="T390" s="153"/>
      <c r="U390" s="153"/>
      <c r="V390" s="153"/>
      <c r="W390" s="153"/>
      <c r="X390" s="153"/>
      <c r="Y390" s="153"/>
      <c r="Z390" s="153"/>
      <c r="AB390" s="111"/>
      <c r="AC390" s="111"/>
      <c r="AD390" s="111"/>
      <c r="AE390" s="111"/>
      <c r="AF390" s="111"/>
      <c r="AG390" s="111"/>
      <c r="AH390" s="111"/>
      <c r="AI390" s="111"/>
      <c r="AJ390" s="111"/>
      <c r="AK390" s="111"/>
      <c r="AL390" s="111"/>
      <c r="AM390" s="111"/>
      <c r="AN390" s="111"/>
      <c r="AQ390" s="120"/>
      <c r="AR390" s="120"/>
      <c r="AS390" s="120"/>
      <c r="AT390" s="120"/>
      <c r="AU390" s="120"/>
      <c r="AV390" s="120"/>
      <c r="AW390" s="120"/>
      <c r="AX390" s="120"/>
      <c r="AY390" s="120"/>
      <c r="AZ390" s="120"/>
      <c r="BA390" s="120">
        <v>8.6105518894476294E-3</v>
      </c>
      <c r="BB390" s="120">
        <v>1.1177529160302126E-2</v>
      </c>
      <c r="BC390" s="120">
        <v>1.7053619496021286E-2</v>
      </c>
      <c r="BE390" s="120">
        <v>0.20559454066237789</v>
      </c>
      <c r="BF390" s="120">
        <v>0.20045678555791499</v>
      </c>
      <c r="BG390" s="120">
        <v>0.1928030530165003</v>
      </c>
      <c r="BH390" s="120">
        <v>0.18816681723996967</v>
      </c>
      <c r="BI390" s="120">
        <v>0.18306262794326389</v>
      </c>
      <c r="BJ390" s="120">
        <v>0.17875385444356362</v>
      </c>
      <c r="BK390" s="120">
        <v>0.17473020646710552</v>
      </c>
      <c r="BL390" s="120">
        <v>0.17287402257638088</v>
      </c>
      <c r="BM390" s="120">
        <v>0.17690232161051228</v>
      </c>
      <c r="BN390" s="120">
        <v>0.18259947286885339</v>
      </c>
      <c r="BO390" s="120">
        <v>0.19500828491041711</v>
      </c>
      <c r="BP390" s="120">
        <v>0.21515448386319924</v>
      </c>
      <c r="BQ390" s="120">
        <v>0.24584706345982762</v>
      </c>
    </row>
    <row r="391" spans="11:69" ht="12.75" x14ac:dyDescent="0.2">
      <c r="N391" s="153"/>
      <c r="O391" s="153"/>
      <c r="P391" s="153"/>
      <c r="Q391" s="153"/>
      <c r="R391" s="129"/>
      <c r="S391" s="153"/>
      <c r="T391" s="153"/>
      <c r="U391" s="153"/>
      <c r="V391" s="153"/>
      <c r="W391" s="153"/>
      <c r="X391" s="153"/>
      <c r="Y391" s="153"/>
      <c r="Z391" s="153"/>
      <c r="AB391" s="111"/>
      <c r="AC391" s="111"/>
      <c r="AD391" s="111"/>
      <c r="AE391" s="111"/>
      <c r="AF391" s="111"/>
      <c r="AG391" s="111"/>
      <c r="AH391" s="111"/>
      <c r="AI391" s="111"/>
      <c r="AJ391" s="111"/>
      <c r="AK391" s="111"/>
      <c r="AL391" s="111"/>
      <c r="AM391" s="111"/>
      <c r="AN391" s="111"/>
      <c r="AQ391" s="120"/>
      <c r="AR391" s="120"/>
      <c r="AS391" s="120"/>
      <c r="AT391" s="120"/>
      <c r="AU391" s="120"/>
      <c r="AV391" s="120"/>
      <c r="AW391" s="120"/>
      <c r="AX391" s="120"/>
      <c r="AY391" s="120"/>
      <c r="AZ391" s="120"/>
      <c r="BA391" s="120">
        <v>9.3389870844427427E-3</v>
      </c>
      <c r="BB391" s="120">
        <v>1.2173901849672089E-2</v>
      </c>
      <c r="BC391" s="120">
        <v>1.8775334118224126E-2</v>
      </c>
      <c r="BE391" s="120">
        <v>0.22574803976566052</v>
      </c>
      <c r="BF391" s="120">
        <v>0.20942350344291583</v>
      </c>
      <c r="BG391" s="120">
        <v>0.20476887970502497</v>
      </c>
      <c r="BH391" s="120">
        <v>0.1963314282285146</v>
      </c>
      <c r="BI391" s="120">
        <v>0.19498249854370506</v>
      </c>
      <c r="BJ391" s="120">
        <v>0.19353852758310225</v>
      </c>
      <c r="BK391" s="120">
        <v>0.18538436593026295</v>
      </c>
      <c r="BL391" s="120">
        <v>0.1838271179216375</v>
      </c>
      <c r="BM391" s="120">
        <v>0.18610810894786473</v>
      </c>
      <c r="BN391" s="120">
        <v>0.19123297661369201</v>
      </c>
      <c r="BO391" s="120">
        <v>0.20597114668855301</v>
      </c>
      <c r="BP391" s="120">
        <v>0.22925130589600445</v>
      </c>
      <c r="BQ391" s="120">
        <v>0.26672972511233051</v>
      </c>
    </row>
    <row r="392" spans="11:69" ht="12.75" x14ac:dyDescent="0.2">
      <c r="N392" s="153"/>
      <c r="O392" s="153"/>
      <c r="P392" s="153"/>
      <c r="Q392" s="153"/>
      <c r="R392" s="129"/>
      <c r="S392" s="153"/>
      <c r="T392" s="153"/>
      <c r="U392" s="153"/>
      <c r="V392" s="153"/>
      <c r="W392" s="153"/>
      <c r="X392" s="153"/>
      <c r="Y392" s="153"/>
      <c r="Z392" s="153"/>
      <c r="AB392" s="111"/>
      <c r="AC392" s="111"/>
      <c r="AD392" s="111"/>
      <c r="AE392" s="111"/>
      <c r="AF392" s="111"/>
      <c r="AG392" s="111"/>
      <c r="AH392" s="111"/>
      <c r="AI392" s="111"/>
      <c r="AJ392" s="111"/>
      <c r="AK392" s="111"/>
      <c r="AL392" s="111"/>
      <c r="AM392" s="111"/>
      <c r="AN392" s="111"/>
      <c r="AQ392" s="120"/>
      <c r="AR392" s="120"/>
      <c r="AS392" s="120"/>
      <c r="AT392" s="120"/>
      <c r="AU392" s="120"/>
      <c r="AV392" s="120"/>
      <c r="AW392" s="120"/>
      <c r="AX392" s="120"/>
      <c r="AY392" s="120"/>
      <c r="AZ392" s="120"/>
      <c r="BA392" s="120">
        <v>8.881927414375811E-3</v>
      </c>
      <c r="BB392" s="120">
        <v>1.147718423693015E-2</v>
      </c>
      <c r="BC392" s="120">
        <v>1.7518542205439996E-2</v>
      </c>
      <c r="BE392" s="120">
        <v>0.23512248439320421</v>
      </c>
      <c r="BF392" s="120">
        <v>0.22307963729516025</v>
      </c>
      <c r="BG392" s="120">
        <v>0.21219632348807776</v>
      </c>
      <c r="BH392" s="120">
        <v>0.21174050945470507</v>
      </c>
      <c r="BI392" s="120">
        <v>0.20518507972840261</v>
      </c>
      <c r="BJ392" s="120">
        <v>0.1989751986052504</v>
      </c>
      <c r="BK392" s="120">
        <v>0.19347670069095768</v>
      </c>
      <c r="BL392" s="120">
        <v>0.18179826661413978</v>
      </c>
      <c r="BM392" s="120">
        <v>0.18066145929729041</v>
      </c>
      <c r="BN392" s="120">
        <v>0.18083315439630818</v>
      </c>
      <c r="BO392" s="120">
        <v>0.18779876541859816</v>
      </c>
      <c r="BP392" s="120">
        <v>0.20734443280800216</v>
      </c>
      <c r="BQ392" s="120">
        <v>0.23910692936636885</v>
      </c>
    </row>
    <row r="393" spans="11:69" ht="12.75" x14ac:dyDescent="0.2">
      <c r="N393" s="153"/>
      <c r="O393" s="153"/>
      <c r="P393" s="153"/>
      <c r="Q393" s="153"/>
      <c r="R393" s="129"/>
      <c r="S393" s="153"/>
      <c r="T393" s="153"/>
      <c r="U393" s="153"/>
      <c r="V393" s="153"/>
      <c r="W393" s="153"/>
      <c r="X393" s="153"/>
      <c r="Y393" s="153"/>
      <c r="Z393" s="153"/>
      <c r="AB393" s="111"/>
      <c r="AC393" s="111"/>
      <c r="AD393" s="111"/>
      <c r="AE393" s="111"/>
      <c r="AF393" s="111"/>
      <c r="AG393" s="111"/>
      <c r="AH393" s="111"/>
      <c r="AI393" s="111"/>
      <c r="AJ393" s="111"/>
      <c r="AK393" s="111"/>
      <c r="AL393" s="111"/>
      <c r="AM393" s="111"/>
      <c r="AN393" s="111"/>
      <c r="AQ393" s="120"/>
      <c r="AR393" s="120"/>
      <c r="AS393" s="120"/>
      <c r="AT393" s="120"/>
      <c r="AU393" s="120"/>
      <c r="AV393" s="120"/>
      <c r="AW393" s="120"/>
      <c r="AX393" s="120"/>
      <c r="AY393" s="120"/>
      <c r="AZ393" s="120"/>
      <c r="BA393" s="120">
        <v>8.6538986525426225E-3</v>
      </c>
      <c r="BB393" s="120">
        <v>1.1042304012051182E-2</v>
      </c>
      <c r="BC393" s="120">
        <v>1.665548546549029E-2</v>
      </c>
      <c r="BE393" s="120">
        <v>0.23704200972022865</v>
      </c>
      <c r="BF393" s="120">
        <v>0.21877019095526817</v>
      </c>
      <c r="BG393" s="120">
        <v>0.22030709982444069</v>
      </c>
      <c r="BH393" s="120">
        <v>0.21161615244797261</v>
      </c>
      <c r="BI393" s="120">
        <v>0.20421554805303982</v>
      </c>
      <c r="BJ393" s="120">
        <v>0.19702732442948215</v>
      </c>
      <c r="BK393" s="120">
        <v>0.19314040616234041</v>
      </c>
      <c r="BL393" s="120">
        <v>0.17994827999860089</v>
      </c>
      <c r="BM393" s="120">
        <v>0.17451317125526575</v>
      </c>
      <c r="BN393" s="120">
        <v>0.17473155174309685</v>
      </c>
      <c r="BO393" s="120">
        <v>0.17758090450056363</v>
      </c>
      <c r="BP393" s="120">
        <v>0.19398008817806986</v>
      </c>
      <c r="BQ393" s="120">
        <v>0.22176977281145141</v>
      </c>
    </row>
    <row r="394" spans="11:69" ht="12.75" x14ac:dyDescent="0.2">
      <c r="N394" s="153"/>
      <c r="O394" s="153"/>
      <c r="P394" s="153"/>
      <c r="Q394" s="153"/>
      <c r="R394" s="129"/>
      <c r="S394" s="153"/>
      <c r="T394" s="153"/>
      <c r="U394" s="153"/>
      <c r="V394" s="153"/>
      <c r="W394" s="153"/>
      <c r="X394" s="153"/>
      <c r="Y394" s="153"/>
      <c r="Z394" s="153"/>
      <c r="AB394" s="111"/>
      <c r="AC394" s="111"/>
      <c r="AD394" s="111"/>
      <c r="AE394" s="111"/>
      <c r="AF394" s="111"/>
      <c r="AG394" s="111"/>
      <c r="AH394" s="111"/>
      <c r="AI394" s="111"/>
      <c r="AJ394" s="111"/>
      <c r="AK394" s="111"/>
      <c r="AL394" s="111"/>
      <c r="AM394" s="111"/>
      <c r="AN394" s="111"/>
      <c r="AQ394" s="120"/>
      <c r="AR394" s="120"/>
      <c r="AS394" s="120"/>
      <c r="AT394" s="120"/>
      <c r="AU394" s="120"/>
      <c r="AV394" s="120"/>
      <c r="AW394" s="120"/>
      <c r="AX394" s="120"/>
      <c r="AY394" s="120"/>
      <c r="AZ394" s="120"/>
      <c r="BA394" s="120">
        <v>8.6975366009838708E-3</v>
      </c>
      <c r="BB394" s="120">
        <v>1.0473705461221646E-2</v>
      </c>
      <c r="BC394" s="120">
        <v>1.5794986848718783E-2</v>
      </c>
      <c r="BE394" s="120">
        <v>0.23549639841222186</v>
      </c>
      <c r="BF394" s="120">
        <v>0.22596589177909779</v>
      </c>
      <c r="BG394" s="120">
        <v>0.21860725913320053</v>
      </c>
      <c r="BH394" s="120">
        <v>0.21079991205745538</v>
      </c>
      <c r="BI394" s="120">
        <v>0.20787669660145158</v>
      </c>
      <c r="BJ394" s="120">
        <v>0.20487422909439112</v>
      </c>
      <c r="BK394" s="120">
        <v>0.19218621175093376</v>
      </c>
      <c r="BL394" s="120">
        <v>0.18282882593159203</v>
      </c>
      <c r="BM394" s="120">
        <v>0.17226777756560466</v>
      </c>
      <c r="BN394" s="120">
        <v>0.16858759543099139</v>
      </c>
      <c r="BO394" s="120">
        <v>0.17322168422397202</v>
      </c>
      <c r="BP394" s="120">
        <v>0.17854001004665257</v>
      </c>
      <c r="BQ394" s="120">
        <v>0.20455543426221645</v>
      </c>
    </row>
    <row r="395" spans="11:69" ht="12.75" x14ac:dyDescent="0.2">
      <c r="N395" s="153"/>
      <c r="O395" s="153"/>
      <c r="P395" s="153"/>
      <c r="Q395" s="153"/>
      <c r="R395" s="129"/>
      <c r="S395" s="153"/>
      <c r="T395" s="153"/>
      <c r="U395" s="153"/>
      <c r="V395" s="153"/>
      <c r="W395" s="153"/>
      <c r="X395" s="153"/>
      <c r="Y395" s="153"/>
      <c r="Z395" s="153"/>
      <c r="AB395" s="111"/>
      <c r="AC395" s="111"/>
      <c r="AD395" s="111"/>
      <c r="AE395" s="111"/>
      <c r="AF395" s="111"/>
      <c r="AG395" s="111"/>
      <c r="AH395" s="111"/>
      <c r="AI395" s="111"/>
      <c r="AJ395" s="111"/>
      <c r="AK395" s="111"/>
      <c r="AL395" s="111"/>
      <c r="AM395" s="111"/>
      <c r="AN395" s="111"/>
      <c r="AQ395" s="120"/>
      <c r="AR395" s="120"/>
      <c r="AS395" s="120"/>
      <c r="AT395" s="120"/>
      <c r="AU395" s="120"/>
      <c r="AV395" s="120"/>
      <c r="AW395" s="120"/>
      <c r="AX395" s="120"/>
      <c r="AY395" s="120"/>
      <c r="AZ395" s="120"/>
      <c r="BA395" s="120">
        <v>8.2946933860503919E-3</v>
      </c>
      <c r="BB395" s="120">
        <v>1.0378938781175103E-2</v>
      </c>
      <c r="BC395" s="120">
        <v>1.5271914844407007E-2</v>
      </c>
      <c r="BE395" s="120">
        <v>0.23320929023445186</v>
      </c>
      <c r="BF395" s="120">
        <v>0.21452515663773708</v>
      </c>
      <c r="BG395" s="120">
        <v>0.21024002150729768</v>
      </c>
      <c r="BH395" s="120">
        <v>0.20842140247989366</v>
      </c>
      <c r="BI395" s="120">
        <v>0.20328892824257694</v>
      </c>
      <c r="BJ395" s="120">
        <v>0.19821599140220045</v>
      </c>
      <c r="BK395" s="120">
        <v>0.19220138793719754</v>
      </c>
      <c r="BL395" s="120">
        <v>0.1776924714863414</v>
      </c>
      <c r="BM395" s="120">
        <v>0.17419357143265157</v>
      </c>
      <c r="BN395" s="120">
        <v>0.1670074985364958</v>
      </c>
      <c r="BO395" s="120">
        <v>0.16217647090989609</v>
      </c>
      <c r="BP395" s="120">
        <v>0.17417875675524414</v>
      </c>
      <c r="BQ395" s="120">
        <v>0.19490467993047741</v>
      </c>
    </row>
    <row r="396" spans="11:69" ht="12.75" x14ac:dyDescent="0.2">
      <c r="N396" s="153"/>
      <c r="O396" s="153"/>
      <c r="P396" s="153"/>
      <c r="Q396" s="153"/>
      <c r="R396" s="129"/>
      <c r="S396" s="153"/>
      <c r="T396" s="153"/>
      <c r="U396" s="153"/>
      <c r="V396" s="153"/>
      <c r="W396" s="153"/>
      <c r="X396" s="153"/>
      <c r="Y396" s="153"/>
      <c r="Z396" s="153"/>
      <c r="AB396" s="111"/>
      <c r="AC396" s="111"/>
      <c r="AD396" s="111"/>
      <c r="AE396" s="111"/>
      <c r="AF396" s="111"/>
      <c r="AG396" s="111"/>
      <c r="AH396" s="111"/>
      <c r="AI396" s="111"/>
      <c r="AJ396" s="111"/>
      <c r="AK396" s="111"/>
      <c r="AL396" s="111"/>
      <c r="AM396" s="111"/>
      <c r="AN396" s="111"/>
      <c r="AQ396" s="120"/>
      <c r="AR396" s="120"/>
      <c r="AS396" s="120"/>
      <c r="AT396" s="120"/>
      <c r="AU396" s="120"/>
      <c r="AV396" s="120"/>
      <c r="AW396" s="120"/>
      <c r="AX396" s="120"/>
      <c r="AY396" s="120"/>
      <c r="AZ396" s="120"/>
      <c r="BA396" s="120">
        <v>8.1751004186778539E-3</v>
      </c>
      <c r="BB396" s="120">
        <v>9.8652775299055435E-3</v>
      </c>
      <c r="BC396" s="120">
        <v>1.3914608055692885E-2</v>
      </c>
      <c r="BE396" s="120">
        <v>0.21536347365021871</v>
      </c>
      <c r="BF396" s="120">
        <v>0.21775181994992018</v>
      </c>
      <c r="BG396" s="120">
        <v>0.20326864891911334</v>
      </c>
      <c r="BH396" s="120">
        <v>0.19966709397270091</v>
      </c>
      <c r="BI396" s="120">
        <v>0.19452694628778336</v>
      </c>
      <c r="BJ396" s="120">
        <v>0.189462123933545</v>
      </c>
      <c r="BK396" s="120">
        <v>0.17984219752927455</v>
      </c>
      <c r="BL396" s="120">
        <v>0.17188703395304739</v>
      </c>
      <c r="BM396" s="120">
        <v>0.16445876759398362</v>
      </c>
      <c r="BN396" s="120">
        <v>0.16073426930320489</v>
      </c>
      <c r="BO396" s="120">
        <v>0.15829472726708277</v>
      </c>
      <c r="BP396" s="120">
        <v>0.16379722639495284</v>
      </c>
      <c r="BQ396" s="120">
        <v>0.17563158487655603</v>
      </c>
    </row>
    <row r="397" spans="11:69" ht="12.75" x14ac:dyDescent="0.2">
      <c r="N397" s="153"/>
      <c r="O397" s="153"/>
      <c r="P397" s="153"/>
      <c r="Q397" s="153"/>
      <c r="R397" s="129"/>
      <c r="S397" s="153"/>
      <c r="T397" s="153"/>
      <c r="U397" s="153"/>
      <c r="V397" s="153"/>
      <c r="W397" s="153"/>
      <c r="X397" s="153"/>
      <c r="Y397" s="153"/>
      <c r="Z397" s="153"/>
      <c r="AB397" s="111"/>
      <c r="AC397" s="111"/>
      <c r="AD397" s="111"/>
      <c r="AE397" s="111"/>
      <c r="AF397" s="111"/>
      <c r="AG397" s="111"/>
      <c r="AH397" s="111"/>
      <c r="AI397" s="111"/>
      <c r="AJ397" s="111"/>
      <c r="AK397" s="111"/>
      <c r="AL397" s="111"/>
      <c r="AM397" s="111"/>
      <c r="AN397" s="111"/>
      <c r="AQ397" s="120"/>
      <c r="AR397" s="120"/>
      <c r="AS397" s="120"/>
      <c r="AT397" s="120"/>
      <c r="AU397" s="120"/>
      <c r="AV397" s="120"/>
      <c r="AW397" s="120"/>
      <c r="AX397" s="120"/>
      <c r="AY397" s="120"/>
      <c r="AZ397" s="120"/>
      <c r="BA397" s="120">
        <v>7.8559767748863276E-3</v>
      </c>
      <c r="BB397" s="120">
        <v>8.7300740780055352E-3</v>
      </c>
      <c r="BC397" s="120">
        <v>1.1796422491533847E-2</v>
      </c>
      <c r="BE397" s="120">
        <v>0.21320587785154643</v>
      </c>
      <c r="BF397" s="120">
        <v>0.19484851429659758</v>
      </c>
      <c r="BG397" s="120">
        <v>0.20072136148893358</v>
      </c>
      <c r="BH397" s="120">
        <v>0.19117995983222041</v>
      </c>
      <c r="BI397" s="120">
        <v>0.18755605219120783</v>
      </c>
      <c r="BJ397" s="120">
        <v>0.18396420305199382</v>
      </c>
      <c r="BK397" s="120">
        <v>0.18485751018263744</v>
      </c>
      <c r="BL397" s="120">
        <v>0.16990480225674637</v>
      </c>
      <c r="BM397" s="120">
        <v>0.1598608933839078</v>
      </c>
      <c r="BN397" s="120">
        <v>0.15564435713987007</v>
      </c>
      <c r="BO397" s="120">
        <v>0.14865129169335042</v>
      </c>
      <c r="BP397" s="120">
        <v>0.1415511670345774</v>
      </c>
      <c r="BQ397" s="120">
        <v>0.14548934692113016</v>
      </c>
    </row>
    <row r="398" spans="11:69" ht="12.75" x14ac:dyDescent="0.2">
      <c r="N398" s="153"/>
      <c r="O398" s="153"/>
      <c r="P398" s="153"/>
      <c r="Q398" s="153"/>
      <c r="R398" s="129"/>
      <c r="S398" s="153"/>
      <c r="T398" s="153"/>
      <c r="U398" s="153"/>
      <c r="V398" s="153"/>
      <c r="W398" s="153"/>
      <c r="X398" s="153"/>
      <c r="Y398" s="153"/>
      <c r="Z398" s="153"/>
      <c r="AB398" s="111"/>
      <c r="AC398" s="111"/>
      <c r="AD398" s="111"/>
      <c r="AE398" s="111"/>
      <c r="AF398" s="111"/>
      <c r="AG398" s="111"/>
      <c r="AH398" s="111"/>
      <c r="AI398" s="111"/>
      <c r="AJ398" s="111"/>
      <c r="AK398" s="111"/>
      <c r="AL398" s="111"/>
      <c r="AM398" s="111"/>
      <c r="AN398" s="111"/>
      <c r="AQ398" s="120"/>
      <c r="AR398" s="120"/>
      <c r="AS398" s="120"/>
      <c r="AT398" s="120"/>
      <c r="AU398" s="120"/>
      <c r="AV398" s="120"/>
      <c r="AW398" s="120"/>
      <c r="AX398" s="120"/>
      <c r="AY398" s="120"/>
      <c r="AZ398" s="120"/>
      <c r="BA398" s="120">
        <v>7.5050930459498767E-3</v>
      </c>
      <c r="BB398" s="120">
        <v>8.2022982919808651E-3</v>
      </c>
      <c r="BC398" s="120">
        <v>1.0600366615626881E-2</v>
      </c>
      <c r="BE398" s="120">
        <v>0.19026507944892371</v>
      </c>
      <c r="BF398" s="120">
        <v>0.19125082855886916</v>
      </c>
      <c r="BG398" s="120">
        <v>0.17858156168857187</v>
      </c>
      <c r="BH398" s="120">
        <v>0.1784800273307279</v>
      </c>
      <c r="BI398" s="120">
        <v>0.1768318035667229</v>
      </c>
      <c r="BJ398" s="120">
        <v>0.17520478924180957</v>
      </c>
      <c r="BK398" s="120">
        <v>0.16377392339764035</v>
      </c>
      <c r="BL398" s="120">
        <v>0.16343516864155949</v>
      </c>
      <c r="BM398" s="120">
        <v>0.15778180275224968</v>
      </c>
      <c r="BN398" s="120">
        <v>0.14702491960528366</v>
      </c>
      <c r="BO398" s="120">
        <v>0.14259286537077301</v>
      </c>
      <c r="BP398" s="120">
        <v>0.13356905305873651</v>
      </c>
      <c r="BQ398" s="120">
        <v>0.13130160408380323</v>
      </c>
    </row>
    <row r="399" spans="11:69" ht="12.75" x14ac:dyDescent="0.2">
      <c r="N399" s="153"/>
      <c r="O399" s="153"/>
      <c r="P399" s="153"/>
      <c r="Q399" s="153"/>
      <c r="R399" s="129"/>
      <c r="S399" s="153"/>
      <c r="T399" s="153"/>
      <c r="U399" s="153"/>
      <c r="V399" s="153"/>
      <c r="W399" s="153"/>
      <c r="X399" s="153"/>
      <c r="Y399" s="153"/>
      <c r="Z399" s="153"/>
      <c r="AB399" s="111"/>
      <c r="AC399" s="111"/>
      <c r="AD399" s="111"/>
      <c r="AE399" s="111"/>
      <c r="AF399" s="111"/>
      <c r="AG399" s="111"/>
      <c r="AH399" s="111"/>
      <c r="AI399" s="111"/>
      <c r="AJ399" s="111"/>
      <c r="AK399" s="111"/>
      <c r="AL399" s="111"/>
      <c r="AM399" s="111"/>
      <c r="AN399" s="111"/>
      <c r="AQ399" s="120"/>
      <c r="AR399" s="120"/>
      <c r="AS399" s="120"/>
      <c r="AT399" s="120"/>
      <c r="AU399" s="120"/>
      <c r="AV399" s="120"/>
      <c r="AW399" s="120"/>
      <c r="AX399" s="120"/>
      <c r="AY399" s="120"/>
      <c r="AZ399" s="120"/>
      <c r="BA399" s="120">
        <v>7.0670823143339648E-3</v>
      </c>
      <c r="BB399" s="120">
        <v>7.8588269555326142E-3</v>
      </c>
      <c r="BC399" s="120">
        <v>9.5908078315743214E-3</v>
      </c>
      <c r="BE399" s="120">
        <v>0.19994530186966594</v>
      </c>
      <c r="BF399" s="120">
        <v>0.18238608536102993</v>
      </c>
      <c r="BG399" s="120">
        <v>0.18855660848066566</v>
      </c>
      <c r="BH399" s="120">
        <v>0.18672932849444085</v>
      </c>
      <c r="BI399" s="120">
        <v>0.18088266216364421</v>
      </c>
      <c r="BJ399" s="120">
        <v>0.17504133807405209</v>
      </c>
      <c r="BK399" s="120">
        <v>0.17711539878056543</v>
      </c>
      <c r="BL399" s="120">
        <v>0.16002124419863234</v>
      </c>
      <c r="BM399" s="120">
        <v>0.15440777642967035</v>
      </c>
      <c r="BN399" s="120">
        <v>0.15482671185620109</v>
      </c>
      <c r="BO399" s="120">
        <v>0.13891588802431029</v>
      </c>
      <c r="BP399" s="120">
        <v>0.13208009966034581</v>
      </c>
      <c r="BQ399" s="120">
        <v>0.12204676609056048</v>
      </c>
    </row>
    <row r="400" spans="11:69" ht="12.75" x14ac:dyDescent="0.2">
      <c r="N400" s="153"/>
      <c r="O400" s="153"/>
      <c r="P400" s="153"/>
      <c r="Q400" s="153"/>
      <c r="R400" s="129"/>
      <c r="S400" s="153"/>
      <c r="T400" s="153"/>
      <c r="U400" s="153"/>
      <c r="V400" s="153"/>
      <c r="W400" s="153"/>
      <c r="X400" s="153"/>
      <c r="Y400" s="153"/>
      <c r="Z400" s="153"/>
      <c r="AB400" s="111"/>
      <c r="AC400" s="111"/>
      <c r="AD400" s="111"/>
      <c r="AE400" s="111"/>
      <c r="AF400" s="111"/>
      <c r="AG400" s="111"/>
      <c r="AH400" s="111"/>
      <c r="AI400" s="111"/>
      <c r="AJ400" s="111"/>
      <c r="AK400" s="111"/>
      <c r="AL400" s="111"/>
      <c r="AM400" s="111"/>
      <c r="AN400" s="111"/>
      <c r="AQ400" s="120"/>
      <c r="AR400" s="120"/>
      <c r="AS400" s="120"/>
      <c r="AT400" s="120"/>
      <c r="AU400" s="120"/>
      <c r="AV400" s="120"/>
      <c r="AW400" s="120"/>
      <c r="AX400" s="120"/>
      <c r="AY400" s="120"/>
      <c r="AZ400" s="120"/>
      <c r="BA400" s="120">
        <v>7.2849334880952495E-3</v>
      </c>
      <c r="BB400" s="120">
        <v>7.978626142143265E-3</v>
      </c>
      <c r="BC400" s="120">
        <v>9.7018669518844289E-3</v>
      </c>
      <c r="BE400" s="120">
        <v>0.18975871690364285</v>
      </c>
      <c r="BF400" s="120">
        <v>0.19009267989747161</v>
      </c>
      <c r="BG400" s="120">
        <v>0.17775672617470054</v>
      </c>
      <c r="BH400" s="120">
        <v>0.17367846828227046</v>
      </c>
      <c r="BI400" s="120">
        <v>0.17628705303720277</v>
      </c>
      <c r="BJ400" s="120">
        <v>0.17896797973911352</v>
      </c>
      <c r="BK400" s="120">
        <v>0.16313356120257488</v>
      </c>
      <c r="BL400" s="120">
        <v>0.16257640323392233</v>
      </c>
      <c r="BM400" s="120">
        <v>0.15644622571614936</v>
      </c>
      <c r="BN400" s="120">
        <v>0.1472714042642897</v>
      </c>
      <c r="BO400" s="120">
        <v>0.14823261090901726</v>
      </c>
      <c r="BP400" s="120">
        <v>0.13858707793613437</v>
      </c>
      <c r="BQ400" s="120">
        <v>0.12711722959096475</v>
      </c>
    </row>
    <row r="401" spans="11:69" ht="12.75" x14ac:dyDescent="0.2">
      <c r="N401" s="153"/>
      <c r="O401" s="153"/>
      <c r="P401" s="153"/>
      <c r="Q401" s="153"/>
      <c r="R401" s="129"/>
      <c r="S401" s="153"/>
      <c r="T401" s="153"/>
      <c r="U401" s="153"/>
      <c r="V401" s="153"/>
      <c r="W401" s="153"/>
      <c r="X401" s="153"/>
      <c r="Y401" s="153"/>
      <c r="Z401" s="153"/>
      <c r="AB401" s="111"/>
      <c r="AC401" s="111"/>
      <c r="AD401" s="111"/>
      <c r="AE401" s="111"/>
      <c r="AF401" s="111"/>
      <c r="AG401" s="111"/>
      <c r="AH401" s="111"/>
      <c r="AI401" s="111"/>
      <c r="AJ401" s="111"/>
      <c r="AK401" s="111"/>
      <c r="AL401" s="111"/>
      <c r="AM401" s="111"/>
      <c r="AN401" s="111"/>
      <c r="AQ401" s="120"/>
      <c r="AR401" s="120"/>
      <c r="AS401" s="120"/>
      <c r="AT401" s="120"/>
      <c r="AU401" s="120"/>
      <c r="AV401" s="120"/>
      <c r="AW401" s="120"/>
      <c r="AX401" s="120"/>
      <c r="AY401" s="120"/>
      <c r="AZ401" s="120"/>
      <c r="BA401" s="120">
        <v>6.4991337841972989E-3</v>
      </c>
      <c r="BB401" s="120">
        <v>7.03644233757588E-3</v>
      </c>
      <c r="BC401" s="120">
        <v>9.1621622254276797E-3</v>
      </c>
      <c r="BE401" s="120">
        <v>0.18813029545182439</v>
      </c>
      <c r="BF401" s="120">
        <v>0.17720384687597654</v>
      </c>
      <c r="BG401" s="120">
        <v>0.18805304114727661</v>
      </c>
      <c r="BH401" s="120">
        <v>0.18585148504549365</v>
      </c>
      <c r="BI401" s="120">
        <v>0.17489627041883626</v>
      </c>
      <c r="BJ401" s="120">
        <v>0.16386999627901397</v>
      </c>
      <c r="BK401" s="120">
        <v>0.17612764484633486</v>
      </c>
      <c r="BL401" s="120">
        <v>0.16199813953788003</v>
      </c>
      <c r="BM401" s="120">
        <v>0.15615898178213417</v>
      </c>
      <c r="BN401" s="120">
        <v>0.15470389308632301</v>
      </c>
      <c r="BO401" s="120">
        <v>0.13347988875906916</v>
      </c>
      <c r="BP401" s="120">
        <v>0.123109194401888</v>
      </c>
      <c r="BQ401" s="120">
        <v>0.12116454948647545</v>
      </c>
    </row>
    <row r="403" spans="11:69" x14ac:dyDescent="0.2">
      <c r="S403" s="126"/>
      <c r="T403" s="126"/>
      <c r="U403" s="126"/>
      <c r="V403" s="126"/>
      <c r="W403" s="126"/>
      <c r="X403" s="126"/>
      <c r="Y403" s="126"/>
      <c r="Z403" s="126"/>
    </row>
    <row r="404" spans="11:69" ht="12.75" x14ac:dyDescent="0.2">
      <c r="K404" s="105"/>
      <c r="N404" s="153"/>
      <c r="O404" s="153"/>
      <c r="P404" s="153"/>
      <c r="Q404" s="153"/>
      <c r="R404" s="129"/>
      <c r="S404" s="153"/>
      <c r="T404" s="153"/>
      <c r="U404" s="153"/>
      <c r="V404" s="153"/>
      <c r="W404" s="153"/>
      <c r="X404" s="153"/>
      <c r="Y404" s="153"/>
      <c r="Z404" s="153"/>
      <c r="AB404" s="111"/>
      <c r="AC404" s="111"/>
      <c r="AD404" s="111"/>
      <c r="AE404" s="111"/>
      <c r="AF404" s="111"/>
      <c r="AG404" s="111"/>
      <c r="AH404" s="111"/>
      <c r="AI404" s="111"/>
      <c r="AJ404" s="111"/>
      <c r="AK404" s="111"/>
      <c r="AL404" s="111"/>
      <c r="AM404" s="111"/>
      <c r="AN404" s="111"/>
      <c r="AQ404" s="120"/>
      <c r="AR404" s="120"/>
      <c r="AS404" s="120"/>
      <c r="AT404" s="120"/>
      <c r="AU404" s="120"/>
      <c r="AV404" s="120"/>
      <c r="AW404" s="120"/>
      <c r="AX404" s="120"/>
      <c r="AY404" s="120"/>
      <c r="AZ404" s="120"/>
      <c r="BA404" s="120">
        <v>1.3511250527223188E-2</v>
      </c>
      <c r="BB404" s="120">
        <v>1.9699658463576106E-2</v>
      </c>
      <c r="BC404" s="120">
        <v>3.4486366437138857E-2</v>
      </c>
      <c r="BE404" s="120">
        <v>8.400055060010822E-2</v>
      </c>
      <c r="BF404" s="120">
        <v>7.0430828124132219E-2</v>
      </c>
      <c r="BG404" s="120">
        <v>8.3988989020964466E-2</v>
      </c>
      <c r="BH404" s="120">
        <v>0.10099949778375887</v>
      </c>
      <c r="BI404" s="120">
        <v>0.11649828911591385</v>
      </c>
      <c r="BJ404" s="120">
        <v>0.13199706479292972</v>
      </c>
      <c r="BK404" s="120">
        <v>0.15898776534863482</v>
      </c>
      <c r="BL404" s="120">
        <v>0.20495977714526339</v>
      </c>
      <c r="BM404" s="120">
        <v>0.24293137188504638</v>
      </c>
      <c r="BN404" s="120">
        <v>0.27491693113715304</v>
      </c>
      <c r="BO404" s="120">
        <v>0.32781754501787669</v>
      </c>
      <c r="BP404" s="120">
        <v>0.40455095684513914</v>
      </c>
      <c r="BQ404" s="120">
        <v>0.53164447294614603</v>
      </c>
    </row>
    <row r="405" spans="11:69" ht="12.75" x14ac:dyDescent="0.2">
      <c r="N405" s="153"/>
      <c r="O405" s="153"/>
      <c r="P405" s="153"/>
      <c r="Q405" s="153"/>
      <c r="R405" s="129"/>
      <c r="S405" s="153"/>
      <c r="T405" s="153"/>
      <c r="U405" s="153"/>
      <c r="V405" s="153"/>
      <c r="W405" s="153"/>
      <c r="X405" s="153"/>
      <c r="Y405" s="153"/>
      <c r="Z405" s="153"/>
      <c r="AB405" s="111"/>
      <c r="AC405" s="111"/>
      <c r="AD405" s="111"/>
      <c r="AE405" s="111"/>
      <c r="AF405" s="111"/>
      <c r="AG405" s="111"/>
      <c r="AH405" s="111"/>
      <c r="AI405" s="111"/>
      <c r="AJ405" s="111"/>
      <c r="AK405" s="111"/>
      <c r="AL405" s="111"/>
      <c r="AM405" s="111"/>
      <c r="AN405" s="111"/>
      <c r="AQ405" s="120"/>
      <c r="AR405" s="120"/>
      <c r="AS405" s="120"/>
      <c r="AT405" s="120"/>
      <c r="AU405" s="120"/>
      <c r="AV405" s="120"/>
      <c r="AW405" s="120"/>
      <c r="AX405" s="120"/>
      <c r="AY405" s="120"/>
      <c r="AZ405" s="120"/>
      <c r="BA405" s="120">
        <v>1.2779629750236833E-2</v>
      </c>
      <c r="BB405" s="120">
        <v>1.7948273525538096E-2</v>
      </c>
      <c r="BC405" s="120">
        <v>2.9554732890209261E-2</v>
      </c>
      <c r="BE405" s="120">
        <v>0.12179372415737179</v>
      </c>
      <c r="BF405" s="120">
        <v>0.12479498402637743</v>
      </c>
      <c r="BG405" s="120">
        <v>0.13118848830278829</v>
      </c>
      <c r="BH405" s="120">
        <v>0.14059443918938019</v>
      </c>
      <c r="BI405" s="120">
        <v>0.14925084404047195</v>
      </c>
      <c r="BJ405" s="120">
        <v>0.15913135971483311</v>
      </c>
      <c r="BK405" s="120">
        <v>0.17977918799038539</v>
      </c>
      <c r="BL405" s="120">
        <v>0.21547854901628652</v>
      </c>
      <c r="BM405" s="120">
        <v>0.24445249759516566</v>
      </c>
      <c r="BN405" s="120">
        <v>0.2693787240825965</v>
      </c>
      <c r="BO405" s="120">
        <v>0.31167337803098449</v>
      </c>
      <c r="BP405" s="120">
        <v>0.37221862831406421</v>
      </c>
      <c r="BQ405" s="120">
        <v>0.45787017397132657</v>
      </c>
    </row>
    <row r="406" spans="11:69" ht="12.75" x14ac:dyDescent="0.2">
      <c r="N406" s="153"/>
      <c r="O406" s="153"/>
      <c r="P406" s="153"/>
      <c r="Q406" s="153"/>
      <c r="R406" s="129"/>
      <c r="S406" s="153"/>
      <c r="T406" s="153"/>
      <c r="U406" s="153"/>
      <c r="V406" s="153"/>
      <c r="W406" s="153"/>
      <c r="X406" s="153"/>
      <c r="Y406" s="153"/>
      <c r="Z406" s="153"/>
      <c r="AB406" s="111"/>
      <c r="AC406" s="111"/>
      <c r="AD406" s="111"/>
      <c r="AE406" s="111"/>
      <c r="AF406" s="111"/>
      <c r="AG406" s="111"/>
      <c r="AH406" s="111"/>
      <c r="AI406" s="111"/>
      <c r="AJ406" s="111"/>
      <c r="AK406" s="111"/>
      <c r="AL406" s="111"/>
      <c r="AM406" s="111"/>
      <c r="AN406" s="111"/>
      <c r="AQ406" s="120"/>
      <c r="AR406" s="120"/>
      <c r="AS406" s="120"/>
      <c r="AT406" s="120"/>
      <c r="AU406" s="120"/>
      <c r="AV406" s="120"/>
      <c r="AW406" s="120"/>
      <c r="AX406" s="120"/>
      <c r="AY406" s="120"/>
      <c r="AZ406" s="120"/>
      <c r="BA406" s="120">
        <v>1.0135817262961538E-2</v>
      </c>
      <c r="BB406" s="120">
        <v>1.4071271027905261E-2</v>
      </c>
      <c r="BC406" s="120">
        <v>2.3102968449798335E-2</v>
      </c>
      <c r="BE406" s="120">
        <v>0.13906333373820309</v>
      </c>
      <c r="BF406" s="120">
        <v>0.11797569960404951</v>
      </c>
      <c r="BG406" s="120">
        <v>0.11674197219026074</v>
      </c>
      <c r="BH406" s="120">
        <v>0.12193188165144402</v>
      </c>
      <c r="BI406" s="120">
        <v>0.12842387578115996</v>
      </c>
      <c r="BJ406" s="120">
        <v>0.13491099720333419</v>
      </c>
      <c r="BK406" s="120">
        <v>0.14788069076413238</v>
      </c>
      <c r="BL406" s="120">
        <v>0.17184072082028679</v>
      </c>
      <c r="BM406" s="120">
        <v>0.19180778929127537</v>
      </c>
      <c r="BN406" s="120">
        <v>0.20978227497065777</v>
      </c>
      <c r="BO406" s="120">
        <v>0.23873317624456203</v>
      </c>
      <c r="BP406" s="120">
        <v>0.28166547391114177</v>
      </c>
      <c r="BQ406" s="120">
        <v>0.34652268954995791</v>
      </c>
    </row>
    <row r="407" spans="11:69" ht="12.75" x14ac:dyDescent="0.2">
      <c r="N407" s="153"/>
      <c r="O407" s="153"/>
      <c r="P407" s="153"/>
      <c r="Q407" s="153"/>
      <c r="R407" s="129"/>
      <c r="S407" s="153"/>
      <c r="T407" s="153"/>
      <c r="U407" s="153"/>
      <c r="V407" s="153"/>
      <c r="W407" s="153"/>
      <c r="X407" s="153"/>
      <c r="Y407" s="153"/>
      <c r="Z407" s="153"/>
      <c r="AB407" s="111"/>
      <c r="AC407" s="111"/>
      <c r="AD407" s="111"/>
      <c r="AE407" s="111"/>
      <c r="AF407" s="111"/>
      <c r="AG407" s="111"/>
      <c r="AH407" s="111"/>
      <c r="AI407" s="111"/>
      <c r="AJ407" s="111"/>
      <c r="AK407" s="111"/>
      <c r="AL407" s="111"/>
      <c r="AM407" s="111"/>
      <c r="AN407" s="111"/>
      <c r="AQ407" s="120"/>
      <c r="AR407" s="120"/>
      <c r="AS407" s="120"/>
      <c r="AT407" s="120"/>
      <c r="AU407" s="120"/>
      <c r="AV407" s="120"/>
      <c r="AW407" s="120"/>
      <c r="AX407" s="120"/>
      <c r="AY407" s="120"/>
      <c r="AZ407" s="120"/>
      <c r="BA407" s="120">
        <v>8.2031031293467085E-3</v>
      </c>
      <c r="BB407" s="120">
        <v>1.0486681117388317E-2</v>
      </c>
      <c r="BC407" s="120">
        <v>1.5488454159177515E-2</v>
      </c>
      <c r="BE407" s="120">
        <v>0.20663687161420433</v>
      </c>
      <c r="BF407" s="120">
        <v>0.19838880668400016</v>
      </c>
      <c r="BG407" s="120">
        <v>0.19351650061015513</v>
      </c>
      <c r="BH407" s="120">
        <v>0.18854457954504211</v>
      </c>
      <c r="BI407" s="120">
        <v>0.18326616164801482</v>
      </c>
      <c r="BJ407" s="120">
        <v>0.17901112180575832</v>
      </c>
      <c r="BK407" s="120">
        <v>0.17422125712337422</v>
      </c>
      <c r="BL407" s="120">
        <v>0.16979135187752589</v>
      </c>
      <c r="BM407" s="120">
        <v>0.17320540996148434</v>
      </c>
      <c r="BN407" s="120">
        <v>0.17788382534226729</v>
      </c>
      <c r="BO407" s="120">
        <v>0.1865891722784222</v>
      </c>
      <c r="BP407" s="120">
        <v>0.20221877125623458</v>
      </c>
      <c r="BQ407" s="120">
        <v>0.22198771161687655</v>
      </c>
    </row>
    <row r="408" spans="11:69" ht="12.75" x14ac:dyDescent="0.2">
      <c r="N408" s="153"/>
      <c r="O408" s="153"/>
      <c r="P408" s="153"/>
      <c r="Q408" s="153"/>
      <c r="R408" s="129"/>
      <c r="S408" s="153"/>
      <c r="T408" s="153"/>
      <c r="U408" s="153"/>
      <c r="V408" s="153"/>
      <c r="W408" s="153"/>
      <c r="X408" s="153"/>
      <c r="Y408" s="153"/>
      <c r="Z408" s="153"/>
      <c r="AB408" s="111"/>
      <c r="AC408" s="111"/>
      <c r="AD408" s="111"/>
      <c r="AE408" s="111"/>
      <c r="AF408" s="111"/>
      <c r="AG408" s="111"/>
      <c r="AH408" s="111"/>
      <c r="AI408" s="111"/>
      <c r="AJ408" s="111"/>
      <c r="AK408" s="111"/>
      <c r="AL408" s="111"/>
      <c r="AM408" s="111"/>
      <c r="AN408" s="111"/>
      <c r="AQ408" s="120"/>
      <c r="AR408" s="120"/>
      <c r="AS408" s="120"/>
      <c r="AT408" s="120"/>
      <c r="AU408" s="120"/>
      <c r="AV408" s="120"/>
      <c r="AW408" s="120"/>
      <c r="AX408" s="120"/>
      <c r="AY408" s="120"/>
      <c r="AZ408" s="120"/>
      <c r="BA408" s="120">
        <v>9.3057281979850217E-3</v>
      </c>
      <c r="BB408" s="120">
        <v>1.2148696820157725E-2</v>
      </c>
      <c r="BC408" s="120">
        <v>1.8503298377812824E-2</v>
      </c>
      <c r="BE408" s="120">
        <v>0.2211457860835376</v>
      </c>
      <c r="BF408" s="120">
        <v>0.2069192634913975</v>
      </c>
      <c r="BG408" s="120">
        <v>0.20070264734663223</v>
      </c>
      <c r="BH408" s="120">
        <v>0.19507451281739249</v>
      </c>
      <c r="BI408" s="120">
        <v>0.19270045606038194</v>
      </c>
      <c r="BJ408" s="120">
        <v>0.19044374314803264</v>
      </c>
      <c r="BK408" s="120">
        <v>0.18712810982136904</v>
      </c>
      <c r="BL408" s="120">
        <v>0.18580170773344565</v>
      </c>
      <c r="BM408" s="120">
        <v>0.18864344002010144</v>
      </c>
      <c r="BN408" s="120">
        <v>0.19187910427592964</v>
      </c>
      <c r="BO408" s="120">
        <v>0.20672478694407903</v>
      </c>
      <c r="BP408" s="120">
        <v>0.23049704451934783</v>
      </c>
      <c r="BQ408" s="120">
        <v>0.26475598463332123</v>
      </c>
    </row>
    <row r="409" spans="11:69" ht="12.75" x14ac:dyDescent="0.2">
      <c r="N409" s="153"/>
      <c r="O409" s="153"/>
      <c r="P409" s="153"/>
      <c r="Q409" s="153"/>
      <c r="R409" s="129"/>
      <c r="S409" s="153"/>
      <c r="T409" s="153"/>
      <c r="U409" s="153"/>
      <c r="V409" s="153"/>
      <c r="W409" s="153"/>
      <c r="X409" s="153"/>
      <c r="Y409" s="153"/>
      <c r="Z409" s="153"/>
      <c r="AB409" s="111"/>
      <c r="AC409" s="111"/>
      <c r="AD409" s="111"/>
      <c r="AE409" s="111"/>
      <c r="AF409" s="111"/>
      <c r="AG409" s="111"/>
      <c r="AH409" s="111"/>
      <c r="AI409" s="111"/>
      <c r="AJ409" s="111"/>
      <c r="AK409" s="111"/>
      <c r="AL409" s="111"/>
      <c r="AM409" s="111"/>
      <c r="AN409" s="111"/>
      <c r="AQ409" s="120"/>
      <c r="AR409" s="120"/>
      <c r="AS409" s="120"/>
      <c r="AT409" s="120"/>
      <c r="AU409" s="120"/>
      <c r="AV409" s="120"/>
      <c r="AW409" s="120"/>
      <c r="AX409" s="120"/>
      <c r="AY409" s="120"/>
      <c r="AZ409" s="120"/>
      <c r="BA409" s="120">
        <v>9.0295278124097218E-3</v>
      </c>
      <c r="BB409" s="120">
        <v>1.1484103488273716E-2</v>
      </c>
      <c r="BC409" s="120">
        <v>1.7628969501913262E-2</v>
      </c>
      <c r="BE409" s="120">
        <v>0.2371901746193926</v>
      </c>
      <c r="BF409" s="120">
        <v>0.22585146008435988</v>
      </c>
      <c r="BG409" s="120">
        <v>0.21796708235519568</v>
      </c>
      <c r="BH409" s="120">
        <v>0.21390161492732213</v>
      </c>
      <c r="BI409" s="120">
        <v>0.20780219362109509</v>
      </c>
      <c r="BJ409" s="120">
        <v>0.20200801272585686</v>
      </c>
      <c r="BK409" s="120">
        <v>0.19214944088052718</v>
      </c>
      <c r="BL409" s="120">
        <v>0.1837200900366128</v>
      </c>
      <c r="BM409" s="120">
        <v>0.17926921802453488</v>
      </c>
      <c r="BN409" s="120">
        <v>0.1848920947973654</v>
      </c>
      <c r="BO409" s="120">
        <v>0.19286001845391312</v>
      </c>
      <c r="BP409" s="120">
        <v>0.20933256128908662</v>
      </c>
      <c r="BQ409" s="120">
        <v>0.24276885667002551</v>
      </c>
    </row>
    <row r="410" spans="11:69" ht="12.75" x14ac:dyDescent="0.2">
      <c r="N410" s="153"/>
      <c r="O410" s="153"/>
      <c r="P410" s="153"/>
      <c r="Q410" s="153"/>
      <c r="R410" s="129"/>
      <c r="S410" s="153"/>
      <c r="T410" s="153"/>
      <c r="U410" s="153"/>
      <c r="V410" s="153"/>
      <c r="W410" s="153"/>
      <c r="X410" s="153"/>
      <c r="Y410" s="153"/>
      <c r="Z410" s="153"/>
      <c r="AB410" s="111"/>
      <c r="AC410" s="111"/>
      <c r="AD410" s="111"/>
      <c r="AE410" s="111"/>
      <c r="AF410" s="111"/>
      <c r="AG410" s="111"/>
      <c r="AH410" s="111"/>
      <c r="AI410" s="111"/>
      <c r="AJ410" s="111"/>
      <c r="AK410" s="111"/>
      <c r="AL410" s="111"/>
      <c r="AM410" s="111"/>
      <c r="AN410" s="111"/>
      <c r="AQ410" s="120"/>
      <c r="AR410" s="120"/>
      <c r="AS410" s="120"/>
      <c r="AT410" s="120"/>
      <c r="AU410" s="120"/>
      <c r="AV410" s="120"/>
      <c r="AW410" s="120"/>
      <c r="AX410" s="120"/>
      <c r="AY410" s="120"/>
      <c r="AZ410" s="120"/>
      <c r="BA410" s="120">
        <v>8.6416613955181184E-3</v>
      </c>
      <c r="BB410" s="120">
        <v>1.1008517161531811E-2</v>
      </c>
      <c r="BC410" s="120">
        <v>1.6759216659759161E-2</v>
      </c>
      <c r="BE410" s="120">
        <v>0.2395805899585971</v>
      </c>
      <c r="BF410" s="120">
        <v>0.22243495755559756</v>
      </c>
      <c r="BG410" s="120">
        <v>0.21921499369757091</v>
      </c>
      <c r="BH410" s="120">
        <v>0.20682906967504588</v>
      </c>
      <c r="BI410" s="120">
        <v>0.20248042926747059</v>
      </c>
      <c r="BJ410" s="120">
        <v>0.19825166068012284</v>
      </c>
      <c r="BK410" s="120">
        <v>0.19058297444834996</v>
      </c>
      <c r="BL410" s="120">
        <v>0.18192640068852178</v>
      </c>
      <c r="BM410" s="120">
        <v>0.17639441129376079</v>
      </c>
      <c r="BN410" s="120">
        <v>0.1761469063306168</v>
      </c>
      <c r="BO410" s="120">
        <v>0.17867959309038642</v>
      </c>
      <c r="BP410" s="120">
        <v>0.19483601043978202</v>
      </c>
      <c r="BQ410" s="120">
        <v>0.22471336120385405</v>
      </c>
    </row>
    <row r="411" spans="11:69" ht="12.75" x14ac:dyDescent="0.2">
      <c r="N411" s="153"/>
      <c r="O411" s="153"/>
      <c r="P411" s="153"/>
      <c r="Q411" s="153"/>
      <c r="R411" s="129"/>
      <c r="S411" s="153"/>
      <c r="T411" s="153"/>
      <c r="U411" s="153"/>
      <c r="V411" s="153"/>
      <c r="W411" s="153"/>
      <c r="X411" s="153"/>
      <c r="Y411" s="153"/>
      <c r="Z411" s="153"/>
      <c r="AB411" s="111"/>
      <c r="AC411" s="111"/>
      <c r="AD411" s="111"/>
      <c r="AE411" s="111"/>
      <c r="AF411" s="111"/>
      <c r="AG411" s="111"/>
      <c r="AH411" s="111"/>
      <c r="AI411" s="111"/>
      <c r="AJ411" s="111"/>
      <c r="AK411" s="111"/>
      <c r="AL411" s="111"/>
      <c r="AM411" s="111"/>
      <c r="AN411" s="111"/>
      <c r="AQ411" s="120"/>
      <c r="AR411" s="120"/>
      <c r="AS411" s="120"/>
      <c r="AT411" s="120"/>
      <c r="AU411" s="120"/>
      <c r="AV411" s="120"/>
      <c r="AW411" s="120"/>
      <c r="AX411" s="120"/>
      <c r="AY411" s="120"/>
      <c r="AZ411" s="120"/>
      <c r="BA411" s="120">
        <v>8.563080599116174E-3</v>
      </c>
      <c r="BB411" s="120">
        <v>1.0652760470874188E-2</v>
      </c>
      <c r="BC411" s="120">
        <v>1.5576427169849933E-2</v>
      </c>
      <c r="BE411" s="120">
        <v>0.23300025313066566</v>
      </c>
      <c r="BF411" s="120">
        <v>0.2170611257765124</v>
      </c>
      <c r="BG411" s="120">
        <v>0.21247458686732518</v>
      </c>
      <c r="BH411" s="120">
        <v>0.21310174830403544</v>
      </c>
      <c r="BI411" s="120">
        <v>0.20985589975760338</v>
      </c>
      <c r="BJ411" s="120">
        <v>0.20658905622492701</v>
      </c>
      <c r="BK411" s="120">
        <v>0.19403958975634869</v>
      </c>
      <c r="BL411" s="120">
        <v>0.17934842910971507</v>
      </c>
      <c r="BM411" s="120">
        <v>0.17783259729158407</v>
      </c>
      <c r="BN411" s="120">
        <v>0.17097662531839924</v>
      </c>
      <c r="BO411" s="120">
        <v>0.17201276171656316</v>
      </c>
      <c r="BP411" s="120">
        <v>0.18325033451436257</v>
      </c>
      <c r="BQ411" s="120">
        <v>0.20312496817522044</v>
      </c>
    </row>
    <row r="412" spans="11:69" ht="12.75" x14ac:dyDescent="0.2">
      <c r="N412" s="153"/>
      <c r="O412" s="153"/>
      <c r="P412" s="153"/>
      <c r="Q412" s="153"/>
      <c r="R412" s="129"/>
      <c r="S412" s="153"/>
      <c r="T412" s="153"/>
      <c r="U412" s="153"/>
      <c r="V412" s="153"/>
      <c r="W412" s="153"/>
      <c r="X412" s="153"/>
      <c r="Y412" s="153"/>
      <c r="Z412" s="153"/>
      <c r="AB412" s="111"/>
      <c r="AC412" s="111"/>
      <c r="AD412" s="111"/>
      <c r="AE412" s="111"/>
      <c r="AF412" s="111"/>
      <c r="AG412" s="111"/>
      <c r="AH412" s="111"/>
      <c r="AI412" s="111"/>
      <c r="AJ412" s="111"/>
      <c r="AK412" s="111"/>
      <c r="AL412" s="111"/>
      <c r="AM412" s="111"/>
      <c r="AN412" s="111"/>
      <c r="AQ412" s="120"/>
      <c r="AR412" s="120"/>
      <c r="AS412" s="120"/>
      <c r="AT412" s="120"/>
      <c r="AU412" s="120"/>
      <c r="AV412" s="120"/>
      <c r="AW412" s="120"/>
      <c r="AX412" s="120"/>
      <c r="AY412" s="120"/>
      <c r="AZ412" s="120"/>
      <c r="BA412" s="120">
        <v>8.5574030977831998E-3</v>
      </c>
      <c r="BB412" s="120">
        <v>1.03881275503411E-2</v>
      </c>
      <c r="BC412" s="120">
        <v>1.5334699149328734E-2</v>
      </c>
      <c r="BE412" s="120">
        <v>0.23279255808418114</v>
      </c>
      <c r="BF412" s="120">
        <v>0.22439547085833902</v>
      </c>
      <c r="BG412" s="120">
        <v>0.21222796464185445</v>
      </c>
      <c r="BH412" s="120">
        <v>0.20883612391459455</v>
      </c>
      <c r="BI412" s="120">
        <v>0.20045665141192515</v>
      </c>
      <c r="BJ412" s="120">
        <v>0.19231934140274196</v>
      </c>
      <c r="BK412" s="120">
        <v>0.19277764327341881</v>
      </c>
      <c r="BL412" s="120">
        <v>0.18021673549933098</v>
      </c>
      <c r="BM412" s="120">
        <v>0.16940202509462993</v>
      </c>
      <c r="BN412" s="120">
        <v>0.16902899972078061</v>
      </c>
      <c r="BO412" s="120">
        <v>0.16868579077651405</v>
      </c>
      <c r="BP412" s="120">
        <v>0.1755096029224755</v>
      </c>
      <c r="BQ412" s="120">
        <v>0.19705774618226646</v>
      </c>
    </row>
    <row r="413" spans="11:69" ht="12.75" x14ac:dyDescent="0.2">
      <c r="N413" s="153"/>
      <c r="O413" s="153"/>
      <c r="P413" s="153"/>
      <c r="Q413" s="153"/>
      <c r="R413" s="129"/>
      <c r="S413" s="153"/>
      <c r="T413" s="153"/>
      <c r="U413" s="153"/>
      <c r="V413" s="153"/>
      <c r="W413" s="153"/>
      <c r="X413" s="153"/>
      <c r="Y413" s="153"/>
      <c r="Z413" s="153"/>
      <c r="AB413" s="111"/>
      <c r="AC413" s="111"/>
      <c r="AD413" s="111"/>
      <c r="AE413" s="111"/>
      <c r="AF413" s="111"/>
      <c r="AG413" s="111"/>
      <c r="AH413" s="111"/>
      <c r="AI413" s="111"/>
      <c r="AJ413" s="111"/>
      <c r="AK413" s="111"/>
      <c r="AL413" s="111"/>
      <c r="AM413" s="111"/>
      <c r="AN413" s="111"/>
      <c r="AQ413" s="120"/>
      <c r="AR413" s="120"/>
      <c r="AS413" s="120"/>
      <c r="AT413" s="120"/>
      <c r="AU413" s="120"/>
      <c r="AV413" s="120"/>
      <c r="AW413" s="120"/>
      <c r="AX413" s="120"/>
      <c r="AY413" s="120"/>
      <c r="AZ413" s="120"/>
      <c r="BA413" s="120">
        <v>8.14502725204444E-3</v>
      </c>
      <c r="BB413" s="120">
        <v>9.653387890745645E-3</v>
      </c>
      <c r="BC413" s="120">
        <v>1.4248788860876802E-2</v>
      </c>
      <c r="BE413" s="120">
        <v>0.22348099864869467</v>
      </c>
      <c r="BF413" s="120">
        <v>0.20534969085280569</v>
      </c>
      <c r="BG413" s="120">
        <v>0.21190527371379597</v>
      </c>
      <c r="BH413" s="120">
        <v>0.20092657228396266</v>
      </c>
      <c r="BI413" s="120">
        <v>0.20136368523426787</v>
      </c>
      <c r="BJ413" s="120">
        <v>0.20164692189887232</v>
      </c>
      <c r="BK413" s="120">
        <v>0.18948992635818035</v>
      </c>
      <c r="BL413" s="120">
        <v>0.17247197206258644</v>
      </c>
      <c r="BM413" s="120">
        <v>0.16756026616582051</v>
      </c>
      <c r="BN413" s="120">
        <v>0.16286502629733501</v>
      </c>
      <c r="BO413" s="120">
        <v>0.15891389723623089</v>
      </c>
      <c r="BP413" s="120">
        <v>0.16141050662928408</v>
      </c>
      <c r="BQ413" s="120">
        <v>0.18118450998513019</v>
      </c>
    </row>
    <row r="414" spans="11:69" ht="12.75" x14ac:dyDescent="0.2">
      <c r="N414" s="153"/>
      <c r="O414" s="153"/>
      <c r="P414" s="153"/>
      <c r="Q414" s="153"/>
      <c r="R414" s="129"/>
      <c r="S414" s="153"/>
      <c r="T414" s="153"/>
      <c r="U414" s="153"/>
      <c r="V414" s="153"/>
      <c r="W414" s="153"/>
      <c r="X414" s="153"/>
      <c r="Y414" s="153"/>
      <c r="Z414" s="153"/>
      <c r="AB414" s="111"/>
      <c r="AC414" s="111"/>
      <c r="AD414" s="111"/>
      <c r="AE414" s="111"/>
      <c r="AF414" s="111"/>
      <c r="AG414" s="111"/>
      <c r="AH414" s="111"/>
      <c r="AI414" s="111"/>
      <c r="AJ414" s="111"/>
      <c r="AK414" s="111"/>
      <c r="AL414" s="111"/>
      <c r="AM414" s="111"/>
      <c r="AN414" s="111"/>
      <c r="AQ414" s="120"/>
      <c r="AR414" s="120"/>
      <c r="AS414" s="120"/>
      <c r="AT414" s="120"/>
      <c r="AU414" s="120"/>
      <c r="AV414" s="120"/>
      <c r="AW414" s="120"/>
      <c r="AX414" s="120"/>
      <c r="AY414" s="120"/>
      <c r="AZ414" s="120"/>
      <c r="BA414" s="120">
        <v>7.765311281931352E-3</v>
      </c>
      <c r="BB414" s="120">
        <v>8.9149238209831581E-3</v>
      </c>
      <c r="BC414" s="120">
        <v>1.1463467471392921E-2</v>
      </c>
      <c r="BE414" s="120">
        <v>0.20160992659358251</v>
      </c>
      <c r="BF414" s="120">
        <v>0.20054835052573772</v>
      </c>
      <c r="BG414" s="120">
        <v>0.19028859278869159</v>
      </c>
      <c r="BH414" s="120">
        <v>0.19196236796844138</v>
      </c>
      <c r="BI414" s="120">
        <v>0.18248414276910549</v>
      </c>
      <c r="BJ414" s="120">
        <v>0.17326733934736951</v>
      </c>
      <c r="BK414" s="120">
        <v>0.17599487566889538</v>
      </c>
      <c r="BL414" s="120">
        <v>0.17131505989792792</v>
      </c>
      <c r="BM414" s="120">
        <v>0.15995331066312266</v>
      </c>
      <c r="BN414" s="120">
        <v>0.15311572464106404</v>
      </c>
      <c r="BO414" s="120">
        <v>0.14770050788598882</v>
      </c>
      <c r="BP414" s="120">
        <v>0.14540626987081082</v>
      </c>
      <c r="BQ414" s="120">
        <v>0.14180002075890424</v>
      </c>
    </row>
    <row r="415" spans="11:69" ht="12.75" x14ac:dyDescent="0.2">
      <c r="N415" s="153"/>
      <c r="O415" s="153"/>
      <c r="P415" s="153"/>
      <c r="Q415" s="153"/>
      <c r="R415" s="129"/>
      <c r="S415" s="153"/>
      <c r="T415" s="153"/>
      <c r="U415" s="153"/>
      <c r="V415" s="153"/>
      <c r="W415" s="153"/>
      <c r="X415" s="153"/>
      <c r="Y415" s="153"/>
      <c r="Z415" s="153"/>
      <c r="AB415" s="111"/>
      <c r="AC415" s="111"/>
      <c r="AD415" s="111"/>
      <c r="AE415" s="111"/>
      <c r="AF415" s="111"/>
      <c r="AG415" s="111"/>
      <c r="AH415" s="111"/>
      <c r="AI415" s="111"/>
      <c r="AJ415" s="111"/>
      <c r="AK415" s="111"/>
      <c r="AL415" s="111"/>
      <c r="AM415" s="111"/>
      <c r="AN415" s="111"/>
      <c r="AQ415" s="120"/>
      <c r="AR415" s="120"/>
      <c r="AS415" s="120"/>
      <c r="AT415" s="120"/>
      <c r="AU415" s="120"/>
      <c r="AV415" s="120"/>
      <c r="AW415" s="120"/>
      <c r="AX415" s="120"/>
      <c r="AY415" s="120"/>
      <c r="AZ415" s="120"/>
      <c r="BA415" s="120">
        <v>7.5840744418308025E-3</v>
      </c>
      <c r="BB415" s="120">
        <v>8.1101145254104494E-3</v>
      </c>
      <c r="BC415" s="120">
        <v>1.0881785065451835E-2</v>
      </c>
      <c r="BE415" s="120">
        <v>0.20278862113164453</v>
      </c>
      <c r="BF415" s="120">
        <v>0.19180011473769515</v>
      </c>
      <c r="BG415" s="120">
        <v>0.19211611871272413</v>
      </c>
      <c r="BH415" s="120">
        <v>0.17970943732386158</v>
      </c>
      <c r="BI415" s="120">
        <v>0.1821505063865865</v>
      </c>
      <c r="BJ415" s="120">
        <v>0.18444403214025418</v>
      </c>
      <c r="BK415" s="120">
        <v>0.17186434650743729</v>
      </c>
      <c r="BL415" s="120">
        <v>0.15877663709752382</v>
      </c>
      <c r="BM415" s="120">
        <v>0.15964901721266003</v>
      </c>
      <c r="BN415" s="120">
        <v>0.15084717925665966</v>
      </c>
      <c r="BO415" s="120">
        <v>0.14534227141486794</v>
      </c>
      <c r="BP415" s="120">
        <v>0.13307811892256566</v>
      </c>
      <c r="BQ415" s="120">
        <v>0.13591874187913161</v>
      </c>
    </row>
    <row r="416" spans="11:69" ht="12.75" x14ac:dyDescent="0.2">
      <c r="N416" s="153"/>
      <c r="O416" s="153"/>
      <c r="P416" s="153"/>
      <c r="Q416" s="153"/>
      <c r="R416" s="129"/>
      <c r="S416" s="153"/>
      <c r="T416" s="153"/>
      <c r="U416" s="153"/>
      <c r="V416" s="153"/>
      <c r="W416" s="153"/>
      <c r="X416" s="153"/>
      <c r="Y416" s="153"/>
      <c r="Z416" s="153"/>
      <c r="AB416" s="111"/>
      <c r="AC416" s="111"/>
      <c r="AD416" s="111"/>
      <c r="AE416" s="111"/>
      <c r="AF416" s="111"/>
      <c r="AG416" s="111"/>
      <c r="AH416" s="111"/>
      <c r="AI416" s="111"/>
      <c r="AJ416" s="111"/>
      <c r="AK416" s="111"/>
      <c r="AL416" s="111"/>
      <c r="AM416" s="111"/>
      <c r="AN416" s="111"/>
      <c r="AQ416" s="120"/>
      <c r="AR416" s="120"/>
      <c r="AS416" s="120"/>
      <c r="AT416" s="120"/>
      <c r="AU416" s="120"/>
      <c r="AV416" s="120"/>
      <c r="AW416" s="120"/>
      <c r="AX416" s="120"/>
      <c r="AY416" s="120"/>
      <c r="AZ416" s="120"/>
      <c r="BA416" s="120">
        <v>7.0059203129181442E-3</v>
      </c>
      <c r="BB416" s="120">
        <v>8.184986505168133E-3</v>
      </c>
      <c r="BC416" s="120">
        <v>9.3957136242538899E-3</v>
      </c>
      <c r="BE416" s="120">
        <v>0.19015665437009846</v>
      </c>
      <c r="BF416" s="120">
        <v>0.18721759735484481</v>
      </c>
      <c r="BG416" s="120">
        <v>0.17968200918530727</v>
      </c>
      <c r="BH416" s="120">
        <v>0.18756031778387772</v>
      </c>
      <c r="BI416" s="120">
        <v>0.17848423757335016</v>
      </c>
      <c r="BJ416" s="120">
        <v>0.16952818657397542</v>
      </c>
      <c r="BK416" s="120">
        <v>0.17249735398419844</v>
      </c>
      <c r="BL416" s="120">
        <v>0.16905855240680434</v>
      </c>
      <c r="BM416" s="120">
        <v>0.15484161978456037</v>
      </c>
      <c r="BN416" s="120">
        <v>0.1536581223131229</v>
      </c>
      <c r="BO416" s="120">
        <v>0.13871615466070505</v>
      </c>
      <c r="BP416" s="120">
        <v>0.13862576904528656</v>
      </c>
      <c r="BQ416" s="120">
        <v>0.1202239284596527</v>
      </c>
    </row>
    <row r="417" spans="11:69" ht="12.75" x14ac:dyDescent="0.2">
      <c r="N417" s="153"/>
      <c r="O417" s="153"/>
      <c r="P417" s="153"/>
      <c r="Q417" s="153"/>
      <c r="R417" s="129"/>
      <c r="S417" s="153"/>
      <c r="T417" s="153"/>
      <c r="U417" s="153"/>
      <c r="V417" s="153"/>
      <c r="W417" s="153"/>
      <c r="X417" s="153"/>
      <c r="Y417" s="153"/>
      <c r="Z417" s="153"/>
      <c r="AB417" s="111"/>
      <c r="AC417" s="111"/>
      <c r="AD417" s="111"/>
      <c r="AE417" s="111"/>
      <c r="AF417" s="111"/>
      <c r="AG417" s="111"/>
      <c r="AH417" s="111"/>
      <c r="AI417" s="111"/>
      <c r="AJ417" s="111"/>
      <c r="AK417" s="111"/>
      <c r="AL417" s="111"/>
      <c r="AM417" s="111"/>
      <c r="AN417" s="111"/>
      <c r="AQ417" s="120"/>
      <c r="AR417" s="120"/>
      <c r="AS417" s="120"/>
      <c r="AT417" s="120"/>
      <c r="AU417" s="120"/>
      <c r="AV417" s="120"/>
      <c r="AW417" s="120"/>
      <c r="AX417" s="120"/>
      <c r="AY417" s="120"/>
      <c r="AZ417" s="120"/>
      <c r="BA417" s="120">
        <v>7.3454155190052182E-3</v>
      </c>
      <c r="BB417" s="120">
        <v>7.5271826132570444E-3</v>
      </c>
      <c r="BC417" s="120">
        <v>9.9074043198704564E-3</v>
      </c>
      <c r="BE417" s="120">
        <v>0.19758807700802425</v>
      </c>
      <c r="BF417" s="120">
        <v>0.18800547353394101</v>
      </c>
      <c r="BG417" s="120">
        <v>0.18671305202371916</v>
      </c>
      <c r="BH417" s="120">
        <v>0.17482787741201064</v>
      </c>
      <c r="BI417" s="120">
        <v>0.18005230387541196</v>
      </c>
      <c r="BJ417" s="120">
        <v>0.18527117931748133</v>
      </c>
      <c r="BK417" s="120">
        <v>0.168740657408468</v>
      </c>
      <c r="BL417" s="120">
        <v>0.15710591208660415</v>
      </c>
      <c r="BM417" s="120">
        <v>0.15801788602127026</v>
      </c>
      <c r="BN417" s="120">
        <v>0.15016935731985792</v>
      </c>
      <c r="BO417" s="120">
        <v>0.15036205380305498</v>
      </c>
      <c r="BP417" s="120">
        <v>0.13141271517758552</v>
      </c>
      <c r="BQ417" s="120">
        <v>0.13056493357853613</v>
      </c>
    </row>
    <row r="418" spans="11:69" ht="12.75" x14ac:dyDescent="0.2">
      <c r="N418" s="153"/>
      <c r="O418" s="153"/>
      <c r="P418" s="153"/>
      <c r="Q418" s="153"/>
      <c r="R418" s="129"/>
      <c r="S418" s="153"/>
      <c r="T418" s="153"/>
      <c r="U418" s="153"/>
      <c r="V418" s="153"/>
      <c r="W418" s="153"/>
      <c r="X418" s="153"/>
      <c r="Y418" s="153"/>
      <c r="Z418" s="153"/>
      <c r="AB418" s="111"/>
      <c r="AC418" s="111"/>
      <c r="AD418" s="111"/>
      <c r="AE418" s="111"/>
      <c r="AF418" s="111"/>
      <c r="AG418" s="111"/>
      <c r="AH418" s="111"/>
      <c r="AI418" s="111"/>
      <c r="AJ418" s="111"/>
      <c r="AK418" s="111"/>
      <c r="AL418" s="111"/>
      <c r="AM418" s="111"/>
      <c r="AN418" s="111"/>
      <c r="AQ418" s="120"/>
      <c r="AR418" s="120"/>
      <c r="AS418" s="120"/>
      <c r="AT418" s="120"/>
      <c r="AU418" s="120"/>
      <c r="AV418" s="120"/>
      <c r="AW418" s="120"/>
      <c r="AX418" s="120"/>
      <c r="AY418" s="120"/>
      <c r="AZ418" s="120"/>
      <c r="BA418" s="120">
        <v>6.8118855133907433E-3</v>
      </c>
      <c r="BB418" s="120">
        <v>7.4101443920685786E-3</v>
      </c>
      <c r="BC418" s="120">
        <v>9.0175448416768954E-3</v>
      </c>
      <c r="BE418" s="120">
        <v>0.1896832420078948</v>
      </c>
      <c r="BF418" s="120">
        <v>0.18068913577811729</v>
      </c>
      <c r="BG418" s="120">
        <v>0.18256539498082616</v>
      </c>
      <c r="BH418" s="120">
        <v>0.18673940431250283</v>
      </c>
      <c r="BI418" s="120">
        <v>0.17786168626712273</v>
      </c>
      <c r="BJ418" s="120">
        <v>0.16901959850046933</v>
      </c>
      <c r="BK418" s="120">
        <v>0.17337646182971764</v>
      </c>
      <c r="BL418" s="120">
        <v>0.16835081544563307</v>
      </c>
      <c r="BM418" s="120">
        <v>0.15673747120636738</v>
      </c>
      <c r="BN418" s="120">
        <v>0.15420655179840717</v>
      </c>
      <c r="BO418" s="120">
        <v>0.14169330033612276</v>
      </c>
      <c r="BP418" s="120">
        <v>0.13095163325700757</v>
      </c>
      <c r="BQ418" s="120">
        <v>0.12025422767100002</v>
      </c>
    </row>
    <row r="420" spans="11:69" x14ac:dyDescent="0.2">
      <c r="S420" s="126"/>
      <c r="T420" s="126"/>
      <c r="U420" s="126"/>
      <c r="V420" s="126"/>
      <c r="W420" s="126"/>
      <c r="X420" s="126"/>
      <c r="Y420" s="126"/>
      <c r="Z420" s="126"/>
    </row>
    <row r="421" spans="11:69" ht="12.75" x14ac:dyDescent="0.2">
      <c r="K421" s="105"/>
      <c r="N421" s="153"/>
      <c r="O421" s="153"/>
      <c r="P421" s="153"/>
      <c r="Q421" s="153"/>
      <c r="R421" s="129"/>
      <c r="S421" s="153"/>
      <c r="T421" s="153"/>
      <c r="U421" s="153"/>
      <c r="V421" s="153"/>
      <c r="W421" s="153"/>
      <c r="X421" s="153"/>
      <c r="Y421" s="153"/>
      <c r="Z421" s="153"/>
      <c r="AB421" s="111"/>
      <c r="AC421" s="111"/>
      <c r="AD421" s="111"/>
      <c r="AE421" s="111"/>
      <c r="AF421" s="111"/>
      <c r="AG421" s="111"/>
      <c r="AH421" s="111"/>
      <c r="AI421" s="111"/>
      <c r="AJ421" s="111"/>
      <c r="AK421" s="111"/>
      <c r="AL421" s="111"/>
      <c r="AM421" s="111"/>
      <c r="AN421" s="111"/>
      <c r="AQ421" s="120"/>
      <c r="AR421" s="120"/>
      <c r="AS421" s="120"/>
      <c r="AT421" s="120"/>
      <c r="AU421" s="120"/>
      <c r="AV421" s="120"/>
      <c r="AW421" s="120"/>
      <c r="AX421" s="120"/>
      <c r="AY421" s="120"/>
      <c r="AZ421" s="120"/>
      <c r="BA421" s="120">
        <v>1.2548419634828447E-2</v>
      </c>
      <c r="BB421" s="120">
        <v>1.8419206241244639E-2</v>
      </c>
      <c r="BC421" s="120">
        <v>3.2747189383325194E-2</v>
      </c>
      <c r="BE421" s="120">
        <v>9.5994587020998681E-2</v>
      </c>
      <c r="BF421" s="120">
        <v>6.8627484135021594E-2</v>
      </c>
      <c r="BG421" s="120">
        <v>7.6016062646392116E-2</v>
      </c>
      <c r="BH421" s="120">
        <v>9.0001186606113504E-2</v>
      </c>
      <c r="BI421" s="120">
        <v>0.10400432850242222</v>
      </c>
      <c r="BJ421" s="120">
        <v>0.11800966197341856</v>
      </c>
      <c r="BK421" s="120">
        <v>0.1430231375324959</v>
      </c>
      <c r="BL421" s="120">
        <v>0.1860539799012732</v>
      </c>
      <c r="BM421" s="120">
        <v>0.22110117541273439</v>
      </c>
      <c r="BN421" s="120">
        <v>0.25211286604260541</v>
      </c>
      <c r="BO421" s="120">
        <v>0.30379975644444362</v>
      </c>
      <c r="BP421" s="120">
        <v>0.37813494689913119</v>
      </c>
      <c r="BQ421" s="120">
        <v>0.50357025230789332</v>
      </c>
    </row>
    <row r="422" spans="11:69" ht="12.75" x14ac:dyDescent="0.2">
      <c r="N422" s="153"/>
      <c r="O422" s="153"/>
      <c r="P422" s="153"/>
      <c r="Q422" s="153"/>
      <c r="R422" s="129"/>
      <c r="S422" s="153"/>
      <c r="T422" s="153"/>
      <c r="U422" s="153"/>
      <c r="V422" s="153"/>
      <c r="W422" s="153"/>
      <c r="X422" s="153"/>
      <c r="Y422" s="153"/>
      <c r="Z422" s="153"/>
      <c r="AB422" s="111"/>
      <c r="AC422" s="111"/>
      <c r="AD422" s="111"/>
      <c r="AE422" s="111"/>
      <c r="AF422" s="111"/>
      <c r="AG422" s="111"/>
      <c r="AH422" s="111"/>
      <c r="AI422" s="111"/>
      <c r="AJ422" s="111"/>
      <c r="AK422" s="111"/>
      <c r="AL422" s="111"/>
      <c r="AM422" s="111"/>
      <c r="AN422" s="111"/>
      <c r="AQ422" s="120"/>
      <c r="AR422" s="120"/>
      <c r="AS422" s="120"/>
      <c r="AT422" s="120"/>
      <c r="AU422" s="120"/>
      <c r="AV422" s="120"/>
      <c r="AW422" s="120"/>
      <c r="AX422" s="120"/>
      <c r="AY422" s="120"/>
      <c r="AZ422" s="120"/>
      <c r="BA422" s="120">
        <v>1.177093894809501E-2</v>
      </c>
      <c r="BB422" s="120">
        <v>1.6710659883774619E-2</v>
      </c>
      <c r="BC422" s="120">
        <v>2.7721776504085447E-2</v>
      </c>
      <c r="BE422" s="120">
        <v>0.1308989978093148</v>
      </c>
      <c r="BF422" s="120">
        <v>0.12006444538766446</v>
      </c>
      <c r="BG422" s="120">
        <v>0.12194354809912443</v>
      </c>
      <c r="BH422" s="120">
        <v>0.12818202196330697</v>
      </c>
      <c r="BI422" s="120">
        <v>0.13550826877298047</v>
      </c>
      <c r="BJ422" s="120">
        <v>0.14405969177531674</v>
      </c>
      <c r="BK422" s="120">
        <v>0.16141237281161963</v>
      </c>
      <c r="BL422" s="120">
        <v>0.19462677808502435</v>
      </c>
      <c r="BM422" s="120">
        <v>0.22374316284621898</v>
      </c>
      <c r="BN422" s="120">
        <v>0.24788258206015887</v>
      </c>
      <c r="BO422" s="120">
        <v>0.28686845717750364</v>
      </c>
      <c r="BP422" s="120">
        <v>0.34592127387393784</v>
      </c>
      <c r="BQ422" s="120">
        <v>0.42894943629089721</v>
      </c>
    </row>
    <row r="423" spans="11:69" ht="12.75" x14ac:dyDescent="0.2">
      <c r="N423" s="153"/>
      <c r="O423" s="153"/>
      <c r="P423" s="153"/>
      <c r="Q423" s="153"/>
      <c r="R423" s="129"/>
      <c r="S423" s="153"/>
      <c r="T423" s="153"/>
      <c r="U423" s="153"/>
      <c r="V423" s="153"/>
      <c r="W423" s="153"/>
      <c r="X423" s="153"/>
      <c r="Y423" s="153"/>
      <c r="Z423" s="153"/>
      <c r="AB423" s="111"/>
      <c r="AC423" s="111"/>
      <c r="AD423" s="111"/>
      <c r="AE423" s="111"/>
      <c r="AF423" s="111"/>
      <c r="AG423" s="111"/>
      <c r="AH423" s="111"/>
      <c r="AI423" s="111"/>
      <c r="AJ423" s="111"/>
      <c r="AK423" s="111"/>
      <c r="AL423" s="111"/>
      <c r="AM423" s="111"/>
      <c r="AN423" s="111"/>
      <c r="AQ423" s="120"/>
      <c r="AR423" s="120"/>
      <c r="AS423" s="120"/>
      <c r="AT423" s="120"/>
      <c r="AU423" s="120"/>
      <c r="AV423" s="120"/>
      <c r="AW423" s="120"/>
      <c r="AX423" s="120"/>
      <c r="AY423" s="120"/>
      <c r="AZ423" s="120"/>
      <c r="BA423" s="120">
        <v>9.8578061562830145E-3</v>
      </c>
      <c r="BB423" s="120">
        <v>1.359923463632684E-2</v>
      </c>
      <c r="BC423" s="120">
        <v>2.222742900811191E-2</v>
      </c>
      <c r="BE423" s="120">
        <v>0.14404799162725532</v>
      </c>
      <c r="BF423" s="120">
        <v>0.12000043024385862</v>
      </c>
      <c r="BG423" s="120">
        <v>0.11597743711622729</v>
      </c>
      <c r="BH423" s="120">
        <v>0.11796243380102625</v>
      </c>
      <c r="BI423" s="120">
        <v>0.12445942154992909</v>
      </c>
      <c r="BJ423" s="120">
        <v>0.13095192370139688</v>
      </c>
      <c r="BK423" s="120">
        <v>0.14393604611531077</v>
      </c>
      <c r="BL423" s="120">
        <v>0.16689967269276315</v>
      </c>
      <c r="BM423" s="120">
        <v>0.18686663818477336</v>
      </c>
      <c r="BN423" s="120">
        <v>0.2038436071607167</v>
      </c>
      <c r="BO423" s="120">
        <v>0.23180956668684924</v>
      </c>
      <c r="BP423" s="120">
        <v>0.27178118493957626</v>
      </c>
      <c r="BQ423" s="120">
        <v>0.33284308632018039</v>
      </c>
    </row>
    <row r="424" spans="11:69" ht="12.75" x14ac:dyDescent="0.2">
      <c r="N424" s="153"/>
      <c r="O424" s="153"/>
      <c r="P424" s="153"/>
      <c r="Q424" s="153"/>
      <c r="R424" s="129"/>
      <c r="S424" s="153"/>
      <c r="T424" s="153"/>
      <c r="U424" s="153"/>
      <c r="V424" s="153"/>
      <c r="W424" s="153"/>
      <c r="X424" s="153"/>
      <c r="Y424" s="153"/>
      <c r="Z424" s="153"/>
      <c r="AB424" s="111"/>
      <c r="AC424" s="111"/>
      <c r="AD424" s="111"/>
      <c r="AE424" s="111"/>
      <c r="AF424" s="111"/>
      <c r="AG424" s="111"/>
      <c r="AH424" s="111"/>
      <c r="AI424" s="111"/>
      <c r="AJ424" s="111"/>
      <c r="AK424" s="111"/>
      <c r="AL424" s="111"/>
      <c r="AM424" s="111"/>
      <c r="AN424" s="111"/>
      <c r="AQ424" s="120"/>
      <c r="AR424" s="120"/>
      <c r="AS424" s="120"/>
      <c r="AT424" s="120"/>
      <c r="AU424" s="120"/>
      <c r="AV424" s="120"/>
      <c r="AW424" s="120"/>
      <c r="AX424" s="120"/>
      <c r="AY424" s="120"/>
      <c r="AZ424" s="120"/>
      <c r="BA424" s="120">
        <v>8.5571294017960965E-3</v>
      </c>
      <c r="BB424" s="120">
        <v>1.0991852647190766E-2</v>
      </c>
      <c r="BC424" s="120">
        <v>1.627424528036105E-2</v>
      </c>
      <c r="BE424" s="120">
        <v>0.20216921583113454</v>
      </c>
      <c r="BF424" s="120">
        <v>0.20018001491866544</v>
      </c>
      <c r="BG424" s="120">
        <v>0.19244142506209505</v>
      </c>
      <c r="BH424" s="120">
        <v>0.19123835535446743</v>
      </c>
      <c r="BI424" s="120">
        <v>0.18551752285473302</v>
      </c>
      <c r="BJ424" s="120">
        <v>0.18081781041668218</v>
      </c>
      <c r="BK424" s="120">
        <v>0.17534646689607303</v>
      </c>
      <c r="BL424" s="120">
        <v>0.17375603763555758</v>
      </c>
      <c r="BM424" s="120">
        <v>0.17671813517415283</v>
      </c>
      <c r="BN424" s="120">
        <v>0.18244005893039736</v>
      </c>
      <c r="BO424" s="120">
        <v>0.1947791279971183</v>
      </c>
      <c r="BP424" s="120">
        <v>0.21246544345781124</v>
      </c>
      <c r="BQ424" s="120">
        <v>0.23442995679966533</v>
      </c>
    </row>
    <row r="425" spans="11:69" ht="12.75" x14ac:dyDescent="0.2">
      <c r="N425" s="153"/>
      <c r="O425" s="153"/>
      <c r="P425" s="153"/>
      <c r="Q425" s="153"/>
      <c r="R425" s="129"/>
      <c r="S425" s="153"/>
      <c r="T425" s="153"/>
      <c r="U425" s="153"/>
      <c r="V425" s="153"/>
      <c r="W425" s="153"/>
      <c r="X425" s="153"/>
      <c r="Y425" s="153"/>
      <c r="Z425" s="153"/>
      <c r="AB425" s="111"/>
      <c r="AC425" s="111"/>
      <c r="AD425" s="111"/>
      <c r="AE425" s="111"/>
      <c r="AF425" s="111"/>
      <c r="AG425" s="111"/>
      <c r="AH425" s="111"/>
      <c r="AI425" s="111"/>
      <c r="AJ425" s="111"/>
      <c r="AK425" s="111"/>
      <c r="AL425" s="111"/>
      <c r="AM425" s="111"/>
      <c r="AN425" s="111"/>
      <c r="AQ425" s="120"/>
      <c r="AR425" s="120"/>
      <c r="AS425" s="120"/>
      <c r="AT425" s="120"/>
      <c r="AU425" s="120"/>
      <c r="AV425" s="120"/>
      <c r="AW425" s="120"/>
      <c r="AX425" s="120"/>
      <c r="AY425" s="120"/>
      <c r="AZ425" s="120"/>
      <c r="BA425" s="120">
        <v>9.3973990846251531E-3</v>
      </c>
      <c r="BB425" s="120">
        <v>1.2199872948531231E-2</v>
      </c>
      <c r="BC425" s="120">
        <v>1.8659590172530684E-2</v>
      </c>
      <c r="BE425" s="120">
        <v>0.22086212048614146</v>
      </c>
      <c r="BF425" s="120">
        <v>0.20445708355185707</v>
      </c>
      <c r="BG425" s="120">
        <v>0.20410912027959169</v>
      </c>
      <c r="BH425" s="120">
        <v>0.19593098389618013</v>
      </c>
      <c r="BI425" s="120">
        <v>0.19354060753840194</v>
      </c>
      <c r="BJ425" s="120">
        <v>0.1912141331888727</v>
      </c>
      <c r="BK425" s="120">
        <v>0.18768170750149116</v>
      </c>
      <c r="BL425" s="120">
        <v>0.18618358309503003</v>
      </c>
      <c r="BM425" s="120">
        <v>0.19137371973551762</v>
      </c>
      <c r="BN425" s="120">
        <v>0.19625381430922131</v>
      </c>
      <c r="BO425" s="120">
        <v>0.2086111856235196</v>
      </c>
      <c r="BP425" s="120">
        <v>0.23119927222123543</v>
      </c>
      <c r="BQ425" s="120">
        <v>0.26679767029330265</v>
      </c>
    </row>
    <row r="426" spans="11:69" ht="12.75" x14ac:dyDescent="0.2">
      <c r="N426" s="153"/>
      <c r="O426" s="153"/>
      <c r="P426" s="153"/>
      <c r="Q426" s="153"/>
      <c r="R426" s="129"/>
      <c r="S426" s="153"/>
      <c r="T426" s="153"/>
      <c r="U426" s="153"/>
      <c r="V426" s="153"/>
      <c r="W426" s="153"/>
      <c r="X426" s="153"/>
      <c r="Y426" s="153"/>
      <c r="Z426" s="153"/>
      <c r="AB426" s="111"/>
      <c r="AC426" s="111"/>
      <c r="AD426" s="111"/>
      <c r="AE426" s="111"/>
      <c r="AF426" s="111"/>
      <c r="AG426" s="111"/>
      <c r="AH426" s="111"/>
      <c r="AI426" s="111"/>
      <c r="AJ426" s="111"/>
      <c r="AK426" s="111"/>
      <c r="AL426" s="111"/>
      <c r="AM426" s="111"/>
      <c r="AN426" s="111"/>
      <c r="AQ426" s="120"/>
      <c r="AR426" s="120"/>
      <c r="AS426" s="120"/>
      <c r="AT426" s="120"/>
      <c r="AU426" s="120"/>
      <c r="AV426" s="120"/>
      <c r="AW426" s="120"/>
      <c r="AX426" s="120"/>
      <c r="AY426" s="120"/>
      <c r="AZ426" s="120"/>
      <c r="BA426" s="120">
        <v>9.0872978910189299E-3</v>
      </c>
      <c r="BB426" s="120">
        <v>1.1745888240899371E-2</v>
      </c>
      <c r="BC426" s="120">
        <v>1.7962565785562826E-2</v>
      </c>
      <c r="BE426" s="120">
        <v>0.23813253455048028</v>
      </c>
      <c r="BF426" s="120">
        <v>0.22238353103537364</v>
      </c>
      <c r="BG426" s="120">
        <v>0.2166712556005197</v>
      </c>
      <c r="BH426" s="120">
        <v>0.21227736974016609</v>
      </c>
      <c r="BI426" s="120">
        <v>0.20626678388301831</v>
      </c>
      <c r="BJ426" s="120">
        <v>0.20054089932981539</v>
      </c>
      <c r="BK426" s="120">
        <v>0.1951729234918719</v>
      </c>
      <c r="BL426" s="120">
        <v>0.18738761310185817</v>
      </c>
      <c r="BM426" s="120">
        <v>0.1829112729749201</v>
      </c>
      <c r="BN426" s="120">
        <v>0.18601574532960127</v>
      </c>
      <c r="BO426" s="120">
        <v>0.19467534878259612</v>
      </c>
      <c r="BP426" s="120">
        <v>0.21490546694703508</v>
      </c>
      <c r="BQ426" s="120">
        <v>0.24815408145173987</v>
      </c>
    </row>
    <row r="427" spans="11:69" ht="12.75" x14ac:dyDescent="0.2">
      <c r="N427" s="153"/>
      <c r="O427" s="153"/>
      <c r="P427" s="153"/>
      <c r="Q427" s="153"/>
      <c r="R427" s="129"/>
      <c r="S427" s="153"/>
      <c r="T427" s="153"/>
      <c r="U427" s="153"/>
      <c r="V427" s="153"/>
      <c r="W427" s="153"/>
      <c r="X427" s="153"/>
      <c r="Y427" s="153"/>
      <c r="Z427" s="153"/>
      <c r="AB427" s="111"/>
      <c r="AC427" s="111"/>
      <c r="AD427" s="111"/>
      <c r="AE427" s="111"/>
      <c r="AF427" s="111"/>
      <c r="AG427" s="111"/>
      <c r="AH427" s="111"/>
      <c r="AI427" s="111"/>
      <c r="AJ427" s="111"/>
      <c r="AK427" s="111"/>
      <c r="AL427" s="111"/>
      <c r="AM427" s="111"/>
      <c r="AN427" s="111"/>
      <c r="AQ427" s="120"/>
      <c r="AR427" s="120"/>
      <c r="AS427" s="120"/>
      <c r="AT427" s="120"/>
      <c r="AU427" s="120"/>
      <c r="AV427" s="120"/>
      <c r="AW427" s="120"/>
      <c r="AX427" s="120"/>
      <c r="AY427" s="120"/>
      <c r="AZ427" s="120"/>
      <c r="BA427" s="120">
        <v>8.8643248570121139E-3</v>
      </c>
      <c r="BB427" s="120">
        <v>1.1092995628157279E-2</v>
      </c>
      <c r="BC427" s="120">
        <v>1.6682026832264746E-2</v>
      </c>
      <c r="BE427" s="120">
        <v>0.23434839680804709</v>
      </c>
      <c r="BF427" s="120">
        <v>0.2234376263649028</v>
      </c>
      <c r="BG427" s="120">
        <v>0.21333659015688505</v>
      </c>
      <c r="BH427" s="120">
        <v>0.20601525342558336</v>
      </c>
      <c r="BI427" s="120">
        <v>0.20469816642673433</v>
      </c>
      <c r="BJ427" s="120">
        <v>0.20328702332324705</v>
      </c>
      <c r="BK427" s="120">
        <v>0.18961845817942033</v>
      </c>
      <c r="BL427" s="120">
        <v>0.18203975288034177</v>
      </c>
      <c r="BM427" s="120">
        <v>0.17773664545271567</v>
      </c>
      <c r="BN427" s="120">
        <v>0.17824276224267058</v>
      </c>
      <c r="BO427" s="120">
        <v>0.18360911768032012</v>
      </c>
      <c r="BP427" s="120">
        <v>0.19648873423178936</v>
      </c>
      <c r="BQ427" s="120">
        <v>0.22372397733539998</v>
      </c>
    </row>
    <row r="428" spans="11:69" ht="12.75" x14ac:dyDescent="0.2">
      <c r="N428" s="153"/>
      <c r="O428" s="153"/>
      <c r="P428" s="141"/>
      <c r="Q428" s="153"/>
      <c r="R428" s="129"/>
      <c r="S428" s="153"/>
      <c r="T428" s="153"/>
      <c r="U428" s="153"/>
      <c r="V428" s="153"/>
      <c r="W428" s="153"/>
      <c r="X428" s="153"/>
      <c r="Y428" s="153"/>
      <c r="Z428" s="153"/>
      <c r="AB428" s="111"/>
      <c r="AC428" s="111"/>
      <c r="AD428" s="111"/>
      <c r="AE428" s="111"/>
      <c r="AF428" s="111"/>
      <c r="AG428" s="111"/>
      <c r="AH428" s="111"/>
      <c r="AI428" s="111"/>
      <c r="AJ428" s="111"/>
      <c r="AK428" s="111"/>
      <c r="AL428" s="111"/>
      <c r="AM428" s="111"/>
      <c r="AN428" s="111"/>
      <c r="AQ428" s="120"/>
      <c r="AR428" s="120"/>
      <c r="AS428" s="120"/>
      <c r="AT428" s="120"/>
      <c r="AU428" s="120"/>
      <c r="AV428" s="120"/>
      <c r="AW428" s="120"/>
      <c r="AX428" s="120"/>
      <c r="AY428" s="120"/>
      <c r="AZ428" s="120"/>
      <c r="BA428" s="120">
        <v>8.4629694871509054E-3</v>
      </c>
      <c r="BB428" s="120">
        <v>1.0612591235213319E-2</v>
      </c>
      <c r="BC428" s="120">
        <v>1.574490057128268E-2</v>
      </c>
      <c r="BE428" s="120">
        <v>0.23469940061487374</v>
      </c>
      <c r="BF428" s="120">
        <v>0.22391186206576894</v>
      </c>
      <c r="BG428" s="120">
        <v>0.22036583514808625</v>
      </c>
      <c r="BH428" s="120">
        <v>0.21924201775327218</v>
      </c>
      <c r="BI428" s="120">
        <v>0.20853904938175818</v>
      </c>
      <c r="BJ428" s="120">
        <v>0.19819506019281044</v>
      </c>
      <c r="BK428" s="120">
        <v>0.20078038965077694</v>
      </c>
      <c r="BL428" s="120">
        <v>0.18064868532880057</v>
      </c>
      <c r="BM428" s="120">
        <v>0.1752609799452739</v>
      </c>
      <c r="BN428" s="120">
        <v>0.17277920621860599</v>
      </c>
      <c r="BO428" s="120">
        <v>0.17025073527904808</v>
      </c>
      <c r="BP428" s="120">
        <v>0.18291485592313877</v>
      </c>
      <c r="BQ428" s="120">
        <v>0.20589616477074799</v>
      </c>
    </row>
    <row r="429" spans="11:69" ht="12.75" x14ac:dyDescent="0.2">
      <c r="N429" s="153"/>
      <c r="O429" s="153"/>
      <c r="P429" s="153"/>
      <c r="Q429" s="153"/>
      <c r="R429" s="129"/>
      <c r="S429" s="153"/>
      <c r="T429" s="153"/>
      <c r="U429" s="153"/>
      <c r="V429" s="153"/>
      <c r="W429" s="153"/>
      <c r="X429" s="153"/>
      <c r="Y429" s="153"/>
      <c r="Z429" s="153"/>
      <c r="AB429" s="111"/>
      <c r="AC429" s="111"/>
      <c r="AD429" s="111"/>
      <c r="AE429" s="111"/>
      <c r="AF429" s="111"/>
      <c r="AG429" s="111"/>
      <c r="AH429" s="111"/>
      <c r="AI429" s="111"/>
      <c r="AJ429" s="111"/>
      <c r="AK429" s="111"/>
      <c r="AL429" s="111"/>
      <c r="AM429" s="111"/>
      <c r="AN429" s="111"/>
      <c r="AQ429" s="120"/>
      <c r="AR429" s="120"/>
      <c r="AS429" s="120"/>
      <c r="AT429" s="120"/>
      <c r="AU429" s="120"/>
      <c r="AV429" s="120"/>
      <c r="AW429" s="120"/>
      <c r="AX429" s="120"/>
      <c r="AY429" s="120"/>
      <c r="AZ429" s="120"/>
      <c r="BA429" s="120">
        <v>8.4658564804388787E-3</v>
      </c>
      <c r="BB429" s="120">
        <v>1.0280204689402841E-2</v>
      </c>
      <c r="BC429" s="120">
        <v>1.5416752048931346E-2</v>
      </c>
      <c r="BE429" s="120">
        <v>0.23211412482515398</v>
      </c>
      <c r="BF429" s="120">
        <v>0.2151524788413757</v>
      </c>
      <c r="BG429" s="120">
        <v>0.20954675707116713</v>
      </c>
      <c r="BH429" s="120">
        <v>0.19858069318732854</v>
      </c>
      <c r="BI429" s="120">
        <v>0.20020839047906616</v>
      </c>
      <c r="BJ429" s="120">
        <v>0.20160699631887258</v>
      </c>
      <c r="BK429" s="120">
        <v>0.18450153464088864</v>
      </c>
      <c r="BL429" s="120">
        <v>0.18111658524383345</v>
      </c>
      <c r="BM429" s="120">
        <v>0.17155053824364558</v>
      </c>
      <c r="BN429" s="120">
        <v>0.16588980061898972</v>
      </c>
      <c r="BO429" s="120">
        <v>0.16731727507995775</v>
      </c>
      <c r="BP429" s="120">
        <v>0.17407873382918745</v>
      </c>
      <c r="BQ429" s="120">
        <v>0.19854003171603551</v>
      </c>
    </row>
    <row r="430" spans="11:69" ht="12.75" x14ac:dyDescent="0.2">
      <c r="N430" s="153"/>
      <c r="O430" s="153"/>
      <c r="P430" s="153"/>
      <c r="Q430" s="153"/>
      <c r="R430" s="129"/>
      <c r="S430" s="153"/>
      <c r="T430" s="153"/>
      <c r="U430" s="153"/>
      <c r="V430" s="153"/>
      <c r="W430" s="153"/>
      <c r="X430" s="153"/>
      <c r="Y430" s="153"/>
      <c r="Z430" s="153"/>
      <c r="AB430" s="111"/>
      <c r="AC430" s="111"/>
      <c r="AD430" s="111"/>
      <c r="AE430" s="111"/>
      <c r="AF430" s="111"/>
      <c r="AG430" s="111"/>
      <c r="AH430" s="111"/>
      <c r="AI430" s="111"/>
      <c r="AJ430" s="111"/>
      <c r="AK430" s="111"/>
      <c r="AL430" s="111"/>
      <c r="AM430" s="111"/>
      <c r="AN430" s="111"/>
      <c r="AQ430" s="120"/>
      <c r="AR430" s="120"/>
      <c r="AS430" s="120"/>
      <c r="AT430" s="120"/>
      <c r="AU430" s="120"/>
      <c r="AV430" s="120"/>
      <c r="AW430" s="120"/>
      <c r="AX430" s="120"/>
      <c r="AY430" s="120"/>
      <c r="AZ430" s="120"/>
      <c r="BA430" s="120">
        <v>8.2519391608559377E-3</v>
      </c>
      <c r="BB430" s="120">
        <v>1.00626534717032E-2</v>
      </c>
      <c r="BC430" s="120">
        <v>1.4114869072935663E-2</v>
      </c>
      <c r="BE430" s="120">
        <v>0.2236573079176338</v>
      </c>
      <c r="BF430" s="120">
        <v>0.21759437885249586</v>
      </c>
      <c r="BG430" s="120">
        <v>0.21276103424906981</v>
      </c>
      <c r="BH430" s="120">
        <v>0.21212449711063422</v>
      </c>
      <c r="BI430" s="120">
        <v>0.20527385515598581</v>
      </c>
      <c r="BJ430" s="120">
        <v>0.19853821920579909</v>
      </c>
      <c r="BK430" s="120">
        <v>0.19224940691076348</v>
      </c>
      <c r="BL430" s="120">
        <v>0.17350322618015071</v>
      </c>
      <c r="BM430" s="120">
        <v>0.16820656911589527</v>
      </c>
      <c r="BN430" s="120">
        <v>0.16531799095060198</v>
      </c>
      <c r="BO430" s="120">
        <v>0.16086360366217273</v>
      </c>
      <c r="BP430" s="120">
        <v>0.16826533399881818</v>
      </c>
      <c r="BQ430" s="120">
        <v>0.17925998480346497</v>
      </c>
    </row>
    <row r="431" spans="11:69" ht="12.75" x14ac:dyDescent="0.2">
      <c r="N431" s="153"/>
      <c r="O431" s="153"/>
      <c r="P431" s="153"/>
      <c r="Q431" s="153"/>
      <c r="R431" s="129"/>
      <c r="S431" s="153"/>
      <c r="T431" s="153"/>
      <c r="U431" s="153"/>
      <c r="V431" s="153"/>
      <c r="W431" s="153"/>
      <c r="X431" s="153"/>
      <c r="Y431" s="153"/>
      <c r="Z431" s="153"/>
      <c r="AB431" s="111"/>
      <c r="AC431" s="111"/>
      <c r="AD431" s="111"/>
      <c r="AE431" s="111"/>
      <c r="AF431" s="111"/>
      <c r="AG431" s="111"/>
      <c r="AH431" s="111"/>
      <c r="AI431" s="111"/>
      <c r="AJ431" s="111"/>
      <c r="AK431" s="111"/>
      <c r="AL431" s="111"/>
      <c r="AM431" s="111"/>
      <c r="AN431" s="111"/>
      <c r="AQ431" s="120"/>
      <c r="AR431" s="120"/>
      <c r="AS431" s="120"/>
      <c r="AT431" s="120"/>
      <c r="AU431" s="120"/>
      <c r="AV431" s="120"/>
      <c r="AW431" s="120"/>
      <c r="AX431" s="120"/>
      <c r="AY431" s="120"/>
      <c r="AZ431" s="120"/>
      <c r="BA431" s="120">
        <v>7.7570934166135809E-3</v>
      </c>
      <c r="BB431" s="120">
        <v>8.5882410957585364E-3</v>
      </c>
      <c r="BC431" s="120">
        <v>1.1631570219811833E-2</v>
      </c>
      <c r="BE431" s="120">
        <v>0.20832221500341741</v>
      </c>
      <c r="BF431" s="120">
        <v>0.19487568465091748</v>
      </c>
      <c r="BG431" s="120">
        <v>0.18977096528269263</v>
      </c>
      <c r="BH431" s="120">
        <v>0.18530793316412772</v>
      </c>
      <c r="BI431" s="120">
        <v>0.18353224275374086</v>
      </c>
      <c r="BJ431" s="120">
        <v>0.18176969040838714</v>
      </c>
      <c r="BK431" s="120">
        <v>0.17436077645136244</v>
      </c>
      <c r="BL431" s="120">
        <v>0.17228742913155962</v>
      </c>
      <c r="BM431" s="120">
        <v>0.16114009502314863</v>
      </c>
      <c r="BN431" s="120">
        <v>0.15322909747431024</v>
      </c>
      <c r="BO431" s="120">
        <v>0.14808590192346915</v>
      </c>
      <c r="BP431" s="120">
        <v>0.14036080474786358</v>
      </c>
      <c r="BQ431" s="120">
        <v>0.1445443407549073</v>
      </c>
    </row>
    <row r="432" spans="11:69" ht="12.75" x14ac:dyDescent="0.2">
      <c r="N432" s="153"/>
      <c r="O432" s="153"/>
      <c r="P432" s="153"/>
      <c r="Q432" s="153"/>
      <c r="R432" s="129"/>
      <c r="S432" s="153"/>
      <c r="T432" s="153"/>
      <c r="U432" s="153"/>
      <c r="V432" s="153"/>
      <c r="W432" s="153"/>
      <c r="X432" s="153"/>
      <c r="Y432" s="153"/>
      <c r="Z432" s="153"/>
      <c r="AB432" s="111"/>
      <c r="AC432" s="111"/>
      <c r="AD432" s="111"/>
      <c r="AE432" s="111"/>
      <c r="AF432" s="111"/>
      <c r="AG432" s="111"/>
      <c r="AH432" s="111"/>
      <c r="AI432" s="111"/>
      <c r="AJ432" s="111"/>
      <c r="AK432" s="111"/>
      <c r="AL432" s="111"/>
      <c r="AM432" s="111"/>
      <c r="AN432" s="111"/>
      <c r="AQ432" s="120"/>
      <c r="AR432" s="120"/>
      <c r="AS432" s="120"/>
      <c r="AT432" s="120"/>
      <c r="AU432" s="120"/>
      <c r="AV432" s="120"/>
      <c r="AW432" s="120"/>
      <c r="AX432" s="120"/>
      <c r="AY432" s="120"/>
      <c r="AZ432" s="120"/>
      <c r="BA432" s="120">
        <v>7.4270235177210132E-3</v>
      </c>
      <c r="BB432" s="120">
        <v>8.4052226170650383E-3</v>
      </c>
      <c r="BC432" s="120">
        <v>1.0862377989734101E-2</v>
      </c>
      <c r="BE432" s="120">
        <v>0.1937604201642342</v>
      </c>
      <c r="BF432" s="120">
        <v>0.19127220824943836</v>
      </c>
      <c r="BG432" s="120">
        <v>0.19247373118005995</v>
      </c>
      <c r="BH432" s="120">
        <v>0.18434004415424599</v>
      </c>
      <c r="BI432" s="120">
        <v>0.18226670815598842</v>
      </c>
      <c r="BJ432" s="120">
        <v>0.18022170261083154</v>
      </c>
      <c r="BK432" s="120">
        <v>0.17299482050158024</v>
      </c>
      <c r="BL432" s="120">
        <v>0.15977639909106112</v>
      </c>
      <c r="BM432" s="120">
        <v>0.15531187240273403</v>
      </c>
      <c r="BN432" s="120">
        <v>0.15244238802949919</v>
      </c>
      <c r="BO432" s="120">
        <v>0.14234067140897336</v>
      </c>
      <c r="BP432" s="120">
        <v>0.13813978252060927</v>
      </c>
      <c r="BQ432" s="120">
        <v>0.13565370945703104</v>
      </c>
    </row>
    <row r="433" spans="11:69" ht="12.75" x14ac:dyDescent="0.2">
      <c r="N433" s="153"/>
      <c r="O433" s="153"/>
      <c r="P433" s="153"/>
      <c r="Q433" s="153"/>
      <c r="R433" s="129"/>
      <c r="S433" s="153"/>
      <c r="T433" s="153"/>
      <c r="U433" s="153"/>
      <c r="V433" s="153"/>
      <c r="W433" s="153"/>
      <c r="X433" s="153"/>
      <c r="Y433" s="153"/>
      <c r="Z433" s="153"/>
      <c r="AB433" s="111"/>
      <c r="AC433" s="111"/>
      <c r="AD433" s="111"/>
      <c r="AE433" s="111"/>
      <c r="AF433" s="111"/>
      <c r="AG433" s="111"/>
      <c r="AH433" s="111"/>
      <c r="AI433" s="111"/>
      <c r="AJ433" s="111"/>
      <c r="AK433" s="111"/>
      <c r="AL433" s="111"/>
      <c r="AM433" s="111"/>
      <c r="AN433" s="111"/>
      <c r="AQ433" s="120"/>
      <c r="AR433" s="120"/>
      <c r="AS433" s="120"/>
      <c r="AT433" s="120"/>
      <c r="AU433" s="120"/>
      <c r="AV433" s="120"/>
      <c r="AW433" s="120"/>
      <c r="AX433" s="120"/>
      <c r="AY433" s="120"/>
      <c r="AZ433" s="120"/>
      <c r="BA433" s="120">
        <v>7.3527861162795841E-3</v>
      </c>
      <c r="BB433" s="120">
        <v>7.8190068486785579E-3</v>
      </c>
      <c r="BC433" s="120">
        <v>9.5854529133350165E-3</v>
      </c>
      <c r="BE433" s="120">
        <v>0.19721750925126108</v>
      </c>
      <c r="BF433" s="120">
        <v>0.18763207140852314</v>
      </c>
      <c r="BG433" s="120">
        <v>0.17939403174068622</v>
      </c>
      <c r="BH433" s="120">
        <v>0.18389761793492387</v>
      </c>
      <c r="BI433" s="120">
        <v>0.17928460401980981</v>
      </c>
      <c r="BJ433" s="120">
        <v>0.17468091887110929</v>
      </c>
      <c r="BK433" s="120">
        <v>0.17159332501306135</v>
      </c>
      <c r="BL433" s="120">
        <v>0.16492453457440936</v>
      </c>
      <c r="BM433" s="120">
        <v>0.15840028096898576</v>
      </c>
      <c r="BN433" s="120">
        <v>0.14941059619286917</v>
      </c>
      <c r="BO433" s="120">
        <v>0.14576562321189704</v>
      </c>
      <c r="BP433" s="120">
        <v>0.13239331466686277</v>
      </c>
      <c r="BQ433" s="120">
        <v>0.12283507244639459</v>
      </c>
    </row>
    <row r="434" spans="11:69" ht="12.75" x14ac:dyDescent="0.2">
      <c r="N434" s="153"/>
      <c r="O434" s="153"/>
      <c r="P434" s="153"/>
      <c r="Q434" s="153"/>
      <c r="R434" s="129"/>
      <c r="S434" s="153"/>
      <c r="T434" s="153"/>
      <c r="U434" s="153"/>
      <c r="V434" s="153"/>
      <c r="W434" s="153"/>
      <c r="X434" s="153"/>
      <c r="Y434" s="153"/>
      <c r="Z434" s="153"/>
      <c r="AB434" s="111"/>
      <c r="AC434" s="111"/>
      <c r="AD434" s="111"/>
      <c r="AE434" s="111"/>
      <c r="AF434" s="111"/>
      <c r="AG434" s="111"/>
      <c r="AH434" s="111"/>
      <c r="AI434" s="111"/>
      <c r="AJ434" s="111"/>
      <c r="AK434" s="111"/>
      <c r="AL434" s="111"/>
      <c r="AM434" s="111"/>
      <c r="AN434" s="111"/>
      <c r="AQ434" s="120"/>
      <c r="AR434" s="120"/>
      <c r="AS434" s="120"/>
      <c r="AT434" s="120"/>
      <c r="AU434" s="120"/>
      <c r="AV434" s="120"/>
      <c r="AW434" s="120"/>
      <c r="AX434" s="120"/>
      <c r="AY434" s="120"/>
      <c r="AZ434" s="120"/>
      <c r="BA434" s="120">
        <v>7.1407399914774853E-3</v>
      </c>
      <c r="BB434" s="120">
        <v>7.81270952860799E-3</v>
      </c>
      <c r="BC434" s="120">
        <v>9.5108382312061677E-3</v>
      </c>
      <c r="BE434" s="120">
        <v>0.19836949771094137</v>
      </c>
      <c r="BF434" s="120">
        <v>0.18767253169255585</v>
      </c>
      <c r="BG434" s="120">
        <v>0.1936491418218978</v>
      </c>
      <c r="BH434" s="120">
        <v>0.17778148933679436</v>
      </c>
      <c r="BI434" s="120">
        <v>0.17690199804184409</v>
      </c>
      <c r="BJ434" s="120">
        <v>0.17605423902117956</v>
      </c>
      <c r="BK434" s="120">
        <v>0.17633192580406951</v>
      </c>
      <c r="BL434" s="120">
        <v>0.16730021852717741</v>
      </c>
      <c r="BM434" s="120">
        <v>0.16184112440978882</v>
      </c>
      <c r="BN434" s="120">
        <v>0.16026736833656471</v>
      </c>
      <c r="BO434" s="120">
        <v>0.14642226393244276</v>
      </c>
      <c r="BP434" s="120">
        <v>0.13653457743481104</v>
      </c>
      <c r="BQ434" s="120">
        <v>0.12532532183504616</v>
      </c>
    </row>
    <row r="435" spans="11:69" ht="12.75" x14ac:dyDescent="0.2">
      <c r="N435" s="153"/>
      <c r="O435" s="153"/>
      <c r="P435" s="153"/>
      <c r="Q435" s="153"/>
      <c r="R435" s="129"/>
      <c r="S435" s="153"/>
      <c r="T435" s="153"/>
      <c r="U435" s="153"/>
      <c r="V435" s="153"/>
      <c r="W435" s="153"/>
      <c r="X435" s="153"/>
      <c r="Y435" s="153"/>
      <c r="Z435" s="153"/>
      <c r="AB435" s="111"/>
      <c r="AC435" s="111"/>
      <c r="AD435" s="111"/>
      <c r="AE435" s="111"/>
      <c r="AF435" s="111"/>
      <c r="AG435" s="111"/>
      <c r="AH435" s="111"/>
      <c r="AI435" s="111"/>
      <c r="AJ435" s="111"/>
      <c r="AK435" s="111"/>
      <c r="AL435" s="111"/>
      <c r="AM435" s="111"/>
      <c r="AN435" s="111"/>
      <c r="AQ435" s="120"/>
      <c r="AR435" s="120"/>
      <c r="AS435" s="120"/>
      <c r="AT435" s="120"/>
      <c r="AU435" s="120"/>
      <c r="AV435" s="120"/>
      <c r="AW435" s="120"/>
      <c r="AX435" s="120"/>
      <c r="AY435" s="120"/>
      <c r="AZ435" s="120"/>
      <c r="BA435" s="120">
        <v>6.6946555829257553E-3</v>
      </c>
      <c r="BB435" s="120">
        <v>7.5795967053583308E-3</v>
      </c>
      <c r="BC435" s="120">
        <v>9.3425406077578335E-3</v>
      </c>
      <c r="BE435" s="120">
        <v>0.18294761838974022</v>
      </c>
      <c r="BF435" s="120">
        <v>0.18098831380652025</v>
      </c>
      <c r="BG435" s="120">
        <v>0.17050103165256864</v>
      </c>
      <c r="BH435" s="120">
        <v>0.18432981295733122</v>
      </c>
      <c r="BI435" s="120">
        <v>0.18044433514341252</v>
      </c>
      <c r="BJ435" s="120">
        <v>0.17654913143114273</v>
      </c>
      <c r="BK435" s="120">
        <v>0.16050206917421664</v>
      </c>
      <c r="BL435" s="120">
        <v>0.15330719082951028</v>
      </c>
      <c r="BM435" s="120">
        <v>0.14699936744592512</v>
      </c>
      <c r="BN435" s="120">
        <v>0.1394602989378399</v>
      </c>
      <c r="BO435" s="120">
        <v>0.13879103021569048</v>
      </c>
      <c r="BP435" s="120">
        <v>0.1341533808490937</v>
      </c>
      <c r="BQ435" s="120">
        <v>0.12459770528828554</v>
      </c>
    </row>
    <row r="437" spans="11:69" x14ac:dyDescent="0.2">
      <c r="S437" s="126"/>
      <c r="T437" s="126"/>
      <c r="U437" s="126"/>
      <c r="V437" s="126"/>
      <c r="W437" s="126"/>
      <c r="X437" s="126"/>
      <c r="Y437" s="126"/>
      <c r="Z437" s="126"/>
    </row>
    <row r="438" spans="11:69" ht="12.75" x14ac:dyDescent="0.2">
      <c r="K438" s="105"/>
      <c r="N438" s="153"/>
      <c r="O438" s="153"/>
      <c r="P438" s="153"/>
      <c r="Q438" s="153"/>
      <c r="R438" s="129"/>
      <c r="S438" s="153"/>
      <c r="T438" s="153"/>
      <c r="U438" s="153"/>
      <c r="V438" s="153"/>
      <c r="W438" s="153"/>
      <c r="X438" s="153"/>
      <c r="Y438" s="153"/>
      <c r="Z438" s="153"/>
      <c r="AB438" s="111"/>
      <c r="AC438" s="111"/>
      <c r="AD438" s="111"/>
      <c r="AE438" s="111"/>
      <c r="AF438" s="111"/>
      <c r="AG438" s="111"/>
      <c r="AH438" s="111"/>
      <c r="AI438" s="111"/>
      <c r="AJ438" s="111"/>
      <c r="AK438" s="111"/>
      <c r="AL438" s="111"/>
      <c r="AM438" s="111"/>
      <c r="AN438" s="111"/>
    </row>
    <row r="439" spans="11:69" ht="12.75" x14ac:dyDescent="0.2">
      <c r="N439" s="153"/>
      <c r="O439" s="153"/>
      <c r="P439" s="153"/>
      <c r="Q439" s="153"/>
      <c r="R439" s="129"/>
      <c r="S439" s="153"/>
      <c r="T439" s="153"/>
      <c r="U439" s="153"/>
      <c r="V439" s="153"/>
      <c r="W439" s="153"/>
      <c r="X439" s="153"/>
      <c r="Y439" s="141"/>
      <c r="Z439" s="150"/>
      <c r="AB439" s="111"/>
      <c r="AC439" s="111"/>
      <c r="AD439" s="111"/>
      <c r="AE439" s="111"/>
      <c r="AF439" s="111"/>
      <c r="AG439" s="111"/>
      <c r="AH439" s="111"/>
      <c r="AI439" s="111"/>
      <c r="AJ439" s="111"/>
      <c r="AK439" s="111"/>
      <c r="AL439" s="111"/>
      <c r="AM439" s="111"/>
      <c r="AN439" s="111"/>
    </row>
    <row r="440" spans="11:69" ht="12.75" x14ac:dyDescent="0.2">
      <c r="N440" s="153"/>
      <c r="O440" s="153"/>
      <c r="P440" s="153"/>
      <c r="Q440" s="153"/>
      <c r="R440" s="129"/>
      <c r="S440" s="153"/>
      <c r="T440" s="153"/>
      <c r="U440" s="153"/>
      <c r="V440" s="153"/>
      <c r="W440" s="153"/>
      <c r="X440" s="153"/>
      <c r="Y440" s="153"/>
      <c r="Z440" s="153"/>
      <c r="AB440" s="111"/>
      <c r="AC440" s="111"/>
      <c r="AD440" s="111"/>
      <c r="AE440" s="111"/>
      <c r="AF440" s="111"/>
      <c r="AG440" s="111"/>
      <c r="AH440" s="111"/>
      <c r="AI440" s="111"/>
      <c r="AJ440" s="111"/>
      <c r="AK440" s="111"/>
      <c r="AL440" s="111"/>
      <c r="AM440" s="111"/>
      <c r="AN440" s="111"/>
    </row>
    <row r="441" spans="11:69" ht="12.75" x14ac:dyDescent="0.2">
      <c r="N441" s="153"/>
      <c r="O441" s="153"/>
      <c r="P441" s="153"/>
      <c r="Q441" s="153"/>
      <c r="R441" s="129"/>
      <c r="S441" s="153"/>
      <c r="T441" s="153"/>
      <c r="U441" s="153"/>
      <c r="V441" s="153"/>
      <c r="W441" s="153"/>
      <c r="X441" s="153"/>
      <c r="Y441" s="153"/>
      <c r="Z441" s="153"/>
      <c r="AB441" s="111"/>
      <c r="AC441" s="111"/>
      <c r="AD441" s="111"/>
      <c r="AE441" s="111"/>
      <c r="AF441" s="111"/>
      <c r="AG441" s="111"/>
      <c r="AH441" s="111"/>
      <c r="AI441" s="111"/>
      <c r="AJ441" s="111"/>
      <c r="AK441" s="111"/>
      <c r="AL441" s="111"/>
      <c r="AM441" s="111"/>
      <c r="AN441" s="111"/>
    </row>
    <row r="442" spans="11:69" ht="12.75" x14ac:dyDescent="0.2">
      <c r="N442" s="153"/>
      <c r="O442" s="141"/>
      <c r="P442" s="153"/>
      <c r="Q442" s="153"/>
      <c r="R442" s="129"/>
      <c r="S442" s="141"/>
      <c r="T442" s="153"/>
      <c r="U442" s="153"/>
      <c r="V442" s="153"/>
      <c r="W442" s="153"/>
      <c r="X442" s="153"/>
      <c r="Y442" s="153"/>
      <c r="Z442" s="153"/>
      <c r="AB442" s="111"/>
      <c r="AC442" s="111"/>
      <c r="AD442" s="111"/>
      <c r="AE442" s="111"/>
      <c r="AF442" s="111"/>
      <c r="AG442" s="111"/>
      <c r="AH442" s="111"/>
      <c r="AI442" s="111"/>
      <c r="AJ442" s="111"/>
      <c r="AK442" s="111"/>
      <c r="AL442" s="111"/>
      <c r="AM442" s="111"/>
      <c r="AN442" s="111"/>
    </row>
    <row r="443" spans="11:69" ht="12.75" x14ac:dyDescent="0.2">
      <c r="N443" s="153"/>
      <c r="O443" s="141"/>
      <c r="P443" s="153"/>
      <c r="Q443" s="153"/>
      <c r="R443" s="129"/>
      <c r="S443" s="141"/>
      <c r="T443" s="153"/>
      <c r="U443" s="153"/>
      <c r="V443" s="153"/>
      <c r="W443" s="153"/>
      <c r="X443" s="153"/>
      <c r="Y443" s="153"/>
      <c r="Z443" s="153"/>
      <c r="AB443" s="111"/>
      <c r="AC443" s="111"/>
      <c r="AD443" s="111"/>
      <c r="AE443" s="111"/>
      <c r="AF443" s="111"/>
      <c r="AG443" s="111"/>
      <c r="AH443" s="111"/>
      <c r="AI443" s="111"/>
      <c r="AJ443" s="111"/>
      <c r="AK443" s="111"/>
      <c r="AL443" s="111"/>
      <c r="AM443" s="111"/>
      <c r="AN443" s="111"/>
    </row>
    <row r="444" spans="11:69" ht="12.75" x14ac:dyDescent="0.2">
      <c r="N444" s="153"/>
      <c r="O444" s="153"/>
      <c r="P444" s="153"/>
      <c r="Q444" s="153"/>
      <c r="R444" s="129"/>
      <c r="S444" s="153"/>
      <c r="T444" s="153"/>
      <c r="U444" s="153"/>
      <c r="V444" s="153"/>
      <c r="W444" s="153"/>
      <c r="X444" s="153"/>
      <c r="Y444" s="153"/>
      <c r="Z444" s="153"/>
      <c r="AB444" s="111"/>
      <c r="AC444" s="111"/>
      <c r="AD444" s="111"/>
      <c r="AE444" s="111"/>
      <c r="AF444" s="111"/>
      <c r="AG444" s="111"/>
      <c r="AH444" s="111"/>
      <c r="AI444" s="111"/>
      <c r="AJ444" s="111"/>
      <c r="AK444" s="111"/>
      <c r="AL444" s="111"/>
      <c r="AM444" s="111"/>
      <c r="AN444" s="111"/>
    </row>
    <row r="445" spans="11:69" ht="12.75" x14ac:dyDescent="0.2">
      <c r="N445" s="153"/>
      <c r="O445" s="153"/>
      <c r="P445" s="153"/>
      <c r="Q445" s="153"/>
      <c r="R445" s="129"/>
      <c r="S445" s="153"/>
      <c r="T445" s="153"/>
      <c r="U445" s="153"/>
      <c r="V445" s="153"/>
      <c r="W445" s="153"/>
      <c r="X445" s="153"/>
      <c r="Y445" s="153"/>
      <c r="Z445" s="153"/>
      <c r="AB445" s="111"/>
      <c r="AC445" s="111"/>
      <c r="AD445" s="111"/>
      <c r="AE445" s="111"/>
      <c r="AF445" s="111"/>
      <c r="AG445" s="111"/>
      <c r="AH445" s="111"/>
      <c r="AI445" s="111"/>
      <c r="AJ445" s="111"/>
      <c r="AK445" s="111"/>
      <c r="AL445" s="111"/>
      <c r="AM445" s="111"/>
      <c r="AN445" s="111"/>
    </row>
    <row r="446" spans="11:69" ht="12.75" x14ac:dyDescent="0.2">
      <c r="N446" s="153"/>
      <c r="O446" s="153"/>
      <c r="P446" s="141"/>
      <c r="Q446" s="153"/>
      <c r="R446" s="129"/>
      <c r="S446" s="153"/>
      <c r="T446" s="153"/>
      <c r="U446" s="153"/>
      <c r="V446" s="153"/>
      <c r="W446" s="153"/>
      <c r="X446" s="153"/>
      <c r="Y446" s="153"/>
      <c r="Z446" s="153"/>
      <c r="AB446" s="111"/>
      <c r="AC446" s="111"/>
      <c r="AD446" s="111"/>
      <c r="AE446" s="111"/>
      <c r="AF446" s="111"/>
      <c r="AG446" s="111"/>
      <c r="AH446" s="111"/>
      <c r="AI446" s="111"/>
      <c r="AJ446" s="111"/>
      <c r="AK446" s="111"/>
      <c r="AL446" s="111"/>
      <c r="AM446" s="111"/>
      <c r="AN446" s="111"/>
    </row>
    <row r="447" spans="11:69" ht="12.75" x14ac:dyDescent="0.2">
      <c r="N447" s="153"/>
      <c r="O447" s="153"/>
      <c r="P447" s="153"/>
      <c r="Q447" s="153"/>
      <c r="R447" s="129"/>
      <c r="S447" s="153"/>
      <c r="T447" s="153"/>
      <c r="U447" s="153"/>
      <c r="V447" s="153"/>
      <c r="W447" s="153"/>
      <c r="X447" s="153"/>
      <c r="Y447" s="153"/>
      <c r="Z447" s="153"/>
      <c r="AB447" s="111"/>
      <c r="AC447" s="111"/>
      <c r="AD447" s="111"/>
      <c r="AE447" s="111"/>
      <c r="AF447" s="111"/>
      <c r="AG447" s="111"/>
      <c r="AH447" s="111"/>
      <c r="AI447" s="111"/>
      <c r="AJ447" s="111"/>
      <c r="AK447" s="111"/>
      <c r="AL447" s="111"/>
      <c r="AM447" s="111"/>
      <c r="AN447" s="111"/>
    </row>
    <row r="448" spans="11:69" ht="12.75" x14ac:dyDescent="0.2">
      <c r="N448" s="153"/>
      <c r="O448" s="153"/>
      <c r="P448" s="153"/>
      <c r="Q448" s="153"/>
      <c r="R448" s="129"/>
      <c r="S448" s="153"/>
      <c r="T448" s="153"/>
      <c r="U448" s="153"/>
      <c r="V448" s="153"/>
      <c r="W448" s="153"/>
      <c r="X448" s="153"/>
      <c r="Y448" s="153"/>
      <c r="Z448" s="153"/>
      <c r="AB448" s="111"/>
      <c r="AC448" s="111"/>
      <c r="AD448" s="111"/>
      <c r="AE448" s="111"/>
      <c r="AF448" s="111"/>
      <c r="AG448" s="111"/>
      <c r="AH448" s="111"/>
      <c r="AI448" s="111"/>
      <c r="AJ448" s="111"/>
      <c r="AK448" s="111"/>
      <c r="AL448" s="111"/>
      <c r="AM448" s="111"/>
      <c r="AN448" s="111"/>
    </row>
    <row r="449" spans="11:69" ht="12.75" x14ac:dyDescent="0.2">
      <c r="N449" s="153"/>
      <c r="O449" s="141"/>
      <c r="P449" s="153"/>
      <c r="Q449" s="153"/>
      <c r="R449" s="129"/>
      <c r="S449" s="153"/>
      <c r="T449" s="153"/>
      <c r="U449" s="153"/>
      <c r="V449" s="153"/>
      <c r="W449" s="153"/>
      <c r="X449" s="153"/>
      <c r="Y449" s="153"/>
      <c r="Z449" s="153"/>
      <c r="AB449" s="111"/>
      <c r="AC449" s="111"/>
      <c r="AD449" s="111"/>
      <c r="AE449" s="111"/>
      <c r="AF449" s="111"/>
      <c r="AG449" s="111"/>
      <c r="AH449" s="111"/>
      <c r="AI449" s="111"/>
      <c r="AJ449" s="111"/>
      <c r="AK449" s="111"/>
      <c r="AL449" s="111"/>
      <c r="AM449" s="111"/>
      <c r="AN449" s="111"/>
    </row>
    <row r="450" spans="11:69" ht="12.75" x14ac:dyDescent="0.2">
      <c r="N450" s="153"/>
      <c r="O450" s="153"/>
      <c r="P450" s="153"/>
      <c r="Q450" s="153"/>
      <c r="R450" s="129"/>
      <c r="S450" s="153"/>
      <c r="T450" s="153"/>
      <c r="U450" s="153"/>
      <c r="V450" s="153"/>
      <c r="W450" s="153"/>
      <c r="X450" s="153"/>
      <c r="Y450" s="153"/>
      <c r="Z450" s="153"/>
      <c r="AB450" s="111"/>
      <c r="AC450" s="111"/>
      <c r="AD450" s="111"/>
      <c r="AE450" s="111"/>
      <c r="AF450" s="111"/>
      <c r="AG450" s="111"/>
      <c r="AH450" s="111"/>
      <c r="AI450" s="111"/>
      <c r="AJ450" s="111"/>
      <c r="AK450" s="111"/>
      <c r="AL450" s="111"/>
      <c r="AM450" s="111"/>
      <c r="AN450" s="111"/>
    </row>
    <row r="451" spans="11:69" ht="12.75" x14ac:dyDescent="0.2">
      <c r="N451" s="153"/>
      <c r="O451" s="153"/>
      <c r="P451" s="153"/>
      <c r="Q451" s="153"/>
      <c r="R451" s="129"/>
      <c r="S451" s="153"/>
      <c r="T451" s="153"/>
      <c r="U451" s="153"/>
      <c r="V451" s="153"/>
      <c r="W451" s="153"/>
      <c r="X451" s="153"/>
      <c r="Y451" s="153"/>
      <c r="Z451" s="153"/>
      <c r="AB451" s="111"/>
      <c r="AC451" s="111"/>
      <c r="AD451" s="111"/>
      <c r="AE451" s="111"/>
      <c r="AF451" s="111"/>
      <c r="AG451" s="111"/>
      <c r="AH451" s="111"/>
      <c r="AI451" s="111"/>
      <c r="AJ451" s="111"/>
      <c r="AK451" s="111"/>
      <c r="AL451" s="111"/>
      <c r="AM451" s="111"/>
      <c r="AN451" s="111"/>
    </row>
    <row r="452" spans="11:69" ht="12.75" x14ac:dyDescent="0.2">
      <c r="N452" s="153"/>
      <c r="O452" s="153"/>
      <c r="P452" s="153"/>
      <c r="Q452" s="153"/>
      <c r="R452" s="129"/>
      <c r="S452" s="153"/>
      <c r="T452" s="153"/>
      <c r="U452" s="153"/>
      <c r="V452" s="153"/>
      <c r="W452" s="153"/>
      <c r="X452" s="153"/>
      <c r="Y452" s="153"/>
      <c r="Z452" s="153"/>
      <c r="AB452" s="111"/>
      <c r="AC452" s="111"/>
      <c r="AD452" s="111"/>
      <c r="AE452" s="111"/>
      <c r="AF452" s="111"/>
      <c r="AG452" s="111"/>
      <c r="AH452" s="111"/>
      <c r="AI452" s="111"/>
      <c r="AJ452" s="111"/>
      <c r="AK452" s="111"/>
      <c r="AL452" s="111"/>
      <c r="AM452" s="111"/>
      <c r="AN452" s="111"/>
    </row>
    <row r="454" spans="11:69" x14ac:dyDescent="0.2">
      <c r="S454" s="126"/>
      <c r="T454" s="126"/>
      <c r="U454" s="126"/>
      <c r="V454" s="126"/>
      <c r="W454" s="126"/>
      <c r="X454" s="126"/>
      <c r="Y454" s="126"/>
      <c r="Z454" s="126"/>
    </row>
    <row r="455" spans="11:69" ht="12.75" x14ac:dyDescent="0.2">
      <c r="K455" s="105"/>
      <c r="N455" s="153"/>
      <c r="O455" s="141"/>
      <c r="P455" s="141"/>
      <c r="Q455" s="141"/>
      <c r="R455" s="129"/>
      <c r="S455" s="141"/>
      <c r="T455" s="141"/>
      <c r="U455" s="153"/>
      <c r="V455" s="141"/>
      <c r="W455" s="153"/>
      <c r="X455" s="153"/>
      <c r="Y455" s="153"/>
      <c r="Z455" s="153"/>
      <c r="AB455" s="111"/>
      <c r="AC455" s="111"/>
      <c r="AD455" s="111"/>
      <c r="AE455" s="111"/>
      <c r="AF455" s="111"/>
      <c r="AG455" s="111"/>
      <c r="AH455" s="111"/>
      <c r="AI455" s="111"/>
      <c r="AJ455" s="111"/>
      <c r="AK455" s="111"/>
      <c r="AL455" s="111"/>
      <c r="AM455" s="111"/>
      <c r="AN455" s="111"/>
      <c r="AQ455" s="120"/>
      <c r="AR455" s="120"/>
      <c r="AS455" s="120"/>
      <c r="AT455" s="120"/>
      <c r="AU455" s="120"/>
      <c r="AV455" s="120"/>
      <c r="AW455" s="120"/>
      <c r="AX455" s="120"/>
      <c r="AY455" s="120"/>
      <c r="AZ455" s="120"/>
      <c r="BA455" s="120">
        <v>1.2548419634828447E-2</v>
      </c>
      <c r="BB455" s="120">
        <v>1.8419206241244639E-2</v>
      </c>
      <c r="BC455" s="120">
        <v>3.2747189383325194E-2</v>
      </c>
      <c r="BE455" s="120">
        <v>9.5994587020998681E-2</v>
      </c>
      <c r="BF455" s="120">
        <v>6.9447254012457146E-2</v>
      </c>
      <c r="BG455" s="120">
        <v>7.7001638705091205E-2</v>
      </c>
      <c r="BH455" s="120">
        <v>9.1001222083235647E-2</v>
      </c>
      <c r="BI455" s="120">
        <v>0.10504437178744644</v>
      </c>
      <c r="BJ455" s="120">
        <v>0.11899702363084766</v>
      </c>
      <c r="BK455" s="120">
        <v>0.14399256218436937</v>
      </c>
      <c r="BL455" s="120">
        <v>0.1860539799012732</v>
      </c>
      <c r="BM455" s="120">
        <v>0.22110117541273439</v>
      </c>
      <c r="BN455" s="120">
        <v>0.25211286604260541</v>
      </c>
      <c r="BO455" s="120">
        <v>0.30379975644444362</v>
      </c>
      <c r="BP455" s="120">
        <v>0.37813494689913119</v>
      </c>
      <c r="BQ455" s="120">
        <v>0.50357025230789332</v>
      </c>
    </row>
    <row r="456" spans="11:69" ht="12.75" x14ac:dyDescent="0.2">
      <c r="N456" s="153"/>
      <c r="O456" s="153"/>
      <c r="P456" s="153"/>
      <c r="Q456" s="153"/>
      <c r="R456" s="129"/>
      <c r="S456" s="153"/>
      <c r="T456" s="153"/>
      <c r="U456" s="153"/>
      <c r="V456" s="153"/>
      <c r="W456" s="153"/>
      <c r="X456" s="153"/>
      <c r="Y456" s="153"/>
      <c r="Z456" s="153"/>
      <c r="AB456" s="111"/>
      <c r="AC456" s="111"/>
      <c r="AD456" s="111"/>
      <c r="AE456" s="111"/>
      <c r="AF456" s="111"/>
      <c r="AG456" s="111"/>
      <c r="AH456" s="111"/>
      <c r="AI456" s="111"/>
      <c r="AJ456" s="111"/>
      <c r="AK456" s="111"/>
      <c r="AL456" s="111"/>
      <c r="AM456" s="111"/>
      <c r="AN456" s="111"/>
      <c r="AQ456" s="120"/>
      <c r="AR456" s="120"/>
      <c r="AS456" s="120"/>
      <c r="AT456" s="120"/>
      <c r="AU456" s="120"/>
      <c r="AV456" s="120"/>
      <c r="AW456" s="120"/>
      <c r="AX456" s="120"/>
      <c r="AY456" s="120"/>
      <c r="AZ456" s="120"/>
      <c r="BA456" s="120">
        <v>1.1940267574534843E-2</v>
      </c>
      <c r="BB456" s="120">
        <v>1.6842264562989477E-2</v>
      </c>
      <c r="BC456" s="120">
        <v>2.7898588800837013E-2</v>
      </c>
      <c r="BE456" s="120">
        <v>0.13683823667001549</v>
      </c>
      <c r="BF456" s="120">
        <v>0.12561595619170063</v>
      </c>
      <c r="BG456" s="120">
        <v>0.12513717805387026</v>
      </c>
      <c r="BH456" s="120">
        <v>0.13104800995166155</v>
      </c>
      <c r="BI456" s="120">
        <v>0.13815789570657311</v>
      </c>
      <c r="BJ456" s="120">
        <v>0.146660456810801</v>
      </c>
      <c r="BK456" s="120">
        <v>0.16546639169085572</v>
      </c>
      <c r="BL456" s="120">
        <v>0.19890776226481272</v>
      </c>
      <c r="BM456" s="120">
        <v>0.22651454147827296</v>
      </c>
      <c r="BN456" s="120">
        <v>0.25060767975818005</v>
      </c>
      <c r="BO456" s="120">
        <v>0.29089524398390632</v>
      </c>
      <c r="BP456" s="120">
        <v>0.34852747238025711</v>
      </c>
      <c r="BQ456" s="120">
        <v>0.43158599993691471</v>
      </c>
    </row>
    <row r="457" spans="11:69" ht="12.75" x14ac:dyDescent="0.2">
      <c r="N457" s="153"/>
      <c r="O457" s="153"/>
      <c r="P457" s="141"/>
      <c r="Q457" s="153"/>
      <c r="R457" s="129"/>
      <c r="S457" s="153"/>
      <c r="T457" s="153"/>
      <c r="U457" s="153"/>
      <c r="V457" s="153"/>
      <c r="W457" s="153"/>
      <c r="X457" s="153"/>
      <c r="Y457" s="153"/>
      <c r="Z457" s="153"/>
      <c r="AB457" s="111"/>
      <c r="AC457" s="111"/>
      <c r="AD457" s="111"/>
      <c r="AE457" s="111"/>
      <c r="AF457" s="111"/>
      <c r="AG457" s="111"/>
      <c r="AH457" s="111"/>
      <c r="AI457" s="111"/>
      <c r="AJ457" s="111"/>
      <c r="AK457" s="111"/>
      <c r="AL457" s="111"/>
      <c r="AM457" s="111"/>
      <c r="AN457" s="111"/>
      <c r="AQ457" s="120"/>
      <c r="AR457" s="120"/>
      <c r="AS457" s="120"/>
      <c r="AT457" s="120"/>
      <c r="AU457" s="120"/>
      <c r="AV457" s="120"/>
      <c r="AW457" s="120"/>
      <c r="AX457" s="120"/>
      <c r="AY457" s="120"/>
      <c r="AZ457" s="120"/>
      <c r="BA457" s="120">
        <v>9.866993805379776E-3</v>
      </c>
      <c r="BB457" s="120">
        <v>1.3662370693699417E-2</v>
      </c>
      <c r="BC457" s="120">
        <v>2.2246701630038557E-2</v>
      </c>
      <c r="BE457" s="120">
        <v>0.14499899373691563</v>
      </c>
      <c r="BF457" s="120">
        <v>0.12099992541239188</v>
      </c>
      <c r="BG457" s="120">
        <v>0.11582113204469954</v>
      </c>
      <c r="BH457" s="120">
        <v>0.11899993054870348</v>
      </c>
      <c r="BI457" s="120">
        <v>0.1249995103119748</v>
      </c>
      <c r="BJ457" s="120">
        <v>0.13099986902735655</v>
      </c>
      <c r="BK457" s="120">
        <v>0.14399967841923997</v>
      </c>
      <c r="BL457" s="120">
        <v>0.16699908786258486</v>
      </c>
      <c r="BM457" s="120">
        <v>0.18599358759199497</v>
      </c>
      <c r="BN457" s="120">
        <v>0.20399758820197164</v>
      </c>
      <c r="BO457" s="120">
        <v>0.23199614512988675</v>
      </c>
      <c r="BP457" s="120">
        <v>0.27297974113918572</v>
      </c>
      <c r="BQ457" s="120">
        <v>0.33284308632018039</v>
      </c>
    </row>
    <row r="458" spans="11:69" ht="12.75" x14ac:dyDescent="0.2">
      <c r="N458" s="153"/>
      <c r="O458" s="153"/>
      <c r="P458" s="153"/>
      <c r="Q458" s="153"/>
      <c r="R458" s="129"/>
      <c r="S458" s="153"/>
      <c r="T458" s="153"/>
      <c r="U458" s="153"/>
      <c r="V458" s="153"/>
      <c r="W458" s="153"/>
      <c r="X458" s="153"/>
      <c r="Y458" s="153"/>
      <c r="Z458" s="153"/>
      <c r="AB458" s="111"/>
      <c r="AC458" s="111"/>
      <c r="AD458" s="111"/>
      <c r="AE458" s="111"/>
      <c r="AF458" s="111"/>
      <c r="AG458" s="111"/>
      <c r="AH458" s="111"/>
      <c r="AI458" s="111"/>
      <c r="AJ458" s="111"/>
      <c r="AK458" s="111"/>
      <c r="AL458" s="111"/>
      <c r="AM458" s="111"/>
      <c r="AN458" s="111"/>
      <c r="AQ458" s="120"/>
      <c r="AR458" s="120"/>
      <c r="AS458" s="120"/>
      <c r="AT458" s="120"/>
      <c r="AU458" s="120"/>
      <c r="AV458" s="120"/>
      <c r="AW458" s="120"/>
      <c r="AX458" s="120"/>
      <c r="AY458" s="120"/>
      <c r="AZ458" s="120"/>
      <c r="BA458" s="120">
        <v>8.5096852371380882E-3</v>
      </c>
      <c r="BB458" s="120">
        <v>1.0980082036697604E-2</v>
      </c>
      <c r="BC458" s="120">
        <v>1.6406720879947857E-2</v>
      </c>
      <c r="BE458" s="120">
        <v>0.2036996308740727</v>
      </c>
      <c r="BF458" s="120">
        <v>0.19806305619960535</v>
      </c>
      <c r="BG458" s="120">
        <v>0.19609645000213996</v>
      </c>
      <c r="BH458" s="120">
        <v>0.18887430377090386</v>
      </c>
      <c r="BI458" s="120">
        <v>0.18430720488505442</v>
      </c>
      <c r="BJ458" s="120">
        <v>0.18059559262361577</v>
      </c>
      <c r="BK458" s="120">
        <v>0.17513355613224826</v>
      </c>
      <c r="BL458" s="120">
        <v>0.17368007904954</v>
      </c>
      <c r="BM458" s="120">
        <v>0.17783588960529292</v>
      </c>
      <c r="BN458" s="120">
        <v>0.18252511237946967</v>
      </c>
      <c r="BO458" s="120">
        <v>0.19292453997682765</v>
      </c>
      <c r="BP458" s="120">
        <v>0.21137831261476836</v>
      </c>
      <c r="BQ458" s="120">
        <v>0.23591620363008836</v>
      </c>
    </row>
    <row r="459" spans="11:69" ht="12.75" x14ac:dyDescent="0.2">
      <c r="N459" s="153"/>
      <c r="O459" s="153"/>
      <c r="P459" s="153"/>
      <c r="Q459" s="153"/>
      <c r="R459" s="129"/>
      <c r="S459" s="153"/>
      <c r="T459" s="153"/>
      <c r="U459" s="153"/>
      <c r="V459" s="153"/>
      <c r="W459" s="153"/>
      <c r="X459" s="153"/>
      <c r="Y459" s="153"/>
      <c r="Z459" s="153"/>
      <c r="AB459" s="111"/>
      <c r="AC459" s="111"/>
      <c r="AD459" s="111"/>
      <c r="AE459" s="111"/>
      <c r="AF459" s="111"/>
      <c r="AG459" s="111"/>
      <c r="AH459" s="111"/>
      <c r="AI459" s="111"/>
      <c r="AJ459" s="111"/>
      <c r="AK459" s="111"/>
      <c r="AL459" s="111"/>
      <c r="AM459" s="111"/>
      <c r="AN459" s="111"/>
      <c r="AQ459" s="120"/>
      <c r="AR459" s="120"/>
      <c r="AS459" s="120"/>
      <c r="AT459" s="120"/>
      <c r="AU459" s="120"/>
      <c r="AV459" s="120"/>
      <c r="AW459" s="120"/>
      <c r="AX459" s="120"/>
      <c r="AY459" s="120"/>
      <c r="AZ459" s="120"/>
      <c r="BA459" s="120">
        <v>9.4093815036363267E-3</v>
      </c>
      <c r="BB459" s="120">
        <v>1.2269371066088063E-2</v>
      </c>
      <c r="BC459" s="120">
        <v>1.8724662347587302E-2</v>
      </c>
      <c r="BE459" s="120">
        <v>0.22251243662734535</v>
      </c>
      <c r="BF459" s="120">
        <v>0.20588373141817257</v>
      </c>
      <c r="BG459" s="120">
        <v>0.20050175281585916</v>
      </c>
      <c r="BH459" s="120">
        <v>0.19715746104435811</v>
      </c>
      <c r="BI459" s="120">
        <v>0.19422996599419473</v>
      </c>
      <c r="BJ459" s="120">
        <v>0.19145862517657433</v>
      </c>
      <c r="BK459" s="120">
        <v>0.18778110462322811</v>
      </c>
      <c r="BL459" s="120">
        <v>0.18618358309503003</v>
      </c>
      <c r="BM459" s="120">
        <v>0.18844423116756501</v>
      </c>
      <c r="BN459" s="120">
        <v>0.19387002103519793</v>
      </c>
      <c r="BO459" s="120">
        <v>0.20787586642624239</v>
      </c>
      <c r="BP459" s="120">
        <v>0.23150152182850675</v>
      </c>
      <c r="BQ459" s="120">
        <v>0.26656368074025655</v>
      </c>
    </row>
    <row r="460" spans="11:69" ht="12.75" x14ac:dyDescent="0.2">
      <c r="N460" s="153"/>
      <c r="O460" s="153"/>
      <c r="P460" s="153"/>
      <c r="Q460" s="153"/>
      <c r="R460" s="129"/>
      <c r="S460" s="153"/>
      <c r="T460" s="153"/>
      <c r="U460" s="153"/>
      <c r="V460" s="153"/>
      <c r="W460" s="153"/>
      <c r="X460" s="153"/>
      <c r="Y460" s="153"/>
      <c r="Z460" s="153"/>
      <c r="AB460" s="111"/>
      <c r="AC460" s="111"/>
      <c r="AD460" s="111"/>
      <c r="AE460" s="111"/>
      <c r="AF460" s="111"/>
      <c r="AG460" s="111"/>
      <c r="AH460" s="111"/>
      <c r="AI460" s="111"/>
      <c r="AJ460" s="111"/>
      <c r="AK460" s="111"/>
      <c r="AL460" s="111"/>
      <c r="AM460" s="111"/>
      <c r="AN460" s="111"/>
      <c r="AQ460" s="120"/>
      <c r="AR460" s="120"/>
      <c r="AS460" s="120"/>
      <c r="AT460" s="120"/>
      <c r="AU460" s="120"/>
      <c r="AV460" s="120"/>
      <c r="AW460" s="120"/>
      <c r="AX460" s="120"/>
      <c r="AY460" s="120"/>
      <c r="AZ460" s="120"/>
      <c r="BA460" s="120">
        <v>9.2236091384060321E-3</v>
      </c>
      <c r="BB460" s="120">
        <v>1.1943795488655424E-2</v>
      </c>
      <c r="BC460" s="120">
        <v>1.8215979625276928E-2</v>
      </c>
      <c r="BE460" s="120">
        <v>0.22959555637453818</v>
      </c>
      <c r="BF460" s="120">
        <v>0.22262440838341085</v>
      </c>
      <c r="BG460" s="120">
        <v>0.21321683997358462</v>
      </c>
      <c r="BH460" s="120">
        <v>0.2071942407540911</v>
      </c>
      <c r="BI460" s="120">
        <v>0.20390204574031748</v>
      </c>
      <c r="BJ460" s="120">
        <v>0.20073638115285913</v>
      </c>
      <c r="BK460" s="120">
        <v>0.19085892427990159</v>
      </c>
      <c r="BL460" s="120">
        <v>0.18371261757854424</v>
      </c>
      <c r="BM460" s="120">
        <v>0.18578940888783063</v>
      </c>
      <c r="BN460" s="120">
        <v>0.18844827596327743</v>
      </c>
      <c r="BO460" s="120">
        <v>0.19628802734017275</v>
      </c>
      <c r="BP460" s="120">
        <v>0.217172520770085</v>
      </c>
      <c r="BQ460" s="120">
        <v>0.2502812422378054</v>
      </c>
    </row>
    <row r="461" spans="11:69" ht="12.75" x14ac:dyDescent="0.2">
      <c r="N461" s="153"/>
      <c r="O461" s="153"/>
      <c r="P461" s="153"/>
      <c r="Q461" s="153"/>
      <c r="R461" s="129"/>
      <c r="S461" s="153"/>
      <c r="T461" s="153"/>
      <c r="U461" s="153"/>
      <c r="V461" s="153"/>
      <c r="W461" s="153"/>
      <c r="X461" s="153"/>
      <c r="Y461" s="153"/>
      <c r="Z461" s="153"/>
      <c r="AB461" s="111"/>
      <c r="AC461" s="111"/>
      <c r="AD461" s="111"/>
      <c r="AE461" s="111"/>
      <c r="AF461" s="111"/>
      <c r="AG461" s="111"/>
      <c r="AH461" s="111"/>
      <c r="AI461" s="111"/>
      <c r="AJ461" s="111"/>
      <c r="AK461" s="111"/>
      <c r="AL461" s="111"/>
      <c r="AM461" s="111"/>
      <c r="AN461" s="111"/>
      <c r="AQ461" s="120"/>
      <c r="AR461" s="120"/>
      <c r="AS461" s="120"/>
      <c r="AT461" s="120"/>
      <c r="AU461" s="120"/>
      <c r="AV461" s="120"/>
      <c r="AW461" s="120"/>
      <c r="AX461" s="120"/>
      <c r="AY461" s="120"/>
      <c r="AZ461" s="120"/>
      <c r="BA461" s="120">
        <v>8.8817464776344002E-3</v>
      </c>
      <c r="BB461" s="120">
        <v>1.1170466671135047E-2</v>
      </c>
      <c r="BC461" s="120">
        <v>1.6791892104331265E-2</v>
      </c>
      <c r="BE461" s="120">
        <v>0.23611371193666703</v>
      </c>
      <c r="BF461" s="120">
        <v>0.2174248711732526</v>
      </c>
      <c r="BG461" s="120">
        <v>0.21970454146105478</v>
      </c>
      <c r="BH461" s="120">
        <v>0.21283504350597984</v>
      </c>
      <c r="BI461" s="120">
        <v>0.20504517179890797</v>
      </c>
      <c r="BJ461" s="120">
        <v>0.19757104972345488</v>
      </c>
      <c r="BK461" s="120">
        <v>0.19520654547575722</v>
      </c>
      <c r="BL461" s="120">
        <v>0.18197276369146301</v>
      </c>
      <c r="BM461" s="120">
        <v>0.17676728364082367</v>
      </c>
      <c r="BN461" s="120">
        <v>0.17739108931476683</v>
      </c>
      <c r="BO461" s="120">
        <v>0.18300204820809673</v>
      </c>
      <c r="BP461" s="120">
        <v>0.19689355360132382</v>
      </c>
      <c r="BQ461" s="120">
        <v>0.2241922235046542</v>
      </c>
    </row>
    <row r="462" spans="11:69" ht="12.75" x14ac:dyDescent="0.2">
      <c r="N462" s="153"/>
      <c r="O462" s="153"/>
      <c r="P462" s="153"/>
      <c r="Q462" s="153"/>
      <c r="R462" s="129"/>
      <c r="S462" s="153"/>
      <c r="T462" s="153"/>
      <c r="U462" s="153"/>
      <c r="V462" s="153"/>
      <c r="W462" s="153"/>
      <c r="X462" s="153"/>
      <c r="Y462" s="153"/>
      <c r="Z462" s="153"/>
      <c r="AB462" s="111"/>
      <c r="AC462" s="111"/>
      <c r="AD462" s="111"/>
      <c r="AE462" s="111"/>
      <c r="AF462" s="111"/>
      <c r="AG462" s="111"/>
      <c r="AH462" s="111"/>
      <c r="AI462" s="111"/>
      <c r="AJ462" s="111"/>
      <c r="AK462" s="111"/>
      <c r="AL462" s="111"/>
      <c r="AM462" s="111"/>
      <c r="AN462" s="111"/>
      <c r="AQ462" s="120"/>
      <c r="AR462" s="120"/>
      <c r="AS462" s="120"/>
      <c r="AT462" s="120"/>
      <c r="AU462" s="120"/>
      <c r="AV462" s="120"/>
      <c r="AW462" s="120"/>
      <c r="AX462" s="120"/>
      <c r="AY462" s="120"/>
      <c r="AZ462" s="120"/>
      <c r="BA462" s="120">
        <v>8.536968877917727E-3</v>
      </c>
      <c r="BB462" s="120">
        <v>1.0560250985842182E-2</v>
      </c>
      <c r="BC462" s="120">
        <v>1.5698697273017648E-2</v>
      </c>
      <c r="BE462" s="120">
        <v>0.24018169386529836</v>
      </c>
      <c r="BF462" s="120">
        <v>0.22505800709194396</v>
      </c>
      <c r="BG462" s="120">
        <v>0.21148614802833809</v>
      </c>
      <c r="BH462" s="120">
        <v>0.21025496941853225</v>
      </c>
      <c r="BI462" s="120">
        <v>0.20809836406719057</v>
      </c>
      <c r="BJ462" s="120">
        <v>0.20585191692001123</v>
      </c>
      <c r="BK462" s="120">
        <v>0.19273067494141022</v>
      </c>
      <c r="BL462" s="120">
        <v>0.18479859775178881</v>
      </c>
      <c r="BM462" s="120">
        <v>0.17551999097474538</v>
      </c>
      <c r="BN462" s="120">
        <v>0.1686772819353316</v>
      </c>
      <c r="BO462" s="120">
        <v>0.17035719882191067</v>
      </c>
      <c r="BP462" s="120">
        <v>0.18053764197414479</v>
      </c>
      <c r="BQ462" s="120">
        <v>0.20376411459840835</v>
      </c>
    </row>
    <row r="463" spans="11:69" ht="12.75" x14ac:dyDescent="0.2">
      <c r="N463" s="153"/>
      <c r="O463" s="153"/>
      <c r="P463" s="153"/>
      <c r="Q463" s="153"/>
      <c r="R463" s="129"/>
      <c r="S463" s="153"/>
      <c r="T463" s="153"/>
      <c r="U463" s="153"/>
      <c r="V463" s="153"/>
      <c r="W463" s="153"/>
      <c r="X463" s="153"/>
      <c r="Y463" s="153"/>
      <c r="Z463" s="153"/>
      <c r="AB463" s="111"/>
      <c r="AC463" s="111"/>
      <c r="AD463" s="111"/>
      <c r="AE463" s="111"/>
      <c r="AF463" s="111"/>
      <c r="AG463" s="111"/>
      <c r="AH463" s="111"/>
      <c r="AI463" s="111"/>
      <c r="AJ463" s="111"/>
      <c r="AK463" s="111"/>
      <c r="AL463" s="111"/>
      <c r="AM463" s="111"/>
      <c r="AN463" s="111"/>
      <c r="AQ463" s="120"/>
      <c r="AR463" s="120"/>
      <c r="AS463" s="120"/>
      <c r="AT463" s="120"/>
      <c r="AU463" s="120"/>
      <c r="AV463" s="120"/>
      <c r="AW463" s="120"/>
      <c r="AX463" s="120"/>
      <c r="AY463" s="120"/>
      <c r="AZ463" s="120"/>
      <c r="BA463" s="120">
        <v>8.5265182071345424E-3</v>
      </c>
      <c r="BB463" s="120">
        <v>1.0398200500501234E-2</v>
      </c>
      <c r="BC463" s="120">
        <v>1.529684457105936E-2</v>
      </c>
      <c r="BE463" s="120">
        <v>0.23034316458513709</v>
      </c>
      <c r="BF463" s="120">
        <v>0.22177063829094248</v>
      </c>
      <c r="BG463" s="120">
        <v>0.21955635129793619</v>
      </c>
      <c r="BH463" s="120">
        <v>0.20853478633779823</v>
      </c>
      <c r="BI463" s="120">
        <v>0.2037904832179743</v>
      </c>
      <c r="BJ463" s="120">
        <v>0.19912267223352437</v>
      </c>
      <c r="BK463" s="120">
        <v>0.1932814011196517</v>
      </c>
      <c r="BL463" s="120">
        <v>0.1797040539746402</v>
      </c>
      <c r="BM463" s="120">
        <v>0.17138125359727691</v>
      </c>
      <c r="BN463" s="120">
        <v>0.17101363987834345</v>
      </c>
      <c r="BO463" s="120">
        <v>0.16718203285853583</v>
      </c>
      <c r="BP463" s="120">
        <v>0.17479454575640252</v>
      </c>
      <c r="BQ463" s="120">
        <v>0.19556781028786516</v>
      </c>
    </row>
    <row r="464" spans="11:69" ht="12.75" x14ac:dyDescent="0.2">
      <c r="N464" s="153"/>
      <c r="O464" s="153"/>
      <c r="P464" s="153"/>
      <c r="Q464" s="153"/>
      <c r="R464" s="129"/>
      <c r="S464" s="153"/>
      <c r="T464" s="153"/>
      <c r="U464" s="153"/>
      <c r="V464" s="153"/>
      <c r="W464" s="153"/>
      <c r="X464" s="153"/>
      <c r="Y464" s="153"/>
      <c r="Z464" s="153"/>
      <c r="AB464" s="111"/>
      <c r="AC464" s="111"/>
      <c r="AD464" s="111"/>
      <c r="AE464" s="111"/>
      <c r="AF464" s="111"/>
      <c r="AG464" s="111"/>
      <c r="AH464" s="111"/>
      <c r="AI464" s="111"/>
      <c r="AJ464" s="111"/>
      <c r="AK464" s="111"/>
      <c r="AL464" s="111"/>
      <c r="AM464" s="111"/>
      <c r="AN464" s="111"/>
      <c r="AQ464" s="120"/>
      <c r="AR464" s="120"/>
      <c r="AS464" s="120"/>
      <c r="AT464" s="120"/>
      <c r="AU464" s="120"/>
      <c r="AV464" s="120"/>
      <c r="AW464" s="120"/>
      <c r="AX464" s="120"/>
      <c r="AY464" s="120"/>
      <c r="AZ464" s="120"/>
      <c r="BA464" s="120">
        <v>8.3074719528810383E-3</v>
      </c>
      <c r="BB464" s="120">
        <v>9.8341922597772365E-3</v>
      </c>
      <c r="BC464" s="120">
        <v>1.4173009985276343E-2</v>
      </c>
      <c r="BE464" s="120">
        <v>0.22421604887890922</v>
      </c>
      <c r="BF464" s="120">
        <v>0.20610126686132019</v>
      </c>
      <c r="BG464" s="120">
        <v>0.20010244112353631</v>
      </c>
      <c r="BH464" s="120">
        <v>0.19964549842260776</v>
      </c>
      <c r="BI464" s="120">
        <v>0.19501701352048412</v>
      </c>
      <c r="BJ464" s="120">
        <v>0.19047931506676011</v>
      </c>
      <c r="BK464" s="120">
        <v>0.18081487001778723</v>
      </c>
      <c r="BL464" s="120">
        <v>0.17391892894403133</v>
      </c>
      <c r="BM464" s="120">
        <v>0.16818479690956725</v>
      </c>
      <c r="BN464" s="120">
        <v>0.15740024970919145</v>
      </c>
      <c r="BO464" s="120">
        <v>0.16074472976346668</v>
      </c>
      <c r="BP464" s="120">
        <v>0.16314687577377371</v>
      </c>
      <c r="BQ464" s="120">
        <v>0.17884791443524245</v>
      </c>
    </row>
    <row r="465" spans="11:69" ht="12.75" x14ac:dyDescent="0.2">
      <c r="N465" s="153"/>
      <c r="O465" s="153"/>
      <c r="P465" s="153"/>
      <c r="Q465" s="153"/>
      <c r="R465" s="129"/>
      <c r="S465" s="153"/>
      <c r="T465" s="153"/>
      <c r="U465" s="153"/>
      <c r="V465" s="153"/>
      <c r="W465" s="153"/>
      <c r="X465" s="153"/>
      <c r="Y465" s="153"/>
      <c r="Z465" s="153"/>
      <c r="AB465" s="111"/>
      <c r="AC465" s="111"/>
      <c r="AD465" s="111"/>
      <c r="AE465" s="111"/>
      <c r="AF465" s="111"/>
      <c r="AG465" s="111"/>
      <c r="AH465" s="111"/>
      <c r="AI465" s="111"/>
      <c r="AJ465" s="111"/>
      <c r="AK465" s="111"/>
      <c r="AL465" s="111"/>
      <c r="AM465" s="111"/>
      <c r="AN465" s="111"/>
      <c r="AQ465" s="120"/>
      <c r="AR465" s="120"/>
      <c r="AS465" s="120"/>
      <c r="AT465" s="120"/>
      <c r="AU465" s="120"/>
      <c r="AV465" s="120"/>
      <c r="AW465" s="120"/>
      <c r="AX465" s="120"/>
      <c r="AY465" s="120"/>
      <c r="AZ465" s="120"/>
      <c r="BA465" s="120">
        <v>7.5765788091556978E-3</v>
      </c>
      <c r="BB465" s="120">
        <v>8.7061744773847798E-3</v>
      </c>
      <c r="BC465" s="120">
        <v>1.1918805728593709E-2</v>
      </c>
      <c r="BE465" s="120">
        <v>0.20801000147833881</v>
      </c>
      <c r="BF465" s="120">
        <v>0.20015397028681925</v>
      </c>
      <c r="BG465" s="120">
        <v>0.20258171513289236</v>
      </c>
      <c r="BH465" s="120">
        <v>0.1911911256336557</v>
      </c>
      <c r="BI465" s="120">
        <v>0.18805734200832314</v>
      </c>
      <c r="BJ465" s="120">
        <v>0.18495356641158361</v>
      </c>
      <c r="BK465" s="120">
        <v>0.18587398025926311</v>
      </c>
      <c r="BL465" s="120">
        <v>0.16609904369085218</v>
      </c>
      <c r="BM465" s="120">
        <v>0.16091718279812628</v>
      </c>
      <c r="BN465" s="120">
        <v>0.16085655791466863</v>
      </c>
      <c r="BO465" s="120">
        <v>0.14340586698734645</v>
      </c>
      <c r="BP465" s="120">
        <v>0.14133589322051285</v>
      </c>
      <c r="BQ465" s="120">
        <v>0.14720628590913895</v>
      </c>
    </row>
    <row r="466" spans="11:69" ht="12.75" x14ac:dyDescent="0.2">
      <c r="N466" s="153"/>
      <c r="O466" s="153"/>
      <c r="P466" s="153"/>
      <c r="Q466" s="153"/>
      <c r="R466" s="129"/>
      <c r="S466" s="153"/>
      <c r="T466" s="153"/>
      <c r="U466" s="153"/>
      <c r="V466" s="153"/>
      <c r="W466" s="153"/>
      <c r="X466" s="153"/>
      <c r="Y466" s="153"/>
      <c r="Z466" s="153"/>
      <c r="AB466" s="111"/>
      <c r="AC466" s="111"/>
      <c r="AD466" s="111"/>
      <c r="AE466" s="111"/>
      <c r="AF466" s="111"/>
      <c r="AG466" s="111"/>
      <c r="AH466" s="111"/>
      <c r="AI466" s="111"/>
      <c r="AJ466" s="111"/>
      <c r="AK466" s="111"/>
      <c r="AL466" s="111"/>
      <c r="AM466" s="111"/>
      <c r="AN466" s="111"/>
      <c r="AQ466" s="120"/>
      <c r="AR466" s="120"/>
      <c r="AS466" s="120"/>
      <c r="AT466" s="120"/>
      <c r="AU466" s="120"/>
      <c r="AV466" s="120"/>
      <c r="AW466" s="120"/>
      <c r="AX466" s="120"/>
      <c r="AY466" s="120"/>
      <c r="AZ466" s="120"/>
      <c r="BA466" s="120">
        <v>7.7891968173325055E-3</v>
      </c>
      <c r="BB466" s="120">
        <v>8.3258489201218731E-3</v>
      </c>
      <c r="BC466" s="120">
        <v>1.0413103634873733E-2</v>
      </c>
      <c r="BE466" s="120">
        <v>0.19385861038379867</v>
      </c>
      <c r="BF466" s="120">
        <v>0.19204055949763579</v>
      </c>
      <c r="BG466" s="120">
        <v>0.17725718131423918</v>
      </c>
      <c r="BH466" s="120">
        <v>0.18468653471867819</v>
      </c>
      <c r="BI466" s="120">
        <v>0.18042980829326727</v>
      </c>
      <c r="BJ466" s="120">
        <v>0.17622776027753936</v>
      </c>
      <c r="BK466" s="120">
        <v>0.16479741316253402</v>
      </c>
      <c r="BL466" s="120">
        <v>0.16787526133003511</v>
      </c>
      <c r="BM466" s="120">
        <v>0.15526936872385466</v>
      </c>
      <c r="BN466" s="120">
        <v>0.14683231305123748</v>
      </c>
      <c r="BO466" s="120">
        <v>0.14810126043410027</v>
      </c>
      <c r="BP466" s="120">
        <v>0.1355900957293753</v>
      </c>
      <c r="BQ466" s="120">
        <v>0.12891574101658732</v>
      </c>
    </row>
    <row r="467" spans="11:69" ht="12.75" x14ac:dyDescent="0.2">
      <c r="N467" s="153"/>
      <c r="O467" s="153"/>
      <c r="P467" s="153"/>
      <c r="Q467" s="153"/>
      <c r="R467" s="129"/>
      <c r="S467" s="153"/>
      <c r="T467" s="153"/>
      <c r="U467" s="153"/>
      <c r="V467" s="153"/>
      <c r="W467" s="153"/>
      <c r="X467" s="153"/>
      <c r="Y467" s="153"/>
      <c r="Z467" s="153"/>
      <c r="AB467" s="111"/>
      <c r="AC467" s="111"/>
      <c r="AD467" s="111"/>
      <c r="AE467" s="111"/>
      <c r="AF467" s="111"/>
      <c r="AG467" s="111"/>
      <c r="AH467" s="111"/>
      <c r="AI467" s="111"/>
      <c r="AJ467" s="111"/>
      <c r="AK467" s="111"/>
      <c r="AL467" s="111"/>
      <c r="AM467" s="111"/>
      <c r="AN467" s="111"/>
      <c r="AQ467" s="120"/>
      <c r="AR467" s="120"/>
      <c r="AS467" s="120"/>
      <c r="AT467" s="120"/>
      <c r="AU467" s="120"/>
      <c r="AV467" s="120"/>
      <c r="AW467" s="120"/>
      <c r="AX467" s="120"/>
      <c r="AY467" s="120"/>
      <c r="AZ467" s="120"/>
      <c r="BA467" s="120">
        <v>6.9255523596129477E-3</v>
      </c>
      <c r="BB467" s="120">
        <v>7.8635730357451139E-3</v>
      </c>
      <c r="BC467" s="120">
        <v>9.8700983832123376E-3</v>
      </c>
      <c r="BE467" s="120">
        <v>0.19711673678893124</v>
      </c>
      <c r="BF467" s="120">
        <v>0.18700309680884974</v>
      </c>
      <c r="BG467" s="120">
        <v>0.19487067825157409</v>
      </c>
      <c r="BH467" s="120">
        <v>0.17828901008313014</v>
      </c>
      <c r="BI467" s="120">
        <v>0.17715608797562202</v>
      </c>
      <c r="BJ467" s="120">
        <v>0.17603043500767099</v>
      </c>
      <c r="BK467" s="120">
        <v>0.17811410880593681</v>
      </c>
      <c r="BL467" s="120">
        <v>0.15827607881588349</v>
      </c>
      <c r="BM467" s="120">
        <v>0.15831435694535378</v>
      </c>
      <c r="BN467" s="120">
        <v>0.15382412657277067</v>
      </c>
      <c r="BO467" s="120">
        <v>0.13628296644802651</v>
      </c>
      <c r="BP467" s="120">
        <v>0.13231490547700675</v>
      </c>
      <c r="BQ467" s="120">
        <v>0.1257405828228311</v>
      </c>
    </row>
    <row r="468" spans="11:69" ht="12.75" x14ac:dyDescent="0.2">
      <c r="N468" s="153"/>
      <c r="O468" s="153"/>
      <c r="P468" s="153"/>
      <c r="Q468" s="153"/>
      <c r="R468" s="129"/>
      <c r="S468" s="153"/>
      <c r="T468" s="153"/>
      <c r="U468" s="153"/>
      <c r="V468" s="153"/>
      <c r="W468" s="153"/>
      <c r="X468" s="153"/>
      <c r="Y468" s="153"/>
      <c r="Z468" s="153"/>
      <c r="AB468" s="111"/>
      <c r="AC468" s="111"/>
      <c r="AD468" s="111"/>
      <c r="AE468" s="111"/>
      <c r="AF468" s="111"/>
      <c r="AG468" s="111"/>
      <c r="AH468" s="111"/>
      <c r="AI468" s="111"/>
      <c r="AJ468" s="111"/>
      <c r="AK468" s="111"/>
      <c r="AL468" s="111"/>
      <c r="AM468" s="111"/>
      <c r="AN468" s="111"/>
      <c r="AQ468" s="120"/>
      <c r="AR468" s="120"/>
      <c r="AS468" s="120"/>
      <c r="AT468" s="120"/>
      <c r="AU468" s="120"/>
      <c r="AV468" s="120"/>
      <c r="AW468" s="120"/>
      <c r="AX468" s="120"/>
      <c r="AY468" s="120"/>
      <c r="AZ468" s="120"/>
      <c r="BA468" s="120">
        <v>7.4798593851733465E-3</v>
      </c>
      <c r="BB468" s="120">
        <v>8.0694835134865455E-3</v>
      </c>
      <c r="BC468" s="120">
        <v>9.6175596464847298E-3</v>
      </c>
      <c r="BE468" s="120">
        <v>0.19200995832981876</v>
      </c>
      <c r="BF468" s="120">
        <v>0.18816502704572838</v>
      </c>
      <c r="BG468" s="120">
        <v>0.1744557942320395</v>
      </c>
      <c r="BH468" s="120">
        <v>0.18725926394268899</v>
      </c>
      <c r="BI468" s="120">
        <v>0.18361479443080578</v>
      </c>
      <c r="BJ468" s="120">
        <v>0.17997617200414023</v>
      </c>
      <c r="BK468" s="120">
        <v>0.16413738732249486</v>
      </c>
      <c r="BL468" s="120">
        <v>0.16583647684326167</v>
      </c>
      <c r="BM468" s="120">
        <v>0.15508763521794466</v>
      </c>
      <c r="BN468" s="120">
        <v>0.14993532904601869</v>
      </c>
      <c r="BO468" s="120">
        <v>0.1522274783448441</v>
      </c>
      <c r="BP468" s="120">
        <v>0.14021282072168326</v>
      </c>
      <c r="BQ468" s="120">
        <v>0.12611184460275823</v>
      </c>
    </row>
    <row r="469" spans="11:69" ht="12.75" x14ac:dyDescent="0.2">
      <c r="N469" s="153"/>
      <c r="O469" s="153"/>
      <c r="P469" s="153"/>
      <c r="Q469" s="153"/>
      <c r="R469" s="129"/>
      <c r="S469" s="153"/>
      <c r="T469" s="153"/>
      <c r="U469" s="153"/>
      <c r="V469" s="153"/>
      <c r="W469" s="153"/>
      <c r="X469" s="153"/>
      <c r="Y469" s="153"/>
      <c r="Z469" s="153"/>
      <c r="AB469" s="111"/>
      <c r="AC469" s="111"/>
      <c r="AD469" s="111"/>
      <c r="AE469" s="111"/>
      <c r="AF469" s="111"/>
      <c r="AG469" s="111"/>
      <c r="AH469" s="111"/>
      <c r="AI469" s="111"/>
      <c r="AJ469" s="111"/>
      <c r="AK469" s="111"/>
      <c r="AL469" s="111"/>
      <c r="AM469" s="111"/>
      <c r="AN469" s="111"/>
      <c r="AQ469" s="120"/>
      <c r="AR469" s="120"/>
      <c r="AS469" s="120"/>
      <c r="AT469" s="120"/>
      <c r="AU469" s="120"/>
      <c r="AV469" s="120"/>
      <c r="AW469" s="120"/>
      <c r="AX469" s="120"/>
      <c r="AY469" s="120"/>
      <c r="AZ469" s="120"/>
      <c r="BA469" s="120">
        <v>6.4130724841028148E-3</v>
      </c>
      <c r="BB469" s="120">
        <v>7.0485324122254896E-3</v>
      </c>
      <c r="BC469" s="120">
        <v>8.8834728802940979E-3</v>
      </c>
      <c r="BE469" s="120">
        <v>0.19421900213629725</v>
      </c>
      <c r="BF469" s="120">
        <v>0.18056212554406323</v>
      </c>
      <c r="BG469" s="120">
        <v>0.19255317450529733</v>
      </c>
      <c r="BH469" s="120">
        <v>0.17659494072629101</v>
      </c>
      <c r="BI469" s="120">
        <v>0.17074371740839275</v>
      </c>
      <c r="BJ469" s="120">
        <v>0.16486507651739596</v>
      </c>
      <c r="BK469" s="120">
        <v>0.17712582952046568</v>
      </c>
      <c r="BL469" s="120">
        <v>0.16115819734840375</v>
      </c>
      <c r="BM469" s="120">
        <v>0.1591026722648668</v>
      </c>
      <c r="BN469" s="120">
        <v>0.15435003092767488</v>
      </c>
      <c r="BO469" s="120">
        <v>0.13204457502150829</v>
      </c>
      <c r="BP469" s="120">
        <v>0.12358083372090425</v>
      </c>
      <c r="BQ469" s="120">
        <v>0.11744248021559717</v>
      </c>
    </row>
    <row r="471" spans="11:69" x14ac:dyDescent="0.2">
      <c r="S471" s="126"/>
      <c r="T471" s="126"/>
      <c r="U471" s="126"/>
      <c r="V471" s="126"/>
      <c r="W471" s="126"/>
      <c r="X471" s="126"/>
      <c r="Y471" s="126"/>
      <c r="Z471" s="126"/>
    </row>
    <row r="472" spans="11:69" ht="12.75" x14ac:dyDescent="0.2">
      <c r="K472" s="105"/>
      <c r="N472" s="153"/>
      <c r="O472" s="153"/>
      <c r="P472" s="153"/>
      <c r="Q472" s="153"/>
      <c r="R472" s="129"/>
      <c r="S472" s="150"/>
      <c r="T472" s="150"/>
      <c r="U472" s="150"/>
      <c r="V472" s="150"/>
      <c r="W472" s="150"/>
      <c r="X472" s="150"/>
      <c r="Y472" s="150"/>
      <c r="Z472" s="150"/>
      <c r="AB472" s="111"/>
      <c r="AC472" s="111"/>
      <c r="AD472" s="111"/>
      <c r="AE472" s="111"/>
      <c r="AF472" s="111"/>
      <c r="AG472" s="111"/>
      <c r="AH472" s="111"/>
      <c r="AI472" s="111"/>
      <c r="AJ472" s="111"/>
      <c r="AK472" s="111"/>
      <c r="AL472" s="111"/>
      <c r="AM472" s="111"/>
      <c r="AN472" s="111"/>
      <c r="AQ472" s="120"/>
      <c r="AR472" s="120"/>
      <c r="AS472" s="120"/>
      <c r="AT472" s="120"/>
      <c r="AU472" s="120"/>
      <c r="AV472" s="120"/>
      <c r="AW472" s="120"/>
      <c r="AX472" s="120"/>
      <c r="AY472" s="120"/>
      <c r="AZ472" s="120"/>
      <c r="BA472" s="120">
        <v>1.2731081575830108E-2</v>
      </c>
      <c r="BB472" s="120">
        <v>1.8728229385132442E-2</v>
      </c>
      <c r="BC472" s="120">
        <v>3.3372468726213009E-2</v>
      </c>
      <c r="BE472" s="120">
        <v>9.7220418093395308E-2</v>
      </c>
      <c r="BF472" s="120">
        <v>7.1298397927950022E-2</v>
      </c>
      <c r="BG472" s="120">
        <v>7.8260792089751521E-2</v>
      </c>
      <c r="BH472" s="120">
        <v>9.2216947284775377E-2</v>
      </c>
      <c r="BI472" s="120">
        <v>0.10668449715350885</v>
      </c>
      <c r="BJ472" s="120">
        <v>0.12116781272140664</v>
      </c>
      <c r="BK472" s="120">
        <v>0.14717852149729169</v>
      </c>
      <c r="BL472" s="120">
        <v>0.19018519052344807</v>
      </c>
      <c r="BM472" s="120">
        <v>0.22621663502679984</v>
      </c>
      <c r="BN472" s="120">
        <v>0.25714494019507317</v>
      </c>
      <c r="BO472" s="120">
        <v>0.30683775400888808</v>
      </c>
      <c r="BP472" s="120">
        <v>0.38191629636812252</v>
      </c>
      <c r="BQ472" s="120">
        <v>0.50357025230789332</v>
      </c>
    </row>
    <row r="473" spans="11:69" ht="12.75" x14ac:dyDescent="0.2">
      <c r="N473" s="153"/>
      <c r="O473" s="153"/>
      <c r="P473" s="153"/>
      <c r="Q473" s="153"/>
      <c r="R473" s="129"/>
      <c r="S473" s="150"/>
      <c r="T473" s="150"/>
      <c r="U473" s="150"/>
      <c r="V473" s="150"/>
      <c r="W473" s="150"/>
      <c r="X473" s="150"/>
      <c r="Y473" s="150"/>
      <c r="Z473" s="150"/>
      <c r="AB473" s="111"/>
      <c r="AC473" s="111"/>
      <c r="AD473" s="111"/>
      <c r="AE473" s="111"/>
      <c r="AF473" s="111"/>
      <c r="AG473" s="111"/>
      <c r="AH473" s="111"/>
      <c r="AI473" s="111"/>
      <c r="AJ473" s="111"/>
      <c r="AK473" s="111"/>
      <c r="AL473" s="111"/>
      <c r="AM473" s="111"/>
      <c r="AN473" s="111"/>
      <c r="AQ473" s="120"/>
      <c r="AR473" s="120"/>
      <c r="AS473" s="120"/>
      <c r="AT473" s="120"/>
      <c r="AU473" s="120"/>
      <c r="AV473" s="120"/>
      <c r="AW473" s="120"/>
      <c r="AX473" s="120"/>
      <c r="AY473" s="120"/>
      <c r="AZ473" s="120"/>
      <c r="BA473" s="120">
        <v>1.2857995652089454E-2</v>
      </c>
      <c r="BB473" s="120">
        <v>1.8235172537435496E-2</v>
      </c>
      <c r="BC473" s="120">
        <v>3.0304767291963321E-2</v>
      </c>
      <c r="BE473" s="120">
        <v>0.14076858364048581</v>
      </c>
      <c r="BF473" s="120">
        <v>0.12646668654567961</v>
      </c>
      <c r="BG473" s="120">
        <v>0.12723355695224425</v>
      </c>
      <c r="BH473" s="120">
        <v>0.13310956437683041</v>
      </c>
      <c r="BI473" s="120">
        <v>0.14234059401820601</v>
      </c>
      <c r="BJ473" s="120">
        <v>0.15273232656041122</v>
      </c>
      <c r="BK473" s="120">
        <v>0.17210057643055135</v>
      </c>
      <c r="BL473" s="120">
        <v>0.21046485534236997</v>
      </c>
      <c r="BM473" s="120">
        <v>0.24146195028615416</v>
      </c>
      <c r="BN473" s="120">
        <v>0.26797200833393287</v>
      </c>
      <c r="BO473" s="120">
        <v>0.31238108003047566</v>
      </c>
      <c r="BP473" s="120">
        <v>0.37685410580773199</v>
      </c>
      <c r="BQ473" s="120">
        <v>0.47038241148191962</v>
      </c>
    </row>
    <row r="474" spans="11:69" ht="12.75" x14ac:dyDescent="0.2">
      <c r="N474" s="153"/>
      <c r="O474" s="153"/>
      <c r="P474" s="153"/>
      <c r="Q474" s="153"/>
      <c r="R474" s="129"/>
      <c r="S474" s="150"/>
      <c r="T474" s="150"/>
      <c r="U474" s="150"/>
      <c r="V474" s="150"/>
      <c r="W474" s="150"/>
      <c r="X474" s="150"/>
      <c r="Y474" s="150"/>
      <c r="Z474" s="150"/>
      <c r="AB474" s="111"/>
      <c r="AC474" s="111"/>
      <c r="AD474" s="111"/>
      <c r="AE474" s="111"/>
      <c r="AF474" s="111"/>
      <c r="AG474" s="111"/>
      <c r="AH474" s="111"/>
      <c r="AI474" s="111"/>
      <c r="AJ474" s="111"/>
      <c r="AK474" s="111"/>
      <c r="AL474" s="111"/>
      <c r="AM474" s="111"/>
      <c r="AN474" s="111"/>
      <c r="AQ474" s="120"/>
      <c r="AR474" s="120"/>
      <c r="AS474" s="120"/>
      <c r="AT474" s="120"/>
      <c r="AU474" s="120"/>
      <c r="AV474" s="120"/>
      <c r="AW474" s="120"/>
      <c r="AX474" s="120"/>
      <c r="AY474" s="120"/>
      <c r="AZ474" s="120"/>
      <c r="BA474" s="120">
        <v>9.9492988174963385E-3</v>
      </c>
      <c r="BB474" s="120">
        <v>1.3861493946693062E-2</v>
      </c>
      <c r="BC474" s="120">
        <v>2.3106174758950271E-2</v>
      </c>
      <c r="BE474" s="120">
        <v>0.14700267850899371</v>
      </c>
      <c r="BF474" s="120">
        <v>0.12199982928683241</v>
      </c>
      <c r="BG474" s="120">
        <v>0.11699970471786166</v>
      </c>
      <c r="BH474" s="120">
        <v>0.11899993054870348</v>
      </c>
      <c r="BI474" s="120">
        <v>0.1249995103119748</v>
      </c>
      <c r="BJ474" s="120">
        <v>0.13099986902735655</v>
      </c>
      <c r="BK474" s="120">
        <v>0.14399967841923997</v>
      </c>
      <c r="BL474" s="120">
        <v>0.16599622516047716</v>
      </c>
      <c r="BM474" s="120">
        <v>0.18599358759199497</v>
      </c>
      <c r="BN474" s="120">
        <v>0.2029914595353666</v>
      </c>
      <c r="BO474" s="120">
        <v>0.23298761244224281</v>
      </c>
      <c r="BP474" s="120">
        <v>0.27600959866514369</v>
      </c>
      <c r="BQ474" s="120">
        <v>0.34499740257083961</v>
      </c>
    </row>
    <row r="475" spans="11:69" ht="12.75" x14ac:dyDescent="0.2">
      <c r="N475" s="153"/>
      <c r="O475" s="153"/>
      <c r="P475" s="153"/>
      <c r="Q475" s="153"/>
      <c r="R475" s="129"/>
      <c r="S475" s="150"/>
      <c r="T475" s="150"/>
      <c r="U475" s="150"/>
      <c r="V475" s="150"/>
      <c r="W475" s="150"/>
      <c r="X475" s="150"/>
      <c r="Y475" s="150"/>
      <c r="Z475" s="150"/>
      <c r="AB475" s="111"/>
      <c r="AC475" s="111"/>
      <c r="AD475" s="111"/>
      <c r="AE475" s="111"/>
      <c r="AF475" s="111"/>
      <c r="AG475" s="111"/>
      <c r="AH475" s="111"/>
      <c r="AI475" s="111"/>
      <c r="AJ475" s="111"/>
      <c r="AK475" s="111"/>
      <c r="AL475" s="111"/>
      <c r="AM475" s="111"/>
      <c r="AN475" s="111"/>
      <c r="AQ475" s="120"/>
      <c r="AR475" s="120"/>
      <c r="AS475" s="120"/>
      <c r="AT475" s="120"/>
      <c r="AU475" s="120"/>
      <c r="AV475" s="120"/>
      <c r="AW475" s="120"/>
      <c r="AX475" s="120"/>
      <c r="AY475" s="120"/>
      <c r="AZ475" s="120"/>
      <c r="BA475" s="120">
        <v>8.9011453713155417E-3</v>
      </c>
      <c r="BB475" s="120">
        <v>1.1668290571080545E-2</v>
      </c>
      <c r="BC475" s="120">
        <v>1.7486143915614386E-2</v>
      </c>
      <c r="BE475" s="120">
        <v>0.20479877125147347</v>
      </c>
      <c r="BF475" s="120">
        <v>0.19854728508383296</v>
      </c>
      <c r="BG475" s="120">
        <v>0.19375161146359987</v>
      </c>
      <c r="BH475" s="120">
        <v>0.18960602116436587</v>
      </c>
      <c r="BI475" s="120">
        <v>0.18522600886717669</v>
      </c>
      <c r="BJ475" s="120">
        <v>0.18149967003531867</v>
      </c>
      <c r="BK475" s="120">
        <v>0.17574005460640144</v>
      </c>
      <c r="BL475" s="120">
        <v>0.17728854581013662</v>
      </c>
      <c r="BM475" s="120">
        <v>0.1818761444340945</v>
      </c>
      <c r="BN475" s="120">
        <v>0.18933594672594747</v>
      </c>
      <c r="BO475" s="120">
        <v>0.20152425868295384</v>
      </c>
      <c r="BP475" s="120">
        <v>0.22462172550905393</v>
      </c>
      <c r="BQ475" s="120">
        <v>0.25145411929604106</v>
      </c>
    </row>
    <row r="476" spans="11:69" ht="12.75" x14ac:dyDescent="0.2">
      <c r="N476" s="153"/>
      <c r="O476" s="153"/>
      <c r="P476" s="153"/>
      <c r="Q476" s="153"/>
      <c r="R476" s="129"/>
      <c r="S476" s="150"/>
      <c r="T476" s="150"/>
      <c r="U476" s="150"/>
      <c r="V476" s="150"/>
      <c r="W476" s="150"/>
      <c r="X476" s="150"/>
      <c r="Y476" s="150"/>
      <c r="Z476" s="150"/>
      <c r="AB476" s="111"/>
      <c r="AC476" s="111"/>
      <c r="AD476" s="111"/>
      <c r="AE476" s="111"/>
      <c r="AF476" s="111"/>
      <c r="AG476" s="111"/>
      <c r="AH476" s="111"/>
      <c r="AI476" s="111"/>
      <c r="AJ476" s="111"/>
      <c r="AK476" s="111"/>
      <c r="AL476" s="111"/>
      <c r="AM476" s="111"/>
      <c r="AN476" s="111"/>
      <c r="AQ476" s="120"/>
      <c r="AR476" s="120"/>
      <c r="AS476" s="120"/>
      <c r="AT476" s="120"/>
      <c r="AU476" s="120"/>
      <c r="AV476" s="120"/>
      <c r="AW476" s="120"/>
      <c r="AX476" s="120"/>
      <c r="AY476" s="120"/>
      <c r="AZ476" s="120"/>
      <c r="BA476" s="120">
        <v>9.4992922991929442E-3</v>
      </c>
      <c r="BB476" s="120">
        <v>1.2318108334309722E-2</v>
      </c>
      <c r="BC476" s="120">
        <v>1.9098448084400935E-2</v>
      </c>
      <c r="BE476" s="120">
        <v>0.21963578629376423</v>
      </c>
      <c r="BF476" s="120">
        <v>0.20636374588045281</v>
      </c>
      <c r="BG476" s="120">
        <v>0.20108622206160046</v>
      </c>
      <c r="BH476" s="120">
        <v>0.19289449755127194</v>
      </c>
      <c r="BI476" s="120">
        <v>0.19029769646501807</v>
      </c>
      <c r="BJ476" s="120">
        <v>0.18781504749315273</v>
      </c>
      <c r="BK476" s="120">
        <v>0.18457943128185714</v>
      </c>
      <c r="BL476" s="120">
        <v>0.18369741552448976</v>
      </c>
      <c r="BM476" s="120">
        <v>0.18990966216068042</v>
      </c>
      <c r="BN476" s="120">
        <v>0.19566704328372117</v>
      </c>
      <c r="BO476" s="120">
        <v>0.2095025728471086</v>
      </c>
      <c r="BP476" s="120">
        <v>0.23190274697210836</v>
      </c>
      <c r="BQ476" s="120">
        <v>0.27150684225927513</v>
      </c>
    </row>
    <row r="477" spans="11:69" ht="12.75" x14ac:dyDescent="0.2">
      <c r="N477" s="153"/>
      <c r="O477" s="153"/>
      <c r="P477" s="153"/>
      <c r="Q477" s="153"/>
      <c r="R477" s="129"/>
      <c r="S477" s="150"/>
      <c r="T477" s="150"/>
      <c r="U477" s="150"/>
      <c r="V477" s="150"/>
      <c r="W477" s="150"/>
      <c r="X477" s="150"/>
      <c r="Y477" s="150"/>
      <c r="Z477" s="150"/>
      <c r="AB477" s="111"/>
      <c r="AC477" s="111"/>
      <c r="AD477" s="111"/>
      <c r="AE477" s="111"/>
      <c r="AF477" s="111"/>
      <c r="AG477" s="111"/>
      <c r="AH477" s="111"/>
      <c r="AI477" s="111"/>
      <c r="AJ477" s="111"/>
      <c r="AK477" s="111"/>
      <c r="AL477" s="111"/>
      <c r="AM477" s="111"/>
      <c r="AN477" s="111"/>
      <c r="AQ477" s="120"/>
      <c r="AR477" s="120"/>
      <c r="AS477" s="120"/>
      <c r="AT477" s="120"/>
      <c r="AU477" s="120"/>
      <c r="AV477" s="120"/>
      <c r="AW477" s="120"/>
      <c r="AX477" s="120"/>
      <c r="AY477" s="120"/>
      <c r="AZ477" s="120"/>
      <c r="BA477" s="120">
        <v>9.2057026230822278E-3</v>
      </c>
      <c r="BB477" s="120">
        <v>1.1912409386685821E-2</v>
      </c>
      <c r="BC477" s="120">
        <v>1.8044315555909622E-2</v>
      </c>
      <c r="BE477" s="120">
        <v>0.23126418636397517</v>
      </c>
      <c r="BF477" s="120">
        <v>0.21824915373741274</v>
      </c>
      <c r="BG477" s="120">
        <v>0.21305706444859013</v>
      </c>
      <c r="BH477" s="120">
        <v>0.21281761469804761</v>
      </c>
      <c r="BI477" s="120">
        <v>0.20683287824399973</v>
      </c>
      <c r="BJ477" s="120">
        <v>0.2010493161375953</v>
      </c>
      <c r="BK477" s="120">
        <v>0.19537508107653562</v>
      </c>
      <c r="BL477" s="120">
        <v>0.18464449699689162</v>
      </c>
      <c r="BM477" s="120">
        <v>0.18138338505175311</v>
      </c>
      <c r="BN477" s="120">
        <v>0.1857243068934652</v>
      </c>
      <c r="BO477" s="120">
        <v>0.19540584725063617</v>
      </c>
      <c r="BP477" s="120">
        <v>0.2161152143854376</v>
      </c>
      <c r="BQ477" s="120">
        <v>0.2472053540990026</v>
      </c>
    </row>
    <row r="478" spans="11:69" ht="12.75" x14ac:dyDescent="0.2">
      <c r="N478" s="141"/>
      <c r="O478" s="153"/>
      <c r="P478" s="153"/>
      <c r="Q478" s="153"/>
      <c r="R478" s="129"/>
      <c r="S478" s="150"/>
      <c r="T478" s="150"/>
      <c r="U478" s="150"/>
      <c r="V478" s="150"/>
      <c r="W478" s="150"/>
      <c r="X478" s="150"/>
      <c r="Y478" s="150"/>
      <c r="Z478" s="150"/>
      <c r="AB478" s="111"/>
      <c r="AC478" s="111"/>
      <c r="AD478" s="111"/>
      <c r="AE478" s="111"/>
      <c r="AF478" s="111"/>
      <c r="AG478" s="111"/>
      <c r="AH478" s="111"/>
      <c r="AI478" s="111"/>
      <c r="AJ478" s="111"/>
      <c r="AK478" s="111"/>
      <c r="AL478" s="111"/>
      <c r="AM478" s="111"/>
      <c r="AN478" s="111"/>
      <c r="AQ478" s="120"/>
      <c r="AR478" s="120"/>
      <c r="AS478" s="120"/>
      <c r="AT478" s="120"/>
      <c r="AU478" s="120"/>
      <c r="AV478" s="120"/>
      <c r="AW478" s="120"/>
      <c r="AX478" s="120"/>
      <c r="AY478" s="120"/>
      <c r="AZ478" s="120"/>
      <c r="BA478" s="120">
        <v>8.739818715896892E-3</v>
      </c>
      <c r="BB478" s="120">
        <v>1.1042850632570184E-2</v>
      </c>
      <c r="BC478" s="120">
        <v>1.6796402786770623E-2</v>
      </c>
      <c r="BE478" s="120">
        <v>0.23047212145660176</v>
      </c>
      <c r="BF478" s="120">
        <v>0.21867555292815219</v>
      </c>
      <c r="BG478" s="120">
        <v>0.21349931291941143</v>
      </c>
      <c r="BH478" s="120">
        <v>0.20485650476947012</v>
      </c>
      <c r="BI478" s="120">
        <v>0.2005264428845254</v>
      </c>
      <c r="BJ478" s="120">
        <v>0.19627814191764378</v>
      </c>
      <c r="BK478" s="120">
        <v>0.1884255373806262</v>
      </c>
      <c r="BL478" s="120">
        <v>0.18166983767136563</v>
      </c>
      <c r="BM478" s="120">
        <v>0.17819022594146999</v>
      </c>
      <c r="BN478" s="120">
        <v>0.17589167507043596</v>
      </c>
      <c r="BO478" s="120">
        <v>0.1793022845272024</v>
      </c>
      <c r="BP478" s="120">
        <v>0.19383106280020632</v>
      </c>
      <c r="BQ478" s="120">
        <v>0.22354391052238323</v>
      </c>
    </row>
    <row r="479" spans="11:69" ht="12.75" x14ac:dyDescent="0.2">
      <c r="N479" s="141"/>
      <c r="O479" s="153"/>
      <c r="P479" s="153"/>
      <c r="Q479" s="153"/>
      <c r="R479" s="129"/>
      <c r="S479" s="150"/>
      <c r="T479" s="150"/>
      <c r="U479" s="150"/>
      <c r="V479" s="150"/>
      <c r="W479" s="150"/>
      <c r="X479" s="150"/>
      <c r="Y479" s="150"/>
      <c r="Z479" s="150"/>
      <c r="AB479" s="111"/>
      <c r="AC479" s="111"/>
      <c r="AD479" s="111"/>
      <c r="AE479" s="111"/>
      <c r="AF479" s="111"/>
      <c r="AG479" s="111"/>
      <c r="AH479" s="111"/>
      <c r="AI479" s="111"/>
      <c r="AJ479" s="111"/>
      <c r="AK479" s="111"/>
      <c r="AL479" s="111"/>
      <c r="AM479" s="111"/>
      <c r="AN479" s="111"/>
      <c r="AQ479" s="120"/>
      <c r="AR479" s="120"/>
      <c r="AS479" s="120"/>
      <c r="AT479" s="120"/>
      <c r="AU479" s="120"/>
      <c r="AV479" s="120"/>
      <c r="AW479" s="120"/>
      <c r="AX479" s="120"/>
      <c r="AY479" s="120"/>
      <c r="AZ479" s="120"/>
      <c r="BA479" s="120">
        <v>8.5879109433645625E-3</v>
      </c>
      <c r="BB479" s="120">
        <v>1.0602095918914851E-2</v>
      </c>
      <c r="BC479" s="120">
        <v>1.5781993305469477E-2</v>
      </c>
      <c r="BE479" s="120">
        <v>0.24199863299930313</v>
      </c>
      <c r="BF479" s="120">
        <v>0.22484010314517236</v>
      </c>
      <c r="BG479" s="120">
        <v>0.21976672678582848</v>
      </c>
      <c r="BH479" s="120">
        <v>0.21195627072073686</v>
      </c>
      <c r="BI479" s="120">
        <v>0.20867111099948607</v>
      </c>
      <c r="BJ479" s="120">
        <v>0.20534738879260284</v>
      </c>
      <c r="BK479" s="120">
        <v>0.19389220730511958</v>
      </c>
      <c r="BL479" s="120">
        <v>0.17944932069799166</v>
      </c>
      <c r="BM479" s="120">
        <v>0.17492328577206273</v>
      </c>
      <c r="BN479" s="120">
        <v>0.16891223038293637</v>
      </c>
      <c r="BO479" s="120">
        <v>0.17124118710617048</v>
      </c>
      <c r="BP479" s="120">
        <v>0.18111822346650319</v>
      </c>
      <c r="BQ479" s="120">
        <v>0.20467220974564826</v>
      </c>
    </row>
    <row r="480" spans="11:69" ht="12.75" x14ac:dyDescent="0.2">
      <c r="N480" s="141"/>
      <c r="O480" s="153"/>
      <c r="P480" s="153"/>
      <c r="Q480" s="153"/>
      <c r="R480" s="129"/>
      <c r="S480" s="150"/>
      <c r="T480" s="150"/>
      <c r="U480" s="150"/>
      <c r="V480" s="150"/>
      <c r="W480" s="150"/>
      <c r="X480" s="150"/>
      <c r="Y480" s="150"/>
      <c r="Z480" s="150"/>
      <c r="AB480" s="111"/>
      <c r="AC480" s="111"/>
      <c r="AD480" s="111"/>
      <c r="AE480" s="111"/>
      <c r="AF480" s="111"/>
      <c r="AG480" s="111"/>
      <c r="AH480" s="111"/>
      <c r="AI480" s="111"/>
      <c r="AJ480" s="111"/>
      <c r="AK480" s="111"/>
      <c r="AL480" s="111"/>
      <c r="AM480" s="111"/>
      <c r="AN480" s="111"/>
      <c r="AQ480" s="120"/>
      <c r="AR480" s="120"/>
      <c r="AS480" s="120"/>
      <c r="AT480" s="120"/>
      <c r="AU480" s="120"/>
      <c r="AV480" s="120"/>
      <c r="AW480" s="120"/>
      <c r="AX480" s="120"/>
      <c r="AY480" s="120"/>
      <c r="AZ480" s="120"/>
      <c r="BA480" s="120">
        <v>8.5258218737602007E-3</v>
      </c>
      <c r="BB480" s="120">
        <v>1.0403540556360624E-2</v>
      </c>
      <c r="BC480" s="120">
        <v>1.5391114755601884E-2</v>
      </c>
      <c r="BE480" s="120">
        <v>0.22967740507591</v>
      </c>
      <c r="BF480" s="120">
        <v>0.22183866582817832</v>
      </c>
      <c r="BG480" s="120">
        <v>0.20860836913763542</v>
      </c>
      <c r="BH480" s="120">
        <v>0.20678258524482851</v>
      </c>
      <c r="BI480" s="120">
        <v>0.20244238241692161</v>
      </c>
      <c r="BJ480" s="120">
        <v>0.19814603686933757</v>
      </c>
      <c r="BK480" s="120">
        <v>0.1916696144600179</v>
      </c>
      <c r="BL480" s="120">
        <v>0.180186291658371</v>
      </c>
      <c r="BM480" s="120">
        <v>0.17151991789538537</v>
      </c>
      <c r="BN480" s="120">
        <v>0.16566594530732667</v>
      </c>
      <c r="BO480" s="120">
        <v>0.16676321974438629</v>
      </c>
      <c r="BP480" s="120">
        <v>0.17449452460034579</v>
      </c>
      <c r="BQ480" s="120">
        <v>0.19641448834859657</v>
      </c>
    </row>
    <row r="481" spans="14:69" ht="12.75" x14ac:dyDescent="0.2">
      <c r="N481" s="141"/>
      <c r="O481" s="153"/>
      <c r="P481" s="153"/>
      <c r="Q481" s="153"/>
      <c r="R481" s="129"/>
      <c r="S481" s="150"/>
      <c r="T481" s="150"/>
      <c r="U481" s="150"/>
      <c r="V481" s="150"/>
      <c r="W481" s="150"/>
      <c r="X481" s="150"/>
      <c r="Y481" s="150"/>
      <c r="Z481" s="150"/>
      <c r="AB481" s="111"/>
      <c r="AC481" s="111"/>
      <c r="AD481" s="111"/>
      <c r="AE481" s="111"/>
      <c r="AF481" s="111"/>
      <c r="AG481" s="111"/>
      <c r="AH481" s="111"/>
      <c r="AI481" s="111"/>
      <c r="AJ481" s="111"/>
      <c r="AK481" s="111"/>
      <c r="AL481" s="111"/>
      <c r="AM481" s="111"/>
      <c r="AN481" s="111"/>
      <c r="AQ481" s="120"/>
      <c r="AR481" s="120"/>
      <c r="AS481" s="120"/>
      <c r="AT481" s="120"/>
      <c r="AU481" s="120"/>
      <c r="AV481" s="120"/>
      <c r="AW481" s="120"/>
      <c r="AX481" s="120"/>
      <c r="AY481" s="120"/>
      <c r="AZ481" s="120"/>
      <c r="BA481" s="120">
        <v>8.0581953310353907E-3</v>
      </c>
      <c r="BB481" s="120">
        <v>9.8552823360139596E-3</v>
      </c>
      <c r="BC481" s="120">
        <v>1.3900680198489316E-2</v>
      </c>
      <c r="BE481" s="120">
        <v>0.22452141038744464</v>
      </c>
      <c r="BF481" s="120">
        <v>0.20626582947810815</v>
      </c>
      <c r="BG481" s="120">
        <v>0.2119646850020491</v>
      </c>
      <c r="BH481" s="120">
        <v>0.20832487442790676</v>
      </c>
      <c r="BI481" s="120">
        <v>0.19889504198625105</v>
      </c>
      <c r="BJ481" s="120">
        <v>0.18961912567961672</v>
      </c>
      <c r="BK481" s="120">
        <v>0.18862603141887016</v>
      </c>
      <c r="BL481" s="120">
        <v>0.17237147586825277</v>
      </c>
      <c r="BM481" s="120">
        <v>0.16801358075734521</v>
      </c>
      <c r="BN481" s="120">
        <v>0.16383171738734487</v>
      </c>
      <c r="BO481" s="120">
        <v>0.15540259370865514</v>
      </c>
      <c r="BP481" s="120">
        <v>0.16309152255713505</v>
      </c>
      <c r="BQ481" s="120">
        <v>0.1748788696084114</v>
      </c>
    </row>
    <row r="482" spans="14:69" ht="12.75" x14ac:dyDescent="0.2">
      <c r="N482" s="153"/>
      <c r="O482" s="153"/>
      <c r="P482" s="153"/>
      <c r="Q482" s="153"/>
      <c r="R482" s="129"/>
      <c r="S482" s="150"/>
      <c r="T482" s="150"/>
      <c r="U482" s="150"/>
      <c r="V482" s="150"/>
      <c r="W482" s="150"/>
      <c r="X482" s="150"/>
      <c r="Y482" s="150"/>
      <c r="Z482" s="150"/>
      <c r="AB482" s="111"/>
      <c r="AC482" s="111"/>
      <c r="AD482" s="111"/>
      <c r="AE482" s="111"/>
      <c r="AF482" s="111"/>
      <c r="AG482" s="111"/>
      <c r="AH482" s="111"/>
      <c r="AI482" s="111"/>
      <c r="AJ482" s="111"/>
      <c r="AK482" s="111"/>
      <c r="AL482" s="111"/>
      <c r="AM482" s="111"/>
      <c r="AN482" s="111"/>
      <c r="AQ482" s="120"/>
      <c r="AR482" s="120"/>
      <c r="AS482" s="120"/>
      <c r="AT482" s="120"/>
      <c r="AU482" s="120"/>
      <c r="AV482" s="120"/>
      <c r="AW482" s="120"/>
      <c r="AX482" s="120"/>
      <c r="AY482" s="120"/>
      <c r="AZ482" s="120"/>
      <c r="BA482" s="120">
        <v>7.8712205241608102E-3</v>
      </c>
      <c r="BB482" s="120">
        <v>8.692736569154761E-3</v>
      </c>
      <c r="BC482" s="120">
        <v>1.2079889028197765E-2</v>
      </c>
      <c r="BE482" s="120">
        <v>0.20779039388284651</v>
      </c>
      <c r="BF482" s="120">
        <v>0.19999842762240327</v>
      </c>
      <c r="BG482" s="120">
        <v>0.18864298256282003</v>
      </c>
      <c r="BH482" s="120">
        <v>0.1859792414940879</v>
      </c>
      <c r="BI482" s="120">
        <v>0.18831822059235809</v>
      </c>
      <c r="BJ482" s="120">
        <v>0.190516747058812</v>
      </c>
      <c r="BK482" s="120">
        <v>0.17483878611479589</v>
      </c>
      <c r="BL482" s="120">
        <v>0.17123969807327666</v>
      </c>
      <c r="BM482" s="120">
        <v>0.15566883433741119</v>
      </c>
      <c r="BN482" s="120">
        <v>0.15215394166032173</v>
      </c>
      <c r="BO482" s="120">
        <v>0.14922200214733505</v>
      </c>
      <c r="BP482" s="120">
        <v>0.14117097349409471</v>
      </c>
      <c r="BQ482" s="120">
        <v>0.14941392592544947</v>
      </c>
    </row>
    <row r="483" spans="14:69" ht="12.75" x14ac:dyDescent="0.2">
      <c r="N483" s="153"/>
      <c r="O483" s="153"/>
      <c r="P483" s="153"/>
      <c r="Q483" s="153"/>
      <c r="R483" s="129"/>
      <c r="S483" s="150"/>
      <c r="T483" s="150"/>
      <c r="U483" s="150"/>
      <c r="V483" s="150"/>
      <c r="W483" s="150"/>
      <c r="X483" s="150"/>
      <c r="Y483" s="150"/>
      <c r="Z483" s="150"/>
      <c r="AB483" s="111"/>
      <c r="AC483" s="111"/>
      <c r="AD483" s="111"/>
      <c r="AE483" s="111"/>
      <c r="AF483" s="111"/>
      <c r="AG483" s="111"/>
      <c r="AH483" s="111"/>
      <c r="AI483" s="111"/>
      <c r="AJ483" s="111"/>
      <c r="AK483" s="111"/>
      <c r="AL483" s="111"/>
      <c r="AM483" s="111"/>
      <c r="AN483" s="111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>
        <v>7.5761814370809222E-3</v>
      </c>
      <c r="BB483" s="120">
        <v>8.3154303882312063E-3</v>
      </c>
      <c r="BC483" s="120">
        <v>1.02327362499916E-2</v>
      </c>
      <c r="BE483" s="120">
        <v>0.194080430743646</v>
      </c>
      <c r="BF483" s="120">
        <v>0.1921673251892764</v>
      </c>
      <c r="BG483" s="120">
        <v>0.1915244492596577</v>
      </c>
      <c r="BH483" s="120">
        <v>0.18830092004952689</v>
      </c>
      <c r="BI483" s="120">
        <v>0.18023648257065364</v>
      </c>
      <c r="BJ483" s="120">
        <v>0.1723111822233192</v>
      </c>
      <c r="BK483" s="120">
        <v>0.17676031534733694</v>
      </c>
      <c r="BL483" s="120">
        <v>0.15854863707639871</v>
      </c>
      <c r="BM483" s="120">
        <v>0.16237748666220497</v>
      </c>
      <c r="BN483" s="120">
        <v>0.15604126236489643</v>
      </c>
      <c r="BO483" s="120">
        <v>0.14378599945157186</v>
      </c>
      <c r="BP483" s="120">
        <v>0.13528549488679831</v>
      </c>
      <c r="BQ483" s="120">
        <v>0.12642140748601033</v>
      </c>
    </row>
    <row r="484" spans="14:69" ht="12.75" x14ac:dyDescent="0.2">
      <c r="N484" s="153"/>
      <c r="O484" s="153"/>
      <c r="P484" s="153"/>
      <c r="Q484" s="153"/>
      <c r="R484" s="129"/>
      <c r="S484" s="150"/>
      <c r="T484" s="150"/>
      <c r="U484" s="150"/>
      <c r="V484" s="150"/>
      <c r="W484" s="150"/>
      <c r="X484" s="150"/>
      <c r="Y484" s="150"/>
      <c r="Z484" s="150"/>
      <c r="AB484" s="111"/>
      <c r="AC484" s="111"/>
      <c r="AD484" s="111"/>
      <c r="AE484" s="111"/>
      <c r="AF484" s="111"/>
      <c r="AG484" s="111"/>
      <c r="AH484" s="111"/>
      <c r="AI484" s="111"/>
      <c r="AJ484" s="111"/>
      <c r="AK484" s="111"/>
      <c r="AL484" s="111"/>
      <c r="AM484" s="111"/>
      <c r="AN484" s="111"/>
      <c r="AQ484" s="120"/>
      <c r="AR484" s="120"/>
      <c r="AS484" s="120"/>
      <c r="AT484" s="120"/>
      <c r="AU484" s="120"/>
      <c r="AV484" s="120"/>
      <c r="AW484" s="120"/>
      <c r="AX484" s="120"/>
      <c r="AY484" s="120"/>
      <c r="AZ484" s="120"/>
      <c r="BA484" s="120">
        <v>7.1091748728893981E-3</v>
      </c>
      <c r="BB484" s="120">
        <v>7.8827524281320799E-3</v>
      </c>
      <c r="BC484" s="120">
        <v>1.0018694391447857E-2</v>
      </c>
      <c r="BE484" s="120">
        <v>0.19698371814645976</v>
      </c>
      <c r="BF484" s="120">
        <v>0.181668827325279</v>
      </c>
      <c r="BG484" s="120">
        <v>0.17833663975930059</v>
      </c>
      <c r="BH484" s="120">
        <v>0.17541439582955903</v>
      </c>
      <c r="BI484" s="120">
        <v>0.17728957824530031</v>
      </c>
      <c r="BJ484" s="120">
        <v>0.1791169690829077</v>
      </c>
      <c r="BK484" s="120">
        <v>0.16319032232625386</v>
      </c>
      <c r="BL484" s="120">
        <v>0.16913477819317321</v>
      </c>
      <c r="BM484" s="120">
        <v>0.15247380618461648</v>
      </c>
      <c r="BN484" s="120">
        <v>0.146225552375603</v>
      </c>
      <c r="BO484" s="120">
        <v>0.13975257301054025</v>
      </c>
      <c r="BP484" s="120">
        <v>0.13248742455828463</v>
      </c>
      <c r="BQ484" s="120">
        <v>0.12759047564820455</v>
      </c>
    </row>
    <row r="485" spans="14:69" ht="12.75" x14ac:dyDescent="0.2">
      <c r="N485" s="153"/>
      <c r="O485" s="153"/>
      <c r="P485" s="153"/>
      <c r="Q485" s="153"/>
      <c r="R485" s="129"/>
      <c r="S485" s="150"/>
      <c r="T485" s="150"/>
      <c r="U485" s="150"/>
      <c r="V485" s="150"/>
      <c r="W485" s="150"/>
      <c r="X485" s="150"/>
      <c r="Y485" s="150"/>
      <c r="Z485" s="150"/>
      <c r="AB485" s="111"/>
      <c r="AC485" s="111"/>
      <c r="AD485" s="111"/>
      <c r="AE485" s="111"/>
      <c r="AF485" s="111"/>
      <c r="AG485" s="111"/>
      <c r="AH485" s="111"/>
      <c r="AI485" s="111"/>
      <c r="AJ485" s="111"/>
      <c r="AK485" s="111"/>
      <c r="AL485" s="111"/>
      <c r="AM485" s="111"/>
      <c r="AN485" s="111"/>
      <c r="AQ485" s="120"/>
      <c r="AR485" s="120"/>
      <c r="AS485" s="120"/>
      <c r="AT485" s="120"/>
      <c r="AU485" s="120"/>
      <c r="AV485" s="120"/>
      <c r="AW485" s="120"/>
      <c r="AX485" s="120"/>
      <c r="AY485" s="120"/>
      <c r="AZ485" s="120"/>
      <c r="BA485" s="120">
        <v>7.3327631770436054E-3</v>
      </c>
      <c r="BB485" s="120">
        <v>8.0533782512325781E-3</v>
      </c>
      <c r="BC485" s="120">
        <v>9.495821266831822E-3</v>
      </c>
      <c r="BE485" s="120">
        <v>0.19214967687328799</v>
      </c>
      <c r="BF485" s="120">
        <v>0.19729397714774397</v>
      </c>
      <c r="BG485" s="120">
        <v>0.19269102991161588</v>
      </c>
      <c r="BH485" s="120">
        <v>0.18957651537986114</v>
      </c>
      <c r="BI485" s="120">
        <v>0.18350007699225174</v>
      </c>
      <c r="BJ485" s="120">
        <v>0.17746471048999363</v>
      </c>
      <c r="BK485" s="120">
        <v>0.18133023025235212</v>
      </c>
      <c r="BL485" s="120">
        <v>0.15694141607175205</v>
      </c>
      <c r="BM485" s="120">
        <v>0.15983563461219524</v>
      </c>
      <c r="BN485" s="120">
        <v>0.15613260385121647</v>
      </c>
      <c r="BO485" s="120">
        <v>0.14934788493325085</v>
      </c>
      <c r="BP485" s="120">
        <v>0.14000756381670462</v>
      </c>
      <c r="BQ485" s="120">
        <v>0.1245404080205345</v>
      </c>
    </row>
    <row r="486" spans="14:69" ht="12.75" x14ac:dyDescent="0.2">
      <c r="N486" s="153"/>
      <c r="O486" s="153"/>
      <c r="P486" s="153"/>
      <c r="Q486" s="153"/>
      <c r="R486" s="129"/>
      <c r="S486" s="150"/>
      <c r="T486" s="150"/>
      <c r="U486" s="150"/>
      <c r="V486" s="150"/>
      <c r="W486" s="150"/>
      <c r="X486" s="150"/>
      <c r="Y486" s="150"/>
      <c r="Z486" s="150"/>
      <c r="AB486" s="111"/>
      <c r="AC486" s="111"/>
      <c r="AD486" s="111"/>
      <c r="AE486" s="111"/>
      <c r="AF486" s="111"/>
      <c r="AG486" s="111"/>
      <c r="AH486" s="111"/>
      <c r="AI486" s="111"/>
      <c r="AJ486" s="111"/>
      <c r="AK486" s="111"/>
      <c r="AL486" s="111"/>
      <c r="AM486" s="111"/>
      <c r="AN486" s="111"/>
      <c r="AQ486" s="120"/>
      <c r="AR486" s="120"/>
      <c r="AS486" s="120"/>
      <c r="AT486" s="120"/>
      <c r="AU486" s="120"/>
      <c r="AV486" s="120"/>
      <c r="AW486" s="120"/>
      <c r="AX486" s="120"/>
      <c r="AY486" s="120"/>
      <c r="AZ486" s="120"/>
      <c r="BA486" s="120">
        <v>6.5488796790777442E-3</v>
      </c>
      <c r="BB486" s="120">
        <v>7.0792901223654461E-3</v>
      </c>
      <c r="BC486" s="120">
        <v>9.005646622467587E-3</v>
      </c>
      <c r="BE486" s="120">
        <v>0.19413084967749153</v>
      </c>
      <c r="BF486" s="120">
        <v>0.17316531422078604</v>
      </c>
      <c r="BG486" s="120">
        <v>0.17771067403943855</v>
      </c>
      <c r="BH486" s="120">
        <v>0.16637489520906504</v>
      </c>
      <c r="BI486" s="120">
        <v>0.16663208540655305</v>
      </c>
      <c r="BJ486" s="120">
        <v>0.16689748026283732</v>
      </c>
      <c r="BK486" s="120">
        <v>0.16308694921857264</v>
      </c>
      <c r="BL486" s="120">
        <v>0.16843397197670743</v>
      </c>
      <c r="BM486" s="120">
        <v>0.15520735589746726</v>
      </c>
      <c r="BN486" s="120">
        <v>0.14927347188277351</v>
      </c>
      <c r="BO486" s="120">
        <v>0.13440982367553583</v>
      </c>
      <c r="BP486" s="120">
        <v>0.12378346317730657</v>
      </c>
      <c r="BQ486" s="120">
        <v>0.11880217901646982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3"/>
  <dimension ref="A2:BD125"/>
  <sheetViews>
    <sheetView tabSelected="1" topLeftCell="W5" workbookViewId="0">
      <selection activeCell="AP19" sqref="AP19"/>
    </sheetView>
  </sheetViews>
  <sheetFormatPr defaultRowHeight="11.25" x14ac:dyDescent="0.2"/>
  <cols>
    <col min="29" max="29" width="10.1640625" customWidth="1"/>
    <col min="36" max="36" width="20.6640625" customWidth="1"/>
    <col min="37" max="37" width="13.5" customWidth="1"/>
  </cols>
  <sheetData>
    <row r="2" spans="2:48" x14ac:dyDescent="0.2">
      <c r="C2" s="105" t="s">
        <v>25</v>
      </c>
      <c r="D2" s="105" t="s">
        <v>157</v>
      </c>
      <c r="E2" s="105" t="s">
        <v>99</v>
      </c>
      <c r="F2" s="105" t="s">
        <v>101</v>
      </c>
      <c r="G2" s="105" t="s">
        <v>102</v>
      </c>
      <c r="H2" s="105" t="s">
        <v>103</v>
      </c>
      <c r="I2" s="105" t="s">
        <v>104</v>
      </c>
      <c r="J2" s="105" t="s">
        <v>105</v>
      </c>
      <c r="K2" s="105" t="s">
        <v>106</v>
      </c>
      <c r="L2" s="105" t="s">
        <v>79</v>
      </c>
      <c r="M2" s="105" t="s">
        <v>107</v>
      </c>
      <c r="N2" s="105" t="s">
        <v>108</v>
      </c>
      <c r="O2" s="105" t="s">
        <v>109</v>
      </c>
      <c r="P2" s="105" t="s">
        <v>110</v>
      </c>
      <c r="T2" s="105" t="s">
        <v>25</v>
      </c>
      <c r="U2" s="105" t="s">
        <v>157</v>
      </c>
      <c r="V2" s="105" t="s">
        <v>99</v>
      </c>
      <c r="W2" s="105" t="s">
        <v>101</v>
      </c>
      <c r="X2" s="105" t="s">
        <v>102</v>
      </c>
      <c r="Y2" s="105" t="s">
        <v>103</v>
      </c>
      <c r="Z2" s="105" t="s">
        <v>104</v>
      </c>
      <c r="AA2" s="105" t="s">
        <v>105</v>
      </c>
      <c r="AB2" s="105" t="s">
        <v>106</v>
      </c>
      <c r="AC2" s="105" t="s">
        <v>79</v>
      </c>
      <c r="AD2" s="105" t="s">
        <v>107</v>
      </c>
      <c r="AE2" s="105" t="s">
        <v>108</v>
      </c>
      <c r="AF2" s="105" t="s">
        <v>109</v>
      </c>
      <c r="AG2" s="105" t="s">
        <v>110</v>
      </c>
    </row>
    <row r="3" spans="2:48" ht="12.75" x14ac:dyDescent="0.2">
      <c r="B3" s="105" t="s">
        <v>95</v>
      </c>
      <c r="C3" s="270">
        <v>13.6</v>
      </c>
      <c r="D3" s="270">
        <v>15.2</v>
      </c>
      <c r="E3" s="270">
        <v>19.3</v>
      </c>
      <c r="F3" s="270">
        <v>23.1</v>
      </c>
      <c r="G3" s="270">
        <v>27.1</v>
      </c>
      <c r="H3" s="270">
        <v>30.8</v>
      </c>
      <c r="I3" s="270">
        <v>34.4</v>
      </c>
      <c r="J3" s="270">
        <v>37.6</v>
      </c>
      <c r="K3" s="270">
        <v>40.799999999999997</v>
      </c>
      <c r="L3" s="270">
        <v>43.3</v>
      </c>
      <c r="M3" s="270">
        <v>49.8</v>
      </c>
      <c r="N3" s="270">
        <v>53.9</v>
      </c>
      <c r="O3" s="270">
        <v>57.2</v>
      </c>
      <c r="P3" s="270">
        <v>59.1</v>
      </c>
      <c r="S3" s="105" t="s">
        <v>95</v>
      </c>
      <c r="T3" s="110">
        <f>C3/10000</f>
        <v>1.3599999999999999E-3</v>
      </c>
      <c r="U3" s="110">
        <f t="shared" ref="U3:U23" si="0">D3/10000</f>
        <v>1.5199999999999999E-3</v>
      </c>
      <c r="V3" s="110">
        <f t="shared" ref="V3:V23" si="1">E3/10000</f>
        <v>1.9300000000000001E-3</v>
      </c>
      <c r="W3" s="110">
        <f t="shared" ref="W3:W23" si="2">F3/10000</f>
        <v>2.31E-3</v>
      </c>
      <c r="X3" s="110">
        <f t="shared" ref="X3:X23" si="3">G3/10000</f>
        <v>2.7100000000000002E-3</v>
      </c>
      <c r="Y3" s="110">
        <f t="shared" ref="Y3:Y23" si="4">H3/10000</f>
        <v>3.0800000000000003E-3</v>
      </c>
      <c r="Z3" s="110">
        <f t="shared" ref="Z3:Z23" si="5">I3/10000</f>
        <v>3.4399999999999999E-3</v>
      </c>
      <c r="AA3" s="110">
        <f t="shared" ref="AA3:AA23" si="6">J3/10000</f>
        <v>3.7600000000000003E-3</v>
      </c>
      <c r="AB3" s="110">
        <f t="shared" ref="AB3:AB23" si="7">K3/10000</f>
        <v>4.0799999999999994E-3</v>
      </c>
      <c r="AC3" s="110">
        <f t="shared" ref="AC3:AC23" si="8">L3/10000</f>
        <v>4.3299999999999996E-3</v>
      </c>
      <c r="AD3" s="110">
        <f t="shared" ref="AD3:AD23" si="9">M3/10000</f>
        <v>4.9800000000000001E-3</v>
      </c>
      <c r="AE3" s="110">
        <f t="shared" ref="AE3:AE23" si="10">N3/10000</f>
        <v>5.3899999999999998E-3</v>
      </c>
      <c r="AF3" s="110">
        <f t="shared" ref="AF3:AF23" si="11">O3/10000</f>
        <v>5.7200000000000003E-3</v>
      </c>
      <c r="AG3" s="110">
        <f t="shared" ref="AG3:AG23" si="12">P3/10000</f>
        <v>5.9100000000000003E-3</v>
      </c>
      <c r="AJ3" t="s">
        <v>1545</v>
      </c>
      <c r="AK3" t="str">
        <f>_xll.qlSwaptionVTSMatrix(,Calendar,"Modified Following",S3:S23,T2:AG2,T3:AG23)</f>
        <v>obj_00027#0007</v>
      </c>
    </row>
    <row r="4" spans="2:48" ht="12.75" x14ac:dyDescent="0.2">
      <c r="B4" s="105" t="s">
        <v>96</v>
      </c>
      <c r="C4" s="270">
        <v>15.2</v>
      </c>
      <c r="D4" s="270">
        <v>16.5</v>
      </c>
      <c r="E4" s="270">
        <v>21.3</v>
      </c>
      <c r="F4" s="270">
        <v>26.3</v>
      </c>
      <c r="G4" s="270">
        <v>29.7</v>
      </c>
      <c r="H4" s="270">
        <v>33.9</v>
      </c>
      <c r="I4" s="270">
        <v>38.4</v>
      </c>
      <c r="J4" s="270">
        <v>41.2</v>
      </c>
      <c r="K4" s="270">
        <v>44.2</v>
      </c>
      <c r="L4" s="270">
        <v>46.9</v>
      </c>
      <c r="M4" s="270">
        <v>53.9</v>
      </c>
      <c r="N4" s="270">
        <v>58.4</v>
      </c>
      <c r="O4" s="270">
        <v>61.1</v>
      </c>
      <c r="P4" s="270">
        <v>63</v>
      </c>
      <c r="S4" s="105" t="s">
        <v>96</v>
      </c>
      <c r="T4" s="110">
        <f t="shared" ref="T4:T23" si="13">C4/10000</f>
        <v>1.5199999999999999E-3</v>
      </c>
      <c r="U4" s="110">
        <f t="shared" si="0"/>
        <v>1.65E-3</v>
      </c>
      <c r="V4" s="110">
        <f t="shared" si="1"/>
        <v>2.1299999999999999E-3</v>
      </c>
      <c r="W4" s="110">
        <f t="shared" si="2"/>
        <v>2.63E-3</v>
      </c>
      <c r="X4" s="110">
        <f t="shared" si="3"/>
        <v>2.97E-3</v>
      </c>
      <c r="Y4" s="110">
        <f t="shared" si="4"/>
        <v>3.3899999999999998E-3</v>
      </c>
      <c r="Z4" s="110">
        <f t="shared" si="5"/>
        <v>3.8399999999999997E-3</v>
      </c>
      <c r="AA4" s="110">
        <f t="shared" si="6"/>
        <v>4.1200000000000004E-3</v>
      </c>
      <c r="AB4" s="110">
        <f t="shared" si="7"/>
        <v>4.4200000000000003E-3</v>
      </c>
      <c r="AC4" s="110">
        <f t="shared" si="8"/>
        <v>4.6899999999999997E-3</v>
      </c>
      <c r="AD4" s="110">
        <f t="shared" si="9"/>
        <v>5.3899999999999998E-3</v>
      </c>
      <c r="AE4" s="110">
        <f t="shared" si="10"/>
        <v>5.8399999999999997E-3</v>
      </c>
      <c r="AF4" s="110">
        <f t="shared" si="11"/>
        <v>6.11E-3</v>
      </c>
      <c r="AG4" s="110">
        <f t="shared" si="12"/>
        <v>6.3E-3</v>
      </c>
      <c r="AK4" t="str">
        <f>_xll.ohRangeRetrieveError(AK3)</f>
        <v/>
      </c>
    </row>
    <row r="5" spans="2:48" ht="12.75" x14ac:dyDescent="0.2">
      <c r="B5" s="105" t="s">
        <v>97</v>
      </c>
      <c r="C5" s="270">
        <v>15.8</v>
      </c>
      <c r="D5" s="270">
        <v>17.3</v>
      </c>
      <c r="E5" s="270">
        <v>21.7</v>
      </c>
      <c r="F5" s="270">
        <v>26.1</v>
      </c>
      <c r="G5" s="270">
        <v>30.8</v>
      </c>
      <c r="H5" s="270">
        <v>34.799999999999997</v>
      </c>
      <c r="I5" s="270">
        <v>38.9</v>
      </c>
      <c r="J5" s="270">
        <v>42.2</v>
      </c>
      <c r="K5" s="270">
        <v>45.7</v>
      </c>
      <c r="L5" s="270">
        <v>48</v>
      </c>
      <c r="M5" s="270">
        <v>55.4</v>
      </c>
      <c r="N5" s="270">
        <v>59.9</v>
      </c>
      <c r="O5" s="270">
        <v>62.2</v>
      </c>
      <c r="P5" s="270">
        <v>64.3</v>
      </c>
      <c r="S5" s="105" t="s">
        <v>97</v>
      </c>
      <c r="T5" s="110">
        <f t="shared" si="13"/>
        <v>1.58E-3</v>
      </c>
      <c r="U5" s="110">
        <f t="shared" si="0"/>
        <v>1.73E-3</v>
      </c>
      <c r="V5" s="110">
        <f t="shared" si="1"/>
        <v>2.1700000000000001E-3</v>
      </c>
      <c r="W5" s="110">
        <f t="shared" si="2"/>
        <v>2.6100000000000003E-3</v>
      </c>
      <c r="X5" s="110">
        <f t="shared" si="3"/>
        <v>3.0800000000000003E-3</v>
      </c>
      <c r="Y5" s="110">
        <f t="shared" si="4"/>
        <v>3.4799999999999996E-3</v>
      </c>
      <c r="Z5" s="110">
        <f t="shared" si="5"/>
        <v>3.8899999999999998E-3</v>
      </c>
      <c r="AA5" s="110">
        <f t="shared" si="6"/>
        <v>4.2200000000000007E-3</v>
      </c>
      <c r="AB5" s="110">
        <f t="shared" si="7"/>
        <v>4.5700000000000003E-3</v>
      </c>
      <c r="AC5" s="110">
        <f t="shared" si="8"/>
        <v>4.7999999999999996E-3</v>
      </c>
      <c r="AD5" s="110">
        <f t="shared" si="9"/>
        <v>5.5399999999999998E-3</v>
      </c>
      <c r="AE5" s="110">
        <f t="shared" si="10"/>
        <v>5.9899999999999997E-3</v>
      </c>
      <c r="AF5" s="110">
        <f t="shared" si="11"/>
        <v>6.2200000000000007E-3</v>
      </c>
      <c r="AG5" s="110">
        <f t="shared" si="12"/>
        <v>6.43E-3</v>
      </c>
      <c r="AP5" s="13">
        <v>0.03</v>
      </c>
      <c r="AQ5" s="13">
        <v>0.03</v>
      </c>
      <c r="AR5" s="13">
        <v>0.03</v>
      </c>
      <c r="AS5" s="13">
        <v>0.03</v>
      </c>
      <c r="AT5" s="13">
        <v>0.03</v>
      </c>
      <c r="AU5" s="13">
        <v>0.03</v>
      </c>
      <c r="AV5" s="13">
        <v>0.03</v>
      </c>
    </row>
    <row r="6" spans="2:48" ht="12.75" x14ac:dyDescent="0.2">
      <c r="B6" s="105" t="s">
        <v>38</v>
      </c>
      <c r="C6" s="270">
        <v>17.899999999999999</v>
      </c>
      <c r="D6" s="270">
        <v>20.2</v>
      </c>
      <c r="E6" s="270">
        <v>23.8</v>
      </c>
      <c r="F6" s="270">
        <v>28.9</v>
      </c>
      <c r="G6" s="270">
        <v>34.4</v>
      </c>
      <c r="H6" s="270">
        <v>38.5</v>
      </c>
      <c r="I6" s="270">
        <v>42.3</v>
      </c>
      <c r="J6" s="270">
        <v>45.2</v>
      </c>
      <c r="K6" s="270">
        <v>48.2</v>
      </c>
      <c r="L6" s="270">
        <v>51.1</v>
      </c>
      <c r="M6" s="270">
        <v>58.2</v>
      </c>
      <c r="N6" s="270">
        <v>61.8</v>
      </c>
      <c r="O6" s="270">
        <v>63.4</v>
      </c>
      <c r="P6" s="270">
        <v>64.7</v>
      </c>
      <c r="S6" s="105" t="s">
        <v>38</v>
      </c>
      <c r="T6" s="110">
        <f t="shared" si="13"/>
        <v>1.7899999999999999E-3</v>
      </c>
      <c r="U6" s="110">
        <f t="shared" si="0"/>
        <v>2.0200000000000001E-3</v>
      </c>
      <c r="V6" s="110">
        <f t="shared" si="1"/>
        <v>2.3800000000000002E-3</v>
      </c>
      <c r="W6" s="110">
        <f t="shared" si="2"/>
        <v>2.8899999999999998E-3</v>
      </c>
      <c r="X6" s="110">
        <f t="shared" si="3"/>
        <v>3.4399999999999999E-3</v>
      </c>
      <c r="Y6" s="110">
        <f t="shared" si="4"/>
        <v>3.8500000000000001E-3</v>
      </c>
      <c r="Z6" s="110">
        <f t="shared" si="5"/>
        <v>4.2299999999999994E-3</v>
      </c>
      <c r="AA6" s="110">
        <f t="shared" si="6"/>
        <v>4.5200000000000006E-3</v>
      </c>
      <c r="AB6" s="110">
        <f t="shared" si="7"/>
        <v>4.8200000000000005E-3</v>
      </c>
      <c r="AC6" s="110">
        <f t="shared" si="8"/>
        <v>5.11E-3</v>
      </c>
      <c r="AD6" s="110">
        <f t="shared" si="9"/>
        <v>5.8200000000000005E-3</v>
      </c>
      <c r="AE6" s="110">
        <f t="shared" si="10"/>
        <v>6.1799999999999997E-3</v>
      </c>
      <c r="AF6" s="110">
        <f t="shared" si="11"/>
        <v>6.3400000000000001E-3</v>
      </c>
      <c r="AG6" s="110">
        <f t="shared" si="12"/>
        <v>6.4700000000000001E-3</v>
      </c>
      <c r="AJ6" t="s">
        <v>1546</v>
      </c>
      <c r="AK6">
        <f>_xll.qlSwaptionVTSVolatility(AK3,"10Y","10Y",0.02)</f>
        <v>6.6500274725274722E-3</v>
      </c>
      <c r="AP6" s="13">
        <v>0.03</v>
      </c>
      <c r="AQ6" s="13">
        <v>0.03</v>
      </c>
      <c r="AR6" s="13">
        <v>0.03</v>
      </c>
      <c r="AS6" s="13">
        <v>0.03</v>
      </c>
      <c r="AT6" s="13">
        <v>0.03</v>
      </c>
      <c r="AU6" s="13">
        <v>0.03</v>
      </c>
      <c r="AV6" s="13">
        <v>0.03</v>
      </c>
    </row>
    <row r="7" spans="2:48" ht="12.75" x14ac:dyDescent="0.2">
      <c r="B7" s="105" t="s">
        <v>152</v>
      </c>
      <c r="C7" s="270">
        <v>18.8</v>
      </c>
      <c r="D7" s="270">
        <v>21.9</v>
      </c>
      <c r="E7" s="270">
        <v>25.3</v>
      </c>
      <c r="F7" s="270">
        <v>31.2</v>
      </c>
      <c r="G7" s="270">
        <v>35.9</v>
      </c>
      <c r="H7" s="270">
        <v>40.299999999999997</v>
      </c>
      <c r="I7" s="270">
        <v>44.2</v>
      </c>
      <c r="J7" s="270">
        <v>47.5</v>
      </c>
      <c r="K7" s="270">
        <v>50.5</v>
      </c>
      <c r="L7" s="270">
        <v>53.2</v>
      </c>
      <c r="M7" s="270">
        <v>59.3</v>
      </c>
      <c r="N7" s="270">
        <v>62.5</v>
      </c>
      <c r="O7" s="270">
        <v>63.8</v>
      </c>
      <c r="P7" s="270">
        <v>64.7</v>
      </c>
      <c r="S7" s="105" t="s">
        <v>152</v>
      </c>
      <c r="T7" s="110">
        <f t="shared" si="13"/>
        <v>1.8800000000000002E-3</v>
      </c>
      <c r="U7" s="110">
        <f t="shared" si="0"/>
        <v>2.1899999999999997E-3</v>
      </c>
      <c r="V7" s="110">
        <f t="shared" si="1"/>
        <v>2.5300000000000001E-3</v>
      </c>
      <c r="W7" s="110">
        <f t="shared" si="2"/>
        <v>3.1199999999999999E-3</v>
      </c>
      <c r="X7" s="110">
        <f t="shared" si="3"/>
        <v>3.5899999999999999E-3</v>
      </c>
      <c r="Y7" s="110">
        <f t="shared" si="4"/>
        <v>4.0299999999999997E-3</v>
      </c>
      <c r="Z7" s="110">
        <f t="shared" si="5"/>
        <v>4.4200000000000003E-3</v>
      </c>
      <c r="AA7" s="110">
        <f t="shared" si="6"/>
        <v>4.7499999999999999E-3</v>
      </c>
      <c r="AB7" s="110">
        <f t="shared" si="7"/>
        <v>5.0499999999999998E-3</v>
      </c>
      <c r="AC7" s="110">
        <f t="shared" si="8"/>
        <v>5.3200000000000001E-3</v>
      </c>
      <c r="AD7" s="110">
        <f t="shared" si="9"/>
        <v>5.9299999999999995E-3</v>
      </c>
      <c r="AE7" s="110">
        <f t="shared" si="10"/>
        <v>6.2500000000000003E-3</v>
      </c>
      <c r="AF7" s="110">
        <f t="shared" si="11"/>
        <v>6.3799999999999994E-3</v>
      </c>
      <c r="AG7" s="110">
        <f t="shared" si="12"/>
        <v>6.4700000000000001E-3</v>
      </c>
      <c r="AK7" t="str">
        <f>_xll.ohRangeRetrieveError(AK6)</f>
        <v/>
      </c>
      <c r="AP7" s="13">
        <v>0.03</v>
      </c>
      <c r="AQ7" s="13">
        <v>0.03</v>
      </c>
      <c r="AR7" s="13">
        <v>0.03</v>
      </c>
      <c r="AS7" s="13">
        <v>0.03</v>
      </c>
      <c r="AT7" s="13">
        <v>0.03</v>
      </c>
      <c r="AU7" s="13">
        <v>0.03</v>
      </c>
      <c r="AV7" s="13">
        <v>0.03</v>
      </c>
    </row>
    <row r="8" spans="2:48" ht="12.75" x14ac:dyDescent="0.2">
      <c r="B8" s="105" t="s">
        <v>25</v>
      </c>
      <c r="C8" s="270">
        <v>21.3</v>
      </c>
      <c r="D8" s="270">
        <v>24.2</v>
      </c>
      <c r="E8" s="270">
        <v>28</v>
      </c>
      <c r="F8" s="270">
        <v>32.9</v>
      </c>
      <c r="G8" s="270">
        <v>37.799999999999997</v>
      </c>
      <c r="H8" s="270">
        <v>41.5</v>
      </c>
      <c r="I8" s="270">
        <v>45.6</v>
      </c>
      <c r="J8" s="270">
        <v>49.2</v>
      </c>
      <c r="K8" s="270">
        <v>52</v>
      </c>
      <c r="L8" s="270">
        <v>54.5</v>
      </c>
      <c r="M8" s="270">
        <v>59.9</v>
      </c>
      <c r="N8" s="270">
        <v>62.7</v>
      </c>
      <c r="O8" s="270">
        <v>63.8</v>
      </c>
      <c r="P8" s="270">
        <v>64.400000000000006</v>
      </c>
      <c r="S8" s="105" t="s">
        <v>25</v>
      </c>
      <c r="T8" s="110">
        <f t="shared" si="13"/>
        <v>2.1299999999999999E-3</v>
      </c>
      <c r="U8" s="110">
        <f t="shared" si="0"/>
        <v>2.4199999999999998E-3</v>
      </c>
      <c r="V8" s="110">
        <f t="shared" si="1"/>
        <v>2.8E-3</v>
      </c>
      <c r="W8" s="110">
        <f t="shared" si="2"/>
        <v>3.29E-3</v>
      </c>
      <c r="X8" s="110">
        <f t="shared" si="3"/>
        <v>3.7799999999999995E-3</v>
      </c>
      <c r="Y8" s="110">
        <f t="shared" si="4"/>
        <v>4.15E-3</v>
      </c>
      <c r="Z8" s="110">
        <f t="shared" si="5"/>
        <v>4.5599999999999998E-3</v>
      </c>
      <c r="AA8" s="110">
        <f t="shared" si="6"/>
        <v>4.9199999999999999E-3</v>
      </c>
      <c r="AB8" s="110">
        <f t="shared" si="7"/>
        <v>5.1999999999999998E-3</v>
      </c>
      <c r="AC8" s="110">
        <f t="shared" si="8"/>
        <v>5.45E-3</v>
      </c>
      <c r="AD8" s="110">
        <f t="shared" si="9"/>
        <v>5.9899999999999997E-3</v>
      </c>
      <c r="AE8" s="110">
        <f t="shared" si="10"/>
        <v>6.2700000000000004E-3</v>
      </c>
      <c r="AF8" s="110">
        <f t="shared" si="11"/>
        <v>6.3799999999999994E-3</v>
      </c>
      <c r="AG8" s="110">
        <f t="shared" si="12"/>
        <v>6.4400000000000004E-3</v>
      </c>
      <c r="AP8" s="13">
        <v>0.03</v>
      </c>
      <c r="AQ8" s="13">
        <v>0.03</v>
      </c>
      <c r="AR8" s="13">
        <v>0.03</v>
      </c>
      <c r="AS8" s="13">
        <v>0.03</v>
      </c>
      <c r="AT8" s="13">
        <v>0.03</v>
      </c>
      <c r="AU8" s="13">
        <v>0.03</v>
      </c>
      <c r="AV8" s="13">
        <v>0.03</v>
      </c>
    </row>
    <row r="9" spans="2:48" ht="12.75" x14ac:dyDescent="0.2">
      <c r="B9" s="105" t="s">
        <v>156</v>
      </c>
      <c r="C9" s="270">
        <v>25.4</v>
      </c>
      <c r="D9" s="270">
        <v>28.3</v>
      </c>
      <c r="E9" s="270">
        <v>32.4</v>
      </c>
      <c r="F9" s="270">
        <v>36.200000000000003</v>
      </c>
      <c r="G9" s="270">
        <v>40.799999999999997</v>
      </c>
      <c r="H9" s="270">
        <v>44.3</v>
      </c>
      <c r="I9" s="270">
        <v>48.3</v>
      </c>
      <c r="J9" s="270">
        <v>51.8</v>
      </c>
      <c r="K9" s="270">
        <v>54.2</v>
      </c>
      <c r="L9" s="270">
        <v>56.5</v>
      </c>
      <c r="M9" s="270">
        <v>60.7</v>
      </c>
      <c r="N9" s="270">
        <v>62.5</v>
      </c>
      <c r="O9" s="270">
        <v>63.6</v>
      </c>
      <c r="P9" s="270">
        <v>64.099999999999994</v>
      </c>
      <c r="S9" s="105" t="s">
        <v>156</v>
      </c>
      <c r="T9" s="110">
        <f t="shared" si="13"/>
        <v>2.5399999999999997E-3</v>
      </c>
      <c r="U9" s="110">
        <f t="shared" si="0"/>
        <v>2.8300000000000001E-3</v>
      </c>
      <c r="V9" s="110">
        <f t="shared" si="1"/>
        <v>3.2399999999999998E-3</v>
      </c>
      <c r="W9" s="110">
        <f t="shared" si="2"/>
        <v>3.6200000000000004E-3</v>
      </c>
      <c r="X9" s="110">
        <f t="shared" si="3"/>
        <v>4.0799999999999994E-3</v>
      </c>
      <c r="Y9" s="110">
        <f t="shared" si="4"/>
        <v>4.4299999999999999E-3</v>
      </c>
      <c r="Z9" s="110">
        <f t="shared" si="5"/>
        <v>4.8300000000000001E-3</v>
      </c>
      <c r="AA9" s="110">
        <f t="shared" si="6"/>
        <v>5.1799999999999997E-3</v>
      </c>
      <c r="AB9" s="110">
        <f t="shared" si="7"/>
        <v>5.4200000000000003E-3</v>
      </c>
      <c r="AC9" s="110">
        <f t="shared" si="8"/>
        <v>5.6499999999999996E-3</v>
      </c>
      <c r="AD9" s="110">
        <f t="shared" si="9"/>
        <v>6.0699999999999999E-3</v>
      </c>
      <c r="AE9" s="110">
        <f t="shared" si="10"/>
        <v>6.2500000000000003E-3</v>
      </c>
      <c r="AF9" s="110">
        <f t="shared" si="11"/>
        <v>6.3600000000000002E-3</v>
      </c>
      <c r="AG9" s="110">
        <f t="shared" si="12"/>
        <v>6.409999999999999E-3</v>
      </c>
      <c r="AJ9" s="106" t="s">
        <v>1552</v>
      </c>
      <c r="AP9" s="13">
        <v>0.03</v>
      </c>
      <c r="AQ9" s="13">
        <v>0.03</v>
      </c>
      <c r="AR9" s="13">
        <v>0.03</v>
      </c>
      <c r="AS9" s="13">
        <v>0.03</v>
      </c>
      <c r="AT9" s="13">
        <v>0.03</v>
      </c>
      <c r="AU9" s="13">
        <v>0.03</v>
      </c>
      <c r="AV9" s="13">
        <v>0.03</v>
      </c>
    </row>
    <row r="10" spans="2:48" ht="12.75" x14ac:dyDescent="0.2">
      <c r="B10" s="105" t="s">
        <v>157</v>
      </c>
      <c r="C10" s="270">
        <v>29.4</v>
      </c>
      <c r="D10" s="270">
        <v>33</v>
      </c>
      <c r="E10" s="270">
        <v>37.200000000000003</v>
      </c>
      <c r="F10" s="270">
        <v>40.4</v>
      </c>
      <c r="G10" s="270">
        <v>44.4</v>
      </c>
      <c r="H10" s="270">
        <v>47.9</v>
      </c>
      <c r="I10" s="270">
        <v>51.4</v>
      </c>
      <c r="J10" s="270">
        <v>54.3</v>
      </c>
      <c r="K10" s="270">
        <v>56.6</v>
      </c>
      <c r="L10" s="270">
        <v>58.7</v>
      </c>
      <c r="M10" s="270">
        <v>62</v>
      </c>
      <c r="N10" s="270">
        <v>63.3</v>
      </c>
      <c r="O10" s="270">
        <v>64</v>
      </c>
      <c r="P10" s="270">
        <v>64.2</v>
      </c>
      <c r="S10" s="105" t="s">
        <v>157</v>
      </c>
      <c r="T10" s="110">
        <f t="shared" si="13"/>
        <v>2.9399999999999999E-3</v>
      </c>
      <c r="U10" s="110">
        <f t="shared" si="0"/>
        <v>3.3E-3</v>
      </c>
      <c r="V10" s="110">
        <f t="shared" si="1"/>
        <v>3.7200000000000002E-3</v>
      </c>
      <c r="W10" s="110">
        <f t="shared" si="2"/>
        <v>4.0400000000000002E-3</v>
      </c>
      <c r="X10" s="110">
        <f t="shared" si="3"/>
        <v>4.4399999999999995E-3</v>
      </c>
      <c r="Y10" s="110">
        <f t="shared" si="4"/>
        <v>4.79E-3</v>
      </c>
      <c r="Z10" s="110">
        <f t="shared" si="5"/>
        <v>5.1399999999999996E-3</v>
      </c>
      <c r="AA10" s="110">
        <f t="shared" si="6"/>
        <v>5.4299999999999999E-3</v>
      </c>
      <c r="AB10" s="110">
        <f t="shared" si="7"/>
        <v>5.6600000000000001E-3</v>
      </c>
      <c r="AC10" s="110">
        <f t="shared" si="8"/>
        <v>5.8700000000000002E-3</v>
      </c>
      <c r="AD10" s="110">
        <f t="shared" si="9"/>
        <v>6.1999999999999998E-3</v>
      </c>
      <c r="AE10" s="110">
        <f t="shared" si="10"/>
        <v>6.3299999999999997E-3</v>
      </c>
      <c r="AF10" s="110">
        <f t="shared" si="11"/>
        <v>6.4000000000000003E-3</v>
      </c>
      <c r="AG10" s="110">
        <f t="shared" si="12"/>
        <v>6.4200000000000004E-3</v>
      </c>
      <c r="AK10" s="105" t="str">
        <f>_xll.qlRelinkableHandleSwaptionVolatilityStructure(,AK3)</f>
        <v>obj_00028#0006</v>
      </c>
      <c r="AL10" t="str">
        <f>_xll.qlRelinkableHandleSwaptionVolatilityStructure(,AK3)</f>
        <v>obj_00029#0006</v>
      </c>
      <c r="AP10" s="13">
        <v>0.03</v>
      </c>
      <c r="AQ10" s="13">
        <v>0.03</v>
      </c>
      <c r="AR10" s="13">
        <v>0.03</v>
      </c>
      <c r="AS10" s="13">
        <v>0.03</v>
      </c>
      <c r="AT10" s="13">
        <v>0.03</v>
      </c>
      <c r="AU10" s="13">
        <v>0.03</v>
      </c>
      <c r="AV10" s="13">
        <v>0.03</v>
      </c>
    </row>
    <row r="11" spans="2:48" ht="12.75" x14ac:dyDescent="0.2">
      <c r="B11" s="105" t="s">
        <v>99</v>
      </c>
      <c r="C11" s="270">
        <v>39.4</v>
      </c>
      <c r="D11" s="270">
        <v>42</v>
      </c>
      <c r="E11" s="270">
        <v>44.9</v>
      </c>
      <c r="F11" s="270">
        <v>47.7</v>
      </c>
      <c r="G11" s="270">
        <v>50.7</v>
      </c>
      <c r="H11" s="270">
        <v>53.6</v>
      </c>
      <c r="I11" s="270">
        <v>56.4</v>
      </c>
      <c r="J11" s="270">
        <v>58.6</v>
      </c>
      <c r="K11" s="270">
        <v>60.6</v>
      </c>
      <c r="L11" s="270">
        <v>61.9</v>
      </c>
      <c r="M11" s="270">
        <v>63</v>
      </c>
      <c r="N11" s="270">
        <v>63.5</v>
      </c>
      <c r="O11" s="270">
        <v>63.6</v>
      </c>
      <c r="P11" s="270">
        <v>63.6</v>
      </c>
      <c r="S11" s="105" t="s">
        <v>99</v>
      </c>
      <c r="T11" s="110">
        <f t="shared" si="13"/>
        <v>3.9399999999999999E-3</v>
      </c>
      <c r="U11" s="110">
        <f t="shared" si="0"/>
        <v>4.1999999999999997E-3</v>
      </c>
      <c r="V11" s="110">
        <f t="shared" si="1"/>
        <v>4.4900000000000001E-3</v>
      </c>
      <c r="W11" s="110">
        <f t="shared" si="2"/>
        <v>4.7699999999999999E-3</v>
      </c>
      <c r="X11" s="110">
        <f t="shared" si="3"/>
        <v>5.0699999999999999E-3</v>
      </c>
      <c r="Y11" s="110">
        <f t="shared" si="4"/>
        <v>5.3600000000000002E-3</v>
      </c>
      <c r="Z11" s="110">
        <f t="shared" si="5"/>
        <v>5.64E-3</v>
      </c>
      <c r="AA11" s="110">
        <f t="shared" si="6"/>
        <v>5.8599999999999998E-3</v>
      </c>
      <c r="AB11" s="110">
        <f t="shared" si="7"/>
        <v>6.0600000000000003E-3</v>
      </c>
      <c r="AC11" s="110">
        <f t="shared" si="8"/>
        <v>6.1900000000000002E-3</v>
      </c>
      <c r="AD11" s="110">
        <f t="shared" si="9"/>
        <v>6.3E-3</v>
      </c>
      <c r="AE11" s="110">
        <f t="shared" si="10"/>
        <v>6.3499999999999997E-3</v>
      </c>
      <c r="AF11" s="110">
        <f t="shared" si="11"/>
        <v>6.3600000000000002E-3</v>
      </c>
      <c r="AG11" s="110">
        <f t="shared" si="12"/>
        <v>6.3600000000000002E-3</v>
      </c>
      <c r="AP11" s="13">
        <v>0.03</v>
      </c>
      <c r="AQ11" s="13">
        <v>0.03</v>
      </c>
      <c r="AR11" s="13">
        <v>0.03</v>
      </c>
      <c r="AS11" s="13">
        <v>0.03</v>
      </c>
      <c r="AT11" s="13">
        <v>0.03</v>
      </c>
      <c r="AU11" s="13">
        <v>0.03</v>
      </c>
      <c r="AV11" s="13">
        <v>0.03</v>
      </c>
    </row>
    <row r="12" spans="2:48" ht="12.75" x14ac:dyDescent="0.2">
      <c r="B12" s="105" t="s">
        <v>101</v>
      </c>
      <c r="C12" s="270">
        <v>48.3</v>
      </c>
      <c r="D12" s="270">
        <v>50</v>
      </c>
      <c r="E12" s="270">
        <v>52.1</v>
      </c>
      <c r="F12" s="270">
        <v>54.4</v>
      </c>
      <c r="G12" s="270">
        <v>56.2</v>
      </c>
      <c r="H12" s="270">
        <v>58.1</v>
      </c>
      <c r="I12" s="270">
        <v>59.7</v>
      </c>
      <c r="J12" s="270">
        <v>61.5</v>
      </c>
      <c r="K12" s="270">
        <v>62.7</v>
      </c>
      <c r="L12" s="270">
        <v>64</v>
      </c>
      <c r="M12" s="270">
        <v>63.6</v>
      </c>
      <c r="N12" s="270">
        <v>63.3</v>
      </c>
      <c r="O12" s="270">
        <v>63</v>
      </c>
      <c r="P12" s="270">
        <v>62.8</v>
      </c>
      <c r="S12" s="105" t="s">
        <v>101</v>
      </c>
      <c r="T12" s="110">
        <f t="shared" si="13"/>
        <v>4.8300000000000001E-3</v>
      </c>
      <c r="U12" s="110">
        <f t="shared" si="0"/>
        <v>5.0000000000000001E-3</v>
      </c>
      <c r="V12" s="110">
        <f t="shared" si="1"/>
        <v>5.2100000000000002E-3</v>
      </c>
      <c r="W12" s="110">
        <f t="shared" si="2"/>
        <v>5.4399999999999995E-3</v>
      </c>
      <c r="X12" s="110">
        <f t="shared" si="3"/>
        <v>5.62E-3</v>
      </c>
      <c r="Y12" s="110">
        <f t="shared" si="4"/>
        <v>5.8100000000000001E-3</v>
      </c>
      <c r="Z12" s="110">
        <f t="shared" si="5"/>
        <v>5.9700000000000005E-3</v>
      </c>
      <c r="AA12" s="110">
        <f t="shared" si="6"/>
        <v>6.1500000000000001E-3</v>
      </c>
      <c r="AB12" s="110">
        <f t="shared" si="7"/>
        <v>6.2700000000000004E-3</v>
      </c>
      <c r="AC12" s="110">
        <f t="shared" si="8"/>
        <v>6.4000000000000003E-3</v>
      </c>
      <c r="AD12" s="110">
        <f t="shared" si="9"/>
        <v>6.3600000000000002E-3</v>
      </c>
      <c r="AE12" s="110">
        <f t="shared" si="10"/>
        <v>6.3299999999999997E-3</v>
      </c>
      <c r="AF12" s="110">
        <f t="shared" si="11"/>
        <v>6.3E-3</v>
      </c>
      <c r="AG12" s="110">
        <f t="shared" si="12"/>
        <v>6.28E-3</v>
      </c>
      <c r="AP12" s="13">
        <v>0.03</v>
      </c>
      <c r="AQ12" s="13">
        <v>0.03</v>
      </c>
      <c r="AR12" s="13">
        <v>0.03</v>
      </c>
      <c r="AS12" s="13">
        <v>0.03</v>
      </c>
      <c r="AT12" s="13">
        <v>0.03</v>
      </c>
      <c r="AU12" s="13">
        <v>0.03</v>
      </c>
      <c r="AV12" s="13">
        <v>0.03</v>
      </c>
    </row>
    <row r="13" spans="2:48" ht="12.75" x14ac:dyDescent="0.2">
      <c r="B13" s="105" t="s">
        <v>102</v>
      </c>
      <c r="C13" s="270">
        <v>54.9</v>
      </c>
      <c r="D13" s="270">
        <v>56.2</v>
      </c>
      <c r="E13" s="270">
        <v>57.6</v>
      </c>
      <c r="F13" s="270">
        <v>59.2</v>
      </c>
      <c r="G13" s="270">
        <v>60.3</v>
      </c>
      <c r="H13" s="270">
        <v>61.6</v>
      </c>
      <c r="I13" s="270">
        <v>62.8</v>
      </c>
      <c r="J13" s="270">
        <v>63.7</v>
      </c>
      <c r="K13" s="270">
        <v>64.5</v>
      </c>
      <c r="L13" s="270">
        <v>65.5</v>
      </c>
      <c r="M13" s="270">
        <v>63.8</v>
      </c>
      <c r="N13" s="270">
        <v>62.9</v>
      </c>
      <c r="O13" s="270">
        <v>62.2</v>
      </c>
      <c r="P13" s="270">
        <v>61.8</v>
      </c>
      <c r="S13" s="105" t="s">
        <v>102</v>
      </c>
      <c r="T13" s="110">
        <f t="shared" si="13"/>
        <v>5.4900000000000001E-3</v>
      </c>
      <c r="U13" s="110">
        <f t="shared" si="0"/>
        <v>5.62E-3</v>
      </c>
      <c r="V13" s="110">
        <f t="shared" si="1"/>
        <v>5.7600000000000004E-3</v>
      </c>
      <c r="W13" s="110">
        <f t="shared" si="2"/>
        <v>5.9199999999999999E-3</v>
      </c>
      <c r="X13" s="110">
        <f t="shared" si="3"/>
        <v>6.0299999999999998E-3</v>
      </c>
      <c r="Y13" s="110">
        <f t="shared" si="4"/>
        <v>6.1600000000000005E-3</v>
      </c>
      <c r="Z13" s="110">
        <f t="shared" si="5"/>
        <v>6.28E-3</v>
      </c>
      <c r="AA13" s="110">
        <f t="shared" si="6"/>
        <v>6.3700000000000007E-3</v>
      </c>
      <c r="AB13" s="110">
        <f t="shared" si="7"/>
        <v>6.45E-3</v>
      </c>
      <c r="AC13" s="110">
        <f t="shared" si="8"/>
        <v>6.5500000000000003E-3</v>
      </c>
      <c r="AD13" s="110">
        <f t="shared" si="9"/>
        <v>6.3799999999999994E-3</v>
      </c>
      <c r="AE13" s="110">
        <f t="shared" si="10"/>
        <v>6.2899999999999996E-3</v>
      </c>
      <c r="AF13" s="110">
        <f t="shared" si="11"/>
        <v>6.2200000000000007E-3</v>
      </c>
      <c r="AG13" s="110">
        <f t="shared" si="12"/>
        <v>6.1799999999999997E-3</v>
      </c>
      <c r="AK13">
        <f>_xll.qlSwaptionVTSVolatility(AK10,DATE(2019,5,2),"5Y",0.02)</f>
        <v>4.6091506849315067E-3</v>
      </c>
      <c r="AP13" s="13">
        <v>0.03</v>
      </c>
      <c r="AQ13" s="13">
        <v>0.03</v>
      </c>
      <c r="AR13" s="13">
        <v>0.03</v>
      </c>
      <c r="AS13" s="13">
        <v>0.03</v>
      </c>
      <c r="AT13" s="13">
        <v>0.03</v>
      </c>
      <c r="AU13" s="13">
        <v>0.03</v>
      </c>
      <c r="AV13" s="13">
        <v>0.03</v>
      </c>
    </row>
    <row r="14" spans="2:48" ht="12.75" x14ac:dyDescent="0.2">
      <c r="B14" s="105" t="s">
        <v>103</v>
      </c>
      <c r="C14" s="270">
        <v>59.28</v>
      </c>
      <c r="D14" s="270">
        <v>60.5</v>
      </c>
      <c r="E14" s="270">
        <v>61.4</v>
      </c>
      <c r="F14" s="270">
        <v>62</v>
      </c>
      <c r="G14" s="270">
        <v>62.8</v>
      </c>
      <c r="H14" s="270">
        <v>63.8</v>
      </c>
      <c r="I14" s="270">
        <v>64.400000000000006</v>
      </c>
      <c r="J14" s="270">
        <v>65.2</v>
      </c>
      <c r="K14" s="270">
        <v>65.8</v>
      </c>
      <c r="L14" s="270">
        <v>66.400000000000006</v>
      </c>
      <c r="M14" s="270">
        <v>63.4</v>
      </c>
      <c r="N14" s="270">
        <v>62.2</v>
      </c>
      <c r="O14" s="270">
        <v>61</v>
      </c>
      <c r="P14" s="270">
        <v>60.5</v>
      </c>
      <c r="S14" s="105" t="s">
        <v>103</v>
      </c>
      <c r="T14" s="110">
        <f t="shared" si="13"/>
        <v>5.9280000000000001E-3</v>
      </c>
      <c r="U14" s="110">
        <f t="shared" si="0"/>
        <v>6.0499999999999998E-3</v>
      </c>
      <c r="V14" s="110">
        <f t="shared" si="1"/>
        <v>6.1399999999999996E-3</v>
      </c>
      <c r="W14" s="110">
        <f t="shared" si="2"/>
        <v>6.1999999999999998E-3</v>
      </c>
      <c r="X14" s="110">
        <f t="shared" si="3"/>
        <v>6.28E-3</v>
      </c>
      <c r="Y14" s="110">
        <f t="shared" si="4"/>
        <v>6.3799999999999994E-3</v>
      </c>
      <c r="Z14" s="110">
        <f t="shared" si="5"/>
        <v>6.4400000000000004E-3</v>
      </c>
      <c r="AA14" s="110">
        <f t="shared" si="6"/>
        <v>6.5200000000000006E-3</v>
      </c>
      <c r="AB14" s="110">
        <f t="shared" si="7"/>
        <v>6.5799999999999999E-3</v>
      </c>
      <c r="AC14" s="110">
        <f t="shared" si="8"/>
        <v>6.6400000000000009E-3</v>
      </c>
      <c r="AD14" s="110">
        <f t="shared" si="9"/>
        <v>6.3400000000000001E-3</v>
      </c>
      <c r="AE14" s="110">
        <f t="shared" si="10"/>
        <v>6.2200000000000007E-3</v>
      </c>
      <c r="AF14" s="110">
        <f t="shared" si="11"/>
        <v>6.1000000000000004E-3</v>
      </c>
      <c r="AG14" s="110">
        <f t="shared" si="12"/>
        <v>6.0499999999999998E-3</v>
      </c>
      <c r="AJ14" t="e">
        <f>q</f>
        <v>#NAME?</v>
      </c>
      <c r="AP14" s="13">
        <v>0.03</v>
      </c>
      <c r="AQ14" s="13">
        <v>0.03</v>
      </c>
      <c r="AR14" s="13">
        <v>0.03</v>
      </c>
      <c r="AS14" s="13">
        <v>0.03</v>
      </c>
      <c r="AT14" s="13">
        <v>0.03</v>
      </c>
      <c r="AU14" s="13">
        <v>0.03</v>
      </c>
      <c r="AV14" s="13">
        <v>0.03</v>
      </c>
    </row>
    <row r="15" spans="2:48" ht="12.75" x14ac:dyDescent="0.2">
      <c r="B15" s="105" t="s">
        <v>104</v>
      </c>
      <c r="C15" s="270">
        <v>62.6</v>
      </c>
      <c r="D15" s="270">
        <v>63.4</v>
      </c>
      <c r="E15" s="270">
        <v>64</v>
      </c>
      <c r="F15" s="270">
        <v>64.400000000000006</v>
      </c>
      <c r="G15" s="270">
        <v>65</v>
      </c>
      <c r="H15" s="270">
        <v>65.400000000000006</v>
      </c>
      <c r="I15" s="270">
        <v>65.900000000000006</v>
      </c>
      <c r="J15" s="270">
        <v>66.400000000000006</v>
      </c>
      <c r="K15" s="270">
        <v>66.8</v>
      </c>
      <c r="L15" s="270">
        <v>66.7</v>
      </c>
      <c r="M15" s="270">
        <v>62.9</v>
      </c>
      <c r="N15" s="270">
        <v>61.4</v>
      </c>
      <c r="O15" s="270">
        <v>59.9</v>
      </c>
      <c r="P15" s="270">
        <v>59.2</v>
      </c>
      <c r="S15" s="105" t="s">
        <v>104</v>
      </c>
      <c r="T15" s="110">
        <f t="shared" si="13"/>
        <v>6.2599999999999999E-3</v>
      </c>
      <c r="U15" s="110">
        <f t="shared" si="0"/>
        <v>6.3400000000000001E-3</v>
      </c>
      <c r="V15" s="110">
        <f t="shared" si="1"/>
        <v>6.4000000000000003E-3</v>
      </c>
      <c r="W15" s="110">
        <f t="shared" si="2"/>
        <v>6.4400000000000004E-3</v>
      </c>
      <c r="X15" s="110">
        <f t="shared" si="3"/>
        <v>6.4999999999999997E-3</v>
      </c>
      <c r="Y15" s="110">
        <f t="shared" si="4"/>
        <v>6.5400000000000007E-3</v>
      </c>
      <c r="Z15" s="110">
        <f t="shared" si="5"/>
        <v>6.5900000000000004E-3</v>
      </c>
      <c r="AA15" s="110">
        <f t="shared" si="6"/>
        <v>6.6400000000000009E-3</v>
      </c>
      <c r="AB15" s="110">
        <f t="shared" si="7"/>
        <v>6.6799999999999993E-3</v>
      </c>
      <c r="AC15" s="110">
        <f t="shared" si="8"/>
        <v>6.6700000000000006E-3</v>
      </c>
      <c r="AD15" s="110">
        <f t="shared" si="9"/>
        <v>6.2899999999999996E-3</v>
      </c>
      <c r="AE15" s="110">
        <f t="shared" si="10"/>
        <v>6.1399999999999996E-3</v>
      </c>
      <c r="AF15" s="110">
        <f t="shared" si="11"/>
        <v>5.9899999999999997E-3</v>
      </c>
      <c r="AG15" s="110">
        <f t="shared" si="12"/>
        <v>5.9199999999999999E-3</v>
      </c>
      <c r="AP15" s="13">
        <v>0.03</v>
      </c>
      <c r="AQ15" s="13">
        <v>0.03</v>
      </c>
      <c r="AR15" s="13">
        <v>0.03</v>
      </c>
      <c r="AS15" s="13">
        <v>0.03</v>
      </c>
      <c r="AT15" s="13">
        <v>0.03</v>
      </c>
      <c r="AU15" s="13">
        <v>0.03</v>
      </c>
      <c r="AV15" s="13">
        <v>0.03</v>
      </c>
    </row>
    <row r="16" spans="2:48" ht="12.75" x14ac:dyDescent="0.2">
      <c r="B16" s="105" t="s">
        <v>105</v>
      </c>
      <c r="C16" s="270">
        <v>64.14</v>
      </c>
      <c r="D16" s="270">
        <v>65.400000000000006</v>
      </c>
      <c r="E16" s="270">
        <v>65.400000000000006</v>
      </c>
      <c r="F16" s="270">
        <v>65.599999999999994</v>
      </c>
      <c r="G16" s="270">
        <v>65.8</v>
      </c>
      <c r="H16" s="270">
        <v>66.099999999999994</v>
      </c>
      <c r="I16" s="270">
        <v>66.400000000000006</v>
      </c>
      <c r="J16" s="270">
        <v>66.7</v>
      </c>
      <c r="K16" s="270">
        <v>66.900000000000006</v>
      </c>
      <c r="L16" s="270">
        <v>66.7</v>
      </c>
      <c r="M16" s="270">
        <v>62.5</v>
      </c>
      <c r="N16" s="270">
        <v>60.6</v>
      </c>
      <c r="O16" s="270">
        <v>59.1</v>
      </c>
      <c r="P16" s="270">
        <v>58.2</v>
      </c>
      <c r="S16" s="105" t="s">
        <v>105</v>
      </c>
      <c r="T16" s="110">
        <f t="shared" si="13"/>
        <v>6.4140000000000004E-3</v>
      </c>
      <c r="U16" s="110">
        <f t="shared" si="0"/>
        <v>6.5400000000000007E-3</v>
      </c>
      <c r="V16" s="110">
        <f t="shared" si="1"/>
        <v>6.5400000000000007E-3</v>
      </c>
      <c r="W16" s="110">
        <f t="shared" si="2"/>
        <v>6.5599999999999999E-3</v>
      </c>
      <c r="X16" s="110">
        <f t="shared" si="3"/>
        <v>6.5799999999999999E-3</v>
      </c>
      <c r="Y16" s="110">
        <f t="shared" si="4"/>
        <v>6.6099999999999996E-3</v>
      </c>
      <c r="Z16" s="110">
        <f t="shared" si="5"/>
        <v>6.6400000000000009E-3</v>
      </c>
      <c r="AA16" s="110">
        <f t="shared" si="6"/>
        <v>6.6700000000000006E-3</v>
      </c>
      <c r="AB16" s="110">
        <f t="shared" si="7"/>
        <v>6.6900000000000006E-3</v>
      </c>
      <c r="AC16" s="110">
        <f t="shared" si="8"/>
        <v>6.6700000000000006E-3</v>
      </c>
      <c r="AD16" s="110">
        <f t="shared" si="9"/>
        <v>6.2500000000000003E-3</v>
      </c>
      <c r="AE16" s="110">
        <f t="shared" si="10"/>
        <v>6.0600000000000003E-3</v>
      </c>
      <c r="AF16" s="110">
        <f t="shared" si="11"/>
        <v>5.9100000000000003E-3</v>
      </c>
      <c r="AG16" s="110">
        <f t="shared" si="12"/>
        <v>5.8200000000000005E-3</v>
      </c>
      <c r="AK16" s="106" t="str">
        <f>_xll.qlSwaptionVTSMaxSwapTenor(AK28)</f>
        <v>30Y</v>
      </c>
    </row>
    <row r="17" spans="1:56" ht="12.75" x14ac:dyDescent="0.2">
      <c r="B17" s="105" t="s">
        <v>106</v>
      </c>
      <c r="C17" s="270">
        <v>65.55</v>
      </c>
      <c r="D17" s="270">
        <v>66.400000000000006</v>
      </c>
      <c r="E17" s="270">
        <v>66.3</v>
      </c>
      <c r="F17" s="270">
        <v>66.5</v>
      </c>
      <c r="G17" s="270">
        <v>66.7</v>
      </c>
      <c r="H17" s="270">
        <v>66.7</v>
      </c>
      <c r="I17" s="270">
        <v>66.900000000000006</v>
      </c>
      <c r="J17" s="270">
        <v>66.900000000000006</v>
      </c>
      <c r="K17" s="270">
        <v>66.900000000000006</v>
      </c>
      <c r="L17" s="270">
        <v>66.599999999999994</v>
      </c>
      <c r="M17" s="270">
        <v>62.2</v>
      </c>
      <c r="N17" s="270">
        <v>60</v>
      </c>
      <c r="O17" s="270">
        <v>58.5</v>
      </c>
      <c r="P17" s="270">
        <v>57.3</v>
      </c>
      <c r="S17" s="105" t="s">
        <v>106</v>
      </c>
      <c r="T17" s="110">
        <f t="shared" si="13"/>
        <v>6.5550000000000001E-3</v>
      </c>
      <c r="U17" s="110">
        <f t="shared" si="0"/>
        <v>6.6400000000000009E-3</v>
      </c>
      <c r="V17" s="110">
        <f t="shared" si="1"/>
        <v>6.6299999999999996E-3</v>
      </c>
      <c r="W17" s="110">
        <f t="shared" si="2"/>
        <v>6.6499999999999997E-3</v>
      </c>
      <c r="X17" s="110">
        <f t="shared" si="3"/>
        <v>6.6700000000000006E-3</v>
      </c>
      <c r="Y17" s="110">
        <f t="shared" si="4"/>
        <v>6.6700000000000006E-3</v>
      </c>
      <c r="Z17" s="110">
        <f t="shared" si="5"/>
        <v>6.6900000000000006E-3</v>
      </c>
      <c r="AA17" s="110">
        <f t="shared" si="6"/>
        <v>6.6900000000000006E-3</v>
      </c>
      <c r="AB17" s="110">
        <f t="shared" si="7"/>
        <v>6.6900000000000006E-3</v>
      </c>
      <c r="AC17" s="110">
        <f t="shared" si="8"/>
        <v>6.6599999999999993E-3</v>
      </c>
      <c r="AD17" s="110">
        <f t="shared" si="9"/>
        <v>6.2200000000000007E-3</v>
      </c>
      <c r="AE17" s="110">
        <f t="shared" si="10"/>
        <v>6.0000000000000001E-3</v>
      </c>
      <c r="AF17" s="110">
        <f t="shared" si="11"/>
        <v>5.8500000000000002E-3</v>
      </c>
      <c r="AG17" s="110">
        <f t="shared" si="12"/>
        <v>5.7299999999999999E-3</v>
      </c>
      <c r="AK17" s="208">
        <f>_xll.qlSwaptionVTSOptionDateFromTenor(AK28,AK16)</f>
        <v>53716</v>
      </c>
    </row>
    <row r="18" spans="1:56" ht="12.75" x14ac:dyDescent="0.2">
      <c r="B18" s="105" t="s">
        <v>79</v>
      </c>
      <c r="C18" s="270">
        <v>66.2</v>
      </c>
      <c r="D18" s="270">
        <v>67</v>
      </c>
      <c r="E18" s="270">
        <v>67.3</v>
      </c>
      <c r="F18" s="270">
        <v>67.3</v>
      </c>
      <c r="G18" s="270">
        <v>67.2</v>
      </c>
      <c r="H18" s="270">
        <v>67.2</v>
      </c>
      <c r="I18" s="270">
        <v>67.2</v>
      </c>
      <c r="J18" s="270">
        <v>67</v>
      </c>
      <c r="K18" s="270">
        <v>66.7</v>
      </c>
      <c r="L18" s="270">
        <v>66.5</v>
      </c>
      <c r="M18" s="270">
        <v>61.7</v>
      </c>
      <c r="N18" s="270">
        <v>59.2</v>
      </c>
      <c r="O18" s="270">
        <v>57.4</v>
      </c>
      <c r="P18" s="270">
        <v>56.3</v>
      </c>
      <c r="S18" s="105" t="s">
        <v>79</v>
      </c>
      <c r="T18" s="110">
        <f t="shared" si="13"/>
        <v>6.62E-3</v>
      </c>
      <c r="U18" s="110">
        <f t="shared" si="0"/>
        <v>6.7000000000000002E-3</v>
      </c>
      <c r="V18" s="110">
        <f t="shared" si="1"/>
        <v>6.7299999999999999E-3</v>
      </c>
      <c r="W18" s="110">
        <f t="shared" si="2"/>
        <v>6.7299999999999999E-3</v>
      </c>
      <c r="X18" s="110">
        <f t="shared" si="3"/>
        <v>6.7200000000000003E-3</v>
      </c>
      <c r="Y18" s="110">
        <f t="shared" si="4"/>
        <v>6.7200000000000003E-3</v>
      </c>
      <c r="Z18" s="110">
        <f t="shared" si="5"/>
        <v>6.7200000000000003E-3</v>
      </c>
      <c r="AA18" s="110">
        <f t="shared" si="6"/>
        <v>6.7000000000000002E-3</v>
      </c>
      <c r="AB18" s="110">
        <f t="shared" si="7"/>
        <v>6.6700000000000006E-3</v>
      </c>
      <c r="AC18" s="110">
        <f t="shared" si="8"/>
        <v>6.6499999999999997E-3</v>
      </c>
      <c r="AD18" s="110">
        <f t="shared" si="9"/>
        <v>6.1700000000000001E-3</v>
      </c>
      <c r="AE18" s="110">
        <f t="shared" si="10"/>
        <v>5.9199999999999999E-3</v>
      </c>
      <c r="AF18" s="110">
        <f t="shared" si="11"/>
        <v>5.7399999999999994E-3</v>
      </c>
      <c r="AG18" s="110">
        <f t="shared" si="12"/>
        <v>5.6299999999999996E-3</v>
      </c>
    </row>
    <row r="19" spans="1:56" ht="12.75" x14ac:dyDescent="0.2">
      <c r="B19" s="105" t="s">
        <v>159</v>
      </c>
      <c r="C19" s="270">
        <v>66.2</v>
      </c>
      <c r="D19" s="270">
        <v>66.599999999999994</v>
      </c>
      <c r="E19" s="270">
        <v>66.599999999999994</v>
      </c>
      <c r="F19" s="270">
        <v>66.599999999999994</v>
      </c>
      <c r="G19" s="270">
        <v>66.400000000000006</v>
      </c>
      <c r="H19" s="270">
        <v>66.400000000000006</v>
      </c>
      <c r="I19" s="270">
        <v>66</v>
      </c>
      <c r="J19" s="270">
        <v>65.8</v>
      </c>
      <c r="K19" s="270">
        <v>65.3</v>
      </c>
      <c r="L19" s="270">
        <v>65</v>
      </c>
      <c r="M19" s="270">
        <v>60.3</v>
      </c>
      <c r="N19" s="270">
        <v>57</v>
      </c>
      <c r="O19" s="270">
        <v>55.3</v>
      </c>
      <c r="P19" s="270">
        <v>53.6</v>
      </c>
      <c r="S19" s="105" t="s">
        <v>159</v>
      </c>
      <c r="T19" s="110">
        <f t="shared" si="13"/>
        <v>6.62E-3</v>
      </c>
      <c r="U19" s="110">
        <f t="shared" si="0"/>
        <v>6.6599999999999993E-3</v>
      </c>
      <c r="V19" s="110">
        <f t="shared" si="1"/>
        <v>6.6599999999999993E-3</v>
      </c>
      <c r="W19" s="110">
        <f t="shared" si="2"/>
        <v>6.6599999999999993E-3</v>
      </c>
      <c r="X19" s="110">
        <f t="shared" si="3"/>
        <v>6.6400000000000009E-3</v>
      </c>
      <c r="Y19" s="110">
        <f t="shared" si="4"/>
        <v>6.6400000000000009E-3</v>
      </c>
      <c r="Z19" s="110">
        <f t="shared" si="5"/>
        <v>6.6E-3</v>
      </c>
      <c r="AA19" s="110">
        <f t="shared" si="6"/>
        <v>6.5799999999999999E-3</v>
      </c>
      <c r="AB19" s="110">
        <f t="shared" si="7"/>
        <v>6.5299999999999993E-3</v>
      </c>
      <c r="AC19" s="110">
        <f t="shared" si="8"/>
        <v>6.4999999999999997E-3</v>
      </c>
      <c r="AD19" s="110">
        <f t="shared" si="9"/>
        <v>6.0299999999999998E-3</v>
      </c>
      <c r="AE19" s="110">
        <f t="shared" si="10"/>
        <v>5.7000000000000002E-3</v>
      </c>
      <c r="AF19" s="110">
        <f t="shared" si="11"/>
        <v>5.5299999999999993E-3</v>
      </c>
      <c r="AG19" s="110">
        <f t="shared" si="12"/>
        <v>5.3600000000000002E-3</v>
      </c>
      <c r="AP19" cm="1">
        <f t="array" ref="AP19">_xll.qlSwaptionVolatilityConverterConvert(AN24,DATE(2019,5,2),"5Y",0.04-AS19,"Actual/360","Normal",0.03)</f>
        <v>9.618017367446708E-3</v>
      </c>
      <c r="AS19" cm="1">
        <f t="array" ref="AS19">_xll.qlSwaptionVTSatmStrike(AK24,DATE(2019,5,2),"5Y")</f>
        <v>6.9068100656008193E-3</v>
      </c>
    </row>
    <row r="20" spans="1:56" ht="12.75" x14ac:dyDescent="0.2">
      <c r="B20" s="105" t="s">
        <v>107</v>
      </c>
      <c r="C20" s="270">
        <v>64.8</v>
      </c>
      <c r="D20" s="270">
        <v>65.2</v>
      </c>
      <c r="E20" s="270">
        <v>65.2</v>
      </c>
      <c r="F20" s="270">
        <v>65.099999999999994</v>
      </c>
      <c r="G20" s="270">
        <v>65.3</v>
      </c>
      <c r="H20" s="270">
        <v>64.900000000000006</v>
      </c>
      <c r="I20" s="270">
        <v>64.400000000000006</v>
      </c>
      <c r="J20" s="270">
        <v>63.9</v>
      </c>
      <c r="K20" s="270">
        <v>63.5</v>
      </c>
      <c r="L20" s="270">
        <v>62.9</v>
      </c>
      <c r="M20" s="270">
        <v>57.9</v>
      </c>
      <c r="N20" s="270">
        <v>54.1</v>
      </c>
      <c r="O20" s="270">
        <v>51.9</v>
      </c>
      <c r="P20" s="270">
        <v>50.2</v>
      </c>
      <c r="S20" s="105" t="s">
        <v>107</v>
      </c>
      <c r="T20" s="110">
        <f t="shared" si="13"/>
        <v>6.4799999999999996E-3</v>
      </c>
      <c r="U20" s="110">
        <f t="shared" si="0"/>
        <v>6.5200000000000006E-3</v>
      </c>
      <c r="V20" s="110">
        <f t="shared" si="1"/>
        <v>6.5200000000000006E-3</v>
      </c>
      <c r="W20" s="110">
        <f t="shared" si="2"/>
        <v>6.5099999999999993E-3</v>
      </c>
      <c r="X20" s="110">
        <f t="shared" si="3"/>
        <v>6.5299999999999993E-3</v>
      </c>
      <c r="Y20" s="110">
        <f t="shared" si="4"/>
        <v>6.490000000000001E-3</v>
      </c>
      <c r="Z20" s="110">
        <f t="shared" si="5"/>
        <v>6.4400000000000004E-3</v>
      </c>
      <c r="AA20" s="110">
        <f t="shared" si="6"/>
        <v>6.3899999999999998E-3</v>
      </c>
      <c r="AB20" s="110">
        <f t="shared" si="7"/>
        <v>6.3499999999999997E-3</v>
      </c>
      <c r="AC20" s="110">
        <f t="shared" si="8"/>
        <v>6.2899999999999996E-3</v>
      </c>
      <c r="AD20" s="110">
        <f t="shared" si="9"/>
        <v>5.79E-3</v>
      </c>
      <c r="AE20" s="110">
        <f t="shared" si="10"/>
        <v>5.4099999999999999E-3</v>
      </c>
      <c r="AF20" s="110">
        <f t="shared" si="11"/>
        <v>5.1900000000000002E-3</v>
      </c>
      <c r="AG20" s="110">
        <f t="shared" si="12"/>
        <v>5.0200000000000002E-3</v>
      </c>
      <c r="AP20" t="str" cm="1">
        <f t="array" ref="AP20">_xll.ohRangeRetrieveError(AP19)</f>
        <v/>
      </c>
    </row>
    <row r="21" spans="1:56" ht="12.75" x14ac:dyDescent="0.2">
      <c r="B21" s="105" t="s">
        <v>108</v>
      </c>
      <c r="C21" s="270">
        <v>61.6</v>
      </c>
      <c r="D21" s="270">
        <v>62</v>
      </c>
      <c r="E21" s="270">
        <v>61.8</v>
      </c>
      <c r="F21" s="270">
        <v>61.4</v>
      </c>
      <c r="G21" s="270">
        <v>61.2</v>
      </c>
      <c r="H21" s="270">
        <v>60.8</v>
      </c>
      <c r="I21" s="270">
        <v>60.2</v>
      </c>
      <c r="J21" s="270">
        <v>59.5</v>
      </c>
      <c r="K21" s="270">
        <v>58.9</v>
      </c>
      <c r="L21" s="270">
        <v>58.3</v>
      </c>
      <c r="M21" s="270">
        <v>53.9</v>
      </c>
      <c r="N21" s="270">
        <v>49.7</v>
      </c>
      <c r="O21" s="270">
        <v>47.5</v>
      </c>
      <c r="P21" s="270">
        <v>45.6</v>
      </c>
      <c r="S21" s="105" t="s">
        <v>108</v>
      </c>
      <c r="T21" s="110">
        <f t="shared" si="13"/>
        <v>6.1600000000000005E-3</v>
      </c>
      <c r="U21" s="110">
        <f t="shared" si="0"/>
        <v>6.1999999999999998E-3</v>
      </c>
      <c r="V21" s="110">
        <f t="shared" si="1"/>
        <v>6.1799999999999997E-3</v>
      </c>
      <c r="W21" s="110">
        <f t="shared" si="2"/>
        <v>6.1399999999999996E-3</v>
      </c>
      <c r="X21" s="110">
        <f t="shared" si="3"/>
        <v>6.1200000000000004E-3</v>
      </c>
      <c r="Y21" s="110">
        <f t="shared" si="4"/>
        <v>6.0799999999999995E-3</v>
      </c>
      <c r="Z21" s="110">
        <f t="shared" si="5"/>
        <v>6.0200000000000002E-3</v>
      </c>
      <c r="AA21" s="110">
        <f t="shared" si="6"/>
        <v>5.9500000000000004E-3</v>
      </c>
      <c r="AB21" s="110">
        <f t="shared" si="7"/>
        <v>5.8900000000000003E-3</v>
      </c>
      <c r="AC21" s="110">
        <f t="shared" si="8"/>
        <v>5.8300000000000001E-3</v>
      </c>
      <c r="AD21" s="110">
        <f t="shared" si="9"/>
        <v>5.3899999999999998E-3</v>
      </c>
      <c r="AE21" s="110">
        <f t="shared" si="10"/>
        <v>4.9700000000000005E-3</v>
      </c>
      <c r="AF21" s="110">
        <f t="shared" si="11"/>
        <v>4.7499999999999999E-3</v>
      </c>
      <c r="AG21" s="110">
        <f t="shared" si="12"/>
        <v>4.5599999999999998E-3</v>
      </c>
    </row>
    <row r="22" spans="1:56" ht="12.75" x14ac:dyDescent="0.2">
      <c r="B22" s="105" t="s">
        <v>109</v>
      </c>
      <c r="C22" s="270">
        <v>57.8</v>
      </c>
      <c r="D22" s="270">
        <v>58.3</v>
      </c>
      <c r="E22" s="270">
        <v>57.9</v>
      </c>
      <c r="F22" s="270">
        <v>57.5</v>
      </c>
      <c r="G22" s="270">
        <v>56.8</v>
      </c>
      <c r="H22" s="270">
        <v>56.2</v>
      </c>
      <c r="I22" s="270">
        <v>55.6</v>
      </c>
      <c r="J22" s="270">
        <v>54.7</v>
      </c>
      <c r="K22" s="270">
        <v>54.3</v>
      </c>
      <c r="L22" s="270">
        <v>53.6</v>
      </c>
      <c r="M22" s="270">
        <v>49.6</v>
      </c>
      <c r="N22" s="270">
        <v>45.8</v>
      </c>
      <c r="O22" s="270">
        <v>44.1</v>
      </c>
      <c r="P22" s="270">
        <v>42.5</v>
      </c>
      <c r="S22" s="105" t="s">
        <v>109</v>
      </c>
      <c r="T22" s="110">
        <f t="shared" si="13"/>
        <v>5.7799999999999995E-3</v>
      </c>
      <c r="U22" s="110">
        <f t="shared" si="0"/>
        <v>5.8300000000000001E-3</v>
      </c>
      <c r="V22" s="110">
        <f t="shared" si="1"/>
        <v>5.79E-3</v>
      </c>
      <c r="W22" s="110">
        <f t="shared" si="2"/>
        <v>5.7499999999999999E-3</v>
      </c>
      <c r="X22" s="110">
        <f t="shared" si="3"/>
        <v>5.6799999999999993E-3</v>
      </c>
      <c r="Y22" s="110">
        <f t="shared" si="4"/>
        <v>5.62E-3</v>
      </c>
      <c r="Z22" s="110">
        <f t="shared" si="5"/>
        <v>5.5599999999999998E-3</v>
      </c>
      <c r="AA22" s="110">
        <f t="shared" si="6"/>
        <v>5.47E-3</v>
      </c>
      <c r="AB22" s="110">
        <f t="shared" si="7"/>
        <v>5.4299999999999999E-3</v>
      </c>
      <c r="AC22" s="110">
        <f t="shared" si="8"/>
        <v>5.3600000000000002E-3</v>
      </c>
      <c r="AD22" s="110">
        <f t="shared" si="9"/>
        <v>4.96E-3</v>
      </c>
      <c r="AE22" s="110">
        <f t="shared" si="10"/>
        <v>4.5799999999999999E-3</v>
      </c>
      <c r="AF22" s="110">
        <f t="shared" si="11"/>
        <v>4.4099999999999999E-3</v>
      </c>
      <c r="AG22" s="110">
        <f t="shared" si="12"/>
        <v>4.2500000000000003E-3</v>
      </c>
      <c r="AN22" s="102" cm="1">
        <f t="array" ref="AN22">_xll.qlSettingsEvaluationDate()</f>
        <v>42759</v>
      </c>
    </row>
    <row r="23" spans="1:56" ht="12.75" x14ac:dyDescent="0.2">
      <c r="B23" s="105" t="s">
        <v>110</v>
      </c>
      <c r="C23" s="270">
        <v>54.2</v>
      </c>
      <c r="D23" s="270">
        <v>54.7</v>
      </c>
      <c r="E23" s="270">
        <v>53.8</v>
      </c>
      <c r="F23" s="270">
        <v>53.1</v>
      </c>
      <c r="G23" s="270">
        <v>52.2</v>
      </c>
      <c r="H23" s="270">
        <v>51.6</v>
      </c>
      <c r="I23" s="270">
        <v>50.9</v>
      </c>
      <c r="J23" s="270">
        <v>50.2</v>
      </c>
      <c r="K23" s="270">
        <v>49.8</v>
      </c>
      <c r="L23" s="270">
        <v>49.3</v>
      </c>
      <c r="M23" s="270">
        <v>45.6</v>
      </c>
      <c r="N23" s="270">
        <v>42.3</v>
      </c>
      <c r="O23" s="270">
        <v>40.799999999999997</v>
      </c>
      <c r="P23" s="270">
        <v>39.799999999999997</v>
      </c>
      <c r="S23" s="105" t="s">
        <v>110</v>
      </c>
      <c r="T23" s="110">
        <f t="shared" si="13"/>
        <v>5.4200000000000003E-3</v>
      </c>
      <c r="U23" s="110">
        <f t="shared" si="0"/>
        <v>5.47E-3</v>
      </c>
      <c r="V23" s="110">
        <f t="shared" si="1"/>
        <v>5.3799999999999994E-3</v>
      </c>
      <c r="W23" s="110">
        <f t="shared" si="2"/>
        <v>5.3100000000000005E-3</v>
      </c>
      <c r="X23" s="110">
        <f t="shared" si="3"/>
        <v>5.2200000000000007E-3</v>
      </c>
      <c r="Y23" s="110">
        <f t="shared" si="4"/>
        <v>5.1600000000000005E-3</v>
      </c>
      <c r="Z23" s="110">
        <f t="shared" si="5"/>
        <v>5.0899999999999999E-3</v>
      </c>
      <c r="AA23" s="110">
        <f t="shared" si="6"/>
        <v>5.0200000000000002E-3</v>
      </c>
      <c r="AB23" s="110">
        <f t="shared" si="7"/>
        <v>4.9800000000000001E-3</v>
      </c>
      <c r="AC23" s="110">
        <f t="shared" si="8"/>
        <v>4.9299999999999995E-3</v>
      </c>
      <c r="AD23" s="110">
        <f t="shared" si="9"/>
        <v>4.5599999999999998E-3</v>
      </c>
      <c r="AE23" s="110">
        <f t="shared" si="10"/>
        <v>4.2299999999999994E-3</v>
      </c>
      <c r="AF23" s="110">
        <f t="shared" si="11"/>
        <v>4.0799999999999994E-3</v>
      </c>
      <c r="AG23" s="110">
        <f t="shared" si="12"/>
        <v>3.98E-3</v>
      </c>
    </row>
    <row r="24" spans="1:56" x14ac:dyDescent="0.2">
      <c r="AE24" s="105" t="s">
        <v>1548</v>
      </c>
      <c r="AJ24" s="105" t="s">
        <v>1551</v>
      </c>
      <c r="AK24" t="str">
        <f>_xll.qlSwaptionVolCube2("test",AK10,AC27:AC37,AD27:AD33,AE27:AE33,T28:Z104,AC40,AD40)</f>
        <v>test#0005</v>
      </c>
      <c r="AN24" t="str" cm="1">
        <f t="array" ref="AN24">_xll.qlSwaptionVolatilityConverter(,AN22,AK24,AC40,AD40,"Normal",AP5:AV15,AE26:AE33)</f>
        <v>obj_001f1#0007</v>
      </c>
      <c r="AP24" t="str" cm="1">
        <f t="array" ref="AP24">_xll.qlSwaptionVolatilityConverterConvertAll(,AN24)</f>
        <v>obj_002a1#0004</v>
      </c>
    </row>
    <row r="25" spans="1:56" x14ac:dyDescent="0.2">
      <c r="AC25" s="105" t="s">
        <v>1548</v>
      </c>
      <c r="AD25" s="105" t="s">
        <v>1548</v>
      </c>
      <c r="AE25" s="105" t="s">
        <v>1550</v>
      </c>
      <c r="AK25" t="str">
        <f>_xll.ohRangeRetrieveError(AK24)</f>
        <v/>
      </c>
      <c r="AP25" t="str" cm="1">
        <f t="array" ref="AP25">_xll.ohRangeRetrieveError(AP24)</f>
        <v/>
      </c>
    </row>
    <row r="26" spans="1:56" x14ac:dyDescent="0.2">
      <c r="AC26" s="105" t="s">
        <v>1547</v>
      </c>
      <c r="AD26" s="105" t="s">
        <v>1549</v>
      </c>
      <c r="AE26" s="31">
        <v>0</v>
      </c>
      <c r="AJ26" t="s">
        <v>1546</v>
      </c>
      <c r="AK26" s="2">
        <f>_xll.qlSwaptionVTSVolatility(AK24,DATE(2019,5,2),"5Y",0.04,TRUE)</f>
        <v>9.5519129733230741E-3</v>
      </c>
      <c r="AP26">
        <f>_xll.qlSwaptionVTSVolatility(AP24,DATE(2019,5,2),"5Y",0.04,TRUE)</f>
        <v>9.0468412408759129E-3</v>
      </c>
      <c r="AR26" t="str" cm="1">
        <f t="array" ref="AR26">_xll.ohRangeRetrieveError(AP26)</f>
        <v/>
      </c>
    </row>
    <row r="27" spans="1:56" x14ac:dyDescent="0.2">
      <c r="C27" s="105">
        <v>1.25E-3</v>
      </c>
      <c r="D27" s="105">
        <v>2.5000000000000001E-3</v>
      </c>
      <c r="E27" s="105">
        <v>5.0000000000000001E-3</v>
      </c>
      <c r="F27" s="105">
        <v>0.01</v>
      </c>
      <c r="G27" s="105">
        <v>1.4999999999999999E-2</v>
      </c>
      <c r="H27" s="105">
        <v>0.02</v>
      </c>
      <c r="I27" s="105">
        <v>0.03</v>
      </c>
      <c r="AC27" s="105" t="s">
        <v>95</v>
      </c>
      <c r="AD27" s="105" t="s">
        <v>25</v>
      </c>
      <c r="AE27" s="13">
        <v>1.25E-3</v>
      </c>
      <c r="AG27" s="13">
        <v>0.03</v>
      </c>
      <c r="AK27" t="str">
        <f>_xll.ohRangeRetrieveError(AK26)</f>
        <v/>
      </c>
    </row>
    <row r="28" spans="1:56" x14ac:dyDescent="0.2">
      <c r="A28" s="105" t="s">
        <v>95</v>
      </c>
      <c r="B28" s="105" t="s">
        <v>25</v>
      </c>
      <c r="C28">
        <v>2.41</v>
      </c>
      <c r="D28">
        <v>2</v>
      </c>
      <c r="E28">
        <v>5.9</v>
      </c>
      <c r="F28">
        <v>7.14</v>
      </c>
      <c r="G28">
        <v>4.9400000000000004</v>
      </c>
      <c r="H28">
        <v>3.17</v>
      </c>
      <c r="I28">
        <v>2.59</v>
      </c>
      <c r="S28" s="110">
        <v>0</v>
      </c>
      <c r="T28" s="110">
        <v>2.41E-4</v>
      </c>
      <c r="U28" s="110">
        <v>6.4800000000000003E-4</v>
      </c>
      <c r="V28" s="110">
        <v>1.472E-3</v>
      </c>
      <c r="W28" s="110">
        <v>2.9940000000000001E-3</v>
      </c>
      <c r="X28" s="110">
        <v>4.398E-3</v>
      </c>
      <c r="Y28" s="110">
        <v>5.7289999999999997E-3</v>
      </c>
      <c r="Z28" s="110">
        <v>8.2439999999999996E-3</v>
      </c>
      <c r="AC28" s="105" t="s">
        <v>97</v>
      </c>
      <c r="AD28" s="105" t="s">
        <v>157</v>
      </c>
      <c r="AE28" s="13">
        <v>2.5000000000000001E-3</v>
      </c>
      <c r="AG28" s="13">
        <v>0.03</v>
      </c>
      <c r="AK28" s="105" t="str">
        <f>_xll.qlRelinkableHandleSwaptionVolatilityStructure(,AK24)</f>
        <v>obj_001f0#0005</v>
      </c>
      <c r="AM28" t="s">
        <v>1572</v>
      </c>
      <c r="AN28" t="s">
        <v>1573</v>
      </c>
      <c r="AO28">
        <v>7.0000000000000001E-3</v>
      </c>
      <c r="AP28">
        <v>0.04</v>
      </c>
      <c r="AQ28">
        <v>7.1000000000000004E-3</v>
      </c>
      <c r="AS28" s="101">
        <v>7.0000000000000001E-3</v>
      </c>
      <c r="AT28" s="101">
        <f>AS28+0.001</f>
        <v>8.0000000000000002E-3</v>
      </c>
      <c r="AU28" s="101">
        <f t="shared" ref="AU28:BD28" si="14">AT28+0.001</f>
        <v>9.0000000000000011E-3</v>
      </c>
      <c r="AV28" s="101">
        <f t="shared" si="14"/>
        <v>1.0000000000000002E-2</v>
      </c>
      <c r="AW28" s="101">
        <f t="shared" si="14"/>
        <v>1.1000000000000003E-2</v>
      </c>
      <c r="AX28" s="101">
        <f t="shared" si="14"/>
        <v>1.2000000000000004E-2</v>
      </c>
      <c r="AY28" s="101">
        <f t="shared" si="14"/>
        <v>1.3000000000000005E-2</v>
      </c>
      <c r="AZ28" s="101">
        <f t="shared" si="14"/>
        <v>1.4000000000000005E-2</v>
      </c>
      <c r="BA28" s="101">
        <f t="shared" si="14"/>
        <v>1.5000000000000006E-2</v>
      </c>
      <c r="BB28" s="101">
        <f t="shared" si="14"/>
        <v>1.6000000000000007E-2</v>
      </c>
      <c r="BC28" s="101">
        <f t="shared" si="14"/>
        <v>1.7000000000000008E-2</v>
      </c>
      <c r="BD28" s="101">
        <f t="shared" si="14"/>
        <v>1.8000000000000009E-2</v>
      </c>
    </row>
    <row r="29" spans="1:56" x14ac:dyDescent="0.2">
      <c r="B29" s="105" t="s">
        <v>157</v>
      </c>
      <c r="C29">
        <v>6.48</v>
      </c>
      <c r="D29">
        <v>5.94</v>
      </c>
      <c r="E29">
        <v>12.94</v>
      </c>
      <c r="F29">
        <v>16.07</v>
      </c>
      <c r="G29">
        <v>11.73</v>
      </c>
      <c r="H29">
        <v>7.94</v>
      </c>
      <c r="I29">
        <v>6.77</v>
      </c>
      <c r="S29" s="110">
        <v>0</v>
      </c>
      <c r="T29" s="110">
        <v>2.0000000000000001E-4</v>
      </c>
      <c r="U29" s="110">
        <v>5.9400000000000002E-4</v>
      </c>
      <c r="V29" s="110">
        <v>1.426E-3</v>
      </c>
      <c r="W29" s="110">
        <v>2.9809999999999997E-3</v>
      </c>
      <c r="X29" s="110">
        <v>4.4210000000000005E-3</v>
      </c>
      <c r="Y29" s="110">
        <v>5.7860000000000003E-3</v>
      </c>
      <c r="Z29" s="110">
        <v>8.3660000000000002E-3</v>
      </c>
      <c r="AC29" s="105" t="s">
        <v>38</v>
      </c>
      <c r="AD29" s="105" t="s">
        <v>102</v>
      </c>
      <c r="AE29" s="13">
        <v>5.0000000000000001E-3</v>
      </c>
      <c r="AG29" s="13">
        <v>0.03</v>
      </c>
      <c r="AM29" s="105" t="s">
        <v>157</v>
      </c>
      <c r="AN29" s="105" t="s">
        <v>164</v>
      </c>
      <c r="AO29" s="13">
        <f>_xll.qlSwaptionVTSVolatility2($AK$24,$AM29,$AN29,AO$28,TRUE)</f>
        <v>5.8112698679804748E-3</v>
      </c>
      <c r="AP29" s="13">
        <f>_xll.qlSwaptionVTSVolatility2($AK$24,$AM29,$AN29,AP$28,TRUE)</f>
        <v>8.2635259402888458E-3</v>
      </c>
      <c r="AQ29" s="13">
        <f>_xll.qlSwaptionVTSVolatility2($AK$24,$AM29,$AN29,AQ$28,TRUE)</f>
        <v>5.8170938679804754E-3</v>
      </c>
    </row>
    <row r="30" spans="1:56" x14ac:dyDescent="0.2">
      <c r="B30" s="105" t="s">
        <v>102</v>
      </c>
      <c r="C30">
        <v>14.72</v>
      </c>
      <c r="D30">
        <v>14.26</v>
      </c>
      <c r="E30">
        <v>26.86</v>
      </c>
      <c r="F30">
        <v>34.33</v>
      </c>
      <c r="G30">
        <v>26.74</v>
      </c>
      <c r="H30">
        <v>19.46</v>
      </c>
      <c r="I30">
        <v>17.45</v>
      </c>
      <c r="S30" s="110">
        <v>0</v>
      </c>
      <c r="T30" s="110">
        <v>5.9000000000000003E-4</v>
      </c>
      <c r="U30" s="110">
        <v>1.294E-3</v>
      </c>
      <c r="V30" s="110">
        <v>2.686E-3</v>
      </c>
      <c r="W30" s="110">
        <v>5.2550000000000001E-3</v>
      </c>
      <c r="X30" s="110">
        <v>7.6220000000000003E-3</v>
      </c>
      <c r="Y30" s="110">
        <v>9.8560000000000002E-3</v>
      </c>
      <c r="Z30" s="110">
        <v>1.4056000000000001E-2</v>
      </c>
      <c r="AC30" s="105" t="s">
        <v>152</v>
      </c>
      <c r="AD30" s="105" t="s">
        <v>79</v>
      </c>
      <c r="AE30" s="13">
        <v>0.01</v>
      </c>
      <c r="AG30" s="13">
        <v>0.03</v>
      </c>
      <c r="AJ30" t="s">
        <v>1546</v>
      </c>
      <c r="AK30">
        <f>_xll.qlSwaptionVTSVolatility(AK10,DATE(2018,11,15),"2Y",0.02,TRUE)</f>
        <v>3.1211956521739132E-3</v>
      </c>
      <c r="AM30" t="s">
        <v>1075</v>
      </c>
      <c r="AN30" t="s">
        <v>1530</v>
      </c>
      <c r="AO30" s="13">
        <f>_xll.qlSwaptionVTSVolatility2($AK$24,$AM30,$AN30,AO$28,TRUE)</f>
        <v>5.8447095035515251E-3</v>
      </c>
      <c r="AP30" s="13">
        <f>_xll.qlSwaptionVTSVolatility2($AK$24,$AM30,$AN30,AP$28,TRUE)</f>
        <v>7.8144812697630971E-3</v>
      </c>
      <c r="AQ30" s="13">
        <f>_xll.qlSwaptionVTSVolatility2($AK$24,$AM30,$AN30,AQ$28,TRUE)</f>
        <v>5.8499127152303572E-3</v>
      </c>
    </row>
    <row r="31" spans="1:56" x14ac:dyDescent="0.2">
      <c r="B31" s="105" t="s">
        <v>79</v>
      </c>
      <c r="C31">
        <v>29.94</v>
      </c>
      <c r="D31">
        <v>29.81</v>
      </c>
      <c r="E31">
        <v>52.55</v>
      </c>
      <c r="F31">
        <v>68.599999999999994</v>
      </c>
      <c r="G31">
        <v>56.32</v>
      </c>
      <c r="H31">
        <v>43.74</v>
      </c>
      <c r="I31">
        <v>40.94</v>
      </c>
      <c r="S31" s="110">
        <v>0</v>
      </c>
      <c r="T31" s="110">
        <v>7.1400000000000001E-4</v>
      </c>
      <c r="U31" s="110">
        <v>1.6069999999999999E-3</v>
      </c>
      <c r="V31" s="110">
        <v>3.4329999999999999E-3</v>
      </c>
      <c r="W31" s="110">
        <v>6.8599999999999998E-3</v>
      </c>
      <c r="X31" s="110">
        <v>1.0026999999999999E-2</v>
      </c>
      <c r="Y31" s="110">
        <v>1.3012000000000001E-2</v>
      </c>
      <c r="Z31" s="110">
        <v>1.8609000000000001E-2</v>
      </c>
      <c r="AC31" s="105" t="s">
        <v>25</v>
      </c>
      <c r="AD31" s="105" t="s">
        <v>107</v>
      </c>
      <c r="AE31" s="13">
        <v>1.4999999999999999E-2</v>
      </c>
      <c r="AG31" s="13">
        <v>0.03</v>
      </c>
      <c r="AK31" t="str">
        <f>_xll.ohRangeRetrieveError(AK30)</f>
        <v/>
      </c>
      <c r="AM31" t="s">
        <v>1076</v>
      </c>
      <c r="AN31" t="s">
        <v>1529</v>
      </c>
      <c r="AO31" s="13">
        <f>_xll.qlSwaptionVTSVolatility2($AK$24,$AM31,$AN31,AO$28,TRUE)</f>
        <v>5.8672943341345485E-3</v>
      </c>
      <c r="AP31" s="13">
        <f>_xll.qlSwaptionVTSVolatility2($AK$24,$AM31,$AN31,AP$28,TRUE)</f>
        <v>7.528461212526474E-3</v>
      </c>
      <c r="AQ31" s="13">
        <f>_xll.qlSwaptionVTSVolatility2($AK$24,$AM31,$AN31,AQ$28,TRUE)</f>
        <v>5.8720240812609849E-3</v>
      </c>
    </row>
    <row r="32" spans="1:56" x14ac:dyDescent="0.2">
      <c r="B32" s="105" t="s">
        <v>107</v>
      </c>
      <c r="C32">
        <v>43.98</v>
      </c>
      <c r="D32">
        <v>44.21</v>
      </c>
      <c r="E32">
        <v>76.22</v>
      </c>
      <c r="F32">
        <v>100.27</v>
      </c>
      <c r="G32">
        <v>84.13</v>
      </c>
      <c r="H32">
        <v>67.17</v>
      </c>
      <c r="I32">
        <v>64</v>
      </c>
      <c r="S32" s="110">
        <v>0</v>
      </c>
      <c r="T32" s="110">
        <v>4.9400000000000008E-4</v>
      </c>
      <c r="U32" s="110">
        <v>1.173E-3</v>
      </c>
      <c r="V32" s="110">
        <v>2.6739999999999997E-3</v>
      </c>
      <c r="W32" s="110">
        <v>5.6319999999999999E-3</v>
      </c>
      <c r="X32" s="110">
        <v>8.4130000000000003E-3</v>
      </c>
      <c r="Y32" s="110">
        <v>1.1048000000000001E-2</v>
      </c>
      <c r="Z32" s="110">
        <v>1.6005000000000002E-2</v>
      </c>
      <c r="AC32" s="105" t="s">
        <v>157</v>
      </c>
      <c r="AD32" s="105" t="s">
        <v>108</v>
      </c>
      <c r="AE32" s="13">
        <v>0.02</v>
      </c>
      <c r="AG32" s="13">
        <v>0.03</v>
      </c>
      <c r="AM32" t="s">
        <v>1364</v>
      </c>
      <c r="AN32" t="s">
        <v>1077</v>
      </c>
      <c r="AO32" s="13">
        <f>_xll.qlSwaptionVTSVolatility2($AK$24,$AM32,$AN32,AO$28,TRUE)</f>
        <v>5.9392634617298126E-3</v>
      </c>
      <c r="AP32" s="13">
        <f>_xll.qlSwaptionVTSVolatility2($AK$24,$AM32,$AN32,AP$28,TRUE)</f>
        <v>7.4891219853753539E-3</v>
      </c>
      <c r="AQ32" s="13">
        <f>_xll.qlSwaptionVTSVolatility2($AK$24,$AM32,$AN32,AQ$28,TRUE)</f>
        <v>5.9438779598141043E-3</v>
      </c>
    </row>
    <row r="33" spans="1:56" x14ac:dyDescent="0.2">
      <c r="B33" s="105" t="s">
        <v>108</v>
      </c>
      <c r="C33">
        <v>57.29</v>
      </c>
      <c r="D33">
        <v>57.86</v>
      </c>
      <c r="E33">
        <v>98.56</v>
      </c>
      <c r="F33">
        <v>130.12</v>
      </c>
      <c r="G33">
        <v>110.48</v>
      </c>
      <c r="H33">
        <v>89.57</v>
      </c>
      <c r="I33">
        <v>86.15</v>
      </c>
      <c r="S33" s="110">
        <v>0</v>
      </c>
      <c r="T33" s="110">
        <v>3.1700000000000001E-4</v>
      </c>
      <c r="U33" s="110">
        <v>7.94E-4</v>
      </c>
      <c r="V33" s="110">
        <v>1.946E-3</v>
      </c>
      <c r="W33" s="110">
        <v>4.3740000000000003E-3</v>
      </c>
      <c r="X33" s="110">
        <v>6.7169999999999999E-3</v>
      </c>
      <c r="Y33" s="110">
        <v>8.9569999999999997E-3</v>
      </c>
      <c r="Z33" s="110">
        <v>1.3188E-2</v>
      </c>
      <c r="AC33" s="105" t="s">
        <v>102</v>
      </c>
      <c r="AD33" s="105" t="s">
        <v>110</v>
      </c>
      <c r="AE33" s="13">
        <v>0.03</v>
      </c>
      <c r="AG33" s="13">
        <v>0.03</v>
      </c>
      <c r="AM33" t="s">
        <v>952</v>
      </c>
      <c r="AN33" t="s">
        <v>952</v>
      </c>
      <c r="AO33" s="13">
        <f>_xll.qlSwaptionVTSVolatility2($AK$24,$AM33,$AN33,AO$28,TRUE)</f>
        <v>6.1075057486724418E-3</v>
      </c>
      <c r="AP33" s="13">
        <f>_xll.qlSwaptionVTSVolatility2($AK$24,$AM33,$AN33,AP$28,TRUE)</f>
        <v>7.4971499749425102E-3</v>
      </c>
      <c r="AQ33" s="13">
        <f>_xll.qlSwaptionVTSVolatility2($AK$24,$AM33,$AN33,AQ$28,TRUE)</f>
        <v>6.1118257486724413E-3</v>
      </c>
    </row>
    <row r="34" spans="1:56" x14ac:dyDescent="0.2">
      <c r="B34" s="105" t="s">
        <v>110</v>
      </c>
      <c r="C34">
        <v>82.44</v>
      </c>
      <c r="D34">
        <v>83.66</v>
      </c>
      <c r="E34">
        <v>140.56</v>
      </c>
      <c r="F34">
        <v>186.09</v>
      </c>
      <c r="G34">
        <v>160.05000000000001</v>
      </c>
      <c r="H34">
        <v>131.88</v>
      </c>
      <c r="I34">
        <v>128.11000000000001</v>
      </c>
      <c r="S34" s="110">
        <v>0</v>
      </c>
      <c r="T34" s="110">
        <v>2.5900000000000001E-4</v>
      </c>
      <c r="U34" s="110">
        <v>6.7699999999999998E-4</v>
      </c>
      <c r="V34" s="110">
        <v>1.745E-3</v>
      </c>
      <c r="W34" s="110">
        <v>4.0939999999999995E-3</v>
      </c>
      <c r="X34" s="110">
        <v>6.4000000000000003E-3</v>
      </c>
      <c r="Y34" s="110">
        <v>8.6150000000000011E-3</v>
      </c>
      <c r="Z34" s="110">
        <v>1.2811000000000001E-2</v>
      </c>
      <c r="AC34" s="105" t="s">
        <v>79</v>
      </c>
      <c r="AG34" s="13">
        <v>0.03</v>
      </c>
      <c r="AM34" t="s">
        <v>1077</v>
      </c>
      <c r="AN34" t="s">
        <v>1364</v>
      </c>
      <c r="AO34" s="13">
        <f>_xll.qlSwaptionVTSVolatility2($AK$24,$AM34,$AN34,AO$28,TRUE)</f>
        <v>6.04284832996747E-3</v>
      </c>
      <c r="AP34" s="13">
        <f>_xll.qlSwaptionVTSVolatility2($AK$24,$AM34,$AN34,AP$28,TRUE)</f>
        <v>7.4871734303690032E-3</v>
      </c>
      <c r="AQ34" s="13">
        <f>_xll.qlSwaptionVTSVolatility2($AK$24,$AM34,$AN34,AQ$28,TRUE)</f>
        <v>6.0471428981119695E-3</v>
      </c>
    </row>
    <row r="35" spans="1:56" x14ac:dyDescent="0.2">
      <c r="S35" s="110">
        <v>0</v>
      </c>
      <c r="T35" s="198">
        <v>2.31E-4</v>
      </c>
      <c r="U35" s="198">
        <v>6.2E-4</v>
      </c>
      <c r="V35" s="198">
        <v>1.433E-3</v>
      </c>
      <c r="W35" s="198">
        <v>2.9559999999999999E-3</v>
      </c>
      <c r="X35" s="198">
        <v>4.3660000000000001E-3</v>
      </c>
      <c r="Y35" s="198">
        <v>5.7009999999999995E-3</v>
      </c>
      <c r="Z35" s="198">
        <v>8.2230000000000011E-3</v>
      </c>
      <c r="AC35" s="105" t="s">
        <v>107</v>
      </c>
      <c r="AG35" s="13">
        <v>0.03</v>
      </c>
      <c r="AM35" t="s">
        <v>1529</v>
      </c>
      <c r="AN35" t="s">
        <v>1076</v>
      </c>
      <c r="AO35" s="13">
        <f>_xll.qlSwaptionVTSVolatility2($AK$24,$AM35,$AN35,AO$28,TRUE)</f>
        <v>6.0248634290347462E-3</v>
      </c>
      <c r="AP35" s="13">
        <f>_xll.qlSwaptionVTSVolatility2($AK$24,$AM35,$AN35,AP$28,TRUE)</f>
        <v>7.4940438512997847E-3</v>
      </c>
      <c r="AQ35" s="13">
        <f>_xll.qlSwaptionVTSVolatility2($AK$24,$AM35,$AN35,AQ$28,TRUE)</f>
        <v>6.0290814213719108E-3</v>
      </c>
    </row>
    <row r="36" spans="1:56" x14ac:dyDescent="0.2">
      <c r="S36" s="110">
        <v>0</v>
      </c>
      <c r="T36" s="198">
        <v>2.34E-4</v>
      </c>
      <c r="U36" s="198">
        <v>5.9599999999999996E-4</v>
      </c>
      <c r="V36" s="198">
        <v>1.3630000000000001E-3</v>
      </c>
      <c r="W36" s="198">
        <v>2.8179999999999998E-3</v>
      </c>
      <c r="X36" s="198">
        <v>4.169E-3</v>
      </c>
      <c r="Y36" s="198">
        <v>5.4489999999999999E-3</v>
      </c>
      <c r="Z36" s="198">
        <v>7.8659999999999997E-3</v>
      </c>
      <c r="AC36" s="105" t="s">
        <v>108</v>
      </c>
      <c r="AG36" s="13">
        <v>0.03</v>
      </c>
      <c r="AM36" t="s">
        <v>1530</v>
      </c>
      <c r="AN36" t="s">
        <v>1075</v>
      </c>
      <c r="AO36" s="13">
        <f>_xll.qlSwaptionVTSVolatility2($AK$24,$AM36,$AN36,AO$28,TRUE)</f>
        <v>5.9761699120578259E-3</v>
      </c>
      <c r="AP36" s="13">
        <f>_xll.qlSwaptionVTSVolatility2($AK$24,$AM36,$AN36,AP$28,TRUE)</f>
        <v>7.3719134347412715E-3</v>
      </c>
      <c r="AQ36" s="13">
        <f>_xll.qlSwaptionVTSVolatility2($AK$24,$AM36,$AN36,AQ$28,TRUE)</f>
        <v>5.9800851100144025E-3</v>
      </c>
    </row>
    <row r="37" spans="1:56" x14ac:dyDescent="0.2">
      <c r="A37" s="105" t="s">
        <v>97</v>
      </c>
      <c r="C37">
        <v>2.31</v>
      </c>
      <c r="D37">
        <v>2.34</v>
      </c>
      <c r="E37">
        <v>3.8</v>
      </c>
      <c r="F37">
        <v>3.56</v>
      </c>
      <c r="G37">
        <v>2.82</v>
      </c>
      <c r="H37">
        <v>2.02</v>
      </c>
      <c r="I37">
        <v>1.3</v>
      </c>
      <c r="S37" s="110">
        <v>0</v>
      </c>
      <c r="T37" s="198">
        <v>3.7999999999999997E-4</v>
      </c>
      <c r="U37" s="198">
        <v>8.4600000000000007E-4</v>
      </c>
      <c r="V37" s="198">
        <v>1.8270000000000001E-3</v>
      </c>
      <c r="W37" s="198">
        <v>3.725E-3</v>
      </c>
      <c r="X37" s="198">
        <v>5.5009999999999998E-3</v>
      </c>
      <c r="Y37" s="198">
        <v>7.1840000000000003E-3</v>
      </c>
      <c r="Z37" s="198">
        <v>1.035E-2</v>
      </c>
      <c r="AC37" s="105" t="s">
        <v>110</v>
      </c>
      <c r="AG37" s="13">
        <v>0.03</v>
      </c>
      <c r="AM37" t="s">
        <v>1532</v>
      </c>
      <c r="AN37" t="s">
        <v>1069</v>
      </c>
      <c r="AO37" s="13">
        <f>_xll.qlSwaptionVTSVolatility2($AK$24,$AM37,$AN37,AO$28,TRUE)</f>
        <v>5.917151081602923E-3</v>
      </c>
      <c r="AP37" s="13">
        <f>_xll.qlSwaptionVTSVolatility2($AK$24,$AM37,$AN37,AP$28,TRUE)</f>
        <v>7.2509421162466284E-3</v>
      </c>
      <c r="AQ37" s="13">
        <f>_xll.qlSwaptionVTSVolatility2($AK$24,$AM37,$AN37,AQ$28,TRUE)</f>
        <v>5.920799466934067E-3</v>
      </c>
    </row>
    <row r="38" spans="1:56" x14ac:dyDescent="0.2">
      <c r="C38">
        <v>6.2</v>
      </c>
      <c r="D38">
        <v>5.96</v>
      </c>
      <c r="E38">
        <v>8.4600000000000009</v>
      </c>
      <c r="F38">
        <v>7.67</v>
      </c>
      <c r="G38">
        <v>6.39</v>
      </c>
      <c r="H38">
        <v>4.96</v>
      </c>
      <c r="I38">
        <v>3.18</v>
      </c>
      <c r="S38" s="110">
        <v>0</v>
      </c>
      <c r="T38" s="198">
        <v>3.5599999999999998E-4</v>
      </c>
      <c r="U38" s="198">
        <v>7.67E-4</v>
      </c>
      <c r="V38" s="198">
        <v>1.6579999999999998E-3</v>
      </c>
      <c r="W38" s="198">
        <v>3.4680000000000002E-3</v>
      </c>
      <c r="X38" s="198">
        <v>5.208E-3</v>
      </c>
      <c r="Y38" s="198">
        <v>6.8719999999999996E-3</v>
      </c>
      <c r="Z38" s="198">
        <v>1.0011000000000001E-2</v>
      </c>
    </row>
    <row r="39" spans="1:56" x14ac:dyDescent="0.2">
      <c r="C39">
        <v>14.33</v>
      </c>
      <c r="D39">
        <v>13.63</v>
      </c>
      <c r="E39">
        <v>18.27</v>
      </c>
      <c r="F39">
        <v>16.579999999999998</v>
      </c>
      <c r="G39">
        <v>14.7</v>
      </c>
      <c r="H39">
        <v>12.53</v>
      </c>
      <c r="I39">
        <v>8.24</v>
      </c>
      <c r="S39" s="110">
        <v>0</v>
      </c>
      <c r="T39" s="198">
        <v>2.8199999999999997E-4</v>
      </c>
      <c r="U39" s="198">
        <v>6.3899999999999992E-4</v>
      </c>
      <c r="V39" s="198">
        <v>1.47E-3</v>
      </c>
      <c r="W39" s="198">
        <v>3.261E-3</v>
      </c>
      <c r="X39" s="198">
        <v>5.032E-3</v>
      </c>
      <c r="Y39" s="198">
        <v>6.7409999999999996E-3</v>
      </c>
      <c r="Z39" s="198">
        <v>9.9860000000000001E-3</v>
      </c>
      <c r="AM39" s="105" t="s">
        <v>157</v>
      </c>
      <c r="AN39" s="105" t="s">
        <v>952</v>
      </c>
      <c r="AS39" s="13">
        <f>_xll.qlSwaptionVTSVolatility2($AK$24,$AM39,$AN39,AS$28,TRUE)</f>
        <v>5.4652071245392571E-3</v>
      </c>
      <c r="AT39" s="13">
        <f>_xll.qlSwaptionVTSVolatility2($AK$24,$AM39,$AN39,AT$28,TRUE)</f>
        <v>5.5484071245392574E-3</v>
      </c>
      <c r="AU39" s="13">
        <f>_xll.qlSwaptionVTSVolatility2($AK$24,$AM39,$AN39,AU$28,TRUE)</f>
        <v>5.6316071245392577E-3</v>
      </c>
      <c r="AV39" s="13">
        <f>_xll.qlSwaptionVTSVolatility2($AK$24,$AM39,$AN39,AV$28,TRUE)</f>
        <v>5.7148071245392571E-3</v>
      </c>
      <c r="AW39" s="13">
        <f>_xll.qlSwaptionVTSVolatility2($AK$24,$AM39,$AN39,AW$28,TRUE)</f>
        <v>5.7980071245392574E-3</v>
      </c>
      <c r="AX39" s="13">
        <f>_xll.qlSwaptionVTSVolatility2($AK$24,$AM39,$AN39,AX$28,TRUE)</f>
        <v>5.8812071245392568E-3</v>
      </c>
      <c r="AY39" s="13">
        <f>_xll.qlSwaptionVTSVolatility2($AK$24,$AM39,$AN39,AY$28,TRUE)</f>
        <v>5.9644071245392571E-3</v>
      </c>
      <c r="AZ39" s="13">
        <f>_xll.qlSwaptionVTSVolatility2($AK$24,$AM39,$AN39,AZ$28,TRUE)</f>
        <v>6.0476071245392574E-3</v>
      </c>
      <c r="BA39" s="13">
        <f>_xll.qlSwaptionVTSVolatility2($AK$24,$AM39,$AN39,BA$28,TRUE)</f>
        <v>6.1333083943510523E-3</v>
      </c>
      <c r="BB39" s="13">
        <f>_xll.qlSwaptionVTSVolatility2($AK$24,$AM39,$AN39,BB$28,TRUE)</f>
        <v>6.220108394351052E-3</v>
      </c>
      <c r="BC39" s="13">
        <f>_xll.qlSwaptionVTSVolatility2($AK$24,$AM39,$AN39,BC$28,TRUE)</f>
        <v>6.3083498934086305E-3</v>
      </c>
      <c r="BD39" s="13">
        <f>_xll.qlSwaptionVTSVolatility2($AK$24,$AM39,$AN39,BD$28,TRUE)</f>
        <v>6.4025498934086305E-3</v>
      </c>
    </row>
    <row r="40" spans="1:56" x14ac:dyDescent="0.2">
      <c r="C40">
        <v>29.56</v>
      </c>
      <c r="D40">
        <v>28.18</v>
      </c>
      <c r="E40">
        <v>37.25</v>
      </c>
      <c r="F40">
        <v>34.68</v>
      </c>
      <c r="G40">
        <v>32.61</v>
      </c>
      <c r="H40">
        <v>30.05</v>
      </c>
      <c r="I40">
        <v>21.02</v>
      </c>
      <c r="S40" s="110">
        <v>0</v>
      </c>
      <c r="T40" s="198">
        <v>2.02E-4</v>
      </c>
      <c r="U40" s="198">
        <v>4.9600000000000002E-4</v>
      </c>
      <c r="V40" s="198">
        <v>1.253E-3</v>
      </c>
      <c r="W40" s="198">
        <v>3.0049999999999999E-3</v>
      </c>
      <c r="X40" s="198">
        <v>4.7860000000000003E-3</v>
      </c>
      <c r="Y40" s="198">
        <v>6.5200000000000006E-3</v>
      </c>
      <c r="Z40" s="198">
        <v>9.8309999999999995E-3</v>
      </c>
      <c r="AC40" t="str">
        <f>_xll.qlSwapIndex("isda10y","eur","10y",2,"EUR","TARGET","1Y","Modified Following","30/360 (Bond Basis)","eo6mproj","eonia")</f>
        <v>isda10y#0006</v>
      </c>
      <c r="AD40" t="str">
        <f>_xll.qlSwapIndex("isda2y","eur","2y",2,"EUR","TARGET","1Y","Modified Following","30/360 (Bond Basis)","eo6mproj","eonia")</f>
        <v>isda2y#0006</v>
      </c>
    </row>
    <row r="41" spans="1:56" x14ac:dyDescent="0.2">
      <c r="C41">
        <v>43.66</v>
      </c>
      <c r="D41">
        <v>41.69</v>
      </c>
      <c r="E41">
        <v>55.01</v>
      </c>
      <c r="F41">
        <v>52.08</v>
      </c>
      <c r="G41">
        <v>50.32</v>
      </c>
      <c r="H41">
        <v>47.86</v>
      </c>
      <c r="I41">
        <v>34.869999999999997</v>
      </c>
      <c r="S41" s="110">
        <v>0</v>
      </c>
      <c r="T41" s="198">
        <v>1.3000000000000002E-4</v>
      </c>
      <c r="U41" s="198">
        <v>3.1800000000000003E-4</v>
      </c>
      <c r="V41" s="198">
        <v>8.2399999999999997E-4</v>
      </c>
      <c r="W41" s="198">
        <v>2.1020000000000001E-3</v>
      </c>
      <c r="X41" s="198">
        <v>3.4869999999999996E-3</v>
      </c>
      <c r="Y41" s="198">
        <v>4.8780000000000004E-3</v>
      </c>
      <c r="Z41" s="198">
        <v>7.5919999999999998E-3</v>
      </c>
      <c r="AC41" t="str">
        <f>_xll.ohRangeRetrieveError(AC40)</f>
        <v/>
      </c>
      <c r="AD41" t="str">
        <f>_xll.ohRangeRetrieveError(AD40)</f>
        <v/>
      </c>
    </row>
    <row r="42" spans="1:56" x14ac:dyDescent="0.2">
      <c r="C42">
        <v>57.01</v>
      </c>
      <c r="D42">
        <v>54.49</v>
      </c>
      <c r="E42">
        <v>71.84</v>
      </c>
      <c r="F42">
        <v>68.72</v>
      </c>
      <c r="G42">
        <v>67.41</v>
      </c>
      <c r="H42">
        <v>65.2</v>
      </c>
      <c r="I42">
        <v>48.78</v>
      </c>
      <c r="S42" s="110">
        <v>0</v>
      </c>
      <c r="T42" s="110">
        <v>2.81E-4</v>
      </c>
      <c r="U42" s="110">
        <v>6.9499999999999998E-4</v>
      </c>
      <c r="V42" s="110">
        <v>1.5550000000000002E-3</v>
      </c>
      <c r="W42" s="110">
        <v>3.166E-3</v>
      </c>
      <c r="X42" s="110">
        <v>4.6579999999999998E-3</v>
      </c>
      <c r="Y42" s="110">
        <v>6.0689999999999997E-3</v>
      </c>
      <c r="Z42" s="110">
        <v>8.7320000000000002E-3</v>
      </c>
    </row>
    <row r="43" spans="1:56" x14ac:dyDescent="0.2">
      <c r="C43">
        <v>82.23</v>
      </c>
      <c r="D43">
        <v>78.66</v>
      </c>
      <c r="E43">
        <v>103.5</v>
      </c>
      <c r="F43">
        <v>100.11</v>
      </c>
      <c r="G43">
        <v>99.86</v>
      </c>
      <c r="H43">
        <v>98.31</v>
      </c>
      <c r="I43">
        <v>75.92</v>
      </c>
      <c r="S43" s="110">
        <v>0</v>
      </c>
      <c r="T43" s="110">
        <v>2.6600000000000001E-4</v>
      </c>
      <c r="U43" s="110">
        <v>6.1299999999999994E-4</v>
      </c>
      <c r="V43" s="110">
        <v>1.348E-3</v>
      </c>
      <c r="W43" s="110">
        <v>2.7539999999999999E-3</v>
      </c>
      <c r="X43" s="110">
        <v>4.0670000000000003E-3</v>
      </c>
      <c r="Y43" s="110">
        <v>5.313E-3</v>
      </c>
      <c r="Z43" s="110">
        <v>7.6689999999999996E-3</v>
      </c>
    </row>
    <row r="44" spans="1:56" x14ac:dyDescent="0.2">
      <c r="S44" s="110">
        <v>0</v>
      </c>
      <c r="T44" s="110">
        <v>2.9399999999999999E-4</v>
      </c>
      <c r="U44" s="110">
        <v>6.6100000000000002E-4</v>
      </c>
      <c r="V44" s="110">
        <v>1.472E-3</v>
      </c>
      <c r="W44" s="110">
        <v>3.1079999999999997E-3</v>
      </c>
      <c r="X44" s="110">
        <v>4.6709999999999998E-3</v>
      </c>
      <c r="Y44" s="110">
        <v>6.1619999999999999E-3</v>
      </c>
      <c r="Z44" s="110">
        <v>8.9840000000000007E-3</v>
      </c>
    </row>
    <row r="45" spans="1:56" x14ac:dyDescent="0.2">
      <c r="S45" s="110">
        <v>0</v>
      </c>
      <c r="T45" s="110">
        <v>2.5499999999999996E-4</v>
      </c>
      <c r="U45" s="110">
        <v>5.4100000000000003E-4</v>
      </c>
      <c r="V45" s="110">
        <v>1.1710000000000002E-3</v>
      </c>
      <c r="W45" s="110">
        <v>2.5050000000000003E-3</v>
      </c>
      <c r="X45" s="110">
        <v>3.8350000000000003E-3</v>
      </c>
      <c r="Y45" s="110">
        <v>5.1340000000000005E-3</v>
      </c>
      <c r="Z45" s="110">
        <v>7.640000000000001E-3</v>
      </c>
    </row>
    <row r="46" spans="1:56" x14ac:dyDescent="0.2">
      <c r="A46" s="105" t="s">
        <v>38</v>
      </c>
      <c r="C46">
        <v>2.81</v>
      </c>
      <c r="D46">
        <v>2.66</v>
      </c>
      <c r="E46">
        <v>2.94</v>
      </c>
      <c r="F46">
        <v>2.5499999999999998</v>
      </c>
      <c r="G46">
        <v>2.09</v>
      </c>
      <c r="H46">
        <v>1.53</v>
      </c>
      <c r="I46">
        <v>0.93</v>
      </c>
      <c r="S46" s="110">
        <v>0</v>
      </c>
      <c r="T46" s="110">
        <v>2.0899999999999998E-4</v>
      </c>
      <c r="U46" s="110">
        <v>4.6200000000000001E-4</v>
      </c>
      <c r="V46" s="110">
        <v>1.059E-3</v>
      </c>
      <c r="W46" s="110">
        <v>2.4030000000000002E-3</v>
      </c>
      <c r="X46" s="110">
        <v>3.7850000000000002E-3</v>
      </c>
      <c r="Y46" s="110">
        <v>5.1489999999999999E-3</v>
      </c>
      <c r="Z46" s="110">
        <v>7.7879999999999998E-3</v>
      </c>
    </row>
    <row r="47" spans="1:56" x14ac:dyDescent="0.2">
      <c r="C47">
        <v>6.95</v>
      </c>
      <c r="D47">
        <v>6.13</v>
      </c>
      <c r="E47">
        <v>6.61</v>
      </c>
      <c r="F47">
        <v>5.41</v>
      </c>
      <c r="G47">
        <v>4.62</v>
      </c>
      <c r="H47">
        <v>3.65</v>
      </c>
      <c r="I47">
        <v>2.1</v>
      </c>
      <c r="S47" s="110">
        <v>0</v>
      </c>
      <c r="T47" s="110">
        <v>1.5300000000000001E-4</v>
      </c>
      <c r="U47" s="110">
        <v>3.6499999999999998E-4</v>
      </c>
      <c r="V47" s="110">
        <v>9.1600000000000004E-4</v>
      </c>
      <c r="W47" s="110">
        <v>2.258E-3</v>
      </c>
      <c r="X47" s="110">
        <v>3.6819999999999999E-3</v>
      </c>
      <c r="Y47" s="110">
        <v>5.1000000000000004E-3</v>
      </c>
      <c r="Z47" s="110">
        <v>7.8499999999999993E-3</v>
      </c>
    </row>
    <row r="48" spans="1:56" x14ac:dyDescent="0.2">
      <c r="C48">
        <v>15.55</v>
      </c>
      <c r="D48">
        <v>13.48</v>
      </c>
      <c r="E48">
        <v>14.72</v>
      </c>
      <c r="F48">
        <v>11.71</v>
      </c>
      <c r="G48">
        <v>10.59</v>
      </c>
      <c r="H48">
        <v>9.16</v>
      </c>
      <c r="I48">
        <v>5.04</v>
      </c>
      <c r="S48" s="110">
        <v>0</v>
      </c>
      <c r="T48" s="110">
        <v>9.3000000000000011E-5</v>
      </c>
      <c r="U48" s="110">
        <v>2.1000000000000001E-4</v>
      </c>
      <c r="V48" s="110">
        <v>5.04E-4</v>
      </c>
      <c r="W48" s="110">
        <v>1.266E-3</v>
      </c>
      <c r="X48" s="110">
        <v>2.1510000000000001E-3</v>
      </c>
      <c r="Y48" s="110">
        <v>3.0869999999999999E-3</v>
      </c>
      <c r="Z48" s="110">
        <v>5.0090000000000004E-3</v>
      </c>
    </row>
    <row r="49" spans="1:26" x14ac:dyDescent="0.2">
      <c r="C49">
        <v>31.66</v>
      </c>
      <c r="D49">
        <v>27.54</v>
      </c>
      <c r="E49">
        <v>31.08</v>
      </c>
      <c r="F49">
        <v>25.05</v>
      </c>
      <c r="G49">
        <v>24.03</v>
      </c>
      <c r="H49">
        <v>22.58</v>
      </c>
      <c r="I49">
        <v>12.66</v>
      </c>
      <c r="S49" s="110">
        <v>0</v>
      </c>
      <c r="T49" s="198">
        <v>2.9799999999999998E-4</v>
      </c>
      <c r="U49" s="198">
        <v>7.2400000000000003E-4</v>
      </c>
      <c r="V49" s="198">
        <v>1.6069999999999999E-3</v>
      </c>
      <c r="W49" s="198">
        <v>3.261E-3</v>
      </c>
      <c r="X49" s="198">
        <v>4.7920000000000003E-3</v>
      </c>
      <c r="Y49" s="198">
        <v>6.241E-3</v>
      </c>
      <c r="Z49" s="198">
        <v>8.9719999999999991E-3</v>
      </c>
    </row>
    <row r="50" spans="1:26" x14ac:dyDescent="0.2">
      <c r="C50">
        <v>46.58</v>
      </c>
      <c r="D50">
        <v>40.67</v>
      </c>
      <c r="E50">
        <v>46.71</v>
      </c>
      <c r="F50">
        <v>38.35</v>
      </c>
      <c r="G50">
        <v>37.85</v>
      </c>
      <c r="H50">
        <v>36.82</v>
      </c>
      <c r="I50">
        <v>21.51</v>
      </c>
      <c r="S50" s="110">
        <v>0</v>
      </c>
      <c r="T50" s="198">
        <v>2.5499999999999996E-4</v>
      </c>
      <c r="U50" s="198">
        <v>5.8099999999999992E-4</v>
      </c>
      <c r="V50" s="198">
        <v>1.2769999999999999E-3</v>
      </c>
      <c r="W50" s="198">
        <v>2.6280000000000001E-3</v>
      </c>
      <c r="X50" s="198">
        <v>3.8950000000000005E-3</v>
      </c>
      <c r="Y50" s="198">
        <v>5.1009999999999996E-3</v>
      </c>
      <c r="Z50" s="198">
        <v>7.3810000000000004E-3</v>
      </c>
    </row>
    <row r="51" spans="1:26" x14ac:dyDescent="0.2">
      <c r="C51">
        <v>60.69</v>
      </c>
      <c r="D51">
        <v>53.13</v>
      </c>
      <c r="E51">
        <v>61.62</v>
      </c>
      <c r="F51">
        <v>51.34</v>
      </c>
      <c r="G51">
        <v>51.49</v>
      </c>
      <c r="H51">
        <v>51</v>
      </c>
      <c r="I51">
        <v>30.87</v>
      </c>
      <c r="S51" s="110">
        <v>0</v>
      </c>
      <c r="T51" s="198">
        <v>2.5499999999999996E-4</v>
      </c>
      <c r="U51" s="198">
        <v>5.62E-4</v>
      </c>
      <c r="V51" s="198">
        <v>1.2439999999999999E-3</v>
      </c>
      <c r="W51" s="198">
        <v>2.6510000000000001E-3</v>
      </c>
      <c r="X51" s="198">
        <v>4.0159999999999996E-3</v>
      </c>
      <c r="Y51" s="198">
        <v>5.3299999999999997E-3</v>
      </c>
      <c r="Z51" s="198">
        <v>7.8390000000000005E-3</v>
      </c>
    </row>
    <row r="52" spans="1:26" x14ac:dyDescent="0.2">
      <c r="C52">
        <v>87.32</v>
      </c>
      <c r="D52">
        <v>76.69</v>
      </c>
      <c r="E52">
        <v>89.84</v>
      </c>
      <c r="F52">
        <v>76.400000000000006</v>
      </c>
      <c r="G52">
        <v>77.88</v>
      </c>
      <c r="H52">
        <v>78.5</v>
      </c>
      <c r="I52">
        <v>50.09</v>
      </c>
      <c r="S52" s="110">
        <v>0</v>
      </c>
      <c r="T52" s="198">
        <v>1.94E-4</v>
      </c>
      <c r="U52" s="198">
        <v>4.0700000000000003E-4</v>
      </c>
      <c r="V52" s="198">
        <v>8.7300000000000008E-4</v>
      </c>
      <c r="W52" s="198">
        <v>1.8809999999999999E-3</v>
      </c>
      <c r="X52" s="198">
        <v>2.9190000000000002E-3</v>
      </c>
      <c r="Y52" s="198">
        <v>3.9560000000000003E-3</v>
      </c>
      <c r="Z52" s="198">
        <v>6.0060000000000001E-3</v>
      </c>
    </row>
    <row r="53" spans="1:26" x14ac:dyDescent="0.2">
      <c r="S53" s="110">
        <v>0</v>
      </c>
      <c r="T53" s="198">
        <v>1.5300000000000001E-4</v>
      </c>
      <c r="U53" s="198">
        <v>3.2900000000000003E-4</v>
      </c>
      <c r="V53" s="198">
        <v>7.3300000000000004E-4</v>
      </c>
      <c r="W53" s="198">
        <v>1.663E-3</v>
      </c>
      <c r="X53" s="198">
        <v>2.66E-3</v>
      </c>
      <c r="Y53" s="198">
        <v>3.6749999999999999E-3</v>
      </c>
      <c r="Z53" s="198">
        <v>5.6990000000000001E-3</v>
      </c>
    </row>
    <row r="54" spans="1:26" x14ac:dyDescent="0.2">
      <c r="S54" s="110">
        <v>0</v>
      </c>
      <c r="T54" s="198">
        <v>1.1200000000000001E-4</v>
      </c>
      <c r="U54" s="198">
        <v>2.5000000000000001E-4</v>
      </c>
      <c r="V54" s="198">
        <v>5.9000000000000003E-4</v>
      </c>
      <c r="W54" s="198">
        <v>1.438E-3</v>
      </c>
      <c r="X54" s="198">
        <v>2.3899999999999998E-3</v>
      </c>
      <c r="Y54" s="198">
        <v>3.3790000000000001E-3</v>
      </c>
      <c r="Z54" s="198">
        <v>5.378E-3</v>
      </c>
    </row>
    <row r="55" spans="1:26" x14ac:dyDescent="0.2">
      <c r="A55" s="105" t="s">
        <v>152</v>
      </c>
      <c r="C55">
        <v>2.98</v>
      </c>
      <c r="D55">
        <v>2.5499999999999998</v>
      </c>
      <c r="E55">
        <v>2.5499999999999998</v>
      </c>
      <c r="F55">
        <v>1.94</v>
      </c>
      <c r="G55">
        <v>1.53</v>
      </c>
      <c r="H55">
        <v>1.1200000000000001</v>
      </c>
      <c r="I55">
        <v>0.84</v>
      </c>
      <c r="S55" s="110">
        <v>0</v>
      </c>
      <c r="T55" s="198">
        <v>8.3999999999999995E-5</v>
      </c>
      <c r="U55" s="198">
        <v>1.8700000000000002E-4</v>
      </c>
      <c r="V55" s="198">
        <v>4.4699999999999997E-4</v>
      </c>
      <c r="W55" s="198">
        <v>1.124E-3</v>
      </c>
      <c r="X55" s="198">
        <v>1.923E-3</v>
      </c>
      <c r="Y55" s="198">
        <v>2.7799999999999999E-3</v>
      </c>
      <c r="Z55" s="198">
        <v>4.561E-3</v>
      </c>
    </row>
    <row r="56" spans="1:26" x14ac:dyDescent="0.2">
      <c r="C56">
        <v>7.24</v>
      </c>
      <c r="D56">
        <v>5.81</v>
      </c>
      <c r="E56">
        <v>5.62</v>
      </c>
      <c r="F56">
        <v>4.07</v>
      </c>
      <c r="G56">
        <v>3.29</v>
      </c>
      <c r="H56">
        <v>2.5</v>
      </c>
      <c r="I56">
        <v>1.87</v>
      </c>
      <c r="S56" s="110">
        <v>0</v>
      </c>
      <c r="T56" s="110">
        <v>3.1199999999999999E-4</v>
      </c>
      <c r="U56" s="110">
        <v>7.4600000000000003E-4</v>
      </c>
      <c r="V56" s="110">
        <v>1.655E-3</v>
      </c>
      <c r="W56" s="110">
        <v>3.3740000000000003E-3</v>
      </c>
      <c r="X56" s="110">
        <v>4.9670000000000001E-3</v>
      </c>
      <c r="Y56" s="110">
        <v>6.4739999999999997E-3</v>
      </c>
      <c r="Z56" s="110">
        <v>9.3130000000000001E-3</v>
      </c>
    </row>
    <row r="57" spans="1:26" x14ac:dyDescent="0.2">
      <c r="C57">
        <v>16.07</v>
      </c>
      <c r="D57">
        <v>12.77</v>
      </c>
      <c r="E57">
        <v>12.44</v>
      </c>
      <c r="F57">
        <v>8.73</v>
      </c>
      <c r="G57">
        <v>7.33</v>
      </c>
      <c r="H57">
        <v>5.9</v>
      </c>
      <c r="I57">
        <v>4.47</v>
      </c>
      <c r="S57" s="110">
        <v>0</v>
      </c>
      <c r="T57" s="110">
        <v>2.34E-4</v>
      </c>
      <c r="U57" s="110">
        <v>5.2499999999999997E-4</v>
      </c>
      <c r="V57" s="110">
        <v>1.155E-3</v>
      </c>
      <c r="W57" s="110">
        <v>2.4030000000000002E-3</v>
      </c>
      <c r="X57" s="110">
        <v>3.5869999999999999E-3</v>
      </c>
      <c r="Y57" s="110">
        <v>4.7169999999999998E-3</v>
      </c>
      <c r="Z57" s="110">
        <v>6.8599999999999998E-3</v>
      </c>
    </row>
    <row r="58" spans="1:26" x14ac:dyDescent="0.2">
      <c r="C58">
        <v>32.61</v>
      </c>
      <c r="D58">
        <v>26.28</v>
      </c>
      <c r="E58">
        <v>26.51</v>
      </c>
      <c r="F58">
        <v>18.809999999999999</v>
      </c>
      <c r="G58">
        <v>16.63</v>
      </c>
      <c r="H58">
        <v>14.38</v>
      </c>
      <c r="I58">
        <v>11.24</v>
      </c>
      <c r="S58" s="110">
        <v>0</v>
      </c>
      <c r="T58" s="110">
        <v>2.0699999999999999E-4</v>
      </c>
      <c r="U58" s="110">
        <v>4.4999999999999999E-4</v>
      </c>
      <c r="V58" s="110">
        <v>9.9399999999999987E-4</v>
      </c>
      <c r="W58" s="110">
        <v>2.1510000000000001E-3</v>
      </c>
      <c r="X58" s="110">
        <v>3.3029999999999999E-3</v>
      </c>
      <c r="Y58" s="110">
        <v>4.4270000000000004E-3</v>
      </c>
      <c r="Z58" s="110">
        <v>6.6019999999999994E-3</v>
      </c>
    </row>
    <row r="59" spans="1:26" x14ac:dyDescent="0.2">
      <c r="C59">
        <v>47.92</v>
      </c>
      <c r="D59">
        <v>38.950000000000003</v>
      </c>
      <c r="E59">
        <v>40.159999999999997</v>
      </c>
      <c r="F59">
        <v>29.19</v>
      </c>
      <c r="G59">
        <v>26.6</v>
      </c>
      <c r="H59">
        <v>23.9</v>
      </c>
      <c r="I59">
        <v>19.23</v>
      </c>
      <c r="S59" s="110">
        <v>0</v>
      </c>
      <c r="T59" s="110">
        <v>1.6299999999999998E-4</v>
      </c>
      <c r="U59" s="110">
        <v>3.3999999999999997E-4</v>
      </c>
      <c r="V59" s="110">
        <v>7.2099999999999996E-4</v>
      </c>
      <c r="W59" s="110">
        <v>1.5539999999999998E-3</v>
      </c>
      <c r="X59" s="110">
        <v>2.4260000000000002E-3</v>
      </c>
      <c r="Y59" s="110">
        <v>3.3110000000000001E-3</v>
      </c>
      <c r="Z59" s="110">
        <v>5.0930000000000003E-3</v>
      </c>
    </row>
    <row r="60" spans="1:26" x14ac:dyDescent="0.2">
      <c r="C60">
        <v>62.41</v>
      </c>
      <c r="D60">
        <v>51.01</v>
      </c>
      <c r="E60">
        <v>53.3</v>
      </c>
      <c r="F60">
        <v>39.56</v>
      </c>
      <c r="G60">
        <v>36.75</v>
      </c>
      <c r="H60">
        <v>33.79</v>
      </c>
      <c r="I60">
        <v>27.8</v>
      </c>
      <c r="S60" s="110">
        <v>0</v>
      </c>
      <c r="T60" s="110">
        <v>1.27E-4</v>
      </c>
      <c r="U60" s="110">
        <v>2.6800000000000001E-4</v>
      </c>
      <c r="V60" s="110">
        <v>5.8699999999999996E-4</v>
      </c>
      <c r="W60" s="110">
        <v>1.3240000000000001E-3</v>
      </c>
      <c r="X60" s="110">
        <v>2.1299999999999999E-3</v>
      </c>
      <c r="Y60" s="110">
        <v>2.967E-3</v>
      </c>
      <c r="Z60" s="110">
        <v>4.6750000000000003E-3</v>
      </c>
    </row>
    <row r="61" spans="1:26" x14ac:dyDescent="0.2">
      <c r="C61">
        <v>89.72</v>
      </c>
      <c r="D61">
        <v>73.81</v>
      </c>
      <c r="E61">
        <v>78.39</v>
      </c>
      <c r="F61">
        <v>60.06</v>
      </c>
      <c r="G61">
        <v>56.99</v>
      </c>
      <c r="H61">
        <v>53.78</v>
      </c>
      <c r="I61">
        <v>45.61</v>
      </c>
      <c r="S61" s="110">
        <v>0</v>
      </c>
      <c r="T61" s="110">
        <v>9.2E-5</v>
      </c>
      <c r="U61" s="110">
        <v>2.0000000000000001E-4</v>
      </c>
      <c r="V61" s="110">
        <v>4.5800000000000002E-4</v>
      </c>
      <c r="W61" s="110">
        <v>1.0989999999999999E-3</v>
      </c>
      <c r="X61" s="110">
        <v>1.838E-3</v>
      </c>
      <c r="Y61" s="110">
        <v>2.627E-3</v>
      </c>
      <c r="Z61" s="110">
        <v>4.2680000000000001E-3</v>
      </c>
    </row>
    <row r="62" spans="1:26" x14ac:dyDescent="0.2">
      <c r="S62" s="110">
        <v>0</v>
      </c>
      <c r="T62" s="110">
        <v>7.4999999999999993E-5</v>
      </c>
      <c r="U62" s="110">
        <v>1.6699999999999999E-4</v>
      </c>
      <c r="V62" s="110">
        <v>3.9399999999999998E-4</v>
      </c>
      <c r="W62" s="110">
        <v>9.8999999999999999E-4</v>
      </c>
      <c r="X62" s="110">
        <v>1.702E-3</v>
      </c>
      <c r="Y62" s="110">
        <v>2.4760000000000003E-3</v>
      </c>
      <c r="Z62" s="110">
        <v>4.1070000000000004E-3</v>
      </c>
    </row>
    <row r="63" spans="1:26" x14ac:dyDescent="0.2">
      <c r="S63" s="110">
        <v>0</v>
      </c>
      <c r="T63" s="198">
        <v>1.94E-4</v>
      </c>
      <c r="U63" s="198">
        <v>4.4299999999999998E-4</v>
      </c>
      <c r="V63" s="198">
        <v>1.0140000000000001E-3</v>
      </c>
      <c r="W63" s="198">
        <v>2.2010000000000003E-3</v>
      </c>
      <c r="X63" s="198">
        <v>3.3490000000000004E-3</v>
      </c>
      <c r="Y63" s="198">
        <v>4.45E-3</v>
      </c>
      <c r="Z63" s="198">
        <v>6.5379999999999995E-3</v>
      </c>
    </row>
    <row r="64" spans="1:26" x14ac:dyDescent="0.2">
      <c r="A64" s="105" t="s">
        <v>25</v>
      </c>
      <c r="C64">
        <v>3.12</v>
      </c>
      <c r="D64">
        <v>2.34</v>
      </c>
      <c r="E64">
        <v>2.0699999999999998</v>
      </c>
      <c r="F64">
        <v>1.63</v>
      </c>
      <c r="G64">
        <v>1.27</v>
      </c>
      <c r="H64">
        <v>0.92</v>
      </c>
      <c r="I64">
        <v>0.75</v>
      </c>
      <c r="S64" s="110">
        <v>0</v>
      </c>
      <c r="T64" s="198">
        <v>2.0800000000000001E-4</v>
      </c>
      <c r="U64" s="198">
        <v>4.4299999999999998E-4</v>
      </c>
      <c r="V64" s="198">
        <v>9.4800000000000006E-4</v>
      </c>
      <c r="W64" s="198">
        <v>1.9889999999999999E-3</v>
      </c>
      <c r="X64" s="198">
        <v>3.0039999999999997E-3</v>
      </c>
      <c r="Y64" s="198">
        <v>3.9849999999999998E-3</v>
      </c>
      <c r="Z64" s="198">
        <v>5.8570000000000002E-3</v>
      </c>
    </row>
    <row r="65" spans="1:26" x14ac:dyDescent="0.2">
      <c r="C65">
        <v>7.46</v>
      </c>
      <c r="D65">
        <v>5.25</v>
      </c>
      <c r="E65">
        <v>4.5</v>
      </c>
      <c r="F65">
        <v>3.4</v>
      </c>
      <c r="G65">
        <v>2.68</v>
      </c>
      <c r="H65">
        <v>2</v>
      </c>
      <c r="I65">
        <v>1.67</v>
      </c>
      <c r="S65" s="110">
        <v>0</v>
      </c>
      <c r="T65" s="198">
        <v>1.46E-4</v>
      </c>
      <c r="U65" s="198">
        <v>3.0600000000000001E-4</v>
      </c>
      <c r="V65" s="198">
        <v>6.6E-4</v>
      </c>
      <c r="W65" s="198">
        <v>1.4369999999999999E-3</v>
      </c>
      <c r="X65" s="198">
        <v>2.248E-3</v>
      </c>
      <c r="Y65" s="198">
        <v>3.0629999999999998E-3</v>
      </c>
      <c r="Z65" s="198">
        <v>4.679E-3</v>
      </c>
    </row>
    <row r="66" spans="1:26" x14ac:dyDescent="0.2">
      <c r="C66">
        <v>16.55</v>
      </c>
      <c r="D66">
        <v>11.55</v>
      </c>
      <c r="E66">
        <v>9.94</v>
      </c>
      <c r="F66">
        <v>7.21</v>
      </c>
      <c r="G66">
        <v>5.87</v>
      </c>
      <c r="H66">
        <v>4.58</v>
      </c>
      <c r="I66">
        <v>3.94</v>
      </c>
      <c r="S66" s="110">
        <v>0</v>
      </c>
      <c r="T66" s="198">
        <v>9.8999999999999994E-5</v>
      </c>
      <c r="U66" s="198">
        <v>2.0299999999999997E-4</v>
      </c>
      <c r="V66" s="198">
        <v>4.2000000000000002E-4</v>
      </c>
      <c r="W66" s="198">
        <v>8.9099999999999997E-4</v>
      </c>
      <c r="X66" s="198">
        <v>1.3990000000000001E-3</v>
      </c>
      <c r="Y66" s="198">
        <v>1.9350000000000001E-3</v>
      </c>
      <c r="Z66" s="198">
        <v>3.0690000000000001E-3</v>
      </c>
    </row>
    <row r="67" spans="1:26" x14ac:dyDescent="0.2">
      <c r="C67">
        <v>33.74</v>
      </c>
      <c r="D67">
        <v>24.03</v>
      </c>
      <c r="E67">
        <v>21.51</v>
      </c>
      <c r="F67">
        <v>15.54</v>
      </c>
      <c r="G67">
        <v>13.24</v>
      </c>
      <c r="H67">
        <v>10.99</v>
      </c>
      <c r="I67">
        <v>9.9</v>
      </c>
      <c r="S67" s="110">
        <v>0</v>
      </c>
      <c r="T67" s="198">
        <v>7.9000000000000009E-5</v>
      </c>
      <c r="U67" s="198">
        <v>1.6200000000000001E-4</v>
      </c>
      <c r="V67" s="198">
        <v>3.39E-4</v>
      </c>
      <c r="W67" s="198">
        <v>7.3300000000000004E-4</v>
      </c>
      <c r="X67" s="198">
        <v>1.1720000000000001E-3</v>
      </c>
      <c r="Y67" s="198">
        <v>1.6469999999999998E-3</v>
      </c>
      <c r="Z67" s="198">
        <v>2.6739999999999997E-3</v>
      </c>
    </row>
    <row r="68" spans="1:26" x14ac:dyDescent="0.2">
      <c r="C68">
        <v>49.67</v>
      </c>
      <c r="D68">
        <v>35.869999999999997</v>
      </c>
      <c r="E68">
        <v>33.03</v>
      </c>
      <c r="F68">
        <v>24.26</v>
      </c>
      <c r="G68">
        <v>21.3</v>
      </c>
      <c r="H68">
        <v>18.38</v>
      </c>
      <c r="I68">
        <v>17.02</v>
      </c>
      <c r="S68" s="110">
        <v>0</v>
      </c>
      <c r="T68" s="198">
        <v>6.2000000000000003E-5</v>
      </c>
      <c r="U68" s="198">
        <v>1.2799999999999999E-4</v>
      </c>
      <c r="V68" s="198">
        <v>2.7E-4</v>
      </c>
      <c r="W68" s="198">
        <v>5.9599999999999996E-4</v>
      </c>
      <c r="X68" s="198">
        <v>9.7300000000000002E-4</v>
      </c>
      <c r="Y68" s="198">
        <v>1.392E-3</v>
      </c>
      <c r="Z68" s="198">
        <v>2.3280000000000002E-3</v>
      </c>
    </row>
    <row r="69" spans="1:26" x14ac:dyDescent="0.2">
      <c r="C69">
        <v>64.739999999999995</v>
      </c>
      <c r="D69">
        <v>47.17</v>
      </c>
      <c r="E69">
        <v>44.27</v>
      </c>
      <c r="F69">
        <v>33.11</v>
      </c>
      <c r="G69">
        <v>29.67</v>
      </c>
      <c r="H69">
        <v>26.27</v>
      </c>
      <c r="I69">
        <v>24.76</v>
      </c>
      <c r="S69" s="110">
        <v>0</v>
      </c>
      <c r="T69" s="198">
        <v>5.7999999999999994E-5</v>
      </c>
      <c r="U69" s="198">
        <v>1.1899999999999999E-4</v>
      </c>
      <c r="V69" s="198">
        <v>2.5000000000000001E-4</v>
      </c>
      <c r="W69" s="198">
        <v>5.4699999999999996E-4</v>
      </c>
      <c r="X69" s="198">
        <v>8.92E-4</v>
      </c>
      <c r="Y69" s="198">
        <v>1.281E-3</v>
      </c>
      <c r="Z69" s="198">
        <v>2.166E-3</v>
      </c>
    </row>
    <row r="70" spans="1:26" x14ac:dyDescent="0.2">
      <c r="C70">
        <v>93.13</v>
      </c>
      <c r="D70">
        <v>68.599999999999994</v>
      </c>
      <c r="E70">
        <v>66.02</v>
      </c>
      <c r="F70">
        <v>50.93</v>
      </c>
      <c r="G70">
        <v>46.75</v>
      </c>
      <c r="H70">
        <v>42.68</v>
      </c>
      <c r="I70">
        <v>41.07</v>
      </c>
      <c r="S70" s="110">
        <v>0</v>
      </c>
      <c r="T70" s="110">
        <v>1.0400000000000001E-4</v>
      </c>
      <c r="U70" s="110">
        <v>2.1600000000000002E-4</v>
      </c>
      <c r="V70" s="110">
        <v>4.6200000000000001E-4</v>
      </c>
      <c r="W70" s="110">
        <v>1.013E-3</v>
      </c>
      <c r="X70" s="110">
        <v>1.6069999999999999E-3</v>
      </c>
      <c r="Y70" s="110">
        <v>2.2170000000000002E-3</v>
      </c>
      <c r="Z70" s="110">
        <v>3.4420000000000002E-3</v>
      </c>
    </row>
    <row r="71" spans="1:26" x14ac:dyDescent="0.2">
      <c r="S71" s="110">
        <v>0</v>
      </c>
      <c r="T71" s="110">
        <v>8.8999999999999995E-5</v>
      </c>
      <c r="U71" s="110">
        <v>1.84E-4</v>
      </c>
      <c r="V71" s="110">
        <v>3.9300000000000001E-4</v>
      </c>
      <c r="W71" s="110">
        <v>8.6199999999999992E-4</v>
      </c>
      <c r="X71" s="110">
        <v>1.3730000000000001E-3</v>
      </c>
      <c r="Y71" s="110">
        <v>1.905E-3</v>
      </c>
      <c r="Z71" s="110">
        <v>2.9879999999999998E-3</v>
      </c>
    </row>
    <row r="72" spans="1:26" x14ac:dyDescent="0.2">
      <c r="C72" s="105">
        <v>1.25E-3</v>
      </c>
      <c r="D72" s="105">
        <v>2.5000000000000001E-3</v>
      </c>
      <c r="E72" s="105">
        <v>5.0000000000000001E-3</v>
      </c>
      <c r="F72" s="105">
        <v>0.01</v>
      </c>
      <c r="G72" s="105">
        <v>1.4999999999999999E-2</v>
      </c>
      <c r="H72" s="105">
        <v>0.02</v>
      </c>
      <c r="I72" s="105">
        <v>0.03</v>
      </c>
      <c r="S72" s="110">
        <v>0</v>
      </c>
      <c r="T72" s="110">
        <v>7.4999999999999993E-5</v>
      </c>
      <c r="U72" s="110">
        <v>1.5300000000000001E-4</v>
      </c>
      <c r="V72" s="110">
        <v>3.1700000000000001E-4</v>
      </c>
      <c r="W72" s="110">
        <v>6.7100000000000005E-4</v>
      </c>
      <c r="X72" s="110">
        <v>1.0529999999999999E-3</v>
      </c>
      <c r="Y72" s="110">
        <v>1.4529999999999999E-3</v>
      </c>
      <c r="Z72" s="110">
        <v>2.2820000000000002E-3</v>
      </c>
    </row>
    <row r="73" spans="1:26" ht="12.75" x14ac:dyDescent="0.2">
      <c r="A73" s="272" t="s">
        <v>157</v>
      </c>
      <c r="B73" s="105" t="s">
        <v>25</v>
      </c>
      <c r="C73">
        <v>1.94</v>
      </c>
      <c r="D73">
        <v>2.08</v>
      </c>
      <c r="E73">
        <v>1.46</v>
      </c>
      <c r="F73">
        <v>0.99</v>
      </c>
      <c r="G73">
        <v>0.79</v>
      </c>
      <c r="H73">
        <v>0.62</v>
      </c>
      <c r="I73">
        <v>0.57999999999999996</v>
      </c>
      <c r="S73" s="110">
        <v>0</v>
      </c>
      <c r="T73" s="110">
        <v>6.7000000000000002E-5</v>
      </c>
      <c r="U73" s="110">
        <v>1.35E-4</v>
      </c>
      <c r="V73" s="110">
        <v>2.7400000000000005E-4</v>
      </c>
      <c r="W73" s="110">
        <v>5.6300000000000002E-4</v>
      </c>
      <c r="X73" s="110">
        <v>8.6600000000000002E-4</v>
      </c>
      <c r="Y73" s="110">
        <v>1.1789999999999999E-3</v>
      </c>
      <c r="Z73" s="110">
        <v>1.8280000000000002E-3</v>
      </c>
    </row>
    <row r="74" spans="1:26" ht="12.75" x14ac:dyDescent="0.2">
      <c r="A74" s="271"/>
      <c r="B74" s="105" t="s">
        <v>157</v>
      </c>
      <c r="C74">
        <v>4.43</v>
      </c>
      <c r="D74">
        <v>4.43</v>
      </c>
      <c r="E74">
        <v>3.06</v>
      </c>
      <c r="F74">
        <v>2.0299999999999998</v>
      </c>
      <c r="G74">
        <v>1.62</v>
      </c>
      <c r="H74">
        <v>1.28</v>
      </c>
      <c r="I74">
        <v>1.19</v>
      </c>
      <c r="S74" s="110">
        <v>0</v>
      </c>
      <c r="T74" s="110">
        <v>5.7999999999999994E-5</v>
      </c>
      <c r="U74" s="110">
        <v>1.17E-4</v>
      </c>
      <c r="V74" s="110">
        <v>2.3799999999999998E-4</v>
      </c>
      <c r="W74" s="110">
        <v>4.9299999999999995E-4</v>
      </c>
      <c r="X74" s="110">
        <v>7.6599999999999997E-4</v>
      </c>
      <c r="Y74" s="110">
        <v>1.0539999999999998E-3</v>
      </c>
      <c r="Z74" s="110">
        <v>1.6609999999999999E-3</v>
      </c>
    </row>
    <row r="75" spans="1:26" ht="12.75" x14ac:dyDescent="0.2">
      <c r="A75" s="273"/>
      <c r="B75" s="105" t="s">
        <v>102</v>
      </c>
      <c r="C75">
        <v>10.14</v>
      </c>
      <c r="D75">
        <v>9.48</v>
      </c>
      <c r="E75">
        <v>6.6</v>
      </c>
      <c r="F75">
        <v>4.2</v>
      </c>
      <c r="G75">
        <v>3.39</v>
      </c>
      <c r="H75">
        <v>2.7</v>
      </c>
      <c r="I75">
        <v>2.5</v>
      </c>
      <c r="S75" s="110">
        <v>0</v>
      </c>
      <c r="T75" s="110">
        <v>5.1E-5</v>
      </c>
      <c r="U75" s="110">
        <v>1.0400000000000001E-4</v>
      </c>
      <c r="V75" s="110">
        <v>2.12E-4</v>
      </c>
      <c r="W75" s="110">
        <v>4.4200000000000001E-4</v>
      </c>
      <c r="X75" s="110">
        <v>6.9200000000000002E-4</v>
      </c>
      <c r="Y75" s="110">
        <v>9.5799999999999998E-4</v>
      </c>
      <c r="Z75" s="110">
        <v>1.529E-3</v>
      </c>
    </row>
    <row r="76" spans="1:26" ht="12.75" x14ac:dyDescent="0.2">
      <c r="A76" s="271"/>
      <c r="B76" s="105" t="s">
        <v>79</v>
      </c>
      <c r="C76">
        <v>22.01</v>
      </c>
      <c r="D76">
        <v>19.89</v>
      </c>
      <c r="E76">
        <v>14.37</v>
      </c>
      <c r="F76">
        <v>8.91</v>
      </c>
      <c r="G76">
        <v>7.33</v>
      </c>
      <c r="H76">
        <v>5.96</v>
      </c>
      <c r="I76">
        <v>5.47</v>
      </c>
      <c r="S76" s="110">
        <v>0</v>
      </c>
      <c r="T76" s="110">
        <v>5.1E-5</v>
      </c>
      <c r="U76" s="110">
        <v>1.03E-4</v>
      </c>
      <c r="V76" s="110">
        <v>2.1099999999999998E-4</v>
      </c>
      <c r="W76" s="110">
        <v>4.4200000000000001E-4</v>
      </c>
      <c r="X76" s="110">
        <v>6.9499999999999998E-4</v>
      </c>
      <c r="Y76" s="110">
        <v>9.6600000000000006E-4</v>
      </c>
      <c r="Z76" s="110">
        <v>1.5510000000000001E-3</v>
      </c>
    </row>
    <row r="77" spans="1:26" ht="12.75" x14ac:dyDescent="0.2">
      <c r="A77" s="271"/>
      <c r="B77" s="105" t="s">
        <v>107</v>
      </c>
      <c r="C77">
        <v>33.49</v>
      </c>
      <c r="D77">
        <v>30.04</v>
      </c>
      <c r="E77">
        <v>22.48</v>
      </c>
      <c r="F77">
        <v>13.99</v>
      </c>
      <c r="G77">
        <v>11.72</v>
      </c>
      <c r="H77">
        <v>9.73</v>
      </c>
      <c r="I77">
        <v>8.92</v>
      </c>
      <c r="S77" s="110">
        <v>0</v>
      </c>
      <c r="T77" s="198">
        <v>6.6000000000000005E-5</v>
      </c>
      <c r="U77" s="198">
        <v>1.3300000000000001E-4</v>
      </c>
      <c r="V77" s="198">
        <v>2.72E-4</v>
      </c>
      <c r="W77" s="198">
        <v>5.6500000000000007E-4</v>
      </c>
      <c r="X77" s="198">
        <v>8.7399999999999999E-4</v>
      </c>
      <c r="Y77" s="198">
        <v>1.194E-3</v>
      </c>
      <c r="Z77" s="198">
        <v>1.8559999999999998E-3</v>
      </c>
    </row>
    <row r="78" spans="1:26" ht="12.75" x14ac:dyDescent="0.2">
      <c r="A78" s="271"/>
      <c r="B78" s="105" t="s">
        <v>108</v>
      </c>
      <c r="C78">
        <v>44.5</v>
      </c>
      <c r="D78">
        <v>39.85</v>
      </c>
      <c r="E78">
        <v>30.63</v>
      </c>
      <c r="F78">
        <v>19.350000000000001</v>
      </c>
      <c r="G78">
        <v>16.47</v>
      </c>
      <c r="H78">
        <v>13.92</v>
      </c>
      <c r="I78">
        <v>12.81</v>
      </c>
      <c r="S78" s="110">
        <v>0</v>
      </c>
      <c r="T78" s="198">
        <v>5.6000000000000006E-5</v>
      </c>
      <c r="U78" s="198">
        <v>1.13E-4</v>
      </c>
      <c r="V78" s="198">
        <v>2.3199999999999997E-4</v>
      </c>
      <c r="W78" s="198">
        <v>4.8700000000000002E-4</v>
      </c>
      <c r="X78" s="198">
        <v>7.5999999999999993E-4</v>
      </c>
      <c r="Y78" s="198">
        <v>1.047E-3</v>
      </c>
      <c r="Z78" s="198">
        <v>1.6510000000000001E-3</v>
      </c>
    </row>
    <row r="79" spans="1:26" ht="12.75" x14ac:dyDescent="0.2">
      <c r="A79" s="271"/>
      <c r="B79" s="105" t="s">
        <v>110</v>
      </c>
      <c r="C79">
        <v>65.38</v>
      </c>
      <c r="D79">
        <v>58.57</v>
      </c>
      <c r="E79">
        <v>46.79</v>
      </c>
      <c r="F79">
        <v>30.69</v>
      </c>
      <c r="G79">
        <v>26.74</v>
      </c>
      <c r="H79">
        <v>23.28</v>
      </c>
      <c r="I79">
        <v>21.66</v>
      </c>
      <c r="S79" s="110">
        <v>0</v>
      </c>
      <c r="T79" s="198">
        <v>5.6000000000000006E-5</v>
      </c>
      <c r="U79" s="198">
        <v>1.1399999999999999E-4</v>
      </c>
      <c r="V79" s="198">
        <v>2.3599999999999999E-4</v>
      </c>
      <c r="W79" s="198">
        <v>5.0099999999999993E-4</v>
      </c>
      <c r="X79" s="198">
        <v>7.9299999999999998E-4</v>
      </c>
      <c r="Y79" s="198">
        <v>1.108E-3</v>
      </c>
      <c r="Z79" s="198">
        <v>1.786E-3</v>
      </c>
    </row>
    <row r="80" spans="1:26" ht="12.75" x14ac:dyDescent="0.2">
      <c r="A80" s="271"/>
      <c r="S80" s="110">
        <v>0</v>
      </c>
      <c r="T80" s="198">
        <v>5.4000000000000005E-5</v>
      </c>
      <c r="U80" s="198">
        <v>1.0800000000000001E-4</v>
      </c>
      <c r="V80" s="198">
        <v>2.13E-4</v>
      </c>
      <c r="W80" s="198">
        <v>4.17E-4</v>
      </c>
      <c r="X80" s="198">
        <v>6.2100000000000002E-4</v>
      </c>
      <c r="Y80" s="198">
        <v>8.2799999999999996E-4</v>
      </c>
      <c r="Z80" s="198">
        <v>1.261E-3</v>
      </c>
    </row>
    <row r="81" spans="1:26" ht="12.75" x14ac:dyDescent="0.2">
      <c r="A81" s="271"/>
      <c r="S81" s="110">
        <v>0</v>
      </c>
      <c r="T81" s="198">
        <v>5.3000000000000001E-5</v>
      </c>
      <c r="U81" s="198">
        <v>1.05E-4</v>
      </c>
      <c r="V81" s="198">
        <v>2.0699999999999999E-4</v>
      </c>
      <c r="W81" s="198">
        <v>4.08E-4</v>
      </c>
      <c r="X81" s="198">
        <v>6.0899999999999995E-4</v>
      </c>
      <c r="Y81" s="198">
        <v>8.1599999999999999E-4</v>
      </c>
      <c r="Z81" s="198">
        <v>1.255E-3</v>
      </c>
    </row>
    <row r="82" spans="1:26" ht="12.75" x14ac:dyDescent="0.2">
      <c r="A82" s="272" t="s">
        <v>102</v>
      </c>
      <c r="C82">
        <v>1.04</v>
      </c>
      <c r="D82">
        <v>0.89</v>
      </c>
      <c r="E82">
        <v>0.75</v>
      </c>
      <c r="F82">
        <v>0.67</v>
      </c>
      <c r="G82">
        <v>0.57999999999999996</v>
      </c>
      <c r="H82">
        <v>0.51</v>
      </c>
      <c r="I82">
        <v>0.51</v>
      </c>
      <c r="S82" s="110">
        <v>0</v>
      </c>
      <c r="T82" s="198">
        <v>5.5000000000000002E-5</v>
      </c>
      <c r="U82" s="198">
        <v>1.0800000000000001E-4</v>
      </c>
      <c r="V82" s="198">
        <v>2.13E-4</v>
      </c>
      <c r="W82" s="198">
        <v>4.2000000000000002E-4</v>
      </c>
      <c r="X82" s="198">
        <v>6.2699999999999995E-4</v>
      </c>
      <c r="Y82" s="198">
        <v>8.4100000000000006E-4</v>
      </c>
      <c r="Z82" s="198">
        <v>1.2960000000000001E-3</v>
      </c>
    </row>
    <row r="83" spans="1:26" ht="12.75" x14ac:dyDescent="0.2">
      <c r="A83" s="271"/>
      <c r="C83">
        <v>2.16</v>
      </c>
      <c r="D83">
        <v>1.84</v>
      </c>
      <c r="E83">
        <v>1.53</v>
      </c>
      <c r="F83">
        <v>1.35</v>
      </c>
      <c r="G83">
        <v>1.17</v>
      </c>
      <c r="H83">
        <v>1.04</v>
      </c>
      <c r="I83">
        <v>1.03</v>
      </c>
      <c r="S83" s="110">
        <v>0</v>
      </c>
      <c r="T83" s="198">
        <v>6.5000000000000008E-5</v>
      </c>
      <c r="U83" s="198">
        <v>1.3000000000000002E-4</v>
      </c>
      <c r="V83" s="198">
        <v>2.6000000000000003E-4</v>
      </c>
      <c r="W83" s="198">
        <v>5.22E-4</v>
      </c>
      <c r="X83" s="198">
        <v>7.94E-4</v>
      </c>
      <c r="Y83" s="198">
        <v>1.08E-3</v>
      </c>
      <c r="Z83" s="198">
        <v>1.6870000000000001E-3</v>
      </c>
    </row>
    <row r="84" spans="1:26" ht="12.75" x14ac:dyDescent="0.2">
      <c r="A84" s="273"/>
      <c r="C84">
        <v>4.62</v>
      </c>
      <c r="D84">
        <v>3.93</v>
      </c>
      <c r="E84">
        <v>3.17</v>
      </c>
      <c r="F84">
        <v>2.74</v>
      </c>
      <c r="G84">
        <v>2.38</v>
      </c>
      <c r="H84">
        <v>2.12</v>
      </c>
      <c r="I84">
        <v>2.11</v>
      </c>
      <c r="S84" s="110">
        <v>0</v>
      </c>
      <c r="T84" s="110">
        <v>5.4000000000000005E-5</v>
      </c>
      <c r="U84" s="110">
        <v>1.0900000000000001E-4</v>
      </c>
      <c r="V84" s="110">
        <v>2.2200000000000003E-4</v>
      </c>
      <c r="W84" s="110">
        <v>4.5599999999999997E-4</v>
      </c>
      <c r="X84" s="110">
        <v>6.9899999999999997E-4</v>
      </c>
      <c r="Y84" s="110">
        <v>9.5E-4</v>
      </c>
      <c r="Z84" s="110">
        <v>1.4679999999999999E-3</v>
      </c>
    </row>
    <row r="85" spans="1:26" ht="12.75" x14ac:dyDescent="0.2">
      <c r="A85" s="271"/>
      <c r="C85">
        <v>10.130000000000001</v>
      </c>
      <c r="D85">
        <v>8.6199999999999992</v>
      </c>
      <c r="E85">
        <v>6.71</v>
      </c>
      <c r="F85">
        <v>5.63</v>
      </c>
      <c r="G85">
        <v>4.93</v>
      </c>
      <c r="H85">
        <v>4.42</v>
      </c>
      <c r="I85">
        <v>4.42</v>
      </c>
      <c r="S85" s="110">
        <v>0</v>
      </c>
      <c r="T85" s="110">
        <v>4.6999999999999997E-5</v>
      </c>
      <c r="U85" s="110">
        <v>9.4999999999999992E-5</v>
      </c>
      <c r="V85" s="110">
        <v>1.95E-4</v>
      </c>
      <c r="W85" s="110">
        <v>4.08E-4</v>
      </c>
      <c r="X85" s="110">
        <v>6.3699999999999998E-4</v>
      </c>
      <c r="Y85" s="110">
        <v>8.789999999999999E-4</v>
      </c>
      <c r="Z85" s="110">
        <v>1.3929999999999999E-3</v>
      </c>
    </row>
    <row r="86" spans="1:26" ht="12.75" x14ac:dyDescent="0.2">
      <c r="A86" s="271"/>
      <c r="C86">
        <v>16.07</v>
      </c>
      <c r="D86">
        <v>13.73</v>
      </c>
      <c r="E86">
        <v>10.53</v>
      </c>
      <c r="F86">
        <v>8.66</v>
      </c>
      <c r="G86">
        <v>7.66</v>
      </c>
      <c r="H86">
        <v>6.92</v>
      </c>
      <c r="I86">
        <v>6.95</v>
      </c>
      <c r="S86" s="110">
        <v>0</v>
      </c>
      <c r="T86" s="110">
        <v>5.2000000000000004E-5</v>
      </c>
      <c r="U86" s="110">
        <v>1.0400000000000001E-4</v>
      </c>
      <c r="V86" s="110">
        <v>2.1000000000000001E-4</v>
      </c>
      <c r="W86" s="110">
        <v>4.3200000000000004E-4</v>
      </c>
      <c r="X86" s="110">
        <v>6.6799999999999997E-4</v>
      </c>
      <c r="Y86" s="110">
        <v>9.1799999999999998E-4</v>
      </c>
      <c r="Z86" s="110">
        <v>1.4529999999999999E-3</v>
      </c>
    </row>
    <row r="87" spans="1:26" ht="12.75" x14ac:dyDescent="0.2">
      <c r="A87" s="271"/>
      <c r="C87">
        <v>22.17</v>
      </c>
      <c r="D87">
        <v>19.05</v>
      </c>
      <c r="E87">
        <v>14.53</v>
      </c>
      <c r="F87">
        <v>11.79</v>
      </c>
      <c r="G87">
        <v>10.54</v>
      </c>
      <c r="H87">
        <v>9.58</v>
      </c>
      <c r="I87">
        <v>9.66</v>
      </c>
      <c r="S87" s="110">
        <v>0</v>
      </c>
      <c r="T87" s="110">
        <v>5.3000000000000001E-5</v>
      </c>
      <c r="U87" s="110">
        <v>1.03E-4</v>
      </c>
      <c r="V87" s="110">
        <v>2.0000000000000001E-4</v>
      </c>
      <c r="W87" s="110">
        <v>3.8099999999999999E-4</v>
      </c>
      <c r="X87" s="110">
        <v>5.5099999999999995E-4</v>
      </c>
      <c r="Y87" s="110">
        <v>7.1900000000000002E-4</v>
      </c>
      <c r="Z87" s="110">
        <v>1.0609999999999999E-3</v>
      </c>
    </row>
    <row r="88" spans="1:26" ht="12.75" x14ac:dyDescent="0.2">
      <c r="A88" s="271"/>
      <c r="C88">
        <v>34.42</v>
      </c>
      <c r="D88">
        <v>29.88</v>
      </c>
      <c r="E88">
        <v>22.82</v>
      </c>
      <c r="F88">
        <v>18.28</v>
      </c>
      <c r="G88">
        <v>16.61</v>
      </c>
      <c r="H88">
        <v>15.29</v>
      </c>
      <c r="I88">
        <v>15.51</v>
      </c>
      <c r="S88" s="110">
        <v>0</v>
      </c>
      <c r="T88" s="110">
        <v>5.2000000000000004E-5</v>
      </c>
      <c r="U88" s="110">
        <v>1.02E-4</v>
      </c>
      <c r="V88" s="110">
        <v>1.9699999999999999E-4</v>
      </c>
      <c r="W88" s="110">
        <v>3.6999999999999999E-4</v>
      </c>
      <c r="X88" s="110">
        <v>5.2800000000000004E-4</v>
      </c>
      <c r="Y88" s="110">
        <v>6.7900000000000002E-4</v>
      </c>
      <c r="Z88" s="110">
        <v>9.77E-4</v>
      </c>
    </row>
    <row r="89" spans="1:26" ht="12.75" x14ac:dyDescent="0.2">
      <c r="A89" s="271"/>
      <c r="S89" s="110">
        <v>0</v>
      </c>
      <c r="T89" s="110">
        <v>5.4000000000000005E-5</v>
      </c>
      <c r="U89" s="110">
        <v>1.05E-4</v>
      </c>
      <c r="V89" s="110">
        <v>2.02E-4</v>
      </c>
      <c r="W89" s="110">
        <v>3.7500000000000001E-4</v>
      </c>
      <c r="X89" s="110">
        <v>5.2899999999999996E-4</v>
      </c>
      <c r="Y89" s="110">
        <v>6.7100000000000005E-4</v>
      </c>
      <c r="Z89" s="110">
        <v>9.3800000000000003E-4</v>
      </c>
    </row>
    <row r="90" spans="1:26" ht="12.75" x14ac:dyDescent="0.2">
      <c r="A90" s="271"/>
      <c r="S90" s="110">
        <v>0</v>
      </c>
      <c r="T90" s="110">
        <v>6.2000000000000003E-5</v>
      </c>
      <c r="U90" s="110">
        <v>1.21E-4</v>
      </c>
      <c r="V90" s="110">
        <v>2.2900000000000001E-4</v>
      </c>
      <c r="W90" s="110">
        <v>4.1900000000000005E-4</v>
      </c>
      <c r="X90" s="110">
        <v>5.8200000000000005E-4</v>
      </c>
      <c r="Y90" s="110">
        <v>7.2999999999999996E-4</v>
      </c>
      <c r="Z90" s="110">
        <v>1.0059999999999999E-3</v>
      </c>
    </row>
    <row r="91" spans="1:26" ht="12.75" x14ac:dyDescent="0.2">
      <c r="A91" s="272" t="s">
        <v>79</v>
      </c>
      <c r="C91">
        <v>0.66</v>
      </c>
      <c r="D91">
        <v>0.56000000000000005</v>
      </c>
      <c r="E91">
        <v>0.56000000000000005</v>
      </c>
      <c r="F91">
        <v>0.54</v>
      </c>
      <c r="G91">
        <v>0.53</v>
      </c>
      <c r="H91">
        <v>0.55000000000000004</v>
      </c>
      <c r="I91">
        <v>0.65</v>
      </c>
      <c r="S91" s="110">
        <v>0</v>
      </c>
      <c r="T91" s="198">
        <v>4.8999999999999998E-5</v>
      </c>
      <c r="U91" s="198">
        <v>1E-4</v>
      </c>
      <c r="V91" s="198">
        <v>2.02E-4</v>
      </c>
      <c r="W91" s="198">
        <v>4.1500000000000006E-4</v>
      </c>
      <c r="X91" s="198">
        <v>6.38E-4</v>
      </c>
      <c r="Y91" s="198">
        <v>8.6799999999999996E-4</v>
      </c>
      <c r="Z91" s="198">
        <v>1.3439999999999999E-3</v>
      </c>
    </row>
    <row r="92" spans="1:26" ht="12.75" x14ac:dyDescent="0.2">
      <c r="A92" s="271"/>
      <c r="C92">
        <v>1.33</v>
      </c>
      <c r="D92">
        <v>1.1299999999999999</v>
      </c>
      <c r="E92">
        <v>1.1399999999999999</v>
      </c>
      <c r="F92">
        <v>1.08</v>
      </c>
      <c r="G92">
        <v>1.05</v>
      </c>
      <c r="H92">
        <v>1.08</v>
      </c>
      <c r="I92">
        <v>1.3</v>
      </c>
      <c r="S92" s="110">
        <v>0</v>
      </c>
      <c r="T92" s="198">
        <v>4.3000000000000002E-5</v>
      </c>
      <c r="U92" s="198">
        <v>8.7000000000000001E-5</v>
      </c>
      <c r="V92" s="198">
        <v>1.7799999999999999E-4</v>
      </c>
      <c r="W92" s="198">
        <v>3.7300000000000001E-4</v>
      </c>
      <c r="X92" s="198">
        <v>5.8299999999999997E-4</v>
      </c>
      <c r="Y92" s="198">
        <v>8.0699999999999999E-4</v>
      </c>
      <c r="Z92" s="198">
        <v>1.2869999999999999E-3</v>
      </c>
    </row>
    <row r="93" spans="1:26" ht="12.75" x14ac:dyDescent="0.2">
      <c r="A93" s="273"/>
      <c r="C93">
        <v>2.72</v>
      </c>
      <c r="D93">
        <v>2.3199999999999998</v>
      </c>
      <c r="E93">
        <v>2.36</v>
      </c>
      <c r="F93">
        <v>2.13</v>
      </c>
      <c r="G93">
        <v>2.0699999999999998</v>
      </c>
      <c r="H93">
        <v>2.13</v>
      </c>
      <c r="I93">
        <v>2.6</v>
      </c>
      <c r="S93" s="110">
        <v>0</v>
      </c>
      <c r="T93" s="198">
        <v>4.1999999999999998E-5</v>
      </c>
      <c r="U93" s="198">
        <v>8.2999999999999998E-5</v>
      </c>
      <c r="V93" s="198">
        <v>1.66E-4</v>
      </c>
      <c r="W93" s="198">
        <v>3.3399999999999999E-4</v>
      </c>
      <c r="X93" s="198">
        <v>5.1199999999999998E-4</v>
      </c>
      <c r="Y93" s="198">
        <v>7.0300000000000007E-4</v>
      </c>
      <c r="Z93" s="198">
        <v>1.1230000000000001E-3</v>
      </c>
    </row>
    <row r="94" spans="1:26" ht="12.75" x14ac:dyDescent="0.2">
      <c r="A94" s="271"/>
      <c r="C94">
        <v>5.65</v>
      </c>
      <c r="D94">
        <v>4.87</v>
      </c>
      <c r="E94">
        <v>5.01</v>
      </c>
      <c r="F94">
        <v>4.17</v>
      </c>
      <c r="G94">
        <v>4.08</v>
      </c>
      <c r="H94">
        <v>4.2</v>
      </c>
      <c r="I94">
        <v>5.22</v>
      </c>
      <c r="S94" s="110">
        <v>0</v>
      </c>
      <c r="T94" s="198">
        <v>5.1E-5</v>
      </c>
      <c r="U94" s="198">
        <v>9.7999999999999997E-5</v>
      </c>
      <c r="V94" s="198">
        <v>1.85E-4</v>
      </c>
      <c r="W94" s="198">
        <v>3.3E-4</v>
      </c>
      <c r="X94" s="198">
        <v>4.4900000000000002E-4</v>
      </c>
      <c r="Y94" s="198">
        <v>5.5000000000000003E-4</v>
      </c>
      <c r="Z94" s="198">
        <v>7.2499999999999995E-4</v>
      </c>
    </row>
    <row r="95" spans="1:26" ht="12.75" x14ac:dyDescent="0.2">
      <c r="A95" s="271"/>
      <c r="C95">
        <v>8.74</v>
      </c>
      <c r="D95">
        <v>7.6</v>
      </c>
      <c r="E95">
        <v>7.93</v>
      </c>
      <c r="F95">
        <v>6.21</v>
      </c>
      <c r="G95">
        <v>6.09</v>
      </c>
      <c r="H95">
        <v>6.27</v>
      </c>
      <c r="I95">
        <v>7.94</v>
      </c>
      <c r="S95" s="110">
        <v>0</v>
      </c>
      <c r="T95" s="198">
        <v>5.1E-5</v>
      </c>
      <c r="U95" s="198">
        <v>9.8999999999999994E-5</v>
      </c>
      <c r="V95" s="198">
        <v>1.85E-4</v>
      </c>
      <c r="W95" s="198">
        <v>3.3199999999999999E-4</v>
      </c>
      <c r="X95" s="198">
        <v>4.5199999999999998E-4</v>
      </c>
      <c r="Y95" s="198">
        <v>5.5400000000000002E-4</v>
      </c>
      <c r="Z95" s="198">
        <v>7.2900000000000005E-4</v>
      </c>
    </row>
    <row r="96" spans="1:26" ht="12.75" x14ac:dyDescent="0.2">
      <c r="A96" s="271"/>
      <c r="C96">
        <v>11.94</v>
      </c>
      <c r="D96">
        <v>10.47</v>
      </c>
      <c r="E96">
        <v>11.08</v>
      </c>
      <c r="F96">
        <v>8.2799999999999994</v>
      </c>
      <c r="G96">
        <v>8.16</v>
      </c>
      <c r="H96">
        <v>8.41</v>
      </c>
      <c r="I96">
        <v>10.8</v>
      </c>
      <c r="S96" s="110">
        <v>0</v>
      </c>
      <c r="T96" s="198">
        <v>5.2000000000000004E-5</v>
      </c>
      <c r="U96" s="198">
        <v>1E-4</v>
      </c>
      <c r="V96" s="198">
        <v>1.8899999999999999E-4</v>
      </c>
      <c r="W96" s="198">
        <v>3.39E-4</v>
      </c>
      <c r="X96" s="198">
        <v>4.6299999999999998E-4</v>
      </c>
      <c r="Y96" s="198">
        <v>5.6799999999999993E-4</v>
      </c>
      <c r="Z96" s="198">
        <v>7.4800000000000008E-4</v>
      </c>
    </row>
    <row r="97" spans="1:26" ht="12.75" x14ac:dyDescent="0.2">
      <c r="A97" s="271"/>
      <c r="C97">
        <v>18.559999999999999</v>
      </c>
      <c r="D97">
        <v>16.510000000000002</v>
      </c>
      <c r="E97">
        <v>17.86</v>
      </c>
      <c r="F97">
        <v>12.61</v>
      </c>
      <c r="G97">
        <v>12.55</v>
      </c>
      <c r="H97">
        <v>12.96</v>
      </c>
      <c r="I97">
        <v>16.87</v>
      </c>
      <c r="S97" s="110">
        <v>0</v>
      </c>
      <c r="T97" s="198">
        <v>5.6000000000000006E-5</v>
      </c>
      <c r="U97" s="198">
        <v>1.0800000000000001E-4</v>
      </c>
      <c r="V97" s="198">
        <v>2.0099999999999998E-4</v>
      </c>
      <c r="W97" s="198">
        <v>3.5199999999999999E-4</v>
      </c>
      <c r="X97" s="198">
        <v>4.6799999999999999E-4</v>
      </c>
      <c r="Y97" s="198">
        <v>5.5900000000000004E-4</v>
      </c>
      <c r="Z97" s="198">
        <v>6.9499999999999998E-4</v>
      </c>
    </row>
    <row r="98" spans="1:26" ht="12.75" x14ac:dyDescent="0.2">
      <c r="A98" s="271"/>
      <c r="S98" s="110">
        <v>0</v>
      </c>
      <c r="T98" s="110">
        <v>4.6E-5</v>
      </c>
      <c r="U98" s="110">
        <v>9.3999999999999994E-5</v>
      </c>
      <c r="V98" s="110">
        <v>1.9099999999999998E-4</v>
      </c>
      <c r="W98" s="110">
        <v>3.9500000000000001E-4</v>
      </c>
      <c r="X98" s="110">
        <v>6.11E-4</v>
      </c>
      <c r="Y98" s="110">
        <v>8.3599999999999994E-4</v>
      </c>
      <c r="Z98" s="110">
        <v>1.3050000000000002E-3</v>
      </c>
    </row>
    <row r="99" spans="1:26" ht="12.75" x14ac:dyDescent="0.2">
      <c r="A99" s="271"/>
      <c r="S99" s="110">
        <v>0</v>
      </c>
      <c r="T99" s="110">
        <v>3.4E-5</v>
      </c>
      <c r="U99" s="110">
        <v>6.8999999999999997E-5</v>
      </c>
      <c r="V99" s="110">
        <v>1.44E-4</v>
      </c>
      <c r="W99" s="110">
        <v>3.0699999999999998E-4</v>
      </c>
      <c r="X99" s="110">
        <v>4.8799999999999999E-4</v>
      </c>
      <c r="Y99" s="110">
        <v>6.8499999999999995E-4</v>
      </c>
      <c r="Z99" s="110">
        <v>1.1169999999999999E-3</v>
      </c>
    </row>
    <row r="100" spans="1:26" ht="12.75" x14ac:dyDescent="0.2">
      <c r="A100" s="272" t="s">
        <v>107</v>
      </c>
      <c r="C100">
        <v>0.54</v>
      </c>
      <c r="D100">
        <v>0.47</v>
      </c>
      <c r="E100">
        <v>0.52</v>
      </c>
      <c r="F100">
        <v>0.53</v>
      </c>
      <c r="G100">
        <v>0.52</v>
      </c>
      <c r="H100">
        <v>0.54</v>
      </c>
      <c r="I100">
        <v>0.62</v>
      </c>
      <c r="S100" s="110">
        <v>0</v>
      </c>
      <c r="T100" s="110">
        <v>3.4E-5</v>
      </c>
      <c r="U100" s="110">
        <v>6.7000000000000002E-5</v>
      </c>
      <c r="V100" s="110">
        <v>1.3200000000000001E-4</v>
      </c>
      <c r="W100" s="110">
        <v>2.61E-4</v>
      </c>
      <c r="X100" s="110">
        <v>3.97E-4</v>
      </c>
      <c r="Y100" s="110">
        <v>5.4500000000000002E-4</v>
      </c>
      <c r="Z100" s="110">
        <v>8.8400000000000002E-4</v>
      </c>
    </row>
    <row r="101" spans="1:26" ht="12.75" x14ac:dyDescent="0.2">
      <c r="A101" s="271"/>
      <c r="C101">
        <v>1.0900000000000001</v>
      </c>
      <c r="D101">
        <v>0.95</v>
      </c>
      <c r="E101">
        <v>1.04</v>
      </c>
      <c r="F101">
        <v>1.03</v>
      </c>
      <c r="G101">
        <v>1.02</v>
      </c>
      <c r="H101">
        <v>1.05</v>
      </c>
      <c r="I101">
        <v>1.21</v>
      </c>
      <c r="S101" s="110">
        <v>0</v>
      </c>
      <c r="T101" s="110">
        <v>5.4000000000000005E-5</v>
      </c>
      <c r="U101" s="110">
        <v>1.05E-4</v>
      </c>
      <c r="V101" s="110">
        <v>1.9599999999999999E-4</v>
      </c>
      <c r="W101" s="110">
        <v>3.4200000000000002E-4</v>
      </c>
      <c r="X101" s="110">
        <v>4.5099999999999996E-4</v>
      </c>
      <c r="Y101" s="110">
        <v>5.3200000000000003E-4</v>
      </c>
      <c r="Z101" s="110">
        <v>6.3299999999999999E-4</v>
      </c>
    </row>
    <row r="102" spans="1:26" ht="12.75" x14ac:dyDescent="0.2">
      <c r="A102" s="273"/>
      <c r="C102">
        <v>2.2200000000000002</v>
      </c>
      <c r="D102">
        <v>1.95</v>
      </c>
      <c r="E102">
        <v>2.1</v>
      </c>
      <c r="F102">
        <v>2</v>
      </c>
      <c r="G102">
        <v>1.97</v>
      </c>
      <c r="H102">
        <v>2.02</v>
      </c>
      <c r="I102">
        <v>2.29</v>
      </c>
      <c r="S102" s="110">
        <v>0</v>
      </c>
      <c r="T102" s="110">
        <v>5.2000000000000004E-5</v>
      </c>
      <c r="U102" s="110">
        <v>1.01E-4</v>
      </c>
      <c r="V102" s="110">
        <v>1.8799999999999999E-4</v>
      </c>
      <c r="W102" s="110">
        <v>3.2599999999999996E-4</v>
      </c>
      <c r="X102" s="110">
        <v>4.26E-4</v>
      </c>
      <c r="Y102" s="110">
        <v>4.9899999999999999E-4</v>
      </c>
      <c r="Z102" s="110">
        <v>5.8399999999999999E-4</v>
      </c>
    </row>
    <row r="103" spans="1:26" ht="12.75" x14ac:dyDescent="0.2">
      <c r="A103" s="271"/>
      <c r="C103">
        <v>4.5599999999999996</v>
      </c>
      <c r="D103">
        <v>4.08</v>
      </c>
      <c r="E103">
        <v>4.32</v>
      </c>
      <c r="F103">
        <v>3.81</v>
      </c>
      <c r="G103">
        <v>3.7</v>
      </c>
      <c r="H103">
        <v>3.75</v>
      </c>
      <c r="I103">
        <v>4.1900000000000004</v>
      </c>
      <c r="S103" s="110">
        <v>0</v>
      </c>
      <c r="T103" s="110">
        <v>5.3000000000000001E-5</v>
      </c>
      <c r="U103" s="110">
        <v>1.02E-4</v>
      </c>
      <c r="V103" s="110">
        <v>1.8899999999999999E-4</v>
      </c>
      <c r="W103" s="110">
        <v>3.2699999999999998E-4</v>
      </c>
      <c r="X103" s="110">
        <v>4.26E-4</v>
      </c>
      <c r="Y103" s="110">
        <v>4.9600000000000002E-4</v>
      </c>
      <c r="Z103" s="110">
        <v>5.7899999999999998E-4</v>
      </c>
    </row>
    <row r="104" spans="1:26" ht="12.75" x14ac:dyDescent="0.2">
      <c r="A104" s="271"/>
      <c r="C104">
        <v>6.99</v>
      </c>
      <c r="D104">
        <v>6.37</v>
      </c>
      <c r="E104">
        <v>6.68</v>
      </c>
      <c r="F104">
        <v>5.51</v>
      </c>
      <c r="G104">
        <v>5.28</v>
      </c>
      <c r="H104">
        <v>5.29</v>
      </c>
      <c r="I104">
        <v>5.82</v>
      </c>
      <c r="S104" s="110">
        <v>0</v>
      </c>
      <c r="T104" s="110">
        <v>5.5000000000000002E-5</v>
      </c>
      <c r="U104" s="110">
        <v>1.06E-4</v>
      </c>
      <c r="V104" s="110">
        <v>1.95E-4</v>
      </c>
      <c r="W104" s="110">
        <v>3.3199999999999999E-4</v>
      </c>
      <c r="X104" s="110">
        <v>4.2800000000000005E-4</v>
      </c>
      <c r="Y104" s="110">
        <v>4.9400000000000008E-4</v>
      </c>
      <c r="Z104" s="110">
        <v>5.6599999999999999E-4</v>
      </c>
    </row>
    <row r="105" spans="1:26" ht="12.75" x14ac:dyDescent="0.2">
      <c r="A105" s="271"/>
      <c r="C105">
        <v>9.5</v>
      </c>
      <c r="D105">
        <v>8.7899999999999991</v>
      </c>
      <c r="E105">
        <v>9.18</v>
      </c>
      <c r="F105">
        <v>7.19</v>
      </c>
      <c r="G105">
        <v>6.79</v>
      </c>
      <c r="H105">
        <v>6.71</v>
      </c>
      <c r="I105">
        <v>7.3</v>
      </c>
    </row>
    <row r="106" spans="1:26" ht="12.75" x14ac:dyDescent="0.2">
      <c r="A106" s="271"/>
      <c r="C106">
        <v>14.68</v>
      </c>
      <c r="D106">
        <v>13.93</v>
      </c>
      <c r="E106">
        <v>14.53</v>
      </c>
      <c r="F106">
        <v>10.61</v>
      </c>
      <c r="G106">
        <v>9.77</v>
      </c>
      <c r="H106">
        <v>9.3800000000000008</v>
      </c>
      <c r="I106">
        <v>10.06</v>
      </c>
    </row>
    <row r="107" spans="1:26" ht="12.75" x14ac:dyDescent="0.2">
      <c r="A107" s="271"/>
    </row>
    <row r="108" spans="1:26" ht="12.75" x14ac:dyDescent="0.2">
      <c r="A108" s="271"/>
    </row>
    <row r="109" spans="1:26" ht="12.75" x14ac:dyDescent="0.2">
      <c r="A109" s="272" t="s">
        <v>108</v>
      </c>
      <c r="C109">
        <v>0.49</v>
      </c>
      <c r="D109">
        <v>0.43</v>
      </c>
      <c r="E109">
        <v>0.42</v>
      </c>
      <c r="F109">
        <v>0.51</v>
      </c>
      <c r="G109">
        <v>0.51</v>
      </c>
      <c r="H109">
        <v>0.52</v>
      </c>
      <c r="I109">
        <v>0.56000000000000005</v>
      </c>
    </row>
    <row r="110" spans="1:26" ht="12.75" x14ac:dyDescent="0.2">
      <c r="A110" s="271"/>
      <c r="C110">
        <v>1</v>
      </c>
      <c r="D110">
        <v>0.87</v>
      </c>
      <c r="E110">
        <v>0.83</v>
      </c>
      <c r="F110">
        <v>0.98</v>
      </c>
      <c r="G110">
        <v>0.99</v>
      </c>
      <c r="H110">
        <v>1</v>
      </c>
      <c r="I110">
        <v>1.08</v>
      </c>
    </row>
    <row r="111" spans="1:26" ht="12.75" x14ac:dyDescent="0.2">
      <c r="A111" s="273"/>
      <c r="C111">
        <v>2.02</v>
      </c>
      <c r="D111">
        <v>1.78</v>
      </c>
      <c r="E111">
        <v>1.66</v>
      </c>
      <c r="F111">
        <v>1.85</v>
      </c>
      <c r="G111">
        <v>1.85</v>
      </c>
      <c r="H111">
        <v>1.89</v>
      </c>
      <c r="I111">
        <v>2.0099999999999998</v>
      </c>
    </row>
    <row r="112" spans="1:26" ht="12.75" x14ac:dyDescent="0.2">
      <c r="A112" s="271"/>
      <c r="C112">
        <v>4.1500000000000004</v>
      </c>
      <c r="D112">
        <v>3.73</v>
      </c>
      <c r="E112">
        <v>3.34</v>
      </c>
      <c r="F112">
        <v>3.3</v>
      </c>
      <c r="G112">
        <v>3.32</v>
      </c>
      <c r="H112">
        <v>3.39</v>
      </c>
      <c r="I112">
        <v>3.52</v>
      </c>
    </row>
    <row r="113" spans="1:9" ht="12.75" x14ac:dyDescent="0.2">
      <c r="A113" s="271"/>
      <c r="C113">
        <v>6.38</v>
      </c>
      <c r="D113">
        <v>5.83</v>
      </c>
      <c r="E113">
        <v>5.12</v>
      </c>
      <c r="F113">
        <v>4.49</v>
      </c>
      <c r="G113">
        <v>4.5199999999999996</v>
      </c>
      <c r="H113">
        <v>4.63</v>
      </c>
      <c r="I113">
        <v>4.68</v>
      </c>
    </row>
    <row r="114" spans="1:9" ht="12.75" x14ac:dyDescent="0.2">
      <c r="A114" s="271"/>
      <c r="C114">
        <v>8.68</v>
      </c>
      <c r="D114">
        <v>8.07</v>
      </c>
      <c r="E114">
        <v>7.03</v>
      </c>
      <c r="F114">
        <v>5.5</v>
      </c>
      <c r="G114">
        <v>5.54</v>
      </c>
      <c r="H114">
        <v>5.68</v>
      </c>
      <c r="I114">
        <v>5.59</v>
      </c>
    </row>
    <row r="115" spans="1:9" ht="12.75" x14ac:dyDescent="0.2">
      <c r="A115" s="271"/>
      <c r="C115">
        <v>13.44</v>
      </c>
      <c r="D115">
        <v>12.87</v>
      </c>
      <c r="E115">
        <v>11.23</v>
      </c>
      <c r="F115">
        <v>7.25</v>
      </c>
      <c r="G115">
        <v>7.29</v>
      </c>
      <c r="H115">
        <v>7.48</v>
      </c>
      <c r="I115">
        <v>6.95</v>
      </c>
    </row>
    <row r="116" spans="1:9" ht="12.75" x14ac:dyDescent="0.2">
      <c r="A116" s="271"/>
    </row>
    <row r="117" spans="1:9" ht="12.75" x14ac:dyDescent="0.2">
      <c r="A117" s="271"/>
    </row>
    <row r="118" spans="1:9" ht="12.75" x14ac:dyDescent="0.2">
      <c r="A118" s="272" t="s">
        <v>110</v>
      </c>
      <c r="C118">
        <v>0.46</v>
      </c>
      <c r="D118">
        <v>0.34</v>
      </c>
      <c r="E118">
        <v>0.34</v>
      </c>
      <c r="F118">
        <v>0.54</v>
      </c>
      <c r="G118">
        <v>0.52</v>
      </c>
      <c r="H118">
        <v>0.53</v>
      </c>
      <c r="I118">
        <v>0.55000000000000004</v>
      </c>
    </row>
    <row r="119" spans="1:9" ht="12.75" x14ac:dyDescent="0.2">
      <c r="A119" s="271" t="s">
        <v>25</v>
      </c>
      <c r="C119">
        <v>0.94</v>
      </c>
      <c r="D119">
        <v>0.69</v>
      </c>
      <c r="E119">
        <v>0.67</v>
      </c>
      <c r="F119">
        <v>1.05</v>
      </c>
      <c r="G119">
        <v>1.01</v>
      </c>
      <c r="H119">
        <v>1.02</v>
      </c>
      <c r="I119">
        <v>1.06</v>
      </c>
    </row>
    <row r="120" spans="1:9" ht="12.75" x14ac:dyDescent="0.2">
      <c r="A120" s="273" t="s">
        <v>157</v>
      </c>
      <c r="C120">
        <v>1.91</v>
      </c>
      <c r="D120">
        <v>1.44</v>
      </c>
      <c r="E120">
        <v>1.32</v>
      </c>
      <c r="F120">
        <v>1.96</v>
      </c>
      <c r="G120">
        <v>1.88</v>
      </c>
      <c r="H120">
        <v>1.89</v>
      </c>
      <c r="I120">
        <v>1.95</v>
      </c>
    </row>
    <row r="121" spans="1:9" ht="12.75" x14ac:dyDescent="0.2">
      <c r="A121" s="271" t="s">
        <v>102</v>
      </c>
      <c r="C121">
        <v>3.95</v>
      </c>
      <c r="D121">
        <v>3.07</v>
      </c>
      <c r="E121">
        <v>2.61</v>
      </c>
      <c r="F121">
        <v>3.42</v>
      </c>
      <c r="G121">
        <v>3.26</v>
      </c>
      <c r="H121">
        <v>3.27</v>
      </c>
      <c r="I121">
        <v>3.32</v>
      </c>
    </row>
    <row r="122" spans="1:9" ht="12.75" x14ac:dyDescent="0.2">
      <c r="A122" s="271" t="s">
        <v>79</v>
      </c>
      <c r="C122">
        <v>6.11</v>
      </c>
      <c r="D122">
        <v>4.88</v>
      </c>
      <c r="E122">
        <v>3.97</v>
      </c>
      <c r="F122">
        <v>4.51</v>
      </c>
      <c r="G122">
        <v>4.26</v>
      </c>
      <c r="H122">
        <v>4.26</v>
      </c>
      <c r="I122">
        <v>4.28</v>
      </c>
    </row>
    <row r="123" spans="1:9" ht="12.75" x14ac:dyDescent="0.2">
      <c r="A123" s="271" t="s">
        <v>107</v>
      </c>
      <c r="C123">
        <v>8.36</v>
      </c>
      <c r="D123">
        <v>6.85</v>
      </c>
      <c r="E123">
        <v>5.45</v>
      </c>
      <c r="F123">
        <v>5.32</v>
      </c>
      <c r="G123">
        <v>4.99</v>
      </c>
      <c r="H123">
        <v>4.96</v>
      </c>
      <c r="I123">
        <v>4.9400000000000004</v>
      </c>
    </row>
    <row r="124" spans="1:9" ht="12.75" x14ac:dyDescent="0.2">
      <c r="A124" s="271" t="s">
        <v>108</v>
      </c>
      <c r="C124">
        <v>13.05</v>
      </c>
      <c r="D124">
        <v>11.17</v>
      </c>
      <c r="E124">
        <v>8.84</v>
      </c>
      <c r="F124">
        <v>6.33</v>
      </c>
      <c r="G124">
        <v>5.84</v>
      </c>
      <c r="H124">
        <v>5.79</v>
      </c>
      <c r="I124">
        <v>5.66</v>
      </c>
    </row>
    <row r="125" spans="1:9" ht="12.75" x14ac:dyDescent="0.2">
      <c r="A125" s="271" t="s">
        <v>110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S99"/>
  <sheetViews>
    <sheetView zoomScale="80" zoomScaleNormal="80" workbookViewId="0">
      <selection activeCell="F49" sqref="F49"/>
    </sheetView>
  </sheetViews>
  <sheetFormatPr defaultRowHeight="11.25" x14ac:dyDescent="0.2"/>
  <cols>
    <col min="2" max="2" width="13.5" customWidth="1"/>
    <col min="3" max="3" width="21.83203125" customWidth="1"/>
    <col min="4" max="4" width="31.5" customWidth="1"/>
    <col min="5" max="5" width="20" customWidth="1"/>
    <col min="6" max="6" width="20.1640625" customWidth="1"/>
    <col min="7" max="10" width="24.83203125" customWidth="1"/>
    <col min="11" max="11" width="22.6640625" customWidth="1"/>
    <col min="12" max="12" width="25.33203125" customWidth="1"/>
    <col min="13" max="15" width="22.6640625" customWidth="1"/>
    <col min="17" max="17" width="15.1640625" customWidth="1"/>
    <col min="18" max="18" width="10.1640625" bestFit="1" customWidth="1"/>
  </cols>
  <sheetData>
    <row r="1" spans="1:17" x14ac:dyDescent="0.2">
      <c r="A1" s="209"/>
      <c r="B1" s="209"/>
      <c r="C1" s="210" t="s">
        <v>1720</v>
      </c>
      <c r="D1" s="260">
        <v>5</v>
      </c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</row>
    <row r="2" spans="1:17" x14ac:dyDescent="0.2">
      <c r="A2" s="209"/>
      <c r="B2" s="209"/>
      <c r="C2" s="210" t="s">
        <v>1730</v>
      </c>
      <c r="D2" s="260">
        <v>6</v>
      </c>
      <c r="E2" s="209"/>
      <c r="F2" s="209" t="str">
        <f>_xll.ohRangeRetrieveError(D23)</f>
        <v/>
      </c>
      <c r="G2" s="209"/>
      <c r="H2" s="209"/>
      <c r="I2" s="209"/>
      <c r="J2" s="209"/>
      <c r="K2" s="209"/>
      <c r="L2" s="209"/>
      <c r="M2" s="209"/>
      <c r="N2" s="209"/>
      <c r="O2" s="209"/>
      <c r="P2" s="209"/>
    </row>
    <row r="3" spans="1:17" x14ac:dyDescent="0.2">
      <c r="A3" s="209"/>
      <c r="B3" s="209"/>
      <c r="C3" s="211" t="s">
        <v>1553</v>
      </c>
      <c r="D3" s="212">
        <f>_xll.qlSettingsEvaluationDate()</f>
        <v>42759</v>
      </c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</row>
    <row r="4" spans="1:17" x14ac:dyDescent="0.2">
      <c r="A4" s="209"/>
      <c r="B4" s="209"/>
      <c r="C4" s="211" t="s">
        <v>1554</v>
      </c>
      <c r="D4" s="213" t="s">
        <v>10</v>
      </c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</row>
    <row r="5" spans="1:17" x14ac:dyDescent="0.2">
      <c r="A5" s="209"/>
      <c r="B5" s="209"/>
      <c r="C5" s="211" t="s">
        <v>1555</v>
      </c>
      <c r="D5" s="212" t="e">
        <f>_xll.qlCalendarAdvance($D$4,$D$3,"2D","mf",TRUE,Trigger)</f>
        <v>#NUM!</v>
      </c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</row>
    <row r="6" spans="1:17" x14ac:dyDescent="0.2">
      <c r="A6" s="209"/>
      <c r="B6" s="209"/>
      <c r="C6" s="214" t="s">
        <v>1556</v>
      </c>
      <c r="D6" s="215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</row>
    <row r="7" spans="1:17" x14ac:dyDescent="0.2">
      <c r="A7" s="209"/>
      <c r="B7" s="209"/>
      <c r="C7" s="209"/>
      <c r="D7" s="209"/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</row>
    <row r="8" spans="1:17" x14ac:dyDescent="0.2">
      <c r="A8" s="209"/>
      <c r="B8" s="216" t="s">
        <v>1582</v>
      </c>
      <c r="C8" s="220"/>
      <c r="D8" s="220"/>
      <c r="E8" s="220"/>
      <c r="F8" s="220"/>
      <c r="G8" s="220"/>
      <c r="H8" s="217"/>
      <c r="I8" s="209"/>
      <c r="J8" s="216" t="s">
        <v>1735</v>
      </c>
      <c r="K8" s="220"/>
      <c r="L8" s="220"/>
      <c r="M8" s="220"/>
      <c r="N8" s="220"/>
      <c r="O8" s="220"/>
      <c r="P8" s="217"/>
    </row>
    <row r="9" spans="1:17" x14ac:dyDescent="0.2">
      <c r="A9" s="209"/>
      <c r="B9" s="251"/>
      <c r="C9" s="221"/>
      <c r="D9" s="221"/>
      <c r="E9" s="221"/>
      <c r="F9" s="221"/>
      <c r="G9" s="221"/>
      <c r="H9" s="222"/>
      <c r="I9" s="209"/>
      <c r="J9" s="251"/>
      <c r="K9" s="221"/>
      <c r="L9" s="221"/>
      <c r="M9" s="221"/>
      <c r="N9" s="221"/>
      <c r="O9" s="221"/>
      <c r="P9" s="222"/>
    </row>
    <row r="10" spans="1:17" x14ac:dyDescent="0.2">
      <c r="A10" s="209"/>
      <c r="B10" s="252"/>
      <c r="C10" s="216" t="s">
        <v>1557</v>
      </c>
      <c r="D10" s="217"/>
      <c r="E10" s="223"/>
      <c r="F10" s="216" t="s">
        <v>1558</v>
      </c>
      <c r="G10" s="217"/>
      <c r="H10" s="224"/>
      <c r="I10" s="209"/>
      <c r="J10" s="252"/>
      <c r="K10" s="216" t="s">
        <v>1557</v>
      </c>
      <c r="L10" s="217"/>
      <c r="M10" s="223"/>
      <c r="N10" s="216" t="s">
        <v>1558</v>
      </c>
      <c r="O10" s="217"/>
      <c r="P10" s="224"/>
    </row>
    <row r="11" spans="1:17" x14ac:dyDescent="0.2">
      <c r="A11" s="209"/>
      <c r="B11" s="252"/>
      <c r="C11" s="218" t="s">
        <v>1559</v>
      </c>
      <c r="D11" s="225" t="s">
        <v>0</v>
      </c>
      <c r="E11" s="223"/>
      <c r="F11" s="218" t="s">
        <v>1559</v>
      </c>
      <c r="G11" s="225" t="s">
        <v>38</v>
      </c>
      <c r="H11" s="224"/>
      <c r="I11" s="209"/>
      <c r="J11" s="252"/>
      <c r="K11" s="218" t="s">
        <v>1559</v>
      </c>
      <c r="L11" s="225" t="s">
        <v>25</v>
      </c>
      <c r="M11" s="223"/>
      <c r="N11" s="218" t="s">
        <v>1559</v>
      </c>
      <c r="O11" s="225" t="s">
        <v>38</v>
      </c>
      <c r="P11" s="224"/>
    </row>
    <row r="12" spans="1:17" x14ac:dyDescent="0.2">
      <c r="A12" s="209"/>
      <c r="B12" s="252"/>
      <c r="C12" s="211" t="s">
        <v>31</v>
      </c>
      <c r="D12" s="213" t="s">
        <v>941</v>
      </c>
      <c r="E12" s="223"/>
      <c r="F12" s="211" t="s">
        <v>31</v>
      </c>
      <c r="G12" s="226" t="s">
        <v>39</v>
      </c>
      <c r="H12" s="224"/>
      <c r="I12" s="209"/>
      <c r="J12" s="252"/>
      <c r="K12" s="211" t="s">
        <v>31</v>
      </c>
      <c r="L12" s="213" t="s">
        <v>39</v>
      </c>
      <c r="M12" s="223"/>
      <c r="N12" s="211" t="s">
        <v>31</v>
      </c>
      <c r="O12" s="226" t="s">
        <v>39</v>
      </c>
      <c r="P12" s="224"/>
      <c r="Q12" s="105" t="s">
        <v>1598</v>
      </c>
    </row>
    <row r="13" spans="1:17" x14ac:dyDescent="0.2">
      <c r="A13" s="209"/>
      <c r="B13" s="252"/>
      <c r="C13" s="211" t="s">
        <v>4</v>
      </c>
      <c r="D13" s="227" t="s">
        <v>1003</v>
      </c>
      <c r="E13" s="223"/>
      <c r="F13" s="211" t="s">
        <v>4</v>
      </c>
      <c r="G13" s="227" t="str">
        <f>_xll.qlInterestRateIndexDayCounter(G14)</f>
        <v>Actual/360</v>
      </c>
      <c r="H13" s="224"/>
      <c r="I13" s="209"/>
      <c r="J13" s="252"/>
      <c r="K13" s="211" t="s">
        <v>4</v>
      </c>
      <c r="L13" s="227" t="s">
        <v>1003</v>
      </c>
      <c r="M13" s="223"/>
      <c r="N13" s="211" t="s">
        <v>4</v>
      </c>
      <c r="O13" s="227" t="str">
        <f>_xll.qlInterestRateIndexDayCounter(O14)</f>
        <v>Actual/360</v>
      </c>
      <c r="P13" s="224"/>
      <c r="Q13" s="105" t="s">
        <v>1599</v>
      </c>
    </row>
    <row r="14" spans="1:17" x14ac:dyDescent="0.2">
      <c r="A14" s="209"/>
      <c r="B14" s="252"/>
      <c r="C14" s="214" t="s">
        <v>1560</v>
      </c>
      <c r="D14" s="228">
        <v>4.87E-2</v>
      </c>
      <c r="E14" s="223"/>
      <c r="F14" s="214" t="s">
        <v>1593</v>
      </c>
      <c r="G14" s="229" t="s">
        <v>992</v>
      </c>
      <c r="H14" s="224"/>
      <c r="I14" s="209"/>
      <c r="J14" s="252"/>
      <c r="K14" s="214" t="s">
        <v>1560</v>
      </c>
      <c r="L14" s="228">
        <v>3.5799999999999998E-2</v>
      </c>
      <c r="M14" s="223"/>
      <c r="N14" s="214" t="s">
        <v>1593</v>
      </c>
      <c r="O14" s="229" t="s">
        <v>992</v>
      </c>
      <c r="P14" s="224"/>
      <c r="Q14" s="105" t="s">
        <v>1600</v>
      </c>
    </row>
    <row r="15" spans="1:17" x14ac:dyDescent="0.2">
      <c r="A15" s="209"/>
      <c r="B15" s="252"/>
      <c r="C15" s="223"/>
      <c r="D15" s="223"/>
      <c r="E15" s="223"/>
      <c r="F15" s="223"/>
      <c r="G15" s="223"/>
      <c r="H15" s="224"/>
      <c r="I15" s="209"/>
      <c r="J15" s="252"/>
      <c r="K15" s="223"/>
      <c r="L15" s="223"/>
      <c r="M15" s="223"/>
      <c r="N15" s="223"/>
      <c r="O15" s="223"/>
      <c r="P15" s="224"/>
    </row>
    <row r="16" spans="1:17" x14ac:dyDescent="0.2">
      <c r="A16" s="209"/>
      <c r="B16" s="252"/>
      <c r="C16" s="218" t="s">
        <v>1594</v>
      </c>
      <c r="D16" s="259">
        <v>50000000</v>
      </c>
      <c r="E16" s="223"/>
      <c r="F16" s="223"/>
      <c r="G16" s="223"/>
      <c r="H16" s="224"/>
      <c r="I16" s="209"/>
      <c r="J16" s="252"/>
      <c r="K16" s="218" t="s">
        <v>1594</v>
      </c>
      <c r="L16" s="259">
        <v>10000000</v>
      </c>
      <c r="M16" s="223"/>
      <c r="N16" s="223"/>
      <c r="O16" s="223"/>
      <c r="P16" s="224"/>
    </row>
    <row r="17" spans="1:19" x14ac:dyDescent="0.2">
      <c r="A17" s="209"/>
      <c r="B17" s="252"/>
      <c r="C17" s="218" t="s">
        <v>1561</v>
      </c>
      <c r="D17" s="225" t="s">
        <v>11</v>
      </c>
      <c r="E17" s="223"/>
      <c r="F17" s="223"/>
      <c r="G17" s="223"/>
      <c r="H17" s="224"/>
      <c r="I17" s="209"/>
      <c r="J17" s="252"/>
      <c r="K17" s="218" t="s">
        <v>1561</v>
      </c>
      <c r="L17" s="225" t="s">
        <v>11</v>
      </c>
      <c r="M17" s="223"/>
      <c r="N17" s="223"/>
      <c r="O17" s="223"/>
      <c r="P17" s="224"/>
    </row>
    <row r="18" spans="1:19" x14ac:dyDescent="0.2">
      <c r="A18" s="209"/>
      <c r="B18" s="252"/>
      <c r="C18" s="211" t="s">
        <v>1562</v>
      </c>
      <c r="D18" s="230">
        <v>42880</v>
      </c>
      <c r="E18" s="223"/>
      <c r="F18" s="223"/>
      <c r="G18" s="223"/>
      <c r="H18" s="224"/>
      <c r="I18" s="209"/>
      <c r="J18" s="252"/>
      <c r="K18" s="211" t="s">
        <v>1562</v>
      </c>
      <c r="L18" s="230">
        <f>_xll.qlCalendarAdvance(D4,D3,J34)</f>
        <v>52621</v>
      </c>
      <c r="M18" s="223"/>
      <c r="N18" s="223"/>
      <c r="O18" s="223"/>
      <c r="P18" s="224"/>
    </row>
    <row r="19" spans="1:19" x14ac:dyDescent="0.2">
      <c r="A19" s="209"/>
      <c r="B19" s="252"/>
      <c r="C19" s="211" t="s">
        <v>1563</v>
      </c>
      <c r="D19" s="230">
        <v>45440</v>
      </c>
      <c r="E19" s="223"/>
      <c r="F19" s="223"/>
      <c r="G19" s="223"/>
      <c r="H19" s="224"/>
      <c r="I19" s="209"/>
      <c r="J19" s="252"/>
      <c r="K19" s="211" t="s">
        <v>1563</v>
      </c>
      <c r="L19" s="230">
        <f>_xll.qlCalendarAdvance(D4,L18,K34)</f>
        <v>59926</v>
      </c>
      <c r="M19" s="223"/>
      <c r="N19" s="223"/>
      <c r="O19" s="223"/>
      <c r="P19" s="224"/>
    </row>
    <row r="20" spans="1:19" x14ac:dyDescent="0.2">
      <c r="A20" s="209"/>
      <c r="B20" s="252"/>
      <c r="C20" s="211" t="s">
        <v>1743</v>
      </c>
      <c r="D20" s="219" t="str">
        <f>_xll.qlSchedule(C20,D18,D19,"6M",D4,D12,D12,"Forward")</f>
        <v>eurFixedSchedule#0012</v>
      </c>
      <c r="E20" s="223"/>
      <c r="F20" s="223"/>
      <c r="G20" s="223"/>
      <c r="H20" s="224"/>
      <c r="I20" s="209"/>
      <c r="J20" s="252"/>
      <c r="K20" s="211" t="s">
        <v>1746</v>
      </c>
      <c r="L20" s="219" t="str">
        <f>_xll.qlSchedule(K20,L18,L19,"6M",D4,L12,L12,"Forward")</f>
        <v>eurStdFixedSchedule#0007</v>
      </c>
      <c r="M20" s="223"/>
      <c r="N20" s="223"/>
      <c r="O20" s="223"/>
      <c r="P20" s="224"/>
    </row>
    <row r="21" spans="1:19" x14ac:dyDescent="0.2">
      <c r="A21" s="209"/>
      <c r="B21" s="252"/>
      <c r="C21" s="211" t="s">
        <v>1744</v>
      </c>
      <c r="D21" s="219" t="str">
        <f>_xll.qlSchedule(C21,D18,D19,"6M",D4,G12,G12,"Forward")</f>
        <v>eurFloatSchedule#0012</v>
      </c>
      <c r="E21" s="223"/>
      <c r="F21" s="223"/>
      <c r="G21" s="223"/>
      <c r="H21" s="224"/>
      <c r="I21" s="209"/>
      <c r="J21" s="252"/>
      <c r="K21" s="211" t="s">
        <v>1747</v>
      </c>
      <c r="L21" s="219" t="str">
        <f>_xll.qlSchedule(K21,L18,L19,"6M",D4,O12,O12,"Forward")</f>
        <v>eurStdFloatSchedule#0007</v>
      </c>
      <c r="M21" s="223"/>
      <c r="N21" s="223"/>
      <c r="O21" s="223"/>
      <c r="P21" s="224"/>
    </row>
    <row r="22" spans="1:19" x14ac:dyDescent="0.2">
      <c r="A22" s="209"/>
      <c r="B22" s="252"/>
      <c r="C22" s="211" t="s">
        <v>1745</v>
      </c>
      <c r="D22" s="219" t="str">
        <f>_xll.qlVanillaSwap(C22,"Payer",D16,D20,D14,D13,D21,G14,,G13)</f>
        <v>eurSwap#0006</v>
      </c>
      <c r="E22" s="223"/>
      <c r="F22" s="223"/>
      <c r="G22" s="223"/>
      <c r="H22" s="224"/>
      <c r="I22" s="209"/>
      <c r="J22" s="252"/>
      <c r="K22" s="211" t="s">
        <v>1748</v>
      </c>
      <c r="L22" s="219" t="str">
        <f>_xll.qlVanillaSwap(K22,"Payer",L16,L20,L14,L13,L21,O14,,O13)</f>
        <v>eurStdSwap#0006</v>
      </c>
      <c r="M22" s="223"/>
      <c r="N22" s="223"/>
      <c r="O22" s="223"/>
      <c r="P22" s="224"/>
    </row>
    <row r="23" spans="1:19" x14ac:dyDescent="0.2">
      <c r="A23" s="209"/>
      <c r="B23" s="252"/>
      <c r="C23" s="211" t="s">
        <v>1564</v>
      </c>
      <c r="D23" s="219" t="str">
        <f>_xll.qlDiscountingSwapEngine(,L72,,,,,D22)</f>
        <v>obj_001e7#0006</v>
      </c>
      <c r="E23" s="223"/>
      <c r="F23" s="223"/>
      <c r="G23" s="223"/>
      <c r="H23" s="224"/>
      <c r="I23" s="209"/>
      <c r="J23" s="252"/>
      <c r="K23" s="211" t="s">
        <v>1564</v>
      </c>
      <c r="L23" s="219" t="str">
        <f>_xll.qlDiscountingSwapEngine(,L72,,,,,L22)</f>
        <v>obj_001e9#0006</v>
      </c>
      <c r="M23" s="223"/>
      <c r="N23" s="223"/>
      <c r="O23" s="223"/>
      <c r="P23" s="224"/>
    </row>
    <row r="24" spans="1:19" x14ac:dyDescent="0.2">
      <c r="A24" s="209"/>
      <c r="B24" s="252"/>
      <c r="C24" s="214" t="s">
        <v>1481</v>
      </c>
      <c r="D24" s="229" t="b">
        <f>_xll.qlInstrumentSetPricingEngine(D22,D23)</f>
        <v>1</v>
      </c>
      <c r="E24" s="223"/>
      <c r="F24" s="223"/>
      <c r="G24" s="231"/>
      <c r="H24" s="224"/>
      <c r="I24" s="209"/>
      <c r="J24" s="252"/>
      <c r="K24" s="214" t="s">
        <v>1481</v>
      </c>
      <c r="L24" s="229" t="b">
        <f>_xll.qlInstrumentSetPricingEngine(L22,L23)</f>
        <v>1</v>
      </c>
      <c r="M24" s="223"/>
      <c r="N24" s="223"/>
      <c r="O24" s="231"/>
      <c r="P24" s="224"/>
    </row>
    <row r="25" spans="1:19" x14ac:dyDescent="0.2">
      <c r="A25" s="209"/>
      <c r="B25" s="253"/>
      <c r="C25" s="232"/>
      <c r="D25" s="232"/>
      <c r="E25" s="232"/>
      <c r="F25" s="232"/>
      <c r="G25" s="232"/>
      <c r="H25" s="233"/>
      <c r="I25" s="209"/>
      <c r="J25" s="253"/>
      <c r="K25" s="232"/>
      <c r="L25" s="232"/>
      <c r="M25" s="232"/>
      <c r="N25" s="232"/>
      <c r="O25" s="232"/>
      <c r="P25" s="233"/>
    </row>
    <row r="26" spans="1:19" x14ac:dyDescent="0.2">
      <c r="A26" s="209"/>
      <c r="B26" s="209"/>
      <c r="C26" s="209"/>
      <c r="D26" s="209"/>
      <c r="E26" s="209"/>
      <c r="F26" s="209"/>
      <c r="G26" s="209"/>
      <c r="H26" s="209"/>
      <c r="I26" s="209"/>
      <c r="J26" s="209"/>
      <c r="K26" s="209"/>
      <c r="L26" s="209"/>
      <c r="M26" s="209"/>
      <c r="N26" s="209"/>
      <c r="O26" s="209"/>
      <c r="P26" s="209"/>
    </row>
    <row r="27" spans="1:19" x14ac:dyDescent="0.2">
      <c r="A27" s="209"/>
      <c r="B27" s="216" t="s">
        <v>1583</v>
      </c>
      <c r="C27" s="220"/>
      <c r="D27" s="220"/>
      <c r="E27" s="220"/>
      <c r="F27" s="220"/>
      <c r="G27" s="220"/>
      <c r="H27" s="217"/>
      <c r="I27" s="209"/>
      <c r="J27" s="209"/>
      <c r="K27" s="209"/>
      <c r="L27" s="209"/>
      <c r="M27" s="209"/>
      <c r="N27" s="209"/>
      <c r="O27" s="209"/>
      <c r="P27" s="209"/>
    </row>
    <row r="28" spans="1:19" x14ac:dyDescent="0.2">
      <c r="A28" s="209"/>
      <c r="B28" s="251"/>
      <c r="C28" s="221"/>
      <c r="D28" s="221"/>
      <c r="E28" s="221"/>
      <c r="F28" s="221"/>
      <c r="G28" s="221"/>
      <c r="H28" s="222"/>
      <c r="I28" s="209"/>
      <c r="J28" s="209"/>
      <c r="K28" s="209"/>
      <c r="L28" s="209"/>
      <c r="M28" s="209"/>
      <c r="N28" s="209"/>
      <c r="O28" s="209"/>
      <c r="P28" s="209"/>
    </row>
    <row r="29" spans="1:19" x14ac:dyDescent="0.2">
      <c r="A29" s="209"/>
      <c r="B29" s="252"/>
      <c r="C29" s="218" t="s">
        <v>1565</v>
      </c>
      <c r="D29" s="234">
        <f>_xll.qlVanillaSwapFairRate(D22,D24)</f>
        <v>4.73074136307719E-3</v>
      </c>
      <c r="E29" s="274">
        <v>3.5799999999999998E-2</v>
      </c>
      <c r="F29" s="223"/>
      <c r="G29" s="210" t="s">
        <v>1566</v>
      </c>
      <c r="H29" s="224"/>
      <c r="I29" s="209"/>
      <c r="J29" s="209"/>
      <c r="K29" s="209"/>
      <c r="L29" s="209"/>
      <c r="M29" s="209"/>
      <c r="N29" s="209"/>
      <c r="O29" s="209"/>
      <c r="P29" s="209"/>
      <c r="Q29" s="210" t="s">
        <v>1609</v>
      </c>
    </row>
    <row r="30" spans="1:19" x14ac:dyDescent="0.2">
      <c r="A30" s="209"/>
      <c r="B30" s="252"/>
      <c r="C30" s="211" t="s">
        <v>1567</v>
      </c>
      <c r="D30" s="235">
        <f>D29*1.2</f>
        <v>5.6768896356926279E-3</v>
      </c>
      <c r="E30" s="223"/>
      <c r="F30" s="223"/>
      <c r="G30" s="236">
        <f t="array" ref="G30:G35">_xll.qlScheduleDates(D20)</f>
        <v>42880</v>
      </c>
      <c r="H30" s="257">
        <f>G30-7</f>
        <v>42873</v>
      </c>
      <c r="I30" s="209"/>
      <c r="J30" s="209"/>
      <c r="K30" s="209"/>
      <c r="L30" s="209"/>
      <c r="M30" s="209"/>
      <c r="N30" s="209"/>
      <c r="O30" s="209"/>
      <c r="P30" s="209"/>
      <c r="Q30" s="102">
        <f t="array" ref="Q30:Q44">_xll.qlScheduleDates(D20)</f>
        <v>42880</v>
      </c>
      <c r="R30" s="102" t="e">
        <f t="array" ref="R30:R39">_xll.qlScheduleDates(E20)</f>
        <v>#NUM!</v>
      </c>
      <c r="S30" s="102">
        <v>43413</v>
      </c>
    </row>
    <row r="31" spans="1:19" x14ac:dyDescent="0.2">
      <c r="A31" s="209"/>
      <c r="B31" s="252"/>
      <c r="C31" s="214" t="s">
        <v>1568</v>
      </c>
      <c r="D31" s="238">
        <f>D30*0.8</f>
        <v>4.5415117085541024E-3</v>
      </c>
      <c r="E31" s="223"/>
      <c r="F31" s="223"/>
      <c r="G31" s="236">
        <v>43064</v>
      </c>
      <c r="H31" s="257">
        <f t="shared" ref="H31:H35" si="0">G31-7</f>
        <v>43057</v>
      </c>
      <c r="I31" s="209"/>
      <c r="J31" s="209"/>
      <c r="K31" s="209"/>
      <c r="L31" s="209"/>
      <c r="M31" s="209"/>
      <c r="N31" s="209"/>
      <c r="O31" s="209"/>
      <c r="P31" s="209"/>
      <c r="Q31" s="102">
        <v>43064</v>
      </c>
      <c r="R31" s="102" t="e">
        <v>#NUM!</v>
      </c>
      <c r="S31" s="102">
        <v>45239</v>
      </c>
    </row>
    <row r="32" spans="1:19" x14ac:dyDescent="0.2">
      <c r="A32" s="209"/>
      <c r="B32" s="252"/>
      <c r="C32" s="223"/>
      <c r="D32" s="223"/>
      <c r="E32" s="223"/>
      <c r="F32" s="223"/>
      <c r="G32" s="236">
        <v>43245</v>
      </c>
      <c r="H32" s="257">
        <f t="shared" si="0"/>
        <v>43238</v>
      </c>
      <c r="I32" s="209"/>
      <c r="J32" s="209"/>
      <c r="K32" s="209"/>
      <c r="L32" s="209"/>
      <c r="M32" s="209"/>
      <c r="N32" s="209"/>
      <c r="O32" s="209"/>
      <c r="P32" s="209"/>
      <c r="Q32" s="102">
        <v>43245</v>
      </c>
      <c r="R32" s="102" t="e">
        <v>#NUM!</v>
      </c>
      <c r="S32" s="102">
        <v>47066</v>
      </c>
    </row>
    <row r="33" spans="1:19" x14ac:dyDescent="0.2">
      <c r="A33" s="209"/>
      <c r="B33" s="252"/>
      <c r="C33" s="218" t="s">
        <v>1749</v>
      </c>
      <c r="D33" s="239" t="str">
        <f>_xll.qlVanillaSwap(C33,D17,D16,$D$20,D29,$D$13,$D$21,$G$14,0,$G$13)</f>
        <v>eurAtmSwap#0003</v>
      </c>
      <c r="E33" s="223" t="str">
        <f>_xll.qlVanillaSwap(,D17,D16,$D$20,E29,$D$13,$D$21,$G$14,0,$G$13)</f>
        <v>obj_001e4#0006</v>
      </c>
      <c r="F33" s="223"/>
      <c r="G33" s="236">
        <v>43429</v>
      </c>
      <c r="H33" s="257">
        <f t="shared" si="0"/>
        <v>43422</v>
      </c>
      <c r="I33" s="209"/>
      <c r="J33" s="247" t="s">
        <v>1572</v>
      </c>
      <c r="K33" s="247" t="s">
        <v>1573</v>
      </c>
      <c r="L33" s="209"/>
      <c r="M33" s="209"/>
      <c r="N33" s="209"/>
      <c r="O33" s="209"/>
      <c r="P33" s="209"/>
      <c r="Q33" s="102">
        <v>43429</v>
      </c>
      <c r="R33" s="102" t="e">
        <v>#NUM!</v>
      </c>
      <c r="S33" s="102">
        <v>48892</v>
      </c>
    </row>
    <row r="34" spans="1:19" x14ac:dyDescent="0.2">
      <c r="A34" s="209"/>
      <c r="B34" s="252"/>
      <c r="C34" s="211" t="s">
        <v>1750</v>
      </c>
      <c r="D34" s="240" t="str">
        <f>_xll.qlVanillaSwap(C34,D17,D16,$D$20,D30,$D$13,$D$21,$G$14,0,$G$13)</f>
        <v>eurOtmSwap#0003</v>
      </c>
      <c r="E34" s="223"/>
      <c r="F34" s="223"/>
      <c r="G34" s="236">
        <v>43610</v>
      </c>
      <c r="H34" s="257">
        <f t="shared" si="0"/>
        <v>43603</v>
      </c>
      <c r="I34" s="209"/>
      <c r="J34" s="289" t="s">
        <v>1723</v>
      </c>
      <c r="K34" s="289" t="s">
        <v>1021</v>
      </c>
      <c r="L34" s="209"/>
      <c r="M34" s="209"/>
      <c r="N34" s="209"/>
      <c r="O34" s="209"/>
      <c r="P34" s="209"/>
      <c r="Q34" s="102">
        <v>43610</v>
      </c>
      <c r="R34" s="102" t="e">
        <v>#NUM!</v>
      </c>
      <c r="S34" s="102">
        <v>50718</v>
      </c>
    </row>
    <row r="35" spans="1:19" x14ac:dyDescent="0.2">
      <c r="A35" s="209"/>
      <c r="B35" s="252"/>
      <c r="C35" s="214" t="s">
        <v>1751</v>
      </c>
      <c r="D35" s="241" t="str">
        <f>_xll.qlVanillaSwap(C35,D17,D16,$D$20,D31,$D$13,$D$21,$G$14,0,$G$13)</f>
        <v>eurItmSwap#0003</v>
      </c>
      <c r="E35" s="223"/>
      <c r="F35" s="223"/>
      <c r="G35" s="237">
        <v>43794</v>
      </c>
      <c r="H35" s="257">
        <f t="shared" si="0"/>
        <v>43787</v>
      </c>
      <c r="I35" s="209"/>
      <c r="J35" s="209"/>
      <c r="K35" s="209"/>
      <c r="L35" s="209"/>
      <c r="M35" s="209"/>
      <c r="N35" s="209"/>
      <c r="O35" s="209"/>
      <c r="P35" s="209"/>
      <c r="Q35" s="102">
        <v>43794</v>
      </c>
      <c r="R35" s="102" t="e">
        <v>#NUM!</v>
      </c>
      <c r="S35" s="102">
        <v>52544</v>
      </c>
    </row>
    <row r="36" spans="1:19" x14ac:dyDescent="0.2">
      <c r="A36" s="209"/>
      <c r="B36" s="252"/>
      <c r="C36" s="223"/>
      <c r="D36" s="223"/>
      <c r="E36" s="223"/>
      <c r="F36" s="223"/>
      <c r="G36" s="231"/>
      <c r="H36" s="224"/>
      <c r="I36" s="209"/>
      <c r="J36" s="209"/>
      <c r="K36" s="209"/>
      <c r="L36" s="209"/>
      <c r="M36" s="209"/>
      <c r="N36" s="209"/>
      <c r="O36" s="209"/>
      <c r="P36" s="209"/>
      <c r="Q36" s="102">
        <v>43976</v>
      </c>
      <c r="R36" s="102" t="e">
        <v>#NUM!</v>
      </c>
      <c r="S36" s="102">
        <v>54371</v>
      </c>
    </row>
    <row r="37" spans="1:19" x14ac:dyDescent="0.2">
      <c r="A37" s="209"/>
      <c r="B37" s="252"/>
      <c r="C37" s="218" t="s">
        <v>1752</v>
      </c>
      <c r="D37" s="242" t="str">
        <f>_xll.qlBermudanExercise(C37,Q30:Q38,,,D1)</f>
        <v>eurBermudanExercise#0005</v>
      </c>
      <c r="E37" s="223"/>
      <c r="G37" s="223"/>
      <c r="H37" s="224"/>
      <c r="I37" s="209"/>
      <c r="J37" s="251" t="str">
        <f>_xll.qlEuropeanExercise(,L18)</f>
        <v>obj_00022#0007</v>
      </c>
      <c r="K37" s="244" t="str">
        <f>_xll.qlEuropeanExercise(,L18)</f>
        <v>obj_0001e#0007</v>
      </c>
      <c r="L37" s="279" t="str">
        <f>_xll.qlEuropeanExercise(,L18)</f>
        <v>obj_0001f#0007</v>
      </c>
      <c r="M37" s="287" t="str">
        <f>_xll.qlEuropeanExercise(,L18)</f>
        <v>obj_00021#0007</v>
      </c>
      <c r="N37" s="280" t="str">
        <f>_xll.qlEuropeanExercise(,L18)</f>
        <v>obj_0001d#0007</v>
      </c>
      <c r="O37" s="280" t="str">
        <f>_xll.qlEuropeanExercise(,L18)</f>
        <v>obj_00020#0007</v>
      </c>
      <c r="P37" s="209"/>
      <c r="Q37" s="102">
        <v>44160</v>
      </c>
      <c r="R37" s="102" t="e">
        <v>#NUM!</v>
      </c>
      <c r="S37" s="102">
        <v>56198</v>
      </c>
    </row>
    <row r="38" spans="1:19" x14ac:dyDescent="0.2">
      <c r="A38" s="209"/>
      <c r="B38" s="252"/>
      <c r="C38" s="211" t="s">
        <v>1569</v>
      </c>
      <c r="D38" s="219" t="str">
        <f>_xll.qlSwaption(,E33,D37,"Physical")</f>
        <v>obj_00288#0004</v>
      </c>
      <c r="E38" s="223" t="str">
        <f>_xll.qlSwaption(,E33,D37,"Physical")</f>
        <v>obj_00289#0004</v>
      </c>
      <c r="G38" s="223"/>
      <c r="H38" s="224"/>
      <c r="I38" s="209"/>
      <c r="J38" s="252" t="e">
        <f>_xll.qlSwaption(,"gbpStdSwap",J37,"Physical")</f>
        <v>#NUM!</v>
      </c>
      <c r="K38" s="226" t="e">
        <f>_xll.qlSwaption(,"gbpStdSwap",K37,"Physical")</f>
        <v>#NUM!</v>
      </c>
      <c r="L38" s="243" t="e">
        <f>_xll.qlSwaption(,"gbpStdSwap",L37,"Physical")</f>
        <v>#NUM!</v>
      </c>
      <c r="M38" s="236" t="e">
        <f>_xll.qlSwaption(,"gbpStdSwap",M37,"Physical")</f>
        <v>#NUM!</v>
      </c>
      <c r="N38" s="236" t="e">
        <f>_xll.qlSwaption(,"gbpStdSwap",N37,"Physical")</f>
        <v>#NUM!</v>
      </c>
      <c r="O38" s="236" t="e">
        <f>_xll.qlSwaption(,"gbpStdSwap",O37,"Physical")</f>
        <v>#NUM!</v>
      </c>
      <c r="P38" s="209"/>
      <c r="Q38" s="102">
        <v>44341</v>
      </c>
      <c r="R38" s="102" t="e">
        <v>#NUM!</v>
      </c>
      <c r="S38" s="102">
        <v>58025</v>
      </c>
    </row>
    <row r="39" spans="1:19" x14ac:dyDescent="0.2">
      <c r="A39" s="209"/>
      <c r="B39" s="252"/>
      <c r="C39" s="211" t="s">
        <v>1570</v>
      </c>
      <c r="D39" s="219" t="e">
        <f>_xll.qlTreeSwaptionEngine(,C47,80,L72,,C52)</f>
        <v>#NUM!</v>
      </c>
      <c r="E39" s="219" t="e">
        <f>_xll.qlTreeSwaptionG2Engine(,C77,80,L72,,C82)</f>
        <v>#NUM!</v>
      </c>
      <c r="G39" s="223"/>
      <c r="H39" s="224"/>
      <c r="I39" s="209"/>
      <c r="J39" s="252" t="e">
        <f>_xll.qlTreeSwaptionEngine(,C47,40,L72,,C52)</f>
        <v>#NUM!</v>
      </c>
      <c r="K39" s="226" t="e">
        <f>_xll.qlJamshidianSwaptionEngine(,$C$47,,,C52)</f>
        <v>#NUM!</v>
      </c>
      <c r="L39" s="243" t="e">
        <f>_xll.qlBachelierSwaptionEngine(,L72,L44)</f>
        <v>#VALUE!</v>
      </c>
      <c r="M39" s="226" t="e">
        <f>_xll.qlModelG2SwaptionEngine(,$C$77,6,16,,C82)</f>
        <v>#NUM!</v>
      </c>
      <c r="N39" s="224" t="e">
        <f>_xll.qlTreeSwaptionG2Engine(,C77,40,G72,,C82)</f>
        <v>#NUM!</v>
      </c>
      <c r="O39" s="224" t="e">
        <f>_xll.qlTreeSwaptionG2Engine(,C77,80,,,C82)</f>
        <v>#NUM!</v>
      </c>
      <c r="P39" s="209"/>
      <c r="Q39" s="102">
        <v>44525</v>
      </c>
      <c r="R39" s="102" t="e">
        <v>#NUM!</v>
      </c>
      <c r="S39" s="102">
        <v>59849</v>
      </c>
    </row>
    <row r="40" spans="1:19" x14ac:dyDescent="0.2">
      <c r="A40" s="209"/>
      <c r="B40" s="252"/>
      <c r="C40" s="211" t="s">
        <v>1571</v>
      </c>
      <c r="D40" s="226" t="e">
        <f>_xll.qlInstrumentSetPricingEngine(D38,D39)</f>
        <v>#VALUE!</v>
      </c>
      <c r="E40" s="226" t="e">
        <f>_xll.qlInstrumentSetPricingEngine(E38,E39)</f>
        <v>#VALUE!</v>
      </c>
      <c r="G40" s="223"/>
      <c r="H40" s="224"/>
      <c r="I40" s="209"/>
      <c r="J40" s="252" t="e">
        <f>_xll.qlInstrumentSetPricingEngine(J38,J39)</f>
        <v>#VALUE!</v>
      </c>
      <c r="K40" s="226" t="e">
        <f>_xll.qlInstrumentSetPricingEngine(K38,K39)</f>
        <v>#VALUE!</v>
      </c>
      <c r="L40" s="223" t="e">
        <f>_xll.qlInstrumentSetPricingEngine(L38,L39)</f>
        <v>#VALUE!</v>
      </c>
      <c r="M40" s="226" t="e">
        <f>_xll.qlInstrumentSetPricingEngine(M38,M39)</f>
        <v>#VALUE!</v>
      </c>
      <c r="N40" s="224" t="e">
        <f>_xll.qlInstrumentSetPricingEngine(N38,N39)</f>
        <v>#VALUE!</v>
      </c>
      <c r="O40" s="224" t="e">
        <f>_xll.qlInstrumentSetPricingEngine(O38,O39)</f>
        <v>#VALUE!</v>
      </c>
      <c r="P40" s="209"/>
      <c r="Q40" s="102">
        <v>44706</v>
      </c>
    </row>
    <row r="41" spans="1:19" x14ac:dyDescent="0.2">
      <c r="A41" s="209"/>
      <c r="B41" s="252"/>
      <c r="C41" s="211"/>
      <c r="D41" s="219" t="s">
        <v>1753</v>
      </c>
      <c r="E41" s="219" t="s">
        <v>1754</v>
      </c>
      <c r="G41" s="223"/>
      <c r="H41" s="224"/>
      <c r="I41" s="209"/>
      <c r="J41" s="281" t="s">
        <v>1736</v>
      </c>
      <c r="K41" s="219" t="s">
        <v>1731</v>
      </c>
      <c r="L41" s="285" t="s">
        <v>1732</v>
      </c>
      <c r="M41" s="219" t="s">
        <v>1733</v>
      </c>
      <c r="N41" s="283" t="s">
        <v>1734</v>
      </c>
      <c r="O41" s="283" t="s">
        <v>1734</v>
      </c>
      <c r="P41" s="209"/>
      <c r="Q41" s="102">
        <v>44890</v>
      </c>
    </row>
    <row r="42" spans="1:19" x14ac:dyDescent="0.2">
      <c r="A42" s="209"/>
      <c r="B42" s="252"/>
      <c r="C42" s="210" t="s">
        <v>63</v>
      </c>
      <c r="D42" s="258" t="e">
        <f>_xll.qlInstrumentNPV(D38,D40)</f>
        <v>#NUM!</v>
      </c>
      <c r="E42" s="258" t="e">
        <f>_xll.qlInstrumentNPV(E38,E40)</f>
        <v>#NUM!</v>
      </c>
      <c r="G42" s="231"/>
      <c r="H42" s="224"/>
      <c r="I42" s="209"/>
      <c r="J42" s="282" t="e">
        <f>_xll.qlInstrumentNPV(J38,J40)</f>
        <v>#VALUE!</v>
      </c>
      <c r="K42" s="258" t="e">
        <f>_xll.qlInstrumentNPV(K38,K40)</f>
        <v>#VALUE!</v>
      </c>
      <c r="L42" s="286" t="e">
        <f>_xll.qlInstrumentNPV(L38,L40)</f>
        <v>#VALUE!</v>
      </c>
      <c r="M42" s="258" t="e">
        <f>_xll.qlInstrumentNPV(M38,M40)</f>
        <v>#VALUE!</v>
      </c>
      <c r="N42" s="284" t="e">
        <f>_xll.qlInstrumentNPV(N38,N40)</f>
        <v>#VALUE!</v>
      </c>
      <c r="O42" s="284" t="e">
        <f>_xll.qlInstrumentNPV(O38,O40)</f>
        <v>#VALUE!</v>
      </c>
      <c r="P42" s="209"/>
      <c r="Q42" s="102">
        <v>45071</v>
      </c>
    </row>
    <row r="43" spans="1:19" x14ac:dyDescent="0.2">
      <c r="A43" s="209"/>
      <c r="B43" s="253"/>
      <c r="C43" s="232"/>
      <c r="D43" s="232"/>
      <c r="E43" s="232"/>
      <c r="F43" s="232"/>
      <c r="G43" s="232"/>
      <c r="H43" s="233"/>
      <c r="I43" s="209"/>
      <c r="J43" s="209"/>
      <c r="K43" s="209"/>
      <c r="L43" s="209"/>
      <c r="M43" s="209"/>
      <c r="N43" s="209"/>
      <c r="O43" s="209"/>
      <c r="P43" s="209"/>
      <c r="Q43" s="102">
        <v>45255</v>
      </c>
    </row>
    <row r="44" spans="1:19" x14ac:dyDescent="0.2">
      <c r="A44" s="209"/>
      <c r="B44" s="209"/>
      <c r="C44" s="209"/>
      <c r="D44" s="209" t="str">
        <f ca="1">_xll.ohRangeRetrieveError(D39)</f>
        <v>qlTreeSwaptionEngine - Parameter 'Trigger' has error value</v>
      </c>
      <c r="E44" s="209" t="str">
        <f ca="1">_xll.ohRangeRetrieveError(E39)</f>
        <v>qlTreeSwaptionG2Engine - Parameter 'Trigger' has error value</v>
      </c>
      <c r="F44" s="209"/>
      <c r="G44" s="209"/>
      <c r="H44" s="209"/>
      <c r="I44" s="209"/>
      <c r="J44" s="209"/>
      <c r="K44" s="209"/>
      <c r="L44" s="288" t="e">
        <f>_xll.qlConstantSwaptionVolatility(,,D4,"f",N54)</f>
        <v>#NUM!</v>
      </c>
      <c r="M44" s="209"/>
      <c r="N44" s="209"/>
      <c r="O44" s="209"/>
      <c r="P44" s="209"/>
      <c r="Q44" s="102">
        <v>45437</v>
      </c>
    </row>
    <row r="45" spans="1:19" x14ac:dyDescent="0.2">
      <c r="A45" s="209"/>
      <c r="B45" s="209"/>
      <c r="C45" s="209"/>
      <c r="D45" s="209" t="str">
        <f ca="1">_xll.ohRangeRetrieveError(D42)</f>
        <v>qlInstrumentNPV - Parameter 'Trigger' has error value</v>
      </c>
      <c r="E45" s="209" t="str">
        <f ca="1">_xll.ohRangeRetrieveError(E42)</f>
        <v>qlInstrumentNPV - Parameter 'Trigger' has error value</v>
      </c>
      <c r="F45" s="209"/>
      <c r="G45" s="209"/>
      <c r="H45" s="209"/>
      <c r="I45" s="209"/>
      <c r="J45" s="209"/>
      <c r="K45" s="209"/>
      <c r="L45" s="290" t="e">
        <f>_xll.qlSwaptionImpliedVolatility(L38,L42,L72,0.0001,0.000001,,,,"Normal")</f>
        <v>#VALUE!</v>
      </c>
      <c r="M45" s="209" t="str">
        <f ca="1">_xll.ohRangeRetrieveError(M42)</f>
        <v/>
      </c>
      <c r="N45" s="209" t="str">
        <f ca="1">_xll.ohRangeRetrieveError(N42)</f>
        <v/>
      </c>
      <c r="O45" s="209"/>
      <c r="P45" s="209"/>
    </row>
    <row r="46" spans="1:19" x14ac:dyDescent="0.2">
      <c r="A46" s="209"/>
      <c r="B46" s="209"/>
      <c r="C46" s="209"/>
      <c r="D46" s="218" t="s">
        <v>1592</v>
      </c>
      <c r="E46" s="209"/>
      <c r="F46" s="209"/>
      <c r="G46" s="209"/>
      <c r="H46" s="209"/>
      <c r="I46" s="209"/>
      <c r="J46" s="209"/>
      <c r="K46" s="209"/>
      <c r="L46" s="209"/>
      <c r="M46" s="209"/>
      <c r="N46" s="209" t="str">
        <f ca="1">_xll.ohRangeRetrieveError(J49)</f>
        <v>qlSwaptionHelper - Unknown id for Type: 0.0358</v>
      </c>
      <c r="O46" s="209"/>
      <c r="P46" s="209"/>
    </row>
    <row r="47" spans="1:19" x14ac:dyDescent="0.2">
      <c r="A47" s="209"/>
      <c r="B47" s="218" t="s">
        <v>1753</v>
      </c>
      <c r="C47" s="244" t="str">
        <f>_xll.qlHullWhite(,$M73,0.071607,0.018205,,$D1)</f>
        <v>obj_00294#0007</v>
      </c>
      <c r="D47" s="244" t="str">
        <f>_xll.qlHullWhite(,$M73,0.071607,0.019205,,$D1)</f>
        <v>obj_00293#0007</v>
      </c>
      <c r="E47" s="209"/>
      <c r="F47" s="246"/>
      <c r="G47" s="246"/>
      <c r="H47" s="246"/>
      <c r="I47" s="246"/>
      <c r="J47" s="209"/>
      <c r="K47" s="209" t="s">
        <v>1595</v>
      </c>
      <c r="L47" s="246" t="s">
        <v>1596</v>
      </c>
      <c r="M47" s="246" t="s">
        <v>1597</v>
      </c>
      <c r="N47" s="246"/>
      <c r="O47" s="246"/>
      <c r="P47" s="246"/>
    </row>
    <row r="48" spans="1:19" x14ac:dyDescent="0.2">
      <c r="A48" s="209"/>
      <c r="B48" s="211" t="s">
        <v>1741</v>
      </c>
      <c r="C48" s="226" t="str">
        <f>_xll.qlLevenbergMarquardt(B48,,,,,D1)</f>
        <v>eurOm#0012</v>
      </c>
      <c r="D48" s="245"/>
      <c r="E48" s="209"/>
      <c r="F48" s="247" t="s">
        <v>1572</v>
      </c>
      <c r="G48" s="247" t="s">
        <v>1573</v>
      </c>
      <c r="H48" s="247" t="s">
        <v>1574</v>
      </c>
      <c r="I48" s="247" t="s">
        <v>1575</v>
      </c>
      <c r="J48" s="247" t="s">
        <v>1576</v>
      </c>
      <c r="K48" s="247" t="s">
        <v>1577</v>
      </c>
      <c r="L48" s="247" t="s">
        <v>1578</v>
      </c>
      <c r="M48" s="247" t="s">
        <v>1579</v>
      </c>
      <c r="N48" s="247" t="s">
        <v>1580</v>
      </c>
      <c r="O48" s="247" t="s">
        <v>1581</v>
      </c>
      <c r="P48" s="209"/>
    </row>
    <row r="49" spans="1:19" x14ac:dyDescent="0.2">
      <c r="A49" s="209"/>
      <c r="B49" s="211" t="s">
        <v>1584</v>
      </c>
      <c r="C49" s="226" t="str">
        <f>_xll.qlEndCriteria(,4000,250,0.0000001,0.0000001,0.0000001,,D1)</f>
        <v>obj_00010#0012</v>
      </c>
      <c r="D49" s="245"/>
      <c r="E49" s="209"/>
      <c r="F49" s="244" t="s">
        <v>157</v>
      </c>
      <c r="G49" s="244" t="s">
        <v>1727</v>
      </c>
      <c r="H49" s="269">
        <v>9.249878871375624E-3</v>
      </c>
      <c r="I49" s="244" t="str">
        <f>_xll.qlSimpleQuote(,H49,,,D1)</f>
        <v>obj_00008#0012</v>
      </c>
      <c r="J49" s="226" t="e">
        <f>_xll.qlSwaptionHelper(,F49,G49,I49,$G$14,"6m","Actual/365 (Fixed)","Actual/365 (Fixed)",K$73,J$75)</f>
        <v>#NUM!</v>
      </c>
      <c r="K49" s="226" t="str">
        <f>_xll.qlJamshidianSwaptionEngine(,$C$47,,,D$2)</f>
        <v>obj_0029a#0007</v>
      </c>
      <c r="L49" s="226" t="e">
        <f>_xll.qlCalibrationHelperSetPricingEngine(J49,K49,K49)</f>
        <v>#VALUE!</v>
      </c>
      <c r="M49" s="249" t="e">
        <f>_xll.qlSwaptionHelperModelValue(J49,L49)</f>
        <v>#VALUE!</v>
      </c>
      <c r="N49" s="262" t="e">
        <f>_xll.qlCalibrationHelperImpliedVolatility(J49,M49,0.0001,1000,0.00005,0.05,M49)</f>
        <v>#VALUE!</v>
      </c>
      <c r="O49" s="254" t="e">
        <f t="shared" ref="O49:O57" si="1">N49-H49</f>
        <v>#VALUE!</v>
      </c>
      <c r="P49" s="209"/>
      <c r="Q49">
        <v>10000</v>
      </c>
      <c r="S49" t="str">
        <f ca="1">_xll.ohRangeRetrieveError(J49)</f>
        <v>qlSwaptionHelper - Unknown id for Type: 0.0358</v>
      </c>
    </row>
    <row r="50" spans="1:19" x14ac:dyDescent="0.2">
      <c r="A50" s="209"/>
      <c r="B50" s="214" t="s">
        <v>1585</v>
      </c>
      <c r="C50" s="229" t="str">
        <f>_xll.qlNoConstraint(,,D1)</f>
        <v>obj_00006#0012</v>
      </c>
      <c r="D50" s="245"/>
      <c r="E50" s="209"/>
      <c r="F50" s="226" t="s">
        <v>1019</v>
      </c>
      <c r="G50" s="226" t="s">
        <v>1728</v>
      </c>
      <c r="H50" s="268">
        <v>7.6426333654907473E-3</v>
      </c>
      <c r="I50" s="226" t="str">
        <f>_xll.qlSimpleQuote(,H50,,,D1)</f>
        <v>obj_0001a#0012</v>
      </c>
      <c r="J50" s="226" t="e">
        <f>_xll.qlSwaptionHelper(,F50,G50,I50,$G$14,"6m","Actual/365 (Fixed)","Actual/365 (Fixed)",K$73,J$75)</f>
        <v>#NUM!</v>
      </c>
      <c r="K50" s="226" t="str">
        <f>_xll.qlJamshidianSwaptionEngine(,$C$47,,,D$2)</f>
        <v>obj_0029c#0007</v>
      </c>
      <c r="L50" s="226" t="e">
        <f>_xll.qlCalibrationHelperSetPricingEngine(J50,K50,K50)</f>
        <v>#VALUE!</v>
      </c>
      <c r="M50" s="249" t="e">
        <f>_xll.qlSwaptionHelperModelValue(J50,L50)</f>
        <v>#VALUE!</v>
      </c>
      <c r="N50" s="263" t="e">
        <f>_xll.qlCalibrationHelperImpliedVolatility(J50,M50,0.0001,1000,0.00005,0.05,M50)</f>
        <v>#VALUE!</v>
      </c>
      <c r="O50" s="255" t="e">
        <f>N50-H50</f>
        <v>#VALUE!</v>
      </c>
      <c r="P50" s="209"/>
      <c r="Q50">
        <v>10000</v>
      </c>
    </row>
    <row r="51" spans="1:19" x14ac:dyDescent="0.2">
      <c r="A51" s="209" t="str">
        <f>_xll.ohRangeRetrieveError(C47)</f>
        <v/>
      </c>
      <c r="B51" s="209"/>
      <c r="C51" s="209"/>
      <c r="D51" s="209"/>
      <c r="E51" s="209"/>
      <c r="F51" s="226" t="s">
        <v>1077</v>
      </c>
      <c r="G51" s="226" t="s">
        <v>1721</v>
      </c>
      <c r="H51" s="268">
        <v>6.7818026387922517E-3</v>
      </c>
      <c r="I51" s="226" t="str">
        <f>_xll.qlSimpleQuote(,H51,,,D1)</f>
        <v>obj_0000f#0012</v>
      </c>
      <c r="J51" s="226" t="e">
        <f>_xll.qlSwaptionHelper(,F51,G51,I51,$G$14,"6m","Actual/365 (Fixed)","Actual/365 (Fixed)",K$73,J$75)</f>
        <v>#NUM!</v>
      </c>
      <c r="K51" s="226" t="str">
        <f>_xll.qlJamshidianSwaptionEngine(,$C$47,,,D$2)</f>
        <v>obj_0029b#0007</v>
      </c>
      <c r="L51" s="226" t="e">
        <f>_xll.qlCalibrationHelperSetPricingEngine(J51,K51,K51)</f>
        <v>#VALUE!</v>
      </c>
      <c r="M51" s="249" t="e">
        <f>_xll.qlSwaptionHelperModelValue(J51,L51)</f>
        <v>#VALUE!</v>
      </c>
      <c r="N51" s="263" t="e">
        <f>_xll.qlCalibrationHelperImpliedVolatility(J51,M51,0.0001,1000,0.00005,0.05,M51)</f>
        <v>#VALUE!</v>
      </c>
      <c r="O51" s="255" t="e">
        <f>N51-H51</f>
        <v>#VALUE!</v>
      </c>
      <c r="P51" s="209"/>
      <c r="Q51">
        <v>10000</v>
      </c>
    </row>
    <row r="52" spans="1:19" x14ac:dyDescent="0.2">
      <c r="A52" s="209"/>
      <c r="B52" s="210" t="s">
        <v>1586</v>
      </c>
      <c r="C52" s="248" t="e">
        <f>_xll.qlOneFactorAffineModelCalibrate(C47,J49:J57,C48,C49,C50,,,_xll.ohTrigger(L49:L57))</f>
        <v>#NUM!</v>
      </c>
      <c r="D52" s="209"/>
      <c r="E52" s="209"/>
      <c r="F52" s="226" t="s">
        <v>1531</v>
      </c>
      <c r="G52" s="226" t="s">
        <v>1022</v>
      </c>
      <c r="H52" s="268">
        <v>6.1742496578869269E-3</v>
      </c>
      <c r="I52" s="226" t="str">
        <f>_xll.qlSimpleQuote(,H52,,,D1)</f>
        <v>obj_0000e#0012</v>
      </c>
      <c r="J52" s="226" t="e">
        <f>_xll.qlSwaptionHelper(,F52,G52,I52,$G$14,"6m","Actual/365 (Fixed)","Actual/365 (Fixed)",K$73,J$75)</f>
        <v>#NUM!</v>
      </c>
      <c r="K52" s="226" t="str">
        <f>_xll.qlJamshidianSwaptionEngine(,$C$47,,,D$2)</f>
        <v>obj_00296#0007</v>
      </c>
      <c r="L52" s="226" t="e">
        <f>_xll.qlCalibrationHelperSetPricingEngine(J52,K52,K52)</f>
        <v>#VALUE!</v>
      </c>
      <c r="M52" s="249" t="e">
        <f>_xll.qlSwaptionHelperModelValue(J52,L52)</f>
        <v>#VALUE!</v>
      </c>
      <c r="N52" s="263" t="e">
        <f>_xll.qlCalibrationHelperImpliedVolatility(J52,M52,0.0001,1000,0.00005,0.05,M52)</f>
        <v>#VALUE!</v>
      </c>
      <c r="O52" s="255" t="e">
        <f>N52-H52</f>
        <v>#VALUE!</v>
      </c>
      <c r="P52" s="209"/>
      <c r="Q52">
        <v>10000</v>
      </c>
    </row>
    <row r="53" spans="1:19" x14ac:dyDescent="0.2">
      <c r="A53" s="209"/>
      <c r="B53" s="209"/>
      <c r="C53" s="209"/>
      <c r="D53" s="209"/>
      <c r="E53" s="209"/>
      <c r="F53" s="229" t="s">
        <v>1722</v>
      </c>
      <c r="G53" s="229" t="s">
        <v>1078</v>
      </c>
      <c r="H53" s="268">
        <v>5.8936876315517682E-3</v>
      </c>
      <c r="I53" s="229" t="str">
        <f>_xll.qlSimpleQuote(,H53,,,D1)</f>
        <v>obj_0000a#0012</v>
      </c>
      <c r="J53" s="229" t="e">
        <f>_xll.qlSwaptionHelper(,F53,G53,I53,$G$14,"6m","Actual/365 (Fixed)","Actual/365 (Fixed)",K$73,J$75)</f>
        <v>#NUM!</v>
      </c>
      <c r="K53" s="229" t="str">
        <f>_xll.qlJamshidianSwaptionEngine(,$C$47,,,D$2)</f>
        <v>obj_00295#0007</v>
      </c>
      <c r="L53" s="229" t="e">
        <f>_xll.qlCalibrationHelperSetPricingEngine(J53,K53,K53)</f>
        <v>#VALUE!</v>
      </c>
      <c r="M53" s="249" t="e">
        <f>_xll.qlSwaptionHelperModelValue(J53,L53)</f>
        <v>#VALUE!</v>
      </c>
      <c r="N53" s="228" t="e">
        <f>_xll.qlCalibrationHelperImpliedVolatility(J53,M53,0.0001,1000,0.00005,0.05,M53)</f>
        <v>#VALUE!</v>
      </c>
      <c r="O53" s="256" t="e">
        <f t="shared" si="1"/>
        <v>#VALUE!</v>
      </c>
      <c r="P53" s="209"/>
      <c r="Q53">
        <v>10000</v>
      </c>
    </row>
    <row r="54" spans="1:19" x14ac:dyDescent="0.2">
      <c r="A54" s="209"/>
      <c r="B54" s="209"/>
      <c r="C54" s="209" t="str">
        <f ca="1">_xll.ohRangeRetrieveError(C52)</f>
        <v>qlOneFactorAffineModelCalibrate - operToVectorImpl: error converting parameter 'CalibrationHelpers' to type 'class std::basic_string&lt;char,struct std::char_traits&lt;char&gt;,class std::allocator&lt;char&gt; &gt;' : Unable to convert type 'struct ObjectHandler::empty_pro</v>
      </c>
      <c r="D54" s="209"/>
      <c r="E54" s="209"/>
      <c r="F54" s="226" t="s">
        <v>1723</v>
      </c>
      <c r="G54" s="226" t="s">
        <v>1021</v>
      </c>
      <c r="H54" s="268">
        <v>5.8636921014504949E-3</v>
      </c>
      <c r="I54" s="226" t="str">
        <f>_xll.qlSimpleQuote(,H54,,,D1)</f>
        <v>obj_0000c#0012</v>
      </c>
      <c r="J54" s="226" t="e">
        <f>_xll.qlSwaptionHelper(,F54,G54,I54,$G$14,"6m","Actual/365 (Fixed)","Actual/365 (Fixed)",K$73,J$75)</f>
        <v>#NUM!</v>
      </c>
      <c r="K54" s="209" t="str">
        <f>_xll.qlJamshidianSwaptionEngine(,$C$47,,,D$2)</f>
        <v>obj_00298#0007</v>
      </c>
      <c r="L54" s="226" t="e">
        <f>_xll.qlCalibrationHelperSetPricingEngine(J54,K54,K54)</f>
        <v>#VALUE!</v>
      </c>
      <c r="M54" s="249" t="e">
        <f>_xll.qlSwaptionHelperModelValue(J54,L54)</f>
        <v>#VALUE!</v>
      </c>
      <c r="N54" s="263" t="e">
        <f>_xll.qlCalibrationHelperImpliedVolatility(J54,M54,0.0001,1000,0.00005,0.05,M54)</f>
        <v>#VALUE!</v>
      </c>
      <c r="O54" s="255" t="e">
        <f t="shared" si="1"/>
        <v>#VALUE!</v>
      </c>
      <c r="P54" s="209"/>
      <c r="Q54">
        <v>10000</v>
      </c>
    </row>
    <row r="55" spans="1:19" x14ac:dyDescent="0.2">
      <c r="A55" s="209"/>
      <c r="B55" s="216" t="s">
        <v>1587</v>
      </c>
      <c r="C55" s="217"/>
      <c r="D55" s="209"/>
      <c r="E55" s="209"/>
      <c r="F55" s="226" t="s">
        <v>1724</v>
      </c>
      <c r="G55" s="226" t="s">
        <v>1020</v>
      </c>
      <c r="H55" s="268">
        <v>5.9064244734313362E-3</v>
      </c>
      <c r="I55" s="226" t="str">
        <f>_xll.qlSimpleQuote(,H55,,,D1)</f>
        <v>obj_0000d#0012</v>
      </c>
      <c r="J55" s="226" t="e">
        <f>_xll.qlSwaptionHelper(,F55,G55,I55,$G$14,"6m","Actual/365 (Fixed)","Actual/365 (Fixed)",K$73,J$75)</f>
        <v>#NUM!</v>
      </c>
      <c r="K55" s="209" t="str">
        <f>_xll.qlJamshidianSwaptionEngine(,$C$47,,,D$2)</f>
        <v>obj_00299#0007</v>
      </c>
      <c r="L55" s="226" t="e">
        <f>_xll.qlCalibrationHelperSetPricingEngine(J55,K55,K55)</f>
        <v>#VALUE!</v>
      </c>
      <c r="M55" s="249" t="e">
        <f>_xll.qlSwaptionHelperModelValue(J55,L55)</f>
        <v>#VALUE!</v>
      </c>
      <c r="N55" s="263" t="e">
        <f>_xll.qlCalibrationHelperImpliedVolatility(J55,M55,0.0001,1000,0.00005,0.05,M55)</f>
        <v>#VALUE!</v>
      </c>
      <c r="O55" s="255" t="e">
        <f t="shared" si="1"/>
        <v>#VALUE!</v>
      </c>
      <c r="P55" s="209"/>
      <c r="Q55">
        <v>10000</v>
      </c>
    </row>
    <row r="56" spans="1:19" x14ac:dyDescent="0.2">
      <c r="A56" s="209"/>
      <c r="B56" s="218" t="s">
        <v>1588</v>
      </c>
      <c r="C56" s="264" t="e">
        <f>_xll.qlVasicekA(C47,C52)</f>
        <v>#NUM!</v>
      </c>
      <c r="D56" s="264">
        <f>_xll.qlVasicekA(D47,D$52)</f>
        <v>7.1607000000000004E-2</v>
      </c>
      <c r="E56" s="209"/>
      <c r="F56" s="226" t="s">
        <v>1725</v>
      </c>
      <c r="G56" s="226" t="s">
        <v>952</v>
      </c>
      <c r="H56" s="268">
        <v>5.8989711804211713E-3</v>
      </c>
      <c r="I56" s="226" t="str">
        <f>_xll.qlSimpleQuote(,H56,,,D1)</f>
        <v>obj_0001b#0012</v>
      </c>
      <c r="J56" s="226" t="e">
        <f>_xll.qlSwaptionHelper(,F56,G56,I56,$G$14,"6m","Actual/365 (Fixed)","Actual/365 (Fixed)",K$73,J$75)</f>
        <v>#NUM!</v>
      </c>
      <c r="K56" s="209" t="str">
        <f>_xll.qlJamshidianSwaptionEngine(,$C$47,,,D$2)</f>
        <v>obj_00297#0007</v>
      </c>
      <c r="L56" s="226" t="e">
        <f>_xll.qlCalibrationHelperSetPricingEngine(J56,K56,K56)</f>
        <v>#VALUE!</v>
      </c>
      <c r="M56" s="249" t="e">
        <f>_xll.qlSwaptionHelperModelValue(J56,L56)</f>
        <v>#VALUE!</v>
      </c>
      <c r="N56" s="263" t="e">
        <f>_xll.qlCalibrationHelperImpliedVolatility(J56,M56,0.0001,1000,0.00005,0.05,M56)</f>
        <v>#VALUE!</v>
      </c>
      <c r="O56" s="255" t="e">
        <f t="shared" si="1"/>
        <v>#VALUE!</v>
      </c>
      <c r="P56" s="209"/>
      <c r="Q56">
        <v>10000</v>
      </c>
    </row>
    <row r="57" spans="1:19" x14ac:dyDescent="0.2">
      <c r="A57" s="209"/>
      <c r="B57" s="211" t="s">
        <v>1589</v>
      </c>
      <c r="C57" s="265">
        <f>_xll.qlVasicekB(C47)</f>
        <v>0</v>
      </c>
      <c r="D57" s="265">
        <f>_xll.qlVasicekB(D47,D52)</f>
        <v>0</v>
      </c>
      <c r="E57" s="209"/>
      <c r="F57" s="229" t="s">
        <v>1726</v>
      </c>
      <c r="G57" s="229" t="s">
        <v>1073</v>
      </c>
      <c r="H57" s="267">
        <v>5.9516989116339299E-3</v>
      </c>
      <c r="I57" s="229" t="str">
        <f>_xll.qlSimpleQuote(,H57,,,D1)</f>
        <v>obj_00005#0012</v>
      </c>
      <c r="J57" s="229" t="e">
        <f>_xll.qlSwaptionHelper(,F57,G57,I57,$G$14,"6m","Actual/365 (Fixed)","Actual/365 (Fixed)",K$73,J$75)</f>
        <v>#NUM!</v>
      </c>
      <c r="K57" s="209" t="str">
        <f>_xll.qlJamshidianSwaptionEngine(,$C$47,,,D$2)</f>
        <v>obj_0029d#0007</v>
      </c>
      <c r="L57" s="229" t="e">
        <f>_xll.qlCalibrationHelperSetPricingEngine(J57,K57,K57)</f>
        <v>#VALUE!</v>
      </c>
      <c r="M57" s="249" t="e">
        <f>_xll.qlSwaptionHelperModelValue(J57,L57)</f>
        <v>#VALUE!</v>
      </c>
      <c r="N57" s="228" t="e">
        <f>_xll.qlCalibrationHelperImpliedVolatility(J57,M57,0.0001,1000,0.00005,0.05,M57)</f>
        <v>#VALUE!</v>
      </c>
      <c r="O57" s="256" t="e">
        <f t="shared" si="1"/>
        <v>#VALUE!</v>
      </c>
      <c r="P57" s="209"/>
      <c r="Q57">
        <v>10000</v>
      </c>
    </row>
    <row r="58" spans="1:19" x14ac:dyDescent="0.2">
      <c r="A58" s="209"/>
      <c r="B58" s="211" t="s">
        <v>1590</v>
      </c>
      <c r="C58" s="265">
        <f>_xll.qlVasicekLambda(C47)</f>
        <v>0</v>
      </c>
      <c r="D58" s="265">
        <f>_xll.qlVasicekLambda(D47,D52)</f>
        <v>0</v>
      </c>
      <c r="E58" s="209"/>
      <c r="F58" s="209"/>
      <c r="G58" s="209"/>
      <c r="H58" s="209"/>
      <c r="I58" s="209"/>
      <c r="J58" s="209"/>
      <c r="K58" s="209"/>
      <c r="L58" s="209"/>
      <c r="M58" s="249" t="e">
        <f>_xll.qlSwaptionHelperModelValue(J58,C$52)</f>
        <v>#NUM!</v>
      </c>
      <c r="N58" s="209"/>
      <c r="O58" s="209"/>
      <c r="P58" s="209"/>
    </row>
    <row r="59" spans="1:19" x14ac:dyDescent="0.2">
      <c r="A59" s="209"/>
      <c r="B59" s="214" t="s">
        <v>1591</v>
      </c>
      <c r="C59" s="266" t="e">
        <f>_xll.qlVasicekSigma(C47,C52)</f>
        <v>#NUM!</v>
      </c>
      <c r="D59" s="266">
        <f>_xll.qlVasicekSigma(D47,D52)</f>
        <v>1.9205E-2</v>
      </c>
      <c r="E59" s="209"/>
      <c r="F59" s="209"/>
      <c r="G59" s="209"/>
      <c r="H59" s="209"/>
      <c r="I59" s="209"/>
      <c r="J59" s="209"/>
      <c r="K59" s="209"/>
      <c r="L59" s="209"/>
      <c r="M59" s="209" t="str">
        <f ca="1">_xll.ohRangeRetrieveError(M56)</f>
        <v/>
      </c>
      <c r="N59" s="209"/>
      <c r="O59" s="209"/>
      <c r="P59" s="209"/>
    </row>
    <row r="60" spans="1:19" x14ac:dyDescent="0.2">
      <c r="A60" s="209"/>
      <c r="B60" s="209"/>
      <c r="C60" s="209"/>
      <c r="D60" s="209"/>
      <c r="E60" s="209"/>
      <c r="F60" s="209"/>
      <c r="G60" s="209"/>
      <c r="H60" s="209"/>
      <c r="I60" s="209"/>
      <c r="J60" s="209"/>
      <c r="K60" s="209"/>
      <c r="L60" s="209"/>
      <c r="M60" s="209"/>
      <c r="N60" s="209"/>
      <c r="O60" s="209"/>
      <c r="P60" s="209"/>
    </row>
    <row r="61" spans="1:19" x14ac:dyDescent="0.2">
      <c r="A61" s="209"/>
      <c r="B61" s="209"/>
      <c r="C61" s="209"/>
      <c r="D61" s="209"/>
      <c r="E61" s="209"/>
      <c r="F61" s="209"/>
      <c r="G61" s="209"/>
      <c r="H61" s="209"/>
      <c r="I61" s="209"/>
      <c r="J61" s="209"/>
      <c r="K61" s="209"/>
      <c r="L61" s="209"/>
      <c r="M61" s="209"/>
      <c r="N61" s="209"/>
      <c r="O61" s="209"/>
      <c r="P61" s="209"/>
    </row>
    <row r="62" spans="1:19" x14ac:dyDescent="0.2">
      <c r="A62" s="209"/>
      <c r="B62" s="209"/>
      <c r="C62" s="209"/>
      <c r="D62" s="209"/>
      <c r="E62" s="209"/>
      <c r="F62" s="209"/>
      <c r="G62" s="209"/>
      <c r="H62" s="209"/>
      <c r="I62" s="209"/>
      <c r="J62" s="209"/>
      <c r="K62" s="209"/>
      <c r="L62" s="209"/>
      <c r="M62" s="209"/>
      <c r="N62" s="209"/>
      <c r="O62" s="209"/>
      <c r="P62" s="209"/>
    </row>
    <row r="63" spans="1:19" x14ac:dyDescent="0.2">
      <c r="A63" s="209"/>
      <c r="B63" s="209"/>
      <c r="C63" s="209"/>
      <c r="D63" s="209"/>
      <c r="E63" s="209"/>
      <c r="F63" s="209"/>
      <c r="G63" s="209"/>
      <c r="H63" s="209"/>
      <c r="I63" s="209"/>
      <c r="J63" s="209"/>
      <c r="K63" s="209"/>
      <c r="L63" s="209"/>
      <c r="M63" s="209"/>
      <c r="N63" s="209"/>
      <c r="O63" s="209"/>
      <c r="P63" s="209"/>
    </row>
    <row r="64" spans="1:19" x14ac:dyDescent="0.2">
      <c r="A64" s="209"/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209"/>
    </row>
    <row r="65" spans="1:19" x14ac:dyDescent="0.2">
      <c r="A65" s="209"/>
      <c r="B65" s="209"/>
      <c r="C65" s="209"/>
      <c r="D65" s="209"/>
      <c r="E65" s="209"/>
      <c r="F65" s="209"/>
      <c r="G65" s="209"/>
      <c r="H65" s="209"/>
      <c r="I65" s="209"/>
      <c r="J65" s="209"/>
      <c r="K65" s="209"/>
      <c r="L65" s="209"/>
      <c r="M65" s="209"/>
      <c r="N65" s="209"/>
      <c r="O65" s="209"/>
      <c r="P65" s="209"/>
    </row>
    <row r="66" spans="1:19" x14ac:dyDescent="0.2">
      <c r="A66" s="209"/>
      <c r="B66" s="209"/>
      <c r="C66" s="209"/>
      <c r="D66" s="209"/>
      <c r="E66" s="209"/>
      <c r="F66" s="209"/>
      <c r="G66" s="209"/>
      <c r="H66" s="209"/>
      <c r="I66" s="209"/>
      <c r="J66" s="209"/>
      <c r="K66" s="209"/>
      <c r="L66" s="209"/>
      <c r="M66" s="209"/>
      <c r="N66" s="209"/>
      <c r="O66" s="209"/>
      <c r="P66" s="209"/>
    </row>
    <row r="67" spans="1:19" x14ac:dyDescent="0.2">
      <c r="A67" s="209"/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09"/>
      <c r="P67" s="209"/>
    </row>
    <row r="68" spans="1:19" x14ac:dyDescent="0.2">
      <c r="A68" s="209"/>
      <c r="B68" s="209"/>
      <c r="C68" s="209"/>
      <c r="D68" s="209"/>
      <c r="E68" s="209"/>
      <c r="F68" s="209"/>
      <c r="G68" s="209"/>
      <c r="H68" s="209"/>
      <c r="I68" s="209"/>
      <c r="J68" s="209"/>
      <c r="K68" s="209"/>
      <c r="L68" s="209"/>
      <c r="M68" s="209"/>
      <c r="N68" s="209"/>
      <c r="O68" s="209"/>
      <c r="P68" s="209"/>
    </row>
    <row r="69" spans="1:19" x14ac:dyDescent="0.2">
      <c r="A69" s="209"/>
      <c r="B69" s="209"/>
      <c r="C69" s="209"/>
      <c r="D69" s="209"/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</row>
    <row r="70" spans="1:19" x14ac:dyDescent="0.2">
      <c r="A70" s="209"/>
      <c r="B70" s="209"/>
      <c r="C70" s="209"/>
      <c r="D70" s="209"/>
      <c r="E70" s="209"/>
      <c r="F70" s="209"/>
      <c r="G70" s="209"/>
      <c r="H70" s="209"/>
      <c r="I70" s="209"/>
      <c r="J70" s="209"/>
      <c r="K70" s="209"/>
      <c r="L70" s="209"/>
      <c r="M70" s="209"/>
      <c r="N70" s="209"/>
      <c r="O70" s="209"/>
      <c r="P70" s="209"/>
    </row>
    <row r="72" spans="1:19" x14ac:dyDescent="0.2">
      <c r="C72" s="210" t="s">
        <v>1720</v>
      </c>
      <c r="D72" s="260">
        <v>3</v>
      </c>
      <c r="F72" s="210"/>
      <c r="G72" s="210" t="s">
        <v>264</v>
      </c>
      <c r="H72" s="210"/>
      <c r="I72" s="210" t="s">
        <v>994</v>
      </c>
      <c r="J72" s="209"/>
      <c r="K72" s="210"/>
      <c r="L72" s="210" t="s">
        <v>264</v>
      </c>
      <c r="M72" s="210"/>
      <c r="N72" s="210" t="s">
        <v>994</v>
      </c>
    </row>
    <row r="73" spans="1:19" x14ac:dyDescent="0.2">
      <c r="C73" s="210" t="s">
        <v>1729</v>
      </c>
      <c r="D73" s="260">
        <v>4</v>
      </c>
      <c r="F73" s="210" t="s">
        <v>1737</v>
      </c>
      <c r="G73" s="250" t="str">
        <f>_xll.qlRelinkableHandleYieldTermStructure(F73,G72)</f>
        <v>rhDiscount1#0011</v>
      </c>
      <c r="H73" s="210" t="s">
        <v>1738</v>
      </c>
      <c r="I73" s="250" t="str">
        <f>_xll.qlRelinkableHandleYieldTermStructure(H73,I72)</f>
        <v>rhProj1#0011</v>
      </c>
      <c r="J73" s="209"/>
      <c r="K73" s="210" t="s">
        <v>1739</v>
      </c>
      <c r="L73" s="250" t="str">
        <f>_xll.qlRelinkableHandleYieldTermStructure(K73,L72)</f>
        <v>rhDiscountHW1#0011</v>
      </c>
      <c r="M73" s="210" t="s">
        <v>1740</v>
      </c>
      <c r="N73" s="250" t="str">
        <f>_xll.qlRelinkableHandleYieldTermStructure(M73,N72)</f>
        <v>rhProjHW1#0011</v>
      </c>
    </row>
    <row r="74" spans="1:19" x14ac:dyDescent="0.2">
      <c r="B74" s="105" t="s">
        <v>1601</v>
      </c>
      <c r="C74" t="e">
        <f>_xll.qlSimplex(B74,0.001,,Trigger)</f>
        <v>#NUM!</v>
      </c>
    </row>
    <row r="75" spans="1:19" x14ac:dyDescent="0.2">
      <c r="B75" s="209"/>
      <c r="C75" s="209"/>
      <c r="D75" s="209"/>
      <c r="E75" s="209"/>
      <c r="F75" s="209"/>
      <c r="G75" s="209"/>
      <c r="H75" s="209"/>
      <c r="I75" s="209"/>
      <c r="J75" s="275">
        <v>3.5799999999999998E-2</v>
      </c>
      <c r="K75" s="209"/>
      <c r="L75" s="209"/>
      <c r="M75" s="261"/>
      <c r="N75" s="209"/>
      <c r="O75" s="209"/>
      <c r="P75" s="209"/>
    </row>
    <row r="76" spans="1:19" x14ac:dyDescent="0.2">
      <c r="B76" s="209"/>
      <c r="C76" s="209"/>
      <c r="D76" s="218" t="s">
        <v>1602</v>
      </c>
      <c r="E76" s="209"/>
      <c r="F76" s="209"/>
      <c r="G76" s="209"/>
      <c r="H76" s="209">
        <v>0</v>
      </c>
      <c r="I76" s="209"/>
      <c r="J76" s="209" t="str">
        <f ca="1">_xll.ohRangeRetrieveError(J79)</f>
        <v>qlSwaptionHelper - Unknown id for Type: 0.0358</v>
      </c>
      <c r="K76" s="209"/>
      <c r="L76" s="209"/>
      <c r="M76" s="209"/>
      <c r="N76" s="209"/>
      <c r="O76" s="209"/>
      <c r="P76" s="209"/>
    </row>
    <row r="77" spans="1:19" x14ac:dyDescent="0.2">
      <c r="B77" s="218" t="s">
        <v>1754</v>
      </c>
      <c r="C77" s="244" t="str">
        <f>_xll.qlModelG2(,N72,A93,A94,A95,A96,A97,,D72)</f>
        <v>obj_001db#0011</v>
      </c>
      <c r="D77" s="244"/>
      <c r="E77" s="209"/>
      <c r="F77" s="246"/>
      <c r="G77" s="246"/>
      <c r="H77" s="246"/>
      <c r="I77" s="246"/>
      <c r="J77" s="209"/>
      <c r="K77" s="209" t="s">
        <v>1595</v>
      </c>
      <c r="L77" s="246" t="s">
        <v>1596</v>
      </c>
      <c r="M77" s="246" t="s">
        <v>1597</v>
      </c>
      <c r="N77" s="246"/>
      <c r="O77" s="246"/>
      <c r="P77" s="246"/>
    </row>
    <row r="78" spans="1:19" x14ac:dyDescent="0.2">
      <c r="B78" s="211" t="s">
        <v>1742</v>
      </c>
      <c r="C78" s="226" t="str">
        <f>_xll.qlLevenbergMarquardt(B78,,,,,D72)</f>
        <v>omEurG2#0012</v>
      </c>
      <c r="D78" s="245"/>
      <c r="E78" s="209"/>
      <c r="F78" s="247" t="s">
        <v>1572</v>
      </c>
      <c r="G78" s="247" t="s">
        <v>1573</v>
      </c>
      <c r="H78" s="247" t="s">
        <v>1574</v>
      </c>
      <c r="I78" s="247" t="s">
        <v>1575</v>
      </c>
      <c r="J78" s="247" t="s">
        <v>1576</v>
      </c>
      <c r="K78" s="247" t="s">
        <v>1577</v>
      </c>
      <c r="L78" s="247" t="s">
        <v>1578</v>
      </c>
      <c r="M78" s="247" t="s">
        <v>1579</v>
      </c>
      <c r="N78" s="247" t="s">
        <v>1580</v>
      </c>
      <c r="O78" s="247" t="s">
        <v>1581</v>
      </c>
      <c r="P78" s="209"/>
    </row>
    <row r="79" spans="1:19" x14ac:dyDescent="0.2">
      <c r="B79" s="211" t="s">
        <v>1584</v>
      </c>
      <c r="C79" s="226" t="str">
        <f>_xll.qlEndCriteria(,4000,250,0.0000001,0.0000001,0.0000001,,D72)</f>
        <v>obj_00012#0012</v>
      </c>
      <c r="D79" s="245"/>
      <c r="E79" s="209"/>
      <c r="F79" s="244" t="s">
        <v>157</v>
      </c>
      <c r="G79" s="244" t="s">
        <v>1727</v>
      </c>
      <c r="H79" s="276">
        <f>H49+H$76</f>
        <v>9.249878871375624E-3</v>
      </c>
      <c r="I79" s="244" t="str">
        <f>_xll.qlSimpleQuote(,H79,,,D$72)</f>
        <v>obj_00004#0012</v>
      </c>
      <c r="J79" s="226" t="e">
        <f>_xll.qlSwaptionHelper(,F79,G79,I79,$G$14,"6m","Actual/365 (Fixed)","Actual/365 (Fixed)",K$73,J$75)</f>
        <v>#NUM!</v>
      </c>
      <c r="K79" s="244" t="str">
        <f>_xll.qlModelG2SwaptionEngine(,$C$77,6,16,,D$73)</f>
        <v>obj_001e6#0006</v>
      </c>
      <c r="L79" s="226" t="e">
        <f>_xll.qlCalibrationHelperSetPricingEngine(J79,K79,K79)</f>
        <v>#VALUE!</v>
      </c>
      <c r="M79" s="249" t="e">
        <f>_xll.qlSwaptionHelperModelValue(J79,_xll.ohTrigger(L79,C$82))</f>
        <v>#VALUE!</v>
      </c>
      <c r="N79" s="262" t="e">
        <f>_xll.qlCalibrationHelperImpliedVolatility(J79,M79,0.0001,1000,0.00005,0.5)</f>
        <v>#VALUE!</v>
      </c>
      <c r="O79" s="254" t="e">
        <f>N79-H79</f>
        <v>#VALUE!</v>
      </c>
      <c r="P79" s="209"/>
      <c r="Q79">
        <v>100000</v>
      </c>
      <c r="S79" t="e">
        <f>oh</f>
        <v>#NAME?</v>
      </c>
    </row>
    <row r="80" spans="1:19" x14ac:dyDescent="0.2">
      <c r="B80" s="214" t="s">
        <v>1585</v>
      </c>
      <c r="C80" s="229" t="str">
        <f>_xll.qlNoConstraint(,,D72)</f>
        <v>obj_00014#0012</v>
      </c>
      <c r="D80" s="245"/>
      <c r="E80" s="209"/>
      <c r="F80" s="226" t="s">
        <v>1019</v>
      </c>
      <c r="G80" s="226" t="s">
        <v>1728</v>
      </c>
      <c r="H80" s="277">
        <f t="shared" ref="H80:H87" si="2">H50+H$76</f>
        <v>7.6426333654907473E-3</v>
      </c>
      <c r="I80" s="226" t="str">
        <f>_xll.qlSimpleQuote(,H80,,,D$72)</f>
        <v>obj_00013#0012</v>
      </c>
      <c r="J80" s="226" t="e">
        <f>_xll.qlSwaptionHelper(,F80,G80,I80,$G$14,"6m","Actual/365 (Fixed)","Actual/365 (Fixed)",K$73,J$75)</f>
        <v>#NUM!</v>
      </c>
      <c r="K80" s="226" t="str">
        <f>_xll.qlModelG2SwaptionEngine(,$C$77,6,16,,D$73)</f>
        <v>obj_001dc#0011</v>
      </c>
      <c r="L80" s="226" t="e">
        <f>_xll.qlCalibrationHelperSetPricingEngine(J80,K80,K80)</f>
        <v>#VALUE!</v>
      </c>
      <c r="M80" s="249" t="e">
        <f>_xll.qlSwaptionHelperModelValue(J80,_xll.ohTrigger(L80,C$82))</f>
        <v>#VALUE!</v>
      </c>
      <c r="N80" s="263" t="e">
        <f>_xll.qlCalibrationHelperImpliedVolatility(J80,M80,0.0001,1000,0.00005,0.5)</f>
        <v>#VALUE!</v>
      </c>
      <c r="O80" s="255" t="e">
        <f t="shared" ref="O80:O83" si="3">N80-H80</f>
        <v>#VALUE!</v>
      </c>
      <c r="P80" s="209"/>
      <c r="Q80">
        <v>100000</v>
      </c>
    </row>
    <row r="81" spans="1:19" x14ac:dyDescent="0.2">
      <c r="B81" s="209"/>
      <c r="C81" s="209"/>
      <c r="D81" s="209"/>
      <c r="E81" s="209"/>
      <c r="F81" s="226" t="s">
        <v>1077</v>
      </c>
      <c r="G81" s="226" t="s">
        <v>1721</v>
      </c>
      <c r="H81" s="277">
        <f t="shared" si="2"/>
        <v>6.7818026387922517E-3</v>
      </c>
      <c r="I81" s="226" t="str">
        <f>_xll.qlSimpleQuote(,H81,,,D$72)</f>
        <v>obj_00018#0012</v>
      </c>
      <c r="J81" s="226" t="e">
        <f>_xll.qlSwaptionHelper(,F81,G81,I81,$G$14,"6m","Actual/365 (Fixed)","Actual/365 (Fixed)",K$73,J$75)</f>
        <v>#NUM!</v>
      </c>
      <c r="K81" s="226" t="str">
        <f>_xll.qlModelG2SwaptionEngine(,$C$77,6,16,,D$73)</f>
        <v>obj_001e2#0007</v>
      </c>
      <c r="L81" s="226" t="e">
        <f>_xll.qlCalibrationHelperSetPricingEngine(J81,K81,K81)</f>
        <v>#VALUE!</v>
      </c>
      <c r="M81" s="249" t="e">
        <f>_xll.qlSwaptionHelperModelValue(J81,_xll.ohTrigger(L81,C$82))</f>
        <v>#VALUE!</v>
      </c>
      <c r="N81" s="263" t="e">
        <f>_xll.qlCalibrationHelperImpliedVolatility(J81,M81,0.0001,1000,0.00005,0.5)</f>
        <v>#VALUE!</v>
      </c>
      <c r="O81" s="255" t="e">
        <f t="shared" si="3"/>
        <v>#VALUE!</v>
      </c>
      <c r="P81" s="209"/>
      <c r="Q81">
        <v>100000</v>
      </c>
    </row>
    <row r="82" spans="1:19" x14ac:dyDescent="0.2">
      <c r="B82" s="210" t="s">
        <v>1586</v>
      </c>
      <c r="C82" s="248" t="e">
        <f>_xll.qlModelG2Calibrate(C77,J79:J87,C78,C79,C80,,,_xll.ohTrigger(L79:L87))</f>
        <v>#NUM!</v>
      </c>
      <c r="D82" s="209"/>
      <c r="E82" s="209"/>
      <c r="F82" s="226" t="s">
        <v>1531</v>
      </c>
      <c r="G82" s="226" t="s">
        <v>1022</v>
      </c>
      <c r="H82" s="277">
        <f t="shared" si="2"/>
        <v>6.1742496578869269E-3</v>
      </c>
      <c r="I82" s="226" t="str">
        <f>_xll.qlSimpleQuote(,H82,,,D$72)</f>
        <v>obj_00017#0012</v>
      </c>
      <c r="J82" s="226" t="e">
        <f>_xll.qlSwaptionHelper(,F82,G82,I82,$G$14,"6m","Actual/365 (Fixed)","Actual/365 (Fixed)",K$73,J$75)</f>
        <v>#NUM!</v>
      </c>
      <c r="K82" s="226" t="str">
        <f>_xll.qlModelG2SwaptionEngine(,$C$77,6,16,,D$73)</f>
        <v>obj_001e1#0007</v>
      </c>
      <c r="L82" s="226" t="e">
        <f>_xll.qlCalibrationHelperSetPricingEngine(J82,K82,K82)</f>
        <v>#VALUE!</v>
      </c>
      <c r="M82" s="249" t="e">
        <f>_xll.qlSwaptionHelperModelValue(J82,_xll.ohTrigger(L82,C$82))</f>
        <v>#VALUE!</v>
      </c>
      <c r="N82" s="263" t="e">
        <f>_xll.qlCalibrationHelperImpliedVolatility(J82,M82,0.0001,1000,0.00005,0.5)</f>
        <v>#VALUE!</v>
      </c>
      <c r="O82" s="255" t="e">
        <f t="shared" si="3"/>
        <v>#VALUE!</v>
      </c>
      <c r="P82" s="209"/>
      <c r="Q82">
        <v>100000</v>
      </c>
    </row>
    <row r="83" spans="1:19" x14ac:dyDescent="0.2">
      <c r="B83" s="209"/>
      <c r="C83" s="209" t="str">
        <f>_xll.ohRangeRetrieveError(C77)</f>
        <v/>
      </c>
      <c r="D83" s="209"/>
      <c r="E83" s="209"/>
      <c r="F83" s="226" t="s">
        <v>1722</v>
      </c>
      <c r="G83" s="229" t="s">
        <v>1078</v>
      </c>
      <c r="H83" s="278">
        <f t="shared" si="2"/>
        <v>5.8936876315517682E-3</v>
      </c>
      <c r="I83" s="229" t="str">
        <f>_xll.qlSimpleQuote(,H83,,,D$72)</f>
        <v>obj_00003#0012</v>
      </c>
      <c r="J83" s="229" t="e">
        <f>_xll.qlSwaptionHelper(,F83,G83,I83,$G$14,"6m","Actual/365 (Fixed)","Actual/365 (Fixed)",K$73,J$75)</f>
        <v>#NUM!</v>
      </c>
      <c r="K83" s="229" t="str">
        <f>_xll.qlModelG2SwaptionEngine(,$C$77,6,16,,D$73)</f>
        <v>obj_001e3#0007</v>
      </c>
      <c r="L83" s="226" t="e">
        <f>_xll.qlCalibrationHelperSetPricingEngine(J83,K83,K83)</f>
        <v>#VALUE!</v>
      </c>
      <c r="M83" s="249" t="e">
        <f>_xll.qlSwaptionHelperModelValue(J83,_xll.ohTrigger(L83,C$82))</f>
        <v>#VALUE!</v>
      </c>
      <c r="N83" s="228" t="e">
        <f>_xll.qlCalibrationHelperImpliedVolatility(J83,M83,0.0001,1000,0.00005,0.5)</f>
        <v>#VALUE!</v>
      </c>
      <c r="O83" s="256" t="e">
        <f t="shared" si="3"/>
        <v>#VALUE!</v>
      </c>
      <c r="P83" s="209"/>
      <c r="Q83">
        <v>100000</v>
      </c>
    </row>
    <row r="84" spans="1:19" x14ac:dyDescent="0.2">
      <c r="B84" s="209"/>
      <c r="C84" s="209" t="str">
        <f ca="1">_xll.ohRangeRetrieveError(C82)</f>
        <v>qlModelG2Calibrate - operToVectorImpl: error converting parameter 'CalibrationHelpers' to type 'class std::basic_string&lt;char,struct std::char_traits&lt;char&gt;,class std::allocator&lt;char&gt; &gt;' : Unable to convert type 'struct ObjectHandler::empty_property_tag' to</v>
      </c>
      <c r="D84" s="209"/>
      <c r="E84" s="209"/>
      <c r="F84" s="226" t="s">
        <v>1723</v>
      </c>
      <c r="G84" s="226" t="s">
        <v>1021</v>
      </c>
      <c r="H84" s="277">
        <f t="shared" si="2"/>
        <v>5.8636921014504949E-3</v>
      </c>
      <c r="I84" s="226" t="str">
        <f>_xll.qlSimpleQuote(,H84,,,D$72)</f>
        <v>obj_0001c#0012</v>
      </c>
      <c r="J84" s="226" t="e">
        <f>_xll.qlSwaptionHelper(,F84,G84,I84,$G$14,"6m","Actual/365 (Fixed)","Actual/365 (Fixed)",K$73,J$75)</f>
        <v>#NUM!</v>
      </c>
      <c r="K84" s="226" t="str">
        <f>_xll.qlModelG2SwaptionEngine(,$C$77,6,16,,D$73)</f>
        <v>obj_001df#0011</v>
      </c>
      <c r="L84" s="226" t="e">
        <f>_xll.qlCalibrationHelperSetPricingEngine(J84,K84,K84)</f>
        <v>#VALUE!</v>
      </c>
      <c r="M84" s="249" t="e">
        <f>_xll.qlSwaptionHelperModelValue(J84,_xll.ohTrigger(L84,C$82))</f>
        <v>#VALUE!</v>
      </c>
      <c r="N84" s="263" t="e">
        <f>_xll.qlCalibrationHelperImpliedVolatility(J84,M84,0.0001,1000,0.00005,0.5)</f>
        <v>#VALUE!</v>
      </c>
      <c r="O84" s="255" t="e">
        <f>N84-H84</f>
        <v>#VALUE!</v>
      </c>
      <c r="P84" s="209"/>
      <c r="Q84">
        <v>100000</v>
      </c>
    </row>
    <row r="85" spans="1:19" x14ac:dyDescent="0.2">
      <c r="B85" s="216" t="s">
        <v>1608</v>
      </c>
      <c r="C85" s="217"/>
      <c r="D85" s="209"/>
      <c r="E85" s="209"/>
      <c r="F85" s="226" t="s">
        <v>1724</v>
      </c>
      <c r="G85" s="226" t="s">
        <v>1020</v>
      </c>
      <c r="H85" s="277">
        <f t="shared" si="2"/>
        <v>5.9064244734313362E-3</v>
      </c>
      <c r="I85" s="226" t="str">
        <f>_xll.qlSimpleQuote(,H85,,,D$72)</f>
        <v>obj_00009#0012</v>
      </c>
      <c r="J85" s="226" t="e">
        <f>_xll.qlSwaptionHelper(,F85,G85,I85,$G$14,"6m","Actual/365 (Fixed)","Actual/365 (Fixed)",K$73,J$75)</f>
        <v>#NUM!</v>
      </c>
      <c r="K85" s="226" t="str">
        <f>_xll.qlModelG2SwaptionEngine(,$C$77,6,16,,D$73)</f>
        <v>obj_001de#0011</v>
      </c>
      <c r="L85" s="226" t="e">
        <f>_xll.qlCalibrationHelperSetPricingEngine(J85,K85,K85)</f>
        <v>#VALUE!</v>
      </c>
      <c r="M85" s="249" t="e">
        <f>_xll.qlSwaptionHelperModelValue(J85,_xll.ohTrigger(L85,C$82))</f>
        <v>#VALUE!</v>
      </c>
      <c r="N85" s="263" t="e">
        <f>_xll.qlCalibrationHelperImpliedVolatility(J85,M85,0.0001,1000,0.00005,0.5)</f>
        <v>#VALUE!</v>
      </c>
      <c r="O85" s="255" t="e">
        <f>N85-H85</f>
        <v>#VALUE!</v>
      </c>
      <c r="P85" s="209"/>
      <c r="Q85">
        <v>100000</v>
      </c>
    </row>
    <row r="86" spans="1:19" x14ac:dyDescent="0.2">
      <c r="A86">
        <v>3.6493343467367819E-5</v>
      </c>
      <c r="B86" s="218" t="s">
        <v>1603</v>
      </c>
      <c r="C86" s="264" t="e">
        <f>_xll.qlModelG2A(C77,C82)</f>
        <v>#NUM!</v>
      </c>
      <c r="D86" s="244" t="e">
        <f>_xll.qlModelG2A(D77,D$82)</f>
        <v>#NUM!</v>
      </c>
      <c r="E86" s="209"/>
      <c r="F86" s="226" t="s">
        <v>1725</v>
      </c>
      <c r="G86" s="226" t="s">
        <v>952</v>
      </c>
      <c r="H86" s="277">
        <f t="shared" si="2"/>
        <v>5.8989711804211713E-3</v>
      </c>
      <c r="I86" s="226" t="str">
        <f>_xll.qlSimpleQuote(,H86,,,D$72)</f>
        <v>obj_00007#0012</v>
      </c>
      <c r="J86" s="226" t="e">
        <f>_xll.qlSwaptionHelper(,F86,G86,I86,$G$14,"6m","Actual/365 (Fixed)","Actual/365 (Fixed)",K$73,J$75)</f>
        <v>#NUM!</v>
      </c>
      <c r="K86" s="226" t="str">
        <f>_xll.qlModelG2SwaptionEngine(,$C$77,6,16,,D$73)</f>
        <v>obj_001e0#0011</v>
      </c>
      <c r="L86" s="226" t="e">
        <f>_xll.qlCalibrationHelperSetPricingEngine(J86,K86,K86)</f>
        <v>#VALUE!</v>
      </c>
      <c r="M86" s="249" t="e">
        <f>_xll.qlSwaptionHelperModelValue(J86,_xll.ohTrigger(L86,C$82))</f>
        <v>#VALUE!</v>
      </c>
      <c r="N86" s="263" t="e">
        <f>_xll.qlCalibrationHelperImpliedVolatility(J86,M86,0.0001,1000,0.00005,0.5)</f>
        <v>#VALUE!</v>
      </c>
      <c r="O86" s="255" t="e">
        <f>N86-H86</f>
        <v>#VALUE!</v>
      </c>
      <c r="P86" s="209"/>
      <c r="Q86">
        <v>100000</v>
      </c>
    </row>
    <row r="87" spans="1:19" x14ac:dyDescent="0.2">
      <c r="A87">
        <v>1.0450392080448583E-2</v>
      </c>
      <c r="B87" s="211" t="s">
        <v>1607</v>
      </c>
      <c r="C87" s="265" t="e">
        <f>_xll.qlModelG2sigma(C77,C82)</f>
        <v>#NUM!</v>
      </c>
      <c r="D87" s="226" t="e">
        <f>_xll.qlModelG2sigma(D77,D82)</f>
        <v>#NUM!</v>
      </c>
      <c r="E87" s="209"/>
      <c r="F87" s="229" t="s">
        <v>1726</v>
      </c>
      <c r="G87" s="229" t="s">
        <v>1073</v>
      </c>
      <c r="H87" s="278">
        <f t="shared" si="2"/>
        <v>5.9516989116339299E-3</v>
      </c>
      <c r="I87" s="229" t="str">
        <f>_xll.qlSimpleQuote(,H87,,,D$72)</f>
        <v>obj_00015#0012</v>
      </c>
      <c r="J87" s="229" t="e">
        <f>_xll.qlSwaptionHelper(,F87,G87,I87,$G$14,"6m","Actual/365 (Fixed)","Actual/365 (Fixed)",K$73,J$75)</f>
        <v>#NUM!</v>
      </c>
      <c r="K87" s="229" t="str">
        <f>_xll.qlModelG2SwaptionEngine(,$C$77,6,16,,D$73)</f>
        <v>obj_001dd#0011</v>
      </c>
      <c r="L87" s="226" t="e">
        <f>_xll.qlCalibrationHelperSetPricingEngine(J87,K87,K87)</f>
        <v>#VALUE!</v>
      </c>
      <c r="M87" s="249" t="e">
        <f>_xll.qlSwaptionHelperModelValue(J87,_xll.ohTrigger(L87,C$82))</f>
        <v>#VALUE!</v>
      </c>
      <c r="N87" s="228" t="e">
        <f>_xll.qlCalibrationHelperImpliedVolatility(J87,M87,0.0001,1000,0.00005,0.5)</f>
        <v>#VALUE!</v>
      </c>
      <c r="O87" s="256" t="e">
        <f>N87-H87</f>
        <v>#VALUE!</v>
      </c>
      <c r="P87" s="209"/>
      <c r="Q87">
        <v>100000</v>
      </c>
    </row>
    <row r="88" spans="1:19" x14ac:dyDescent="0.2">
      <c r="A88">
        <v>2.865803725944217E-5</v>
      </c>
      <c r="B88" s="211" t="s">
        <v>1604</v>
      </c>
      <c r="C88" s="265" t="e">
        <f>_xll.qlModelG2B(C77,C82)</f>
        <v>#NUM!</v>
      </c>
      <c r="D88" s="226" t="e">
        <f>_xll.qlModelG2B(D77,D82)</f>
        <v>#NUM!</v>
      </c>
      <c r="E88" s="209"/>
      <c r="F88" s="209"/>
      <c r="G88" s="209"/>
      <c r="H88" s="209"/>
      <c r="I88" s="209"/>
      <c r="J88" s="209"/>
      <c r="K88" s="209"/>
      <c r="L88" s="209"/>
      <c r="M88" s="249" t="e">
        <f>_xll.qlSwaptionHelperModelValue(J88,C$82)</f>
        <v>#NUM!</v>
      </c>
      <c r="N88" s="209"/>
      <c r="O88" s="209"/>
      <c r="P88" s="209"/>
    </row>
    <row r="89" spans="1:19" x14ac:dyDescent="0.2">
      <c r="A89" s="105">
        <v>1.0447940388047685E-2</v>
      </c>
      <c r="B89" s="211" t="s">
        <v>1605</v>
      </c>
      <c r="C89" s="265" t="e">
        <f>_xll.qlModelG2eta(C77,C82)</f>
        <v>#NUM!</v>
      </c>
      <c r="D89" s="226" t="e">
        <f>_xll.qlModelG2eta(D77,D82)</f>
        <v>#NUM!</v>
      </c>
      <c r="E89" s="209"/>
      <c r="F89" s="209"/>
      <c r="G89" s="209"/>
      <c r="H89" s="209"/>
      <c r="I89" s="209"/>
      <c r="J89" s="209"/>
      <c r="K89" s="209"/>
      <c r="L89" s="209"/>
      <c r="M89" s="209"/>
      <c r="N89" s="209"/>
      <c r="O89" s="209"/>
      <c r="P89" s="209"/>
    </row>
    <row r="90" spans="1:19" x14ac:dyDescent="0.2">
      <c r="A90" s="105">
        <v>-0.75</v>
      </c>
      <c r="B90" s="214" t="s">
        <v>1606</v>
      </c>
      <c r="C90" s="266" t="e">
        <f>_xll.qlModelG2rho(C77,C82)</f>
        <v>#NUM!</v>
      </c>
      <c r="D90" s="229" t="e">
        <f>_xll.qlModelG2rho(D77,D82)</f>
        <v>#NUM!</v>
      </c>
      <c r="E90" s="209"/>
      <c r="F90" s="209"/>
      <c r="G90" s="209"/>
      <c r="H90" s="209"/>
      <c r="I90" s="209"/>
      <c r="J90" s="209"/>
      <c r="K90" s="209"/>
      <c r="L90" s="209"/>
      <c r="M90" s="209"/>
      <c r="N90" s="209"/>
      <c r="O90" s="209"/>
      <c r="P90" s="209"/>
    </row>
    <row r="91" spans="1:19" x14ac:dyDescent="0.2">
      <c r="B91" s="209"/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 t="str">
        <f ca="1">_xll.ohRangeRetrieveError(M87)</f>
        <v>ohTrigger - parameter 'dummy0' is not a valid range reference</v>
      </c>
      <c r="N91" s="209"/>
      <c r="O91" s="209"/>
      <c r="P91" s="209"/>
      <c r="S91" t="str">
        <f>_xll.ohRemoveInvalidRows(C80)</f>
        <v>obj_00014#0012</v>
      </c>
    </row>
    <row r="92" spans="1:19" x14ac:dyDescent="0.2">
      <c r="B92" s="209"/>
      <c r="C92" s="209"/>
      <c r="D92" s="209"/>
      <c r="E92" s="209"/>
      <c r="F92" s="209"/>
      <c r="G92" s="209"/>
      <c r="H92" s="209"/>
      <c r="I92" s="209"/>
      <c r="J92" s="209"/>
      <c r="K92" s="209"/>
      <c r="L92" s="209"/>
      <c r="M92" s="209"/>
      <c r="N92" s="209"/>
      <c r="O92" s="209"/>
      <c r="P92" s="209"/>
    </row>
    <row r="93" spans="1:19" x14ac:dyDescent="0.2">
      <c r="A93">
        <v>6.3287726462850358E-2</v>
      </c>
      <c r="B93">
        <v>0.04</v>
      </c>
      <c r="C93">
        <v>8.4314899999999998E-2</v>
      </c>
      <c r="S93" t="e">
        <f>_xll.ohRemoveInvalidRows(C82)</f>
        <v>#NUM!</v>
      </c>
    </row>
    <row r="94" spans="1:19" x14ac:dyDescent="0.2">
      <c r="A94">
        <v>1.7912234822087932E-2</v>
      </c>
      <c r="B94">
        <v>0.02</v>
      </c>
      <c r="C94">
        <v>4.10762E-2</v>
      </c>
    </row>
    <row r="95" spans="1:19" x14ac:dyDescent="0.2">
      <c r="A95">
        <v>6.3285338239370936E-2</v>
      </c>
      <c r="B95">
        <v>0.04</v>
      </c>
      <c r="C95">
        <v>8.4315000000000001E-2</v>
      </c>
    </row>
    <row r="96" spans="1:19" x14ac:dyDescent="0.2">
      <c r="A96">
        <v>1.7514648012420808E-2</v>
      </c>
      <c r="B96">
        <v>0.02</v>
      </c>
      <c r="C96">
        <v>4.5717800000000003E-2</v>
      </c>
    </row>
    <row r="97" spans="1:3" x14ac:dyDescent="0.2">
      <c r="A97">
        <v>-0.4222227027849621</v>
      </c>
      <c r="B97">
        <v>-0.78</v>
      </c>
      <c r="C97">
        <v>-0.782304</v>
      </c>
    </row>
    <row r="99" spans="1:3" x14ac:dyDescent="0.2">
      <c r="C99" t="str">
        <f>C83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4289" r:id="rId3" name="Button 1">
              <controlPr defaultSize="0" print="0" autoFill="0" autoPict="0" macro="[0]!Update_Once" altText="TempXBS">
                <anchor moveWithCells="1" sizeWithCells="1">
                  <from>
                    <xdr:col>8</xdr:col>
                    <xdr:colOff>1038225</xdr:colOff>
                    <xdr:row>92</xdr:row>
                    <xdr:rowOff>19050</xdr:rowOff>
                  </from>
                  <to>
                    <xdr:col>10</xdr:col>
                    <xdr:colOff>1085850</xdr:colOff>
                    <xdr:row>97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290" r:id="rId4" name="Button 2">
              <controlPr defaultSize="0" print="0" autoFill="0" autoPict="0" macro="[0]!Update_Once" altText="TempXBS">
                <anchor moveWithCells="1" sizeWithCells="1">
                  <from>
                    <xdr:col>4</xdr:col>
                    <xdr:colOff>1038225</xdr:colOff>
                    <xdr:row>0</xdr:row>
                    <xdr:rowOff>19050</xdr:rowOff>
                  </from>
                  <to>
                    <xdr:col>7</xdr:col>
                    <xdr:colOff>85725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291" r:id="rId5" name="Button 3">
              <controlPr defaultSize="0" print="0" autoFill="0" autoPict="0" macro="[0]!Update_Workbook" altText="TempXBS">
                <anchor moveWithCells="1" sizeWithCells="1">
                  <from>
                    <xdr:col>8</xdr:col>
                    <xdr:colOff>19050</xdr:colOff>
                    <xdr:row>0</xdr:row>
                    <xdr:rowOff>57150</xdr:rowOff>
                  </from>
                  <to>
                    <xdr:col>9</xdr:col>
                    <xdr:colOff>1238250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5:AE74"/>
  <sheetViews>
    <sheetView topLeftCell="D1" workbookViewId="0">
      <selection activeCell="L14" sqref="L14"/>
    </sheetView>
  </sheetViews>
  <sheetFormatPr defaultRowHeight="11.25" x14ac:dyDescent="0.2"/>
  <cols>
    <col min="3" max="5" width="11.83203125" customWidth="1"/>
    <col min="6" max="7" width="10.1640625" bestFit="1" customWidth="1"/>
    <col min="8" max="8" width="9.5" bestFit="1" customWidth="1"/>
    <col min="9" max="9" width="14.83203125" customWidth="1"/>
    <col min="10" max="10" width="9.5" bestFit="1" customWidth="1"/>
    <col min="11" max="11" width="10.1640625" bestFit="1" customWidth="1"/>
    <col min="13" max="13" width="12" customWidth="1"/>
    <col min="14" max="14" width="14.83203125" customWidth="1"/>
    <col min="16" max="17" width="9.5" bestFit="1" customWidth="1"/>
    <col min="18" max="18" width="12.83203125" bestFit="1" customWidth="1"/>
    <col min="19" max="19" width="9.5" bestFit="1" customWidth="1"/>
    <col min="20" max="20" width="17.6640625" customWidth="1"/>
    <col min="22" max="22" width="9.83203125" bestFit="1" customWidth="1"/>
    <col min="23" max="23" width="12.1640625" customWidth="1"/>
    <col min="24" max="24" width="14" customWidth="1"/>
    <col min="25" max="26" width="10.1640625" bestFit="1" customWidth="1"/>
    <col min="31" max="31" width="10.33203125" bestFit="1" customWidth="1"/>
  </cols>
  <sheetData>
    <row r="5" spans="2:30" x14ac:dyDescent="0.2">
      <c r="Z5" t="e">
        <f ca="1">'EUR TermStructures'!B45</f>
        <v>#VALUE!</v>
      </c>
    </row>
    <row r="7" spans="2:30" x14ac:dyDescent="0.2">
      <c r="X7" s="13">
        <v>-2.5000000000000001E-3</v>
      </c>
      <c r="Y7" s="102">
        <v>42759</v>
      </c>
      <c r="Z7" t="e">
        <f ca="1">SUMPRODUCT(Z9:Z27,B9:B27)</f>
        <v>#VALUE!</v>
      </c>
    </row>
    <row r="8" spans="2:30" x14ac:dyDescent="0.2">
      <c r="C8" t="e">
        <f t="array" aca="1" ref="C8:V27" ca="1">_xll.qlCapFloorLegAnalysis('EUR TermStructures'!B43)</f>
        <v>#VALUE!</v>
      </c>
      <c r="D8" t="e">
        <f ca="1"/>
        <v>#VALUE!</v>
      </c>
      <c r="E8" t="e">
        <f ca="1"/>
        <v>#VALUE!</v>
      </c>
      <c r="F8" t="e">
        <f ca="1"/>
        <v>#VALUE!</v>
      </c>
      <c r="G8" t="e">
        <f ca="1"/>
        <v>#VALUE!</v>
      </c>
      <c r="H8" t="e">
        <f ca="1"/>
        <v>#VALUE!</v>
      </c>
      <c r="I8" t="e">
        <f ca="1"/>
        <v>#VALUE!</v>
      </c>
      <c r="J8" t="e">
        <f ca="1"/>
        <v>#VALUE!</v>
      </c>
      <c r="K8" t="e">
        <f ca="1"/>
        <v>#VALUE!</v>
      </c>
      <c r="L8" t="e">
        <f ca="1"/>
        <v>#VALUE!</v>
      </c>
      <c r="M8" t="e">
        <f ca="1"/>
        <v>#VALUE!</v>
      </c>
      <c r="N8" t="e">
        <f ca="1"/>
        <v>#VALUE!</v>
      </c>
      <c r="O8" t="e">
        <f ca="1"/>
        <v>#VALUE!</v>
      </c>
      <c r="P8" t="e">
        <f ca="1"/>
        <v>#VALUE!</v>
      </c>
      <c r="Q8" t="e">
        <f ca="1"/>
        <v>#VALUE!</v>
      </c>
      <c r="R8" t="e">
        <f ca="1"/>
        <v>#VALUE!</v>
      </c>
      <c r="S8" t="e">
        <f ca="1"/>
        <v>#VALUE!</v>
      </c>
      <c r="T8" t="e">
        <f ca="1"/>
        <v>#VALUE!</v>
      </c>
      <c r="U8" t="e">
        <f ca="1"/>
        <v>#VALUE!</v>
      </c>
      <c r="V8" t="e">
        <f ca="1"/>
        <v>#VALUE!</v>
      </c>
    </row>
    <row r="9" spans="2:30" x14ac:dyDescent="0.2">
      <c r="B9" t="e">
        <f t="array" aca="1" ref="B9:B27" ca="1">_xll.qlYieldTSDiscount("eonia",C9:C27)</f>
        <v>#NUM!</v>
      </c>
      <c r="C9" s="102" t="e">
        <f ca="1"/>
        <v>#VALUE!</v>
      </c>
      <c r="D9" s="111" t="e">
        <f ca="1"/>
        <v>#VALUE!</v>
      </c>
      <c r="E9" t="e">
        <f ca="1"/>
        <v>#VALUE!</v>
      </c>
      <c r="F9" s="102" t="e">
        <f ca="1"/>
        <v>#VALUE!</v>
      </c>
      <c r="G9" s="102" t="e">
        <f ca="1"/>
        <v>#VALUE!</v>
      </c>
      <c r="H9" t="e">
        <f ca="1"/>
        <v>#VALUE!</v>
      </c>
      <c r="I9" t="e">
        <f ca="1"/>
        <v>#VALUE!</v>
      </c>
      <c r="J9" t="e">
        <f ca="1"/>
        <v>#VALUE!</v>
      </c>
      <c r="K9" s="102" t="e">
        <f ca="1"/>
        <v>#VALUE!</v>
      </c>
      <c r="L9" t="e">
        <f ca="1"/>
        <v>#VALUE!</v>
      </c>
      <c r="M9" t="e">
        <f ca="1"/>
        <v>#VALUE!</v>
      </c>
      <c r="N9" s="2" t="e">
        <f ca="1"/>
        <v>#VALUE!</v>
      </c>
      <c r="O9" t="e">
        <f ca="1"/>
        <v>#VALUE!</v>
      </c>
      <c r="P9" t="e">
        <f ca="1"/>
        <v>#VALUE!</v>
      </c>
      <c r="Q9" t="e">
        <f ca="1"/>
        <v>#VALUE!</v>
      </c>
      <c r="R9" t="e">
        <f ca="1"/>
        <v>#VALUE!</v>
      </c>
      <c r="S9" t="e">
        <f ca="1"/>
        <v>#VALUE!</v>
      </c>
      <c r="T9" t="e">
        <f ca="1"/>
        <v>#VALUE!</v>
      </c>
      <c r="U9" t="e">
        <f ca="1"/>
        <v>#VALUE!</v>
      </c>
      <c r="V9" t="e">
        <f ca="1"/>
        <v>#VALUE!</v>
      </c>
      <c r="X9" s="101" t="e">
        <f ca="1">_xll.qlOptionletVTSVolatility('EUR TermStructures'!B$41,K9,X$7,TRUE)</f>
        <v>#VALUE!</v>
      </c>
      <c r="Y9" t="e">
        <f ca="1">(K9-Y$7)/365.25</f>
        <v>#VALUE!</v>
      </c>
      <c r="Z9" s="108" t="e">
        <f ca="1">NFloor(N9,X$7,X9,Y9)*10000*H9/360</f>
        <v>#VALUE!</v>
      </c>
      <c r="AB9" s="108" t="e">
        <f ca="1">SUM(Z$9:Z9)-SUM(T$33:T33)</f>
        <v>#VALUE!</v>
      </c>
      <c r="AD9" t="e">
        <f ca="1">X9*Y9^2+AD8</f>
        <v>#VALUE!</v>
      </c>
    </row>
    <row r="10" spans="2:30" x14ac:dyDescent="0.2">
      <c r="B10" t="e">
        <f ca="1"/>
        <v>#NUM!</v>
      </c>
      <c r="C10" s="102" t="e">
        <f ca="1"/>
        <v>#VALUE!</v>
      </c>
      <c r="D10" s="111" t="e">
        <f ca="1"/>
        <v>#VALUE!</v>
      </c>
      <c r="E10" t="e">
        <f ca="1"/>
        <v>#VALUE!</v>
      </c>
      <c r="F10" s="102" t="e">
        <f ca="1"/>
        <v>#VALUE!</v>
      </c>
      <c r="G10" s="102" t="e">
        <f ca="1"/>
        <v>#VALUE!</v>
      </c>
      <c r="H10" t="e">
        <f ca="1"/>
        <v>#VALUE!</v>
      </c>
      <c r="I10" t="e">
        <f ca="1"/>
        <v>#VALUE!</v>
      </c>
      <c r="J10" t="e">
        <f ca="1"/>
        <v>#VALUE!</v>
      </c>
      <c r="K10" s="102" t="e">
        <f ca="1"/>
        <v>#VALUE!</v>
      </c>
      <c r="L10" t="e">
        <f ca="1"/>
        <v>#VALUE!</v>
      </c>
      <c r="M10" t="e">
        <f ca="1"/>
        <v>#VALUE!</v>
      </c>
      <c r="N10" s="2" t="e">
        <f ca="1"/>
        <v>#VALUE!</v>
      </c>
      <c r="O10" t="e">
        <f ca="1"/>
        <v>#VALUE!</v>
      </c>
      <c r="P10" t="e">
        <f ca="1"/>
        <v>#VALUE!</v>
      </c>
      <c r="Q10" t="e">
        <f ca="1"/>
        <v>#VALUE!</v>
      </c>
      <c r="R10" t="e">
        <f ca="1"/>
        <v>#VALUE!</v>
      </c>
      <c r="S10" t="e">
        <f ca="1"/>
        <v>#VALUE!</v>
      </c>
      <c r="T10" t="e">
        <f ca="1"/>
        <v>#VALUE!</v>
      </c>
      <c r="U10" t="e">
        <f ca="1"/>
        <v>#VALUE!</v>
      </c>
      <c r="V10" t="e">
        <f ca="1"/>
        <v>#VALUE!</v>
      </c>
      <c r="X10" s="101" t="e">
        <f ca="1">_xll.qlOptionletVTSVolatility('EUR TermStructures'!B$41,K10,X$7,TRUE)</f>
        <v>#VALUE!</v>
      </c>
      <c r="Y10" t="e">
        <f t="shared" ref="Y10:Y27" ca="1" si="0">(K10-Y$7)/365.25</f>
        <v>#VALUE!</v>
      </c>
      <c r="Z10" s="108" t="e">
        <f t="shared" ref="Z10:Z27" ca="1" si="1">NFloor(N10,X$7,X10,Y10)*10000*H10/360</f>
        <v>#VALUE!</v>
      </c>
      <c r="AB10" s="108" t="e">
        <f ca="1">SUM(Z$9:Z10)-SUM(T$33:T34)</f>
        <v>#VALUE!</v>
      </c>
      <c r="AD10" t="e">
        <f t="shared" ref="AD10:AD26" ca="1" si="2">X10*((K10-K2583/365.25)^2)+AD9</f>
        <v>#VALUE!</v>
      </c>
    </row>
    <row r="11" spans="2:30" x14ac:dyDescent="0.2">
      <c r="B11" t="e">
        <f ca="1"/>
        <v>#NUM!</v>
      </c>
      <c r="C11" s="102" t="e">
        <f ca="1"/>
        <v>#VALUE!</v>
      </c>
      <c r="D11" s="111" t="e">
        <f ca="1"/>
        <v>#VALUE!</v>
      </c>
      <c r="E11" t="e">
        <f ca="1"/>
        <v>#VALUE!</v>
      </c>
      <c r="F11" s="102" t="e">
        <f ca="1"/>
        <v>#VALUE!</v>
      </c>
      <c r="G11" s="102" t="e">
        <f ca="1"/>
        <v>#VALUE!</v>
      </c>
      <c r="H11" t="e">
        <f ca="1"/>
        <v>#VALUE!</v>
      </c>
      <c r="I11" t="e">
        <f ca="1"/>
        <v>#VALUE!</v>
      </c>
      <c r="J11" t="e">
        <f ca="1"/>
        <v>#VALUE!</v>
      </c>
      <c r="K11" s="102" t="e">
        <f ca="1"/>
        <v>#VALUE!</v>
      </c>
      <c r="L11" t="e">
        <f ca="1"/>
        <v>#VALUE!</v>
      </c>
      <c r="M11" t="e">
        <f ca="1"/>
        <v>#VALUE!</v>
      </c>
      <c r="N11" s="2" t="e">
        <f ca="1"/>
        <v>#VALUE!</v>
      </c>
      <c r="O11" t="e">
        <f ca="1"/>
        <v>#VALUE!</v>
      </c>
      <c r="P11" t="e">
        <f ca="1"/>
        <v>#VALUE!</v>
      </c>
      <c r="Q11" t="e">
        <f ca="1"/>
        <v>#VALUE!</v>
      </c>
      <c r="R11" t="e">
        <f ca="1"/>
        <v>#VALUE!</v>
      </c>
      <c r="S11" t="e">
        <f ca="1"/>
        <v>#VALUE!</v>
      </c>
      <c r="T11" t="e">
        <f ca="1"/>
        <v>#VALUE!</v>
      </c>
      <c r="U11" t="e">
        <f ca="1"/>
        <v>#VALUE!</v>
      </c>
      <c r="V11" t="e">
        <f ca="1"/>
        <v>#VALUE!</v>
      </c>
      <c r="X11" s="101" t="e">
        <f ca="1">_xll.qlOptionletVTSVolatility('EUR TermStructures'!B$41,K11,X$7,TRUE)</f>
        <v>#VALUE!</v>
      </c>
      <c r="Y11" t="e">
        <f t="shared" ca="1" si="0"/>
        <v>#VALUE!</v>
      </c>
      <c r="Z11" s="108" t="e">
        <f t="shared" ca="1" si="1"/>
        <v>#VALUE!</v>
      </c>
      <c r="AB11" s="108" t="e">
        <f ca="1">SUM(Z$9:Z11)-SUM(T$33:T35)</f>
        <v>#VALUE!</v>
      </c>
      <c r="AD11" t="e">
        <f t="shared" ca="1" si="2"/>
        <v>#VALUE!</v>
      </c>
    </row>
    <row r="12" spans="2:30" x14ac:dyDescent="0.2">
      <c r="B12" t="e">
        <f ca="1"/>
        <v>#NUM!</v>
      </c>
      <c r="C12" s="102" t="e">
        <f ca="1"/>
        <v>#VALUE!</v>
      </c>
      <c r="D12" s="111" t="e">
        <f ca="1"/>
        <v>#VALUE!</v>
      </c>
      <c r="E12" t="e">
        <f ca="1"/>
        <v>#VALUE!</v>
      </c>
      <c r="F12" s="102" t="e">
        <f ca="1"/>
        <v>#VALUE!</v>
      </c>
      <c r="G12" s="102" t="e">
        <f ca="1"/>
        <v>#VALUE!</v>
      </c>
      <c r="H12" t="e">
        <f ca="1"/>
        <v>#VALUE!</v>
      </c>
      <c r="I12" t="e">
        <f ca="1"/>
        <v>#VALUE!</v>
      </c>
      <c r="J12" t="e">
        <f ca="1"/>
        <v>#VALUE!</v>
      </c>
      <c r="K12" s="102" t="e">
        <f ca="1"/>
        <v>#VALUE!</v>
      </c>
      <c r="L12" t="e">
        <f ca="1"/>
        <v>#VALUE!</v>
      </c>
      <c r="M12" t="e">
        <f ca="1"/>
        <v>#VALUE!</v>
      </c>
      <c r="N12" s="2" t="e">
        <f ca="1"/>
        <v>#VALUE!</v>
      </c>
      <c r="O12" t="e">
        <f ca="1"/>
        <v>#VALUE!</v>
      </c>
      <c r="P12" t="e">
        <f ca="1"/>
        <v>#VALUE!</v>
      </c>
      <c r="Q12" t="e">
        <f ca="1"/>
        <v>#VALUE!</v>
      </c>
      <c r="R12" t="e">
        <f ca="1"/>
        <v>#VALUE!</v>
      </c>
      <c r="S12" t="e">
        <f ca="1"/>
        <v>#VALUE!</v>
      </c>
      <c r="T12" t="e">
        <f ca="1"/>
        <v>#VALUE!</v>
      </c>
      <c r="U12" t="e">
        <f ca="1"/>
        <v>#VALUE!</v>
      </c>
      <c r="V12" t="e">
        <f ca="1"/>
        <v>#VALUE!</v>
      </c>
      <c r="X12" s="101" t="e">
        <f ca="1">_xll.qlOptionletVTSVolatility('EUR TermStructures'!B$41,K12,X$7,TRUE)</f>
        <v>#VALUE!</v>
      </c>
      <c r="Y12" t="e">
        <f t="shared" ca="1" si="0"/>
        <v>#VALUE!</v>
      </c>
      <c r="Z12" s="108" t="e">
        <f t="shared" ca="1" si="1"/>
        <v>#VALUE!</v>
      </c>
      <c r="AB12" s="108" t="e">
        <f ca="1">SUM(Z$9:Z12)-SUM(T$33:T36)</f>
        <v>#VALUE!</v>
      </c>
      <c r="AD12" t="e">
        <f t="shared" ca="1" si="2"/>
        <v>#VALUE!</v>
      </c>
    </row>
    <row r="13" spans="2:30" x14ac:dyDescent="0.2">
      <c r="B13" t="e">
        <f ca="1"/>
        <v>#NUM!</v>
      </c>
      <c r="C13" s="102" t="e">
        <f ca="1"/>
        <v>#VALUE!</v>
      </c>
      <c r="D13" s="111" t="e">
        <f ca="1"/>
        <v>#VALUE!</v>
      </c>
      <c r="E13" t="e">
        <f ca="1"/>
        <v>#VALUE!</v>
      </c>
      <c r="F13" s="102" t="e">
        <f ca="1"/>
        <v>#VALUE!</v>
      </c>
      <c r="G13" s="102" t="e">
        <f ca="1"/>
        <v>#VALUE!</v>
      </c>
      <c r="H13" t="e">
        <f ca="1"/>
        <v>#VALUE!</v>
      </c>
      <c r="I13" t="e">
        <f ca="1"/>
        <v>#VALUE!</v>
      </c>
      <c r="J13" t="e">
        <f ca="1"/>
        <v>#VALUE!</v>
      </c>
      <c r="K13" s="102" t="e">
        <f ca="1"/>
        <v>#VALUE!</v>
      </c>
      <c r="L13" t="e">
        <f ca="1"/>
        <v>#VALUE!</v>
      </c>
      <c r="M13" t="e">
        <f ca="1"/>
        <v>#VALUE!</v>
      </c>
      <c r="N13" s="2" t="e">
        <f ca="1"/>
        <v>#VALUE!</v>
      </c>
      <c r="O13" t="e">
        <f ca="1"/>
        <v>#VALUE!</v>
      </c>
      <c r="P13" t="e">
        <f ca="1"/>
        <v>#VALUE!</v>
      </c>
      <c r="Q13" t="e">
        <f ca="1"/>
        <v>#VALUE!</v>
      </c>
      <c r="R13" t="e">
        <f ca="1"/>
        <v>#VALUE!</v>
      </c>
      <c r="S13" t="e">
        <f ca="1"/>
        <v>#VALUE!</v>
      </c>
      <c r="T13" t="e">
        <f ca="1"/>
        <v>#VALUE!</v>
      </c>
      <c r="U13" t="e">
        <f ca="1"/>
        <v>#VALUE!</v>
      </c>
      <c r="V13" t="e">
        <f ca="1"/>
        <v>#VALUE!</v>
      </c>
      <c r="X13" s="101" t="e">
        <f ca="1">_xll.qlOptionletVTSVolatility('EUR TermStructures'!B$41,K13,X$7,TRUE)</f>
        <v>#VALUE!</v>
      </c>
      <c r="Y13" t="e">
        <f t="shared" ca="1" si="0"/>
        <v>#VALUE!</v>
      </c>
      <c r="Z13" s="108" t="e">
        <f t="shared" ca="1" si="1"/>
        <v>#VALUE!</v>
      </c>
      <c r="AB13" s="108" t="e">
        <f ca="1">SUM(Z$9:Z13)-SUM(T$33:T37)</f>
        <v>#VALUE!</v>
      </c>
      <c r="AD13" t="e">
        <f t="shared" ca="1" si="2"/>
        <v>#VALUE!</v>
      </c>
    </row>
    <row r="14" spans="2:30" x14ac:dyDescent="0.2">
      <c r="B14" t="e">
        <f ca="1"/>
        <v>#NUM!</v>
      </c>
      <c r="C14" s="102" t="e">
        <f ca="1"/>
        <v>#VALUE!</v>
      </c>
      <c r="D14" s="111" t="e">
        <f ca="1"/>
        <v>#VALUE!</v>
      </c>
      <c r="E14" t="e">
        <f ca="1"/>
        <v>#VALUE!</v>
      </c>
      <c r="F14" s="102" t="e">
        <f ca="1"/>
        <v>#VALUE!</v>
      </c>
      <c r="G14" s="102" t="e">
        <f ca="1"/>
        <v>#VALUE!</v>
      </c>
      <c r="H14" t="e">
        <f ca="1"/>
        <v>#VALUE!</v>
      </c>
      <c r="I14" t="e">
        <f ca="1"/>
        <v>#VALUE!</v>
      </c>
      <c r="J14" t="e">
        <f ca="1"/>
        <v>#VALUE!</v>
      </c>
      <c r="K14" s="102" t="e">
        <f ca="1"/>
        <v>#VALUE!</v>
      </c>
      <c r="L14" t="e">
        <f ca="1"/>
        <v>#VALUE!</v>
      </c>
      <c r="M14" t="e">
        <f ca="1"/>
        <v>#VALUE!</v>
      </c>
      <c r="N14" s="2" t="e">
        <f ca="1"/>
        <v>#VALUE!</v>
      </c>
      <c r="O14" t="e">
        <f ca="1"/>
        <v>#VALUE!</v>
      </c>
      <c r="P14" t="e">
        <f ca="1"/>
        <v>#VALUE!</v>
      </c>
      <c r="Q14" t="e">
        <f ca="1"/>
        <v>#VALUE!</v>
      </c>
      <c r="R14" t="e">
        <f ca="1"/>
        <v>#VALUE!</v>
      </c>
      <c r="S14" t="e">
        <f ca="1"/>
        <v>#VALUE!</v>
      </c>
      <c r="T14" t="e">
        <f ca="1"/>
        <v>#VALUE!</v>
      </c>
      <c r="U14" t="e">
        <f ca="1"/>
        <v>#VALUE!</v>
      </c>
      <c r="V14" t="e">
        <f ca="1"/>
        <v>#VALUE!</v>
      </c>
      <c r="X14" s="101" t="e">
        <f ca="1">_xll.qlOptionletVTSVolatility('EUR TermStructures'!B$41,K14,X$7,TRUE)</f>
        <v>#VALUE!</v>
      </c>
      <c r="Y14" t="e">
        <f t="shared" ca="1" si="0"/>
        <v>#VALUE!</v>
      </c>
      <c r="Z14" s="108" t="e">
        <f t="shared" ca="1" si="1"/>
        <v>#VALUE!</v>
      </c>
      <c r="AB14" s="108" t="e">
        <f ca="1">SUM(Z$9:Z14)-SUM(T$33:T38)</f>
        <v>#VALUE!</v>
      </c>
      <c r="AD14" t="e">
        <f t="shared" ca="1" si="2"/>
        <v>#VALUE!</v>
      </c>
    </row>
    <row r="15" spans="2:30" x14ac:dyDescent="0.2">
      <c r="B15" t="e">
        <f ca="1"/>
        <v>#NUM!</v>
      </c>
      <c r="C15" s="102" t="e">
        <f ca="1"/>
        <v>#VALUE!</v>
      </c>
      <c r="D15" s="111" t="e">
        <f ca="1"/>
        <v>#VALUE!</v>
      </c>
      <c r="E15" t="e">
        <f ca="1"/>
        <v>#VALUE!</v>
      </c>
      <c r="F15" s="102" t="e">
        <f ca="1"/>
        <v>#VALUE!</v>
      </c>
      <c r="G15" s="102" t="e">
        <f ca="1"/>
        <v>#VALUE!</v>
      </c>
      <c r="H15" t="e">
        <f ca="1"/>
        <v>#VALUE!</v>
      </c>
      <c r="I15" t="e">
        <f ca="1"/>
        <v>#VALUE!</v>
      </c>
      <c r="J15" t="e">
        <f ca="1"/>
        <v>#VALUE!</v>
      </c>
      <c r="K15" s="102" t="e">
        <f ca="1"/>
        <v>#VALUE!</v>
      </c>
      <c r="L15" t="e">
        <f ca="1"/>
        <v>#VALUE!</v>
      </c>
      <c r="M15" t="e">
        <f ca="1"/>
        <v>#VALUE!</v>
      </c>
      <c r="N15" s="2" t="e">
        <f ca="1"/>
        <v>#VALUE!</v>
      </c>
      <c r="O15" t="e">
        <f ca="1"/>
        <v>#VALUE!</v>
      </c>
      <c r="P15" t="e">
        <f ca="1"/>
        <v>#VALUE!</v>
      </c>
      <c r="Q15" t="e">
        <f ca="1"/>
        <v>#VALUE!</v>
      </c>
      <c r="R15" t="e">
        <f ca="1"/>
        <v>#VALUE!</v>
      </c>
      <c r="S15" t="e">
        <f ca="1"/>
        <v>#VALUE!</v>
      </c>
      <c r="T15" t="e">
        <f ca="1"/>
        <v>#VALUE!</v>
      </c>
      <c r="U15" t="e">
        <f ca="1"/>
        <v>#VALUE!</v>
      </c>
      <c r="V15" t="e">
        <f ca="1"/>
        <v>#VALUE!</v>
      </c>
      <c r="X15" s="101" t="e">
        <f ca="1">_xll.qlOptionletVTSVolatility('EUR TermStructures'!B$41,K15,X$7,TRUE)</f>
        <v>#VALUE!</v>
      </c>
      <c r="Y15" t="e">
        <f t="shared" ca="1" si="0"/>
        <v>#VALUE!</v>
      </c>
      <c r="Z15" s="108" t="e">
        <f t="shared" ca="1" si="1"/>
        <v>#VALUE!</v>
      </c>
      <c r="AB15" s="108" t="e">
        <f ca="1">SUM(Z$9:Z15)-SUM(T$33:T39)</f>
        <v>#VALUE!</v>
      </c>
      <c r="AD15" t="e">
        <f t="shared" ca="1" si="2"/>
        <v>#VALUE!</v>
      </c>
    </row>
    <row r="16" spans="2:30" x14ac:dyDescent="0.2">
      <c r="B16" t="e">
        <f ca="1"/>
        <v>#NUM!</v>
      </c>
      <c r="C16" s="102" t="e">
        <f ca="1"/>
        <v>#VALUE!</v>
      </c>
      <c r="D16" s="111" t="e">
        <f ca="1"/>
        <v>#VALUE!</v>
      </c>
      <c r="E16" t="e">
        <f ca="1"/>
        <v>#VALUE!</v>
      </c>
      <c r="F16" s="102" t="e">
        <f ca="1"/>
        <v>#VALUE!</v>
      </c>
      <c r="G16" s="102" t="e">
        <f ca="1"/>
        <v>#VALUE!</v>
      </c>
      <c r="H16" t="e">
        <f ca="1"/>
        <v>#VALUE!</v>
      </c>
      <c r="I16" t="e">
        <f ca="1"/>
        <v>#VALUE!</v>
      </c>
      <c r="J16" t="e">
        <f ca="1"/>
        <v>#VALUE!</v>
      </c>
      <c r="K16" s="102" t="e">
        <f ca="1"/>
        <v>#VALUE!</v>
      </c>
      <c r="L16" t="e">
        <f ca="1"/>
        <v>#VALUE!</v>
      </c>
      <c r="M16" t="e">
        <f ca="1"/>
        <v>#VALUE!</v>
      </c>
      <c r="N16" s="2" t="e">
        <f ca="1"/>
        <v>#VALUE!</v>
      </c>
      <c r="O16" t="e">
        <f ca="1"/>
        <v>#VALUE!</v>
      </c>
      <c r="P16" t="e">
        <f ca="1"/>
        <v>#VALUE!</v>
      </c>
      <c r="Q16" t="e">
        <f ca="1"/>
        <v>#VALUE!</v>
      </c>
      <c r="R16" t="e">
        <f ca="1"/>
        <v>#VALUE!</v>
      </c>
      <c r="S16" t="e">
        <f ca="1"/>
        <v>#VALUE!</v>
      </c>
      <c r="T16" t="e">
        <f ca="1"/>
        <v>#VALUE!</v>
      </c>
      <c r="U16" t="e">
        <f ca="1"/>
        <v>#VALUE!</v>
      </c>
      <c r="V16" t="e">
        <f ca="1"/>
        <v>#VALUE!</v>
      </c>
      <c r="X16" s="101" t="e">
        <f ca="1">_xll.qlOptionletVTSVolatility('EUR TermStructures'!B$41,K16,X$7,TRUE)</f>
        <v>#VALUE!</v>
      </c>
      <c r="Y16" t="e">
        <f t="shared" ca="1" si="0"/>
        <v>#VALUE!</v>
      </c>
      <c r="Z16" s="108" t="e">
        <f t="shared" ca="1" si="1"/>
        <v>#VALUE!</v>
      </c>
      <c r="AB16" s="108" t="e">
        <f ca="1">SUM(Z$9:Z16)-SUM(T$33:T40)</f>
        <v>#VALUE!</v>
      </c>
      <c r="AD16" t="e">
        <f t="shared" ca="1" si="2"/>
        <v>#VALUE!</v>
      </c>
    </row>
    <row r="17" spans="2:31" x14ac:dyDescent="0.2">
      <c r="B17" t="e">
        <f ca="1"/>
        <v>#NUM!</v>
      </c>
      <c r="C17" s="102" t="e">
        <f ca="1"/>
        <v>#VALUE!</v>
      </c>
      <c r="D17" s="111" t="e">
        <f ca="1"/>
        <v>#VALUE!</v>
      </c>
      <c r="E17" t="e">
        <f ca="1"/>
        <v>#VALUE!</v>
      </c>
      <c r="F17" s="102" t="e">
        <f ca="1"/>
        <v>#VALUE!</v>
      </c>
      <c r="G17" s="102" t="e">
        <f ca="1"/>
        <v>#VALUE!</v>
      </c>
      <c r="H17" t="e">
        <f ca="1"/>
        <v>#VALUE!</v>
      </c>
      <c r="I17" t="e">
        <f ca="1"/>
        <v>#VALUE!</v>
      </c>
      <c r="J17" t="e">
        <f ca="1"/>
        <v>#VALUE!</v>
      </c>
      <c r="K17" s="102" t="e">
        <f ca="1"/>
        <v>#VALUE!</v>
      </c>
      <c r="L17" t="e">
        <f ca="1"/>
        <v>#VALUE!</v>
      </c>
      <c r="M17" t="e">
        <f ca="1"/>
        <v>#VALUE!</v>
      </c>
      <c r="N17" s="2" t="e">
        <f ca="1"/>
        <v>#VALUE!</v>
      </c>
      <c r="O17" t="e">
        <f ca="1"/>
        <v>#VALUE!</v>
      </c>
      <c r="P17" t="e">
        <f ca="1"/>
        <v>#VALUE!</v>
      </c>
      <c r="Q17" t="e">
        <f ca="1"/>
        <v>#VALUE!</v>
      </c>
      <c r="R17" t="e">
        <f ca="1"/>
        <v>#VALUE!</v>
      </c>
      <c r="S17" t="e">
        <f ca="1"/>
        <v>#VALUE!</v>
      </c>
      <c r="T17" t="e">
        <f ca="1"/>
        <v>#VALUE!</v>
      </c>
      <c r="U17" t="e">
        <f ca="1"/>
        <v>#VALUE!</v>
      </c>
      <c r="V17" t="e">
        <f ca="1"/>
        <v>#VALUE!</v>
      </c>
      <c r="X17" s="101" t="e">
        <f ca="1">_xll.qlOptionletVTSVolatility('EUR TermStructures'!B$41,K17,X$7,TRUE)</f>
        <v>#VALUE!</v>
      </c>
      <c r="Y17" t="e">
        <f t="shared" ca="1" si="0"/>
        <v>#VALUE!</v>
      </c>
      <c r="Z17" s="108" t="e">
        <f t="shared" ca="1" si="1"/>
        <v>#VALUE!</v>
      </c>
      <c r="AB17" s="108" t="e">
        <f ca="1">SUM(Z$9:Z17)-SUM(T$33:T41)</f>
        <v>#VALUE!</v>
      </c>
      <c r="AD17" t="e">
        <f t="shared" ca="1" si="2"/>
        <v>#VALUE!</v>
      </c>
    </row>
    <row r="18" spans="2:31" x14ac:dyDescent="0.2">
      <c r="B18" t="e">
        <f ca="1"/>
        <v>#NUM!</v>
      </c>
      <c r="C18" s="102" t="e">
        <f ca="1"/>
        <v>#VALUE!</v>
      </c>
      <c r="D18" s="111" t="e">
        <f ca="1"/>
        <v>#VALUE!</v>
      </c>
      <c r="E18" t="e">
        <f ca="1"/>
        <v>#VALUE!</v>
      </c>
      <c r="F18" s="102" t="e">
        <f ca="1"/>
        <v>#VALUE!</v>
      </c>
      <c r="G18" s="102" t="e">
        <f ca="1"/>
        <v>#VALUE!</v>
      </c>
      <c r="H18" t="e">
        <f ca="1"/>
        <v>#VALUE!</v>
      </c>
      <c r="I18" t="e">
        <f ca="1"/>
        <v>#VALUE!</v>
      </c>
      <c r="J18" t="e">
        <f ca="1"/>
        <v>#VALUE!</v>
      </c>
      <c r="K18" s="102" t="e">
        <f ca="1"/>
        <v>#VALUE!</v>
      </c>
      <c r="L18" t="e">
        <f ca="1"/>
        <v>#VALUE!</v>
      </c>
      <c r="M18" t="e">
        <f ca="1"/>
        <v>#VALUE!</v>
      </c>
      <c r="N18" s="2" t="e">
        <f ca="1"/>
        <v>#VALUE!</v>
      </c>
      <c r="O18" t="e">
        <f ca="1"/>
        <v>#VALUE!</v>
      </c>
      <c r="P18" t="e">
        <f ca="1"/>
        <v>#VALUE!</v>
      </c>
      <c r="Q18" t="e">
        <f ca="1"/>
        <v>#VALUE!</v>
      </c>
      <c r="R18" t="e">
        <f ca="1"/>
        <v>#VALUE!</v>
      </c>
      <c r="S18" t="e">
        <f ca="1"/>
        <v>#VALUE!</v>
      </c>
      <c r="T18" t="e">
        <f ca="1"/>
        <v>#VALUE!</v>
      </c>
      <c r="U18" t="e">
        <f ca="1"/>
        <v>#VALUE!</v>
      </c>
      <c r="V18" t="e">
        <f ca="1"/>
        <v>#VALUE!</v>
      </c>
      <c r="X18" s="101" t="e">
        <f ca="1">_xll.qlOptionletVTSVolatility('EUR TermStructures'!B$41,K18,X$7,TRUE)</f>
        <v>#VALUE!</v>
      </c>
      <c r="Y18" t="e">
        <f t="shared" ca="1" si="0"/>
        <v>#VALUE!</v>
      </c>
      <c r="Z18" s="108" t="e">
        <f t="shared" ca="1" si="1"/>
        <v>#VALUE!</v>
      </c>
      <c r="AB18" s="108" t="e">
        <f ca="1">SUM(Z$9:Z18)-SUM(T$33:T42)</f>
        <v>#VALUE!</v>
      </c>
      <c r="AD18" t="e">
        <f t="shared" ca="1" si="2"/>
        <v>#VALUE!</v>
      </c>
    </row>
    <row r="19" spans="2:31" x14ac:dyDescent="0.2">
      <c r="B19" t="e">
        <f ca="1"/>
        <v>#NUM!</v>
      </c>
      <c r="C19" s="102" t="e">
        <f ca="1"/>
        <v>#VALUE!</v>
      </c>
      <c r="D19" s="111" t="e">
        <f ca="1"/>
        <v>#VALUE!</v>
      </c>
      <c r="E19" t="e">
        <f ca="1"/>
        <v>#VALUE!</v>
      </c>
      <c r="F19" s="102" t="e">
        <f ca="1"/>
        <v>#VALUE!</v>
      </c>
      <c r="G19" s="102" t="e">
        <f ca="1"/>
        <v>#VALUE!</v>
      </c>
      <c r="H19" t="e">
        <f ca="1"/>
        <v>#VALUE!</v>
      </c>
      <c r="I19" t="e">
        <f ca="1"/>
        <v>#VALUE!</v>
      </c>
      <c r="J19" t="e">
        <f ca="1"/>
        <v>#VALUE!</v>
      </c>
      <c r="K19" s="102" t="e">
        <f ca="1"/>
        <v>#VALUE!</v>
      </c>
      <c r="L19" t="e">
        <f ca="1"/>
        <v>#VALUE!</v>
      </c>
      <c r="M19" t="e">
        <f ca="1"/>
        <v>#VALUE!</v>
      </c>
      <c r="N19" s="2" t="e">
        <f ca="1"/>
        <v>#VALUE!</v>
      </c>
      <c r="O19" t="e">
        <f ca="1"/>
        <v>#VALUE!</v>
      </c>
      <c r="P19" t="e">
        <f ca="1"/>
        <v>#VALUE!</v>
      </c>
      <c r="Q19" t="e">
        <f ca="1"/>
        <v>#VALUE!</v>
      </c>
      <c r="R19" t="e">
        <f ca="1"/>
        <v>#VALUE!</v>
      </c>
      <c r="S19" t="e">
        <f ca="1"/>
        <v>#VALUE!</v>
      </c>
      <c r="T19" t="e">
        <f ca="1"/>
        <v>#VALUE!</v>
      </c>
      <c r="U19" t="e">
        <f ca="1"/>
        <v>#VALUE!</v>
      </c>
      <c r="V19" t="e">
        <f ca="1"/>
        <v>#VALUE!</v>
      </c>
      <c r="X19" s="101" t="e">
        <f ca="1">_xll.qlOptionletVTSVolatility('EUR TermStructures'!B$41,K19,X$7,TRUE)</f>
        <v>#VALUE!</v>
      </c>
      <c r="Y19" t="e">
        <f t="shared" ca="1" si="0"/>
        <v>#VALUE!</v>
      </c>
      <c r="Z19" s="108" t="e">
        <f t="shared" ca="1" si="1"/>
        <v>#VALUE!</v>
      </c>
      <c r="AB19" s="108" t="e">
        <f ca="1">SUM(Z$9:Z19)-SUM(T$33:T43)</f>
        <v>#VALUE!</v>
      </c>
      <c r="AD19" t="e">
        <f t="shared" ca="1" si="2"/>
        <v>#VALUE!</v>
      </c>
    </row>
    <row r="20" spans="2:31" x14ac:dyDescent="0.2">
      <c r="B20" t="e">
        <f ca="1"/>
        <v>#NUM!</v>
      </c>
      <c r="C20" s="102" t="e">
        <f ca="1"/>
        <v>#VALUE!</v>
      </c>
      <c r="D20" s="111" t="e">
        <f ca="1"/>
        <v>#VALUE!</v>
      </c>
      <c r="E20" t="e">
        <f ca="1"/>
        <v>#VALUE!</v>
      </c>
      <c r="F20" s="102" t="e">
        <f ca="1"/>
        <v>#VALUE!</v>
      </c>
      <c r="G20" s="102" t="e">
        <f ca="1"/>
        <v>#VALUE!</v>
      </c>
      <c r="H20" t="e">
        <f ca="1"/>
        <v>#VALUE!</v>
      </c>
      <c r="I20" t="e">
        <f ca="1"/>
        <v>#VALUE!</v>
      </c>
      <c r="J20" t="e">
        <f ca="1"/>
        <v>#VALUE!</v>
      </c>
      <c r="K20" s="102" t="e">
        <f ca="1"/>
        <v>#VALUE!</v>
      </c>
      <c r="L20" t="e">
        <f ca="1"/>
        <v>#VALUE!</v>
      </c>
      <c r="M20" t="e">
        <f ca="1"/>
        <v>#VALUE!</v>
      </c>
      <c r="N20" s="2" t="e">
        <f ca="1"/>
        <v>#VALUE!</v>
      </c>
      <c r="O20" t="e">
        <f ca="1"/>
        <v>#VALUE!</v>
      </c>
      <c r="P20" t="e">
        <f ca="1"/>
        <v>#VALUE!</v>
      </c>
      <c r="Q20" t="e">
        <f ca="1"/>
        <v>#VALUE!</v>
      </c>
      <c r="R20" t="e">
        <f ca="1"/>
        <v>#VALUE!</v>
      </c>
      <c r="S20" t="e">
        <f ca="1"/>
        <v>#VALUE!</v>
      </c>
      <c r="T20" t="e">
        <f ca="1"/>
        <v>#VALUE!</v>
      </c>
      <c r="U20" t="e">
        <f ca="1"/>
        <v>#VALUE!</v>
      </c>
      <c r="V20" t="e">
        <f ca="1"/>
        <v>#VALUE!</v>
      </c>
      <c r="X20" s="101" t="e">
        <f ca="1">_xll.qlOptionletVTSVolatility('EUR TermStructures'!B$41,K20,X$7,TRUE)</f>
        <v>#VALUE!</v>
      </c>
      <c r="Y20" t="e">
        <f t="shared" ca="1" si="0"/>
        <v>#VALUE!</v>
      </c>
      <c r="Z20" s="108" t="e">
        <f t="shared" ca="1" si="1"/>
        <v>#VALUE!</v>
      </c>
      <c r="AB20" s="108" t="e">
        <f ca="1">SUM(Z$9:Z20)-SUM(T$33:T44)</f>
        <v>#VALUE!</v>
      </c>
      <c r="AD20" t="e">
        <f t="shared" ca="1" si="2"/>
        <v>#VALUE!</v>
      </c>
    </row>
    <row r="21" spans="2:31" x14ac:dyDescent="0.2">
      <c r="B21" t="e">
        <f ca="1"/>
        <v>#NUM!</v>
      </c>
      <c r="C21" s="102" t="e">
        <f ca="1"/>
        <v>#VALUE!</v>
      </c>
      <c r="D21" s="111" t="e">
        <f ca="1"/>
        <v>#VALUE!</v>
      </c>
      <c r="E21" t="e">
        <f ca="1"/>
        <v>#VALUE!</v>
      </c>
      <c r="F21" s="102" t="e">
        <f ca="1"/>
        <v>#VALUE!</v>
      </c>
      <c r="G21" s="102" t="e">
        <f ca="1"/>
        <v>#VALUE!</v>
      </c>
      <c r="H21" t="e">
        <f ca="1"/>
        <v>#VALUE!</v>
      </c>
      <c r="I21" t="e">
        <f ca="1"/>
        <v>#VALUE!</v>
      </c>
      <c r="J21" t="e">
        <f ca="1"/>
        <v>#VALUE!</v>
      </c>
      <c r="K21" s="102" t="e">
        <f ca="1"/>
        <v>#VALUE!</v>
      </c>
      <c r="L21" t="e">
        <f ca="1"/>
        <v>#VALUE!</v>
      </c>
      <c r="M21" t="e">
        <f ca="1"/>
        <v>#VALUE!</v>
      </c>
      <c r="N21" s="2" t="e">
        <f ca="1"/>
        <v>#VALUE!</v>
      </c>
      <c r="O21" t="e">
        <f ca="1"/>
        <v>#VALUE!</v>
      </c>
      <c r="P21" t="e">
        <f ca="1"/>
        <v>#VALUE!</v>
      </c>
      <c r="Q21" t="e">
        <f ca="1"/>
        <v>#VALUE!</v>
      </c>
      <c r="R21" t="e">
        <f ca="1"/>
        <v>#VALUE!</v>
      </c>
      <c r="S21" t="e">
        <f ca="1"/>
        <v>#VALUE!</v>
      </c>
      <c r="T21" t="e">
        <f ca="1"/>
        <v>#VALUE!</v>
      </c>
      <c r="U21" t="e">
        <f ca="1"/>
        <v>#VALUE!</v>
      </c>
      <c r="V21" t="e">
        <f ca="1"/>
        <v>#VALUE!</v>
      </c>
      <c r="X21" s="101" t="e">
        <f ca="1">_xll.qlOptionletVTSVolatility('EUR TermStructures'!B$41,K21,X$7,TRUE)</f>
        <v>#VALUE!</v>
      </c>
      <c r="Y21" t="e">
        <f t="shared" ca="1" si="0"/>
        <v>#VALUE!</v>
      </c>
      <c r="Z21" s="108" t="e">
        <f t="shared" ca="1" si="1"/>
        <v>#VALUE!</v>
      </c>
      <c r="AB21" s="108" t="e">
        <f ca="1">SUM(Z$9:Z21)-SUM(T$33:T45)</f>
        <v>#VALUE!</v>
      </c>
      <c r="AD21" t="e">
        <f t="shared" ca="1" si="2"/>
        <v>#VALUE!</v>
      </c>
    </row>
    <row r="22" spans="2:31" x14ac:dyDescent="0.2">
      <c r="B22" t="e">
        <f ca="1"/>
        <v>#NUM!</v>
      </c>
      <c r="C22" s="102" t="e">
        <f ca="1"/>
        <v>#VALUE!</v>
      </c>
      <c r="D22" s="111" t="e">
        <f ca="1"/>
        <v>#VALUE!</v>
      </c>
      <c r="E22" t="e">
        <f ca="1"/>
        <v>#VALUE!</v>
      </c>
      <c r="F22" s="102" t="e">
        <f ca="1"/>
        <v>#VALUE!</v>
      </c>
      <c r="G22" s="102" t="e">
        <f ca="1"/>
        <v>#VALUE!</v>
      </c>
      <c r="H22" t="e">
        <f ca="1"/>
        <v>#VALUE!</v>
      </c>
      <c r="I22" t="e">
        <f ca="1"/>
        <v>#VALUE!</v>
      </c>
      <c r="J22" t="e">
        <f ca="1"/>
        <v>#VALUE!</v>
      </c>
      <c r="K22" s="102" t="e">
        <f ca="1"/>
        <v>#VALUE!</v>
      </c>
      <c r="L22" t="e">
        <f ca="1"/>
        <v>#VALUE!</v>
      </c>
      <c r="M22" t="e">
        <f ca="1"/>
        <v>#VALUE!</v>
      </c>
      <c r="N22" s="2" t="e">
        <f ca="1"/>
        <v>#VALUE!</v>
      </c>
      <c r="O22" t="e">
        <f ca="1"/>
        <v>#VALUE!</v>
      </c>
      <c r="P22" t="e">
        <f ca="1"/>
        <v>#VALUE!</v>
      </c>
      <c r="Q22" t="e">
        <f ca="1"/>
        <v>#VALUE!</v>
      </c>
      <c r="R22" t="e">
        <f ca="1"/>
        <v>#VALUE!</v>
      </c>
      <c r="S22" t="e">
        <f ca="1"/>
        <v>#VALUE!</v>
      </c>
      <c r="T22" t="e">
        <f ca="1"/>
        <v>#VALUE!</v>
      </c>
      <c r="U22" t="e">
        <f ca="1"/>
        <v>#VALUE!</v>
      </c>
      <c r="V22" t="e">
        <f ca="1"/>
        <v>#VALUE!</v>
      </c>
      <c r="X22" s="101" t="e">
        <f ca="1">_xll.qlOptionletVTSVolatility('EUR TermStructures'!B$41,K22,X$7,TRUE)</f>
        <v>#VALUE!</v>
      </c>
      <c r="Y22" t="e">
        <f t="shared" ca="1" si="0"/>
        <v>#VALUE!</v>
      </c>
      <c r="Z22" s="108" t="e">
        <f t="shared" ca="1" si="1"/>
        <v>#VALUE!</v>
      </c>
      <c r="AB22" s="108" t="e">
        <f ca="1">SUM(Z$9:Z22)-SUM(T$33:T46)</f>
        <v>#VALUE!</v>
      </c>
      <c r="AD22" t="e">
        <f t="shared" ca="1" si="2"/>
        <v>#VALUE!</v>
      </c>
    </row>
    <row r="23" spans="2:31" x14ac:dyDescent="0.2">
      <c r="B23" t="e">
        <f ca="1"/>
        <v>#NUM!</v>
      </c>
      <c r="C23" s="102" t="e">
        <f ca="1"/>
        <v>#VALUE!</v>
      </c>
      <c r="D23" s="111" t="e">
        <f ca="1"/>
        <v>#VALUE!</v>
      </c>
      <c r="E23" t="e">
        <f ca="1"/>
        <v>#VALUE!</v>
      </c>
      <c r="F23" s="102" t="e">
        <f ca="1"/>
        <v>#VALUE!</v>
      </c>
      <c r="G23" s="102" t="e">
        <f ca="1"/>
        <v>#VALUE!</v>
      </c>
      <c r="H23" t="e">
        <f ca="1"/>
        <v>#VALUE!</v>
      </c>
      <c r="I23" t="e">
        <f ca="1"/>
        <v>#VALUE!</v>
      </c>
      <c r="J23" t="e">
        <f ca="1"/>
        <v>#VALUE!</v>
      </c>
      <c r="K23" s="102" t="e">
        <f ca="1"/>
        <v>#VALUE!</v>
      </c>
      <c r="L23" t="e">
        <f ca="1"/>
        <v>#VALUE!</v>
      </c>
      <c r="M23" t="e">
        <f ca="1"/>
        <v>#VALUE!</v>
      </c>
      <c r="N23" s="2" t="e">
        <f ca="1"/>
        <v>#VALUE!</v>
      </c>
      <c r="O23" t="e">
        <f ca="1"/>
        <v>#VALUE!</v>
      </c>
      <c r="P23" t="e">
        <f ca="1"/>
        <v>#VALUE!</v>
      </c>
      <c r="Q23" t="e">
        <f ca="1"/>
        <v>#VALUE!</v>
      </c>
      <c r="R23" t="e">
        <f ca="1"/>
        <v>#VALUE!</v>
      </c>
      <c r="S23" t="e">
        <f ca="1"/>
        <v>#VALUE!</v>
      </c>
      <c r="T23" t="e">
        <f ca="1"/>
        <v>#VALUE!</v>
      </c>
      <c r="U23" t="e">
        <f ca="1"/>
        <v>#VALUE!</v>
      </c>
      <c r="V23" t="e">
        <f ca="1"/>
        <v>#VALUE!</v>
      </c>
      <c r="X23" s="101" t="e">
        <f ca="1">_xll.qlOptionletVTSVolatility('EUR TermStructures'!B$41,K23,X$7,TRUE)</f>
        <v>#VALUE!</v>
      </c>
      <c r="Y23" t="e">
        <f t="shared" ca="1" si="0"/>
        <v>#VALUE!</v>
      </c>
      <c r="Z23" s="108" t="e">
        <f t="shared" ca="1" si="1"/>
        <v>#VALUE!</v>
      </c>
      <c r="AB23" s="108" t="e">
        <f ca="1">SUM(Z$9:Z23)-SUM(T$33:T47)</f>
        <v>#VALUE!</v>
      </c>
      <c r="AD23" t="e">
        <f t="shared" ca="1" si="2"/>
        <v>#VALUE!</v>
      </c>
    </row>
    <row r="24" spans="2:31" x14ac:dyDescent="0.2">
      <c r="B24" t="e">
        <f ca="1"/>
        <v>#NUM!</v>
      </c>
      <c r="C24" s="102" t="e">
        <f ca="1"/>
        <v>#VALUE!</v>
      </c>
      <c r="D24" s="111" t="e">
        <f ca="1"/>
        <v>#VALUE!</v>
      </c>
      <c r="E24" t="e">
        <f ca="1"/>
        <v>#VALUE!</v>
      </c>
      <c r="F24" s="102" t="e">
        <f ca="1"/>
        <v>#VALUE!</v>
      </c>
      <c r="G24" s="102" t="e">
        <f ca="1"/>
        <v>#VALUE!</v>
      </c>
      <c r="H24" t="e">
        <f ca="1"/>
        <v>#VALUE!</v>
      </c>
      <c r="I24" t="e">
        <f ca="1"/>
        <v>#VALUE!</v>
      </c>
      <c r="J24" t="e">
        <f ca="1"/>
        <v>#VALUE!</v>
      </c>
      <c r="K24" s="102" t="e">
        <f ca="1"/>
        <v>#VALUE!</v>
      </c>
      <c r="L24" t="e">
        <f ca="1"/>
        <v>#VALUE!</v>
      </c>
      <c r="M24" t="e">
        <f ca="1"/>
        <v>#VALUE!</v>
      </c>
      <c r="N24" s="2" t="e">
        <f ca="1"/>
        <v>#VALUE!</v>
      </c>
      <c r="O24" t="e">
        <f ca="1"/>
        <v>#VALUE!</v>
      </c>
      <c r="P24" t="e">
        <f ca="1"/>
        <v>#VALUE!</v>
      </c>
      <c r="Q24" t="e">
        <f ca="1"/>
        <v>#VALUE!</v>
      </c>
      <c r="R24" t="e">
        <f ca="1"/>
        <v>#VALUE!</v>
      </c>
      <c r="S24" t="e">
        <f ca="1"/>
        <v>#VALUE!</v>
      </c>
      <c r="T24" t="e">
        <f ca="1"/>
        <v>#VALUE!</v>
      </c>
      <c r="U24" t="e">
        <f ca="1"/>
        <v>#VALUE!</v>
      </c>
      <c r="V24" t="e">
        <f ca="1"/>
        <v>#VALUE!</v>
      </c>
      <c r="X24" s="101" t="e">
        <f ca="1">_xll.qlOptionletVTSVolatility('EUR TermStructures'!B$41,K24,X$7,TRUE)</f>
        <v>#VALUE!</v>
      </c>
      <c r="Y24" t="e">
        <f t="shared" ca="1" si="0"/>
        <v>#VALUE!</v>
      </c>
      <c r="Z24" s="108" t="e">
        <f t="shared" ca="1" si="1"/>
        <v>#VALUE!</v>
      </c>
      <c r="AB24" s="108" t="e">
        <f ca="1">SUM(Z$9:Z24)-SUM(T$33:T48)</f>
        <v>#VALUE!</v>
      </c>
      <c r="AD24" t="e">
        <f t="shared" ca="1" si="2"/>
        <v>#VALUE!</v>
      </c>
    </row>
    <row r="25" spans="2:31" x14ac:dyDescent="0.2">
      <c r="B25" t="e">
        <f ca="1"/>
        <v>#NUM!</v>
      </c>
      <c r="C25" s="102" t="e">
        <f ca="1"/>
        <v>#VALUE!</v>
      </c>
      <c r="D25" s="111" t="e">
        <f ca="1"/>
        <v>#VALUE!</v>
      </c>
      <c r="E25" t="e">
        <f ca="1"/>
        <v>#VALUE!</v>
      </c>
      <c r="F25" s="102" t="e">
        <f ca="1"/>
        <v>#VALUE!</v>
      </c>
      <c r="G25" s="102" t="e">
        <f ca="1"/>
        <v>#VALUE!</v>
      </c>
      <c r="H25" t="e">
        <f ca="1"/>
        <v>#VALUE!</v>
      </c>
      <c r="I25" t="e">
        <f ca="1"/>
        <v>#VALUE!</v>
      </c>
      <c r="J25" t="e">
        <f ca="1"/>
        <v>#VALUE!</v>
      </c>
      <c r="K25" s="102" t="e">
        <f ca="1"/>
        <v>#VALUE!</v>
      </c>
      <c r="L25" t="e">
        <f ca="1"/>
        <v>#VALUE!</v>
      </c>
      <c r="M25" t="e">
        <f ca="1"/>
        <v>#VALUE!</v>
      </c>
      <c r="N25" s="2" t="e">
        <f ca="1"/>
        <v>#VALUE!</v>
      </c>
      <c r="O25" t="e">
        <f ca="1"/>
        <v>#VALUE!</v>
      </c>
      <c r="P25" t="e">
        <f ca="1"/>
        <v>#VALUE!</v>
      </c>
      <c r="Q25" t="e">
        <f ca="1"/>
        <v>#VALUE!</v>
      </c>
      <c r="R25" t="e">
        <f ca="1"/>
        <v>#VALUE!</v>
      </c>
      <c r="S25" t="e">
        <f ca="1"/>
        <v>#VALUE!</v>
      </c>
      <c r="T25" t="e">
        <f ca="1"/>
        <v>#VALUE!</v>
      </c>
      <c r="U25" t="e">
        <f ca="1"/>
        <v>#VALUE!</v>
      </c>
      <c r="V25" t="e">
        <f ca="1"/>
        <v>#VALUE!</v>
      </c>
      <c r="X25" s="101" t="e">
        <f ca="1">_xll.qlOptionletVTSVolatility('EUR TermStructures'!B$41,K25,X$7,TRUE)</f>
        <v>#VALUE!</v>
      </c>
      <c r="Y25" t="e">
        <f t="shared" ca="1" si="0"/>
        <v>#VALUE!</v>
      </c>
      <c r="Z25" s="108" t="e">
        <f t="shared" ca="1" si="1"/>
        <v>#VALUE!</v>
      </c>
      <c r="AB25" s="108" t="e">
        <f ca="1">SUM(Z$9:Z25)-SUM(T$33:T49)</f>
        <v>#VALUE!</v>
      </c>
      <c r="AD25" t="e">
        <f t="shared" ca="1" si="2"/>
        <v>#VALUE!</v>
      </c>
    </row>
    <row r="26" spans="2:31" x14ac:dyDescent="0.2">
      <c r="B26" t="e">
        <f ca="1"/>
        <v>#NUM!</v>
      </c>
      <c r="C26" s="102" t="e">
        <f ca="1"/>
        <v>#VALUE!</v>
      </c>
      <c r="D26" s="111" t="e">
        <f ca="1"/>
        <v>#VALUE!</v>
      </c>
      <c r="E26" t="e">
        <f ca="1"/>
        <v>#VALUE!</v>
      </c>
      <c r="F26" s="102" t="e">
        <f ca="1"/>
        <v>#VALUE!</v>
      </c>
      <c r="G26" s="102" t="e">
        <f ca="1"/>
        <v>#VALUE!</v>
      </c>
      <c r="H26" t="e">
        <f ca="1"/>
        <v>#VALUE!</v>
      </c>
      <c r="I26" t="e">
        <f ca="1"/>
        <v>#VALUE!</v>
      </c>
      <c r="J26" t="e">
        <f ca="1"/>
        <v>#VALUE!</v>
      </c>
      <c r="K26" s="102" t="e">
        <f ca="1"/>
        <v>#VALUE!</v>
      </c>
      <c r="L26" t="e">
        <f ca="1"/>
        <v>#VALUE!</v>
      </c>
      <c r="M26" t="e">
        <f ca="1"/>
        <v>#VALUE!</v>
      </c>
      <c r="N26" s="2" t="e">
        <f ca="1"/>
        <v>#VALUE!</v>
      </c>
      <c r="O26" t="e">
        <f ca="1"/>
        <v>#VALUE!</v>
      </c>
      <c r="P26" t="e">
        <f ca="1"/>
        <v>#VALUE!</v>
      </c>
      <c r="Q26" t="e">
        <f ca="1"/>
        <v>#VALUE!</v>
      </c>
      <c r="R26" t="e">
        <f ca="1"/>
        <v>#VALUE!</v>
      </c>
      <c r="S26" t="e">
        <f ca="1"/>
        <v>#VALUE!</v>
      </c>
      <c r="T26" t="e">
        <f ca="1"/>
        <v>#VALUE!</v>
      </c>
      <c r="U26" t="e">
        <f ca="1"/>
        <v>#VALUE!</v>
      </c>
      <c r="V26" t="e">
        <f ca="1"/>
        <v>#VALUE!</v>
      </c>
      <c r="X26" s="101" t="e">
        <f ca="1">_xll.qlOptionletVTSVolatility('EUR TermStructures'!B$41,K26,X$7,TRUE)</f>
        <v>#VALUE!</v>
      </c>
      <c r="Y26" t="e">
        <f t="shared" ca="1" si="0"/>
        <v>#VALUE!</v>
      </c>
      <c r="Z26" s="108" t="e">
        <f t="shared" ca="1" si="1"/>
        <v>#VALUE!</v>
      </c>
      <c r="AB26" s="108" t="e">
        <f ca="1">SUM(Z$9:Z26)-SUM(T$33:T50)</f>
        <v>#VALUE!</v>
      </c>
      <c r="AD26" t="e">
        <f t="shared" ca="1" si="2"/>
        <v>#VALUE!</v>
      </c>
    </row>
    <row r="27" spans="2:31" x14ac:dyDescent="0.2">
      <c r="B27" t="e">
        <f ca="1"/>
        <v>#NUM!</v>
      </c>
      <c r="C27" s="102" t="e">
        <f ca="1"/>
        <v>#VALUE!</v>
      </c>
      <c r="D27" s="111" t="e">
        <f ca="1"/>
        <v>#VALUE!</v>
      </c>
      <c r="E27" t="e">
        <f ca="1"/>
        <v>#VALUE!</v>
      </c>
      <c r="F27" s="102" t="e">
        <f ca="1"/>
        <v>#VALUE!</v>
      </c>
      <c r="G27" s="102" t="e">
        <f ca="1"/>
        <v>#VALUE!</v>
      </c>
      <c r="H27" t="e">
        <f ca="1"/>
        <v>#VALUE!</v>
      </c>
      <c r="I27" t="e">
        <f ca="1"/>
        <v>#VALUE!</v>
      </c>
      <c r="J27" t="e">
        <f ca="1"/>
        <v>#VALUE!</v>
      </c>
      <c r="K27" s="102" t="e">
        <f ca="1"/>
        <v>#VALUE!</v>
      </c>
      <c r="L27" t="e">
        <f ca="1"/>
        <v>#VALUE!</v>
      </c>
      <c r="M27" t="e">
        <f ca="1"/>
        <v>#VALUE!</v>
      </c>
      <c r="N27" s="2" t="e">
        <f ca="1"/>
        <v>#VALUE!</v>
      </c>
      <c r="O27" t="e">
        <f ca="1"/>
        <v>#VALUE!</v>
      </c>
      <c r="P27" t="e">
        <f ca="1"/>
        <v>#VALUE!</v>
      </c>
      <c r="Q27" t="e">
        <f ca="1"/>
        <v>#VALUE!</v>
      </c>
      <c r="R27" t="e">
        <f ca="1"/>
        <v>#VALUE!</v>
      </c>
      <c r="S27" t="e">
        <f ca="1"/>
        <v>#VALUE!</v>
      </c>
      <c r="T27" t="e">
        <f ca="1"/>
        <v>#VALUE!</v>
      </c>
      <c r="U27" t="e">
        <f ca="1"/>
        <v>#VALUE!</v>
      </c>
      <c r="V27" t="e">
        <f ca="1"/>
        <v>#VALUE!</v>
      </c>
      <c r="X27" s="101" t="e">
        <f ca="1">_xll.qlOptionletVTSVolatility('EUR TermStructures'!B$41,K27,X$7,TRUE)</f>
        <v>#VALUE!</v>
      </c>
      <c r="Y27" t="e">
        <f t="shared" ca="1" si="0"/>
        <v>#VALUE!</v>
      </c>
      <c r="Z27" s="108" t="e">
        <f t="shared" ca="1" si="1"/>
        <v>#VALUE!</v>
      </c>
      <c r="AB27" s="108" t="e">
        <f ca="1">SUM(Z$9:Z27)-SUM(T$33:T51)</f>
        <v>#VALUE!</v>
      </c>
      <c r="AD27" t="e">
        <f ca="1">X27*((K27-K2600/365.25)^2)+AD26</f>
        <v>#VALUE!</v>
      </c>
      <c r="AE27" s="109" t="e">
        <f ca="1">AD27/((K27-Y7)/365.25)^2</f>
        <v>#VALUE!</v>
      </c>
    </row>
    <row r="31" spans="2:31" x14ac:dyDescent="0.2">
      <c r="C31" s="292" t="s">
        <v>250</v>
      </c>
      <c r="D31" s="292" t="s">
        <v>251</v>
      </c>
      <c r="E31" s="292" t="s">
        <v>252</v>
      </c>
      <c r="F31" s="292" t="s">
        <v>1757</v>
      </c>
      <c r="G31" s="292" t="s">
        <v>1758</v>
      </c>
      <c r="H31" s="292" t="s">
        <v>257</v>
      </c>
      <c r="I31" s="292" t="s">
        <v>289</v>
      </c>
      <c r="J31" s="292" t="s">
        <v>253</v>
      </c>
      <c r="K31" s="292" t="s">
        <v>1759</v>
      </c>
      <c r="L31" s="292" t="s">
        <v>1594</v>
      </c>
      <c r="M31" s="292" t="s">
        <v>111</v>
      </c>
      <c r="N31" s="292" t="s">
        <v>1760</v>
      </c>
      <c r="O31" s="292" t="s">
        <v>1761</v>
      </c>
      <c r="P31" s="292" t="s">
        <v>1762</v>
      </c>
      <c r="Q31" s="292" t="s">
        <v>1763</v>
      </c>
      <c r="R31" s="292" t="s">
        <v>1764</v>
      </c>
      <c r="S31" s="292" t="s">
        <v>123</v>
      </c>
      <c r="T31" s="292" t="s">
        <v>1765</v>
      </c>
      <c r="Z31">
        <f>SUMPRODUCT(Z33:Z51,S33:S51)</f>
        <v>111.41733348630405</v>
      </c>
    </row>
    <row r="32" spans="2:31" x14ac:dyDescent="0.2">
      <c r="C32" s="302">
        <v>42761</v>
      </c>
      <c r="D32" s="302">
        <v>42942</v>
      </c>
      <c r="E32" s="302">
        <v>42759</v>
      </c>
      <c r="F32" s="293">
        <v>181</v>
      </c>
      <c r="G32" s="299">
        <v>0</v>
      </c>
      <c r="H32" s="295">
        <v>-0.25</v>
      </c>
      <c r="I32" s="297">
        <v>-0.24335000000000001</v>
      </c>
      <c r="J32" s="293">
        <v>0</v>
      </c>
      <c r="K32" s="299">
        <v>0</v>
      </c>
      <c r="L32" s="306">
        <v>10000000000</v>
      </c>
      <c r="M32" s="302">
        <v>42942</v>
      </c>
      <c r="N32" s="293"/>
      <c r="O32" s="299" t="s">
        <v>1766</v>
      </c>
      <c r="P32" s="293">
        <v>183</v>
      </c>
      <c r="Q32" s="299" t="s">
        <v>1035</v>
      </c>
      <c r="R32" s="297">
        <v>-0.35985</v>
      </c>
      <c r="S32" s="299">
        <v>0</v>
      </c>
      <c r="T32" s="293"/>
    </row>
    <row r="33" spans="1:26" x14ac:dyDescent="0.2">
      <c r="C33" s="304">
        <v>42942</v>
      </c>
      <c r="D33" s="304">
        <v>43126</v>
      </c>
      <c r="E33" s="304">
        <v>42940</v>
      </c>
      <c r="F33" s="294">
        <v>184</v>
      </c>
      <c r="G33" s="298">
        <v>3.0269999999999998E-2</v>
      </c>
      <c r="H33" s="296">
        <v>-0.25</v>
      </c>
      <c r="I33" s="298">
        <v>-0.19786000000000001</v>
      </c>
      <c r="J33" s="294">
        <v>0</v>
      </c>
      <c r="K33" s="298">
        <v>3.0269999999999998E-2</v>
      </c>
      <c r="L33" s="307">
        <v>10000000000</v>
      </c>
      <c r="M33" s="304">
        <v>43126</v>
      </c>
      <c r="N33" s="296">
        <v>1547105.24</v>
      </c>
      <c r="O33" s="300" t="s">
        <v>1766</v>
      </c>
      <c r="P33" s="294">
        <v>367</v>
      </c>
      <c r="Q33" s="300" t="s">
        <v>1035</v>
      </c>
      <c r="R33" s="305">
        <v>-0.3538</v>
      </c>
      <c r="S33" s="298">
        <v>1.00356</v>
      </c>
      <c r="T33" s="296">
        <v>1552618.64</v>
      </c>
      <c r="V33">
        <f>N33-Z33*1000000</f>
        <v>-9.6409348770976067E-5</v>
      </c>
      <c r="X33" s="2">
        <v>1.8606198432567448E-3</v>
      </c>
      <c r="Y33">
        <f>(E33-Y$7)/365.25</f>
        <v>0.49555099247091033</v>
      </c>
      <c r="Z33" s="108">
        <f t="shared" ref="Z33:Z37" si="3">NFloor(I33/100,X$7,X33,Y33)*10000*F33/360</f>
        <v>1.5471052400964094</v>
      </c>
    </row>
    <row r="34" spans="1:26" x14ac:dyDescent="0.2">
      <c r="A34" t="e">
        <f t="shared" ref="A34:A51" ca="1" si="4">F34=H10</f>
        <v>#VALUE!</v>
      </c>
      <c r="C34" s="302">
        <v>43126</v>
      </c>
      <c r="D34" s="302">
        <v>43307</v>
      </c>
      <c r="E34" s="302">
        <v>43124</v>
      </c>
      <c r="F34" s="293">
        <v>181</v>
      </c>
      <c r="G34" s="297">
        <v>4.4170000000000001E-2</v>
      </c>
      <c r="H34" s="295">
        <v>-0.25</v>
      </c>
      <c r="I34" s="297">
        <v>-0.14283999999999999</v>
      </c>
      <c r="J34" s="293">
        <v>0</v>
      </c>
      <c r="K34" s="297">
        <v>4.4170000000000001E-2</v>
      </c>
      <c r="L34" s="306">
        <v>10000000000</v>
      </c>
      <c r="M34" s="302">
        <v>43307</v>
      </c>
      <c r="N34" s="295">
        <v>2220799.3199999998</v>
      </c>
      <c r="O34" s="299" t="s">
        <v>1766</v>
      </c>
      <c r="P34" s="293">
        <v>548</v>
      </c>
      <c r="Q34" s="299" t="s">
        <v>1035</v>
      </c>
      <c r="R34" s="297">
        <v>-0.33978000000000003</v>
      </c>
      <c r="S34" s="297">
        <v>1.0051099999999999</v>
      </c>
      <c r="T34" s="295">
        <v>2232157.2799999998</v>
      </c>
      <c r="V34">
        <f t="shared" ref="V34:V51" si="5">N34-Z34*1000000</f>
        <v>-3.0612107366323471E-4</v>
      </c>
      <c r="X34" s="2">
        <v>2.1943319202497097E-3</v>
      </c>
      <c r="Y34">
        <f t="shared" ref="Y34:Y51" si="6">(E34-Y$7)/365.25</f>
        <v>0.99931553730321698</v>
      </c>
      <c r="Z34" s="108">
        <f t="shared" si="3"/>
        <v>2.2207993203061207</v>
      </c>
    </row>
    <row r="35" spans="1:26" x14ac:dyDescent="0.2">
      <c r="A35" t="e">
        <f t="shared" ca="1" si="4"/>
        <v>#VALUE!</v>
      </c>
      <c r="C35" s="304">
        <v>43307</v>
      </c>
      <c r="D35" s="304">
        <v>43493</v>
      </c>
      <c r="E35" s="304">
        <v>43305</v>
      </c>
      <c r="F35" s="294">
        <v>186</v>
      </c>
      <c r="G35" s="298">
        <v>5.7529999999999998E-2</v>
      </c>
      <c r="H35" s="296">
        <v>-0.25</v>
      </c>
      <c r="I35" s="301">
        <v>-6.6000000000000003E-2</v>
      </c>
      <c r="J35" s="294">
        <v>0</v>
      </c>
      <c r="K35" s="298">
        <v>5.7529999999999998E-2</v>
      </c>
      <c r="L35" s="307">
        <v>10000000000</v>
      </c>
      <c r="M35" s="304">
        <v>43493</v>
      </c>
      <c r="N35" s="296">
        <v>2972157.69</v>
      </c>
      <c r="O35" s="300" t="s">
        <v>1766</v>
      </c>
      <c r="P35" s="294">
        <v>734</v>
      </c>
      <c r="Q35" s="300" t="s">
        <v>1035</v>
      </c>
      <c r="R35" s="298">
        <v>-0.31918999999999997</v>
      </c>
      <c r="S35" s="298">
        <v>1.00644</v>
      </c>
      <c r="T35" s="296">
        <v>2991296.62</v>
      </c>
      <c r="V35">
        <f t="shared" si="5"/>
        <v>-1.5612691640853882E-5</v>
      </c>
      <c r="X35" s="2">
        <v>2.6492034872032636E-3</v>
      </c>
      <c r="Y35">
        <f t="shared" si="6"/>
        <v>1.4948665297741273</v>
      </c>
      <c r="Z35" s="108">
        <f t="shared" si="3"/>
        <v>2.9721576900156128</v>
      </c>
    </row>
    <row r="36" spans="1:26" x14ac:dyDescent="0.2">
      <c r="A36" t="e">
        <f t="shared" ca="1" si="4"/>
        <v>#VALUE!</v>
      </c>
      <c r="C36" s="302">
        <v>43493</v>
      </c>
      <c r="D36" s="302">
        <v>43672</v>
      </c>
      <c r="E36" s="302">
        <v>43489</v>
      </c>
      <c r="F36" s="293">
        <v>179</v>
      </c>
      <c r="G36" s="297">
        <v>6.114E-2</v>
      </c>
      <c r="H36" s="295">
        <v>-0.25</v>
      </c>
      <c r="I36" s="297">
        <v>2.7789999999999999E-2</v>
      </c>
      <c r="J36" s="293">
        <v>0</v>
      </c>
      <c r="K36" s="297">
        <v>6.114E-2</v>
      </c>
      <c r="L36" s="306">
        <v>10000000000</v>
      </c>
      <c r="M36" s="302">
        <v>43672</v>
      </c>
      <c r="N36" s="295">
        <v>3040160.21</v>
      </c>
      <c r="O36" s="299" t="s">
        <v>1766</v>
      </c>
      <c r="P36" s="293">
        <v>913</v>
      </c>
      <c r="Q36" s="299" t="s">
        <v>1035</v>
      </c>
      <c r="R36" s="297">
        <v>-0.29224</v>
      </c>
      <c r="S36" s="297">
        <v>1.0073399999999999</v>
      </c>
      <c r="T36" s="295">
        <v>3062465.41</v>
      </c>
      <c r="V36">
        <f t="shared" si="5"/>
        <v>-9.6281059086322784E-5</v>
      </c>
      <c r="X36" s="2">
        <v>2.9068494401037477E-3</v>
      </c>
      <c r="Y36">
        <f t="shared" si="6"/>
        <v>1.998631074606434</v>
      </c>
      <c r="Z36" s="108">
        <f t="shared" si="3"/>
        <v>3.040160210096281</v>
      </c>
    </row>
    <row r="37" spans="1:26" x14ac:dyDescent="0.2">
      <c r="A37" t="e">
        <f t="shared" ca="1" si="4"/>
        <v>#VALUE!</v>
      </c>
      <c r="C37" s="304">
        <v>43672</v>
      </c>
      <c r="D37" s="304">
        <v>43857</v>
      </c>
      <c r="E37" s="304">
        <v>43670</v>
      </c>
      <c r="F37" s="294">
        <v>185</v>
      </c>
      <c r="G37" s="298">
        <v>6.2219999999999998E-2</v>
      </c>
      <c r="H37" s="296">
        <v>-0.25</v>
      </c>
      <c r="I37" s="298">
        <v>0.13896</v>
      </c>
      <c r="J37" s="294">
        <v>0</v>
      </c>
      <c r="K37" s="298">
        <v>6.2219999999999998E-2</v>
      </c>
      <c r="L37" s="307">
        <v>10000000000</v>
      </c>
      <c r="M37" s="304">
        <v>43857</v>
      </c>
      <c r="N37" s="296">
        <v>3197193.97</v>
      </c>
      <c r="O37" s="300" t="s">
        <v>1766</v>
      </c>
      <c r="P37" s="294">
        <v>1098</v>
      </c>
      <c r="Q37" s="300" t="s">
        <v>1035</v>
      </c>
      <c r="R37" s="298">
        <v>-0.25833</v>
      </c>
      <c r="S37" s="305">
        <v>1.0078</v>
      </c>
      <c r="T37" s="296">
        <v>3222137.06</v>
      </c>
      <c r="V37">
        <f t="shared" si="5"/>
        <v>0</v>
      </c>
      <c r="X37" s="2">
        <v>3.1603253640999267E-3</v>
      </c>
      <c r="Y37">
        <f t="shared" si="6"/>
        <v>2.4941820670773445</v>
      </c>
      <c r="Z37" s="108">
        <f t="shared" si="3"/>
        <v>3.1971939699999976</v>
      </c>
    </row>
    <row r="38" spans="1:26" x14ac:dyDescent="0.2">
      <c r="A38" t="e">
        <f t="shared" ca="1" si="4"/>
        <v>#VALUE!</v>
      </c>
      <c r="C38" s="302">
        <v>43857</v>
      </c>
      <c r="D38" s="302">
        <v>44039</v>
      </c>
      <c r="E38" s="302">
        <v>43853</v>
      </c>
      <c r="F38" s="293">
        <v>182</v>
      </c>
      <c r="G38" s="297">
        <v>9.6240000000000006E-2</v>
      </c>
      <c r="H38" s="295">
        <v>-0.25</v>
      </c>
      <c r="I38" s="297">
        <v>0.25266</v>
      </c>
      <c r="J38" s="293">
        <v>0</v>
      </c>
      <c r="K38" s="297">
        <v>9.6240000000000006E-2</v>
      </c>
      <c r="L38" s="306">
        <v>10000000000</v>
      </c>
      <c r="M38" s="302">
        <v>44039</v>
      </c>
      <c r="N38" s="295">
        <v>4865355.54</v>
      </c>
      <c r="O38" s="299" t="s">
        <v>1766</v>
      </c>
      <c r="P38" s="293">
        <v>1280</v>
      </c>
      <c r="Q38" s="299" t="s">
        <v>1035</v>
      </c>
      <c r="R38" s="297">
        <v>-0.22065000000000001</v>
      </c>
      <c r="S38" s="297">
        <v>1.0077700000000001</v>
      </c>
      <c r="T38" s="295">
        <v>4903149</v>
      </c>
      <c r="V38">
        <f t="shared" si="5"/>
        <v>-2.219807356595993E-5</v>
      </c>
      <c r="X38" s="2">
        <v>4.0306109840833344E-3</v>
      </c>
      <c r="Y38">
        <f t="shared" si="6"/>
        <v>2.9952087611225187</v>
      </c>
      <c r="Z38" s="108">
        <f>NFloor(I38/100,X$7,X38,Y38)*10000*F38/360</f>
        <v>4.8653555400221977</v>
      </c>
    </row>
    <row r="39" spans="1:26" x14ac:dyDescent="0.2">
      <c r="A39" t="e">
        <f t="shared" ca="1" si="4"/>
        <v>#VALUE!</v>
      </c>
      <c r="C39" s="304">
        <v>44039</v>
      </c>
      <c r="D39" s="304">
        <v>44222</v>
      </c>
      <c r="E39" s="304">
        <v>44035</v>
      </c>
      <c r="F39" s="294">
        <v>183</v>
      </c>
      <c r="G39" s="298">
        <v>0.13242999999999999</v>
      </c>
      <c r="H39" s="296">
        <v>-0.25</v>
      </c>
      <c r="I39" s="298">
        <v>0.38368999999999998</v>
      </c>
      <c r="J39" s="294">
        <v>0</v>
      </c>
      <c r="K39" s="298">
        <v>0.13242999999999999</v>
      </c>
      <c r="L39" s="307">
        <v>10000000000</v>
      </c>
      <c r="M39" s="304">
        <v>44222</v>
      </c>
      <c r="N39" s="296">
        <v>6731908.8600000003</v>
      </c>
      <c r="O39" s="300" t="s">
        <v>1766</v>
      </c>
      <c r="P39" s="294">
        <v>1463</v>
      </c>
      <c r="Q39" s="300" t="s">
        <v>1035</v>
      </c>
      <c r="R39" s="298">
        <v>-0.17821999999999999</v>
      </c>
      <c r="S39" s="298">
        <v>1.0071699999999999</v>
      </c>
      <c r="T39" s="296">
        <v>6780171.29</v>
      </c>
      <c r="V39">
        <f t="shared" si="5"/>
        <v>-3.0733644962310791E-7</v>
      </c>
      <c r="X39" s="2">
        <v>4.8961234040455718E-3</v>
      </c>
      <c r="Y39">
        <f t="shared" si="6"/>
        <v>3.4934976043805612</v>
      </c>
      <c r="Z39" s="108">
        <f t="shared" ref="Z39:Z51" si="7">NFloor(I39/100,X$7,X39,Y39)*10000*F39/360</f>
        <v>6.7319088600003081</v>
      </c>
    </row>
    <row r="40" spans="1:26" x14ac:dyDescent="0.2">
      <c r="A40" t="e">
        <f t="shared" ca="1" si="4"/>
        <v>#VALUE!</v>
      </c>
      <c r="C40" s="302">
        <v>44222</v>
      </c>
      <c r="D40" s="302">
        <v>44403</v>
      </c>
      <c r="E40" s="302">
        <v>44218</v>
      </c>
      <c r="F40" s="293">
        <v>181</v>
      </c>
      <c r="G40" s="297">
        <v>0.13583999999999999</v>
      </c>
      <c r="H40" s="295">
        <v>-0.25</v>
      </c>
      <c r="I40" s="297">
        <v>0.50612999999999997</v>
      </c>
      <c r="J40" s="293">
        <v>0</v>
      </c>
      <c r="K40" s="297">
        <v>0.13583999999999999</v>
      </c>
      <c r="L40" s="306">
        <v>10000000000</v>
      </c>
      <c r="M40" s="302">
        <v>44403</v>
      </c>
      <c r="N40" s="295">
        <v>6829547.7300000004</v>
      </c>
      <c r="O40" s="299" t="s">
        <v>1766</v>
      </c>
      <c r="P40" s="293">
        <v>1644</v>
      </c>
      <c r="Q40" s="299" t="s">
        <v>1035</v>
      </c>
      <c r="R40" s="297">
        <v>-0.13105</v>
      </c>
      <c r="S40" s="297">
        <v>1.0059199999999999</v>
      </c>
      <c r="T40" s="295">
        <v>6869979.0199999996</v>
      </c>
      <c r="V40">
        <f t="shared" si="5"/>
        <v>-5.2805989980697632E-7</v>
      </c>
      <c r="X40" s="2">
        <v>5.1038942940857396E-3</v>
      </c>
      <c r="Y40">
        <f t="shared" si="6"/>
        <v>3.9945242984257359</v>
      </c>
      <c r="Z40" s="108">
        <f t="shared" si="7"/>
        <v>6.8295477300005283</v>
      </c>
    </row>
    <row r="41" spans="1:26" x14ac:dyDescent="0.2">
      <c r="A41" t="e">
        <f t="shared" ca="1" si="4"/>
        <v>#VALUE!</v>
      </c>
      <c r="C41" s="304">
        <v>44403</v>
      </c>
      <c r="D41" s="304">
        <v>44587</v>
      </c>
      <c r="E41" s="304">
        <v>44399</v>
      </c>
      <c r="F41" s="294">
        <v>184</v>
      </c>
      <c r="G41" s="298">
        <v>0.13161</v>
      </c>
      <c r="H41" s="296">
        <v>-0.25</v>
      </c>
      <c r="I41" s="298">
        <v>0.66735999999999995</v>
      </c>
      <c r="J41" s="294">
        <v>0</v>
      </c>
      <c r="K41" s="298">
        <v>0.13161</v>
      </c>
      <c r="L41" s="307">
        <v>10000000000</v>
      </c>
      <c r="M41" s="304">
        <v>44587</v>
      </c>
      <c r="N41" s="296">
        <v>6726580.9000000004</v>
      </c>
      <c r="O41" s="300" t="s">
        <v>1766</v>
      </c>
      <c r="P41" s="294">
        <v>1828</v>
      </c>
      <c r="Q41" s="300" t="s">
        <v>1035</v>
      </c>
      <c r="R41" s="298">
        <v>-7.7719999999999997E-2</v>
      </c>
      <c r="S41" s="305">
        <v>1.0039</v>
      </c>
      <c r="T41" s="296">
        <v>6752814.1500000004</v>
      </c>
      <c r="V41">
        <f t="shared" si="5"/>
        <v>-1.5124678611755371E-6</v>
      </c>
      <c r="X41" s="2">
        <v>5.3093739519059699E-3</v>
      </c>
      <c r="Y41">
        <f t="shared" si="6"/>
        <v>4.4900752908966464</v>
      </c>
      <c r="Z41" s="108">
        <f t="shared" si="7"/>
        <v>6.7265809000015127</v>
      </c>
    </row>
    <row r="42" spans="1:26" x14ac:dyDescent="0.2">
      <c r="A42" t="e">
        <f t="shared" ca="1" si="4"/>
        <v>#VALUE!</v>
      </c>
      <c r="C42" s="302">
        <v>44587</v>
      </c>
      <c r="D42" s="302">
        <v>44768</v>
      </c>
      <c r="E42" s="302">
        <v>44585</v>
      </c>
      <c r="F42" s="293">
        <v>181</v>
      </c>
      <c r="G42" s="297">
        <v>0.14727999999999999</v>
      </c>
      <c r="H42" s="295">
        <v>-0.25</v>
      </c>
      <c r="I42" s="297">
        <v>0.79100999999999999</v>
      </c>
      <c r="J42" s="293">
        <v>0</v>
      </c>
      <c r="K42" s="297">
        <v>0.14727999999999999</v>
      </c>
      <c r="L42" s="306">
        <v>10000000000</v>
      </c>
      <c r="M42" s="302">
        <v>44768</v>
      </c>
      <c r="N42" s="295">
        <v>7404691.0999999996</v>
      </c>
      <c r="O42" s="299" t="s">
        <v>1766</v>
      </c>
      <c r="P42" s="293">
        <v>2009</v>
      </c>
      <c r="Q42" s="299" t="s">
        <v>1035</v>
      </c>
      <c r="R42" s="297">
        <v>-2.0240000000000001E-2</v>
      </c>
      <c r="S42" s="297">
        <v>1.0011099999999999</v>
      </c>
      <c r="T42" s="295">
        <v>7412944.3899999997</v>
      </c>
      <c r="V42">
        <f t="shared" si="5"/>
        <v>-1.4435499906539917E-7</v>
      </c>
      <c r="X42" s="2">
        <v>5.6774908186427234E-3</v>
      </c>
      <c r="Y42">
        <f t="shared" si="6"/>
        <v>4.9993155373032172</v>
      </c>
      <c r="Z42" s="108">
        <f t="shared" si="7"/>
        <v>7.4046911000001439</v>
      </c>
    </row>
    <row r="43" spans="1:26" x14ac:dyDescent="0.2">
      <c r="A43" t="e">
        <f t="shared" ca="1" si="4"/>
        <v>#VALUE!</v>
      </c>
      <c r="C43" s="304">
        <v>44768</v>
      </c>
      <c r="D43" s="304">
        <v>44952</v>
      </c>
      <c r="E43" s="304">
        <v>44764</v>
      </c>
      <c r="F43" s="294">
        <v>184</v>
      </c>
      <c r="G43" s="298">
        <v>0.15354000000000001</v>
      </c>
      <c r="H43" s="296">
        <v>-0.25</v>
      </c>
      <c r="I43" s="298">
        <v>0.96074999999999999</v>
      </c>
      <c r="J43" s="294">
        <v>0</v>
      </c>
      <c r="K43" s="298">
        <v>0.15354000000000001</v>
      </c>
      <c r="L43" s="307">
        <v>10000000000</v>
      </c>
      <c r="M43" s="304">
        <v>44952</v>
      </c>
      <c r="N43" s="296">
        <v>7847633.1500000004</v>
      </c>
      <c r="O43" s="300" t="s">
        <v>1766</v>
      </c>
      <c r="P43" s="294">
        <v>2193</v>
      </c>
      <c r="Q43" s="300" t="s">
        <v>1035</v>
      </c>
      <c r="R43" s="298">
        <v>4.2410000000000003E-2</v>
      </c>
      <c r="S43" s="298">
        <v>0.99746000000000001</v>
      </c>
      <c r="T43" s="296">
        <v>7827664.0700000003</v>
      </c>
      <c r="V43">
        <f t="shared" si="5"/>
        <v>-1.7695128917694092E-8</v>
      </c>
      <c r="X43" s="2">
        <v>6.0317780279259738E-3</v>
      </c>
      <c r="Y43">
        <f t="shared" si="6"/>
        <v>5.4893908281998627</v>
      </c>
      <c r="Z43" s="108">
        <f t="shared" si="7"/>
        <v>7.8476331500000178</v>
      </c>
    </row>
    <row r="44" spans="1:26" x14ac:dyDescent="0.2">
      <c r="A44" t="e">
        <f t="shared" ca="1" si="4"/>
        <v>#VALUE!</v>
      </c>
      <c r="C44" s="302">
        <v>44952</v>
      </c>
      <c r="D44" s="302">
        <v>45133</v>
      </c>
      <c r="E44" s="302">
        <v>44950</v>
      </c>
      <c r="F44" s="293">
        <v>181</v>
      </c>
      <c r="G44" s="297">
        <v>0.14901</v>
      </c>
      <c r="H44" s="295">
        <v>-0.25</v>
      </c>
      <c r="I44" s="297">
        <v>1.1014600000000001</v>
      </c>
      <c r="J44" s="293">
        <v>0</v>
      </c>
      <c r="K44" s="297">
        <v>0.14901</v>
      </c>
      <c r="L44" s="306">
        <v>10000000000</v>
      </c>
      <c r="M44" s="302">
        <v>45133</v>
      </c>
      <c r="N44" s="295">
        <v>7491691.3700000001</v>
      </c>
      <c r="O44" s="299" t="s">
        <v>1766</v>
      </c>
      <c r="P44" s="293">
        <v>2374</v>
      </c>
      <c r="Q44" s="299" t="s">
        <v>1035</v>
      </c>
      <c r="R44" s="297">
        <v>0.10706</v>
      </c>
      <c r="S44" s="297">
        <v>0.99306000000000005</v>
      </c>
      <c r="T44" s="295">
        <v>7439707.9199999999</v>
      </c>
      <c r="V44">
        <f t="shared" si="5"/>
        <v>-3.0733644962310791E-8</v>
      </c>
      <c r="X44" s="2">
        <v>6.103320019201104E-3</v>
      </c>
      <c r="Y44">
        <f t="shared" si="6"/>
        <v>5.9986310746064335</v>
      </c>
      <c r="Z44" s="108">
        <f t="shared" si="7"/>
        <v>7.4916913700000309</v>
      </c>
    </row>
    <row r="45" spans="1:26" x14ac:dyDescent="0.2">
      <c r="A45" t="e">
        <f t="shared" ca="1" si="4"/>
        <v>#VALUE!</v>
      </c>
      <c r="C45" s="304">
        <v>45133</v>
      </c>
      <c r="D45" s="304">
        <v>45317</v>
      </c>
      <c r="E45" s="304">
        <v>45131</v>
      </c>
      <c r="F45" s="294">
        <v>184</v>
      </c>
      <c r="G45" s="298">
        <v>0.14252000000000001</v>
      </c>
      <c r="H45" s="296">
        <v>-0.25</v>
      </c>
      <c r="I45" s="298">
        <v>1.25325</v>
      </c>
      <c r="J45" s="294">
        <v>0</v>
      </c>
      <c r="K45" s="298">
        <v>0.14252000000000001</v>
      </c>
      <c r="L45" s="307">
        <v>10000000000</v>
      </c>
      <c r="M45" s="304">
        <v>45317</v>
      </c>
      <c r="N45" s="296">
        <v>7284509.5999999996</v>
      </c>
      <c r="O45" s="300" t="s">
        <v>1766</v>
      </c>
      <c r="P45" s="294">
        <v>2558</v>
      </c>
      <c r="Q45" s="300" t="s">
        <v>1035</v>
      </c>
      <c r="R45" s="298">
        <v>0.17433000000000001</v>
      </c>
      <c r="S45" s="298">
        <v>0.98785999999999996</v>
      </c>
      <c r="T45" s="296">
        <v>7196054.9500000002</v>
      </c>
      <c r="V45">
        <f t="shared" si="5"/>
        <v>-3.8184225559234619E-8</v>
      </c>
      <c r="X45" s="2">
        <v>6.1729160376679812E-3</v>
      </c>
      <c r="Y45">
        <f t="shared" si="6"/>
        <v>6.494182067077344</v>
      </c>
      <c r="Z45" s="108">
        <f t="shared" si="7"/>
        <v>7.284509600000038</v>
      </c>
    </row>
    <row r="46" spans="1:26" x14ac:dyDescent="0.2">
      <c r="A46" t="e">
        <f t="shared" ca="1" si="4"/>
        <v>#VALUE!</v>
      </c>
      <c r="C46" s="302">
        <v>45317</v>
      </c>
      <c r="D46" s="302">
        <v>45499</v>
      </c>
      <c r="E46" s="302">
        <v>45315</v>
      </c>
      <c r="F46" s="293">
        <v>182</v>
      </c>
      <c r="G46" s="297">
        <v>0.15174000000000001</v>
      </c>
      <c r="H46" s="295">
        <v>-0.25</v>
      </c>
      <c r="I46" s="297">
        <v>1.3532200000000001</v>
      </c>
      <c r="J46" s="293">
        <v>0</v>
      </c>
      <c r="K46" s="297">
        <v>0.15174000000000001</v>
      </c>
      <c r="L46" s="306">
        <v>10000000000</v>
      </c>
      <c r="M46" s="302">
        <v>45499</v>
      </c>
      <c r="N46" s="295">
        <v>7671134.6100000003</v>
      </c>
      <c r="O46" s="299" t="s">
        <v>1766</v>
      </c>
      <c r="P46" s="293">
        <v>2740</v>
      </c>
      <c r="Q46" s="299" t="s">
        <v>1035</v>
      </c>
      <c r="R46" s="297">
        <v>0.24121999999999999</v>
      </c>
      <c r="S46" s="297">
        <v>0.98204999999999998</v>
      </c>
      <c r="T46" s="295">
        <v>7533473.5199999996</v>
      </c>
      <c r="V46">
        <f t="shared" si="5"/>
        <v>0</v>
      </c>
      <c r="X46" s="2">
        <v>6.3380864581611693E-3</v>
      </c>
      <c r="Y46">
        <f t="shared" si="6"/>
        <v>6.9979466119096507</v>
      </c>
      <c r="Z46" s="108">
        <f t="shared" si="7"/>
        <v>7.6711346100000011</v>
      </c>
    </row>
    <row r="47" spans="1:26" x14ac:dyDescent="0.2">
      <c r="A47" t="e">
        <f t="shared" ca="1" si="4"/>
        <v>#VALUE!</v>
      </c>
      <c r="C47" s="304">
        <v>45499</v>
      </c>
      <c r="D47" s="304">
        <v>45684</v>
      </c>
      <c r="E47" s="304">
        <v>45497</v>
      </c>
      <c r="F47" s="294">
        <v>185</v>
      </c>
      <c r="G47" s="298">
        <v>0.15356</v>
      </c>
      <c r="H47" s="296">
        <v>-0.25</v>
      </c>
      <c r="I47" s="298">
        <v>1.4973700000000001</v>
      </c>
      <c r="J47" s="294">
        <v>0</v>
      </c>
      <c r="K47" s="298">
        <v>0.15356</v>
      </c>
      <c r="L47" s="307">
        <v>10000000000</v>
      </c>
      <c r="M47" s="304">
        <v>45684</v>
      </c>
      <c r="N47" s="296">
        <v>7891436.1799999997</v>
      </c>
      <c r="O47" s="300" t="s">
        <v>1766</v>
      </c>
      <c r="P47" s="294">
        <v>2925</v>
      </c>
      <c r="Q47" s="300" t="s">
        <v>1035</v>
      </c>
      <c r="R47" s="298">
        <v>0.31013000000000002</v>
      </c>
      <c r="S47" s="298">
        <v>0.97545000000000004</v>
      </c>
      <c r="T47" s="296">
        <v>7697725.6299999999</v>
      </c>
      <c r="V47">
        <f t="shared" si="5"/>
        <v>0</v>
      </c>
      <c r="X47" s="2">
        <v>6.5014479496419619E-3</v>
      </c>
      <c r="Y47">
        <f t="shared" si="6"/>
        <v>7.4962354551676933</v>
      </c>
      <c r="Z47" s="108">
        <f t="shared" si="7"/>
        <v>7.8914361799999941</v>
      </c>
    </row>
    <row r="48" spans="1:26" x14ac:dyDescent="0.2">
      <c r="A48" t="e">
        <f t="shared" ca="1" si="4"/>
        <v>#VALUE!</v>
      </c>
      <c r="C48" s="302">
        <v>45684</v>
      </c>
      <c r="D48" s="302">
        <v>45866</v>
      </c>
      <c r="E48" s="302">
        <v>45680</v>
      </c>
      <c r="F48" s="293">
        <v>182</v>
      </c>
      <c r="G48" s="303">
        <v>0.14660000000000001</v>
      </c>
      <c r="H48" s="295">
        <v>-0.25</v>
      </c>
      <c r="I48" s="297">
        <v>1.59822</v>
      </c>
      <c r="J48" s="293">
        <v>0</v>
      </c>
      <c r="K48" s="303">
        <v>0.14660000000000001</v>
      </c>
      <c r="L48" s="306">
        <v>10000000000</v>
      </c>
      <c r="M48" s="302">
        <v>45866</v>
      </c>
      <c r="N48" s="295">
        <v>7411363.3600000003</v>
      </c>
      <c r="O48" s="299" t="s">
        <v>1766</v>
      </c>
      <c r="P48" s="293">
        <v>3107</v>
      </c>
      <c r="Q48" s="299" t="s">
        <v>1035</v>
      </c>
      <c r="R48" s="297">
        <v>0.37913999999999998</v>
      </c>
      <c r="S48" s="297">
        <v>0.96823999999999999</v>
      </c>
      <c r="T48" s="295">
        <v>7175991.3600000003</v>
      </c>
      <c r="V48">
        <f t="shared" si="5"/>
        <v>0</v>
      </c>
      <c r="X48" s="2">
        <v>6.4266941454566018E-3</v>
      </c>
      <c r="Y48">
        <f t="shared" si="6"/>
        <v>7.9972621492128679</v>
      </c>
      <c r="Z48" s="108">
        <f t="shared" si="7"/>
        <v>7.4113633600000073</v>
      </c>
    </row>
    <row r="49" spans="1:26" x14ac:dyDescent="0.2">
      <c r="A49" t="e">
        <f t="shared" ca="1" si="4"/>
        <v>#VALUE!</v>
      </c>
      <c r="C49" s="304">
        <v>45866</v>
      </c>
      <c r="D49" s="304">
        <v>46048</v>
      </c>
      <c r="E49" s="304">
        <v>45862</v>
      </c>
      <c r="F49" s="294">
        <v>182</v>
      </c>
      <c r="G49" s="298">
        <v>0.13866999999999999</v>
      </c>
      <c r="H49" s="296">
        <v>-0.25</v>
      </c>
      <c r="I49" s="298">
        <v>1.70408</v>
      </c>
      <c r="J49" s="294">
        <v>0</v>
      </c>
      <c r="K49" s="298">
        <v>0.13866999999999999</v>
      </c>
      <c r="L49" s="307">
        <v>10000000000</v>
      </c>
      <c r="M49" s="304">
        <v>46048</v>
      </c>
      <c r="N49" s="296">
        <v>7010311.21</v>
      </c>
      <c r="O49" s="300" t="s">
        <v>1766</v>
      </c>
      <c r="P49" s="294">
        <v>3289</v>
      </c>
      <c r="Q49" s="300" t="s">
        <v>1035</v>
      </c>
      <c r="R49" s="298">
        <v>0.44696000000000002</v>
      </c>
      <c r="S49" s="298">
        <v>0.96052000000000004</v>
      </c>
      <c r="T49" s="296">
        <v>6733577.1399999997</v>
      </c>
      <c r="V49">
        <f t="shared" si="5"/>
        <v>-2.7939677238464355E-8</v>
      </c>
      <c r="X49" s="2">
        <v>6.3523581469490508E-3</v>
      </c>
      <c r="Y49">
        <f t="shared" si="6"/>
        <v>8.4955509924709105</v>
      </c>
      <c r="Z49" s="108">
        <f t="shared" si="7"/>
        <v>7.0103112100000278</v>
      </c>
    </row>
    <row r="50" spans="1:26" x14ac:dyDescent="0.2">
      <c r="A50" t="e">
        <f t="shared" ca="1" si="4"/>
        <v>#VALUE!</v>
      </c>
      <c r="C50" s="302">
        <v>46048</v>
      </c>
      <c r="D50" s="302">
        <v>46230</v>
      </c>
      <c r="E50" s="302">
        <v>46044</v>
      </c>
      <c r="F50" s="293">
        <v>182</v>
      </c>
      <c r="G50" s="297">
        <v>0.14265</v>
      </c>
      <c r="H50" s="295">
        <v>-0.25</v>
      </c>
      <c r="I50" s="297">
        <v>1.7726599999999999</v>
      </c>
      <c r="J50" s="293">
        <v>0</v>
      </c>
      <c r="K50" s="297">
        <v>0.14265</v>
      </c>
      <c r="L50" s="306">
        <v>10000000000</v>
      </c>
      <c r="M50" s="302">
        <v>46230</v>
      </c>
      <c r="N50" s="295">
        <v>7211689.3700000001</v>
      </c>
      <c r="O50" s="299" t="s">
        <v>1766</v>
      </c>
      <c r="P50" s="293">
        <v>3471</v>
      </c>
      <c r="Q50" s="299" t="s">
        <v>1035</v>
      </c>
      <c r="R50" s="297">
        <v>0.51124000000000003</v>
      </c>
      <c r="S50" s="297">
        <v>0.95255000000000001</v>
      </c>
      <c r="T50" s="295">
        <v>6869468.8399999999</v>
      </c>
      <c r="V50">
        <f t="shared" si="5"/>
        <v>-2.8870999813079834E-8</v>
      </c>
      <c r="X50" s="2">
        <v>6.3776577752496406E-3</v>
      </c>
      <c r="Y50">
        <f t="shared" si="6"/>
        <v>8.9938398357289522</v>
      </c>
      <c r="Z50" s="108">
        <f t="shared" si="7"/>
        <v>7.2116893700000286</v>
      </c>
    </row>
    <row r="51" spans="1:26" x14ac:dyDescent="0.2">
      <c r="A51" t="e">
        <f t="shared" ca="1" si="4"/>
        <v>#VALUE!</v>
      </c>
      <c r="C51" s="304">
        <v>46230</v>
      </c>
      <c r="D51" s="304">
        <v>46413</v>
      </c>
      <c r="E51" s="304">
        <v>46226</v>
      </c>
      <c r="F51" s="294">
        <v>183</v>
      </c>
      <c r="G51" s="298">
        <v>0.14924000000000001</v>
      </c>
      <c r="H51" s="296">
        <v>-0.25</v>
      </c>
      <c r="I51" s="298">
        <v>1.82169</v>
      </c>
      <c r="J51" s="294">
        <v>0</v>
      </c>
      <c r="K51" s="298">
        <v>0.14924000000000001</v>
      </c>
      <c r="L51" s="307">
        <v>10000000000</v>
      </c>
      <c r="M51" s="304">
        <v>46413</v>
      </c>
      <c r="N51" s="296">
        <v>7586488.1900000004</v>
      </c>
      <c r="O51" s="300" t="s">
        <v>1766</v>
      </c>
      <c r="P51" s="294">
        <v>3654</v>
      </c>
      <c r="Q51" s="300" t="s">
        <v>1035</v>
      </c>
      <c r="R51" s="298">
        <v>0.57233000000000001</v>
      </c>
      <c r="S51" s="298">
        <v>0.94430999999999998</v>
      </c>
      <c r="T51" s="296">
        <v>7164034.3200000003</v>
      </c>
      <c r="V51">
        <f t="shared" si="5"/>
        <v>-7.4505805969238281E-9</v>
      </c>
      <c r="X51" s="2">
        <v>6.4029416674678871E-3</v>
      </c>
      <c r="Y51">
        <f t="shared" si="6"/>
        <v>9.4921286789869956</v>
      </c>
      <c r="Z51" s="108">
        <f t="shared" si="7"/>
        <v>7.5864881900000078</v>
      </c>
    </row>
    <row r="54" spans="1:26" x14ac:dyDescent="0.2">
      <c r="I54" s="292" t="s">
        <v>289</v>
      </c>
    </row>
    <row r="55" spans="1:26" x14ac:dyDescent="0.2">
      <c r="I55" s="297">
        <v>-0.24334611671299999</v>
      </c>
      <c r="K55" t="s">
        <v>1767</v>
      </c>
    </row>
    <row r="56" spans="1:26" x14ac:dyDescent="0.2">
      <c r="I56" s="298">
        <v>-0.19785872688039999</v>
      </c>
      <c r="J56" t="e">
        <f ca="1">N9*100</f>
        <v>#VALUE!</v>
      </c>
      <c r="K56">
        <v>-1.990000000001785E-3</v>
      </c>
    </row>
    <row r="57" spans="1:26" x14ac:dyDescent="0.2">
      <c r="I57" s="297">
        <v>-0.14283648005380001</v>
      </c>
      <c r="J57" t="e">
        <f t="shared" ref="J57:J74" ca="1" si="8">N10*100</f>
        <v>#VALUE!</v>
      </c>
      <c r="K57">
        <v>-1.390000000000119E-3</v>
      </c>
    </row>
    <row r="58" spans="1:26" x14ac:dyDescent="0.2">
      <c r="I58" s="301">
        <v>-6.5995680759800002E-2</v>
      </c>
      <c r="J58" t="e">
        <f t="shared" ca="1" si="8"/>
        <v>#VALUE!</v>
      </c>
      <c r="K58">
        <v>-6.9903450120303227E-4</v>
      </c>
    </row>
    <row r="59" spans="1:26" x14ac:dyDescent="0.2">
      <c r="I59" s="297">
        <v>2.77949232013E-2</v>
      </c>
      <c r="J59" t="e">
        <f t="shared" ca="1" si="8"/>
        <v>#VALUE!</v>
      </c>
      <c r="K59">
        <v>8.4316632997940395E-4</v>
      </c>
    </row>
    <row r="60" spans="1:26" x14ac:dyDescent="0.2">
      <c r="I60" s="298">
        <v>0.138958779275</v>
      </c>
      <c r="J60" t="e">
        <f t="shared" ca="1" si="8"/>
        <v>#VALUE!</v>
      </c>
      <c r="K60">
        <v>8.4317225359180391E-4</v>
      </c>
    </row>
    <row r="61" spans="1:26" x14ac:dyDescent="0.2">
      <c r="I61" s="297">
        <v>0.2526578741521</v>
      </c>
      <c r="J61" t="e">
        <f t="shared" ca="1" si="8"/>
        <v>#VALUE!</v>
      </c>
      <c r="K61">
        <v>3.1838060205014143E-3</v>
      </c>
    </row>
    <row r="62" spans="1:26" x14ac:dyDescent="0.2">
      <c r="I62" s="298">
        <v>0.38369106709110001</v>
      </c>
      <c r="J62" t="e">
        <f t="shared" ca="1" si="8"/>
        <v>#VALUE!</v>
      </c>
      <c r="K62">
        <v>3.1838200916351925E-3</v>
      </c>
    </row>
    <row r="63" spans="1:26" x14ac:dyDescent="0.2">
      <c r="I63" s="297">
        <v>0.50612590789940004</v>
      </c>
      <c r="J63" t="e">
        <f t="shared" ca="1" si="8"/>
        <v>#VALUE!</v>
      </c>
      <c r="K63">
        <v>5.8742367550601643E-3</v>
      </c>
    </row>
    <row r="64" spans="1:26" x14ac:dyDescent="0.2">
      <c r="I64" s="298">
        <v>0.66735567300569998</v>
      </c>
      <c r="J64" t="e">
        <f t="shared" ca="1" si="8"/>
        <v>#VALUE!</v>
      </c>
      <c r="K64">
        <v>5.874380393803039E-3</v>
      </c>
    </row>
    <row r="65" spans="9:11" x14ac:dyDescent="0.2">
      <c r="I65" s="297">
        <v>0.79101295168120001</v>
      </c>
      <c r="J65" t="e">
        <f t="shared" ca="1" si="8"/>
        <v>#VALUE!</v>
      </c>
      <c r="K65">
        <v>8.7658883974812349E-3</v>
      </c>
    </row>
    <row r="66" spans="9:11" x14ac:dyDescent="0.2">
      <c r="I66" s="298">
        <v>0.96075286395470005</v>
      </c>
      <c r="J66" t="e">
        <f t="shared" ca="1" si="8"/>
        <v>#VALUE!</v>
      </c>
      <c r="K66">
        <v>8.7662081059217255E-3</v>
      </c>
    </row>
    <row r="67" spans="9:11" x14ac:dyDescent="0.2">
      <c r="I67" s="297">
        <v>1.1014552923469001</v>
      </c>
      <c r="J67" t="e">
        <f t="shared" ca="1" si="8"/>
        <v>#VALUE!</v>
      </c>
      <c r="K67">
        <v>1.1779697594673604E-2</v>
      </c>
    </row>
    <row r="68" spans="9:11" x14ac:dyDescent="0.2">
      <c r="I68" s="298">
        <v>1.2532454617191</v>
      </c>
      <c r="J68" t="e">
        <f t="shared" ca="1" si="8"/>
        <v>#VALUE!</v>
      </c>
      <c r="K68">
        <v>1.1780274647436898E-2</v>
      </c>
    </row>
    <row r="69" spans="9:11" x14ac:dyDescent="0.2">
      <c r="I69" s="297">
        <v>1.3532160483521001</v>
      </c>
      <c r="J69" t="e">
        <f t="shared" ca="1" si="8"/>
        <v>#VALUE!</v>
      </c>
      <c r="K69">
        <v>1.4258659779217253E-2</v>
      </c>
    </row>
    <row r="70" spans="9:11" x14ac:dyDescent="0.2">
      <c r="I70" s="298">
        <v>1.4973721672538001</v>
      </c>
      <c r="J70" t="e">
        <f t="shared" ca="1" si="8"/>
        <v>#VALUE!</v>
      </c>
      <c r="K70">
        <v>1.4259504906799707E-2</v>
      </c>
    </row>
    <row r="71" spans="9:11" x14ac:dyDescent="0.2">
      <c r="I71" s="297">
        <v>1.598221946587</v>
      </c>
      <c r="J71" t="e">
        <f t="shared" ca="1" si="8"/>
        <v>#VALUE!</v>
      </c>
      <c r="K71">
        <v>1.6511787599901934E-2</v>
      </c>
    </row>
    <row r="72" spans="9:11" x14ac:dyDescent="0.2">
      <c r="I72" s="298">
        <v>1.7040774077037999</v>
      </c>
      <c r="J72" t="e">
        <f t="shared" ca="1" si="8"/>
        <v>#VALUE!</v>
      </c>
      <c r="K72">
        <v>1.6511787599901934E-2</v>
      </c>
    </row>
    <row r="73" spans="9:11" x14ac:dyDescent="0.2">
      <c r="I73" s="297">
        <v>1.7726553101327001</v>
      </c>
      <c r="J73" t="e">
        <f t="shared" ca="1" si="8"/>
        <v>#VALUE!</v>
      </c>
      <c r="K73">
        <v>1.7972419703672127E-2</v>
      </c>
    </row>
    <row r="74" spans="9:11" x14ac:dyDescent="0.2">
      <c r="I74" s="298">
        <v>1.8216907771113</v>
      </c>
      <c r="J74" t="e">
        <f t="shared" ca="1" si="8"/>
        <v>#VALUE!</v>
      </c>
      <c r="K74">
        <v>1.7972866980532919E-2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92D050"/>
  </sheetPr>
  <dimension ref="A1:DU141"/>
  <sheetViews>
    <sheetView topLeftCell="A69" zoomScale="80" zoomScaleNormal="80" workbookViewId="0">
      <selection activeCell="I92" sqref="I92"/>
    </sheetView>
  </sheetViews>
  <sheetFormatPr defaultRowHeight="11.25" x14ac:dyDescent="0.2"/>
  <cols>
    <col min="1" max="1" width="27" customWidth="1"/>
    <col min="3" max="3" width="24" customWidth="1"/>
    <col min="4" max="4" width="11.6640625" bestFit="1" customWidth="1"/>
    <col min="8" max="8" width="33.5" customWidth="1"/>
    <col min="9" max="9" width="25.5" customWidth="1"/>
    <col min="10" max="10" width="22.83203125" customWidth="1"/>
    <col min="14" max="14" width="25.83203125" customWidth="1"/>
    <col min="15" max="15" width="22.33203125" customWidth="1"/>
    <col min="19" max="21" width="27.5" customWidth="1"/>
    <col min="22" max="22" width="17.6640625" customWidth="1"/>
    <col min="23" max="23" width="27.5" customWidth="1"/>
    <col min="24" max="24" width="22.1640625" customWidth="1"/>
    <col min="25" max="25" width="16.83203125" customWidth="1"/>
    <col min="29" max="29" width="12" customWidth="1"/>
    <col min="30" max="30" width="10.1640625" bestFit="1" customWidth="1"/>
    <col min="31" max="31" width="9.83203125" customWidth="1"/>
    <col min="32" max="32" width="23.83203125" customWidth="1"/>
    <col min="34" max="34" width="15.6640625" customWidth="1"/>
    <col min="35" max="35" width="11.6640625" bestFit="1" customWidth="1"/>
    <col min="38" max="38" width="20.33203125" customWidth="1"/>
    <col min="39" max="39" width="25.6640625" customWidth="1"/>
    <col min="40" max="40" width="20.6640625" customWidth="1"/>
    <col min="41" max="41" width="20.83203125" customWidth="1"/>
    <col min="44" max="44" width="19.1640625" customWidth="1"/>
    <col min="45" max="45" width="18.33203125" customWidth="1"/>
    <col min="48" max="48" width="10.1640625" bestFit="1" customWidth="1"/>
    <col min="49" max="49" width="24.33203125" customWidth="1"/>
    <col min="50" max="50" width="15.1640625" customWidth="1"/>
    <col min="51" max="51" width="12.33203125" customWidth="1"/>
    <col min="53" max="53" width="13" customWidth="1"/>
    <col min="54" max="54" width="19.1640625" customWidth="1"/>
    <col min="56" max="56" width="13.33203125" customWidth="1"/>
    <col min="61" max="61" width="16.6640625" customWidth="1"/>
    <col min="62" max="62" width="17.33203125" customWidth="1"/>
    <col min="63" max="63" width="9.6640625" bestFit="1" customWidth="1"/>
    <col min="64" max="64" width="17.83203125" customWidth="1"/>
    <col min="65" max="65" width="19.5" customWidth="1"/>
    <col min="66" max="66" width="18.33203125" customWidth="1"/>
    <col min="67" max="67" width="12" customWidth="1"/>
    <col min="68" max="68" width="9.6640625" bestFit="1" customWidth="1"/>
    <col min="69" max="69" width="10.5" bestFit="1" customWidth="1"/>
    <col min="70" max="71" width="9.6640625" bestFit="1" customWidth="1"/>
    <col min="72" max="72" width="16.1640625" customWidth="1"/>
    <col min="73" max="74" width="9.6640625" bestFit="1" customWidth="1"/>
    <col min="75" max="75" width="12.83203125" bestFit="1" customWidth="1"/>
    <col min="76" max="76" width="13" bestFit="1" customWidth="1"/>
    <col min="77" max="77" width="9.6640625" bestFit="1" customWidth="1"/>
    <col min="78" max="78" width="16.5" customWidth="1"/>
    <col min="79" max="79" width="9.6640625" bestFit="1" customWidth="1"/>
    <col min="81" max="81" width="15.5" bestFit="1" customWidth="1"/>
    <col min="82" max="82" width="13.83203125" bestFit="1" customWidth="1"/>
    <col min="95" max="95" width="17.83203125" customWidth="1"/>
    <col min="97" max="97" width="20.33203125" customWidth="1"/>
    <col min="98" max="98" width="17.5" customWidth="1"/>
    <col min="99" max="99" width="24" customWidth="1"/>
    <col min="101" max="101" width="22.6640625" customWidth="1"/>
    <col min="102" max="102" width="18.83203125" customWidth="1"/>
    <col min="103" max="103" width="17.83203125" customWidth="1"/>
    <col min="111" max="111" width="22.83203125" customWidth="1"/>
    <col min="113" max="113" width="17" customWidth="1"/>
    <col min="114" max="114" width="18.5" customWidth="1"/>
    <col min="115" max="115" width="20.5" customWidth="1"/>
    <col min="116" max="116" width="16.1640625" customWidth="1"/>
    <col min="117" max="117" width="25.6640625" customWidth="1"/>
    <col min="118" max="118" width="17.83203125" customWidth="1"/>
    <col min="119" max="119" width="18.83203125" customWidth="1"/>
    <col min="120" max="120" width="16.33203125" customWidth="1"/>
  </cols>
  <sheetData>
    <row r="1" spans="1:125" ht="12" thickBot="1" x14ac:dyDescent="0.25">
      <c r="A1" s="49"/>
      <c r="B1" s="50" t="s">
        <v>7</v>
      </c>
      <c r="C1" s="50" t="s">
        <v>1</v>
      </c>
      <c r="D1" s="50" t="s">
        <v>91</v>
      </c>
      <c r="E1" s="50"/>
      <c r="F1" s="50"/>
      <c r="G1" s="50"/>
      <c r="H1" s="50"/>
      <c r="I1" s="50"/>
      <c r="J1" s="50"/>
      <c r="K1" s="50"/>
      <c r="L1" s="51"/>
      <c r="Q1">
        <v>17</v>
      </c>
      <c r="S1" s="102">
        <f ca="1">OFFSET(Sheet9!E1,0,$Q$1)</f>
        <v>42759</v>
      </c>
      <c r="U1" s="168"/>
      <c r="V1" s="168"/>
      <c r="W1" s="102"/>
      <c r="X1" t="b">
        <f ca="1">_xll.qlSettingsSetEvaluationDate(Y1)</f>
        <v>1</v>
      </c>
      <c r="Y1" s="145">
        <f ca="1">S1</f>
        <v>42759</v>
      </c>
      <c r="AB1" s="105" t="s">
        <v>222</v>
      </c>
      <c r="AC1" s="145">
        <v>42643</v>
      </c>
      <c r="AF1" s="49"/>
      <c r="AG1" s="50" t="s">
        <v>7</v>
      </c>
      <c r="AH1" s="50" t="s">
        <v>1</v>
      </c>
      <c r="AI1" s="50" t="s">
        <v>91</v>
      </c>
      <c r="AJ1" s="50"/>
      <c r="AK1" s="50"/>
      <c r="AL1" s="50"/>
      <c r="AM1" s="50"/>
      <c r="AN1" s="50"/>
      <c r="AO1" s="50"/>
      <c r="AP1" s="50"/>
      <c r="AQ1" s="51"/>
      <c r="AX1" s="102">
        <f>AW2</f>
        <v>42761</v>
      </c>
      <c r="BC1" t="e">
        <f t="array" ref="BC1:BC16">_xll.qlYieldTSDiscount("XBS",AX1:AX16,,#REF!)</f>
        <v>#NUM!</v>
      </c>
      <c r="BD1" t="e">
        <f t="array" ref="BD1:BD16">_xll.qlYieldTSDiscount("OIS",AX1:AX16,,#REF!)</f>
        <v>#NUM!</v>
      </c>
      <c r="BI1" s="3" t="s">
        <v>55</v>
      </c>
      <c r="BJ1" s="5" t="s">
        <v>7</v>
      </c>
      <c r="BK1" s="3" t="s">
        <v>1</v>
      </c>
      <c r="BL1" s="4" t="s">
        <v>47</v>
      </c>
      <c r="BM1" s="4" t="s">
        <v>48</v>
      </c>
      <c r="BN1" s="4" t="s">
        <v>12</v>
      </c>
      <c r="BO1" s="4" t="s">
        <v>49</v>
      </c>
      <c r="BP1" s="4" t="s">
        <v>50</v>
      </c>
      <c r="BQ1" s="4" t="s">
        <v>4</v>
      </c>
      <c r="BR1" s="4" t="s">
        <v>51</v>
      </c>
      <c r="BS1" s="4" t="s">
        <v>52</v>
      </c>
      <c r="BT1" s="4" t="s">
        <v>21</v>
      </c>
      <c r="BU1" s="4" t="s">
        <v>53</v>
      </c>
      <c r="BV1" s="4" t="s">
        <v>54</v>
      </c>
      <c r="BW1" s="4" t="s">
        <v>5</v>
      </c>
      <c r="BX1" s="5" t="s">
        <v>6</v>
      </c>
      <c r="BZ1" s="3" t="s">
        <v>55</v>
      </c>
      <c r="CA1" s="5" t="s">
        <v>7</v>
      </c>
      <c r="CB1" s="3" t="s">
        <v>1</v>
      </c>
      <c r="CC1" s="4" t="s">
        <v>47</v>
      </c>
      <c r="CD1" s="4" t="s">
        <v>48</v>
      </c>
      <c r="CE1" s="4" t="s">
        <v>12</v>
      </c>
      <c r="CF1" s="4" t="s">
        <v>49</v>
      </c>
      <c r="CG1" s="4" t="s">
        <v>50</v>
      </c>
      <c r="CH1" s="4" t="s">
        <v>4</v>
      </c>
      <c r="CI1" s="4" t="s">
        <v>51</v>
      </c>
      <c r="CJ1" s="4" t="s">
        <v>52</v>
      </c>
      <c r="CK1" s="4" t="s">
        <v>21</v>
      </c>
      <c r="CL1" s="4" t="s">
        <v>53</v>
      </c>
      <c r="CM1" s="4" t="s">
        <v>54</v>
      </c>
      <c r="CN1" s="4" t="s">
        <v>5</v>
      </c>
      <c r="CO1" s="5" t="s">
        <v>6</v>
      </c>
      <c r="CQ1" s="3" t="s">
        <v>37</v>
      </c>
      <c r="CR1" s="5" t="s">
        <v>7</v>
      </c>
      <c r="CS1" s="3" t="s">
        <v>1</v>
      </c>
      <c r="CT1" s="4" t="s">
        <v>28</v>
      </c>
      <c r="CU1" s="4" t="s">
        <v>29</v>
      </c>
      <c r="CV1" s="4" t="s">
        <v>30</v>
      </c>
      <c r="CW1" s="4" t="s">
        <v>3</v>
      </c>
      <c r="CX1" s="4" t="s">
        <v>31</v>
      </c>
      <c r="CY1" s="4" t="s">
        <v>32</v>
      </c>
      <c r="CZ1" s="4" t="s">
        <v>33</v>
      </c>
      <c r="DA1" s="4" t="s">
        <v>34</v>
      </c>
      <c r="DB1" s="4" t="s">
        <v>35</v>
      </c>
      <c r="DC1" s="4" t="s">
        <v>36</v>
      </c>
      <c r="DD1" s="4" t="s">
        <v>5</v>
      </c>
      <c r="DE1" s="5" t="s">
        <v>6</v>
      </c>
      <c r="DG1" s="3" t="s">
        <v>37</v>
      </c>
      <c r="DH1" s="5" t="s">
        <v>7</v>
      </c>
      <c r="DI1" s="3" t="s">
        <v>1</v>
      </c>
      <c r="DJ1" s="4" t="s">
        <v>28</v>
      </c>
      <c r="DK1" s="4" t="s">
        <v>29</v>
      </c>
      <c r="DL1" s="4" t="s">
        <v>30</v>
      </c>
      <c r="DM1" s="4" t="s">
        <v>3</v>
      </c>
      <c r="DN1" s="4" t="s">
        <v>31</v>
      </c>
      <c r="DO1" s="4" t="s">
        <v>32</v>
      </c>
      <c r="DP1" s="4" t="s">
        <v>33</v>
      </c>
      <c r="DQ1" s="4" t="s">
        <v>34</v>
      </c>
      <c r="DR1" s="4" t="s">
        <v>35</v>
      </c>
      <c r="DS1" s="4" t="s">
        <v>36</v>
      </c>
      <c r="DT1" s="4" t="s">
        <v>5</v>
      </c>
      <c r="DU1" s="5" t="s">
        <v>6</v>
      </c>
    </row>
    <row r="2" spans="1:125" ht="13.5" thickBot="1" x14ac:dyDescent="0.25">
      <c r="A2" s="52" t="str">
        <f>_xll.qlDepositRateHelper2(C2,D2,E2,F2,G2,H2,I2,J2)</f>
        <v>EO6M_DepoON#0005</v>
      </c>
      <c r="B2" s="53" t="str">
        <f>_xll.ohRangeRetrieveError(A2)</f>
        <v/>
      </c>
      <c r="C2" s="54" t="str">
        <f>"EO6M_DepoON"</f>
        <v>EO6M_DepoON</v>
      </c>
      <c r="D2" s="55">
        <f>_xll.qlQuoteValue(T2)</f>
        <v>-4.0999999999999995E-3</v>
      </c>
      <c r="E2" s="54" t="s">
        <v>92</v>
      </c>
      <c r="F2" s="56">
        <v>0</v>
      </c>
      <c r="G2" s="56" t="s">
        <v>10</v>
      </c>
      <c r="H2" s="54" t="s">
        <v>26</v>
      </c>
      <c r="I2" s="56" t="b">
        <v>1</v>
      </c>
      <c r="J2" s="56" t="s">
        <v>14</v>
      </c>
      <c r="K2" s="55"/>
      <c r="L2" s="57"/>
      <c r="N2" t="str">
        <f>_xll.qlDepositRateHelper2(O2,D2,E2,F2,G2,H2,I2,J2)</f>
        <v>EURIB_DepoON#0005</v>
      </c>
      <c r="O2" s="52" t="str">
        <f>"EURIB_DepoON"</f>
        <v>EURIB_DepoON</v>
      </c>
      <c r="Q2" t="s">
        <v>92</v>
      </c>
      <c r="S2">
        <f>VLOOKUP(C2,Sheet9!$F:AR,'EUR RateHelpers'!$Q$1,FALSE)</f>
        <v>-0.41</v>
      </c>
      <c r="T2" t="str">
        <f>_xll.qlSimpleQuote(O2&amp;"_Quote",S2/100,0.0001)</f>
        <v>EURIB_DepoON_Quote#0005</v>
      </c>
      <c r="U2" s="167"/>
      <c r="V2" s="167"/>
      <c r="X2" s="4" t="s">
        <v>8</v>
      </c>
      <c r="Y2" s="14">
        <f>_xll.qlSettingsEvaluationDate()</f>
        <v>42759</v>
      </c>
      <c r="AB2" t="s">
        <v>97</v>
      </c>
      <c r="AC2">
        <f>VLOOKUP(AH2,Sheet9!$F:AR,'EUR RateHelpers'!$Q$1,FALSE)*100</f>
        <v>-37.230200000000004</v>
      </c>
      <c r="AD2" t="str">
        <f>_xll.qlSimpleQuote(AH2&amp;"_Quote",AI2,0.0001)</f>
        <v>XBS_SWAP3M_Quote#0005</v>
      </c>
      <c r="AE2">
        <f>_xll.qlQuoteValue(AD2)</f>
        <v>-1.1507947383611768E-2</v>
      </c>
      <c r="AF2" s="58" t="str">
        <f>_xll.qlSwapRateHelper2(AH2,AE2,,AJ2,AK2,AL2,AM2,AN2,AO2,AP2,AQ2)</f>
        <v>XBS_SWAP3M#0005</v>
      </c>
      <c r="AG2" s="59" t="str">
        <f>_xll.ohRangeRetrieveError(AF2)</f>
        <v/>
      </c>
      <c r="AH2" s="60" t="str">
        <f>"XBS_SWAP"&amp;AJ2</f>
        <v>XBS_SWAP3M</v>
      </c>
      <c r="AI2" s="61">
        <v>-1.1507947383611768E-2</v>
      </c>
      <c r="AJ2" s="72" t="str">
        <f>AB2</f>
        <v>3M</v>
      </c>
      <c r="AK2" s="62" t="s">
        <v>98</v>
      </c>
      <c r="AL2" s="62" t="s">
        <v>0</v>
      </c>
      <c r="AM2" s="60" t="s">
        <v>39</v>
      </c>
      <c r="AN2" s="62" t="s">
        <v>14</v>
      </c>
      <c r="AO2" s="62" t="str">
        <f>'Passive Indexes'!B$18</f>
        <v>obj_000aa#0005</v>
      </c>
      <c r="AP2" s="61">
        <v>0</v>
      </c>
      <c r="AQ2" s="63" t="s">
        <v>100</v>
      </c>
      <c r="AR2" s="62" t="s">
        <v>179</v>
      </c>
      <c r="AS2" t="e">
        <f>_xll.qlSwapRateHelper2(AT22,AI2,AJ2,AK2,AL2,AM2,AN2,AO2,AP2,AQ2)</f>
        <v>#NUM!</v>
      </c>
      <c r="AT2" s="2">
        <f>AY2-AI2</f>
        <v>1.0127947383611769E-2</v>
      </c>
      <c r="AV2" s="1" t="e">
        <f>(AZ2-BM2*(BC$1-BC2))-(BA2-CD2*(BD$1-BD2))</f>
        <v>#NUM!</v>
      </c>
      <c r="AW2" s="102">
        <f>_xll.qlRateHelperEarliestDate(AF2)</f>
        <v>42761</v>
      </c>
      <c r="AX2" s="102">
        <f>_xll.qlRateHelperMaturityDate(AF2)</f>
        <v>42851</v>
      </c>
      <c r="AY2" s="61">
        <v>-1.3800000000000002E-3</v>
      </c>
      <c r="AZ2" s="1" t="e">
        <f>_xll.qlLegNPV(BI2,"XBS")</f>
        <v>#NUM!</v>
      </c>
      <c r="BA2" s="1" t="e">
        <f>_xll.qlLegNPV(BZ2,"OIS")</f>
        <v>#VALUE!</v>
      </c>
      <c r="BC2" t="e">
        <v>#NUM!</v>
      </c>
      <c r="BD2" t="e">
        <v>#NUM!</v>
      </c>
      <c r="BI2" s="10" t="str">
        <f>_xll.qlIborLeg(BK2,BL2,BM2,BN2,BO2,BP2,BQ2,BR2,BS2,BT2,BU2,BV2,BW2,BX2)</f>
        <v>obj_0027c#0004</v>
      </c>
      <c r="BJ2" s="11" t="str">
        <f>_xll.ohRangeRetrieveError(BI2)</f>
        <v/>
      </c>
      <c r="BK2" s="6"/>
      <c r="BL2" s="7" t="s">
        <v>26</v>
      </c>
      <c r="BM2" s="25">
        <v>1000000</v>
      </c>
      <c r="BN2" s="7" t="str">
        <f>CQ2</f>
        <v>XBS_EUR_3M#0005</v>
      </c>
      <c r="BO2" s="7"/>
      <c r="BP2" s="7"/>
      <c r="BQ2" s="7" t="s">
        <v>14</v>
      </c>
      <c r="BR2" s="8"/>
      <c r="BS2" s="7"/>
      <c r="BT2" s="103" t="s">
        <v>993</v>
      </c>
      <c r="BU2" s="8">
        <f>AC2/10000</f>
        <v>-3.7230200000000005E-3</v>
      </c>
      <c r="BV2" s="8"/>
      <c r="BW2" s="7"/>
      <c r="BX2" s="9"/>
      <c r="BZ2" s="10" t="e">
        <f>_xll.qlIborLeg(CB2,CC2,CD2,CE2,CF2,CG2,CH2,CI2,CJ2,CK2,CL2,CM2,CN2,CO2)</f>
        <v>#NUM!</v>
      </c>
      <c r="CA2" s="11" t="str">
        <f ca="1">_xll.ohRangeRetrieveError(BZ2)</f>
        <v>qlIborLeg - ObjectHandler error: attempt to retrieve object with unknown ID 'lo3mproj'</v>
      </c>
      <c r="CB2" s="6"/>
      <c r="CC2" s="7" t="s">
        <v>26</v>
      </c>
      <c r="CD2" s="25">
        <v>1000000</v>
      </c>
      <c r="CE2" s="7" t="str">
        <f>DG2</f>
        <v>XBS_USD_3M#0005</v>
      </c>
      <c r="CF2" s="7"/>
      <c r="CG2" s="7"/>
      <c r="CH2" s="7" t="s">
        <v>14</v>
      </c>
      <c r="CI2" s="8"/>
      <c r="CJ2" s="7"/>
      <c r="CK2" s="103" t="s">
        <v>991</v>
      </c>
      <c r="CL2" s="8"/>
      <c r="CM2" s="8"/>
      <c r="CN2" s="7"/>
      <c r="CO2" s="9"/>
      <c r="CQ2" s="10" t="str">
        <f>_xll.qlSchedule(CS2,CT2,CU2,CV2,CW2,CX2,CY2,CZ2,DA2,DB2,DC2,DD2,DE2)</f>
        <v>XBS_EUR_3M#0005</v>
      </c>
      <c r="CR2" s="11" t="str">
        <f>_xll.ohRangeRetrieveError(CQ2)</f>
        <v/>
      </c>
      <c r="CS2" s="104" t="s">
        <v>942</v>
      </c>
      <c r="CT2" s="14">
        <f>_xll.qlRateHelperEarliestDate(AF2)</f>
        <v>42761</v>
      </c>
      <c r="CU2" s="14">
        <f>_xll.qlRateHelperMaturityDate(AF2)</f>
        <v>42851</v>
      </c>
      <c r="CV2" s="103" t="s">
        <v>97</v>
      </c>
      <c r="CW2" s="7" t="s">
        <v>10</v>
      </c>
      <c r="CX2" s="7" t="s">
        <v>39</v>
      </c>
      <c r="CY2" s="7" t="s">
        <v>39</v>
      </c>
      <c r="CZ2" s="7" t="s">
        <v>27</v>
      </c>
      <c r="DA2" s="7"/>
      <c r="DB2" s="14"/>
      <c r="DC2" s="14"/>
      <c r="DD2" s="7"/>
      <c r="DE2" s="9"/>
      <c r="DG2" s="10" t="str">
        <f>_xll.qlSchedule(DI2,DJ2,DK2,DL2,DM2,DN2,DO2,DP2,DQ2,DR2,DS2,DT2,DU2)</f>
        <v>XBS_USD_3M#0005</v>
      </c>
      <c r="DH2" s="11" t="str">
        <f>_xll.ohRangeRetrieveError(DG2)</f>
        <v/>
      </c>
      <c r="DI2" s="104" t="s">
        <v>945</v>
      </c>
      <c r="DJ2" s="14">
        <f>CT2</f>
        <v>42761</v>
      </c>
      <c r="DK2" s="14">
        <f>CU2</f>
        <v>42851</v>
      </c>
      <c r="DL2" s="103" t="s">
        <v>97</v>
      </c>
      <c r="DM2" s="7" t="s">
        <v>10</v>
      </c>
      <c r="DN2" s="7" t="s">
        <v>39</v>
      </c>
      <c r="DO2" s="7" t="s">
        <v>39</v>
      </c>
      <c r="DP2" s="7" t="s">
        <v>27</v>
      </c>
      <c r="DQ2" s="7"/>
      <c r="DR2" s="14"/>
      <c r="DS2" s="14"/>
      <c r="DT2" s="7"/>
      <c r="DU2" s="9"/>
    </row>
    <row r="3" spans="1:125" ht="13.5" thickBot="1" x14ac:dyDescent="0.25">
      <c r="A3" s="58" t="str">
        <f>_xll.qlDepositRateHelper2(C3,D3,E3,F3,G3,H3,I3,J3)</f>
        <v>EO6M_DepoTN#0005</v>
      </c>
      <c r="B3" s="59" t="str">
        <f>_xll.ohRangeRetrieveError(A3)</f>
        <v/>
      </c>
      <c r="C3" s="60" t="str">
        <f>"EO6M_DepoTN"</f>
        <v>EO6M_DepoTN</v>
      </c>
      <c r="D3" s="61">
        <f>_xll.qlQuoteValue(T3)</f>
        <v>-4.0999999999999995E-3</v>
      </c>
      <c r="E3" s="60" t="s">
        <v>92</v>
      </c>
      <c r="F3" s="62">
        <v>1</v>
      </c>
      <c r="G3" s="62" t="s">
        <v>10</v>
      </c>
      <c r="H3" s="60" t="s">
        <v>26</v>
      </c>
      <c r="I3" s="62" t="b">
        <v>1</v>
      </c>
      <c r="J3" s="62" t="s">
        <v>14</v>
      </c>
      <c r="K3" s="61"/>
      <c r="L3" s="63"/>
      <c r="N3" t="str">
        <f>_xll.qlDepositRateHelper2(O3,D3,E3,F3,G3,H3,I3,J3)</f>
        <v>EURIB_DepoTN#0005</v>
      </c>
      <c r="O3" s="58" t="str">
        <f>"EURIB_DepoTN"</f>
        <v>EURIB_DepoTN</v>
      </c>
      <c r="Q3" t="s">
        <v>150</v>
      </c>
      <c r="S3">
        <f>VLOOKUP(C3,Sheet9!$F:AR,'EUR RateHelpers'!$Q$1,FALSE)</f>
        <v>-0.41</v>
      </c>
      <c r="T3" t="str">
        <f>_xll.qlSimpleQuote(O3&amp;"_Quote",S3/100,0.0001)</f>
        <v>EURIB_DepoTN_Quote#0005</v>
      </c>
      <c r="U3" s="167"/>
      <c r="V3" s="167"/>
      <c r="X3" s="46" t="s">
        <v>122</v>
      </c>
      <c r="Y3" s="47" t="s">
        <v>123</v>
      </c>
      <c r="AB3" t="s">
        <v>38</v>
      </c>
      <c r="AC3">
        <f>VLOOKUP(AH3,Sheet9!$F:AR,'EUR RateHelpers'!$Q$1,FALSE)*100</f>
        <v>-40.125</v>
      </c>
      <c r="AD3" t="str">
        <f>_xll.qlSimpleQuote(AH3&amp;"_Quote",AI3,0.0001)</f>
        <v>XBS_SWAP6M_Quote#0005</v>
      </c>
      <c r="AE3">
        <f>_xll.qlQuoteValue(AD3)</f>
        <v>-1.093622099235024E-2</v>
      </c>
      <c r="AF3" s="58" t="str">
        <f>_xll.qlSwapRateHelper2(AH3,AE3,,AJ3,AK3,AL3,AM3,AN3,AO3,AP3,AQ3)</f>
        <v>XBS_SWAP6M#0005</v>
      </c>
      <c r="AG3" s="59" t="str">
        <f>_xll.ohRangeRetrieveError(AF3)</f>
        <v/>
      </c>
      <c r="AH3" s="60" t="str">
        <f t="shared" ref="AH3:AH16" si="0">"XBS_SWAP"&amp;AJ3</f>
        <v>XBS_SWAP6M</v>
      </c>
      <c r="AI3" s="61">
        <v>-1.093622099235024E-2</v>
      </c>
      <c r="AJ3" s="72" t="str">
        <f t="shared" ref="AJ3:AJ16" si="1">AB3</f>
        <v>6M</v>
      </c>
      <c r="AK3" s="62" t="s">
        <v>98</v>
      </c>
      <c r="AL3" s="62" t="s">
        <v>0</v>
      </c>
      <c r="AM3" s="60" t="s">
        <v>39</v>
      </c>
      <c r="AN3" s="62" t="s">
        <v>14</v>
      </c>
      <c r="AO3" s="62" t="str">
        <f>'Passive Indexes'!B$18</f>
        <v>obj_000aa#0005</v>
      </c>
      <c r="AP3" s="61">
        <v>0</v>
      </c>
      <c r="AQ3" s="63" t="s">
        <v>100</v>
      </c>
      <c r="AR3" s="62" t="s">
        <v>179</v>
      </c>
      <c r="AS3" t="e">
        <f>_xll.qlSwapRateHelper2(AT23,AI3,AJ3,AK3,AL3,AM3,AN3,AO3,AP3,AQ3)</f>
        <v>#NUM!</v>
      </c>
      <c r="AT3" s="2">
        <f t="shared" ref="AT3:AT13" si="2">AY3-AI3</f>
        <v>9.8962209923502409E-3</v>
      </c>
      <c r="AV3" s="1" t="e">
        <f t="shared" ref="AV3:AV14" si="3">(AZ3-BM3*(BC$1-BC3))-(BA3-CD3*(BD$1-BD3))</f>
        <v>#NUM!</v>
      </c>
      <c r="AW3" s="102">
        <f>_xll.qlRateHelperEarliestDate(AF3)</f>
        <v>42761</v>
      </c>
      <c r="AX3" s="102">
        <f>_xll.qlRateHelperMaturityDate(AF3)</f>
        <v>42942</v>
      </c>
      <c r="AY3" s="61">
        <v>-1.0399999999999999E-3</v>
      </c>
      <c r="AZ3" s="1" t="e">
        <f>_xll.qlLegNPV(BI3,"XBS")</f>
        <v>#NUM!</v>
      </c>
      <c r="BA3" s="1" t="e">
        <f>_xll.qlLegNPV(BZ3,"OIS")</f>
        <v>#VALUE!</v>
      </c>
      <c r="BC3" t="e">
        <v>#NUM!</v>
      </c>
      <c r="BD3" t="e">
        <v>#NUM!</v>
      </c>
      <c r="BI3" s="10" t="str">
        <f>_xll.qlIborLeg(BK3,BL3,BM3,BN3,BO3,BP3,BQ3,BR3,BS3,BT3,BU3,BV3,BW3,BX3)</f>
        <v>obj_00285#0004</v>
      </c>
      <c r="BJ3" s="11" t="str">
        <f>_xll.ohRangeRetrieveError(BI3)</f>
        <v/>
      </c>
      <c r="BK3" s="6"/>
      <c r="BL3" s="7" t="s">
        <v>26</v>
      </c>
      <c r="BM3" s="25">
        <v>1000000</v>
      </c>
      <c r="BN3" s="7" t="str">
        <f t="shared" ref="BN3:BN12" si="4">CQ3</f>
        <v>XBS_EUR_6M#0005</v>
      </c>
      <c r="BO3" s="7"/>
      <c r="BP3" s="7"/>
      <c r="BQ3" s="7" t="s">
        <v>14</v>
      </c>
      <c r="BR3" s="8"/>
      <c r="BS3" s="7"/>
      <c r="BT3" s="103" t="s">
        <v>993</v>
      </c>
      <c r="BU3" s="8">
        <f t="shared" ref="BU3:BU13" si="5">AC3/10000</f>
        <v>-4.0124999999999996E-3</v>
      </c>
      <c r="BV3" s="8"/>
      <c r="BW3" s="7"/>
      <c r="BX3" s="9"/>
      <c r="BZ3" s="10" t="e">
        <f>_xll.qlIborLeg(CB3,CC3,CD3,CE3,CF3,CG3,CH3,CI3,CJ3,CK3,CL3,CM3,CN3,CO3)</f>
        <v>#NUM!</v>
      </c>
      <c r="CA3" s="11" t="str">
        <f ca="1">_xll.ohRangeRetrieveError(BZ3)</f>
        <v>qlIborLeg - ObjectHandler error: attempt to retrieve object with unknown ID 'lo3mproj'</v>
      </c>
      <c r="CB3" s="6"/>
      <c r="CC3" s="7" t="s">
        <v>26</v>
      </c>
      <c r="CD3" s="25">
        <v>1000000</v>
      </c>
      <c r="CE3" s="7" t="str">
        <f t="shared" ref="CE3:CE13" si="6">DG3</f>
        <v>XBS_USD_6M#0005</v>
      </c>
      <c r="CF3" s="7"/>
      <c r="CG3" s="7"/>
      <c r="CH3" s="7" t="s">
        <v>14</v>
      </c>
      <c r="CI3" s="8"/>
      <c r="CJ3" s="7"/>
      <c r="CK3" s="103" t="s">
        <v>991</v>
      </c>
      <c r="CL3" s="8"/>
      <c r="CM3" s="8"/>
      <c r="CN3" s="7"/>
      <c r="CO3" s="9"/>
      <c r="CQ3" s="10" t="str">
        <f>_xll.qlSchedule(CS3,CT3,CU3,CV3,CW3,CX3,CY3,CZ3,DA3,DB3,DC3,DD3,DE3)</f>
        <v>XBS_EUR_6M#0005</v>
      </c>
      <c r="CR3" s="11" t="str">
        <f>_xll.ohRangeRetrieveError(CQ3)</f>
        <v/>
      </c>
      <c r="CS3" s="104" t="s">
        <v>943</v>
      </c>
      <c r="CT3" s="14">
        <f>_xll.qlRateHelperEarliestDate(AF3)</f>
        <v>42761</v>
      </c>
      <c r="CU3" s="14">
        <f>_xll.qlRateHelperMaturityDate(AF3)</f>
        <v>42942</v>
      </c>
      <c r="CV3" s="103" t="s">
        <v>97</v>
      </c>
      <c r="CW3" s="7" t="s">
        <v>10</v>
      </c>
      <c r="CX3" s="7" t="s">
        <v>39</v>
      </c>
      <c r="CY3" s="7" t="s">
        <v>39</v>
      </c>
      <c r="CZ3" s="7" t="s">
        <v>27</v>
      </c>
      <c r="DA3" s="7"/>
      <c r="DB3" s="14"/>
      <c r="DC3" s="14"/>
      <c r="DD3" s="7"/>
      <c r="DE3" s="9"/>
      <c r="DG3" s="10" t="str">
        <f>_xll.qlSchedule(DI3,DJ3,DK3,DL3,DM3,DN3,DO3,DP3,DQ3,DR3,DS3,DT3,DU3)</f>
        <v>XBS_USD_6M#0005</v>
      </c>
      <c r="DH3" s="11" t="str">
        <f>_xll.ohRangeRetrieveError(DG3)</f>
        <v/>
      </c>
      <c r="DI3" s="104" t="s">
        <v>946</v>
      </c>
      <c r="DJ3" s="14">
        <f t="shared" ref="DJ3:DJ13" si="7">CT3</f>
        <v>42761</v>
      </c>
      <c r="DK3" s="14">
        <f t="shared" ref="DK3:DK13" si="8">CU3</f>
        <v>42942</v>
      </c>
      <c r="DL3" s="103" t="s">
        <v>97</v>
      </c>
      <c r="DM3" s="7" t="s">
        <v>10</v>
      </c>
      <c r="DN3" s="7" t="s">
        <v>39</v>
      </c>
      <c r="DO3" s="7" t="s">
        <v>39</v>
      </c>
      <c r="DP3" s="7" t="s">
        <v>27</v>
      </c>
      <c r="DQ3" s="7"/>
      <c r="DR3" s="14"/>
      <c r="DS3" s="14"/>
      <c r="DT3" s="7"/>
      <c r="DU3" s="9"/>
    </row>
    <row r="4" spans="1:125" ht="13.5" thickBot="1" x14ac:dyDescent="0.25">
      <c r="A4" s="58" t="str">
        <f>_xll.qlDepositRateHelper2(C4,D4,E4,F4,G4,H4,I4,J4)</f>
        <v>EO6M_Depo1W#0005</v>
      </c>
      <c r="B4" s="59" t="str">
        <f>_xll.ohRangeRetrieveError(A4)</f>
        <v/>
      </c>
      <c r="C4" s="60" t="str">
        <f t="shared" ref="C4:C9" si="9">"EO6M_Depo"&amp;E4</f>
        <v>EO6M_Depo1W</v>
      </c>
      <c r="D4" s="61">
        <f>_xll.qlQuoteValue(T4)</f>
        <v>-3.79E-3</v>
      </c>
      <c r="E4" s="60" t="s">
        <v>93</v>
      </c>
      <c r="F4" s="62">
        <v>2</v>
      </c>
      <c r="G4" s="62" t="s">
        <v>10</v>
      </c>
      <c r="H4" s="60" t="s">
        <v>26</v>
      </c>
      <c r="I4" s="62" t="b">
        <v>1</v>
      </c>
      <c r="J4" s="62" t="s">
        <v>14</v>
      </c>
      <c r="K4" s="61"/>
      <c r="L4" s="63"/>
      <c r="N4" t="str">
        <f>_xll.qlDepositRateHelper2(O4,D4,E4,F4,G4,H4,I4,J4)</f>
        <v>EURIB_Depo1W#0005</v>
      </c>
      <c r="O4" s="58" t="str">
        <f t="shared" ref="O4:O9" si="10">"EURIB_Depo"&amp;Q4</f>
        <v>EURIB_Depo1W</v>
      </c>
      <c r="Q4" t="s">
        <v>93</v>
      </c>
      <c r="S4">
        <f>VLOOKUP(C4,Sheet9!$F:AR,'EUR RateHelpers'!$Q$1,FALSE)</f>
        <v>-0.379</v>
      </c>
      <c r="T4" t="str">
        <f>_xll.qlSimpleQuote(O4&amp;"_Quote",S4/100,0.0001)</f>
        <v>EURIB_Depo1W_Quote#0005</v>
      </c>
      <c r="U4" s="167"/>
      <c r="V4" s="167"/>
      <c r="X4" s="46" t="s">
        <v>124</v>
      </c>
      <c r="Y4" s="47" t="s">
        <v>125</v>
      </c>
      <c r="AB4" t="s">
        <v>152</v>
      </c>
      <c r="AC4">
        <f>VLOOKUP(AH4,Sheet9!$F:AR,'EUR RateHelpers'!$Q$1,FALSE)*100</f>
        <v>-41.580099999999995</v>
      </c>
      <c r="AD4" t="str">
        <f>_xll.qlSimpleQuote(AH4&amp;"_Quote",AI4,0.0001)</f>
        <v>XBS_SWAP9M_Quote#0005</v>
      </c>
      <c r="AE4">
        <f>_xll.qlQuoteValue(AD4)</f>
        <v>-1.0640733715655352E-2</v>
      </c>
      <c r="AF4" s="58" t="str">
        <f>_xll.qlSwapRateHelper2(AH4,AE4,,AJ4,AK4,AL4,AM4,AN4,AO4,AP4,AQ4)</f>
        <v>XBS_SWAP9M#0005</v>
      </c>
      <c r="AG4" s="59" t="str">
        <f>_xll.ohRangeRetrieveError(AF4)</f>
        <v/>
      </c>
      <c r="AH4" s="60" t="str">
        <f t="shared" si="0"/>
        <v>XBS_SWAP9M</v>
      </c>
      <c r="AI4" s="61">
        <v>-1.0640733715655352E-2</v>
      </c>
      <c r="AJ4" s="72" t="str">
        <f t="shared" si="1"/>
        <v>9M</v>
      </c>
      <c r="AK4" s="62" t="s">
        <v>98</v>
      </c>
      <c r="AL4" s="62" t="s">
        <v>0</v>
      </c>
      <c r="AM4" s="60" t="s">
        <v>39</v>
      </c>
      <c r="AN4" s="62" t="s">
        <v>14</v>
      </c>
      <c r="AO4" s="62" t="str">
        <f>'Passive Indexes'!B$18</f>
        <v>obj_000aa#0005</v>
      </c>
      <c r="AP4" s="61">
        <v>0</v>
      </c>
      <c r="AQ4" s="63" t="s">
        <v>100</v>
      </c>
      <c r="AR4" s="62" t="s">
        <v>179</v>
      </c>
      <c r="AS4" t="e">
        <f>_xll.qlSwapRateHelper2(AT24,AI4,AJ4,AK4,AL4,AM4,AN4,AO4,AP4,AQ4)</f>
        <v>#NUM!</v>
      </c>
      <c r="AT4" s="2">
        <f t="shared" si="2"/>
        <v>1.0440733715655352E-2</v>
      </c>
      <c r="AV4" s="1" t="e">
        <f t="shared" si="3"/>
        <v>#NUM!</v>
      </c>
      <c r="AW4" s="102">
        <f>_xll.qlRateHelperEarliestDate(AF4)</f>
        <v>42761</v>
      </c>
      <c r="AX4" s="102">
        <f>_xll.qlRateHelperMaturityDate(AF4)</f>
        <v>43034</v>
      </c>
      <c r="AY4" s="61">
        <v>-2.0000000000000001E-4</v>
      </c>
      <c r="AZ4" s="1" t="e">
        <f>_xll.qlLegNPV(BI4,"XBS")</f>
        <v>#NUM!</v>
      </c>
      <c r="BA4" s="1" t="e">
        <f>_xll.qlLegNPV(BZ4,"OIS")</f>
        <v>#VALUE!</v>
      </c>
      <c r="BC4" t="e">
        <v>#NUM!</v>
      </c>
      <c r="BD4" t="e">
        <v>#NUM!</v>
      </c>
      <c r="BI4" s="10" t="str">
        <f>_xll.qlIborLeg(BK4,BL4,BM4,BN4,BO4,BP4,BQ4,BR4,BS4,BT4,BU4,BV4,BW4,BX4)</f>
        <v>obj_00284#0004</v>
      </c>
      <c r="BJ4" s="11" t="str">
        <f>_xll.ohRangeRetrieveError(BI4)</f>
        <v/>
      </c>
      <c r="BK4" s="6"/>
      <c r="BL4" s="7" t="s">
        <v>26</v>
      </c>
      <c r="BM4" s="25">
        <v>1000000</v>
      </c>
      <c r="BN4" s="7" t="str">
        <f t="shared" si="4"/>
        <v>XBS_EUR_9M#0005</v>
      </c>
      <c r="BO4" s="7"/>
      <c r="BP4" s="7"/>
      <c r="BQ4" s="7" t="s">
        <v>14</v>
      </c>
      <c r="BR4" s="8"/>
      <c r="BS4" s="7"/>
      <c r="BT4" s="103" t="s">
        <v>993</v>
      </c>
      <c r="BU4" s="8">
        <f t="shared" si="5"/>
        <v>-4.1580099999999993E-3</v>
      </c>
      <c r="BV4" s="8"/>
      <c r="BW4" s="7"/>
      <c r="BX4" s="9"/>
      <c r="BZ4" s="10" t="e">
        <f>_xll.qlIborLeg(CB4,CC4,CD4,CE4,CF4,CG4,CH4,CI4,CJ4,CK4,CL4,CM4,CN4,CO4)</f>
        <v>#NUM!</v>
      </c>
      <c r="CA4" s="11" t="str">
        <f ca="1">_xll.ohRangeRetrieveError(BZ4)</f>
        <v>qlIborLeg - ObjectHandler error: attempt to retrieve object with unknown ID 'lo3mproj'</v>
      </c>
      <c r="CB4" s="6"/>
      <c r="CC4" s="7" t="s">
        <v>26</v>
      </c>
      <c r="CD4" s="25">
        <v>1000000</v>
      </c>
      <c r="CE4" s="7" t="str">
        <f t="shared" si="6"/>
        <v>XBS_USD_9M#0005</v>
      </c>
      <c r="CF4" s="7"/>
      <c r="CG4" s="7"/>
      <c r="CH4" s="7" t="s">
        <v>14</v>
      </c>
      <c r="CI4" s="8"/>
      <c r="CJ4" s="7"/>
      <c r="CK4" s="103" t="s">
        <v>991</v>
      </c>
      <c r="CL4" s="8"/>
      <c r="CM4" s="8"/>
      <c r="CN4" s="7"/>
      <c r="CO4" s="9"/>
      <c r="CQ4" s="10" t="str">
        <f>_xll.qlSchedule(CS4,CT4,CU4,CV4,CW4,CX4,CY4,CZ4,DA4,DB4,DC4,DD4,DE4)</f>
        <v>XBS_EUR_9M#0005</v>
      </c>
      <c r="CR4" s="11" t="str">
        <f>_xll.ohRangeRetrieveError(CQ4)</f>
        <v/>
      </c>
      <c r="CS4" s="104" t="s">
        <v>944</v>
      </c>
      <c r="CT4" s="14">
        <f>_xll.qlRateHelperEarliestDate(AF4)</f>
        <v>42761</v>
      </c>
      <c r="CU4" s="14">
        <f>_xll.qlRateHelperMaturityDate(AF4)</f>
        <v>43034</v>
      </c>
      <c r="CV4" s="103" t="s">
        <v>97</v>
      </c>
      <c r="CW4" s="7" t="s">
        <v>10</v>
      </c>
      <c r="CX4" s="7" t="s">
        <v>39</v>
      </c>
      <c r="CY4" s="7" t="s">
        <v>39</v>
      </c>
      <c r="CZ4" s="7" t="s">
        <v>27</v>
      </c>
      <c r="DA4" s="7"/>
      <c r="DB4" s="14"/>
      <c r="DC4" s="14"/>
      <c r="DD4" s="7"/>
      <c r="DE4" s="9"/>
      <c r="DG4" s="10" t="str">
        <f>_xll.qlSchedule(DI4,DJ4,DK4,DL4,DM4,DN4,DO4,DP4,DQ4,DR4,DS4,DT4,DU4)</f>
        <v>XBS_USD_9M#0005</v>
      </c>
      <c r="DH4" s="11" t="str">
        <f>_xll.ohRangeRetrieveError(DG4)</f>
        <v/>
      </c>
      <c r="DI4" s="104" t="s">
        <v>947</v>
      </c>
      <c r="DJ4" s="14">
        <f t="shared" si="7"/>
        <v>42761</v>
      </c>
      <c r="DK4" s="14">
        <f t="shared" si="8"/>
        <v>43034</v>
      </c>
      <c r="DL4" s="103" t="s">
        <v>97</v>
      </c>
      <c r="DM4" s="7" t="s">
        <v>10</v>
      </c>
      <c r="DN4" s="7" t="s">
        <v>39</v>
      </c>
      <c r="DO4" s="7" t="s">
        <v>39</v>
      </c>
      <c r="DP4" s="7" t="s">
        <v>27</v>
      </c>
      <c r="DQ4" s="7"/>
      <c r="DR4" s="14"/>
      <c r="DS4" s="14"/>
      <c r="DT4" s="7"/>
      <c r="DU4" s="9"/>
    </row>
    <row r="5" spans="1:125" ht="13.5" thickBot="1" x14ac:dyDescent="0.25">
      <c r="A5" s="58" t="str">
        <f>_xll.qlDepositRateHelper2(C5,D5,E5,F5,G5,H5,I5,J5)</f>
        <v>EO6M_Depo2W#0005</v>
      </c>
      <c r="B5" s="59" t="str">
        <f>_xll.ohRangeRetrieveError(A5)</f>
        <v/>
      </c>
      <c r="C5" s="60" t="str">
        <f t="shared" si="9"/>
        <v>EO6M_Depo2W</v>
      </c>
      <c r="D5" s="61">
        <f>_xll.qlQuoteValue(T5)</f>
        <v>-3.7199999999999998E-3</v>
      </c>
      <c r="E5" s="60" t="s">
        <v>94</v>
      </c>
      <c r="F5" s="62">
        <v>2</v>
      </c>
      <c r="G5" s="62" t="s">
        <v>10</v>
      </c>
      <c r="H5" s="60" t="s">
        <v>26</v>
      </c>
      <c r="I5" s="62" t="b">
        <v>1</v>
      </c>
      <c r="J5" s="62" t="s">
        <v>14</v>
      </c>
      <c r="K5" s="61"/>
      <c r="L5" s="63"/>
      <c r="N5" t="str">
        <f>_xll.qlDepositRateHelper2(O5,D5,E5,F5,G5,H5,I5,J5)</f>
        <v>EURIB_Depo2W#0005</v>
      </c>
      <c r="O5" s="58" t="str">
        <f t="shared" si="10"/>
        <v>EURIB_Depo2W</v>
      </c>
      <c r="Q5" t="s">
        <v>94</v>
      </c>
      <c r="S5">
        <f>VLOOKUP(C5,Sheet9!$F:AR,'EUR RateHelpers'!$Q$1,FALSE)</f>
        <v>-0.372</v>
      </c>
      <c r="T5" t="str">
        <f>_xll.qlSimpleQuote(O5&amp;"_Quote",S5/100,0.0001)</f>
        <v>EURIB_Depo2W_Quote#0005</v>
      </c>
      <c r="U5" s="167"/>
      <c r="V5" s="167"/>
      <c r="AB5" t="s">
        <v>25</v>
      </c>
      <c r="AC5">
        <f>VLOOKUP(AH5,Sheet9!$F:AR,'EUR RateHelpers'!$Q$1,FALSE)*100</f>
        <v>-45.75</v>
      </c>
      <c r="AD5" t="str">
        <f>_xll.qlSimpleQuote(AH5&amp;"_Quote",AI5,0.0001)</f>
        <v>XBS_SWAP1Y_Quote#0005</v>
      </c>
      <c r="AE5">
        <f>_xll.qlQuoteValue(AD5)</f>
        <v>-1.045825574495127E-2</v>
      </c>
      <c r="AF5" s="58" t="str">
        <f>_xll.qlSwapRateHelper2(AH5,AE5,,AJ5,AK5,AL5,AM5,AN5,AO5,AP5,AQ5)</f>
        <v>XBS_SWAP1Y#0005</v>
      </c>
      <c r="AG5" s="59" t="str">
        <f>_xll.ohRangeRetrieveError(AF5)</f>
        <v/>
      </c>
      <c r="AH5" s="60" t="str">
        <f t="shared" si="0"/>
        <v>XBS_SWAP1Y</v>
      </c>
      <c r="AI5" s="61">
        <v>-1.045825574495127E-2</v>
      </c>
      <c r="AJ5" s="72" t="str">
        <f t="shared" si="1"/>
        <v>1Y</v>
      </c>
      <c r="AK5" s="62" t="s">
        <v>98</v>
      </c>
      <c r="AL5" s="62" t="s">
        <v>0</v>
      </c>
      <c r="AM5" s="60" t="s">
        <v>39</v>
      </c>
      <c r="AN5" s="62" t="s">
        <v>14</v>
      </c>
      <c r="AO5" s="62" t="str">
        <f>'Passive Indexes'!B$18</f>
        <v>obj_000aa#0005</v>
      </c>
      <c r="AP5" s="61">
        <v>0</v>
      </c>
      <c r="AQ5" s="63" t="s">
        <v>100</v>
      </c>
      <c r="AR5" s="62" t="s">
        <v>179</v>
      </c>
      <c r="AS5" t="e">
        <f>_xll.qlSwapRateHelper2(AT25,AI5,AJ5,AK5,AL5,AM5,AN5,AO5,AP5,AQ5)</f>
        <v>#NUM!</v>
      </c>
      <c r="AT5" s="2">
        <f t="shared" si="2"/>
        <v>1.158825574495127E-2</v>
      </c>
      <c r="AV5" s="1" t="e">
        <f t="shared" si="3"/>
        <v>#NUM!</v>
      </c>
      <c r="AW5" s="102">
        <f>_xll.qlRateHelperEarliestDate(AF5)</f>
        <v>42761</v>
      </c>
      <c r="AX5" s="102">
        <f>_xll.qlRateHelperMaturityDate(AF5)</f>
        <v>43126</v>
      </c>
      <c r="AY5" s="61">
        <v>1.1299999999999999E-3</v>
      </c>
      <c r="AZ5" s="1" t="e">
        <f>_xll.qlLegNPV(BI5,"XBS")</f>
        <v>#NUM!</v>
      </c>
      <c r="BA5" s="1" t="e">
        <f>_xll.qlLegNPV(BZ5,"OIS")</f>
        <v>#VALUE!</v>
      </c>
      <c r="BC5" t="e">
        <v>#NUM!</v>
      </c>
      <c r="BD5" t="e">
        <v>#NUM!</v>
      </c>
      <c r="BI5" s="10" t="str">
        <f>_xll.qlIborLeg(BK5,BL5,BM5,BN5,BO5,BP5,BQ5,BR5,BS5,BT5,BU5,BV5,BW5,BX5)</f>
        <v>obj_0027e#0004</v>
      </c>
      <c r="BJ5" s="11" t="str">
        <f>_xll.ohRangeRetrieveError(BI5)</f>
        <v/>
      </c>
      <c r="BK5" s="6"/>
      <c r="BL5" s="7" t="s">
        <v>26</v>
      </c>
      <c r="BM5" s="25">
        <v>1000000</v>
      </c>
      <c r="BN5" s="7" t="str">
        <f t="shared" si="4"/>
        <v>XBS_EUR_1Y#0005</v>
      </c>
      <c r="BO5" s="7"/>
      <c r="BP5" s="7"/>
      <c r="BQ5" s="7" t="s">
        <v>14</v>
      </c>
      <c r="BR5" s="8"/>
      <c r="BS5" s="7"/>
      <c r="BT5" s="103" t="s">
        <v>993</v>
      </c>
      <c r="BU5" s="8">
        <f t="shared" si="5"/>
        <v>-4.5750000000000001E-3</v>
      </c>
      <c r="BV5" s="8"/>
      <c r="BW5" s="7"/>
      <c r="BX5" s="9"/>
      <c r="BZ5" s="10" t="e">
        <f>_xll.qlIborLeg(CB5,CC5,CD5,CE5,CF5,CG5,CH5,CI5,CJ5,CK5,CL5,CM5,CN5,CO5)</f>
        <v>#NUM!</v>
      </c>
      <c r="CA5" s="11" t="str">
        <f ca="1">_xll.ohRangeRetrieveError(BZ5)</f>
        <v>qlIborLeg - ObjectHandler error: attempt to retrieve object with unknown ID 'lo3mproj'</v>
      </c>
      <c r="CB5" s="6"/>
      <c r="CC5" s="7" t="s">
        <v>26</v>
      </c>
      <c r="CD5" s="25">
        <v>1000000</v>
      </c>
      <c r="CE5" s="7" t="str">
        <f t="shared" si="6"/>
        <v>XBS_USD_1Y#0005</v>
      </c>
      <c r="CF5" s="7"/>
      <c r="CG5" s="7"/>
      <c r="CH5" s="7" t="s">
        <v>14</v>
      </c>
      <c r="CI5" s="8"/>
      <c r="CJ5" s="7"/>
      <c r="CK5" s="103" t="s">
        <v>991</v>
      </c>
      <c r="CL5" s="8"/>
      <c r="CM5" s="8"/>
      <c r="CN5" s="7"/>
      <c r="CO5" s="9"/>
      <c r="CQ5" s="10" t="str">
        <f>_xll.qlSchedule(CS5,CT5,CU5,CV5,CW5,CX5,CY5,CZ5,DA5,DB5,DC5,DD5,DE5)</f>
        <v>XBS_EUR_1Y#0005</v>
      </c>
      <c r="CR5" s="11" t="str">
        <f>_xll.ohRangeRetrieveError(CQ5)</f>
        <v/>
      </c>
      <c r="CS5" s="104" t="s">
        <v>224</v>
      </c>
      <c r="CT5" s="14">
        <f>_xll.qlRateHelperEarliestDate(AF5)</f>
        <v>42761</v>
      </c>
      <c r="CU5" s="14">
        <f>_xll.qlRateHelperMaturityDate(AF5)</f>
        <v>43126</v>
      </c>
      <c r="CV5" s="103" t="s">
        <v>97</v>
      </c>
      <c r="CW5" s="7" t="s">
        <v>10</v>
      </c>
      <c r="CX5" s="7" t="s">
        <v>39</v>
      </c>
      <c r="CY5" s="7" t="s">
        <v>39</v>
      </c>
      <c r="CZ5" s="7" t="s">
        <v>27</v>
      </c>
      <c r="DA5" s="7"/>
      <c r="DB5" s="14"/>
      <c r="DC5" s="14"/>
      <c r="DD5" s="7"/>
      <c r="DE5" s="9"/>
      <c r="DG5" s="10" t="str">
        <f>_xll.qlSchedule(DI5,DJ5,DK5,DL5,DM5,DN5,DO5,DP5,DQ5,DR5,DS5,DT5,DU5)</f>
        <v>XBS_USD_1Y#0005</v>
      </c>
      <c r="DH5" s="11" t="str">
        <f>_xll.ohRangeRetrieveError(DG5)</f>
        <v/>
      </c>
      <c r="DI5" s="104" t="s">
        <v>225</v>
      </c>
      <c r="DJ5" s="14">
        <f>CT5</f>
        <v>42761</v>
      </c>
      <c r="DK5" s="14">
        <f t="shared" si="8"/>
        <v>43126</v>
      </c>
      <c r="DL5" s="103" t="s">
        <v>97</v>
      </c>
      <c r="DM5" s="7" t="s">
        <v>10</v>
      </c>
      <c r="DN5" s="7" t="s">
        <v>39</v>
      </c>
      <c r="DO5" s="7" t="s">
        <v>39</v>
      </c>
      <c r="DP5" s="7" t="s">
        <v>27</v>
      </c>
      <c r="DQ5" s="7"/>
      <c r="DR5" s="14"/>
      <c r="DS5" s="14"/>
      <c r="DT5" s="7"/>
      <c r="DU5" s="9"/>
    </row>
    <row r="6" spans="1:125" ht="13.5" thickBot="1" x14ac:dyDescent="0.25">
      <c r="A6" s="58" t="str">
        <f>_xll.qlDepositRateHelper2(C6,D6,E6,F6,G6,H6,I6,J6)</f>
        <v>EO6M_Depo1M#0005</v>
      </c>
      <c r="B6" s="59" t="str">
        <f>_xll.ohRangeRetrieveError(A6)</f>
        <v/>
      </c>
      <c r="C6" s="60" t="str">
        <f t="shared" si="9"/>
        <v>EO6M_Depo1M</v>
      </c>
      <c r="D6" s="61">
        <f>_xll.qlQuoteValue(T6)</f>
        <v>-3.7199999999999998E-3</v>
      </c>
      <c r="E6" s="60" t="s">
        <v>95</v>
      </c>
      <c r="F6" s="62">
        <v>2</v>
      </c>
      <c r="G6" s="62" t="s">
        <v>10</v>
      </c>
      <c r="H6" s="60" t="s">
        <v>39</v>
      </c>
      <c r="I6" s="62" t="b">
        <v>1</v>
      </c>
      <c r="J6" s="62" t="s">
        <v>14</v>
      </c>
      <c r="K6" s="61"/>
      <c r="L6" s="63"/>
      <c r="N6" t="str">
        <f>_xll.qlDepositRateHelper2(O6,D6,E6,F6,G6,H6,I6,J6)</f>
        <v>EURIB_Depo1M#0005</v>
      </c>
      <c r="O6" s="58" t="str">
        <f t="shared" si="10"/>
        <v>EURIB_Depo1M</v>
      </c>
      <c r="Q6" t="s">
        <v>95</v>
      </c>
      <c r="S6">
        <f>VLOOKUP(C6,Sheet9!$F:AR,'EUR RateHelpers'!$Q$1,FALSE)</f>
        <v>-0.372</v>
      </c>
      <c r="T6" t="str">
        <f>_xll.qlSimpleQuote(O6&amp;"_Quote",S6/100,0.0001)</f>
        <v>EURIB_Depo1M_Quote#0005</v>
      </c>
      <c r="U6" s="167"/>
      <c r="V6" s="167"/>
      <c r="AB6" t="s">
        <v>157</v>
      </c>
      <c r="AC6">
        <f>VLOOKUP(AH6,Sheet9!$F:AR,'EUR RateHelpers'!$Q$1,FALSE)*100</f>
        <v>-44.875</v>
      </c>
      <c r="AD6" t="str">
        <f>_xll.qlSimpleQuote(AH6&amp;"_Quote",AI6,0.0001)</f>
        <v>XBS_SWAP2Y_Quote#0005</v>
      </c>
      <c r="AE6">
        <f>_xll.qlQuoteValue(AD6)</f>
        <v>-1.0161862089894731E-2</v>
      </c>
      <c r="AF6" s="58" t="str">
        <f>_xll.qlSwapRateHelper2(AH6,AE6,,AJ6,AK6,AL6,AM6,AN6,AO6,AP6,AQ6)</f>
        <v>XBS_SWAP2Y#0005</v>
      </c>
      <c r="AG6" s="59" t="str">
        <f>_xll.ohRangeRetrieveError(AF6)</f>
        <v/>
      </c>
      <c r="AH6" s="60" t="str">
        <f t="shared" si="0"/>
        <v>XBS_SWAP2Y</v>
      </c>
      <c r="AI6" s="61">
        <v>-1.0161862089894731E-2</v>
      </c>
      <c r="AJ6" s="72" t="str">
        <f t="shared" si="1"/>
        <v>2Y</v>
      </c>
      <c r="AK6" s="62" t="s">
        <v>98</v>
      </c>
      <c r="AL6" s="62" t="s">
        <v>0</v>
      </c>
      <c r="AM6" s="60" t="s">
        <v>39</v>
      </c>
      <c r="AN6" s="62" t="s">
        <v>14</v>
      </c>
      <c r="AO6" s="62" t="str">
        <f>'Passive Indexes'!B$18</f>
        <v>obj_000aa#0005</v>
      </c>
      <c r="AP6" s="61">
        <v>0</v>
      </c>
      <c r="AQ6" s="63" t="s">
        <v>100</v>
      </c>
      <c r="AR6" s="62" t="s">
        <v>179</v>
      </c>
      <c r="AS6" t="e">
        <f>_xll.qlSwapRateHelper2(AT26,AI6,AJ6,AK6,AL6,AM6,AN6,AO6,AP6,AQ6)</f>
        <v>#NUM!</v>
      </c>
      <c r="AT6" s="2">
        <f t="shared" si="2"/>
        <v>1.2851862089894731E-2</v>
      </c>
      <c r="AV6" s="1" t="e">
        <f>(AZ6-BM6*(BC$1-BC6))-(BA6-CD6*(BD$1-BD6))</f>
        <v>#NUM!</v>
      </c>
      <c r="AW6" s="102">
        <f>_xll.qlRateHelperEarliestDate(AF6)</f>
        <v>42761</v>
      </c>
      <c r="AX6" s="102">
        <f>_xll.qlRateHelperMaturityDate(AF6)</f>
        <v>43493</v>
      </c>
      <c r="AY6" s="61">
        <v>2.6900000000000001E-3</v>
      </c>
      <c r="AZ6" s="1" t="e">
        <f>_xll.qlLegNPV(BI6,"XBS")</f>
        <v>#NUM!</v>
      </c>
      <c r="BA6" s="1" t="e">
        <f>_xll.qlLegNPV(BZ6,"OIS")</f>
        <v>#VALUE!</v>
      </c>
      <c r="BC6" t="e">
        <v>#NUM!</v>
      </c>
      <c r="BD6" t="e">
        <v>#NUM!</v>
      </c>
      <c r="BI6" s="10" t="str">
        <f>_xll.qlIborLeg(BK6,BL6,BM6,BN6,BO6,BP6,BQ6,BR6,BS6,BT6,BU6,BV6,BW6,BX6)</f>
        <v>obj_00280#0004</v>
      </c>
      <c r="BJ6" s="11" t="str">
        <f>_xll.ohRangeRetrieveError(BI6)</f>
        <v/>
      </c>
      <c r="BK6" s="6"/>
      <c r="BL6" s="7" t="s">
        <v>26</v>
      </c>
      <c r="BM6" s="25">
        <v>1000000</v>
      </c>
      <c r="BN6" s="7" t="str">
        <f t="shared" si="4"/>
        <v>XBS_EUR_2Y#0005</v>
      </c>
      <c r="BO6" s="7"/>
      <c r="BP6" s="7"/>
      <c r="BQ6" s="7" t="s">
        <v>14</v>
      </c>
      <c r="BR6" s="8"/>
      <c r="BS6" s="7"/>
      <c r="BT6" s="103" t="s">
        <v>993</v>
      </c>
      <c r="BU6" s="8">
        <f t="shared" si="5"/>
        <v>-4.4875000000000002E-3</v>
      </c>
      <c r="BV6" s="8"/>
      <c r="BW6" s="7"/>
      <c r="BX6" s="9"/>
      <c r="BZ6" s="10" t="e">
        <f>_xll.qlIborLeg(CB6,CC6,CD6,CE6,CF6,CG6,CH6,CI6,CJ6,CK6,CL6,CM6,CN6,CO6)</f>
        <v>#NUM!</v>
      </c>
      <c r="CA6" s="11" t="str">
        <f ca="1">_xll.ohRangeRetrieveError(BZ6)</f>
        <v>qlIborLeg - ObjectHandler error: attempt to retrieve object with unknown ID 'lo3mproj'</v>
      </c>
      <c r="CB6" s="6"/>
      <c r="CC6" s="7" t="s">
        <v>26</v>
      </c>
      <c r="CD6" s="25">
        <v>1000000</v>
      </c>
      <c r="CE6" s="7" t="str">
        <f t="shared" si="6"/>
        <v>XBS_USD_2Y#0005</v>
      </c>
      <c r="CF6" s="7"/>
      <c r="CG6" s="7"/>
      <c r="CH6" s="7" t="s">
        <v>14</v>
      </c>
      <c r="CI6" s="8"/>
      <c r="CJ6" s="7"/>
      <c r="CK6" s="103" t="s">
        <v>991</v>
      </c>
      <c r="CL6" s="8"/>
      <c r="CM6" s="8"/>
      <c r="CN6" s="7"/>
      <c r="CO6" s="9"/>
      <c r="CQ6" s="10" t="str">
        <f>_xll.qlSchedule(CS6,CT6,CU6,CV6,CW6,CX6,CY6,CZ6,DA6,DB6,DC6,DD6,DE6)</f>
        <v>XBS_EUR_2Y#0005</v>
      </c>
      <c r="CR6" s="11" t="str">
        <f>_xll.ohRangeRetrieveError(CQ6)</f>
        <v/>
      </c>
      <c r="CS6" s="104" t="s">
        <v>226</v>
      </c>
      <c r="CT6" s="14">
        <f>_xll.qlRateHelperEarliestDate(AF6)</f>
        <v>42761</v>
      </c>
      <c r="CU6" s="14">
        <f>_xll.qlRateHelperMaturityDate(AF6)</f>
        <v>43493</v>
      </c>
      <c r="CV6" s="103" t="s">
        <v>97</v>
      </c>
      <c r="CW6" s="7" t="s">
        <v>10</v>
      </c>
      <c r="CX6" s="7" t="s">
        <v>39</v>
      </c>
      <c r="CY6" s="7" t="s">
        <v>39</v>
      </c>
      <c r="CZ6" s="7" t="s">
        <v>27</v>
      </c>
      <c r="DA6" s="7"/>
      <c r="DB6" s="14"/>
      <c r="DC6" s="14"/>
      <c r="DD6" s="7"/>
      <c r="DE6" s="9"/>
      <c r="DG6" s="10" t="str">
        <f>_xll.qlSchedule(DI6,DJ6,DK6,DL6,DM6,DN6,DO6,DP6,DQ6,DR6,DS6,DT6,DU6)</f>
        <v>XBS_USD_2Y#0005</v>
      </c>
      <c r="DH6" s="11" t="str">
        <f>_xll.ohRangeRetrieveError(DG6)</f>
        <v/>
      </c>
      <c r="DI6" s="104" t="s">
        <v>237</v>
      </c>
      <c r="DJ6" s="14">
        <f t="shared" si="7"/>
        <v>42761</v>
      </c>
      <c r="DK6" s="14">
        <f t="shared" si="8"/>
        <v>43493</v>
      </c>
      <c r="DL6" s="103" t="s">
        <v>97</v>
      </c>
      <c r="DM6" s="7" t="s">
        <v>10</v>
      </c>
      <c r="DN6" s="7" t="s">
        <v>39</v>
      </c>
      <c r="DO6" s="7" t="s">
        <v>39</v>
      </c>
      <c r="DP6" s="7" t="s">
        <v>27</v>
      </c>
      <c r="DQ6" s="7"/>
      <c r="DR6" s="14"/>
      <c r="DS6" s="14"/>
      <c r="DT6" s="7"/>
      <c r="DU6" s="9"/>
    </row>
    <row r="7" spans="1:125" ht="13.5" thickBot="1" x14ac:dyDescent="0.25">
      <c r="A7" s="58" t="str">
        <f>_xll.qlDepositRateHelper2(C7,D7,E7,F7,G7,H7,I7,J7)</f>
        <v>EO6M_Depo2M#0005</v>
      </c>
      <c r="B7" s="59" t="str">
        <f>_xll.ohRangeRetrieveError(A7)</f>
        <v/>
      </c>
      <c r="C7" s="60" t="str">
        <f t="shared" si="9"/>
        <v>EO6M_Depo2M</v>
      </c>
      <c r="D7" s="61">
        <f>_xll.qlQuoteValue(T7)</f>
        <v>-3.3900000000000002E-3</v>
      </c>
      <c r="E7" s="60" t="s">
        <v>96</v>
      </c>
      <c r="F7" s="62">
        <v>2</v>
      </c>
      <c r="G7" s="62" t="s">
        <v>10</v>
      </c>
      <c r="H7" s="60" t="s">
        <v>39</v>
      </c>
      <c r="I7" s="62" t="b">
        <v>1</v>
      </c>
      <c r="J7" s="62" t="s">
        <v>14</v>
      </c>
      <c r="K7" s="61"/>
      <c r="L7" s="63"/>
      <c r="N7" t="str">
        <f>_xll.qlDepositRateHelper2(O7,D7,E7,F7,G7,H7,I7,J7)</f>
        <v>EURIB_Depo2M#0005</v>
      </c>
      <c r="O7" s="58" t="str">
        <f t="shared" si="10"/>
        <v>EURIB_Depo2M</v>
      </c>
      <c r="Q7" t="s">
        <v>96</v>
      </c>
      <c r="S7">
        <f>VLOOKUP(C7,Sheet9!$F:AR,'EUR RateHelpers'!$Q$1,FALSE)</f>
        <v>-0.33900000000000002</v>
      </c>
      <c r="T7" t="str">
        <f>_xll.qlSimpleQuote(O7&amp;"_Quote",S7/100,0.0001)</f>
        <v>EURIB_Depo2M_Quote#0005</v>
      </c>
      <c r="U7" s="167"/>
      <c r="V7" s="167"/>
      <c r="X7" s="105" t="s">
        <v>940</v>
      </c>
      <c r="Y7" s="1" t="e">
        <f>#REF!</f>
        <v>#REF!</v>
      </c>
      <c r="AB7" t="s">
        <v>99</v>
      </c>
      <c r="AC7">
        <f>VLOOKUP(AH7,Sheet9!$F:AR,'EUR RateHelpers'!$Q$1,FALSE)*100</f>
        <v>-44.25</v>
      </c>
      <c r="AD7" t="str">
        <f>_xll.qlSimpleQuote(AH7&amp;"_Quote",AI7,0.0001)</f>
        <v>XBS_SWAP3Y_Quote#0005</v>
      </c>
      <c r="AE7">
        <f>_xll.qlQuoteValue(AD7)</f>
        <v>-9.7623670588737298E-3</v>
      </c>
      <c r="AF7" s="58" t="str">
        <f>_xll.qlSwapRateHelper2(AH7,AE7,,AJ7,AK7,AL7,AM7,AN7,AO7,AP7,AQ7)</f>
        <v>XBS_SWAP3Y#0005</v>
      </c>
      <c r="AG7" s="59" t="str">
        <f>_xll.ohRangeRetrieveError(AF7)</f>
        <v/>
      </c>
      <c r="AH7" s="60" t="str">
        <f t="shared" si="0"/>
        <v>XBS_SWAP3Y</v>
      </c>
      <c r="AI7" s="61">
        <v>-9.7623670588737298E-3</v>
      </c>
      <c r="AJ7" s="72" t="str">
        <f t="shared" si="1"/>
        <v>3Y</v>
      </c>
      <c r="AK7" s="62" t="s">
        <v>98</v>
      </c>
      <c r="AL7" s="62" t="s">
        <v>0</v>
      </c>
      <c r="AM7" s="60" t="s">
        <v>39</v>
      </c>
      <c r="AN7" s="62" t="s">
        <v>14</v>
      </c>
      <c r="AO7" s="62" t="str">
        <f>'Passive Indexes'!B$18</f>
        <v>obj_000aa#0005</v>
      </c>
      <c r="AP7" s="61">
        <v>0</v>
      </c>
      <c r="AQ7" s="63" t="s">
        <v>100</v>
      </c>
      <c r="AR7" s="62" t="s">
        <v>179</v>
      </c>
      <c r="AS7" t="e">
        <f>_xll.qlSwapRateHelper2(AT27,AI7,AJ7,AK7,AL7,AM7,AN7,AO7,AP7,AQ7)</f>
        <v>#NUM!</v>
      </c>
      <c r="AT7" s="2">
        <f t="shared" si="2"/>
        <v>1.5612367058873729E-2</v>
      </c>
      <c r="AV7" s="1" t="e">
        <f t="shared" si="3"/>
        <v>#NUM!</v>
      </c>
      <c r="AW7" s="102">
        <f>_xll.qlRateHelperEarliestDate(AF7)</f>
        <v>42761</v>
      </c>
      <c r="AX7" s="102">
        <f>_xll.qlRateHelperMaturityDate(AF7)</f>
        <v>43857</v>
      </c>
      <c r="AY7" s="61">
        <v>5.8499999999999993E-3</v>
      </c>
      <c r="AZ7" s="1" t="e">
        <f>_xll.qlLegNPV(BI7,"XBS")</f>
        <v>#NUM!</v>
      </c>
      <c r="BA7" s="1" t="e">
        <f>_xll.qlLegNPV(BZ7,"OIS")</f>
        <v>#VALUE!</v>
      </c>
      <c r="BC7" t="e">
        <v>#NUM!</v>
      </c>
      <c r="BD7" t="e">
        <v>#NUM!</v>
      </c>
      <c r="BI7" s="10" t="str">
        <f>_xll.qlIborLeg(BK7,BL7,BM7,BN7,BO7,BP7,BQ7,BR7,BS7,BT7,BU7,BV7,BW7,BX7)</f>
        <v>obj_00281#0004</v>
      </c>
      <c r="BJ7" s="11" t="str">
        <f>_xll.ohRangeRetrieveError(BI7)</f>
        <v/>
      </c>
      <c r="BK7" s="6"/>
      <c r="BL7" s="7" t="s">
        <v>26</v>
      </c>
      <c r="BM7" s="25">
        <v>1000000</v>
      </c>
      <c r="BN7" s="7" t="str">
        <f t="shared" si="4"/>
        <v>XBS_EUR_3Y#0005</v>
      </c>
      <c r="BO7" s="7"/>
      <c r="BP7" s="7"/>
      <c r="BQ7" s="7" t="s">
        <v>14</v>
      </c>
      <c r="BR7" s="8"/>
      <c r="BS7" s="7"/>
      <c r="BT7" s="103" t="s">
        <v>993</v>
      </c>
      <c r="BU7" s="8">
        <f t="shared" si="5"/>
        <v>-4.4250000000000001E-3</v>
      </c>
      <c r="BV7" s="8"/>
      <c r="BW7" s="7"/>
      <c r="BX7" s="9"/>
      <c r="BZ7" s="10" t="e">
        <f>_xll.qlIborLeg(CB7,CC7,CD7,CE7,CF7,CG7,CH7,CI7,CJ7,CK7,CL7,CM7,CN7,CO7)</f>
        <v>#NUM!</v>
      </c>
      <c r="CA7" s="11" t="str">
        <f ca="1">_xll.ohRangeRetrieveError(BZ7)</f>
        <v>qlIborLeg - ObjectHandler error: attempt to retrieve object with unknown ID 'lo3mproj'</v>
      </c>
      <c r="CB7" s="6"/>
      <c r="CC7" s="7" t="s">
        <v>26</v>
      </c>
      <c r="CD7" s="25">
        <v>1000000</v>
      </c>
      <c r="CE7" s="7" t="str">
        <f t="shared" si="6"/>
        <v>XBS_USD_3Y#0005</v>
      </c>
      <c r="CF7" s="7"/>
      <c r="CG7" s="7"/>
      <c r="CH7" s="7" t="s">
        <v>14</v>
      </c>
      <c r="CI7" s="8"/>
      <c r="CJ7" s="7"/>
      <c r="CK7" s="103" t="s">
        <v>991</v>
      </c>
      <c r="CL7" s="8"/>
      <c r="CM7" s="8"/>
      <c r="CN7" s="7"/>
      <c r="CO7" s="9"/>
      <c r="CQ7" s="10" t="str">
        <f>_xll.qlSchedule(CS7,CT7,CU7,CV7,CW7,CX7,CY7,CZ7,DA7,DB7,DC7,DD7,DE7)</f>
        <v>XBS_EUR_3Y#0005</v>
      </c>
      <c r="CR7" s="11" t="str">
        <f>_xll.ohRangeRetrieveError(CQ7)</f>
        <v/>
      </c>
      <c r="CS7" s="104" t="s">
        <v>227</v>
      </c>
      <c r="CT7" s="14">
        <f>_xll.qlRateHelperEarliestDate(AF7)</f>
        <v>42761</v>
      </c>
      <c r="CU7" s="14">
        <f>_xll.qlRateHelperMaturityDate(AF7)</f>
        <v>43857</v>
      </c>
      <c r="CV7" s="103" t="s">
        <v>97</v>
      </c>
      <c r="CW7" s="7" t="s">
        <v>10</v>
      </c>
      <c r="CX7" s="7" t="s">
        <v>39</v>
      </c>
      <c r="CY7" s="7" t="s">
        <v>39</v>
      </c>
      <c r="CZ7" s="7" t="s">
        <v>27</v>
      </c>
      <c r="DA7" s="7"/>
      <c r="DB7" s="14"/>
      <c r="DC7" s="14"/>
      <c r="DD7" s="7"/>
      <c r="DE7" s="9"/>
      <c r="DG7" s="10" t="str">
        <f>_xll.qlSchedule(DI7,DJ7,DK7,DL7,DM7,DN7,DO7,DP7,DQ7,DR7,DS7,DT7,DU7)</f>
        <v>XBS_USD_3Y#0005</v>
      </c>
      <c r="DH7" s="11" t="str">
        <f>_xll.ohRangeRetrieveError(DG7)</f>
        <v/>
      </c>
      <c r="DI7" s="104" t="s">
        <v>238</v>
      </c>
      <c r="DJ7" s="14">
        <f t="shared" si="7"/>
        <v>42761</v>
      </c>
      <c r="DK7" s="14">
        <f t="shared" si="8"/>
        <v>43857</v>
      </c>
      <c r="DL7" s="103" t="s">
        <v>97</v>
      </c>
      <c r="DM7" s="7" t="s">
        <v>10</v>
      </c>
      <c r="DN7" s="7" t="s">
        <v>39</v>
      </c>
      <c r="DO7" s="7" t="s">
        <v>39</v>
      </c>
      <c r="DP7" s="7" t="s">
        <v>27</v>
      </c>
      <c r="DQ7" s="7"/>
      <c r="DR7" s="14"/>
      <c r="DS7" s="14"/>
      <c r="DT7" s="7"/>
      <c r="DU7" s="9"/>
    </row>
    <row r="8" spans="1:125" ht="13.5" thickBot="1" x14ac:dyDescent="0.25">
      <c r="A8" s="58" t="str">
        <f>_xll.qlDepositRateHelper2(C8,D8,E8,F8,G8,H8,I8,J8)</f>
        <v>EO6M_Depo3M#0005</v>
      </c>
      <c r="B8" s="59" t="str">
        <f>_xll.ohRangeRetrieveError(A8)</f>
        <v/>
      </c>
      <c r="C8" s="60" t="str">
        <f t="shared" si="9"/>
        <v>EO6M_Depo3M</v>
      </c>
      <c r="D8" s="61">
        <f>_xll.qlQuoteValue(T8)</f>
        <v>-3.2799999999999999E-3</v>
      </c>
      <c r="E8" s="60" t="s">
        <v>97</v>
      </c>
      <c r="F8" s="62">
        <v>2</v>
      </c>
      <c r="G8" s="62" t="s">
        <v>10</v>
      </c>
      <c r="H8" s="60" t="s">
        <v>39</v>
      </c>
      <c r="I8" s="62" t="b">
        <v>1</v>
      </c>
      <c r="J8" s="62" t="s">
        <v>14</v>
      </c>
      <c r="K8" s="61"/>
      <c r="L8" s="63"/>
      <c r="N8" t="str">
        <f>_xll.qlDepositRateHelper2(O8,D8,E8,F8,G8,H8,I8,J8)</f>
        <v>EURIB_Depo3M#0005</v>
      </c>
      <c r="O8" s="58" t="str">
        <f t="shared" si="10"/>
        <v>EURIB_Depo3M</v>
      </c>
      <c r="Q8" t="s">
        <v>97</v>
      </c>
      <c r="S8">
        <f>VLOOKUP(C8,Sheet9!$F:AR,'EUR RateHelpers'!$Q$1,FALSE)</f>
        <v>-0.32800000000000001</v>
      </c>
      <c r="T8" t="str">
        <f>_xll.qlSimpleQuote(O8&amp;"_Quote",S8/100,0.0001)</f>
        <v>EURIB_Depo3M_Quote#0005</v>
      </c>
      <c r="U8" s="167"/>
      <c r="V8" s="167"/>
      <c r="X8" s="105" t="s">
        <v>221</v>
      </c>
      <c r="Y8" s="1" t="e">
        <f>#REF!</f>
        <v>#REF!</v>
      </c>
      <c r="AB8" t="s">
        <v>101</v>
      </c>
      <c r="AC8">
        <f>VLOOKUP(AH8,Sheet9!$F:AR,'EUR RateHelpers'!$Q$1,FALSE)*100</f>
        <v>-44</v>
      </c>
      <c r="AD8" t="str">
        <f>_xll.qlSimpleQuote(AH8&amp;"_Quote",AI8,0.0001)</f>
        <v>XBS_SWAP4Y_Quote#0005</v>
      </c>
      <c r="AE8">
        <f>_xll.qlQuoteValue(AD8)</f>
        <v>-9.2380837824067395E-3</v>
      </c>
      <c r="AF8" s="58" t="str">
        <f>_xll.qlSwapRateHelper2(AH8,AE8,,AJ8,AK8,AL8,AM8,AN8,AO8,AP8,AQ8)</f>
        <v>XBS_SWAP4Y#0005</v>
      </c>
      <c r="AG8" s="59" t="str">
        <f>_xll.ohRangeRetrieveError(AF8)</f>
        <v/>
      </c>
      <c r="AH8" s="60" t="str">
        <f t="shared" si="0"/>
        <v>XBS_SWAP4Y</v>
      </c>
      <c r="AI8" s="61">
        <v>-9.2380837824067395E-3</v>
      </c>
      <c r="AJ8" s="72" t="str">
        <f t="shared" si="1"/>
        <v>4Y</v>
      </c>
      <c r="AK8" s="62" t="s">
        <v>98</v>
      </c>
      <c r="AL8" s="62" t="s">
        <v>0</v>
      </c>
      <c r="AM8" s="60" t="s">
        <v>39</v>
      </c>
      <c r="AN8" s="62" t="s">
        <v>14</v>
      </c>
      <c r="AO8" s="62" t="str">
        <f>'Passive Indexes'!B$18</f>
        <v>obj_000aa#0005</v>
      </c>
      <c r="AP8" s="61">
        <v>0</v>
      </c>
      <c r="AQ8" s="63" t="s">
        <v>100</v>
      </c>
      <c r="AR8" s="62" t="s">
        <v>179</v>
      </c>
      <c r="AS8" t="e">
        <f>_xll.qlSwapRateHelper2(AT28,AI8,AJ8,AK8,AL8,AM8,AN8,AO8,AP8,AQ8)</f>
        <v>#NUM!</v>
      </c>
      <c r="AT8" s="2">
        <f t="shared" si="2"/>
        <v>1.905808378240674E-2</v>
      </c>
      <c r="AV8" s="1" t="e">
        <f t="shared" si="3"/>
        <v>#NUM!</v>
      </c>
      <c r="AW8" s="102">
        <f>_xll.qlRateHelperEarliestDate(AF8)</f>
        <v>42761</v>
      </c>
      <c r="AX8" s="102">
        <f>_xll.qlRateHelperMaturityDate(AF8)</f>
        <v>44222</v>
      </c>
      <c r="AY8" s="61">
        <v>9.8200000000000006E-3</v>
      </c>
      <c r="AZ8" s="1" t="e">
        <f>_xll.qlLegNPV(BI8,"XBS")</f>
        <v>#NUM!</v>
      </c>
      <c r="BA8" s="1" t="e">
        <f>_xll.qlLegNPV(BZ8,"OIS")</f>
        <v>#VALUE!</v>
      </c>
      <c r="BC8" t="e">
        <v>#NUM!</v>
      </c>
      <c r="BD8" t="e">
        <v>#NUM!</v>
      </c>
      <c r="BI8" s="10" t="str">
        <f>_xll.qlIborLeg(BK8,BL8,BM8,BN8,BO8,BP8,BQ8,BR8,BS8,BT8,BU8,BV8,BW8,BX8)</f>
        <v>obj_00287#0004</v>
      </c>
      <c r="BJ8" s="11" t="str">
        <f>_xll.ohRangeRetrieveError(BI8)</f>
        <v/>
      </c>
      <c r="BK8" s="6"/>
      <c r="BL8" s="7" t="s">
        <v>26</v>
      </c>
      <c r="BM8" s="25">
        <v>1000000</v>
      </c>
      <c r="BN8" s="7" t="str">
        <f t="shared" si="4"/>
        <v>XBS_EUR_4Y#0005</v>
      </c>
      <c r="BO8" s="7"/>
      <c r="BP8" s="7"/>
      <c r="BQ8" s="7" t="s">
        <v>14</v>
      </c>
      <c r="BR8" s="8"/>
      <c r="BS8" s="7"/>
      <c r="BT8" s="103" t="s">
        <v>993</v>
      </c>
      <c r="BU8" s="8">
        <f t="shared" si="5"/>
        <v>-4.4000000000000003E-3</v>
      </c>
      <c r="BV8" s="8"/>
      <c r="BW8" s="7"/>
      <c r="BX8" s="9"/>
      <c r="BZ8" s="10" t="e">
        <f>_xll.qlIborLeg(CB8,CC8,CD8,CE8,CF8,CG8,CH8,CI8,CJ8,CK8,CL8,CM8,CN8,CO8)</f>
        <v>#NUM!</v>
      </c>
      <c r="CA8" s="11" t="str">
        <f ca="1">_xll.ohRangeRetrieveError(BZ8)</f>
        <v>qlIborLeg - ObjectHandler error: attempt to retrieve object with unknown ID 'lo3mproj'</v>
      </c>
      <c r="CB8" s="6"/>
      <c r="CC8" s="7" t="s">
        <v>26</v>
      </c>
      <c r="CD8" s="25">
        <v>1000000</v>
      </c>
      <c r="CE8" s="7" t="str">
        <f t="shared" si="6"/>
        <v>XBS_USD_4Y#0005</v>
      </c>
      <c r="CF8" s="7"/>
      <c r="CG8" s="7"/>
      <c r="CH8" s="7" t="s">
        <v>14</v>
      </c>
      <c r="CI8" s="8"/>
      <c r="CJ8" s="7"/>
      <c r="CK8" s="103" t="s">
        <v>991</v>
      </c>
      <c r="CL8" s="8"/>
      <c r="CM8" s="8"/>
      <c r="CN8" s="7"/>
      <c r="CO8" s="9"/>
      <c r="CQ8" s="10" t="str">
        <f>_xll.qlSchedule(CS8,CT8,CU8,CV8,CW8,CX8,CY8,CZ8,DA8,DB8,DC8,DD8,DE8)</f>
        <v>XBS_EUR_4Y#0005</v>
      </c>
      <c r="CR8" s="11" t="str">
        <f>_xll.ohRangeRetrieveError(CQ8)</f>
        <v/>
      </c>
      <c r="CS8" s="104" t="s">
        <v>228</v>
      </c>
      <c r="CT8" s="14">
        <f>_xll.qlRateHelperEarliestDate(AF8)</f>
        <v>42761</v>
      </c>
      <c r="CU8" s="14">
        <f>_xll.qlRateHelperMaturityDate(AF8)</f>
        <v>44222</v>
      </c>
      <c r="CV8" s="103" t="s">
        <v>97</v>
      </c>
      <c r="CW8" s="7" t="s">
        <v>10</v>
      </c>
      <c r="CX8" s="7" t="s">
        <v>39</v>
      </c>
      <c r="CY8" s="7" t="s">
        <v>39</v>
      </c>
      <c r="CZ8" s="7" t="s">
        <v>27</v>
      </c>
      <c r="DA8" s="7"/>
      <c r="DB8" s="14"/>
      <c r="DC8" s="14"/>
      <c r="DD8" s="7"/>
      <c r="DE8" s="9"/>
      <c r="DG8" s="10" t="str">
        <f>_xll.qlSchedule(DI8,DJ8,DK8,DL8,DM8,DN8,DO8,DP8,DQ8,DR8,DS8,DT8,DU8)</f>
        <v>XBS_USD_4Y#0005</v>
      </c>
      <c r="DH8" s="11" t="str">
        <f>_xll.ohRangeRetrieveError(DG8)</f>
        <v/>
      </c>
      <c r="DI8" s="104" t="s">
        <v>239</v>
      </c>
      <c r="DJ8" s="14">
        <f t="shared" si="7"/>
        <v>42761</v>
      </c>
      <c r="DK8" s="14">
        <f t="shared" si="8"/>
        <v>44222</v>
      </c>
      <c r="DL8" s="103" t="s">
        <v>97</v>
      </c>
      <c r="DM8" s="7" t="s">
        <v>10</v>
      </c>
      <c r="DN8" s="7" t="s">
        <v>39</v>
      </c>
      <c r="DO8" s="7" t="s">
        <v>39</v>
      </c>
      <c r="DP8" s="7" t="s">
        <v>27</v>
      </c>
      <c r="DQ8" s="7"/>
      <c r="DR8" s="14"/>
      <c r="DS8" s="14"/>
      <c r="DT8" s="7"/>
      <c r="DU8" s="9"/>
    </row>
    <row r="9" spans="1:125" ht="13.5" thickBot="1" x14ac:dyDescent="0.25">
      <c r="A9" s="64" t="str">
        <f>_xll.qlDepositRateHelper2(C9,D9,E9,F9,G9,H9,I9,J9)</f>
        <v>EO6M_Depo6M#0005</v>
      </c>
      <c r="B9" s="65" t="str">
        <f>_xll.ohRangeRetrieveError(A9)</f>
        <v/>
      </c>
      <c r="C9" s="66" t="str">
        <f t="shared" si="9"/>
        <v>EO6M_Depo6M</v>
      </c>
      <c r="D9" s="67">
        <f>_xll.qlQuoteValue(T9)</f>
        <v>-2.4199999999999998E-3</v>
      </c>
      <c r="E9" s="66" t="s">
        <v>38</v>
      </c>
      <c r="F9" s="68">
        <v>2</v>
      </c>
      <c r="G9" s="68" t="s">
        <v>10</v>
      </c>
      <c r="H9" s="66" t="s">
        <v>39</v>
      </c>
      <c r="I9" s="68" t="b">
        <v>1</v>
      </c>
      <c r="J9" s="68" t="s">
        <v>14</v>
      </c>
      <c r="K9" s="67"/>
      <c r="L9" s="69"/>
      <c r="N9" t="str">
        <f>_xll.qlDepositRateHelper2(O9,D9,E9,F9,G9,H9,I9,J9)</f>
        <v>EURIB_Depo6M#0005</v>
      </c>
      <c r="O9" s="64" t="str">
        <f t="shared" si="10"/>
        <v>EURIB_Depo6M</v>
      </c>
      <c r="Q9" t="s">
        <v>38</v>
      </c>
      <c r="S9">
        <f>VLOOKUP(C9,Sheet9!$F:AR,'EUR RateHelpers'!$Q$1,FALSE)</f>
        <v>-0.24199999999999999</v>
      </c>
      <c r="T9" t="str">
        <f>_xll.qlSimpleQuote(O9&amp;"_Quote",S9/100,0.0001)</f>
        <v>EURIB_Depo6M_Quote#0005</v>
      </c>
      <c r="U9" s="167"/>
      <c r="V9" s="167"/>
      <c r="Y9" s="166" t="e">
        <f>Y8-Y7</f>
        <v>#REF!</v>
      </c>
      <c r="AB9" t="s">
        <v>102</v>
      </c>
      <c r="AC9">
        <f>VLOOKUP(AH9,Sheet9!$F:AR,'EUR RateHelpers'!$Q$1,FALSE)*100</f>
        <v>-43.875</v>
      </c>
      <c r="AD9" t="str">
        <f>_xll.qlSimpleQuote(AH9&amp;"_Quote",AI9,0.0001)</f>
        <v>XBS_SWAP5Y_Quote#0005</v>
      </c>
      <c r="AE9">
        <f>_xll.qlQuoteValue(AD9)</f>
        <v>-8.6026684096914448E-3</v>
      </c>
      <c r="AF9" s="58" t="str">
        <f>_xll.qlSwapRateHelper2(AH9,AE9,,AJ9,AK9,AL9,AM9,AN9,AO9,AP9,AQ9)</f>
        <v>XBS_SWAP5Y#0005</v>
      </c>
      <c r="AG9" s="59" t="str">
        <f>_xll.ohRangeRetrieveError(AF9)</f>
        <v/>
      </c>
      <c r="AH9" s="60" t="str">
        <f t="shared" si="0"/>
        <v>XBS_SWAP5Y</v>
      </c>
      <c r="AI9" s="61">
        <v>-8.6026684096914448E-3</v>
      </c>
      <c r="AJ9" s="72" t="str">
        <f t="shared" si="1"/>
        <v>5Y</v>
      </c>
      <c r="AK9" s="62" t="s">
        <v>98</v>
      </c>
      <c r="AL9" s="62" t="s">
        <v>0</v>
      </c>
      <c r="AM9" s="60" t="s">
        <v>39</v>
      </c>
      <c r="AN9" s="62" t="s">
        <v>14</v>
      </c>
      <c r="AO9" s="62" t="str">
        <f>'Passive Indexes'!B$18</f>
        <v>obj_000aa#0005</v>
      </c>
      <c r="AP9" s="61">
        <v>0</v>
      </c>
      <c r="AQ9" s="63" t="s">
        <v>100</v>
      </c>
      <c r="AR9" s="62" t="s">
        <v>179</v>
      </c>
      <c r="AS9" t="e">
        <f>_xll.qlSwapRateHelper2(AT29,AI9,AJ9,AK9,AL9,AM9,AN9,AO9,AP9,AQ9)</f>
        <v>#NUM!</v>
      </c>
      <c r="AT9" s="2">
        <f t="shared" si="2"/>
        <v>2.2452668409691443E-2</v>
      </c>
      <c r="AV9" s="1" t="e">
        <f t="shared" si="3"/>
        <v>#NUM!</v>
      </c>
      <c r="AW9" s="102">
        <f>_xll.qlRateHelperEarliestDate(AF9)</f>
        <v>42761</v>
      </c>
      <c r="AX9" s="102">
        <f>_xll.qlRateHelperMaturityDate(AF9)</f>
        <v>44587</v>
      </c>
      <c r="AY9" s="61">
        <v>1.3849999999999999E-2</v>
      </c>
      <c r="AZ9" s="1" t="e">
        <f>_xll.qlLegNPV(BI9,"XBS")</f>
        <v>#NUM!</v>
      </c>
      <c r="BA9" s="1" t="e">
        <f>_xll.qlLegNPV(BZ9,"OIS")</f>
        <v>#VALUE!</v>
      </c>
      <c r="BC9" t="e">
        <v>#NUM!</v>
      </c>
      <c r="BD9" t="e">
        <v>#NUM!</v>
      </c>
      <c r="BI9" s="10" t="str">
        <f>_xll.qlIborLeg(BK9,BL9,BM9,BN9,BO9,BP9,BQ9,BR9,BS9,BT9,BU9,BV9,BW9,BX9)</f>
        <v>obj_00286#0004</v>
      </c>
      <c r="BJ9" s="11" t="str">
        <f>_xll.ohRangeRetrieveError(BI9)</f>
        <v/>
      </c>
      <c r="BK9" s="6"/>
      <c r="BL9" s="7" t="s">
        <v>26</v>
      </c>
      <c r="BM9" s="25">
        <v>1000000</v>
      </c>
      <c r="BN9" s="7" t="str">
        <f t="shared" si="4"/>
        <v>XBS_EUR_5Y#0005</v>
      </c>
      <c r="BO9" s="7"/>
      <c r="BP9" s="7"/>
      <c r="BQ9" s="7" t="s">
        <v>14</v>
      </c>
      <c r="BR9" s="8"/>
      <c r="BS9" s="7"/>
      <c r="BT9" s="103" t="s">
        <v>993</v>
      </c>
      <c r="BU9" s="8">
        <f t="shared" si="5"/>
        <v>-4.3874999999999999E-3</v>
      </c>
      <c r="BV9" s="8"/>
      <c r="BW9" s="7"/>
      <c r="BX9" s="9"/>
      <c r="BZ9" s="10" t="e">
        <f>_xll.qlIborLeg(CB9,CC9,CD9,CE9,CF9,CG9,CH9,CI9,CJ9,CK9,CL9,CM9,CN9,CO9)</f>
        <v>#NUM!</v>
      </c>
      <c r="CA9" s="11" t="str">
        <f ca="1">_xll.ohRangeRetrieveError(BZ9)</f>
        <v>qlIborLeg - ObjectHandler error: attempt to retrieve object with unknown ID 'lo3mproj'</v>
      </c>
      <c r="CB9" s="6"/>
      <c r="CC9" s="7" t="s">
        <v>26</v>
      </c>
      <c r="CD9" s="25">
        <v>1000000</v>
      </c>
      <c r="CE9" s="7" t="str">
        <f t="shared" si="6"/>
        <v>XBS_USD_5Y#0005</v>
      </c>
      <c r="CF9" s="7"/>
      <c r="CG9" s="7"/>
      <c r="CH9" s="7" t="s">
        <v>14</v>
      </c>
      <c r="CI9" s="8"/>
      <c r="CJ9" s="7"/>
      <c r="CK9" s="103" t="s">
        <v>991</v>
      </c>
      <c r="CL9" s="8"/>
      <c r="CM9" s="8"/>
      <c r="CN9" s="7"/>
      <c r="CO9" s="9"/>
      <c r="CQ9" s="10" t="str">
        <f>_xll.qlSchedule(CS9,CT9,CU9,CV9,CW9,CX9,CY9,CZ9,DA9,DB9,DC9,DD9,DE9)</f>
        <v>XBS_EUR_5Y#0005</v>
      </c>
      <c r="CR9" s="11" t="str">
        <f>_xll.ohRangeRetrieveError(CQ9)</f>
        <v/>
      </c>
      <c r="CS9" s="104" t="s">
        <v>229</v>
      </c>
      <c r="CT9" s="14">
        <f>_xll.qlRateHelperEarliestDate(AF9)</f>
        <v>42761</v>
      </c>
      <c r="CU9" s="14">
        <f>_xll.qlRateHelperMaturityDate(AF9)</f>
        <v>44587</v>
      </c>
      <c r="CV9" s="103" t="s">
        <v>97</v>
      </c>
      <c r="CW9" s="7" t="s">
        <v>10</v>
      </c>
      <c r="CX9" s="7" t="s">
        <v>39</v>
      </c>
      <c r="CY9" s="7" t="s">
        <v>39</v>
      </c>
      <c r="CZ9" s="7" t="s">
        <v>27</v>
      </c>
      <c r="DA9" s="7"/>
      <c r="DB9" s="14"/>
      <c r="DC9" s="14"/>
      <c r="DD9" s="7"/>
      <c r="DE9" s="9"/>
      <c r="DG9" s="10" t="str">
        <f>_xll.qlSchedule(DI9,DJ9,DK9,DL9,DM9,DN9,DO9,DP9,DQ9,DR9,DS9,DT9,DU9)</f>
        <v>XBS_USD_5Y#0005</v>
      </c>
      <c r="DH9" s="11" t="str">
        <f>_xll.ohRangeRetrieveError(DG9)</f>
        <v/>
      </c>
      <c r="DI9" s="104" t="s">
        <v>240</v>
      </c>
      <c r="DJ9" s="14">
        <f t="shared" si="7"/>
        <v>42761</v>
      </c>
      <c r="DK9" s="14">
        <f t="shared" si="8"/>
        <v>44587</v>
      </c>
      <c r="DL9" s="103" t="s">
        <v>97</v>
      </c>
      <c r="DM9" s="7" t="s">
        <v>10</v>
      </c>
      <c r="DN9" s="7" t="s">
        <v>39</v>
      </c>
      <c r="DO9" s="7" t="s">
        <v>39</v>
      </c>
      <c r="DP9" s="7" t="s">
        <v>27</v>
      </c>
      <c r="DQ9" s="7"/>
      <c r="DR9" s="14"/>
      <c r="DS9" s="14"/>
      <c r="DT9" s="7"/>
      <c r="DU9" s="9"/>
    </row>
    <row r="10" spans="1:125" ht="13.5" thickBot="1" x14ac:dyDescent="0.25">
      <c r="A10" s="52" t="str">
        <f>_xll.qlFraRateHelper2(C10,D10,E10,F10,2,G10,H10,I10,J10)</f>
        <v>EO6M_FRA1x7#0005</v>
      </c>
      <c r="B10" s="70" t="str">
        <f>_xll.ohRangeRetrieveError(A10)</f>
        <v/>
      </c>
      <c r="C10" s="54" t="s">
        <v>196</v>
      </c>
      <c r="D10" s="2">
        <f>_xll.qlQuoteValue(T10)</f>
        <v>-2.3799999999999997E-3</v>
      </c>
      <c r="E10" s="71" t="s">
        <v>95</v>
      </c>
      <c r="F10" s="56">
        <v>6</v>
      </c>
      <c r="G10" s="56" t="s">
        <v>98</v>
      </c>
      <c r="H10" s="54" t="s">
        <v>39</v>
      </c>
      <c r="I10" s="56" t="b">
        <v>1</v>
      </c>
      <c r="J10" s="56" t="s">
        <v>14</v>
      </c>
      <c r="K10" s="55"/>
      <c r="L10" s="57"/>
      <c r="N10" t="str">
        <f>_xll.qlFraRateHelper2(O10,D10,E10,F10,2,G10,H10,I10,J10)</f>
        <v>EURIB_FRA1x7#0005</v>
      </c>
      <c r="O10" s="52" t="s">
        <v>198</v>
      </c>
      <c r="Q10" t="s">
        <v>95</v>
      </c>
      <c r="R10" t="s">
        <v>151</v>
      </c>
      <c r="S10">
        <f>VLOOKUP(C10,Sheet9!$F:AR,'EUR RateHelpers'!$Q$1,FALSE)</f>
        <v>-0.23799999999999999</v>
      </c>
      <c r="T10" t="str">
        <f>_xll.qlSimpleQuote(O10&amp;"_Quote",S10/100,0.0001)</f>
        <v>EURIB_FRA1x7_Quote#0005</v>
      </c>
      <c r="U10" s="170"/>
      <c r="V10" s="170"/>
      <c r="Y10" s="1"/>
      <c r="AB10" t="s">
        <v>104</v>
      </c>
      <c r="AC10">
        <f>VLOOKUP(AH10,Sheet9!$F:AR,'EUR RateHelpers'!$Q$1,FALSE)*100</f>
        <v>-43.5</v>
      </c>
      <c r="AD10" t="str">
        <f>_xll.qlSimpleQuote(AH10&amp;"_Quote",AI10,0.0001)</f>
        <v>XBS_SWAP7Y_Quote#0005</v>
      </c>
      <c r="AE10">
        <f>_xll.qlQuoteValue(AD10)</f>
        <v>-6.7921570713656721E-3</v>
      </c>
      <c r="AF10" s="58" t="str">
        <f>_xll.qlSwapRateHelper2(AH10,AE10,,AJ10,AK10,AL10,AM10,AN10,AO10,AP10,AQ10)</f>
        <v>XBS_SWAP7Y#0005</v>
      </c>
      <c r="AG10" s="59" t="str">
        <f>_xll.ohRangeRetrieveError(AF10)</f>
        <v/>
      </c>
      <c r="AH10" s="60" t="str">
        <f t="shared" si="0"/>
        <v>XBS_SWAP7Y</v>
      </c>
      <c r="AI10" s="61">
        <v>-6.7921570713656721E-3</v>
      </c>
      <c r="AJ10" s="72" t="str">
        <f t="shared" si="1"/>
        <v>7Y</v>
      </c>
      <c r="AK10" s="62" t="s">
        <v>98</v>
      </c>
      <c r="AL10" s="62" t="s">
        <v>0</v>
      </c>
      <c r="AM10" s="60" t="s">
        <v>39</v>
      </c>
      <c r="AN10" s="62" t="s">
        <v>14</v>
      </c>
      <c r="AO10" s="62" t="str">
        <f>'Passive Indexes'!B$18</f>
        <v>obj_000aa#0005</v>
      </c>
      <c r="AP10" s="61">
        <v>0</v>
      </c>
      <c r="AQ10" s="63" t="s">
        <v>100</v>
      </c>
      <c r="AR10" s="62" t="s">
        <v>179</v>
      </c>
      <c r="AS10" t="e">
        <f>_xll.qlSwapRateHelper2(AT30,AI10,AJ10,AK10,AL10,AM10,AN10,AO10,AP10,AQ10)</f>
        <v>#NUM!</v>
      </c>
      <c r="AT10" s="2">
        <f t="shared" si="2"/>
        <v>2.2422157071365668E-2</v>
      </c>
      <c r="AV10" s="1" t="e">
        <f t="shared" si="3"/>
        <v>#NUM!</v>
      </c>
      <c r="AW10" s="102">
        <f>_xll.qlRateHelperEarliestDate(AF10)</f>
        <v>42761</v>
      </c>
      <c r="AX10" s="102">
        <f>_xll.qlRateHelperMaturityDate(AF10)</f>
        <v>45317</v>
      </c>
      <c r="AY10" s="61">
        <v>1.5629999999999998E-2</v>
      </c>
      <c r="AZ10" s="1" t="e">
        <f>_xll.qlLegNPV(BI10,"XBS")</f>
        <v>#NUM!</v>
      </c>
      <c r="BA10" s="1" t="e">
        <f>_xll.qlLegNPV(BZ10,"OIS")</f>
        <v>#VALUE!</v>
      </c>
      <c r="BC10" t="e">
        <v>#NUM!</v>
      </c>
      <c r="BD10" t="e">
        <v>#NUM!</v>
      </c>
      <c r="BI10" s="10" t="str">
        <f>_xll.qlIborLeg(BK10,BL10,BM10,BN10,BO10,BP10,BQ10,BR10,BS10,BT10,BU10,BV10,BW10,BX10)</f>
        <v>obj_0027f#0004</v>
      </c>
      <c r="BJ10" s="11" t="str">
        <f>_xll.ohRangeRetrieveError(BI10)</f>
        <v/>
      </c>
      <c r="BK10" s="6"/>
      <c r="BL10" s="7" t="s">
        <v>26</v>
      </c>
      <c r="BM10" s="25">
        <v>1000000</v>
      </c>
      <c r="BN10" s="7" t="str">
        <f t="shared" si="4"/>
        <v>XBS_EUR_7Y#0005</v>
      </c>
      <c r="BO10" s="7"/>
      <c r="BP10" s="7"/>
      <c r="BQ10" s="7" t="s">
        <v>14</v>
      </c>
      <c r="BR10" s="8"/>
      <c r="BS10" s="7"/>
      <c r="BT10" s="103" t="s">
        <v>993</v>
      </c>
      <c r="BU10" s="8">
        <f t="shared" si="5"/>
        <v>-4.3499999999999997E-3</v>
      </c>
      <c r="BV10" s="8"/>
      <c r="BW10" s="7"/>
      <c r="BX10" s="9"/>
      <c r="BZ10" s="10" t="e">
        <f>_xll.qlIborLeg(CB10,CC10,CD10,CE10,CF10,CG10,CH10,CI10,CJ10,CK10,CL10,CM10,CN10,CO10)</f>
        <v>#NUM!</v>
      </c>
      <c r="CA10" s="11" t="str">
        <f ca="1">_xll.ohRangeRetrieveError(BZ10)</f>
        <v>qlIborLeg - ObjectHandler error: attempt to retrieve object with unknown ID 'lo3mproj'</v>
      </c>
      <c r="CB10" s="6"/>
      <c r="CC10" s="7" t="s">
        <v>26</v>
      </c>
      <c r="CD10" s="25">
        <v>1000000</v>
      </c>
      <c r="CE10" s="7" t="str">
        <f t="shared" si="6"/>
        <v>XBS_USD_7Y#0005</v>
      </c>
      <c r="CF10" s="7"/>
      <c r="CG10" s="7"/>
      <c r="CH10" s="7" t="s">
        <v>14</v>
      </c>
      <c r="CI10" s="8"/>
      <c r="CJ10" s="7"/>
      <c r="CK10" s="103" t="s">
        <v>991</v>
      </c>
      <c r="CL10" s="8"/>
      <c r="CM10" s="8"/>
      <c r="CN10" s="7"/>
      <c r="CO10" s="9"/>
      <c r="CQ10" s="10" t="str">
        <f>_xll.qlSchedule(CS10,CT10,CU10,CV10,CW10,CX10,CY10,CZ10,DA10,DB10,DC10,DD10,DE10)</f>
        <v>XBS_EUR_7Y#0005</v>
      </c>
      <c r="CR10" s="11" t="str">
        <f>_xll.ohRangeRetrieveError(CQ10)</f>
        <v/>
      </c>
      <c r="CS10" s="104" t="s">
        <v>230</v>
      </c>
      <c r="CT10" s="14">
        <f>_xll.qlRateHelperEarliestDate(AF10)</f>
        <v>42761</v>
      </c>
      <c r="CU10" s="14">
        <f>_xll.qlRateHelperMaturityDate(AF10)</f>
        <v>45317</v>
      </c>
      <c r="CV10" s="103" t="s">
        <v>97</v>
      </c>
      <c r="CW10" s="7" t="s">
        <v>10</v>
      </c>
      <c r="CX10" s="7" t="s">
        <v>39</v>
      </c>
      <c r="CY10" s="7" t="s">
        <v>39</v>
      </c>
      <c r="CZ10" s="7" t="s">
        <v>27</v>
      </c>
      <c r="DA10" s="7"/>
      <c r="DB10" s="14"/>
      <c r="DC10" s="14"/>
      <c r="DD10" s="7"/>
      <c r="DE10" s="9"/>
      <c r="DG10" s="10" t="str">
        <f>_xll.qlSchedule(DI10,DJ10,DK10,DL10,DM10,DN10,DO10,DP10,DQ10,DR10,DS10,DT10,DU10)</f>
        <v>XBS_USD_7Y#0005</v>
      </c>
      <c r="DH10" s="11" t="str">
        <f>_xll.ohRangeRetrieveError(DG10)</f>
        <v/>
      </c>
      <c r="DI10" s="104" t="s">
        <v>241</v>
      </c>
      <c r="DJ10" s="14">
        <f t="shared" si="7"/>
        <v>42761</v>
      </c>
      <c r="DK10" s="14">
        <f t="shared" si="8"/>
        <v>45317</v>
      </c>
      <c r="DL10" s="103" t="s">
        <v>97</v>
      </c>
      <c r="DM10" s="7" t="s">
        <v>10</v>
      </c>
      <c r="DN10" s="7" t="s">
        <v>39</v>
      </c>
      <c r="DO10" s="7" t="s">
        <v>39</v>
      </c>
      <c r="DP10" s="7" t="s">
        <v>27</v>
      </c>
      <c r="DQ10" s="7"/>
      <c r="DR10" s="14"/>
      <c r="DS10" s="14"/>
      <c r="DT10" s="7"/>
      <c r="DU10" s="9"/>
    </row>
    <row r="11" spans="1:125" ht="13.5" thickBot="1" x14ac:dyDescent="0.25">
      <c r="A11" s="58" t="str">
        <f>_xll.qlFraRateHelper2(C11,D11,E11,F11,2,G11,H11,I11,J11)</f>
        <v>EO6M_FRA2x8#0005</v>
      </c>
      <c r="B11" s="73" t="str">
        <f>_xll.ohRangeRetrieveError(A11)</f>
        <v/>
      </c>
      <c r="C11" s="60" t="s">
        <v>197</v>
      </c>
      <c r="D11" s="2">
        <f>_xll.qlQuoteValue(T11)</f>
        <v>-2.33E-3</v>
      </c>
      <c r="E11" s="72" t="s">
        <v>96</v>
      </c>
      <c r="F11" s="62">
        <v>6</v>
      </c>
      <c r="G11" s="62" t="s">
        <v>98</v>
      </c>
      <c r="H11" s="60" t="s">
        <v>39</v>
      </c>
      <c r="I11" s="62" t="b">
        <v>1</v>
      </c>
      <c r="J11" s="62" t="s">
        <v>14</v>
      </c>
      <c r="K11" s="61"/>
      <c r="L11" s="63"/>
      <c r="N11" t="str">
        <f>_xll.qlFraRateHelper2(O11,D11,E11,F11,2,G11,H11,I11,J11)</f>
        <v>EURIB_FRA2x8#0005</v>
      </c>
      <c r="O11" s="58" t="s">
        <v>199</v>
      </c>
      <c r="Q11" t="s">
        <v>96</v>
      </c>
      <c r="R11" t="s">
        <v>136</v>
      </c>
      <c r="S11">
        <f>VLOOKUP(C11,Sheet9!$F:AR,'EUR RateHelpers'!$Q$1,FALSE)</f>
        <v>-0.23300000000000001</v>
      </c>
      <c r="T11" t="str">
        <f>_xll.qlSimpleQuote(O11&amp;"_Quote",S11/100,0.0001)</f>
        <v>EURIB_FRA2x8_Quote#0005</v>
      </c>
      <c r="U11" s="170"/>
      <c r="V11" s="170"/>
      <c r="X11" s="105" t="s">
        <v>940</v>
      </c>
      <c r="Y11" s="1" t="e">
        <f>#REF!</f>
        <v>#REF!</v>
      </c>
      <c r="AB11" t="s">
        <v>79</v>
      </c>
      <c r="AC11">
        <f>VLOOKUP(AH11,Sheet9!$F:AR,'EUR RateHelpers'!$Q$1,FALSE)*100</f>
        <v>-42.375</v>
      </c>
      <c r="AD11" t="str">
        <f>_xll.qlSimpleQuote(AH11&amp;"_Quote",AI11,0.0001)</f>
        <v>XBS_SWAP10Y_Quote#0005</v>
      </c>
      <c r="AE11">
        <f>_xll.qlQuoteValue(AD11)</f>
        <v>-3.5199435064596886E-3</v>
      </c>
      <c r="AF11" s="58" t="str">
        <f>_xll.qlSwapRateHelper2(AH11,AE11,,AJ11,AK11,AL11,AM11,AN11,AO11,AP11,AQ11)</f>
        <v>XBS_SWAP10Y#0005</v>
      </c>
      <c r="AG11" s="59" t="str">
        <f>_xll.ohRangeRetrieveError(AF11)</f>
        <v/>
      </c>
      <c r="AH11" s="60" t="str">
        <f t="shared" si="0"/>
        <v>XBS_SWAP10Y</v>
      </c>
      <c r="AI11" s="61">
        <v>-3.5199435064596886E-3</v>
      </c>
      <c r="AJ11" s="72" t="str">
        <f t="shared" si="1"/>
        <v>10Y</v>
      </c>
      <c r="AK11" s="62" t="s">
        <v>98</v>
      </c>
      <c r="AL11" s="62" t="s">
        <v>0</v>
      </c>
      <c r="AM11" s="60" t="s">
        <v>39</v>
      </c>
      <c r="AN11" s="62" t="s">
        <v>14</v>
      </c>
      <c r="AO11" s="62" t="str">
        <f>'Passive Indexes'!B$18</f>
        <v>obj_000aa#0005</v>
      </c>
      <c r="AP11" s="61">
        <v>0</v>
      </c>
      <c r="AQ11" s="63" t="s">
        <v>100</v>
      </c>
      <c r="AR11" s="62" t="s">
        <v>179</v>
      </c>
      <c r="AS11" t="e">
        <f>_xll.qlSwapRateHelper2(AT31,AI11,AJ11,AK11,AL11,AM11,AN11,AO11,AP11,AQ11)</f>
        <v>#NUM!</v>
      </c>
      <c r="AT11" s="2">
        <f t="shared" si="2"/>
        <v>1.9989943506459686E-2</v>
      </c>
      <c r="AV11" s="1" t="e">
        <f t="shared" si="3"/>
        <v>#NUM!</v>
      </c>
      <c r="AW11" s="102">
        <f>_xll.qlRateHelperEarliestDate(AF11)</f>
        <v>42761</v>
      </c>
      <c r="AX11" s="102">
        <f>_xll.qlRateHelperMaturityDate(AF11)</f>
        <v>46413</v>
      </c>
      <c r="AY11" s="61">
        <v>1.6469999999999999E-2</v>
      </c>
      <c r="AZ11" s="1" t="e">
        <f>_xll.qlLegNPV(BI11,"XBS")</f>
        <v>#NUM!</v>
      </c>
      <c r="BA11" s="1" t="e">
        <f>_xll.qlLegNPV(BZ11,"OIS")</f>
        <v>#VALUE!</v>
      </c>
      <c r="BC11" t="e">
        <v>#NUM!</v>
      </c>
      <c r="BD11" t="e">
        <v>#NUM!</v>
      </c>
      <c r="BI11" s="10" t="str">
        <f>_xll.qlIborLeg(BK11,BL11,BM11,BN11,BO11,BP11,BQ11,BR11,BS11,BT11,BU11,BV11,BW11,BX11)</f>
        <v>obj_0027d#0004</v>
      </c>
      <c r="BJ11" s="11" t="str">
        <f>_xll.ohRangeRetrieveError(BI11)</f>
        <v/>
      </c>
      <c r="BK11" s="6"/>
      <c r="BL11" s="7" t="s">
        <v>26</v>
      </c>
      <c r="BM11" s="25">
        <v>1000000</v>
      </c>
      <c r="BN11" s="7" t="str">
        <f t="shared" si="4"/>
        <v>XBS_EUR_10Y#0005</v>
      </c>
      <c r="BO11" s="7"/>
      <c r="BP11" s="7"/>
      <c r="BQ11" s="7" t="s">
        <v>14</v>
      </c>
      <c r="BR11" s="8"/>
      <c r="BS11" s="7"/>
      <c r="BT11" s="103" t="s">
        <v>993</v>
      </c>
      <c r="BU11" s="8">
        <f t="shared" si="5"/>
        <v>-4.2374999999999999E-3</v>
      </c>
      <c r="BV11" s="8"/>
      <c r="BW11" s="7"/>
      <c r="BX11" s="9"/>
      <c r="BZ11" s="10" t="e">
        <f>_xll.qlIborLeg(CB11,CC11,CD11,CE11,CF11,CG11,CH11,CI11,CJ11,CK11,CL11,CM11,CN11,CO11)</f>
        <v>#NUM!</v>
      </c>
      <c r="CA11" s="11" t="str">
        <f ca="1">_xll.ohRangeRetrieveError(BZ11)</f>
        <v>qlIborLeg - ObjectHandler error: attempt to retrieve object with unknown ID 'lo3mproj'</v>
      </c>
      <c r="CB11" s="6"/>
      <c r="CC11" s="7" t="s">
        <v>26</v>
      </c>
      <c r="CD11" s="25">
        <v>1000000</v>
      </c>
      <c r="CE11" s="7" t="str">
        <f t="shared" si="6"/>
        <v>XBS_USD_10Y#0005</v>
      </c>
      <c r="CF11" s="7"/>
      <c r="CG11" s="7"/>
      <c r="CH11" s="7" t="s">
        <v>14</v>
      </c>
      <c r="CI11" s="8"/>
      <c r="CJ11" s="7"/>
      <c r="CK11" s="103" t="s">
        <v>991</v>
      </c>
      <c r="CL11" s="8"/>
      <c r="CM11" s="8"/>
      <c r="CN11" s="7"/>
      <c r="CO11" s="9"/>
      <c r="CQ11" s="10" t="str">
        <f>_xll.qlSchedule(CS11,CT11,CU11,CV11,CW11,CX11,CY11,CZ11,DA11,DB11,DC11,DD11,DE11)</f>
        <v>XBS_EUR_10Y#0005</v>
      </c>
      <c r="CR11" s="11" t="str">
        <f>_xll.ohRangeRetrieveError(CQ11)</f>
        <v/>
      </c>
      <c r="CS11" s="104" t="s">
        <v>231</v>
      </c>
      <c r="CT11" s="14">
        <f>_xll.qlRateHelperEarliestDate(AF11)</f>
        <v>42761</v>
      </c>
      <c r="CU11" s="14">
        <f>_xll.qlRateHelperMaturityDate(AF11)</f>
        <v>46413</v>
      </c>
      <c r="CV11" s="103" t="s">
        <v>97</v>
      </c>
      <c r="CW11" s="7" t="s">
        <v>10</v>
      </c>
      <c r="CX11" s="7" t="s">
        <v>39</v>
      </c>
      <c r="CY11" s="7" t="s">
        <v>39</v>
      </c>
      <c r="CZ11" s="7" t="s">
        <v>27</v>
      </c>
      <c r="DA11" s="7"/>
      <c r="DB11" s="14"/>
      <c r="DC11" s="14"/>
      <c r="DD11" s="7"/>
      <c r="DE11" s="9"/>
      <c r="DG11" s="10" t="str">
        <f>_xll.qlSchedule(DI11,DJ11,DK11,DL11,DM11,DN11,DO11,DP11,DQ11,DR11,DS11,DT11,DU11)</f>
        <v>XBS_USD_10Y#0005</v>
      </c>
      <c r="DH11" s="11" t="str">
        <f>_xll.ohRangeRetrieveError(DG11)</f>
        <v/>
      </c>
      <c r="DI11" s="104" t="s">
        <v>242</v>
      </c>
      <c r="DJ11" s="14">
        <f t="shared" si="7"/>
        <v>42761</v>
      </c>
      <c r="DK11" s="14">
        <f t="shared" si="8"/>
        <v>46413</v>
      </c>
      <c r="DL11" s="103" t="s">
        <v>97</v>
      </c>
      <c r="DM11" s="7" t="s">
        <v>10</v>
      </c>
      <c r="DN11" s="7" t="s">
        <v>39</v>
      </c>
      <c r="DO11" s="7" t="s">
        <v>39</v>
      </c>
      <c r="DP11" s="7" t="s">
        <v>27</v>
      </c>
      <c r="DQ11" s="7"/>
      <c r="DR11" s="14"/>
      <c r="DS11" s="14"/>
      <c r="DT11" s="7"/>
      <c r="DU11" s="9"/>
    </row>
    <row r="12" spans="1:125" ht="13.5" thickBot="1" x14ac:dyDescent="0.25">
      <c r="A12" s="58" t="str">
        <f>_xll.qlFraRateHelper2(C12,D12,E12,F12,2,G12,H12,I12,J12)</f>
        <v>EO6M_FRA3x9#0005</v>
      </c>
      <c r="B12" s="73" t="str">
        <f>_xll.ohRangeRetrieveError(A12)</f>
        <v/>
      </c>
      <c r="C12" s="60" t="s">
        <v>180</v>
      </c>
      <c r="D12" s="2">
        <f>_xll.qlQuoteValue(T12)</f>
        <v>-2.2599999999999999E-3</v>
      </c>
      <c r="E12" s="72" t="s">
        <v>97</v>
      </c>
      <c r="F12" s="62">
        <v>6</v>
      </c>
      <c r="G12" s="62" t="s">
        <v>98</v>
      </c>
      <c r="H12" s="60" t="s">
        <v>39</v>
      </c>
      <c r="I12" s="62" t="b">
        <v>1</v>
      </c>
      <c r="J12" s="62" t="s">
        <v>14</v>
      </c>
      <c r="K12" s="61"/>
      <c r="L12" s="63"/>
      <c r="N12" t="str">
        <f>_xll.qlFraRateHelper2(O12,D12,E12,F12,2,G12,H12,I12,J12)</f>
        <v>EURIB_FRA3x9#0005</v>
      </c>
      <c r="O12" s="58" t="s">
        <v>186</v>
      </c>
      <c r="Q12" t="s">
        <v>97</v>
      </c>
      <c r="R12" t="s">
        <v>152</v>
      </c>
      <c r="S12">
        <f>VLOOKUP(C12,Sheet9!$F:AR,'EUR RateHelpers'!$Q$1,FALSE)</f>
        <v>-0.22600000000000001</v>
      </c>
      <c r="T12" t="str">
        <f>_xll.qlSimpleQuote(O12&amp;"_Quote",S12/100,0.0001)</f>
        <v>EURIB_FRA3x9_Quote#0005</v>
      </c>
      <c r="U12" s="170"/>
      <c r="V12" s="170"/>
      <c r="X12" s="105" t="s">
        <v>221</v>
      </c>
      <c r="Y12" s="1" t="e">
        <f>#REF!</f>
        <v>#REF!</v>
      </c>
      <c r="AB12" t="s">
        <v>107</v>
      </c>
      <c r="AC12">
        <f>VLOOKUP(AH12,Sheet9!$F:AR,'EUR RateHelpers'!$Q$1,FALSE)*100</f>
        <v>-37.375</v>
      </c>
      <c r="AD12" t="str">
        <f>_xll.qlSimpleQuote(AH12&amp;"_Quote",AI12,0.0001)</f>
        <v>XBS_SWAP15Y_Quote#0005</v>
      </c>
      <c r="AE12">
        <f>_xll.qlQuoteValue(AD12)</f>
        <v>6.9531047548426804E-4</v>
      </c>
      <c r="AF12" s="58" t="str">
        <f>_xll.qlSwapRateHelper2(AH12,AE12,,AJ12,AK12,AL12,AM12,AN12,AO12,AP12,AQ12)</f>
        <v>XBS_SWAP15Y#0005</v>
      </c>
      <c r="AG12" s="59" t="str">
        <f>_xll.ohRangeRetrieveError(AF12)</f>
        <v/>
      </c>
      <c r="AH12" s="60" t="str">
        <f t="shared" si="0"/>
        <v>XBS_SWAP15Y</v>
      </c>
      <c r="AI12" s="61">
        <v>6.9531047548426804E-4</v>
      </c>
      <c r="AJ12" s="72" t="str">
        <f t="shared" si="1"/>
        <v>15Y</v>
      </c>
      <c r="AK12" s="62" t="s">
        <v>98</v>
      </c>
      <c r="AL12" s="62" t="s">
        <v>0</v>
      </c>
      <c r="AM12" s="60" t="s">
        <v>39</v>
      </c>
      <c r="AN12" s="62" t="s">
        <v>14</v>
      </c>
      <c r="AO12" s="62" t="str">
        <f>'Passive Indexes'!B$18</f>
        <v>obj_000aa#0005</v>
      </c>
      <c r="AP12" s="61">
        <v>0</v>
      </c>
      <c r="AQ12" s="63" t="s">
        <v>100</v>
      </c>
      <c r="AR12" s="62" t="s">
        <v>179</v>
      </c>
      <c r="AS12" t="e">
        <f>_xll.qlSwapRateHelper2(AT32,AI12,AJ12,AK12,AL12,AM12,AN12,AO12,AP12,AQ12)</f>
        <v>#NUM!</v>
      </c>
      <c r="AT12" s="2">
        <f t="shared" si="2"/>
        <v>1.6094689524515732E-2</v>
      </c>
      <c r="AV12" s="1" t="e">
        <f t="shared" si="3"/>
        <v>#NUM!</v>
      </c>
      <c r="AW12" s="102">
        <f>_xll.qlRateHelperEarliestDate(AF12)</f>
        <v>42761</v>
      </c>
      <c r="AX12" s="102">
        <f>_xll.qlRateHelperMaturityDate(AF12)</f>
        <v>48239</v>
      </c>
      <c r="AY12" s="61">
        <v>1.6789999999999999E-2</v>
      </c>
      <c r="AZ12" s="1" t="e">
        <f>_xll.qlLegNPV(BI12,"XBS")</f>
        <v>#NUM!</v>
      </c>
      <c r="BA12" s="1" t="e">
        <f>_xll.qlLegNPV(BZ12,"OIS")</f>
        <v>#VALUE!</v>
      </c>
      <c r="BC12" t="e">
        <v>#NUM!</v>
      </c>
      <c r="BD12" t="e">
        <v>#NUM!</v>
      </c>
      <c r="BI12" s="10" t="str">
        <f>_xll.qlIborLeg(BK12,BL12,BM12,BN12,BO12,BP12,BQ12,BR12,BS12,BT12,BU12,BV12,BW12,BX12)</f>
        <v>obj_00283#0004</v>
      </c>
      <c r="BJ12" s="11" t="str">
        <f>_xll.ohRangeRetrieveError(BI12)</f>
        <v/>
      </c>
      <c r="BK12" s="6"/>
      <c r="BL12" s="7" t="s">
        <v>26</v>
      </c>
      <c r="BM12" s="25">
        <v>1000000</v>
      </c>
      <c r="BN12" s="7" t="str">
        <f t="shared" si="4"/>
        <v>XBS_EUR_15Y#0005</v>
      </c>
      <c r="BO12" s="7"/>
      <c r="BP12" s="7"/>
      <c r="BQ12" s="7" t="s">
        <v>14</v>
      </c>
      <c r="BR12" s="8"/>
      <c r="BS12" s="7"/>
      <c r="BT12" s="103" t="s">
        <v>993</v>
      </c>
      <c r="BU12" s="8">
        <f t="shared" si="5"/>
        <v>-3.7374999999999999E-3</v>
      </c>
      <c r="BV12" s="8"/>
      <c r="BW12" s="7"/>
      <c r="BX12" s="9"/>
      <c r="BZ12" s="10" t="e">
        <f>_xll.qlIborLeg(CB12,CC12,CD12,CE12,CF12,CG12,CH12,CI12,CJ12,CK12,CL12,CM12,CN12,CO12)</f>
        <v>#NUM!</v>
      </c>
      <c r="CA12" s="11" t="str">
        <f ca="1">_xll.ohRangeRetrieveError(BZ12)</f>
        <v>qlIborLeg - ObjectHandler error: attempt to retrieve object with unknown ID 'lo3mproj'</v>
      </c>
      <c r="CB12" s="6"/>
      <c r="CC12" s="7" t="s">
        <v>26</v>
      </c>
      <c r="CD12" s="25">
        <v>1000000</v>
      </c>
      <c r="CE12" s="7" t="str">
        <f t="shared" si="6"/>
        <v>XBS_USD_15Y#0005</v>
      </c>
      <c r="CF12" s="7"/>
      <c r="CG12" s="7"/>
      <c r="CH12" s="7" t="s">
        <v>14</v>
      </c>
      <c r="CI12" s="8"/>
      <c r="CJ12" s="7"/>
      <c r="CK12" s="103" t="s">
        <v>991</v>
      </c>
      <c r="CL12" s="8"/>
      <c r="CM12" s="8"/>
      <c r="CN12" s="7"/>
      <c r="CO12" s="9"/>
      <c r="CQ12" s="10" t="str">
        <f>_xll.qlSchedule(CS12,CT12,CU12,CV12,CW12,CX12,CY12,CZ12,DA12,DB12,DC12,DD12,DE12)</f>
        <v>XBS_EUR_15Y#0005</v>
      </c>
      <c r="CR12" s="11" t="str">
        <f>_xll.ohRangeRetrieveError(CQ12)</f>
        <v/>
      </c>
      <c r="CS12" s="104" t="s">
        <v>232</v>
      </c>
      <c r="CT12" s="14">
        <f>_xll.qlRateHelperEarliestDate(AF12)</f>
        <v>42761</v>
      </c>
      <c r="CU12" s="14">
        <f>_xll.qlRateHelperMaturityDate(AF12)</f>
        <v>48239</v>
      </c>
      <c r="CV12" s="103" t="s">
        <v>97</v>
      </c>
      <c r="CW12" s="7" t="s">
        <v>10</v>
      </c>
      <c r="CX12" s="7" t="s">
        <v>39</v>
      </c>
      <c r="CY12" s="7" t="s">
        <v>39</v>
      </c>
      <c r="CZ12" s="7" t="s">
        <v>27</v>
      </c>
      <c r="DA12" s="7"/>
      <c r="DB12" s="14"/>
      <c r="DC12" s="14"/>
      <c r="DD12" s="7"/>
      <c r="DE12" s="9"/>
      <c r="DG12" s="10" t="str">
        <f>_xll.qlSchedule(DI12,DJ12,DK12,DL12,DM12,DN12,DO12,DP12,DQ12,DR12,DS12,DT12,DU12)</f>
        <v>XBS_USD_15Y#0005</v>
      </c>
      <c r="DH12" s="11" t="str">
        <f>_xll.ohRangeRetrieveError(DG12)</f>
        <v/>
      </c>
      <c r="DI12" s="104" t="s">
        <v>243</v>
      </c>
      <c r="DJ12" s="14">
        <f t="shared" si="7"/>
        <v>42761</v>
      </c>
      <c r="DK12" s="14">
        <f t="shared" si="8"/>
        <v>48239</v>
      </c>
      <c r="DL12" s="103" t="s">
        <v>97</v>
      </c>
      <c r="DM12" s="7" t="s">
        <v>10</v>
      </c>
      <c r="DN12" s="7" t="s">
        <v>39</v>
      </c>
      <c r="DO12" s="7" t="s">
        <v>39</v>
      </c>
      <c r="DP12" s="7" t="s">
        <v>27</v>
      </c>
      <c r="DQ12" s="7"/>
      <c r="DR12" s="14"/>
      <c r="DS12" s="14"/>
      <c r="DT12" s="7"/>
      <c r="DU12" s="9"/>
    </row>
    <row r="13" spans="1:125" ht="13.5" thickBot="1" x14ac:dyDescent="0.25">
      <c r="A13" s="58" t="str">
        <f>_xll.qlFraRateHelper2(C13,D13,E13,F13,2,G13,H13,I13,J13)</f>
        <v>EO6M_FRA4x10#0005</v>
      </c>
      <c r="B13" s="73" t="str">
        <f>_xll.ohRangeRetrieveError(A13)</f>
        <v/>
      </c>
      <c r="C13" s="60" t="s">
        <v>181</v>
      </c>
      <c r="D13" s="2">
        <f>_xll.qlQuoteValue(T13)</f>
        <v>-2.1800000000000001E-3</v>
      </c>
      <c r="E13" s="72" t="s">
        <v>153</v>
      </c>
      <c r="F13" s="62">
        <v>6</v>
      </c>
      <c r="G13" s="62" t="s">
        <v>98</v>
      </c>
      <c r="H13" s="60" t="s">
        <v>39</v>
      </c>
      <c r="I13" s="62" t="b">
        <v>1</v>
      </c>
      <c r="J13" s="62" t="s">
        <v>14</v>
      </c>
      <c r="K13" s="61"/>
      <c r="L13" s="63"/>
      <c r="N13" t="str">
        <f>_xll.qlFraRateHelper2(O13,D13,E13,F13,2,G13,H13,I13,J13)</f>
        <v>EURIB_FRA4x10#0005</v>
      </c>
      <c r="O13" s="58" t="s">
        <v>187</v>
      </c>
      <c r="Q13" t="s">
        <v>153</v>
      </c>
      <c r="R13" t="s">
        <v>154</v>
      </c>
      <c r="S13">
        <f>VLOOKUP(C13,Sheet9!$F:AR,'EUR RateHelpers'!$Q$1,FALSE)</f>
        <v>-0.218</v>
      </c>
      <c r="T13" t="str">
        <f>_xll.qlSimpleQuote(O13&amp;"_Quote",S13/100,0.0001)</f>
        <v>EURIB_FRA4x10_Quote#0005</v>
      </c>
      <c r="U13" s="170"/>
      <c r="V13" s="170"/>
      <c r="X13" s="1"/>
      <c r="Y13" s="166" t="e">
        <f>Y12-Y11</f>
        <v>#REF!</v>
      </c>
      <c r="AB13" t="s">
        <v>108</v>
      </c>
      <c r="AC13">
        <f>VLOOKUP(AH13,Sheet9!$F:AR,'EUR RateHelpers'!$Q$1,FALSE)*100</f>
        <v>-31.75</v>
      </c>
      <c r="AD13" t="str">
        <f>_xll.qlSimpleQuote(AH13&amp;"_Quote",AI13,0.0001)</f>
        <v>XBS_SWAP20Y_Quote#0005</v>
      </c>
      <c r="AE13">
        <f>_xll.qlQuoteValue(AD13)</f>
        <v>2.8962720282623379E-3</v>
      </c>
      <c r="AF13" s="58" t="str">
        <f>_xll.qlSwapRateHelper2(AH13,AE13,,AJ13,AK13,AL13,AM13,AN13,AO13,AP13,AQ13)</f>
        <v>XBS_SWAP20Y#0005</v>
      </c>
      <c r="AG13" s="59" t="str">
        <f>_xll.ohRangeRetrieveError(AF13)</f>
        <v/>
      </c>
      <c r="AH13" s="60" t="str">
        <f t="shared" si="0"/>
        <v>XBS_SWAP20Y</v>
      </c>
      <c r="AI13" s="61">
        <v>2.8962720282623379E-3</v>
      </c>
      <c r="AJ13" s="72" t="str">
        <f t="shared" si="1"/>
        <v>20Y</v>
      </c>
      <c r="AK13" s="62" t="s">
        <v>98</v>
      </c>
      <c r="AL13" s="62" t="s">
        <v>0</v>
      </c>
      <c r="AM13" s="60" t="s">
        <v>39</v>
      </c>
      <c r="AN13" s="62" t="s">
        <v>14</v>
      </c>
      <c r="AO13" s="62" t="str">
        <f>'Passive Indexes'!B$18</f>
        <v>obj_000aa#0005</v>
      </c>
      <c r="AP13" s="61">
        <v>0</v>
      </c>
      <c r="AQ13" s="63" t="s">
        <v>100</v>
      </c>
      <c r="AR13" s="62" t="s">
        <v>179</v>
      </c>
      <c r="AS13" t="e">
        <f>_xll.qlSwapRateHelper2(AT33,AI13,AJ13,AK13,AL13,AM13,AN13,AO13,AP13,AQ13)</f>
        <v>#NUM!</v>
      </c>
      <c r="AT13" s="2">
        <f t="shared" si="2"/>
        <v>1.3513727971737662E-2</v>
      </c>
      <c r="AV13" s="1" t="e">
        <f t="shared" si="3"/>
        <v>#NUM!</v>
      </c>
      <c r="AW13" s="102">
        <f>_xll.qlRateHelperEarliestDate(AF13)</f>
        <v>42761</v>
      </c>
      <c r="AX13" s="102">
        <f>_xll.qlRateHelperMaturityDate(AF13)</f>
        <v>50066</v>
      </c>
      <c r="AY13" s="61">
        <v>1.6410000000000001E-2</v>
      </c>
      <c r="AZ13" s="1" t="e">
        <f>_xll.qlLegNPV(BI13,"XBS")</f>
        <v>#NUM!</v>
      </c>
      <c r="BA13" s="1" t="e">
        <f>_xll.qlLegNPV(BZ13,"OIS")</f>
        <v>#VALUE!</v>
      </c>
      <c r="BC13" t="e">
        <v>#NUM!</v>
      </c>
      <c r="BD13" t="e">
        <v>#NUM!</v>
      </c>
      <c r="BI13" s="10" t="str">
        <f>_xll.qlIborLeg(BK13,BL13,BM13,BN13,BO13,BP13,BQ13,BR13,BS13,BT13,BU13,BV13,BW13,BX13)</f>
        <v>obj_00282#0004</v>
      </c>
      <c r="BJ13" s="11" t="str">
        <f>_xll.ohRangeRetrieveError(BI13)</f>
        <v/>
      </c>
      <c r="BK13" s="6"/>
      <c r="BL13" s="7" t="s">
        <v>26</v>
      </c>
      <c r="BM13" s="25">
        <v>1000000</v>
      </c>
      <c r="BN13" s="7" t="str">
        <f>CQ13</f>
        <v>XBS_EUR_20Y#0005</v>
      </c>
      <c r="BO13" s="7"/>
      <c r="BP13" s="7"/>
      <c r="BQ13" s="7" t="s">
        <v>14</v>
      </c>
      <c r="BR13" s="8"/>
      <c r="BS13" s="7"/>
      <c r="BT13" s="103" t="s">
        <v>993</v>
      </c>
      <c r="BU13" s="8">
        <f t="shared" si="5"/>
        <v>-3.1749999999999999E-3</v>
      </c>
      <c r="BV13" s="8"/>
      <c r="BW13" s="7"/>
      <c r="BX13" s="9"/>
      <c r="BZ13" s="10" t="e">
        <f>_xll.qlIborLeg(CB13,CC13,CD13,CE13,CF13,CG13,CH13,CI13,CJ13,CK13,CL13,CM13,CN13,CO13)</f>
        <v>#NUM!</v>
      </c>
      <c r="CA13" s="11" t="str">
        <f ca="1">_xll.ohRangeRetrieveError(BZ13)</f>
        <v>qlIborLeg - ObjectHandler error: attempt to retrieve object with unknown ID 'lo3mproj'</v>
      </c>
      <c r="CB13" s="6"/>
      <c r="CC13" s="7" t="s">
        <v>26</v>
      </c>
      <c r="CD13" s="25">
        <v>1000000</v>
      </c>
      <c r="CE13" s="7" t="str">
        <f t="shared" si="6"/>
        <v>XBS_USD_20Y#0005</v>
      </c>
      <c r="CF13" s="7"/>
      <c r="CG13" s="7"/>
      <c r="CH13" s="7" t="s">
        <v>14</v>
      </c>
      <c r="CI13" s="8"/>
      <c r="CJ13" s="7"/>
      <c r="CK13" s="103" t="s">
        <v>991</v>
      </c>
      <c r="CL13" s="8"/>
      <c r="CM13" s="8"/>
      <c r="CN13" s="7"/>
      <c r="CO13" s="9"/>
      <c r="CQ13" s="10" t="str">
        <f>_xll.qlSchedule(CS13,CT13,CU13,CV13,CW13,CX13,CY13,CZ13,DA13,DB13,DC13,DD13,DE13)</f>
        <v>XBS_EUR_20Y#0005</v>
      </c>
      <c r="CR13" s="11" t="str">
        <f>_xll.ohRangeRetrieveError(CQ13)</f>
        <v/>
      </c>
      <c r="CS13" s="104" t="s">
        <v>233</v>
      </c>
      <c r="CT13" s="14">
        <f>_xll.qlRateHelperEarliestDate(AF13)</f>
        <v>42761</v>
      </c>
      <c r="CU13" s="14">
        <f>_xll.qlRateHelperMaturityDate(AF13)</f>
        <v>50066</v>
      </c>
      <c r="CV13" s="103" t="s">
        <v>97</v>
      </c>
      <c r="CW13" s="7" t="s">
        <v>10</v>
      </c>
      <c r="CX13" s="7" t="s">
        <v>39</v>
      </c>
      <c r="CY13" s="7" t="s">
        <v>39</v>
      </c>
      <c r="CZ13" s="7" t="s">
        <v>27</v>
      </c>
      <c r="DA13" s="7"/>
      <c r="DB13" s="14"/>
      <c r="DC13" s="14"/>
      <c r="DD13" s="7"/>
      <c r="DE13" s="9"/>
      <c r="DG13" s="10" t="str">
        <f>_xll.qlSchedule(DI13,DJ13,DK13,DL13,DM13,DN13,DO13,DP13,DQ13,DR13,DS13,DT13,DU13)</f>
        <v>XBS_USD_20Y#0005</v>
      </c>
      <c r="DH13" s="11" t="str">
        <f>_xll.ohRangeRetrieveError(DG13)</f>
        <v/>
      </c>
      <c r="DI13" s="104" t="s">
        <v>244</v>
      </c>
      <c r="DJ13" s="14">
        <f t="shared" si="7"/>
        <v>42761</v>
      </c>
      <c r="DK13" s="14">
        <f t="shared" si="8"/>
        <v>50066</v>
      </c>
      <c r="DL13" s="103" t="s">
        <v>97</v>
      </c>
      <c r="DM13" s="7" t="s">
        <v>10</v>
      </c>
      <c r="DN13" s="7" t="s">
        <v>39</v>
      </c>
      <c r="DO13" s="7" t="s">
        <v>39</v>
      </c>
      <c r="DP13" s="7" t="s">
        <v>27</v>
      </c>
      <c r="DQ13" s="7"/>
      <c r="DR13" s="14"/>
      <c r="DS13" s="14"/>
      <c r="DT13" s="7"/>
      <c r="DU13" s="9"/>
    </row>
    <row r="14" spans="1:125" ht="13.5" thickBot="1" x14ac:dyDescent="0.25">
      <c r="A14" s="58" t="str">
        <f>_xll.qlFraRateHelper2(C14,D14,E14,F14,2,G14,H14,I14,J14)</f>
        <v>EO6M_FRA5x11#0005</v>
      </c>
      <c r="B14" s="73" t="str">
        <f>_xll.ohRangeRetrieveError(A14)</f>
        <v/>
      </c>
      <c r="C14" s="60" t="s">
        <v>182</v>
      </c>
      <c r="D14" s="2">
        <f>_xll.qlQuoteValue(T14)</f>
        <v>-2.0899999999999998E-3</v>
      </c>
      <c r="E14" s="72" t="s">
        <v>135</v>
      </c>
      <c r="F14" s="62">
        <v>6</v>
      </c>
      <c r="G14" s="62" t="s">
        <v>98</v>
      </c>
      <c r="H14" s="60" t="s">
        <v>39</v>
      </c>
      <c r="I14" s="62" t="b">
        <v>1</v>
      </c>
      <c r="J14" s="62" t="s">
        <v>14</v>
      </c>
      <c r="K14" s="61"/>
      <c r="L14" s="63"/>
      <c r="N14" t="str">
        <f>_xll.qlFraRateHelper2(O14,D14,E14,F14,2,G14,H14,I14,J14)</f>
        <v>EURIB_FRA5x11#0005</v>
      </c>
      <c r="O14" s="58" t="s">
        <v>188</v>
      </c>
      <c r="Q14" t="s">
        <v>135</v>
      </c>
      <c r="R14" t="s">
        <v>137</v>
      </c>
      <c r="S14">
        <f>VLOOKUP(C14,Sheet9!$F:AR,'EUR RateHelpers'!$Q$1,FALSE)</f>
        <v>-0.20899999999999999</v>
      </c>
      <c r="T14" t="str">
        <f>_xll.qlSimpleQuote(O14&amp;"_Quote",S14/100,0.0001)</f>
        <v>EURIB_FRA5x11_Quote#0005</v>
      </c>
      <c r="U14" s="170"/>
      <c r="V14" s="170"/>
      <c r="AB14" t="s">
        <v>110</v>
      </c>
      <c r="AC14">
        <f>VLOOKUP(AH14,Sheet9!$F:AR,'EUR RateHelpers'!$Q$1,FALSE)*100</f>
        <v>-24</v>
      </c>
      <c r="AD14" t="str">
        <f>_xll.qlSimpleQuote(AH14&amp;"_Quote",AI14,0.0001)</f>
        <v>XBS_SWAP30Y_Quote#0005</v>
      </c>
      <c r="AE14">
        <f>_xll.qlQuoteValue(AD14)</f>
        <v>4.226580601638873E-3</v>
      </c>
      <c r="AF14" s="58" t="str">
        <f>_xll.qlSwapRateHelper2(AH14,AE14,,AJ14,AK14,AL14,AM14,AN14,AO14,AP14,AQ14)</f>
        <v>XBS_SWAP30Y#0005</v>
      </c>
      <c r="AG14" s="59" t="str">
        <f>_xll.ohRangeRetrieveError(AF14)</f>
        <v/>
      </c>
      <c r="AH14" s="60" t="str">
        <f t="shared" si="0"/>
        <v>XBS_SWAP30Y</v>
      </c>
      <c r="AI14" s="61">
        <v>4.226580601638873E-3</v>
      </c>
      <c r="AJ14" s="72" t="str">
        <f t="shared" si="1"/>
        <v>30Y</v>
      </c>
      <c r="AK14" s="62" t="s">
        <v>98</v>
      </c>
      <c r="AL14" s="62" t="s">
        <v>0</v>
      </c>
      <c r="AM14" s="60" t="s">
        <v>39</v>
      </c>
      <c r="AN14" s="62" t="s">
        <v>14</v>
      </c>
      <c r="AO14" s="62" t="str">
        <f>'Passive Indexes'!B$18</f>
        <v>obj_000aa#0005</v>
      </c>
      <c r="AP14" s="61">
        <v>0</v>
      </c>
      <c r="AQ14" s="63" t="s">
        <v>100</v>
      </c>
      <c r="AR14" s="62" t="s">
        <v>179</v>
      </c>
      <c r="AS14" t="e">
        <f>_xll.qlSwapRateHelper2(AT34,AI14,AJ14,AK14,AL14,AM14,AN14,AO14,AP14,AQ14)</f>
        <v>#NUM!</v>
      </c>
      <c r="AT14" s="2">
        <f t="shared" ref="AT14:AT16" si="11">AY14-AI14</f>
        <v>1.2183419398361128E-2</v>
      </c>
      <c r="AV14" s="1" t="e">
        <f t="shared" si="3"/>
        <v>#NUM!</v>
      </c>
      <c r="AW14" s="102">
        <f>_xll.qlRateHelperEarliestDate(AF14)</f>
        <v>42761</v>
      </c>
      <c r="AX14" s="102">
        <f>_xll.qlRateHelperMaturityDate(AF14)</f>
        <v>53720</v>
      </c>
      <c r="AY14" s="61">
        <v>1.6410000000000001E-2</v>
      </c>
      <c r="AZ14" s="1" t="e">
        <f>_xll.qlLegNPV(BI14,"XBS")</f>
        <v>#NUM!</v>
      </c>
      <c r="BA14" s="1" t="e">
        <f>_xll.qlLegNPV(BZ14,"OIS")</f>
        <v>#VALUE!</v>
      </c>
      <c r="BC14" t="e">
        <v>#NUM!</v>
      </c>
      <c r="BD14" t="e">
        <v>#NUM!</v>
      </c>
      <c r="BI14" s="10" t="str">
        <f>_xll.qlIborLeg(BK14,BL14,BM14,BN14,BO14,BP14,BQ14,BR14,BS14,BT14,BU14,BV14,BW14,BX14)</f>
        <v>obj_00275#0004</v>
      </c>
      <c r="BJ14" s="11" t="str">
        <f>_xll.ohRangeRetrieveError(BI14)</f>
        <v/>
      </c>
      <c r="BK14" s="6"/>
      <c r="BL14" s="7" t="s">
        <v>26</v>
      </c>
      <c r="BM14" s="25">
        <v>1000000</v>
      </c>
      <c r="BN14" s="7" t="str">
        <f t="shared" ref="BN14:BN16" si="12">CQ14</f>
        <v>XBS_EUR_30Y#0005</v>
      </c>
      <c r="BO14" s="7"/>
      <c r="BP14" s="7"/>
      <c r="BQ14" s="7" t="s">
        <v>14</v>
      </c>
      <c r="BR14" s="8"/>
      <c r="BS14" s="7"/>
      <c r="BT14" s="103" t="s">
        <v>993</v>
      </c>
      <c r="BU14" s="8">
        <f t="shared" ref="BU14:BU16" si="13">AC14/10000</f>
        <v>-2.3999999999999998E-3</v>
      </c>
      <c r="BV14" s="8"/>
      <c r="BW14" s="7"/>
      <c r="BX14" s="9"/>
      <c r="BZ14" s="10" t="e">
        <f>_xll.qlIborLeg(CB14,CC14,CD14,CE14,CF14,CG14,CH14,CI14,CJ14,CK14,CL14,CM14,CN14,CO14)</f>
        <v>#NUM!</v>
      </c>
      <c r="CA14" s="11" t="str">
        <f ca="1">_xll.ohRangeRetrieveError(BZ14)</f>
        <v>qlIborLeg - ObjectHandler error: attempt to retrieve object with unknown ID 'lo3mproj'</v>
      </c>
      <c r="CB14" s="6"/>
      <c r="CC14" s="7" t="s">
        <v>26</v>
      </c>
      <c r="CD14" s="25">
        <v>1000000</v>
      </c>
      <c r="CE14" s="7" t="str">
        <f t="shared" ref="CE14:CE16" si="14">DG14</f>
        <v>XBS_USD_30Y#0005</v>
      </c>
      <c r="CF14" s="7"/>
      <c r="CG14" s="7"/>
      <c r="CH14" s="7" t="s">
        <v>14</v>
      </c>
      <c r="CI14" s="8"/>
      <c r="CJ14" s="7"/>
      <c r="CK14" s="103" t="s">
        <v>991</v>
      </c>
      <c r="CL14" s="8"/>
      <c r="CM14" s="8"/>
      <c r="CN14" s="7"/>
      <c r="CO14" s="9"/>
      <c r="CQ14" s="10" t="str">
        <f>_xll.qlSchedule(CS14,CT14,CU14,CV14,CW14,CX14,CY14,CZ14,DA14,DB14,DC14,DD14,DE14)</f>
        <v>XBS_EUR_30Y#0005</v>
      </c>
      <c r="CR14" s="11" t="str">
        <f>_xll.ohRangeRetrieveError(CQ14)</f>
        <v/>
      </c>
      <c r="CS14" s="104" t="s">
        <v>234</v>
      </c>
      <c r="CT14" s="14">
        <f>_xll.qlRateHelperEarliestDate(AF14)</f>
        <v>42761</v>
      </c>
      <c r="CU14" s="14">
        <f>_xll.qlRateHelperMaturityDate(AF14)</f>
        <v>53720</v>
      </c>
      <c r="CV14" s="103" t="s">
        <v>97</v>
      </c>
      <c r="CW14" s="7" t="s">
        <v>10</v>
      </c>
      <c r="CX14" s="7" t="s">
        <v>39</v>
      </c>
      <c r="CY14" s="7" t="s">
        <v>39</v>
      </c>
      <c r="CZ14" s="7" t="s">
        <v>27</v>
      </c>
      <c r="DA14" s="7"/>
      <c r="DB14" s="14"/>
      <c r="DC14" s="14"/>
      <c r="DD14" s="7"/>
      <c r="DE14" s="9"/>
      <c r="DG14" s="10" t="str">
        <f>_xll.qlSchedule(DI14,DJ14,DK14,DL14,DM14,DN14,DO14,DP14,DQ14,DR14,DS14,DT14,DU14)</f>
        <v>XBS_USD_30Y#0005</v>
      </c>
      <c r="DH14" s="11" t="str">
        <f>_xll.ohRangeRetrieveError(DG14)</f>
        <v/>
      </c>
      <c r="DI14" s="104" t="s">
        <v>245</v>
      </c>
      <c r="DJ14" s="14">
        <f t="shared" ref="DJ14:DJ16" si="15">CT14</f>
        <v>42761</v>
      </c>
      <c r="DK14" s="14">
        <f t="shared" ref="DK14:DK16" si="16">CU14</f>
        <v>53720</v>
      </c>
      <c r="DL14" s="103" t="s">
        <v>97</v>
      </c>
      <c r="DM14" s="7" t="s">
        <v>10</v>
      </c>
      <c r="DN14" s="7" t="s">
        <v>39</v>
      </c>
      <c r="DO14" s="7" t="s">
        <v>39</v>
      </c>
      <c r="DP14" s="7" t="s">
        <v>27</v>
      </c>
      <c r="DQ14" s="7"/>
      <c r="DR14" s="14"/>
      <c r="DS14" s="14"/>
      <c r="DT14" s="7"/>
      <c r="DU14" s="9"/>
    </row>
    <row r="15" spans="1:125" ht="13.5" thickBot="1" x14ac:dyDescent="0.25">
      <c r="A15" s="58" t="str">
        <f>_xll.qlFraRateHelper2(C15,D15,E15,F15,2,G15,H15,I15,J15)</f>
        <v>EO6M_FRA6x12#0005</v>
      </c>
      <c r="B15" s="73" t="str">
        <f>_xll.ohRangeRetrieveError(A15)</f>
        <v/>
      </c>
      <c r="C15" s="60" t="s">
        <v>183</v>
      </c>
      <c r="D15" s="2">
        <f>_xll.qlQuoteValue(T15)</f>
        <v>-1.99E-3</v>
      </c>
      <c r="E15" s="72" t="s">
        <v>38</v>
      </c>
      <c r="F15" s="62">
        <v>6</v>
      </c>
      <c r="G15" s="62" t="s">
        <v>98</v>
      </c>
      <c r="H15" s="60" t="s">
        <v>39</v>
      </c>
      <c r="I15" s="62" t="b">
        <v>1</v>
      </c>
      <c r="J15" s="62" t="s">
        <v>14</v>
      </c>
      <c r="K15" s="61"/>
      <c r="L15" s="63"/>
      <c r="N15" t="str">
        <f>_xll.qlFraRateHelper2(O15,D15,E15,F15,2,G15,H15,I15,J15)</f>
        <v>EURIB_FRA6x12#0005</v>
      </c>
      <c r="O15" s="58" t="s">
        <v>189</v>
      </c>
      <c r="Q15" t="s">
        <v>38</v>
      </c>
      <c r="R15" t="s">
        <v>155</v>
      </c>
      <c r="S15">
        <f>VLOOKUP(C15,Sheet9!$F:AR,'EUR RateHelpers'!$Q$1,FALSE)</f>
        <v>-0.19900000000000001</v>
      </c>
      <c r="T15" t="str">
        <f>_xll.qlSimpleQuote(O15&amp;"_Quote",S15/100,0.0001)</f>
        <v>EURIB_FRA6x12_Quote#0005</v>
      </c>
      <c r="U15" s="170"/>
      <c r="V15" s="170"/>
      <c r="AB15" t="s">
        <v>174</v>
      </c>
      <c r="AC15">
        <f>VLOOKUP(AH15,Sheet9!$F:AR,'EUR RateHelpers'!$Q$1,FALSE)*100</f>
        <v>-25.624999999999996</v>
      </c>
      <c r="AD15" t="str">
        <f>_xll.qlSimpleQuote(AH15&amp;"_Quote",AI15,0.0001)</f>
        <v>XBS_SWAP40Y_Quote#0005</v>
      </c>
      <c r="AE15">
        <f>_xll.qlQuoteValue(AD15)</f>
        <v>3.934263609735443E-3</v>
      </c>
      <c r="AF15" s="58" t="str">
        <f>_xll.qlSwapRateHelper2(AH15,AE15,,AJ15,AK15,AL15,AM15,AN15,AO15,AP15,AQ15)</f>
        <v>XBS_SWAP40Y#0005</v>
      </c>
      <c r="AG15" s="59" t="str">
        <f>_xll.ohRangeRetrieveError(AF15)</f>
        <v/>
      </c>
      <c r="AH15" s="60" t="str">
        <f t="shared" si="0"/>
        <v>XBS_SWAP40Y</v>
      </c>
      <c r="AI15" s="61">
        <v>3.934263609735443E-3</v>
      </c>
      <c r="AJ15" s="72" t="str">
        <f t="shared" si="1"/>
        <v>40Y</v>
      </c>
      <c r="AK15" s="62" t="s">
        <v>98</v>
      </c>
      <c r="AL15" s="62" t="s">
        <v>0</v>
      </c>
      <c r="AM15" s="60" t="s">
        <v>39</v>
      </c>
      <c r="AN15" s="62" t="s">
        <v>14</v>
      </c>
      <c r="AO15" s="62" t="str">
        <f>'Passive Indexes'!B$18</f>
        <v>obj_000aa#0005</v>
      </c>
      <c r="AP15" s="61">
        <v>0</v>
      </c>
      <c r="AQ15" s="63" t="s">
        <v>100</v>
      </c>
      <c r="AR15" s="62" t="s">
        <v>179</v>
      </c>
      <c r="AS15" t="e">
        <f>_xll.qlSwapRateHelper2(AT35,AI15,AJ15,AK15,AL15,AM15,AN15,AO15,AP15,AQ15)</f>
        <v>#NUM!</v>
      </c>
      <c r="AT15" s="2">
        <f t="shared" si="11"/>
        <v>1.2475736390264558E-2</v>
      </c>
      <c r="AV15" s="1" t="e">
        <f>(AZ15-BM15*(BC$1-BC15))-(BA15-CD15*(BD$1-BD15))</f>
        <v>#NUM!</v>
      </c>
      <c r="AW15" s="102">
        <f>_xll.qlRateHelperEarliestDate(AF15)</f>
        <v>42761</v>
      </c>
      <c r="AX15" s="102">
        <f>_xll.qlRateHelperMaturityDate(AF15)</f>
        <v>57371</v>
      </c>
      <c r="AY15" s="61">
        <v>1.6410000000000001E-2</v>
      </c>
      <c r="AZ15" s="1" t="e">
        <f>_xll.qlLegNPV(BI15,"XBS")</f>
        <v>#NUM!</v>
      </c>
      <c r="BA15" s="1" t="e">
        <f>_xll.qlLegNPV(BZ15,"OIS")</f>
        <v>#VALUE!</v>
      </c>
      <c r="BC15" t="e">
        <v>#NUM!</v>
      </c>
      <c r="BD15" t="e">
        <v>#NUM!</v>
      </c>
      <c r="BI15" s="10" t="str">
        <f>_xll.qlIborLeg(BK15,BL15,BM15,BN15,BO15,BP15,BQ15,BR15,BS15,BT15,BU15,BV15,BW15,BX15)</f>
        <v>obj_00277#0004</v>
      </c>
      <c r="BJ15" s="11" t="str">
        <f>_xll.ohRangeRetrieveError(BI15)</f>
        <v/>
      </c>
      <c r="BK15" s="6"/>
      <c r="BL15" s="7" t="s">
        <v>26</v>
      </c>
      <c r="BM15" s="25">
        <v>1000000</v>
      </c>
      <c r="BN15" s="7" t="str">
        <f t="shared" si="12"/>
        <v>XBS_EUR_40Y#0005</v>
      </c>
      <c r="BO15" s="7"/>
      <c r="BP15" s="7"/>
      <c r="BQ15" s="7" t="s">
        <v>14</v>
      </c>
      <c r="BR15" s="8"/>
      <c r="BS15" s="7"/>
      <c r="BT15" s="103" t="s">
        <v>993</v>
      </c>
      <c r="BU15" s="8">
        <f t="shared" si="13"/>
        <v>-2.5624999999999997E-3</v>
      </c>
      <c r="BV15" s="8"/>
      <c r="BW15" s="7"/>
      <c r="BX15" s="9"/>
      <c r="BZ15" s="10" t="e">
        <f>_xll.qlIborLeg(CB15,CC15,CD15,CE15,CF15,CG15,CH15,CI15,CJ15,CK15,CL15,CM15,CN15,CO15)</f>
        <v>#NUM!</v>
      </c>
      <c r="CA15" s="11" t="str">
        <f ca="1">_xll.ohRangeRetrieveError(BZ15)</f>
        <v>qlIborLeg - ObjectHandler error: attempt to retrieve object with unknown ID 'lo3mproj'</v>
      </c>
      <c r="CB15" s="6"/>
      <c r="CC15" s="7" t="s">
        <v>26</v>
      </c>
      <c r="CD15" s="25">
        <v>1000000</v>
      </c>
      <c r="CE15" s="7" t="str">
        <f t="shared" si="14"/>
        <v>XBS_USD_40Y#0005</v>
      </c>
      <c r="CF15" s="7"/>
      <c r="CG15" s="7"/>
      <c r="CH15" s="7" t="s">
        <v>14</v>
      </c>
      <c r="CI15" s="8"/>
      <c r="CJ15" s="7"/>
      <c r="CK15" s="103" t="s">
        <v>991</v>
      </c>
      <c r="CL15" s="8"/>
      <c r="CM15" s="8"/>
      <c r="CN15" s="7"/>
      <c r="CO15" s="9"/>
      <c r="CQ15" s="10" t="str">
        <f>_xll.qlSchedule(CS15,CT15,CU15,CV15,CW15,CX15,CY15,CZ15,DA15,DB15,DC15,DD15,DE15)</f>
        <v>XBS_EUR_40Y#0005</v>
      </c>
      <c r="CR15" s="11" t="str">
        <f>_xll.ohRangeRetrieveError(CQ15)</f>
        <v/>
      </c>
      <c r="CS15" s="104" t="s">
        <v>235</v>
      </c>
      <c r="CT15" s="14">
        <f>_xll.qlRateHelperEarliestDate(AF15)</f>
        <v>42761</v>
      </c>
      <c r="CU15" s="14">
        <f>_xll.qlRateHelperMaturityDate(AF15)</f>
        <v>57371</v>
      </c>
      <c r="CV15" s="103" t="s">
        <v>97</v>
      </c>
      <c r="CW15" s="7" t="s">
        <v>10</v>
      </c>
      <c r="CX15" s="7" t="s">
        <v>39</v>
      </c>
      <c r="CY15" s="7" t="s">
        <v>39</v>
      </c>
      <c r="CZ15" s="7" t="s">
        <v>27</v>
      </c>
      <c r="DA15" s="7"/>
      <c r="DB15" s="14"/>
      <c r="DC15" s="14"/>
      <c r="DD15" s="7"/>
      <c r="DE15" s="9"/>
      <c r="DG15" s="10" t="str">
        <f>_xll.qlSchedule(DI15,DJ15,DK15,DL15,DM15,DN15,DO15,DP15,DQ15,DR15,DS15,DT15,DU15)</f>
        <v>XBS_USD_40Y#0005</v>
      </c>
      <c r="DH15" s="11" t="str">
        <f>_xll.ohRangeRetrieveError(DG15)</f>
        <v/>
      </c>
      <c r="DI15" s="104" t="s">
        <v>246</v>
      </c>
      <c r="DJ15" s="14">
        <f t="shared" si="15"/>
        <v>42761</v>
      </c>
      <c r="DK15" s="14">
        <f t="shared" si="16"/>
        <v>57371</v>
      </c>
      <c r="DL15" s="103" t="s">
        <v>97</v>
      </c>
      <c r="DM15" s="7" t="s">
        <v>10</v>
      </c>
      <c r="DN15" s="7" t="s">
        <v>39</v>
      </c>
      <c r="DO15" s="7" t="s">
        <v>39</v>
      </c>
      <c r="DP15" s="7" t="s">
        <v>27</v>
      </c>
      <c r="DQ15" s="7"/>
      <c r="DR15" s="14"/>
      <c r="DS15" s="14"/>
      <c r="DT15" s="7"/>
      <c r="DU15" s="9"/>
    </row>
    <row r="16" spans="1:125" ht="13.5" thickBot="1" x14ac:dyDescent="0.25">
      <c r="A16" s="58" t="str">
        <f>_xll.qlFraRateHelper2(C16,D16,E16,F16,2,G16,H16,I16,J16)</f>
        <v>EO6M_FRA12x18#0005</v>
      </c>
      <c r="B16" s="73" t="str">
        <f>_xll.ohRangeRetrieveError(A16)</f>
        <v/>
      </c>
      <c r="C16" s="60" t="s">
        <v>184</v>
      </c>
      <c r="D16" s="2">
        <f>_xll.qlQuoteValue(T16)</f>
        <v>-1.3900000000000002E-3</v>
      </c>
      <c r="E16" s="72" t="s">
        <v>155</v>
      </c>
      <c r="F16" s="62">
        <v>6</v>
      </c>
      <c r="G16" s="62" t="s">
        <v>98</v>
      </c>
      <c r="H16" s="60" t="s">
        <v>39</v>
      </c>
      <c r="I16" s="62" t="b">
        <v>1</v>
      </c>
      <c r="J16" s="62" t="s">
        <v>14</v>
      </c>
      <c r="K16" s="61"/>
      <c r="L16" s="63"/>
      <c r="N16" t="str">
        <f>_xll.qlFraRateHelper2(O16,D16,E16,F16,2,G16,H16,I16,J16)</f>
        <v>EURIB_FRA12x18#0005</v>
      </c>
      <c r="O16" s="58" t="s">
        <v>190</v>
      </c>
      <c r="Q16" t="s">
        <v>155</v>
      </c>
      <c r="R16" t="s">
        <v>156</v>
      </c>
      <c r="S16">
        <f>VLOOKUP(C16,Sheet9!$F:AR,'EUR RateHelpers'!$Q$1,FALSE)</f>
        <v>-0.13900000000000001</v>
      </c>
      <c r="T16" t="str">
        <f>_xll.qlSimpleQuote(O16&amp;"_Quote",S16/100,0.0001)</f>
        <v>EURIB_FRA12x18_Quote#0005</v>
      </c>
      <c r="U16" s="170"/>
      <c r="V16" s="170"/>
      <c r="AB16" t="s">
        <v>175</v>
      </c>
      <c r="AC16">
        <f>VLOOKUP(AH16,Sheet9!$F:AR,'EUR RateHelpers'!$Q$1,FALSE)*100</f>
        <v>-28.375</v>
      </c>
      <c r="AD16" t="str">
        <f>_xll.qlSimpleQuote(AH16&amp;"_Quote",AI16,0.0001)</f>
        <v>XBS_SWAP50Y_Quote#0005</v>
      </c>
      <c r="AE16">
        <f>_xll.qlQuoteValue(AD16)</f>
        <v>3.258074965385313E-3</v>
      </c>
      <c r="AF16" s="58" t="str">
        <f>_xll.qlSwapRateHelper2(AH16,AE16,,AJ16,AK16,AL16,AM16,AN16,AO16,AP16,AQ16)</f>
        <v>XBS_SWAP50Y#0005</v>
      </c>
      <c r="AG16" s="59" t="str">
        <f>_xll.ohRangeRetrieveError(AF16)</f>
        <v/>
      </c>
      <c r="AH16" s="60" t="str">
        <f t="shared" si="0"/>
        <v>XBS_SWAP50Y</v>
      </c>
      <c r="AI16" s="61">
        <v>3.258074965385313E-3</v>
      </c>
      <c r="AJ16" s="72" t="str">
        <f t="shared" si="1"/>
        <v>50Y</v>
      </c>
      <c r="AK16" s="62" t="s">
        <v>98</v>
      </c>
      <c r="AL16" s="62" t="s">
        <v>0</v>
      </c>
      <c r="AM16" s="60" t="s">
        <v>39</v>
      </c>
      <c r="AN16" s="62" t="s">
        <v>14</v>
      </c>
      <c r="AO16" s="62" t="str">
        <f>'Passive Indexes'!B$18</f>
        <v>obj_000aa#0005</v>
      </c>
      <c r="AP16" s="61">
        <v>0</v>
      </c>
      <c r="AQ16" s="63" t="s">
        <v>100</v>
      </c>
      <c r="AR16" s="62" t="s">
        <v>179</v>
      </c>
      <c r="AS16" t="e">
        <f>_xll.qlSwapRateHelper2(AT36,AI16,AJ16,AK16,AL16,AM16,AN16,AO16,AP16,AQ16)</f>
        <v>#NUM!</v>
      </c>
      <c r="AT16" s="2">
        <f t="shared" si="11"/>
        <v>1.3151925034614688E-2</v>
      </c>
      <c r="AV16" s="1" t="e">
        <f>(AZ16-BM16*(BC$1-BC16))-(BA16-CD16*(BD$1-BD16))</f>
        <v>#NUM!</v>
      </c>
      <c r="AW16" s="102">
        <f>_xll.qlRateHelperEarliestDate(AF16)</f>
        <v>42761</v>
      </c>
      <c r="AX16" s="102">
        <f>_xll.qlRateHelperMaturityDate(AF16)</f>
        <v>61023</v>
      </c>
      <c r="AY16" s="61">
        <v>1.6410000000000001E-2</v>
      </c>
      <c r="AZ16" s="1" t="e">
        <f>_xll.qlLegNPV(BI16,"XBS")</f>
        <v>#NUM!</v>
      </c>
      <c r="BA16" s="1" t="e">
        <f>_xll.qlLegNPV(BZ16,"OIS")</f>
        <v>#VALUE!</v>
      </c>
      <c r="BC16" t="e">
        <v>#NUM!</v>
      </c>
      <c r="BD16" t="e">
        <v>#NUM!</v>
      </c>
      <c r="BI16" s="10" t="str">
        <f>_xll.qlIborLeg(BK16,BL16,BM16,BN16,BO16,BP16,BQ16,BR16,BS16,BT16,BU16,BV16,BW16,BX16)</f>
        <v>obj_00276#0004</v>
      </c>
      <c r="BJ16" s="11" t="str">
        <f>_xll.ohRangeRetrieveError(BI16)</f>
        <v/>
      </c>
      <c r="BK16" s="6"/>
      <c r="BL16" s="7" t="s">
        <v>26</v>
      </c>
      <c r="BM16" s="25">
        <v>1000000</v>
      </c>
      <c r="BN16" s="7" t="str">
        <f t="shared" si="12"/>
        <v>XBS_EUR_50Y#0005</v>
      </c>
      <c r="BO16" s="7"/>
      <c r="BP16" s="7"/>
      <c r="BQ16" s="7" t="s">
        <v>14</v>
      </c>
      <c r="BR16" s="8"/>
      <c r="BS16" s="7"/>
      <c r="BT16" s="103" t="s">
        <v>993</v>
      </c>
      <c r="BU16" s="8">
        <f t="shared" si="13"/>
        <v>-2.8375000000000002E-3</v>
      </c>
      <c r="BV16" s="8"/>
      <c r="BW16" s="7"/>
      <c r="BX16" s="9"/>
      <c r="BZ16" s="10" t="e">
        <f>_xll.qlIborLeg(CB16,CC16,CD16,CE16,CF16,CG16,CH16,CI16,CJ16,CK16,CL16,CM16,CN16,CO16)</f>
        <v>#NUM!</v>
      </c>
      <c r="CA16" s="11" t="str">
        <f ca="1">_xll.ohRangeRetrieveError(BZ16)</f>
        <v>qlIborLeg - ObjectHandler error: attempt to retrieve object with unknown ID 'lo3mproj'</v>
      </c>
      <c r="CB16" s="6"/>
      <c r="CC16" s="7" t="s">
        <v>26</v>
      </c>
      <c r="CD16" s="25">
        <v>1000000</v>
      </c>
      <c r="CE16" s="7" t="str">
        <f t="shared" si="14"/>
        <v>XBS_USD_50Y#0005</v>
      </c>
      <c r="CF16" s="7"/>
      <c r="CG16" s="7"/>
      <c r="CH16" s="7" t="s">
        <v>14</v>
      </c>
      <c r="CI16" s="8"/>
      <c r="CJ16" s="7"/>
      <c r="CK16" s="103" t="s">
        <v>991</v>
      </c>
      <c r="CL16" s="8"/>
      <c r="CM16" s="8"/>
      <c r="CN16" s="7"/>
      <c r="CO16" s="9"/>
      <c r="CQ16" s="10" t="str">
        <f>_xll.qlSchedule(CS16,CT16,CU16,CV16,CW16,CX16,CY16,CZ16,DA16,DB16,DC16,DD16,DE16)</f>
        <v>XBS_EUR_50Y#0005</v>
      </c>
      <c r="CR16" s="11" t="str">
        <f>_xll.ohRangeRetrieveError(CQ16)</f>
        <v/>
      </c>
      <c r="CS16" s="104" t="s">
        <v>236</v>
      </c>
      <c r="CT16" s="14">
        <f>_xll.qlRateHelperEarliestDate(AF16)</f>
        <v>42761</v>
      </c>
      <c r="CU16" s="14">
        <f>_xll.qlRateHelperMaturityDate(AF16)</f>
        <v>61023</v>
      </c>
      <c r="CV16" s="103" t="s">
        <v>97</v>
      </c>
      <c r="CW16" s="7" t="s">
        <v>10</v>
      </c>
      <c r="CX16" s="7" t="s">
        <v>39</v>
      </c>
      <c r="CY16" s="7" t="s">
        <v>39</v>
      </c>
      <c r="CZ16" s="7" t="s">
        <v>27</v>
      </c>
      <c r="DA16" s="7"/>
      <c r="DB16" s="14"/>
      <c r="DC16" s="14"/>
      <c r="DD16" s="7"/>
      <c r="DE16" s="9"/>
      <c r="DG16" s="10" t="str">
        <f>_xll.qlSchedule(DI16,DJ16,DK16,DL16,DM16,DN16,DO16,DP16,DQ16,DR16,DS16,DT16,DU16)</f>
        <v>XBS_USD_50Y#0005</v>
      </c>
      <c r="DH16" s="11" t="str">
        <f>_xll.ohRangeRetrieveError(DG16)</f>
        <v/>
      </c>
      <c r="DI16" s="104" t="s">
        <v>247</v>
      </c>
      <c r="DJ16" s="14">
        <f t="shared" si="15"/>
        <v>42761</v>
      </c>
      <c r="DK16" s="14">
        <f t="shared" si="16"/>
        <v>61023</v>
      </c>
      <c r="DL16" s="103" t="s">
        <v>97</v>
      </c>
      <c r="DM16" s="7" t="s">
        <v>10</v>
      </c>
      <c r="DN16" s="7" t="s">
        <v>39</v>
      </c>
      <c r="DO16" s="7" t="s">
        <v>39</v>
      </c>
      <c r="DP16" s="7" t="s">
        <v>27</v>
      </c>
      <c r="DQ16" s="7"/>
      <c r="DR16" s="14"/>
      <c r="DS16" s="14"/>
      <c r="DT16" s="7"/>
      <c r="DU16" s="9"/>
    </row>
    <row r="17" spans="1:62" ht="12.75" x14ac:dyDescent="0.2">
      <c r="A17" s="58" t="str">
        <f ca="1">_xll.qlSwapRateHelper2(C17,D17,,E17,F17,G17,H17,I17,J17,K17,L17,M17,,,,'Bootstrapping EONIA'!F$8)</f>
        <v>EO6M_SWAP2Y#0046</v>
      </c>
      <c r="B17" s="53" t="str">
        <f ca="1">_xll.ohRangeRetrieveError(A17)</f>
        <v/>
      </c>
      <c r="C17" s="54" t="str">
        <f t="shared" ref="C17:C47" si="17">"EO6M_SWAP"&amp;E17</f>
        <v>EO6M_SWAP2Y</v>
      </c>
      <c r="D17" s="55">
        <f>_xll.qlQuoteValue(T17)</f>
        <v>-1.64E-3</v>
      </c>
      <c r="E17" s="71" t="s">
        <v>157</v>
      </c>
      <c r="F17" s="56" t="s">
        <v>98</v>
      </c>
      <c r="G17" s="56" t="s">
        <v>0</v>
      </c>
      <c r="H17" s="54" t="s">
        <v>39</v>
      </c>
      <c r="I17" s="56" t="s">
        <v>13</v>
      </c>
      <c r="J17" s="56" t="str">
        <f>'Passive Indexes'!B$8</f>
        <v>obj_0007d#0005</v>
      </c>
      <c r="K17" s="55">
        <v>0</v>
      </c>
      <c r="L17" s="57" t="s">
        <v>100</v>
      </c>
      <c r="M17" s="62" t="s">
        <v>179</v>
      </c>
      <c r="N17" t="str">
        <f>_xll.qlSwapRateHelper2(O17,D17,,E17,F17,G17,H17,I17,J17,K17,L17)</f>
        <v>EURIB_SWAP2Y#0005</v>
      </c>
      <c r="O17" s="58" t="str">
        <f t="shared" ref="O17:O47" si="18">"EURIB_SWAP"&amp;Q17</f>
        <v>EURIB_SWAP2Y</v>
      </c>
      <c r="Q17" t="s">
        <v>157</v>
      </c>
      <c r="S17">
        <f>VLOOKUP(C17,Sheet9!$F:AR,'EUR RateHelpers'!$Q$1,FALSE)</f>
        <v>-0.16400000000000001</v>
      </c>
      <c r="T17" t="str">
        <f>_xll.qlSimpleQuote(O17&amp;"_Quote",S17/100,0.0001)</f>
        <v>EURIB_SWAP2Y_Quote#0005</v>
      </c>
      <c r="U17" s="170"/>
      <c r="V17" s="170"/>
    </row>
    <row r="18" spans="1:62" ht="12.75" x14ac:dyDescent="0.2">
      <c r="A18" s="58" t="str">
        <f ca="1">_xll.qlSwapRateHelper2(C18,D18,,E18,F18,G18,H18,I18,J18,K18,L18,M18,,,,'Bootstrapping EONIA'!F$8)</f>
        <v>EO6M_SWAP3Y#0046</v>
      </c>
      <c r="B18" s="59" t="str">
        <f ca="1">_xll.ohRangeRetrieveError(A18)</f>
        <v/>
      </c>
      <c r="C18" s="60" t="str">
        <f t="shared" si="17"/>
        <v>EO6M_SWAP3Y</v>
      </c>
      <c r="D18" s="61">
        <f>_xll.qlQuoteValue(T18)</f>
        <v>-8.1000000000000006E-4</v>
      </c>
      <c r="E18" s="72" t="s">
        <v>99</v>
      </c>
      <c r="F18" s="62" t="s">
        <v>98</v>
      </c>
      <c r="G18" s="62" t="s">
        <v>0</v>
      </c>
      <c r="H18" s="60" t="s">
        <v>39</v>
      </c>
      <c r="I18" s="62" t="s">
        <v>13</v>
      </c>
      <c r="J18" s="62" t="str">
        <f>'Passive Indexes'!B$8</f>
        <v>obj_0007d#0005</v>
      </c>
      <c r="K18" s="61">
        <v>0</v>
      </c>
      <c r="L18" s="63" t="s">
        <v>100</v>
      </c>
      <c r="M18" s="62" t="s">
        <v>179</v>
      </c>
      <c r="N18" t="str">
        <f>_xll.qlSwapRateHelper2(O18,D18,,E18,F18,G18,H18,I18,J18,K18,L18)</f>
        <v>EURIB_SWAP3Y#0005</v>
      </c>
      <c r="O18" s="58" t="str">
        <f t="shared" si="18"/>
        <v>EURIB_SWAP3Y</v>
      </c>
      <c r="Q18" t="s">
        <v>99</v>
      </c>
      <c r="S18">
        <f>VLOOKUP(C18,Sheet9!$F:AR,'EUR RateHelpers'!$Q$1,FALSE)</f>
        <v>-8.1000000000000003E-2</v>
      </c>
      <c r="T18" t="str">
        <f>_xll.qlSimpleQuote(O18&amp;"_Quote",S18/100,0.0001)</f>
        <v>EURIB_SWAP3Y_Quote#0005</v>
      </c>
      <c r="U18" s="170"/>
      <c r="V18" s="170"/>
      <c r="AV18" s="1"/>
    </row>
    <row r="19" spans="1:62" ht="12.75" x14ac:dyDescent="0.2">
      <c r="A19" s="58" t="str">
        <f ca="1">_xll.qlSwapRateHelper2(C19,D19,,E19,F19,G19,H19,I19,J19,K19,L19,M19,,,,'Bootstrapping EONIA'!F$8)</f>
        <v>EO6M_SWAP4Y#0046</v>
      </c>
      <c r="B19" s="59" t="str">
        <f ca="1">_xll.ohRangeRetrieveError(A19)</f>
        <v/>
      </c>
      <c r="C19" s="60" t="str">
        <f t="shared" si="17"/>
        <v>EO6M_SWAP4Y</v>
      </c>
      <c r="D19" s="61">
        <f>_xll.qlQuoteValue(T19)</f>
        <v>2.0000000000000001E-4</v>
      </c>
      <c r="E19" s="72" t="s">
        <v>101</v>
      </c>
      <c r="F19" s="62" t="s">
        <v>98</v>
      </c>
      <c r="G19" s="62" t="s">
        <v>0</v>
      </c>
      <c r="H19" s="60" t="s">
        <v>39</v>
      </c>
      <c r="I19" s="62" t="s">
        <v>13</v>
      </c>
      <c r="J19" s="62" t="str">
        <f>'Passive Indexes'!B$8</f>
        <v>obj_0007d#0005</v>
      </c>
      <c r="K19" s="61">
        <v>0</v>
      </c>
      <c r="L19" s="63" t="s">
        <v>100</v>
      </c>
      <c r="M19" s="62" t="s">
        <v>179</v>
      </c>
      <c r="N19" t="str">
        <f>_xll.qlSwapRateHelper2(O19,D19,,E19,F19,G19,H19,I19,J19,K19,L19)</f>
        <v>EURIB_SWAP4Y#0005</v>
      </c>
      <c r="O19" s="58" t="str">
        <f t="shared" si="18"/>
        <v>EURIB_SWAP4Y</v>
      </c>
      <c r="Q19" t="s">
        <v>101</v>
      </c>
      <c r="S19">
        <f>VLOOKUP(C19,Sheet9!$F:AR,'EUR RateHelpers'!$Q$1,FALSE)</f>
        <v>0.02</v>
      </c>
      <c r="T19" t="str">
        <f>_xll.qlSimpleQuote(O19&amp;"_Quote",S19/100,0.0001)</f>
        <v>EURIB_SWAP4Y_Quote#0005</v>
      </c>
      <c r="U19" s="170"/>
      <c r="V19" s="170"/>
      <c r="AV19" t="e">
        <f ca="1">_xll.qlDiscountCurve("XOIS",AW21:AW37,AV21:AV37,,,_xll.ohTrigger(BC1:BD1))</f>
        <v>#NUM!</v>
      </c>
      <c r="BJ19" t="str">
        <f>BJ15</f>
        <v/>
      </c>
    </row>
    <row r="20" spans="1:62" ht="12.75" x14ac:dyDescent="0.2">
      <c r="A20" s="58" t="str">
        <f ca="1">_xll.qlSwapRateHelper2(C20,D20,,E20,F20,G20,H20,I20,J20,K20,L20,M20,,,,'Bootstrapping EONIA'!F$8)</f>
        <v>EO6M_SWAP5Y#0046</v>
      </c>
      <c r="B20" s="59" t="str">
        <f ca="1">_xll.ohRangeRetrieveError(A20)</f>
        <v/>
      </c>
      <c r="C20" s="60" t="str">
        <f t="shared" si="17"/>
        <v>EO6M_SWAP5Y</v>
      </c>
      <c r="D20" s="61">
        <f>_xll.qlQuoteValue(T20)</f>
        <v>1.3500000000000001E-3</v>
      </c>
      <c r="E20" s="72" t="s">
        <v>102</v>
      </c>
      <c r="F20" s="62" t="s">
        <v>98</v>
      </c>
      <c r="G20" s="62" t="s">
        <v>0</v>
      </c>
      <c r="H20" s="60" t="s">
        <v>39</v>
      </c>
      <c r="I20" s="62" t="s">
        <v>13</v>
      </c>
      <c r="J20" s="62" t="str">
        <f>'Passive Indexes'!B$8</f>
        <v>obj_0007d#0005</v>
      </c>
      <c r="K20" s="61">
        <v>0</v>
      </c>
      <c r="L20" s="63" t="s">
        <v>100</v>
      </c>
      <c r="M20" s="62" t="s">
        <v>179</v>
      </c>
      <c r="N20" t="str">
        <f>_xll.qlSwapRateHelper2(O20,D20,,E20,F20,G20,H20,I20,J20,K20,L20)</f>
        <v>EURIB_SWAP5Y#0005</v>
      </c>
      <c r="O20" s="58" t="str">
        <f t="shared" si="18"/>
        <v>EURIB_SWAP5Y</v>
      </c>
      <c r="Q20" t="s">
        <v>102</v>
      </c>
      <c r="S20">
        <f>VLOOKUP(C20,Sheet9!$F:AR,'EUR RateHelpers'!$Q$1,FALSE)</f>
        <v>0.13500000000000001</v>
      </c>
      <c r="T20" t="str">
        <f>_xll.qlSimpleQuote(O20&amp;"_Quote",S20/100,10000)</f>
        <v>EURIB_SWAP5Y_Quote#0005</v>
      </c>
      <c r="U20" s="170"/>
      <c r="V20" s="170"/>
      <c r="AU20" s="105" t="s">
        <v>179</v>
      </c>
      <c r="AV20" s="105" t="s">
        <v>249</v>
      </c>
      <c r="AX20" s="105" t="s">
        <v>223</v>
      </c>
      <c r="AY20" s="105" t="s">
        <v>248</v>
      </c>
    </row>
    <row r="21" spans="1:62" ht="12.75" x14ac:dyDescent="0.2">
      <c r="A21" s="58" t="str">
        <f ca="1">_xll.qlSwapRateHelper2(C21,D21,,E21,F21,G21,H21,I21,J21,K21,L21,M21,,,,'Bootstrapping EONIA'!F$8)</f>
        <v>EO6M_SWAP6Y#0046</v>
      </c>
      <c r="B21" s="59" t="str">
        <f ca="1">_xll.ohRangeRetrieveError(A21)</f>
        <v/>
      </c>
      <c r="C21" s="60" t="str">
        <f t="shared" si="17"/>
        <v>EO6M_SWAP6Y</v>
      </c>
      <c r="D21" s="61">
        <f>_xll.qlQuoteValue(T21)</f>
        <v>2.5999999999999999E-3</v>
      </c>
      <c r="E21" s="72" t="s">
        <v>103</v>
      </c>
      <c r="F21" s="62" t="s">
        <v>98</v>
      </c>
      <c r="G21" s="62" t="s">
        <v>0</v>
      </c>
      <c r="H21" s="60" t="s">
        <v>39</v>
      </c>
      <c r="I21" s="62" t="s">
        <v>13</v>
      </c>
      <c r="J21" s="62" t="str">
        <f>'Passive Indexes'!B$8</f>
        <v>obj_0007d#0005</v>
      </c>
      <c r="K21" s="61">
        <v>0</v>
      </c>
      <c r="L21" s="63" t="s">
        <v>100</v>
      </c>
      <c r="M21" s="62" t="s">
        <v>179</v>
      </c>
      <c r="N21" t="str">
        <f>_xll.qlSwapRateHelper2(O21,D21,,E21,F21,G21,H21,I21,J21,K21,L21)</f>
        <v>EURIB_SWAP6Y#0005</v>
      </c>
      <c r="O21" s="58" t="str">
        <f t="shared" si="18"/>
        <v>EURIB_SWAP6Y</v>
      </c>
      <c r="Q21" t="s">
        <v>103</v>
      </c>
      <c r="S21">
        <f>VLOOKUP(C21,Sheet9!$F:AR,'EUR RateHelpers'!$Q$1,FALSE)</f>
        <v>0.26</v>
      </c>
      <c r="T21" t="str">
        <f>_xll.qlSimpleQuote(O21&amp;"_Quote",S21/100,0.0001)</f>
        <v>EURIB_SWAP6Y_Quote#0005</v>
      </c>
      <c r="U21" s="170"/>
      <c r="V21" s="170"/>
      <c r="AV21">
        <v>1</v>
      </c>
      <c r="AW21" s="14">
        <f>_xll.qlSettingsEvaluationDate()</f>
        <v>42759</v>
      </c>
    </row>
    <row r="22" spans="1:62" ht="12.75" x14ac:dyDescent="0.2">
      <c r="A22" s="58" t="str">
        <f ca="1">_xll.qlSwapRateHelper2(C22,D22,,E22,F22,G22,H22,I22,J22,K22,L22,M22,,,,'Bootstrapping EONIA'!F$8)</f>
        <v>EO6M_SWAP7Y#0046</v>
      </c>
      <c r="B22" s="59" t="str">
        <f ca="1">_xll.ohRangeRetrieveError(A22)</f>
        <v/>
      </c>
      <c r="C22" s="60" t="str">
        <f t="shared" si="17"/>
        <v>EO6M_SWAP7Y</v>
      </c>
      <c r="D22" s="61">
        <f>_xll.qlQuoteValue(T22)</f>
        <v>3.9199999999999999E-3</v>
      </c>
      <c r="E22" s="72" t="s">
        <v>104</v>
      </c>
      <c r="F22" s="62" t="s">
        <v>98</v>
      </c>
      <c r="G22" s="62" t="s">
        <v>0</v>
      </c>
      <c r="H22" s="60" t="s">
        <v>39</v>
      </c>
      <c r="I22" s="62" t="s">
        <v>13</v>
      </c>
      <c r="J22" s="62" t="str">
        <f>'Passive Indexes'!B$8</f>
        <v>obj_0007d#0005</v>
      </c>
      <c r="K22" s="61">
        <v>0</v>
      </c>
      <c r="L22" s="63" t="s">
        <v>100</v>
      </c>
      <c r="M22" s="62" t="s">
        <v>179</v>
      </c>
      <c r="N22" t="str">
        <f>_xll.qlSwapRateHelper2(O22,D22,,E22,F22,G22,H22,I22,J22,K22,L22)</f>
        <v>EURIB_SWAP7Y#0005</v>
      </c>
      <c r="O22" s="58" t="str">
        <f t="shared" si="18"/>
        <v>EURIB_SWAP7Y</v>
      </c>
      <c r="Q22" t="s">
        <v>104</v>
      </c>
      <c r="S22">
        <f>VLOOKUP(C22,Sheet9!$F:AR,'EUR RateHelpers'!$Q$1,FALSE)</f>
        <v>0.39200000000000002</v>
      </c>
      <c r="T22" t="str">
        <f>_xll.qlSimpleQuote(O22&amp;"_Quote",S22/100,0.0001)</f>
        <v>EURIB_SWAP7Y_Quote#0005</v>
      </c>
      <c r="U22" s="170"/>
      <c r="V22" s="170"/>
      <c r="X22" t="e">
        <f>#REF!</f>
        <v>#REF!</v>
      </c>
      <c r="AL22" s="102">
        <v>42632</v>
      </c>
      <c r="AM22" s="102">
        <f>AW22</f>
        <v>42761</v>
      </c>
      <c r="AN22" s="30">
        <v>1.121</v>
      </c>
      <c r="AQ22" s="30">
        <v>1.1176999999999999</v>
      </c>
      <c r="AU22">
        <f t="array" aca="1" ref="AU22:AU37" ca="1">_xll.qlYieldTSDiscount("EONIA",AX1:AX16,,'Bootstrapping EONIA'!F8)</f>
        <v>1.0000195614854199</v>
      </c>
      <c r="AV22" s="107" t="e">
        <f t="shared" ref="AV22" ca="1" si="19">AY22/(AX22/AU22)</f>
        <v>#NUM!</v>
      </c>
      <c r="AW22" s="102">
        <f t="shared" ref="AW22:AW37" si="20">AX1</f>
        <v>42761</v>
      </c>
      <c r="AX22" t="e">
        <f t="shared" ref="AX22:AX34" si="21">BC1</f>
        <v>#NUM!</v>
      </c>
      <c r="AY22" t="e">
        <f t="shared" ref="AY22:AY34" si="22">BD1</f>
        <v>#NUM!</v>
      </c>
    </row>
    <row r="23" spans="1:62" ht="12.75" x14ac:dyDescent="0.2">
      <c r="A23" s="58" t="str">
        <f ca="1">_xll.qlSwapRateHelper2(C23,D23,,E23,F23,G23,H23,I23,J23,K23,L23,M23,,,,'Bootstrapping EONIA'!F$8)</f>
        <v>EO6M_SWAP8Y#0042</v>
      </c>
      <c r="B23" s="59" t="str">
        <f ca="1">_xll.ohRangeRetrieveError(A23)</f>
        <v/>
      </c>
      <c r="C23" s="60" t="str">
        <f t="shared" si="17"/>
        <v>EO6M_SWAP8Y</v>
      </c>
      <c r="D23" s="61">
        <f>_xll.qlQuoteValue(T23)</f>
        <v>5.2199999999999998E-3</v>
      </c>
      <c r="E23" s="72" t="s">
        <v>105</v>
      </c>
      <c r="F23" s="62" t="s">
        <v>98</v>
      </c>
      <c r="G23" s="62" t="s">
        <v>0</v>
      </c>
      <c r="H23" s="60" t="s">
        <v>39</v>
      </c>
      <c r="I23" s="62" t="s">
        <v>13</v>
      </c>
      <c r="J23" s="62" t="str">
        <f>'Passive Indexes'!B$8</f>
        <v>obj_0007d#0005</v>
      </c>
      <c r="K23" s="61">
        <v>0</v>
      </c>
      <c r="L23" s="63" t="s">
        <v>100</v>
      </c>
      <c r="M23" s="62" t="s">
        <v>179</v>
      </c>
      <c r="N23" t="str">
        <f>_xll.qlSwapRateHelper2(O23,D23,,E23,F23,G23,H23,I23,J23,K23,L23)</f>
        <v>EURIB_SWAP8Y#0005</v>
      </c>
      <c r="O23" s="58" t="str">
        <f t="shared" si="18"/>
        <v>EURIB_SWAP8Y</v>
      </c>
      <c r="Q23" t="s">
        <v>105</v>
      </c>
      <c r="S23">
        <f>VLOOKUP(C23,Sheet9!$F:AR,'EUR RateHelpers'!$Q$1,FALSE)</f>
        <v>0.52200000000000002</v>
      </c>
      <c r="T23" t="str">
        <f>_xll.qlSimpleQuote(O23&amp;"_Quote",S23/100,0.0001)</f>
        <v>EURIB_SWAP8Y_Quote#0005</v>
      </c>
      <c r="U23" s="170"/>
      <c r="V23" s="170"/>
      <c r="AC23" s="165"/>
      <c r="AD23" s="102"/>
      <c r="AE23" s="145"/>
      <c r="AF23" s="145"/>
      <c r="AM23" s="102">
        <f t="shared" ref="AM23:AM37" si="23">AW23</f>
        <v>42851</v>
      </c>
      <c r="AN23" s="30" t="e">
        <f ca="1">AN$22*((AU23/AU$22)/(AV23/AV$22))</f>
        <v>#NUM!</v>
      </c>
      <c r="AO23" s="108" t="e">
        <f ca="1">10000*(AN23-AN$22)</f>
        <v>#NUM!</v>
      </c>
      <c r="AP23" s="108">
        <v>42.24</v>
      </c>
      <c r="AQ23" s="30" t="e">
        <f>AQ$22*((AX23/AX$22)/(AY23/AY$22))</f>
        <v>#NUM!</v>
      </c>
      <c r="AR23" s="108" t="e">
        <f>10000*(AQ23-AQ$22)</f>
        <v>#NUM!</v>
      </c>
      <c r="AU23">
        <f ca="1"/>
        <v>1.0009028582578325</v>
      </c>
      <c r="AV23" s="107" t="e">
        <f ca="1">AY23/(AX23/AU23)</f>
        <v>#NUM!</v>
      </c>
      <c r="AW23" s="102">
        <f t="shared" si="20"/>
        <v>42851</v>
      </c>
      <c r="AX23" t="e">
        <f t="shared" si="21"/>
        <v>#NUM!</v>
      </c>
      <c r="AY23" t="e">
        <f t="shared" si="22"/>
        <v>#NUM!</v>
      </c>
    </row>
    <row r="24" spans="1:62" ht="12.75" x14ac:dyDescent="0.2">
      <c r="A24" s="58" t="str">
        <f ca="1">_xll.qlSwapRateHelper2(C24,D24,,E24,F24,G24,H24,I24,J24,K24,L24,M24,,,,'Bootstrapping EONIA'!F$8)</f>
        <v>EO6M_SWAP9Y#0042</v>
      </c>
      <c r="B24" s="59" t="str">
        <f ca="1">_xll.ohRangeRetrieveError(A24)</f>
        <v/>
      </c>
      <c r="C24" s="60" t="str">
        <f t="shared" si="17"/>
        <v>EO6M_SWAP9Y</v>
      </c>
      <c r="D24" s="61">
        <f>_xll.qlQuoteValue(T24)</f>
        <v>6.4600000000000005E-3</v>
      </c>
      <c r="E24" s="72" t="s">
        <v>106</v>
      </c>
      <c r="F24" s="62" t="s">
        <v>98</v>
      </c>
      <c r="G24" s="62" t="s">
        <v>0</v>
      </c>
      <c r="H24" s="60" t="s">
        <v>39</v>
      </c>
      <c r="I24" s="62" t="s">
        <v>13</v>
      </c>
      <c r="J24" s="62" t="str">
        <f>'Passive Indexes'!B$8</f>
        <v>obj_0007d#0005</v>
      </c>
      <c r="K24" s="61">
        <v>0</v>
      </c>
      <c r="L24" s="63" t="s">
        <v>100</v>
      </c>
      <c r="M24" s="62" t="s">
        <v>179</v>
      </c>
      <c r="N24" t="str">
        <f>_xll.qlSwapRateHelper2(O24,D24,,E24,F24,G24,H24,I24,J24,K24,L24)</f>
        <v>EURIB_SWAP9Y#0005</v>
      </c>
      <c r="O24" s="58" t="str">
        <f t="shared" si="18"/>
        <v>EURIB_SWAP9Y</v>
      </c>
      <c r="Q24" t="s">
        <v>106</v>
      </c>
      <c r="S24">
        <f>VLOOKUP(C24,Sheet9!$F:AR,'EUR RateHelpers'!$Q$1,FALSE)</f>
        <v>0.64600000000000002</v>
      </c>
      <c r="T24" t="str">
        <f>_xll.qlSimpleQuote(O24&amp;"_Quote",S24/100,0.0001)</f>
        <v>EURIB_SWAP9Y_Quote#0005</v>
      </c>
      <c r="U24" s="170"/>
      <c r="V24" s="170"/>
      <c r="AM24" s="102">
        <f t="shared" si="23"/>
        <v>42942</v>
      </c>
      <c r="AN24" s="30" t="e">
        <f t="shared" ref="AN24:AN37" ca="1" si="24">AN$22*((AU24/AU$22)/(AV24/AV$22))</f>
        <v>#NUM!</v>
      </c>
      <c r="AO24" s="108" t="e">
        <f t="shared" ref="AO24:AO37" ca="1" si="25">10000*(AN24-AN$22)</f>
        <v>#NUM!</v>
      </c>
      <c r="AP24" s="108">
        <v>89.42</v>
      </c>
      <c r="AQ24" s="30" t="e">
        <f t="shared" ref="AQ24:AQ37" si="26">AQ$22*((AX24/AX$22)/(AY24/AY$22))</f>
        <v>#NUM!</v>
      </c>
      <c r="AR24" s="108" t="e">
        <f t="shared" ref="AR24:AR37" si="27">10000*(AQ24-AQ$22)</f>
        <v>#NUM!</v>
      </c>
      <c r="AU24">
        <f ca="1"/>
        <v>1.0018026031519369</v>
      </c>
      <c r="AV24" s="107" t="e">
        <f t="shared" ref="AV24:AV37" ca="1" si="28">AY24/(AX24/AU24)</f>
        <v>#NUM!</v>
      </c>
      <c r="AW24" s="102">
        <f t="shared" si="20"/>
        <v>42942</v>
      </c>
      <c r="AX24" t="e">
        <f t="shared" si="21"/>
        <v>#NUM!</v>
      </c>
      <c r="AY24" t="e">
        <f t="shared" si="22"/>
        <v>#NUM!</v>
      </c>
    </row>
    <row r="25" spans="1:62" ht="12.75" x14ac:dyDescent="0.2">
      <c r="A25" s="58" t="str">
        <f ca="1">_xll.qlSwapRateHelper2(C25,D25,,E25,F25,G25,H25,I25,J25,K25,L25,M25,,,,'Bootstrapping EONIA'!F$8)</f>
        <v>EO6M_SWAP10Y#0046</v>
      </c>
      <c r="B25" s="59" t="str">
        <f ca="1">_xll.ohRangeRetrieveError(A25)</f>
        <v/>
      </c>
      <c r="C25" s="60" t="str">
        <f t="shared" si="17"/>
        <v>EO6M_SWAP10Y</v>
      </c>
      <c r="D25" s="61">
        <f>_xll.qlQuoteValue(T25)</f>
        <v>7.5900000000000004E-3</v>
      </c>
      <c r="E25" s="72" t="s">
        <v>79</v>
      </c>
      <c r="F25" s="62" t="s">
        <v>98</v>
      </c>
      <c r="G25" s="62" t="s">
        <v>0</v>
      </c>
      <c r="H25" s="60" t="s">
        <v>39</v>
      </c>
      <c r="I25" s="62" t="s">
        <v>13</v>
      </c>
      <c r="J25" s="62" t="str">
        <f>'Passive Indexes'!B$8</f>
        <v>obj_0007d#0005</v>
      </c>
      <c r="K25" s="61">
        <v>0</v>
      </c>
      <c r="L25" s="63" t="s">
        <v>100</v>
      </c>
      <c r="M25" s="62" t="s">
        <v>179</v>
      </c>
      <c r="N25" t="str">
        <f>_xll.qlSwapRateHelper2(O25,D25,,E25,F25,G25,H25,I25,J25,K25,L25)</f>
        <v>EURIB_SWAP10Y#0005</v>
      </c>
      <c r="O25" s="58" t="str">
        <f t="shared" si="18"/>
        <v>EURIB_SWAP10Y</v>
      </c>
      <c r="Q25" t="s">
        <v>79</v>
      </c>
      <c r="S25">
        <f>VLOOKUP(C25,Sheet9!$F:AR,'EUR RateHelpers'!$Q$1,FALSE)</f>
        <v>0.75900000000000001</v>
      </c>
      <c r="T25" t="str">
        <f>_xll.qlSimpleQuote(O25&amp;"_Quote",S25/100,0.0001)</f>
        <v>EURIB_SWAP10Y_Quote#0005</v>
      </c>
      <c r="U25" s="170"/>
      <c r="V25" s="170"/>
      <c r="AM25" s="102">
        <f t="shared" si="23"/>
        <v>43034</v>
      </c>
      <c r="AN25" s="30" t="e">
        <f t="shared" ca="1" si="24"/>
        <v>#NUM!</v>
      </c>
      <c r="AO25" s="108" t="e">
        <f t="shared" ca="1" si="25"/>
        <v>#NUM!</v>
      </c>
      <c r="AP25" s="108">
        <v>137.87</v>
      </c>
      <c r="AQ25" s="30" t="e">
        <f t="shared" si="26"/>
        <v>#NUM!</v>
      </c>
      <c r="AR25" s="108" t="e">
        <f t="shared" si="27"/>
        <v>#NUM!</v>
      </c>
      <c r="AU25">
        <f ca="1"/>
        <v>1.0026960915860679</v>
      </c>
      <c r="AV25" s="107" t="e">
        <f t="shared" ca="1" si="28"/>
        <v>#NUM!</v>
      </c>
      <c r="AW25" s="102">
        <f t="shared" si="20"/>
        <v>43034</v>
      </c>
      <c r="AX25" t="e">
        <f t="shared" si="21"/>
        <v>#NUM!</v>
      </c>
      <c r="AY25" t="e">
        <f t="shared" si="22"/>
        <v>#NUM!</v>
      </c>
    </row>
    <row r="26" spans="1:62" ht="12.75" x14ac:dyDescent="0.2">
      <c r="A26" s="58" t="str">
        <f ca="1">_xll.qlSwapRateHelper2(C26,D26,,E26,F26,G26,H26,I26,J26,K26,L26,M26,,,,'Bootstrapping EONIA'!F$8)</f>
        <v>EO6M_SWAP11Y#0042</v>
      </c>
      <c r="B26" s="59" t="str">
        <f ca="1">_xll.ohRangeRetrieveError(A26)</f>
        <v/>
      </c>
      <c r="C26" s="60" t="str">
        <f t="shared" si="17"/>
        <v>EO6M_SWAP11Y</v>
      </c>
      <c r="D26" s="61">
        <f>_xll.qlQuoteValue(T26)</f>
        <v>8.6E-3</v>
      </c>
      <c r="E26" s="72" t="s">
        <v>158</v>
      </c>
      <c r="F26" s="62" t="s">
        <v>98</v>
      </c>
      <c r="G26" s="62" t="s">
        <v>0</v>
      </c>
      <c r="H26" s="60" t="s">
        <v>39</v>
      </c>
      <c r="I26" s="62" t="s">
        <v>13</v>
      </c>
      <c r="J26" s="62" t="str">
        <f>'Passive Indexes'!B$8</f>
        <v>obj_0007d#0005</v>
      </c>
      <c r="K26" s="61">
        <v>0</v>
      </c>
      <c r="L26" s="63" t="s">
        <v>100</v>
      </c>
      <c r="M26" s="62" t="s">
        <v>179</v>
      </c>
      <c r="N26" t="str">
        <f>_xll.qlSwapRateHelper2(O26,D26,,E26,F26,G26,H26,I26,J26,K26,L26)</f>
        <v>EURIB_SWAP11Y#0005</v>
      </c>
      <c r="O26" s="58" t="str">
        <f t="shared" si="18"/>
        <v>EURIB_SWAP11Y</v>
      </c>
      <c r="Q26" t="s">
        <v>158</v>
      </c>
      <c r="S26">
        <f>VLOOKUP(C26,Sheet9!$F:AR,'EUR RateHelpers'!$Q$1,FALSE)</f>
        <v>0.86</v>
      </c>
      <c r="T26" t="str">
        <f>_xll.qlSimpleQuote(O26&amp;"_Quote",S26/100,0.0001)</f>
        <v>EURIB_SWAP11Y_Quote#0005</v>
      </c>
      <c r="U26" s="170"/>
      <c r="V26" s="170"/>
      <c r="AM26" s="102">
        <f t="shared" si="23"/>
        <v>43126</v>
      </c>
      <c r="AN26" s="30" t="e">
        <f t="shared" ca="1" si="24"/>
        <v>#NUM!</v>
      </c>
      <c r="AO26" s="108" t="e">
        <f t="shared" ca="1" si="25"/>
        <v>#NUM!</v>
      </c>
      <c r="AP26" s="108">
        <v>188.5</v>
      </c>
      <c r="AQ26" s="30" t="e">
        <f t="shared" si="26"/>
        <v>#NUM!</v>
      </c>
      <c r="AR26" s="108" t="e">
        <f t="shared" si="27"/>
        <v>#NUM!</v>
      </c>
      <c r="AU26">
        <f ca="1"/>
        <v>1.0035689214254975</v>
      </c>
      <c r="AV26" s="107" t="e">
        <f t="shared" ca="1" si="28"/>
        <v>#NUM!</v>
      </c>
      <c r="AW26" s="102">
        <f t="shared" si="20"/>
        <v>43126</v>
      </c>
      <c r="AX26" t="e">
        <f t="shared" si="21"/>
        <v>#NUM!</v>
      </c>
      <c r="AY26" t="e">
        <f t="shared" si="22"/>
        <v>#NUM!</v>
      </c>
    </row>
    <row r="27" spans="1:62" ht="12.75" x14ac:dyDescent="0.2">
      <c r="A27" s="58" t="str">
        <f ca="1">_xll.qlSwapRateHelper2(C27,D27,,E27,F27,G27,H27,I27,J27,K27,L27,M27,,,,'Bootstrapping EONIA'!F$8)</f>
        <v>EO6M_SWAP12Y#0042</v>
      </c>
      <c r="B27" s="59" t="str">
        <f ca="1">_xll.ohRangeRetrieveError(A27)</f>
        <v/>
      </c>
      <c r="C27" s="60" t="str">
        <f t="shared" si="17"/>
        <v>EO6M_SWAP12Y</v>
      </c>
      <c r="D27" s="61">
        <f>_xll.qlQuoteValue(T27)</f>
        <v>9.4900000000000002E-3</v>
      </c>
      <c r="E27" s="72" t="s">
        <v>159</v>
      </c>
      <c r="F27" s="62" t="s">
        <v>98</v>
      </c>
      <c r="G27" s="62" t="s">
        <v>0</v>
      </c>
      <c r="H27" s="60" t="s">
        <v>39</v>
      </c>
      <c r="I27" s="62" t="s">
        <v>13</v>
      </c>
      <c r="J27" s="62" t="str">
        <f>'Passive Indexes'!B$8</f>
        <v>obj_0007d#0005</v>
      </c>
      <c r="K27" s="61">
        <v>0</v>
      </c>
      <c r="L27" s="63" t="s">
        <v>100</v>
      </c>
      <c r="M27" s="62" t="s">
        <v>179</v>
      </c>
      <c r="N27" t="str">
        <f>_xll.qlSwapRateHelper2(O27,D27,,E27,F27,G27,H27,I27,J27,K27,L27)</f>
        <v>EURIB_SWAP12Y#0005</v>
      </c>
      <c r="O27" s="58" t="str">
        <f t="shared" si="18"/>
        <v>EURIB_SWAP12Y</v>
      </c>
      <c r="Q27" t="s">
        <v>159</v>
      </c>
      <c r="S27">
        <f>VLOOKUP(C27,Sheet9!$F:AR,'EUR RateHelpers'!$Q$1,FALSE)</f>
        <v>0.94899999999999995</v>
      </c>
      <c r="T27" t="str">
        <f>_xll.qlSimpleQuote(O27&amp;"_Quote",S27/100,0.0001)</f>
        <v>EURIB_SWAP12Y_Quote#0005</v>
      </c>
      <c r="U27" s="170"/>
      <c r="V27" s="170"/>
      <c r="AM27" s="102">
        <f t="shared" si="23"/>
        <v>43493</v>
      </c>
      <c r="AN27" s="30" t="e">
        <f t="shared" ca="1" si="24"/>
        <v>#NUM!</v>
      </c>
      <c r="AO27" s="108" t="e">
        <f t="shared" ca="1" si="25"/>
        <v>#NUM!</v>
      </c>
      <c r="AP27" s="108">
        <v>402.78</v>
      </c>
      <c r="AQ27" s="30" t="e">
        <f t="shared" si="26"/>
        <v>#NUM!</v>
      </c>
      <c r="AR27" s="108" t="e">
        <f t="shared" si="27"/>
        <v>#NUM!</v>
      </c>
      <c r="AU27">
        <f ca="1"/>
        <v>1.0064361928207812</v>
      </c>
      <c r="AV27" s="107" t="e">
        <f t="shared" ca="1" si="28"/>
        <v>#NUM!</v>
      </c>
      <c r="AW27" s="102">
        <f t="shared" si="20"/>
        <v>43493</v>
      </c>
      <c r="AX27" t="e">
        <f t="shared" si="21"/>
        <v>#NUM!</v>
      </c>
      <c r="AY27" t="e">
        <f t="shared" si="22"/>
        <v>#NUM!</v>
      </c>
    </row>
    <row r="28" spans="1:62" ht="12.75" x14ac:dyDescent="0.2">
      <c r="A28" s="58" t="str">
        <f ca="1">_xll.qlSwapRateHelper2(C28,D28,,E28,F28,G28,H28,I28,J28,K28,L28,M28,,,,'Bootstrapping EONIA'!F$8)</f>
        <v>EO6M_SWAP13Y#0046</v>
      </c>
      <c r="B28" s="59" t="str">
        <f ca="1">_xll.ohRangeRetrieveError(A28)</f>
        <v/>
      </c>
      <c r="C28" s="60" t="str">
        <f t="shared" si="17"/>
        <v>EO6M_SWAP13Y</v>
      </c>
      <c r="D28" s="61">
        <f>_xll.qlQuoteValue(T28)</f>
        <v>1.0249999999999999E-2</v>
      </c>
      <c r="E28" s="72" t="s">
        <v>160</v>
      </c>
      <c r="F28" s="62" t="s">
        <v>98</v>
      </c>
      <c r="G28" s="62" t="s">
        <v>0</v>
      </c>
      <c r="H28" s="60" t="s">
        <v>39</v>
      </c>
      <c r="I28" s="62" t="s">
        <v>13</v>
      </c>
      <c r="J28" s="62" t="str">
        <f>'Passive Indexes'!B$8</f>
        <v>obj_0007d#0005</v>
      </c>
      <c r="K28" s="61">
        <v>0</v>
      </c>
      <c r="L28" s="63" t="s">
        <v>100</v>
      </c>
      <c r="M28" s="62" t="s">
        <v>179</v>
      </c>
      <c r="N28" t="str">
        <f>_xll.qlSwapRateHelper2(O28,D28,,E28,F28,G28,H28,I28,J28,K28,L28)</f>
        <v>EURIB_SWAP13Y#0005</v>
      </c>
      <c r="O28" s="58" t="str">
        <f t="shared" si="18"/>
        <v>EURIB_SWAP13Y</v>
      </c>
      <c r="Q28" t="s">
        <v>160</v>
      </c>
      <c r="S28">
        <f>VLOOKUP(C28,Sheet9!$F:AR,'EUR RateHelpers'!$Q$1,FALSE)</f>
        <v>1.0249999999999999</v>
      </c>
      <c r="T28" t="str">
        <f>_xll.qlSimpleQuote(O28&amp;"_Quote",S28/100,0.0001)</f>
        <v>EURIB_SWAP13Y_Quote#0005</v>
      </c>
      <c r="U28" s="170"/>
      <c r="V28" s="170"/>
      <c r="AM28" s="102">
        <f t="shared" si="23"/>
        <v>43857</v>
      </c>
      <c r="AN28" s="30" t="e">
        <f t="shared" ca="1" si="24"/>
        <v>#NUM!</v>
      </c>
      <c r="AO28" s="108" t="e">
        <f t="shared" ca="1" si="25"/>
        <v>#NUM!</v>
      </c>
      <c r="AP28" s="108">
        <v>634.97</v>
      </c>
      <c r="AQ28" s="30" t="e">
        <f t="shared" si="26"/>
        <v>#NUM!</v>
      </c>
      <c r="AR28" s="108" t="e">
        <f t="shared" si="27"/>
        <v>#NUM!</v>
      </c>
      <c r="AU28">
        <f ca="1"/>
        <v>1.0077983350017712</v>
      </c>
      <c r="AV28" s="107" t="e">
        <f t="shared" ca="1" si="28"/>
        <v>#NUM!</v>
      </c>
      <c r="AW28" s="102">
        <f t="shared" si="20"/>
        <v>43857</v>
      </c>
      <c r="AX28" t="e">
        <f t="shared" si="21"/>
        <v>#NUM!</v>
      </c>
      <c r="AY28" t="e">
        <f t="shared" si="22"/>
        <v>#NUM!</v>
      </c>
    </row>
    <row r="29" spans="1:62" ht="12.75" x14ac:dyDescent="0.2">
      <c r="A29" s="58" t="str">
        <f ca="1">_xll.qlSwapRateHelper2(C29,D29,,E29,F29,G29,H29,I29,J29,K29,L29,M29,,,,'Bootstrapping EONIA'!F$8)</f>
        <v>EO6M_SWAP14Y#0042</v>
      </c>
      <c r="B29" s="59" t="str">
        <f ca="1">_xll.ohRangeRetrieveError(A29)</f>
        <v/>
      </c>
      <c r="C29" s="60" t="str">
        <f t="shared" si="17"/>
        <v>EO6M_SWAP14Y</v>
      </c>
      <c r="D29" s="61">
        <f>_xll.qlQuoteValue(T29)</f>
        <v>1.091E-2</v>
      </c>
      <c r="E29" s="72" t="s">
        <v>161</v>
      </c>
      <c r="F29" s="62" t="s">
        <v>98</v>
      </c>
      <c r="G29" s="62" t="s">
        <v>0</v>
      </c>
      <c r="H29" s="60" t="s">
        <v>39</v>
      </c>
      <c r="I29" s="62" t="s">
        <v>13</v>
      </c>
      <c r="J29" s="62" t="str">
        <f>'Passive Indexes'!B$8</f>
        <v>obj_0007d#0005</v>
      </c>
      <c r="K29" s="61">
        <v>0</v>
      </c>
      <c r="L29" s="63" t="s">
        <v>100</v>
      </c>
      <c r="M29" s="62" t="s">
        <v>179</v>
      </c>
      <c r="N29" t="str">
        <f>_xll.qlSwapRateHelper2(O29,D29,,E29,F29,G29,H29,I29,J29,K29,L29)</f>
        <v>EURIB_SWAP14Y#0005</v>
      </c>
      <c r="O29" s="58" t="str">
        <f t="shared" si="18"/>
        <v>EURIB_SWAP14Y</v>
      </c>
      <c r="Q29" t="s">
        <v>161</v>
      </c>
      <c r="S29">
        <f>VLOOKUP(C29,Sheet9!$F:AR,'EUR RateHelpers'!$Q$1,FALSE)</f>
        <v>1.091</v>
      </c>
      <c r="T29" t="str">
        <f>_xll.qlSimpleQuote(O29&amp;"_Quote",S29/100,0.0001)</f>
        <v>EURIB_SWAP14Y_Quote#0005</v>
      </c>
      <c r="U29" s="170"/>
      <c r="V29" s="170"/>
      <c r="AM29" s="102">
        <f t="shared" si="23"/>
        <v>44222</v>
      </c>
      <c r="AN29" s="30" t="e">
        <f t="shared" ca="1" si="24"/>
        <v>#NUM!</v>
      </c>
      <c r="AO29" s="108" t="e">
        <f t="shared" ca="1" si="25"/>
        <v>#NUM!</v>
      </c>
      <c r="AP29" s="108">
        <v>882.02</v>
      </c>
      <c r="AQ29" s="30" t="e">
        <f t="shared" si="26"/>
        <v>#NUM!</v>
      </c>
      <c r="AR29" s="108" t="e">
        <f t="shared" si="27"/>
        <v>#NUM!</v>
      </c>
      <c r="AU29">
        <f ca="1"/>
        <v>1.0071659728686577</v>
      </c>
      <c r="AV29" s="107" t="e">
        <f t="shared" ca="1" si="28"/>
        <v>#NUM!</v>
      </c>
      <c r="AW29" s="102">
        <f t="shared" si="20"/>
        <v>44222</v>
      </c>
      <c r="AX29" t="e">
        <f t="shared" si="21"/>
        <v>#NUM!</v>
      </c>
      <c r="AY29" t="e">
        <f t="shared" si="22"/>
        <v>#NUM!</v>
      </c>
    </row>
    <row r="30" spans="1:62" ht="12.75" x14ac:dyDescent="0.2">
      <c r="A30" s="58" t="str">
        <f ca="1">_xll.qlSwapRateHelper2(C30,D30,,E30,F30,G30,H30,I30,J30,K30,L30,M30,,,,'Bootstrapping EONIA'!F$8)</f>
        <v>EO6M_SWAP15Y#0046</v>
      </c>
      <c r="B30" s="59" t="str">
        <f ca="1">_xll.ohRangeRetrieveError(A30)</f>
        <v/>
      </c>
      <c r="C30" s="60" t="str">
        <f t="shared" si="17"/>
        <v>EO6M_SWAP15Y</v>
      </c>
      <c r="D30" s="61">
        <f>_xll.qlQuoteValue(T30)</f>
        <v>1.1470000000000001E-2</v>
      </c>
      <c r="E30" s="72" t="s">
        <v>107</v>
      </c>
      <c r="F30" s="62" t="s">
        <v>98</v>
      </c>
      <c r="G30" s="62" t="s">
        <v>0</v>
      </c>
      <c r="H30" s="60" t="s">
        <v>39</v>
      </c>
      <c r="I30" s="62" t="s">
        <v>13</v>
      </c>
      <c r="J30" s="62" t="str">
        <f>'Passive Indexes'!B$8</f>
        <v>obj_0007d#0005</v>
      </c>
      <c r="K30" s="61">
        <v>0</v>
      </c>
      <c r="L30" s="63" t="s">
        <v>100</v>
      </c>
      <c r="M30" s="62" t="s">
        <v>179</v>
      </c>
      <c r="N30" t="str">
        <f>_xll.qlSwapRateHelper2(O30,D30,,E30,F30,G30,H30,I30,J30,K30,L30)</f>
        <v>EURIB_SWAP15Y#0005</v>
      </c>
      <c r="O30" s="58" t="str">
        <f t="shared" si="18"/>
        <v>EURIB_SWAP15Y</v>
      </c>
      <c r="Q30" t="s">
        <v>107</v>
      </c>
      <c r="S30">
        <f>VLOOKUP(C30,Sheet9!$F:AR,'EUR RateHelpers'!$Q$1,FALSE)</f>
        <v>1.147</v>
      </c>
      <c r="T30" t="str">
        <f>_xll.qlSimpleQuote(O30&amp;"_Quote",S30/100,0.0001)</f>
        <v>EURIB_SWAP15Y_Quote#0005</v>
      </c>
      <c r="U30" s="170"/>
      <c r="V30" s="170"/>
      <c r="AM30" s="102">
        <f t="shared" si="23"/>
        <v>44587</v>
      </c>
      <c r="AN30" s="30" t="e">
        <f t="shared" ca="1" si="24"/>
        <v>#NUM!</v>
      </c>
      <c r="AO30" s="108" t="e">
        <f t="shared" ca="1" si="25"/>
        <v>#NUM!</v>
      </c>
      <c r="AP30" s="108">
        <v>1129</v>
      </c>
      <c r="AQ30" s="30" t="e">
        <f t="shared" si="26"/>
        <v>#NUM!</v>
      </c>
      <c r="AR30" s="108" t="e">
        <f t="shared" si="27"/>
        <v>#NUM!</v>
      </c>
      <c r="AU30">
        <f ca="1"/>
        <v>1.0038967040400708</v>
      </c>
      <c r="AV30" s="107" t="e">
        <f t="shared" ca="1" si="28"/>
        <v>#NUM!</v>
      </c>
      <c r="AW30" s="102">
        <f t="shared" si="20"/>
        <v>44587</v>
      </c>
      <c r="AX30" t="e">
        <f t="shared" si="21"/>
        <v>#NUM!</v>
      </c>
      <c r="AY30" t="e">
        <f t="shared" si="22"/>
        <v>#NUM!</v>
      </c>
    </row>
    <row r="31" spans="1:62" ht="12.75" x14ac:dyDescent="0.2">
      <c r="A31" s="58" t="str">
        <f ca="1">_xll.qlSwapRateHelper2(C31,D31,,E31,F31,G31,H31,I31,J31,K31,L31,M31,,,,'Bootstrapping EONIA'!F$8)</f>
        <v>EO6M_SWAP16Y#0046</v>
      </c>
      <c r="B31" s="59" t="str">
        <f ca="1">_xll.ohRangeRetrieveError(A31)</f>
        <v/>
      </c>
      <c r="C31" s="60" t="str">
        <f t="shared" si="17"/>
        <v>EO6M_SWAP16Y</v>
      </c>
      <c r="D31" s="61">
        <f>_xll.qlQuoteValue(T31)</f>
        <v>1.1939999999999999E-2</v>
      </c>
      <c r="E31" s="72" t="s">
        <v>162</v>
      </c>
      <c r="F31" s="62" t="s">
        <v>98</v>
      </c>
      <c r="G31" s="62" t="s">
        <v>0</v>
      </c>
      <c r="H31" s="60" t="s">
        <v>39</v>
      </c>
      <c r="I31" s="62" t="s">
        <v>13</v>
      </c>
      <c r="J31" s="62" t="str">
        <f>'Passive Indexes'!B$8</f>
        <v>obj_0007d#0005</v>
      </c>
      <c r="K31" s="61">
        <v>0</v>
      </c>
      <c r="L31" s="63" t="s">
        <v>100</v>
      </c>
      <c r="M31" s="62" t="s">
        <v>179</v>
      </c>
      <c r="N31" t="str">
        <f>_xll.qlSwapRateHelper2(O31,D31,,E31,F31,G31,H31,I31,J31,K31,L31)</f>
        <v>EURIB_SWAP16Y#0005</v>
      </c>
      <c r="O31" s="58" t="str">
        <f t="shared" si="18"/>
        <v>EURIB_SWAP16Y</v>
      </c>
      <c r="Q31" t="s">
        <v>162</v>
      </c>
      <c r="S31">
        <f>VLOOKUP(C31,Sheet9!$F:AR,'EUR RateHelpers'!$Q$1,FALSE)</f>
        <v>1.194</v>
      </c>
      <c r="T31" t="str">
        <f>_xll.qlSimpleQuote(O31&amp;"_Quote",S31/100,0.0001)</f>
        <v>EURIB_SWAP16Y_Quote#0005</v>
      </c>
      <c r="U31" s="170"/>
      <c r="V31" s="170"/>
      <c r="AM31" s="102">
        <f t="shared" si="23"/>
        <v>45317</v>
      </c>
      <c r="AN31" s="30" t="e">
        <f t="shared" ca="1" si="24"/>
        <v>#NUM!</v>
      </c>
      <c r="AO31" s="108" t="e">
        <f t="shared" ca="1" si="25"/>
        <v>#NUM!</v>
      </c>
      <c r="AP31" s="108">
        <v>1602.1</v>
      </c>
      <c r="AQ31" s="30" t="e">
        <f t="shared" si="26"/>
        <v>#NUM!</v>
      </c>
      <c r="AR31" s="108" t="e">
        <f t="shared" si="27"/>
        <v>#NUM!</v>
      </c>
      <c r="AU31">
        <f ca="1"/>
        <v>0.98785396620355104</v>
      </c>
      <c r="AV31" s="107" t="e">
        <f t="shared" ca="1" si="28"/>
        <v>#NUM!</v>
      </c>
      <c r="AW31" s="102">
        <f t="shared" si="20"/>
        <v>45317</v>
      </c>
      <c r="AX31" t="e">
        <f t="shared" si="21"/>
        <v>#NUM!</v>
      </c>
      <c r="AY31" t="e">
        <f t="shared" si="22"/>
        <v>#NUM!</v>
      </c>
    </row>
    <row r="32" spans="1:62" ht="12.75" x14ac:dyDescent="0.2">
      <c r="A32" s="58" t="str">
        <f ca="1">_xll.qlSwapRateHelper2(C32,D32,,E32,F32,G32,H32,I32,J32,K32,L32,M32,,,,'Bootstrapping EONIA'!F$8)</f>
        <v>EO6M_SWAP17Y#0046</v>
      </c>
      <c r="B32" s="59" t="str">
        <f ca="1">_xll.ohRangeRetrieveError(A32)</f>
        <v/>
      </c>
      <c r="C32" s="60" t="str">
        <f t="shared" si="17"/>
        <v>EO6M_SWAP17Y</v>
      </c>
      <c r="D32" s="61">
        <f>_xll.qlQuoteValue(T32)</f>
        <v>1.2330000000000001E-2</v>
      </c>
      <c r="E32" s="72" t="s">
        <v>163</v>
      </c>
      <c r="F32" s="62" t="s">
        <v>98</v>
      </c>
      <c r="G32" s="62" t="s">
        <v>0</v>
      </c>
      <c r="H32" s="60" t="s">
        <v>39</v>
      </c>
      <c r="I32" s="62" t="s">
        <v>13</v>
      </c>
      <c r="J32" s="62" t="str">
        <f>'Passive Indexes'!B$8</f>
        <v>obj_0007d#0005</v>
      </c>
      <c r="K32" s="61">
        <v>0</v>
      </c>
      <c r="L32" s="63" t="s">
        <v>100</v>
      </c>
      <c r="M32" s="62" t="s">
        <v>179</v>
      </c>
      <c r="N32" t="str">
        <f>_xll.qlSwapRateHelper2(O32,D32,,E32,F32,G32,H32,I32,J32,K32,L32)</f>
        <v>EURIB_SWAP17Y#0005</v>
      </c>
      <c r="O32" s="58" t="str">
        <f t="shared" si="18"/>
        <v>EURIB_SWAP17Y</v>
      </c>
      <c r="Q32" t="s">
        <v>163</v>
      </c>
      <c r="S32">
        <f>VLOOKUP(C32,Sheet9!$F:AR,'EUR RateHelpers'!$Q$1,FALSE)</f>
        <v>1.2330000000000001</v>
      </c>
      <c r="T32" t="str">
        <f>_xll.qlSimpleQuote(O32&amp;"_Quote",S32/100,0.0001)</f>
        <v>EURIB_SWAP17Y_Quote#0005</v>
      </c>
      <c r="U32" s="170"/>
      <c r="V32" s="170"/>
      <c r="AM32" s="102">
        <f t="shared" si="23"/>
        <v>46413</v>
      </c>
      <c r="AN32" s="30" t="e">
        <f t="shared" ca="1" si="24"/>
        <v>#NUM!</v>
      </c>
      <c r="AO32" s="108" t="e">
        <f t="shared" ca="1" si="25"/>
        <v>#NUM!</v>
      </c>
      <c r="AP32" s="108">
        <v>2180.6999999999998</v>
      </c>
      <c r="AQ32" s="30" t="e">
        <f t="shared" si="26"/>
        <v>#NUM!</v>
      </c>
      <c r="AR32" s="108" t="e">
        <f t="shared" si="27"/>
        <v>#NUM!</v>
      </c>
      <c r="AS32" t="e">
        <f>AQ22*AX32/AY32</f>
        <v>#NUM!</v>
      </c>
      <c r="AU32">
        <f ca="1"/>
        <v>0.94431187189824839</v>
      </c>
      <c r="AV32" s="107" t="e">
        <f t="shared" ca="1" si="28"/>
        <v>#NUM!</v>
      </c>
      <c r="AW32" s="102">
        <f t="shared" si="20"/>
        <v>46413</v>
      </c>
      <c r="AX32" t="e">
        <f t="shared" si="21"/>
        <v>#NUM!</v>
      </c>
      <c r="AY32" t="e">
        <f t="shared" si="22"/>
        <v>#NUM!</v>
      </c>
    </row>
    <row r="33" spans="1:79" ht="12.75" x14ac:dyDescent="0.2">
      <c r="A33" s="58" t="str">
        <f ca="1">_xll.qlSwapRateHelper2(C33,D33,,E33,F33,G33,H33,I33,J33,K33,L33,M33,,,,'Bootstrapping EONIA'!F$8)</f>
        <v>EO6M_SWAP18Y#0046</v>
      </c>
      <c r="B33" s="59" t="str">
        <f ca="1">_xll.ohRangeRetrieveError(A33)</f>
        <v/>
      </c>
      <c r="C33" s="60" t="str">
        <f t="shared" si="17"/>
        <v>EO6M_SWAP18Y</v>
      </c>
      <c r="D33" s="61">
        <f>_xll.qlQuoteValue(T33)</f>
        <v>1.265E-2</v>
      </c>
      <c r="E33" s="72" t="s">
        <v>164</v>
      </c>
      <c r="F33" s="62" t="s">
        <v>98</v>
      </c>
      <c r="G33" s="62" t="s">
        <v>0</v>
      </c>
      <c r="H33" s="60" t="s">
        <v>39</v>
      </c>
      <c r="I33" s="62" t="s">
        <v>13</v>
      </c>
      <c r="J33" s="62" t="str">
        <f>'Passive Indexes'!B$8</f>
        <v>obj_0007d#0005</v>
      </c>
      <c r="K33" s="61">
        <v>0</v>
      </c>
      <c r="L33" s="63" t="s">
        <v>100</v>
      </c>
      <c r="M33" s="62" t="s">
        <v>179</v>
      </c>
      <c r="N33" t="str">
        <f>_xll.qlSwapRateHelper2(O33,D33,,E33,F33,G33,H33,I33,J33,K33,L33)</f>
        <v>EURIB_SWAP18Y#0005</v>
      </c>
      <c r="O33" s="58" t="str">
        <f t="shared" si="18"/>
        <v>EURIB_SWAP18Y</v>
      </c>
      <c r="Q33" t="s">
        <v>164</v>
      </c>
      <c r="S33">
        <f>VLOOKUP(C33,Sheet9!$F:AR,'EUR RateHelpers'!$Q$1,FALSE)</f>
        <v>1.2649999999999999</v>
      </c>
      <c r="T33" t="str">
        <f>_xll.qlSimpleQuote(O33&amp;"_Quote",S33/100,0.0001)</f>
        <v>EURIB_SWAP18Y_Quote#0005</v>
      </c>
      <c r="U33" s="170"/>
      <c r="V33" s="170"/>
      <c r="AM33" s="102">
        <f t="shared" si="23"/>
        <v>48239</v>
      </c>
      <c r="AN33" s="30" t="e">
        <f t="shared" ca="1" si="24"/>
        <v>#NUM!</v>
      </c>
      <c r="AO33" s="108" t="e">
        <f t="shared" ca="1" si="25"/>
        <v>#NUM!</v>
      </c>
      <c r="AP33" s="108"/>
      <c r="AQ33" s="30" t="e">
        <f t="shared" si="26"/>
        <v>#NUM!</v>
      </c>
      <c r="AR33" s="108" t="e">
        <f t="shared" si="27"/>
        <v>#NUM!</v>
      </c>
      <c r="AU33">
        <f ca="1"/>
        <v>0.85858499524404963</v>
      </c>
      <c r="AV33" s="107" t="e">
        <f t="shared" ca="1" si="28"/>
        <v>#NUM!</v>
      </c>
      <c r="AW33" s="102">
        <f t="shared" si="20"/>
        <v>48239</v>
      </c>
      <c r="AX33" t="e">
        <f t="shared" si="21"/>
        <v>#NUM!</v>
      </c>
      <c r="AY33" t="e">
        <f t="shared" si="22"/>
        <v>#NUM!</v>
      </c>
    </row>
    <row r="34" spans="1:79" ht="12.75" x14ac:dyDescent="0.2">
      <c r="A34" s="58" t="str">
        <f ca="1">_xll.qlSwapRateHelper2(C34,D34,,E34,F34,G34,H34,I34,J34,K34,L34,M34,,,,'Bootstrapping EONIA'!F$8)</f>
        <v>EO6M_SWAP19Y#0046</v>
      </c>
      <c r="B34" s="59" t="str">
        <f ca="1">_xll.ohRangeRetrieveError(A34)</f>
        <v/>
      </c>
      <c r="C34" s="60" t="str">
        <f t="shared" si="17"/>
        <v>EO6M_SWAP19Y</v>
      </c>
      <c r="D34" s="61">
        <f>_xll.qlQuoteValue(T34)</f>
        <v>1.2920000000000001E-2</v>
      </c>
      <c r="E34" s="72" t="s">
        <v>165</v>
      </c>
      <c r="F34" s="62" t="s">
        <v>98</v>
      </c>
      <c r="G34" s="62" t="s">
        <v>0</v>
      </c>
      <c r="H34" s="60" t="s">
        <v>39</v>
      </c>
      <c r="I34" s="62" t="s">
        <v>13</v>
      </c>
      <c r="J34" s="62" t="str">
        <f>'Passive Indexes'!B$8</f>
        <v>obj_0007d#0005</v>
      </c>
      <c r="K34" s="61">
        <v>0</v>
      </c>
      <c r="L34" s="63" t="s">
        <v>100</v>
      </c>
      <c r="M34" s="62" t="s">
        <v>179</v>
      </c>
      <c r="N34" t="str">
        <f>_xll.qlSwapRateHelper2(O34,D34,,E34,F34,G34,H34,I34,J34,K34,L34)</f>
        <v>EURIB_SWAP19Y#0005</v>
      </c>
      <c r="O34" s="58" t="str">
        <f t="shared" si="18"/>
        <v>EURIB_SWAP19Y</v>
      </c>
      <c r="Q34" t="s">
        <v>165</v>
      </c>
      <c r="S34">
        <f>VLOOKUP(C34,Sheet9!$F:AR,'EUR RateHelpers'!$Q$1,FALSE)</f>
        <v>1.292</v>
      </c>
      <c r="T34" t="str">
        <f>_xll.qlSimpleQuote(O34&amp;"_Quote",S34/100,0.0001)</f>
        <v>EURIB_SWAP19Y_Quote#0005</v>
      </c>
      <c r="U34" s="170"/>
      <c r="V34" s="170"/>
      <c r="AF34" s="105" t="s">
        <v>123</v>
      </c>
      <c r="AG34" s="105" t="s">
        <v>1764</v>
      </c>
      <c r="AH34" s="105" t="s">
        <v>1768</v>
      </c>
      <c r="AM34" s="102">
        <f t="shared" si="23"/>
        <v>50066</v>
      </c>
      <c r="AN34" s="30" t="e">
        <f t="shared" ca="1" si="24"/>
        <v>#NUM!</v>
      </c>
      <c r="AO34" s="108" t="e">
        <f t="shared" ca="1" si="25"/>
        <v>#NUM!</v>
      </c>
      <c r="AP34" s="108"/>
      <c r="AQ34" s="30" t="e">
        <f t="shared" si="26"/>
        <v>#NUM!</v>
      </c>
      <c r="AR34" s="108" t="e">
        <f t="shared" si="27"/>
        <v>#NUM!</v>
      </c>
      <c r="AU34">
        <f ca="1"/>
        <v>0.78302541022796968</v>
      </c>
      <c r="AV34" s="107" t="e">
        <f t="shared" ca="1" si="28"/>
        <v>#NUM!</v>
      </c>
      <c r="AW34" s="102">
        <f t="shared" si="20"/>
        <v>50066</v>
      </c>
      <c r="AX34" t="e">
        <f t="shared" si="21"/>
        <v>#NUM!</v>
      </c>
      <c r="AY34" t="e">
        <f t="shared" si="22"/>
        <v>#NUM!</v>
      </c>
    </row>
    <row r="35" spans="1:79" ht="12.75" x14ac:dyDescent="0.2">
      <c r="A35" s="58" t="str">
        <f ca="1">_xll.qlSwapRateHelper2(C35,D35,,E35,F35,G35,H35,I35,J35,K35,L35,M35,,,,'Bootstrapping EONIA'!F$8)</f>
        <v>EO6M_SWAP20Y#0042</v>
      </c>
      <c r="B35" s="59" t="str">
        <f ca="1">_xll.ohRangeRetrieveError(A35)</f>
        <v/>
      </c>
      <c r="C35" s="60" t="str">
        <f t="shared" si="17"/>
        <v>EO6M_SWAP20Y</v>
      </c>
      <c r="D35" s="61">
        <f>_xll.qlQuoteValue(T35)</f>
        <v>1.3129999999999999E-2</v>
      </c>
      <c r="E35" s="72" t="s">
        <v>108</v>
      </c>
      <c r="F35" s="62" t="s">
        <v>98</v>
      </c>
      <c r="G35" s="62" t="s">
        <v>0</v>
      </c>
      <c r="H35" s="60" t="s">
        <v>39</v>
      </c>
      <c r="I35" s="62" t="s">
        <v>13</v>
      </c>
      <c r="J35" s="62" t="str">
        <f>'Passive Indexes'!B$8</f>
        <v>obj_0007d#0005</v>
      </c>
      <c r="K35" s="61">
        <v>0</v>
      </c>
      <c r="L35" s="63" t="s">
        <v>100</v>
      </c>
      <c r="M35" s="62" t="s">
        <v>179</v>
      </c>
      <c r="N35" t="str">
        <f>_xll.qlSwapRateHelper2(O35,D35,,E35,F35,G35,H35,I35,J35,K35,L35)</f>
        <v>EURIB_SWAP20Y#0005</v>
      </c>
      <c r="O35" s="58" t="str">
        <f t="shared" si="18"/>
        <v>EURIB_SWAP20Y</v>
      </c>
      <c r="Q35" t="s">
        <v>108</v>
      </c>
      <c r="S35">
        <f>VLOOKUP(C35,Sheet9!$F:AR,'EUR RateHelpers'!$Q$1,FALSE)</f>
        <v>1.3129999999999999</v>
      </c>
      <c r="T35" t="str">
        <f>_xll.qlSimpleQuote(O35&amp;"_Quote",S35/100,0.0001)</f>
        <v>EURIB_SWAP20Y_Quote#0005</v>
      </c>
      <c r="U35" s="170"/>
      <c r="V35" s="170"/>
      <c r="AD35" s="105" t="s">
        <v>1756</v>
      </c>
      <c r="AF35" s="105" t="s">
        <v>1771</v>
      </c>
      <c r="AG35" s="105" t="s">
        <v>1771</v>
      </c>
      <c r="AH35" s="105" t="s">
        <v>1771</v>
      </c>
      <c r="AM35" s="102">
        <f t="shared" si="23"/>
        <v>53720</v>
      </c>
      <c r="AN35" s="30" t="e">
        <f t="shared" ca="1" si="24"/>
        <v>#NUM!</v>
      </c>
      <c r="AO35" s="108" t="e">
        <f t="shared" ca="1" si="25"/>
        <v>#NUM!</v>
      </c>
      <c r="AP35" s="108"/>
      <c r="AQ35" s="30" t="e">
        <f t="shared" si="26"/>
        <v>#NUM!</v>
      </c>
      <c r="AR35" s="108" t="e">
        <f t="shared" si="27"/>
        <v>#NUM!</v>
      </c>
      <c r="AU35">
        <f ca="1"/>
        <v>0.66811998679639428</v>
      </c>
      <c r="AV35" s="107" t="e">
        <f t="shared" ca="1" si="28"/>
        <v>#NUM!</v>
      </c>
      <c r="AW35" s="102">
        <f t="shared" si="20"/>
        <v>53720</v>
      </c>
      <c r="AX35" t="e">
        <f t="shared" ref="AX35:AX37" si="29">BC14</f>
        <v>#NUM!</v>
      </c>
      <c r="AY35" t="e">
        <f t="shared" ref="AY35:AY37" si="30">BD14</f>
        <v>#NUM!</v>
      </c>
    </row>
    <row r="36" spans="1:79" ht="12.75" x14ac:dyDescent="0.2">
      <c r="A36" s="58" t="str">
        <f ca="1">_xll.qlSwapRateHelper2(C36,D36,,E36,F36,G36,H36,I36,J36,K36,L36,M36,,,,'Bootstrapping EONIA'!F$8)</f>
        <v>EO6M_SWAP21Y#0046</v>
      </c>
      <c r="B36" s="59" t="str">
        <f ca="1">_xll.ohRangeRetrieveError(A36)</f>
        <v/>
      </c>
      <c r="C36" s="60" t="str">
        <f t="shared" si="17"/>
        <v>EO6M_SWAP21Y</v>
      </c>
      <c r="D36" s="61">
        <f>_xll.qlQuoteValue(T36)</f>
        <v>1.3309999999999999E-2</v>
      </c>
      <c r="E36" s="72" t="s">
        <v>166</v>
      </c>
      <c r="F36" s="62" t="s">
        <v>98</v>
      </c>
      <c r="G36" s="62" t="s">
        <v>0</v>
      </c>
      <c r="H36" s="60" t="s">
        <v>39</v>
      </c>
      <c r="I36" s="62" t="s">
        <v>13</v>
      </c>
      <c r="J36" s="62" t="str">
        <f>'Passive Indexes'!B$8</f>
        <v>obj_0007d#0005</v>
      </c>
      <c r="K36" s="61">
        <v>0</v>
      </c>
      <c r="L36" s="63" t="s">
        <v>100</v>
      </c>
      <c r="M36" s="62" t="s">
        <v>179</v>
      </c>
      <c r="N36" t="str">
        <f>_xll.qlSwapRateHelper2(O36,D36,,E36,F36,G36,H36,I36,J36,K36,L36)</f>
        <v>EURIB_SWAP21Y#0005</v>
      </c>
      <c r="O36" s="58" t="str">
        <f t="shared" si="18"/>
        <v>EURIB_SWAP21Y</v>
      </c>
      <c r="Q36" t="s">
        <v>166</v>
      </c>
      <c r="S36">
        <f>VLOOKUP(C36,Sheet9!$F:AR,'EUR RateHelpers'!$Q$1,FALSE)</f>
        <v>1.331</v>
      </c>
      <c r="T36" t="str">
        <f>_xll.qlSimpleQuote(O36&amp;"_Quote",S36/100,0.0001)</f>
        <v>EURIB_SWAP21Y_Quote#0005</v>
      </c>
      <c r="U36" s="170"/>
      <c r="V36" s="170"/>
      <c r="AD36" s="105" t="s">
        <v>1755</v>
      </c>
      <c r="AF36" s="105" t="s">
        <v>1771</v>
      </c>
      <c r="AG36" s="105" t="s">
        <v>1771</v>
      </c>
      <c r="AH36" s="105" t="s">
        <v>1771</v>
      </c>
      <c r="AM36" s="102">
        <f t="shared" si="23"/>
        <v>57371</v>
      </c>
      <c r="AN36" s="30" t="e">
        <f t="shared" ca="1" si="24"/>
        <v>#NUM!</v>
      </c>
      <c r="AO36" s="108" t="e">
        <f t="shared" ca="1" si="25"/>
        <v>#NUM!</v>
      </c>
      <c r="AP36" s="108"/>
      <c r="AQ36" s="30" t="e">
        <f t="shared" si="26"/>
        <v>#NUM!</v>
      </c>
      <c r="AR36" s="108" t="e">
        <f t="shared" si="27"/>
        <v>#NUM!</v>
      </c>
      <c r="AU36">
        <f ca="1"/>
        <v>0.57779009064750653</v>
      </c>
      <c r="AV36" s="107" t="e">
        <f t="shared" ca="1" si="28"/>
        <v>#NUM!</v>
      </c>
      <c r="AW36" s="102">
        <f t="shared" si="20"/>
        <v>57371</v>
      </c>
      <c r="AX36" t="e">
        <f t="shared" si="29"/>
        <v>#NUM!</v>
      </c>
      <c r="AY36" t="e">
        <f t="shared" si="30"/>
        <v>#NUM!</v>
      </c>
    </row>
    <row r="37" spans="1:79" ht="12.75" x14ac:dyDescent="0.2">
      <c r="A37" s="58" t="str">
        <f ca="1">_xll.qlSwapRateHelper2(C37,D37,,E37,F37,G37,H37,I37,J37,K37,L37,M37,,,,'Bootstrapping EONIA'!F$8)</f>
        <v>EO6M_SWAP22Y#0042</v>
      </c>
      <c r="B37" s="59" t="str">
        <f ca="1">_xll.ohRangeRetrieveError(A37)</f>
        <v/>
      </c>
      <c r="C37" s="60" t="str">
        <f t="shared" si="17"/>
        <v>EO6M_SWAP22Y</v>
      </c>
      <c r="D37" s="61">
        <f>_xll.qlQuoteValue(T37)</f>
        <v>1.3460000000000001E-2</v>
      </c>
      <c r="E37" s="72" t="s">
        <v>167</v>
      </c>
      <c r="F37" s="62" t="s">
        <v>98</v>
      </c>
      <c r="G37" s="62" t="s">
        <v>0</v>
      </c>
      <c r="H37" s="60" t="s">
        <v>39</v>
      </c>
      <c r="I37" s="62" t="s">
        <v>13</v>
      </c>
      <c r="J37" s="62" t="str">
        <f>'Passive Indexes'!B$8</f>
        <v>obj_0007d#0005</v>
      </c>
      <c r="K37" s="61">
        <v>0</v>
      </c>
      <c r="L37" s="63" t="s">
        <v>100</v>
      </c>
      <c r="M37" s="62" t="s">
        <v>179</v>
      </c>
      <c r="N37" t="str">
        <f>_xll.qlSwapRateHelper2(O37,D37,,E37,F37,G37,H37,I37,J37,K37,L37)</f>
        <v>EURIB_SWAP22Y#0005</v>
      </c>
      <c r="O37" s="58" t="str">
        <f t="shared" si="18"/>
        <v>EURIB_SWAP22Y</v>
      </c>
      <c r="Q37" t="s">
        <v>167</v>
      </c>
      <c r="S37">
        <f>VLOOKUP(C37,Sheet9!$F:AR,'EUR RateHelpers'!$Q$1,FALSE)</f>
        <v>1.3460000000000001</v>
      </c>
      <c r="T37" t="str">
        <f>_xll.qlSimpleQuote(O37&amp;"_Quote",S37/100,0.0001)</f>
        <v>EURIB_SWAP22Y_Quote#0005</v>
      </c>
      <c r="U37" s="170"/>
      <c r="V37" s="170"/>
      <c r="AD37" s="105" t="s">
        <v>1066</v>
      </c>
      <c r="AF37" s="105" t="s">
        <v>1771</v>
      </c>
      <c r="AG37" s="105" t="s">
        <v>1771</v>
      </c>
      <c r="AH37" s="105" t="s">
        <v>1771</v>
      </c>
      <c r="AM37" s="102">
        <f t="shared" si="23"/>
        <v>61023</v>
      </c>
      <c r="AN37" s="30" t="e">
        <f t="shared" ca="1" si="24"/>
        <v>#NUM!</v>
      </c>
      <c r="AO37" s="108" t="e">
        <f t="shared" ca="1" si="25"/>
        <v>#NUM!</v>
      </c>
      <c r="AP37" s="108"/>
      <c r="AQ37" s="30" t="e">
        <f t="shared" si="26"/>
        <v>#NUM!</v>
      </c>
      <c r="AR37" s="108" t="e">
        <f t="shared" si="27"/>
        <v>#NUM!</v>
      </c>
      <c r="AU37">
        <f ca="1"/>
        <v>0.51720988091736475</v>
      </c>
      <c r="AV37" s="107" t="e">
        <f t="shared" ca="1" si="28"/>
        <v>#NUM!</v>
      </c>
      <c r="AW37" s="102">
        <f t="shared" si="20"/>
        <v>61023</v>
      </c>
      <c r="AX37" t="e">
        <f t="shared" si="29"/>
        <v>#NUM!</v>
      </c>
      <c r="AY37" t="e">
        <f t="shared" si="30"/>
        <v>#NUM!</v>
      </c>
    </row>
    <row r="38" spans="1:79" ht="12.75" x14ac:dyDescent="0.2">
      <c r="A38" s="58" t="str">
        <f ca="1">_xll.qlSwapRateHelper2(C38,D38,,E38,F38,G38,H38,I38,J38,K38,L38,M38,,,,'Bootstrapping EONIA'!F$8)</f>
        <v>EO6M_SWAP23Y#0046</v>
      </c>
      <c r="B38" s="59" t="str">
        <f ca="1">_xll.ohRangeRetrieveError(A38)</f>
        <v/>
      </c>
      <c r="C38" s="60" t="str">
        <f t="shared" si="17"/>
        <v>EO6M_SWAP23Y</v>
      </c>
      <c r="D38" s="61">
        <f>_xll.qlQuoteValue(T38)</f>
        <v>1.3560000000000001E-2</v>
      </c>
      <c r="E38" s="72" t="s">
        <v>168</v>
      </c>
      <c r="F38" s="62" t="s">
        <v>98</v>
      </c>
      <c r="G38" s="62" t="s">
        <v>0</v>
      </c>
      <c r="H38" s="60" t="s">
        <v>39</v>
      </c>
      <c r="I38" s="62" t="s">
        <v>13</v>
      </c>
      <c r="J38" s="62" t="str">
        <f>'Passive Indexes'!B$8</f>
        <v>obj_0007d#0005</v>
      </c>
      <c r="K38" s="61">
        <v>0</v>
      </c>
      <c r="L38" s="63" t="s">
        <v>100</v>
      </c>
      <c r="M38" s="62" t="s">
        <v>179</v>
      </c>
      <c r="N38" t="str">
        <f>_xll.qlSwapRateHelper2(O38,D38,,E38,F38,G38,H38,I38,J38,K38,L38)</f>
        <v>EURIB_SWAP23Y#0005</v>
      </c>
      <c r="O38" s="58" t="str">
        <f t="shared" si="18"/>
        <v>EURIB_SWAP23Y</v>
      </c>
      <c r="Q38" t="s">
        <v>168</v>
      </c>
      <c r="S38">
        <f>VLOOKUP(C38,Sheet9!$F:AR,'EUR RateHelpers'!$Q$1,FALSE)</f>
        <v>1.3560000000000001</v>
      </c>
      <c r="T38" t="str">
        <f>_xll.qlSimpleQuote(O38&amp;"_Quote",S38/100,0.0001)</f>
        <v>EURIB_SWAP23Y_Quote#0005</v>
      </c>
      <c r="U38" s="170"/>
      <c r="V38" s="170"/>
      <c r="AD38" s="105" t="s">
        <v>1769</v>
      </c>
      <c r="AF38" s="105" t="s">
        <v>1771</v>
      </c>
      <c r="AG38" s="105" t="s">
        <v>1771</v>
      </c>
      <c r="AH38" s="105" t="s">
        <v>1771</v>
      </c>
      <c r="AM38" s="102"/>
    </row>
    <row r="39" spans="1:79" ht="12.75" x14ac:dyDescent="0.2">
      <c r="A39" s="58" t="str">
        <f ca="1">_xll.qlSwapRateHelper2(C39,D39,,E39,F39,G39,H39,I39,J39,K39,L39,M39,,,,'Bootstrapping EONIA'!F$8)</f>
        <v>EO6M_SWAP24Y#0046</v>
      </c>
      <c r="B39" s="59" t="str">
        <f ca="1">_xll.ohRangeRetrieveError(A39)</f>
        <v/>
      </c>
      <c r="C39" s="60" t="str">
        <f t="shared" si="17"/>
        <v>EO6M_SWAP24Y</v>
      </c>
      <c r="D39" s="61">
        <f>_xll.qlQuoteValue(T39)</f>
        <v>1.366E-2</v>
      </c>
      <c r="E39" s="72" t="s">
        <v>169</v>
      </c>
      <c r="F39" s="62" t="s">
        <v>98</v>
      </c>
      <c r="G39" s="62" t="s">
        <v>0</v>
      </c>
      <c r="H39" s="60" t="s">
        <v>39</v>
      </c>
      <c r="I39" s="62" t="s">
        <v>13</v>
      </c>
      <c r="J39" s="62" t="str">
        <f>'Passive Indexes'!B$8</f>
        <v>obj_0007d#0005</v>
      </c>
      <c r="K39" s="61">
        <v>0</v>
      </c>
      <c r="L39" s="63" t="s">
        <v>100</v>
      </c>
      <c r="M39" s="62" t="s">
        <v>179</v>
      </c>
      <c r="N39" t="str">
        <f>_xll.qlSwapRateHelper2(O39,D39,,E39,F39,G39,H39,I39,J39,K39,L39)</f>
        <v>EURIB_SWAP24Y#0005</v>
      </c>
      <c r="O39" s="58" t="str">
        <f t="shared" si="18"/>
        <v>EURIB_SWAP24Y</v>
      </c>
      <c r="Q39" t="s">
        <v>169</v>
      </c>
      <c r="S39">
        <f>VLOOKUP(C39,Sheet9!$F:AR,'EUR RateHelpers'!$Q$1,FALSE)</f>
        <v>1.3660000000000001</v>
      </c>
      <c r="T39" t="str">
        <f>_xll.qlSimpleQuote(O39&amp;"_Quote",S39/100,0.0001)</f>
        <v>EURIB_SWAP24Y_Quote#0005</v>
      </c>
      <c r="U39" s="170"/>
      <c r="V39" s="170"/>
      <c r="AD39" s="105" t="s">
        <v>1067</v>
      </c>
      <c r="AF39" s="105" t="s">
        <v>1772</v>
      </c>
      <c r="AG39" s="105" t="s">
        <v>1772</v>
      </c>
      <c r="AH39" s="105" t="s">
        <v>1772</v>
      </c>
    </row>
    <row r="40" spans="1:79" ht="12.75" x14ac:dyDescent="0.2">
      <c r="A40" s="58" t="str">
        <f ca="1">_xll.qlSwapRateHelper2(C40,D40,,E40,F40,G40,H40,I40,J40,K40,L40,M40,,,,'Bootstrapping EONIA'!F$8)</f>
        <v>EO6M_SWAP25Y#0042</v>
      </c>
      <c r="B40" s="59" t="str">
        <f ca="1">_xll.ohRangeRetrieveError(A40)</f>
        <v/>
      </c>
      <c r="C40" s="60" t="str">
        <f t="shared" si="17"/>
        <v>EO6M_SWAP25Y</v>
      </c>
      <c r="D40" s="61">
        <f>_xll.qlQuoteValue(T40)</f>
        <v>1.374E-2</v>
      </c>
      <c r="E40" s="72" t="s">
        <v>109</v>
      </c>
      <c r="F40" s="62" t="s">
        <v>98</v>
      </c>
      <c r="G40" s="62" t="s">
        <v>0</v>
      </c>
      <c r="H40" s="60" t="s">
        <v>39</v>
      </c>
      <c r="I40" s="62" t="s">
        <v>13</v>
      </c>
      <c r="J40" s="62" t="str">
        <f>'Passive Indexes'!B$8</f>
        <v>obj_0007d#0005</v>
      </c>
      <c r="K40" s="61">
        <v>0</v>
      </c>
      <c r="L40" s="63" t="s">
        <v>100</v>
      </c>
      <c r="M40" s="62" t="s">
        <v>179</v>
      </c>
      <c r="N40" t="str">
        <f>_xll.qlSwapRateHelper2(O40,D40,,E40,F40,G40,H40,I40,J40,K40,L40)</f>
        <v>EURIB_SWAP25Y#0005</v>
      </c>
      <c r="O40" s="58" t="str">
        <f t="shared" si="18"/>
        <v>EURIB_SWAP25Y</v>
      </c>
      <c r="Q40" t="s">
        <v>109</v>
      </c>
      <c r="S40">
        <f>VLOOKUP(C40,Sheet9!$F:AR,'EUR RateHelpers'!$Q$1,FALSE)</f>
        <v>1.3740000000000001</v>
      </c>
      <c r="T40" t="str">
        <f>_xll.qlSimpleQuote(O40&amp;"_Quote",S40/100,0.0001)</f>
        <v>EURIB_SWAP25Y_Quote#0005</v>
      </c>
      <c r="U40" s="170"/>
      <c r="V40" s="170"/>
      <c r="AD40" s="105" t="s">
        <v>1770</v>
      </c>
      <c r="AF40" s="105" t="s">
        <v>1772</v>
      </c>
      <c r="AG40" s="105" t="s">
        <v>1772</v>
      </c>
      <c r="AH40" s="105" t="s">
        <v>1772</v>
      </c>
      <c r="AS40" t="e">
        <f>10000*(AS32-AQ22)</f>
        <v>#NUM!</v>
      </c>
    </row>
    <row r="41" spans="1:79" ht="12.75" x14ac:dyDescent="0.2">
      <c r="A41" s="58" t="str">
        <f ca="1">_xll.qlSwapRateHelper2(C41,D41,,E41,F41,G41,H41,I41,J41,K41,L41,M41,,,,'Bootstrapping EONIA'!F$8)</f>
        <v>EO6M_SWAP26Y#0040</v>
      </c>
      <c r="B41" s="59" t="str">
        <f ca="1">_xll.ohRangeRetrieveError(A41)</f>
        <v/>
      </c>
      <c r="C41" s="60" t="str">
        <f t="shared" si="17"/>
        <v>EO6M_SWAP26Y</v>
      </c>
      <c r="D41" s="61">
        <f>_xll.qlQuoteValue(T41)</f>
        <v>1.3809999999999999E-2</v>
      </c>
      <c r="E41" s="72" t="s">
        <v>170</v>
      </c>
      <c r="F41" s="62" t="s">
        <v>98</v>
      </c>
      <c r="G41" s="62" t="s">
        <v>0</v>
      </c>
      <c r="H41" s="60" t="s">
        <v>39</v>
      </c>
      <c r="I41" s="62" t="s">
        <v>13</v>
      </c>
      <c r="J41" s="62" t="str">
        <f>'Passive Indexes'!B$8</f>
        <v>obj_0007d#0005</v>
      </c>
      <c r="K41" s="61">
        <v>0</v>
      </c>
      <c r="L41" s="63" t="s">
        <v>100</v>
      </c>
      <c r="M41" s="62" t="s">
        <v>179</v>
      </c>
      <c r="N41" t="str">
        <f>_xll.qlSwapRateHelper2(O41,D41,,E41,F41,G41,H41,I41,J41,K41,L41)</f>
        <v>EURIB_SWAP26Y#0005</v>
      </c>
      <c r="O41" s="58" t="str">
        <f t="shared" si="18"/>
        <v>EURIB_SWAP26Y</v>
      </c>
      <c r="Q41" t="s">
        <v>170</v>
      </c>
      <c r="S41">
        <f>VLOOKUP(C41,Sheet9!$F:AR,'EUR RateHelpers'!$Q$1,FALSE)</f>
        <v>1.381</v>
      </c>
      <c r="T41" t="str">
        <f>_xll.qlSimpleQuote(O41&amp;"_Quote",S41/100,0.0001)</f>
        <v>EURIB_SWAP26Y_Quote#0005</v>
      </c>
      <c r="U41" s="170"/>
      <c r="V41" s="170"/>
      <c r="X41" t="str">
        <f ca="1">'Bootstrapping EONIA'!F9</f>
        <v/>
      </c>
    </row>
    <row r="42" spans="1:79" ht="12.75" x14ac:dyDescent="0.2">
      <c r="A42" s="58" t="str">
        <f ca="1">_xll.qlSwapRateHelper2(C42,D42,,E42,F42,G42,H42,I42,J42,K42,L42,M42,,,,'Bootstrapping EONIA'!F$8)</f>
        <v>EO6M_SWAP27Y#0046</v>
      </c>
      <c r="B42" s="59" t="str">
        <f ca="1">_xll.ohRangeRetrieveError(A42)</f>
        <v/>
      </c>
      <c r="C42" s="60" t="str">
        <f t="shared" si="17"/>
        <v>EO6M_SWAP27Y</v>
      </c>
      <c r="D42" s="61">
        <f>_xll.qlQuoteValue(T42)</f>
        <v>1.387E-2</v>
      </c>
      <c r="E42" s="72" t="s">
        <v>171</v>
      </c>
      <c r="F42" s="62" t="s">
        <v>98</v>
      </c>
      <c r="G42" s="62" t="s">
        <v>0</v>
      </c>
      <c r="H42" s="60" t="s">
        <v>39</v>
      </c>
      <c r="I42" s="62" t="s">
        <v>13</v>
      </c>
      <c r="J42" s="62" t="str">
        <f>'Passive Indexes'!B$8</f>
        <v>obj_0007d#0005</v>
      </c>
      <c r="K42" s="61">
        <v>0</v>
      </c>
      <c r="L42" s="63" t="s">
        <v>100</v>
      </c>
      <c r="M42" s="62" t="s">
        <v>179</v>
      </c>
      <c r="N42" t="str">
        <f>_xll.qlSwapRateHelper2(O42,D42,,E42,F42,G42,H42,I42,J42,K42,L42)</f>
        <v>EURIB_SWAP27Y#0005</v>
      </c>
      <c r="O42" s="58" t="str">
        <f t="shared" si="18"/>
        <v>EURIB_SWAP27Y</v>
      </c>
      <c r="Q42" t="s">
        <v>171</v>
      </c>
      <c r="S42">
        <f>VLOOKUP(C42,Sheet9!$F:AR,'EUR RateHelpers'!$Q$1,FALSE)</f>
        <v>1.387</v>
      </c>
      <c r="T42" t="str">
        <f>_xll.qlSimpleQuote(O42&amp;"_Quote",S42/100,0.0001)</f>
        <v>EURIB_SWAP27Y_Quote#0005</v>
      </c>
      <c r="U42" s="170"/>
      <c r="V42" s="170"/>
    </row>
    <row r="43" spans="1:79" ht="12.75" x14ac:dyDescent="0.2">
      <c r="A43" s="58" t="str">
        <f ca="1">_xll.qlSwapRateHelper2(C43,D43,,E43,F43,G43,H43,I43,J43,K43,L43,M43,,,,'Bootstrapping EONIA'!F$8)</f>
        <v>EO6M_SWAP28Y#0042</v>
      </c>
      <c r="B43" s="59" t="str">
        <f ca="1">_xll.ohRangeRetrieveError(A43)</f>
        <v/>
      </c>
      <c r="C43" s="60" t="str">
        <f t="shared" si="17"/>
        <v>EO6M_SWAP28Y</v>
      </c>
      <c r="D43" s="61">
        <f>_xll.qlQuoteValue(T43)</f>
        <v>1.3919999999999998E-2</v>
      </c>
      <c r="E43" s="72" t="s">
        <v>172</v>
      </c>
      <c r="F43" s="62" t="s">
        <v>98</v>
      </c>
      <c r="G43" s="62" t="s">
        <v>0</v>
      </c>
      <c r="H43" s="60" t="s">
        <v>39</v>
      </c>
      <c r="I43" s="62" t="s">
        <v>13</v>
      </c>
      <c r="J43" s="62" t="str">
        <f>'Passive Indexes'!B$8</f>
        <v>obj_0007d#0005</v>
      </c>
      <c r="K43" s="61">
        <v>0</v>
      </c>
      <c r="L43" s="63" t="s">
        <v>100</v>
      </c>
      <c r="M43" s="62" t="s">
        <v>179</v>
      </c>
      <c r="N43" t="str">
        <f>_xll.qlSwapRateHelper2(O43,D43,,E43,F43,G43,H43,I43,J43,K43,L43)</f>
        <v>EURIB_SWAP28Y#0005</v>
      </c>
      <c r="O43" s="58" t="str">
        <f t="shared" si="18"/>
        <v>EURIB_SWAP28Y</v>
      </c>
      <c r="Q43" t="s">
        <v>172</v>
      </c>
      <c r="S43">
        <f>VLOOKUP(C43,Sheet9!$F:AR,'EUR RateHelpers'!$Q$1,FALSE)</f>
        <v>1.3919999999999999</v>
      </c>
      <c r="T43" t="str">
        <f>_xll.qlSimpleQuote(O43&amp;"_Quote",S43/100,0.0001)</f>
        <v>EURIB_SWAP28Y_Quote#0005</v>
      </c>
      <c r="U43" s="170"/>
      <c r="V43" s="170"/>
      <c r="AD43" t="e">
        <f ca="1">'EUR TermStructures'!$B$45</f>
        <v>#VALUE!</v>
      </c>
      <c r="AF43" t="e">
        <f ca="1">'EUR TermStructures'!$F$45</f>
        <v>#VALUE!</v>
      </c>
      <c r="AG43" t="e">
        <f ca="1">'EUR TermStructures'!$F$45</f>
        <v>#VALUE!</v>
      </c>
      <c r="AH43">
        <v>117.78692592951488</v>
      </c>
      <c r="AP43" s="72" t="s">
        <v>97</v>
      </c>
      <c r="AQ43" s="174">
        <v>41.393028887708461</v>
      </c>
      <c r="AR43" s="108">
        <v>42.813217675599091</v>
      </c>
      <c r="AS43" s="108">
        <v>42.24</v>
      </c>
    </row>
    <row r="44" spans="1:79" ht="12.75" x14ac:dyDescent="0.2">
      <c r="A44" s="58" t="str">
        <f ca="1">_xll.qlSwapRateHelper2(C44,D44,,E44,F44,G44,H44,I44,J44,K44,L44,M44,,,,'Bootstrapping EONIA'!F$8)</f>
        <v>EO6M_SWAP29Y#0046</v>
      </c>
      <c r="B44" s="59" t="str">
        <f ca="1">_xll.ohRangeRetrieveError(A44)</f>
        <v/>
      </c>
      <c r="C44" s="60" t="str">
        <f t="shared" si="17"/>
        <v>EO6M_SWAP29Y</v>
      </c>
      <c r="D44" s="61">
        <f>_xll.qlQuoteValue(T44)</f>
        <v>1.3959999999999998E-2</v>
      </c>
      <c r="E44" s="72" t="s">
        <v>173</v>
      </c>
      <c r="F44" s="62" t="s">
        <v>98</v>
      </c>
      <c r="G44" s="62" t="s">
        <v>0</v>
      </c>
      <c r="H44" s="60" t="s">
        <v>39</v>
      </c>
      <c r="I44" s="62" t="s">
        <v>13</v>
      </c>
      <c r="J44" s="62" t="str">
        <f>'Passive Indexes'!B$8</f>
        <v>obj_0007d#0005</v>
      </c>
      <c r="K44" s="61">
        <v>0</v>
      </c>
      <c r="L44" s="63" t="s">
        <v>100</v>
      </c>
      <c r="M44" s="62" t="s">
        <v>179</v>
      </c>
      <c r="N44" t="str">
        <f>_xll.qlSwapRateHelper2(O44,D44,,E44,F44,G44,H44,I44,J44,K44,L44)</f>
        <v>EURIB_SWAP29Y#0005</v>
      </c>
      <c r="O44" s="58" t="str">
        <f t="shared" si="18"/>
        <v>EURIB_SWAP29Y</v>
      </c>
      <c r="Q44" t="s">
        <v>173</v>
      </c>
      <c r="S44">
        <f>VLOOKUP(C44,Sheet9!$F:AR,'EUR RateHelpers'!$Q$1,FALSE)</f>
        <v>1.3959999999999999</v>
      </c>
      <c r="T44" t="str">
        <f>_xll.qlSimpleQuote(O44&amp;"_Quote",S44/100,0.0001)</f>
        <v>EURIB_SWAP29Y_Quote#0005</v>
      </c>
      <c r="U44" s="170"/>
      <c r="V44" s="170"/>
      <c r="AF44" t="e">
        <f ca="1">'EUR TermStructures'!$F$45</f>
        <v>#VALUE!</v>
      </c>
      <c r="AG44" t="e">
        <f ca="1">'EUR TermStructures'!$F$45</f>
        <v>#VALUE!</v>
      </c>
      <c r="AH44" t="e">
        <f ca="1">'EUR TermStructures'!$F$45</f>
        <v>#VALUE!</v>
      </c>
      <c r="AP44" s="72" t="s">
        <v>38</v>
      </c>
      <c r="AQ44" s="174">
        <v>88.00113917105223</v>
      </c>
      <c r="AR44" s="108">
        <v>90.836703682681815</v>
      </c>
      <c r="AS44" s="108">
        <v>89.42</v>
      </c>
    </row>
    <row r="45" spans="1:79" ht="12.75" x14ac:dyDescent="0.2">
      <c r="A45" s="58" t="str">
        <f ca="1">_xll.qlSwapRateHelper2(C45,D45,,E45,F45,G45,H45,I45,J45,K45,L45,M45,,,,'Bootstrapping EONIA'!F$8)</f>
        <v>EO6M_SWAP30Y#0046</v>
      </c>
      <c r="B45" s="59" t="str">
        <f ca="1">_xll.ohRangeRetrieveError(A45)</f>
        <v/>
      </c>
      <c r="C45" s="60" t="str">
        <f t="shared" si="17"/>
        <v>EO6M_SWAP30Y</v>
      </c>
      <c r="D45" s="61">
        <f>_xll.qlQuoteValue(T45)</f>
        <v>1.3999999999999999E-2</v>
      </c>
      <c r="E45" s="72" t="s">
        <v>110</v>
      </c>
      <c r="F45" s="62" t="s">
        <v>98</v>
      </c>
      <c r="G45" s="62" t="s">
        <v>0</v>
      </c>
      <c r="H45" s="60" t="s">
        <v>39</v>
      </c>
      <c r="I45" s="62" t="s">
        <v>13</v>
      </c>
      <c r="J45" s="62" t="str">
        <f>'Passive Indexes'!B$8</f>
        <v>obj_0007d#0005</v>
      </c>
      <c r="K45" s="61">
        <v>0</v>
      </c>
      <c r="L45" s="63" t="s">
        <v>100</v>
      </c>
      <c r="M45" s="62" t="s">
        <v>179</v>
      </c>
      <c r="N45" t="str">
        <f>_xll.qlSwapRateHelper2(O45,D45,,E45,F45,G45,H45,I45,J45,K45,L45)</f>
        <v>EURIB_SWAP30Y#0005</v>
      </c>
      <c r="O45" s="58" t="str">
        <f t="shared" si="18"/>
        <v>EURIB_SWAP30Y</v>
      </c>
      <c r="Q45" t="s">
        <v>110</v>
      </c>
      <c r="S45">
        <f>VLOOKUP(C45,Sheet9!$F:AR,'EUR RateHelpers'!$Q$1,FALSE)</f>
        <v>1.4</v>
      </c>
      <c r="T45" t="str">
        <f>_xll.qlSimpleQuote(O45&amp;"_Quote",S45/100,0.0001)</f>
        <v>EURIB_SWAP30Y_Quote#0005</v>
      </c>
      <c r="U45" s="170"/>
      <c r="V45" s="170"/>
      <c r="AF45" t="e">
        <f ca="1">'EUR TermStructures'!$F$45</f>
        <v>#VALUE!</v>
      </c>
      <c r="AG45" t="e">
        <f ca="1">'EUR TermStructures'!$F$45</f>
        <v>#VALUE!</v>
      </c>
      <c r="AH45">
        <v>118.06853995655814</v>
      </c>
      <c r="AP45" s="72" t="s">
        <v>152</v>
      </c>
      <c r="AQ45" s="174">
        <v>135.79069940905296</v>
      </c>
      <c r="AR45" s="108">
        <v>140.08431274455722</v>
      </c>
      <c r="AS45" s="108">
        <v>137.87</v>
      </c>
    </row>
    <row r="46" spans="1:79" ht="12.75" x14ac:dyDescent="0.2">
      <c r="A46" s="58" t="str">
        <f ca="1">_xll.qlSwapRateHelper2(C46,D46,,E46,F46,G46,H46,I46,J46,K46,L46,M46,,,,'Bootstrapping EONIA'!F$8)</f>
        <v>EO6M_SWAP40Y#0046</v>
      </c>
      <c r="B46" s="59" t="str">
        <f ca="1">_xll.ohRangeRetrieveError(A46)</f>
        <v/>
      </c>
      <c r="C46" s="60" t="str">
        <f t="shared" si="17"/>
        <v>EO6M_SWAP40Y</v>
      </c>
      <c r="D46" s="61">
        <f>_xll.qlQuoteValue(T46)</f>
        <v>1.4119999999999999E-2</v>
      </c>
      <c r="E46" s="72" t="s">
        <v>174</v>
      </c>
      <c r="F46" s="62" t="s">
        <v>98</v>
      </c>
      <c r="G46" s="62" t="s">
        <v>0</v>
      </c>
      <c r="H46" s="60" t="s">
        <v>39</v>
      </c>
      <c r="I46" s="62" t="s">
        <v>13</v>
      </c>
      <c r="J46" s="62" t="str">
        <f>'Passive Indexes'!B$8</f>
        <v>obj_0007d#0005</v>
      </c>
      <c r="K46" s="61">
        <v>0</v>
      </c>
      <c r="L46" s="63" t="s">
        <v>100</v>
      </c>
      <c r="M46" s="62" t="s">
        <v>179</v>
      </c>
      <c r="N46" t="str">
        <f>_xll.qlSwapRateHelper2(O46,D46,,E46,F46,G46,H46,I46,J46,K46,L46)</f>
        <v>EURIB_SWAP40Y#0005</v>
      </c>
      <c r="O46" s="58" t="str">
        <f t="shared" si="18"/>
        <v>EURIB_SWAP40Y</v>
      </c>
      <c r="Q46" t="s">
        <v>174</v>
      </c>
      <c r="S46">
        <f>VLOOKUP(C46,Sheet9!$F:AR,'EUR RateHelpers'!$Q$1,FALSE)</f>
        <v>1.4119999999999999</v>
      </c>
      <c r="T46" t="str">
        <f>_xll.qlSimpleQuote(O46&amp;"_Quote",S46/100,0.0001)</f>
        <v>EURIB_SWAP40Y_Quote#0005</v>
      </c>
      <c r="U46" s="170"/>
      <c r="V46" s="170"/>
      <c r="AF46" t="e">
        <f ca="1">'EUR TermStructures'!$F$45</f>
        <v>#VALUE!</v>
      </c>
      <c r="AG46" t="e">
        <f ca="1">'EUR TermStructures'!$F$45</f>
        <v>#VALUE!</v>
      </c>
      <c r="AH46" t="e">
        <f ca="1">'EUR TermStructures'!$F$45</f>
        <v>#VALUE!</v>
      </c>
      <c r="AP46" s="72" t="s">
        <v>25</v>
      </c>
      <c r="AQ46" s="174">
        <v>185.40554900099204</v>
      </c>
      <c r="AR46" s="108">
        <v>191.1692935435494</v>
      </c>
      <c r="AS46" s="108">
        <v>188.5</v>
      </c>
    </row>
    <row r="47" spans="1:79" ht="13.5" thickBot="1" x14ac:dyDescent="0.25">
      <c r="A47" s="58" t="str">
        <f ca="1">_xll.qlSwapRateHelper2(C47,D47,,E47,F47,G47,H47,I47,J47,K47,L47,M47,,,,'Bootstrapping EONIA'!F$8)</f>
        <v>EO6M_SWAP50Y#0042</v>
      </c>
      <c r="B47" s="74" t="str">
        <f ca="1">_xll.ohRangeRetrieveError(A47)</f>
        <v/>
      </c>
      <c r="C47" s="75" t="str">
        <f t="shared" si="17"/>
        <v>EO6M_SWAP50Y</v>
      </c>
      <c r="D47" s="76">
        <f>_xll.qlQuoteValue(T47)</f>
        <v>1.3690000000000001E-2</v>
      </c>
      <c r="E47" s="72" t="s">
        <v>175</v>
      </c>
      <c r="F47" s="77" t="s">
        <v>98</v>
      </c>
      <c r="G47" s="77" t="s">
        <v>0</v>
      </c>
      <c r="H47" s="75" t="s">
        <v>39</v>
      </c>
      <c r="I47" s="77" t="s">
        <v>13</v>
      </c>
      <c r="J47" s="77" t="str">
        <f>'Passive Indexes'!B$8</f>
        <v>obj_0007d#0005</v>
      </c>
      <c r="K47" s="76">
        <v>0</v>
      </c>
      <c r="L47" s="78" t="s">
        <v>100</v>
      </c>
      <c r="M47" s="62" t="s">
        <v>179</v>
      </c>
      <c r="N47" t="str">
        <f>_xll.qlSwapRateHelper2(O47,D47,,E47,F47,G47,H47,I47,J47,K47,L47)</f>
        <v>EURIB_SWAP50Y#0005</v>
      </c>
      <c r="O47" s="58" t="str">
        <f t="shared" si="18"/>
        <v>EURIB_SWAP50Y</v>
      </c>
      <c r="Q47" t="s">
        <v>175</v>
      </c>
      <c r="S47">
        <f>VLOOKUP(C47,Sheet9!$F:AR,'EUR RateHelpers'!$Q$1,FALSE)</f>
        <v>1.369</v>
      </c>
      <c r="T47" t="str">
        <f>_xll.qlSimpleQuote(O47&amp;"_Quote",S47/100,0.0001)</f>
        <v>EURIB_SWAP50Y_Quote#0005</v>
      </c>
      <c r="U47" s="170"/>
      <c r="V47" s="170"/>
      <c r="AF47" t="e">
        <f ca="1">'EUR TermStructures'!$F$45</f>
        <v>#VALUE!</v>
      </c>
      <c r="AG47" t="e">
        <f ca="1">'EUR TermStructures'!$F$45</f>
        <v>#VALUE!</v>
      </c>
      <c r="AH47" t="e">
        <f ca="1">'EUR TermStructures'!$F$45</f>
        <v>#VALUE!</v>
      </c>
      <c r="AP47" s="72" t="s">
        <v>157</v>
      </c>
      <c r="AQ47" s="174">
        <v>397.59122325149667</v>
      </c>
      <c r="AR47" s="108">
        <v>409.31606938883203</v>
      </c>
      <c r="AS47" s="108">
        <v>402.78</v>
      </c>
    </row>
    <row r="48" spans="1:79" ht="13.5" thickBot="1" x14ac:dyDescent="0.25">
      <c r="A48" s="58" t="str">
        <f ca="1">_xll.qlSwapRateHelper2(C48,D48,,E48,F48,G48,H48,I48,J48,K48,L48,M48,,,,'Bootstrapping EONIA'!F$8)</f>
        <v>EO6M_SWAP65y#0056</v>
      </c>
      <c r="B48" s="74" t="str">
        <f ca="1">_xll.ohRangeRetrieveError(A48)</f>
        <v/>
      </c>
      <c r="C48" s="75" t="str">
        <f t="shared" ref="C48" si="31">"EO6M_SWAP"&amp;E48</f>
        <v>EO6M_SWAP65y</v>
      </c>
      <c r="D48" s="76">
        <f>_xll.qlQuoteValue(T48)</f>
        <v>1.3690000000000001E-2</v>
      </c>
      <c r="E48" s="72" t="s">
        <v>1774</v>
      </c>
      <c r="F48" s="77" t="s">
        <v>98</v>
      </c>
      <c r="G48" s="77" t="s">
        <v>0</v>
      </c>
      <c r="H48" s="75" t="s">
        <v>39</v>
      </c>
      <c r="I48" s="77" t="s">
        <v>13</v>
      </c>
      <c r="J48" s="77" t="str">
        <f>'Passive Indexes'!B$8</f>
        <v>obj_0007d#0005</v>
      </c>
      <c r="K48" s="76">
        <v>0</v>
      </c>
      <c r="L48" s="78" t="s">
        <v>100</v>
      </c>
      <c r="M48" s="62" t="s">
        <v>179</v>
      </c>
      <c r="N48" t="str">
        <f>_xll.qlSwapRateHelper2(O48,D48,,E48,F48,G48,H48,I48,J48,K48,L48)</f>
        <v>EURIB_SWAP65y#0005</v>
      </c>
      <c r="O48" s="58" t="str">
        <f t="shared" ref="O48" si="32">"EURIB_SWAP"&amp;Q48</f>
        <v>EURIB_SWAP65y</v>
      </c>
      <c r="Q48" s="105" t="s">
        <v>1774</v>
      </c>
      <c r="S48">
        <f>S47</f>
        <v>1.369</v>
      </c>
      <c r="T48" t="str">
        <f>_xll.qlSimpleQuote(O48&amp;"_Quote",S48/100,0.0001)</f>
        <v>EURIB_SWAP65y_Quote#0005</v>
      </c>
      <c r="U48" s="167"/>
      <c r="V48" s="167"/>
      <c r="AF48" t="e">
        <f ca="1">'EUR TermStructures'!$F$45</f>
        <v>#VALUE!</v>
      </c>
      <c r="AG48" t="e">
        <f ca="1">'EUR TermStructures'!$F$45</f>
        <v>#VALUE!</v>
      </c>
      <c r="AH48">
        <v>117.78692592951488</v>
      </c>
      <c r="AP48" s="72" t="s">
        <v>99</v>
      </c>
      <c r="AQ48" s="174">
        <v>628.14642714498655</v>
      </c>
      <c r="AR48" s="108">
        <v>646.08919911017358</v>
      </c>
      <c r="AS48" s="108">
        <v>634.97</v>
      </c>
      <c r="BI48" t="str">
        <f t="array" ref="BI48:CA64">_xll.qlLegFlowAnalysis(BI2)</f>
        <v>Payment Date</v>
      </c>
      <c r="BJ48" t="str">
        <v>Amount</v>
      </c>
      <c r="BK48" t="str">
        <v>Nominal</v>
      </c>
      <c r="BL48" t="str">
        <v>Accrual Start Date</v>
      </c>
      <c r="BM48" t="str">
        <v>Accrual End Date</v>
      </c>
      <c r="BN48" t="str">
        <v>Accrual Days</v>
      </c>
      <c r="BO48" t="str">
        <v>Index</v>
      </c>
      <c r="BP48" t="str">
        <v>Fixing Days</v>
      </c>
      <c r="BQ48" t="str">
        <v>Fixing Dates</v>
      </c>
      <c r="BR48" t="str">
        <v>Day Counter</v>
      </c>
      <c r="BS48" t="str">
        <v>Accrual Period</v>
      </c>
      <c r="BT48" t="str">
        <v>Effective Rate</v>
      </c>
      <c r="BU48" t="str">
        <v>Floor</v>
      </c>
      <c r="BV48" t="str">
        <v>Gearing</v>
      </c>
      <c r="BW48" t="str">
        <v>Index Fixing</v>
      </c>
      <c r="BX48" t="str">
        <v>Conv. Adj.</v>
      </c>
      <c r="BY48" t="str">
        <v>Spread</v>
      </c>
      <c r="BZ48" t="str">
        <v>Cap</v>
      </c>
      <c r="CA48" t="str">
        <v>Call Digital Payoff</v>
      </c>
    </row>
    <row r="49" spans="1:82" ht="12.75" x14ac:dyDescent="0.2">
      <c r="U49" s="167"/>
      <c r="V49" s="167"/>
      <c r="AP49" s="72" t="s">
        <v>101</v>
      </c>
      <c r="AQ49" s="174">
        <v>869.25488952320995</v>
      </c>
      <c r="AR49" s="108">
        <v>893.59575583170204</v>
      </c>
      <c r="AS49" s="108">
        <v>882.02</v>
      </c>
      <c r="BI49" s="102">
        <v>42851</v>
      </c>
      <c r="BJ49" s="1">
        <v>-1750.7550000000431</v>
      </c>
      <c r="BK49">
        <v>1000000</v>
      </c>
      <c r="BL49" s="102">
        <v>42761</v>
      </c>
      <c r="BM49" s="102">
        <v>42851</v>
      </c>
      <c r="BN49">
        <v>90</v>
      </c>
      <c r="BO49" t="str">
        <v>Euribor3M Actual/360</v>
      </c>
      <c r="BP49">
        <v>2</v>
      </c>
      <c r="BQ49" s="102">
        <v>42759</v>
      </c>
      <c r="BR49" t="str">
        <v>Actual/360</v>
      </c>
      <c r="BS49">
        <v>0.25</v>
      </c>
      <c r="BT49">
        <v>-7.0030200000001722E-3</v>
      </c>
      <c r="BU49" t="str">
        <v>#N/A</v>
      </c>
      <c r="BV49">
        <v>1</v>
      </c>
      <c r="BW49" s="110">
        <v>-3.2800000000001717E-3</v>
      </c>
      <c r="BX49" s="109">
        <v>0</v>
      </c>
      <c r="BY49" s="110">
        <v>-3.7230200000000005E-3</v>
      </c>
      <c r="BZ49" t="str">
        <v>#N/A</v>
      </c>
      <c r="CA49" t="str">
        <v>#N/A</v>
      </c>
      <c r="CD49">
        <f>1000000*(BW49+BY49)*BN49/360</f>
        <v>-1750.7550000000431</v>
      </c>
    </row>
    <row r="50" spans="1:82" ht="12.75" x14ac:dyDescent="0.2">
      <c r="U50" s="167"/>
      <c r="V50" s="167"/>
      <c r="X50" s="177" t="s">
        <v>973</v>
      </c>
      <c r="Y50" s="175"/>
      <c r="AP50" s="72" t="s">
        <v>102</v>
      </c>
      <c r="AQ50" s="174">
        <v>1108.2069930245807</v>
      </c>
      <c r="AR50" s="108">
        <v>1139.1814474195128</v>
      </c>
      <c r="AS50" s="108">
        <v>1129</v>
      </c>
      <c r="BI50" s="102" t="e">
        <v>#N/A</v>
      </c>
      <c r="BJ50" s="1" t="e">
        <v>#N/A</v>
      </c>
      <c r="BK50" t="e">
        <v>#N/A</v>
      </c>
      <c r="BL50" s="102" t="e">
        <v>#N/A</v>
      </c>
      <c r="BM50" s="102" t="e">
        <v>#N/A</v>
      </c>
      <c r="BN50" t="e">
        <v>#N/A</v>
      </c>
      <c r="BO50" t="e">
        <v>#N/A</v>
      </c>
      <c r="BP50" t="e">
        <v>#N/A</v>
      </c>
      <c r="BQ50" s="102" t="e">
        <v>#N/A</v>
      </c>
      <c r="BR50" t="e">
        <v>#N/A</v>
      </c>
      <c r="BS50" t="e">
        <v>#N/A</v>
      </c>
      <c r="BT50" t="e">
        <v>#N/A</v>
      </c>
      <c r="BU50" t="e">
        <v>#N/A</v>
      </c>
      <c r="BV50" t="e">
        <v>#N/A</v>
      </c>
      <c r="BW50" s="110" t="e">
        <v>#N/A</v>
      </c>
      <c r="BX50" s="109" t="e">
        <v>#N/A</v>
      </c>
      <c r="BY50" s="110" t="e">
        <v>#N/A</v>
      </c>
      <c r="BZ50" t="e">
        <v>#N/A</v>
      </c>
      <c r="CA50" t="e">
        <v>#N/A</v>
      </c>
      <c r="CD50" t="e">
        <f t="shared" ref="CD50:CD52" si="33">1000000*(BW50+BY50)*BN50/360</f>
        <v>#N/A</v>
      </c>
    </row>
    <row r="51" spans="1:82" ht="12.75" x14ac:dyDescent="0.2">
      <c r="U51" s="167"/>
      <c r="V51" s="167"/>
      <c r="X51" s="175"/>
      <c r="Y51" s="176" t="s">
        <v>974</v>
      </c>
      <c r="AP51" s="72" t="s">
        <v>104</v>
      </c>
      <c r="AQ51" s="174">
        <v>1563.5244412753768</v>
      </c>
      <c r="AR51" s="108">
        <v>1608.3047003401086</v>
      </c>
      <c r="AS51" s="108">
        <v>1602.1</v>
      </c>
      <c r="BI51" s="102" t="e">
        <v>#N/A</v>
      </c>
      <c r="BJ51" s="1" t="e">
        <v>#N/A</v>
      </c>
      <c r="BK51" t="e">
        <v>#N/A</v>
      </c>
      <c r="BL51" s="102" t="e">
        <v>#N/A</v>
      </c>
      <c r="BM51" s="102" t="e">
        <v>#N/A</v>
      </c>
      <c r="BN51" t="e">
        <v>#N/A</v>
      </c>
      <c r="BO51" t="e">
        <v>#N/A</v>
      </c>
      <c r="BP51" t="e">
        <v>#N/A</v>
      </c>
      <c r="BQ51" s="102" t="e">
        <v>#N/A</v>
      </c>
      <c r="BR51" t="e">
        <v>#N/A</v>
      </c>
      <c r="BS51" t="e">
        <v>#N/A</v>
      </c>
      <c r="BT51" t="e">
        <v>#N/A</v>
      </c>
      <c r="BU51" t="e">
        <v>#N/A</v>
      </c>
      <c r="BV51" t="e">
        <v>#N/A</v>
      </c>
      <c r="BW51" s="110" t="e">
        <v>#N/A</v>
      </c>
      <c r="BX51" s="109" t="e">
        <v>#N/A</v>
      </c>
      <c r="BY51" s="110" t="e">
        <v>#N/A</v>
      </c>
      <c r="BZ51" t="e">
        <v>#N/A</v>
      </c>
      <c r="CA51" t="e">
        <v>#N/A</v>
      </c>
      <c r="CD51" t="e">
        <f t="shared" si="33"/>
        <v>#N/A</v>
      </c>
    </row>
    <row r="52" spans="1:82" ht="12.75" x14ac:dyDescent="0.2">
      <c r="N52" s="1" t="e">
        <f>'EUR Swaps'!I2</f>
        <v>#VALUE!</v>
      </c>
      <c r="U52" s="167"/>
      <c r="V52" s="167"/>
      <c r="X52" s="177" t="s">
        <v>975</v>
      </c>
      <c r="Y52" s="175"/>
      <c r="AP52" s="72" t="s">
        <v>79</v>
      </c>
      <c r="AQ52" s="174">
        <v>2114.3727668612255</v>
      </c>
      <c r="AR52" s="108">
        <v>2180.7668688258896</v>
      </c>
      <c r="AS52" s="108">
        <v>2180.6999999999998</v>
      </c>
      <c r="AU52">
        <v>21560</v>
      </c>
      <c r="AV52">
        <v>2210</v>
      </c>
      <c r="BI52" s="102" t="e">
        <v>#N/A</v>
      </c>
      <c r="BJ52" s="1" t="e">
        <v>#N/A</v>
      </c>
      <c r="BK52" t="e">
        <v>#N/A</v>
      </c>
      <c r="BL52" s="102" t="e">
        <v>#N/A</v>
      </c>
      <c r="BM52" s="102" t="e">
        <v>#N/A</v>
      </c>
      <c r="BN52" t="e">
        <v>#N/A</v>
      </c>
      <c r="BO52" t="e">
        <v>#N/A</v>
      </c>
      <c r="BP52" t="e">
        <v>#N/A</v>
      </c>
      <c r="BQ52" s="102" t="e">
        <v>#N/A</v>
      </c>
      <c r="BR52" t="e">
        <v>#N/A</v>
      </c>
      <c r="BS52" t="e">
        <v>#N/A</v>
      </c>
      <c r="BT52" t="e">
        <v>#N/A</v>
      </c>
      <c r="BU52" t="e">
        <v>#N/A</v>
      </c>
      <c r="BV52" t="e">
        <v>#N/A</v>
      </c>
      <c r="BW52" s="110" t="e">
        <v>#N/A</v>
      </c>
      <c r="BX52" s="109" t="e">
        <v>#N/A</v>
      </c>
      <c r="BY52" s="110" t="e">
        <v>#N/A</v>
      </c>
      <c r="BZ52" t="e">
        <v>#N/A</v>
      </c>
      <c r="CA52" t="e">
        <v>#N/A</v>
      </c>
      <c r="CD52" t="e">
        <f t="shared" si="33"/>
        <v>#N/A</v>
      </c>
    </row>
    <row r="53" spans="1:82" ht="12.75" x14ac:dyDescent="0.2">
      <c r="N53" s="1" t="e">
        <f>N52+320743</f>
        <v>#VALUE!</v>
      </c>
      <c r="U53" s="167"/>
      <c r="V53" s="167"/>
      <c r="X53" s="175"/>
      <c r="Y53" s="176" t="s">
        <v>976</v>
      </c>
      <c r="AP53" s="72" t="s">
        <v>107</v>
      </c>
      <c r="AQ53" s="174">
        <v>2798.8837372061457</v>
      </c>
      <c r="AR53" s="108">
        <v>2902.9820968687491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 t="e">
        <v>#N/A</v>
      </c>
      <c r="BQ53" t="e">
        <v>#N/A</v>
      </c>
      <c r="BR53" t="e">
        <v>#N/A</v>
      </c>
      <c r="BS53" t="e">
        <v>#N/A</v>
      </c>
      <c r="BT53" t="e">
        <v>#N/A</v>
      </c>
      <c r="BU53" t="e">
        <v>#N/A</v>
      </c>
      <c r="BV53" t="e">
        <v>#N/A</v>
      </c>
      <c r="BW53" t="e">
        <v>#N/A</v>
      </c>
      <c r="BX53" t="e">
        <v>#N/A</v>
      </c>
      <c r="BY53" t="e">
        <v>#N/A</v>
      </c>
      <c r="BZ53" t="e">
        <v>#N/A</v>
      </c>
      <c r="CA53" t="e">
        <v>#N/A</v>
      </c>
    </row>
    <row r="54" spans="1:82" ht="12.75" x14ac:dyDescent="0.2">
      <c r="U54" s="167"/>
      <c r="V54" s="167"/>
      <c r="X54" s="177" t="s">
        <v>977</v>
      </c>
      <c r="Y54" s="175"/>
      <c r="AO54" s="13" t="e">
        <f>#REF!</f>
        <v>#REF!</v>
      </c>
      <c r="AP54" s="72" t="s">
        <v>108</v>
      </c>
      <c r="AQ54" s="174">
        <v>3489.6079065963836</v>
      </c>
      <c r="AR54" s="108">
        <v>3634.8919934609712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 t="e">
        <v>#N/A</v>
      </c>
      <c r="BQ54" t="e">
        <v>#N/A</v>
      </c>
      <c r="BR54" t="e">
        <v>#N/A</v>
      </c>
      <c r="BS54" t="e">
        <v>#N/A</v>
      </c>
      <c r="BT54" t="e">
        <v>#N/A</v>
      </c>
      <c r="BU54" t="e">
        <v>#N/A</v>
      </c>
      <c r="BV54" t="e">
        <v>#N/A</v>
      </c>
      <c r="BW54" t="e">
        <v>#N/A</v>
      </c>
      <c r="BX54" t="e">
        <v>#N/A</v>
      </c>
      <c r="BY54" t="e">
        <v>#N/A</v>
      </c>
      <c r="BZ54" t="e">
        <v>#N/A</v>
      </c>
      <c r="CA54" t="e">
        <v>#N/A</v>
      </c>
    </row>
    <row r="55" spans="1:82" ht="12.75" x14ac:dyDescent="0.2">
      <c r="U55" s="167"/>
      <c r="V55" s="167"/>
      <c r="X55" s="175"/>
      <c r="Y55" s="176" t="s">
        <v>978</v>
      </c>
      <c r="AP55" s="72" t="s">
        <v>110</v>
      </c>
      <c r="AQ55" s="174">
        <v>5292.0480087337564</v>
      </c>
      <c r="AR55" s="108">
        <v>5535.1214618461372</v>
      </c>
      <c r="BI55" t="e">
        <v>#N/A</v>
      </c>
      <c r="BJ55" t="e">
        <v>#N/A</v>
      </c>
      <c r="BK55" t="e">
        <v>#N/A</v>
      </c>
      <c r="BL55" t="e">
        <v>#N/A</v>
      </c>
      <c r="BM55" t="e">
        <v>#N/A</v>
      </c>
      <c r="BN55" t="e">
        <v>#N/A</v>
      </c>
      <c r="BO55" t="e">
        <v>#N/A</v>
      </c>
      <c r="BP55" t="e">
        <v>#N/A</v>
      </c>
      <c r="BQ55" t="e">
        <v>#N/A</v>
      </c>
      <c r="BR55" t="e">
        <v>#N/A</v>
      </c>
      <c r="BS55" t="e">
        <v>#N/A</v>
      </c>
      <c r="BT55" t="e">
        <v>#N/A</v>
      </c>
      <c r="BU55" t="e">
        <v>#N/A</v>
      </c>
      <c r="BV55" t="e">
        <v>#N/A</v>
      </c>
      <c r="BW55" t="e">
        <v>#N/A</v>
      </c>
      <c r="BX55" t="e">
        <v>#N/A</v>
      </c>
      <c r="BY55" t="e">
        <v>#N/A</v>
      </c>
      <c r="BZ55" t="e">
        <v>#N/A</v>
      </c>
      <c r="CA55" t="e">
        <v>#N/A</v>
      </c>
    </row>
    <row r="56" spans="1:82" ht="12.75" x14ac:dyDescent="0.2">
      <c r="U56" s="167"/>
      <c r="V56" s="167"/>
      <c r="X56" s="177"/>
      <c r="Y56" s="175"/>
      <c r="AP56" s="72" t="s">
        <v>174</v>
      </c>
      <c r="AQ56" s="174">
        <v>8004.3924565899169</v>
      </c>
      <c r="AR56" s="108">
        <v>8375.1974421490468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 t="e">
        <v>#N/A</v>
      </c>
      <c r="BQ56" t="e">
        <v>#N/A</v>
      </c>
      <c r="BR56" t="e">
        <v>#N/A</v>
      </c>
      <c r="BS56" t="e">
        <v>#N/A</v>
      </c>
      <c r="BT56" t="e">
        <v>#N/A</v>
      </c>
      <c r="BU56" t="e">
        <v>#N/A</v>
      </c>
      <c r="BV56" t="e">
        <v>#N/A</v>
      </c>
      <c r="BW56" t="e">
        <v>#N/A</v>
      </c>
      <c r="BX56" t="e">
        <v>#N/A</v>
      </c>
      <c r="BY56" t="e">
        <v>#N/A</v>
      </c>
      <c r="BZ56" t="e">
        <v>#N/A</v>
      </c>
      <c r="CA56" t="e">
        <v>#N/A</v>
      </c>
    </row>
    <row r="57" spans="1:82" ht="12.75" x14ac:dyDescent="0.2">
      <c r="U57" s="167"/>
      <c r="V57" s="167"/>
      <c r="X57" s="175"/>
      <c r="Y57" s="175"/>
      <c r="AP57" s="72" t="s">
        <v>175</v>
      </c>
      <c r="AQ57" s="174">
        <v>11308.428166060557</v>
      </c>
      <c r="AR57" s="108">
        <v>11845.050462638828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 t="e">
        <v>#N/A</v>
      </c>
      <c r="BQ57" t="e">
        <v>#N/A</v>
      </c>
      <c r="BR57" t="e">
        <v>#N/A</v>
      </c>
      <c r="BS57" t="e">
        <v>#N/A</v>
      </c>
      <c r="BT57" t="e">
        <v>#N/A</v>
      </c>
      <c r="BU57" t="e">
        <v>#N/A</v>
      </c>
      <c r="BV57" t="e">
        <v>#N/A</v>
      </c>
      <c r="BW57" t="e">
        <v>#N/A</v>
      </c>
      <c r="BX57" t="e">
        <v>#N/A</v>
      </c>
      <c r="BY57" t="e">
        <v>#N/A</v>
      </c>
      <c r="BZ57" t="e">
        <v>#N/A</v>
      </c>
      <c r="CA57" t="e">
        <v>#N/A</v>
      </c>
    </row>
    <row r="58" spans="1:82" ht="12.75" x14ac:dyDescent="0.2">
      <c r="U58" s="167"/>
      <c r="V58" s="167"/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 t="e">
        <v>#N/A</v>
      </c>
      <c r="BQ58" t="e">
        <v>#N/A</v>
      </c>
      <c r="BR58" t="e">
        <v>#N/A</v>
      </c>
      <c r="BS58" t="e">
        <v>#N/A</v>
      </c>
      <c r="BT58" t="e">
        <v>#N/A</v>
      </c>
      <c r="BU58" t="e">
        <v>#N/A</v>
      </c>
      <c r="BV58" t="e">
        <v>#N/A</v>
      </c>
      <c r="BW58" t="e">
        <v>#N/A</v>
      </c>
      <c r="BX58" t="e">
        <v>#N/A</v>
      </c>
      <c r="BY58" t="e">
        <v>#N/A</v>
      </c>
      <c r="BZ58" t="e">
        <v>#N/A</v>
      </c>
      <c r="CA58" t="e">
        <v>#N/A</v>
      </c>
    </row>
    <row r="59" spans="1:82" ht="12.75" x14ac:dyDescent="0.2">
      <c r="T59" s="1" t="e">
        <f>#REF!</f>
        <v>#REF!</v>
      </c>
      <c r="U59" s="167"/>
      <c r="V59" s="167"/>
      <c r="AW59" t="str">
        <f ca="1">_xll.ohRangeRetrieveError(AV19)</f>
        <v>qlDiscountCurve - operToVectorImpl: error converting parameter 'CurveDiscounts' to type 'double' : Unable to convert type 'struct ObjectHandler::empty_property_tag' to type 'double' - Error in call to Excel: (xlSpecial | 2) callback failed:  Command faile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 t="e">
        <v>#N/A</v>
      </c>
      <c r="BQ59" t="e">
        <v>#N/A</v>
      </c>
      <c r="BR59" t="e">
        <v>#N/A</v>
      </c>
      <c r="BS59" t="e">
        <v>#N/A</v>
      </c>
      <c r="BT59" t="e">
        <v>#N/A</v>
      </c>
      <c r="BU59" t="e">
        <v>#N/A</v>
      </c>
      <c r="BV59" t="e">
        <v>#N/A</v>
      </c>
      <c r="BW59" t="e">
        <v>#N/A</v>
      </c>
      <c r="BX59" t="e">
        <v>#N/A</v>
      </c>
      <c r="BY59" t="e">
        <v>#N/A</v>
      </c>
      <c r="BZ59" t="e">
        <v>#N/A</v>
      </c>
      <c r="CA59" t="e">
        <v>#N/A</v>
      </c>
    </row>
    <row r="60" spans="1:82" ht="13.5" thickBot="1" x14ac:dyDescent="0.25">
      <c r="U60" s="167"/>
      <c r="V60" s="167"/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 t="e">
        <v>#N/A</v>
      </c>
      <c r="BQ60" t="e">
        <v>#N/A</v>
      </c>
      <c r="BR60" t="e">
        <v>#N/A</v>
      </c>
      <c r="BS60" t="e">
        <v>#N/A</v>
      </c>
      <c r="BT60" t="e">
        <v>#N/A</v>
      </c>
      <c r="BU60" t="e">
        <v>#N/A</v>
      </c>
      <c r="BV60" t="e">
        <v>#N/A</v>
      </c>
      <c r="BW60" t="e">
        <v>#N/A</v>
      </c>
      <c r="BX60" t="e">
        <v>#N/A</v>
      </c>
      <c r="BY60" t="e">
        <v>#N/A</v>
      </c>
      <c r="BZ60" t="e">
        <v>#N/A</v>
      </c>
      <c r="CA60" t="e">
        <v>#N/A</v>
      </c>
    </row>
    <row r="61" spans="1:82" ht="12.75" x14ac:dyDescent="0.2">
      <c r="A61" s="49"/>
      <c r="B61" s="50" t="s">
        <v>7</v>
      </c>
      <c r="C61" s="50" t="s">
        <v>1</v>
      </c>
      <c r="D61" s="50" t="s">
        <v>91</v>
      </c>
      <c r="E61" s="50"/>
      <c r="F61" s="50"/>
      <c r="G61" s="50"/>
      <c r="H61" s="50"/>
      <c r="I61" s="50"/>
      <c r="J61" s="50"/>
      <c r="K61" s="50"/>
      <c r="L61" s="51"/>
      <c r="U61" s="167"/>
      <c r="V61" s="167"/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 t="e">
        <v>#N/A</v>
      </c>
      <c r="BQ61" t="e">
        <v>#N/A</v>
      </c>
      <c r="BR61" t="e">
        <v>#N/A</v>
      </c>
      <c r="BS61" t="e">
        <v>#N/A</v>
      </c>
      <c r="BT61" t="e">
        <v>#N/A</v>
      </c>
      <c r="BU61" t="e">
        <v>#N/A</v>
      </c>
      <c r="BV61" t="e">
        <v>#N/A</v>
      </c>
      <c r="BW61" t="e">
        <v>#N/A</v>
      </c>
      <c r="BX61" t="e">
        <v>#N/A</v>
      </c>
      <c r="BY61" t="e">
        <v>#N/A</v>
      </c>
      <c r="BZ61" t="e">
        <v>#N/A</v>
      </c>
      <c r="CA61" t="e">
        <v>#N/A</v>
      </c>
    </row>
    <row r="62" spans="1:82" x14ac:dyDescent="0.2">
      <c r="A62" s="52" t="str">
        <f>_xll.qlDepositRateHelper2(C62,D62,E62,F62,G62,H62,I62,J62)</f>
        <v>EONIA_DepoON#0005</v>
      </c>
      <c r="B62" s="53" t="str">
        <f>_xll.ohRangeRetrieveError(A62)</f>
        <v/>
      </c>
      <c r="C62" s="54" t="str">
        <f>"EONIA_DepoON"</f>
        <v>EONIA_DepoON</v>
      </c>
      <c r="D62" s="55">
        <f>_xll.qlQuoteValue(T62)</f>
        <v>-4.0999999999999995E-3</v>
      </c>
      <c r="E62" s="54" t="s">
        <v>92</v>
      </c>
      <c r="F62" s="56">
        <v>0</v>
      </c>
      <c r="G62" s="56" t="s">
        <v>10</v>
      </c>
      <c r="H62" s="54" t="s">
        <v>26</v>
      </c>
      <c r="I62" s="56" t="b">
        <v>1</v>
      </c>
      <c r="J62" s="56" t="s">
        <v>14</v>
      </c>
      <c r="K62" s="55"/>
      <c r="L62" s="57"/>
      <c r="Q62" t="s">
        <v>92</v>
      </c>
      <c r="S62">
        <f>VLOOKUP(C62,Sheet9!$F:AR,'EUR RateHelpers'!$Q$1,FALSE)</f>
        <v>-0.41</v>
      </c>
      <c r="T62" t="str">
        <f>_xll.qlSimpleQuote(C62&amp;"_Quote",S62/100,0.0001)</f>
        <v>EONIA_DepoON_Quote#0005</v>
      </c>
      <c r="U62" s="169"/>
      <c r="V62" s="169"/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 t="e">
        <v>#N/A</v>
      </c>
      <c r="BQ62" t="e">
        <v>#N/A</v>
      </c>
      <c r="BR62" t="e">
        <v>#N/A</v>
      </c>
      <c r="BS62" t="e">
        <v>#N/A</v>
      </c>
      <c r="BT62" t="e">
        <v>#N/A</v>
      </c>
      <c r="BU62" t="e">
        <v>#N/A</v>
      </c>
      <c r="BV62" t="e">
        <v>#N/A</v>
      </c>
      <c r="BW62" t="e">
        <v>#N/A</v>
      </c>
      <c r="BX62" t="e">
        <v>#N/A</v>
      </c>
      <c r="BY62" t="e">
        <v>#N/A</v>
      </c>
      <c r="BZ62" t="e">
        <v>#N/A</v>
      </c>
      <c r="CA62" t="e">
        <v>#N/A</v>
      </c>
    </row>
    <row r="63" spans="1:82" x14ac:dyDescent="0.2">
      <c r="A63" s="58" t="str">
        <f>_xll.qlDepositRateHelper2(C63,D63,E63,F63,G63,H63,I63,J63)</f>
        <v>EONIA_DepoTN#0005</v>
      </c>
      <c r="B63" s="59" t="str">
        <f>_xll.ohRangeRetrieveError(A63)</f>
        <v/>
      </c>
      <c r="C63" s="60" t="str">
        <f>"EONIA_DepoTN"</f>
        <v>EONIA_DepoTN</v>
      </c>
      <c r="D63" s="61">
        <f>_xll.qlQuoteValue(T63)</f>
        <v>-4.0999999999999995E-3</v>
      </c>
      <c r="E63" s="60" t="s">
        <v>150</v>
      </c>
      <c r="F63" s="62">
        <v>1</v>
      </c>
      <c r="G63" s="62" t="s">
        <v>10</v>
      </c>
      <c r="H63" s="60" t="s">
        <v>26</v>
      </c>
      <c r="I63" s="62" t="b">
        <v>1</v>
      </c>
      <c r="J63" s="62" t="s">
        <v>14</v>
      </c>
      <c r="K63" s="61"/>
      <c r="L63" s="63"/>
      <c r="Q63" t="s">
        <v>150</v>
      </c>
      <c r="S63">
        <f>VLOOKUP(C63,Sheet9!$F:AR,'EUR RateHelpers'!$Q$1,FALSE)</f>
        <v>-0.41</v>
      </c>
      <c r="T63" t="str">
        <f>_xll.qlSimpleQuote(C63&amp;"_Quote",S63/100,0.0001)</f>
        <v>EONIA_DepoTN_Quote#0005</v>
      </c>
      <c r="U63" s="169"/>
      <c r="V63" s="169"/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 t="e">
        <v>#N/A</v>
      </c>
      <c r="BQ63" t="e">
        <v>#N/A</v>
      </c>
      <c r="BR63" t="e">
        <v>#N/A</v>
      </c>
      <c r="BS63" t="e">
        <v>#N/A</v>
      </c>
      <c r="BT63" t="e">
        <v>#N/A</v>
      </c>
      <c r="BU63" t="e">
        <v>#N/A</v>
      </c>
      <c r="BV63" t="e">
        <v>#N/A</v>
      </c>
      <c r="BW63" t="e">
        <v>#N/A</v>
      </c>
      <c r="BX63" t="e">
        <v>#N/A</v>
      </c>
      <c r="BY63" t="e">
        <v>#N/A</v>
      </c>
      <c r="BZ63" t="e">
        <v>#N/A</v>
      </c>
      <c r="CA63" t="e">
        <v>#N/A</v>
      </c>
    </row>
    <row r="64" spans="1:82" x14ac:dyDescent="0.2">
      <c r="A64" s="58" t="str">
        <f>_xll.qlDepositRateHelper2(C64,D64,E64,F64,G64,H64,I64,J64)</f>
        <v>EONIA_Depo1W#0005</v>
      </c>
      <c r="B64" s="59" t="str">
        <f>_xll.ohRangeRetrieveError(A64)</f>
        <v/>
      </c>
      <c r="C64" s="60" t="str">
        <f t="shared" ref="C64:C78" si="34">"EONIA_Depo"&amp;E64</f>
        <v>EONIA_Depo1W</v>
      </c>
      <c r="D64" s="61">
        <f>_xll.qlQuoteValue(T64)</f>
        <v>-3.5099999999999997E-3</v>
      </c>
      <c r="E64" s="60" t="s">
        <v>93</v>
      </c>
      <c r="F64" s="62">
        <v>2</v>
      </c>
      <c r="G64" s="62" t="s">
        <v>10</v>
      </c>
      <c r="H64" s="60" t="s">
        <v>26</v>
      </c>
      <c r="I64" s="62" t="b">
        <v>1</v>
      </c>
      <c r="J64" s="62" t="s">
        <v>14</v>
      </c>
      <c r="K64" s="61"/>
      <c r="L64" s="63"/>
      <c r="Q64" t="s">
        <v>93</v>
      </c>
      <c r="S64">
        <f>VLOOKUP(C64,Sheet9!$F:AR,'EUR RateHelpers'!$Q$1,FALSE)</f>
        <v>-0.35099999999999998</v>
      </c>
      <c r="T64" t="str">
        <f>_xll.qlSimpleQuote(C64&amp;"_Quote",S64/100,0.0001)</f>
        <v>EONIA_Depo1W_Quote#0005</v>
      </c>
      <c r="U64" s="169"/>
      <c r="V64" s="169"/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 t="e">
        <v>#N/A</v>
      </c>
      <c r="BQ64" t="e">
        <v>#N/A</v>
      </c>
      <c r="BR64" t="e">
        <v>#N/A</v>
      </c>
      <c r="BS64" t="e">
        <v>#N/A</v>
      </c>
      <c r="BT64" t="e">
        <v>#N/A</v>
      </c>
      <c r="BU64" t="e">
        <v>#N/A</v>
      </c>
      <c r="BV64" t="e">
        <v>#N/A</v>
      </c>
      <c r="BW64" t="e">
        <v>#N/A</v>
      </c>
      <c r="BX64" t="e">
        <v>#N/A</v>
      </c>
      <c r="BY64" t="e">
        <v>#N/A</v>
      </c>
      <c r="BZ64" t="e">
        <v>#N/A</v>
      </c>
      <c r="CA64" t="e">
        <v>#N/A</v>
      </c>
    </row>
    <row r="65" spans="1:61" ht="12.75" x14ac:dyDescent="0.2">
      <c r="A65" s="58" t="str">
        <f>_xll.qlDepositRateHelper2(C65,D65,E65,F65,G65,H65,I65,J65)</f>
        <v>EONIA_Depo2W#0005</v>
      </c>
      <c r="B65" s="59" t="str">
        <f>_xll.ohRangeRetrieveError(A65)</f>
        <v/>
      </c>
      <c r="C65" s="60" t="str">
        <f t="shared" si="34"/>
        <v>EONIA_Depo2W</v>
      </c>
      <c r="D65" s="61">
        <f>_xll.qlQuoteValue(T65)</f>
        <v>-3.5099999999999997E-3</v>
      </c>
      <c r="E65" s="60" t="s">
        <v>94</v>
      </c>
      <c r="F65" s="62">
        <v>2</v>
      </c>
      <c r="G65" s="62" t="s">
        <v>10</v>
      </c>
      <c r="H65" s="60" t="s">
        <v>26</v>
      </c>
      <c r="I65" s="62" t="b">
        <v>1</v>
      </c>
      <c r="J65" s="62" t="s">
        <v>14</v>
      </c>
      <c r="K65" s="61"/>
      <c r="L65" s="63"/>
      <c r="Q65" t="s">
        <v>94</v>
      </c>
      <c r="S65">
        <f>VLOOKUP(C65,Sheet9!$F:AR,'EUR RateHelpers'!$Q$1,FALSE)</f>
        <v>-0.35099999999999998</v>
      </c>
      <c r="T65" t="str">
        <f>_xll.qlSimpleQuote(C65&amp;"_Quote",S65/100,0.0001)</f>
        <v>EONIA_Depo2W_Quote#0005</v>
      </c>
      <c r="U65" s="171"/>
      <c r="V65" s="171"/>
    </row>
    <row r="66" spans="1:61" ht="12.75" x14ac:dyDescent="0.2">
      <c r="A66" s="58" t="str">
        <f>_xll.qlDepositRateHelper2(C66,D66,E66,F66,G66,H66,I66,J66)</f>
        <v>EONIA_Depo3W#0005</v>
      </c>
      <c r="B66" s="59" t="str">
        <f>_xll.ohRangeRetrieveError(A66)</f>
        <v/>
      </c>
      <c r="C66" s="60" t="str">
        <f t="shared" si="34"/>
        <v>EONIA_Depo3W</v>
      </c>
      <c r="D66" s="61">
        <f>_xll.qlQuoteValue(T66)</f>
        <v>-3.5099999999999997E-3</v>
      </c>
      <c r="E66" s="60" t="s">
        <v>176</v>
      </c>
      <c r="F66" s="62">
        <v>2</v>
      </c>
      <c r="G66" s="62" t="s">
        <v>10</v>
      </c>
      <c r="H66" s="60" t="s">
        <v>39</v>
      </c>
      <c r="I66" s="62" t="b">
        <v>1</v>
      </c>
      <c r="J66" s="62" t="s">
        <v>14</v>
      </c>
      <c r="K66" s="61"/>
      <c r="L66" s="63"/>
      <c r="Q66" t="s">
        <v>176</v>
      </c>
      <c r="S66">
        <f>VLOOKUP(C66,Sheet9!$F:AR,'EUR RateHelpers'!$Q$1,FALSE)</f>
        <v>-0.35099999999999998</v>
      </c>
      <c r="T66" t="str">
        <f>_xll.qlSimpleQuote(C66&amp;"_Quote",S66/100,0.0001)</f>
        <v>EONIA_Depo3W_Quote#0005</v>
      </c>
      <c r="U66" s="171"/>
      <c r="V66" s="171"/>
    </row>
    <row r="67" spans="1:61" ht="12.75" x14ac:dyDescent="0.2">
      <c r="A67" s="58" t="str">
        <f>_xll.qlDepositRateHelper2(C67,D67,E67,F67,G67,H67,I67,J67)</f>
        <v>EONIA_Depo1M#0005</v>
      </c>
      <c r="B67" s="59" t="str">
        <f>_xll.ohRangeRetrieveError(A67)</f>
        <v/>
      </c>
      <c r="C67" s="60" t="str">
        <f t="shared" si="34"/>
        <v>EONIA_Depo1M</v>
      </c>
      <c r="D67" s="61">
        <f>_xll.qlQuoteValue(T67)</f>
        <v>-3.5099999999999997E-3</v>
      </c>
      <c r="E67" s="60" t="s">
        <v>95</v>
      </c>
      <c r="F67" s="62">
        <v>2</v>
      </c>
      <c r="G67" s="62" t="s">
        <v>10</v>
      </c>
      <c r="H67" s="60" t="s">
        <v>39</v>
      </c>
      <c r="I67" s="62" t="b">
        <v>1</v>
      </c>
      <c r="J67" s="62" t="s">
        <v>14</v>
      </c>
      <c r="K67" s="61"/>
      <c r="L67" s="63"/>
      <c r="Q67" t="s">
        <v>95</v>
      </c>
      <c r="S67">
        <f>VLOOKUP(C67,Sheet9!$F:AR,'EUR RateHelpers'!$Q$1,FALSE)</f>
        <v>-0.35099999999999998</v>
      </c>
      <c r="T67" t="str">
        <f>_xll.qlSimpleQuote(C67&amp;"_Quote",S67/100,0.0001)</f>
        <v>EONIA_Depo1M_Quote#0005</v>
      </c>
      <c r="U67" s="171"/>
      <c r="V67" s="171"/>
    </row>
    <row r="68" spans="1:61" ht="12.75" x14ac:dyDescent="0.2">
      <c r="A68" s="58" t="str">
        <f>_xll.qlDepositRateHelper2(C68,D68,E68,F68,G68,H68,I68,J68)</f>
        <v>EONIA_Depo2M#0005</v>
      </c>
      <c r="B68" s="59" t="str">
        <f>_xll.ohRangeRetrieveError(A68)</f>
        <v/>
      </c>
      <c r="C68" s="60" t="str">
        <f t="shared" si="34"/>
        <v>EONIA_Depo2M</v>
      </c>
      <c r="D68" s="61">
        <f>_xll.qlQuoteValue(T68)</f>
        <v>-3.5199999999999997E-3</v>
      </c>
      <c r="E68" s="60" t="s">
        <v>96</v>
      </c>
      <c r="F68" s="62">
        <v>2</v>
      </c>
      <c r="G68" s="62" t="s">
        <v>10</v>
      </c>
      <c r="H68" s="60" t="s">
        <v>39</v>
      </c>
      <c r="I68" s="62" t="b">
        <v>1</v>
      </c>
      <c r="J68" s="62" t="s">
        <v>14</v>
      </c>
      <c r="K68" s="61"/>
      <c r="L68" s="63"/>
      <c r="Q68" t="s">
        <v>96</v>
      </c>
      <c r="S68">
        <f>VLOOKUP(C68,Sheet9!$F:AR,'EUR RateHelpers'!$Q$1,FALSE)</f>
        <v>-0.35199999999999998</v>
      </c>
      <c r="T68" t="str">
        <f>_xll.qlSimpleQuote(C68&amp;"_Quote",S68/100,0.0001)</f>
        <v>EONIA_Depo2M_Quote#0005</v>
      </c>
      <c r="U68" s="171"/>
      <c r="V68" s="171"/>
    </row>
    <row r="69" spans="1:61" ht="12.75" x14ac:dyDescent="0.2">
      <c r="A69" s="58" t="str">
        <f>_xll.qlDepositRateHelper2(C69,D69,E69,F69,G69,H69,I69,J69)</f>
        <v>EONIA_Depo3M#0005</v>
      </c>
      <c r="B69" s="59" t="str">
        <f>_xll.ohRangeRetrieveError(A69)</f>
        <v/>
      </c>
      <c r="C69" s="60" t="str">
        <f t="shared" si="34"/>
        <v>EONIA_Depo3M</v>
      </c>
      <c r="D69" s="61">
        <f>_xll.qlQuoteValue(T69)</f>
        <v>-3.5299999999999997E-3</v>
      </c>
      <c r="E69" s="60" t="s">
        <v>97</v>
      </c>
      <c r="F69" s="62">
        <v>2</v>
      </c>
      <c r="G69" s="62" t="s">
        <v>10</v>
      </c>
      <c r="H69" s="60" t="s">
        <v>39</v>
      </c>
      <c r="I69" s="62" t="b">
        <v>1</v>
      </c>
      <c r="J69" s="62" t="s">
        <v>14</v>
      </c>
      <c r="K69" s="61"/>
      <c r="L69" s="63"/>
      <c r="Q69" t="s">
        <v>97</v>
      </c>
      <c r="S69">
        <f>VLOOKUP(C69,Sheet9!$F:AR,'EUR RateHelpers'!$Q$1,FALSE)</f>
        <v>-0.35299999999999998</v>
      </c>
      <c r="T69" t="str">
        <f>_xll.qlSimpleQuote(C69&amp;"_Quote",S69/100,0.0001)</f>
        <v>EONIA_Depo3M_Quote#0005</v>
      </c>
      <c r="U69" s="171"/>
      <c r="V69" s="171"/>
      <c r="BI69" t="e">
        <f>_xll.qlBucketAnalysis(AZ13,AF2:AF13)</f>
        <v>#NUM!</v>
      </c>
    </row>
    <row r="70" spans="1:61" ht="12.75" x14ac:dyDescent="0.2">
      <c r="A70" s="58" t="str">
        <f>_xll.qlDepositRateHelper2(C70,D70,E70,F70,G70,H70,I70,J70)</f>
        <v>EONIA_Depo4M#0005</v>
      </c>
      <c r="B70" s="59" t="str">
        <f>_xll.ohRangeRetrieveError(A70)</f>
        <v/>
      </c>
      <c r="C70" s="60" t="str">
        <f t="shared" si="34"/>
        <v>EONIA_Depo4M</v>
      </c>
      <c r="D70" s="61">
        <f>_xll.qlQuoteValue(T70)</f>
        <v>-3.5299999999999997E-3</v>
      </c>
      <c r="E70" s="60" t="s">
        <v>153</v>
      </c>
      <c r="F70" s="62">
        <v>2</v>
      </c>
      <c r="G70" s="62" t="s">
        <v>10</v>
      </c>
      <c r="H70" s="60" t="s">
        <v>39</v>
      </c>
      <c r="I70" s="62" t="b">
        <v>1</v>
      </c>
      <c r="J70" s="62" t="s">
        <v>14</v>
      </c>
      <c r="K70" s="61"/>
      <c r="L70" s="63"/>
      <c r="Q70" t="s">
        <v>153</v>
      </c>
      <c r="S70">
        <f>VLOOKUP(C70,Sheet9!$F:AR,'EUR RateHelpers'!$Q$1,FALSE)</f>
        <v>-0.35299999999999998</v>
      </c>
      <c r="T70" t="str">
        <f>_xll.qlSimpleQuote(C70&amp;"_Quote",S70/100,0.0001)</f>
        <v>EONIA_Depo4M_Quote#0005</v>
      </c>
      <c r="U70" s="171"/>
      <c r="V70" s="171"/>
      <c r="BI70" t="str">
        <f ca="1">_xll.ohRangeRetrieveError(BI69)</f>
        <v>qlBucketAnalysis - operToMatrixImpl: error converting parameter 'SimpleQuote' to type 'class ObjectHandler::property_t' : input value has type=error</v>
      </c>
    </row>
    <row r="71" spans="1:61" ht="12.75" x14ac:dyDescent="0.2">
      <c r="A71" s="58" t="str">
        <f>_xll.qlDepositRateHelper2(C71,D71,E71,F71,G71,H71,I71,J71)</f>
        <v>EONIA_Depo5M#0005</v>
      </c>
      <c r="B71" s="59" t="str">
        <f>_xll.ohRangeRetrieveError(A71)</f>
        <v/>
      </c>
      <c r="C71" s="60" t="str">
        <f t="shared" si="34"/>
        <v>EONIA_Depo5M</v>
      </c>
      <c r="D71" s="61">
        <f>_xll.qlQuoteValue(T71)</f>
        <v>-3.5399999999999997E-3</v>
      </c>
      <c r="E71" s="60" t="s">
        <v>135</v>
      </c>
      <c r="F71" s="62">
        <v>2</v>
      </c>
      <c r="G71" s="62" t="s">
        <v>10</v>
      </c>
      <c r="H71" s="60" t="s">
        <v>39</v>
      </c>
      <c r="I71" s="62" t="b">
        <v>1</v>
      </c>
      <c r="J71" s="62" t="s">
        <v>14</v>
      </c>
      <c r="K71" s="61"/>
      <c r="L71" s="63"/>
      <c r="Q71" t="s">
        <v>135</v>
      </c>
      <c r="S71">
        <f>VLOOKUP(C71,Sheet9!$F:AR,'EUR RateHelpers'!$Q$1,FALSE)</f>
        <v>-0.35399999999999998</v>
      </c>
      <c r="T71" t="str">
        <f>_xll.qlSimpleQuote(C71&amp;"_Quote",S71/100,0.0001)</f>
        <v>EONIA_Depo5M_Quote#0005</v>
      </c>
      <c r="U71" s="171"/>
      <c r="V71" s="171"/>
    </row>
    <row r="72" spans="1:61" ht="12.75" x14ac:dyDescent="0.2">
      <c r="A72" s="58" t="str">
        <f>_xll.qlDepositRateHelper2(C72,D72,E72,F72,G72,H72,I72,J72)</f>
        <v>EONIA_Depo6M#0005</v>
      </c>
      <c r="B72" s="59" t="str">
        <f>_xll.ohRangeRetrieveError(A72)</f>
        <v/>
      </c>
      <c r="C72" s="60" t="str">
        <f t="shared" si="34"/>
        <v>EONIA_Depo6M</v>
      </c>
      <c r="D72" s="61">
        <f>_xll.qlQuoteValue(T72)</f>
        <v>-3.5399999999999997E-3</v>
      </c>
      <c r="E72" s="60" t="s">
        <v>38</v>
      </c>
      <c r="F72" s="62">
        <v>2</v>
      </c>
      <c r="G72" s="62" t="s">
        <v>10</v>
      </c>
      <c r="H72" s="60" t="s">
        <v>39</v>
      </c>
      <c r="I72" s="62" t="b">
        <v>1</v>
      </c>
      <c r="J72" s="62" t="s">
        <v>14</v>
      </c>
      <c r="K72" s="61"/>
      <c r="L72" s="63"/>
      <c r="Q72" t="s">
        <v>38</v>
      </c>
      <c r="S72">
        <f>VLOOKUP(C72,Sheet9!$F:AR,'EUR RateHelpers'!$Q$1,FALSE)</f>
        <v>-0.35399999999999998</v>
      </c>
      <c r="T72" t="str">
        <f>_xll.qlSimpleQuote(C72&amp;"_Quote",S72/100,0.0001)</f>
        <v>EONIA_Depo6M_Quote#0005</v>
      </c>
      <c r="U72" s="171"/>
      <c r="V72" s="171"/>
    </row>
    <row r="73" spans="1:61" ht="12.75" x14ac:dyDescent="0.2">
      <c r="A73" s="58" t="str">
        <f>_xll.qlDepositRateHelper2(C73,D73,E73,F73,G73,H73,I73,J73)</f>
        <v>EONIA_Depo7M#0005</v>
      </c>
      <c r="B73" s="59" t="str">
        <f>_xll.ohRangeRetrieveError(A73)</f>
        <v/>
      </c>
      <c r="C73" s="60" t="str">
        <f t="shared" si="34"/>
        <v>EONIA_Depo7M</v>
      </c>
      <c r="D73" s="61">
        <f>_xll.qlQuoteValue(T73)</f>
        <v>-3.5299999999999997E-3</v>
      </c>
      <c r="E73" s="60" t="s">
        <v>151</v>
      </c>
      <c r="F73" s="62">
        <v>2</v>
      </c>
      <c r="G73" s="62" t="s">
        <v>10</v>
      </c>
      <c r="H73" s="60" t="s">
        <v>39</v>
      </c>
      <c r="I73" s="62" t="b">
        <v>1</v>
      </c>
      <c r="J73" s="62" t="s">
        <v>14</v>
      </c>
      <c r="K73" s="61"/>
      <c r="L73" s="63"/>
      <c r="Q73" t="s">
        <v>151</v>
      </c>
      <c r="S73">
        <f>VLOOKUP(C73,Sheet9!$F:AR,'EUR RateHelpers'!$Q$1,FALSE)</f>
        <v>-0.35299999999999998</v>
      </c>
      <c r="T73" t="str">
        <f>_xll.qlSimpleQuote(C73&amp;"_Quote",S73/100,0.0001)</f>
        <v>EONIA_Depo7M_Quote#0005</v>
      </c>
      <c r="U73" s="171"/>
      <c r="V73" s="171"/>
    </row>
    <row r="74" spans="1:61" ht="12.75" x14ac:dyDescent="0.2">
      <c r="A74" s="58" t="str">
        <f>_xll.qlDepositRateHelper2(C74,D74,E74,F74,G74,H74,I74,J74)</f>
        <v>EONIA_Depo8M#0005</v>
      </c>
      <c r="B74" s="59" t="str">
        <f>_xll.ohRangeRetrieveError(A74)</f>
        <v/>
      </c>
      <c r="C74" s="60" t="str">
        <f t="shared" si="34"/>
        <v>EONIA_Depo8M</v>
      </c>
      <c r="D74" s="61">
        <f>_xll.qlQuoteValue(T74)</f>
        <v>-3.5299999999999997E-3</v>
      </c>
      <c r="E74" s="60" t="s">
        <v>136</v>
      </c>
      <c r="F74" s="62">
        <v>2</v>
      </c>
      <c r="G74" s="62" t="s">
        <v>10</v>
      </c>
      <c r="H74" s="60" t="s">
        <v>39</v>
      </c>
      <c r="I74" s="62" t="b">
        <v>1</v>
      </c>
      <c r="J74" s="62" t="s">
        <v>14</v>
      </c>
      <c r="K74" s="61"/>
      <c r="L74" s="63"/>
      <c r="Q74" t="s">
        <v>136</v>
      </c>
      <c r="S74">
        <f>VLOOKUP(C74,Sheet9!$F:AR,'EUR RateHelpers'!$Q$1,FALSE)</f>
        <v>-0.35299999999999998</v>
      </c>
      <c r="T74" t="str">
        <f>_xll.qlSimpleQuote(C74&amp;"_Quote",S74/100,0.0001)</f>
        <v>EONIA_Depo8M_Quote#0005</v>
      </c>
      <c r="U74" s="171"/>
      <c r="V74" s="171"/>
    </row>
    <row r="75" spans="1:61" ht="12.75" x14ac:dyDescent="0.2">
      <c r="A75" s="58" t="str">
        <f>_xll.qlDepositRateHelper2(C75,D75,E75,F75,G75,H75,I75,J75)</f>
        <v>EONIA_Depo9M#0005</v>
      </c>
      <c r="B75" s="59" t="str">
        <f>_xll.ohRangeRetrieveError(A75)</f>
        <v/>
      </c>
      <c r="C75" s="60" t="str">
        <f t="shared" si="34"/>
        <v>EONIA_Depo9M</v>
      </c>
      <c r="D75" s="61">
        <f>_xll.qlQuoteValue(T75)</f>
        <v>-3.5199999999999997E-3</v>
      </c>
      <c r="E75" s="60" t="s">
        <v>152</v>
      </c>
      <c r="F75" s="62">
        <v>2</v>
      </c>
      <c r="G75" s="62" t="s">
        <v>10</v>
      </c>
      <c r="H75" s="60" t="s">
        <v>39</v>
      </c>
      <c r="I75" s="62" t="b">
        <v>1</v>
      </c>
      <c r="J75" s="62" t="s">
        <v>14</v>
      </c>
      <c r="K75" s="61"/>
      <c r="L75" s="63"/>
      <c r="Q75" t="s">
        <v>152</v>
      </c>
      <c r="S75">
        <f>VLOOKUP(C75,Sheet9!$F:AR,'EUR RateHelpers'!$Q$1,FALSE)</f>
        <v>-0.35199999999999998</v>
      </c>
      <c r="T75" t="str">
        <f>_xll.qlSimpleQuote(C75&amp;"_Quote",S75/100,0.0001)</f>
        <v>EONIA_Depo9M_Quote#0005</v>
      </c>
      <c r="U75" s="171"/>
      <c r="V75" s="171"/>
    </row>
    <row r="76" spans="1:61" ht="12.75" x14ac:dyDescent="0.2">
      <c r="A76" s="58" t="str">
        <f>_xll.qlDepositRateHelper2(C76,D76,E76,F76,G76,H76,I76,J76)</f>
        <v>EONIA_Depo10M#0005</v>
      </c>
      <c r="B76" s="59" t="str">
        <f>_xll.ohRangeRetrieveError(A76)</f>
        <v/>
      </c>
      <c r="C76" s="60" t="str">
        <f t="shared" si="34"/>
        <v>EONIA_Depo10M</v>
      </c>
      <c r="D76" s="61">
        <f>_xll.qlQuoteValue(T76)</f>
        <v>-3.5099999999999997E-3</v>
      </c>
      <c r="E76" s="60" t="s">
        <v>154</v>
      </c>
      <c r="F76" s="62">
        <v>2</v>
      </c>
      <c r="G76" s="62" t="s">
        <v>10</v>
      </c>
      <c r="H76" s="60" t="s">
        <v>39</v>
      </c>
      <c r="I76" s="62" t="b">
        <v>1</v>
      </c>
      <c r="J76" s="62" t="s">
        <v>14</v>
      </c>
      <c r="K76" s="61"/>
      <c r="L76" s="63"/>
      <c r="Q76" t="s">
        <v>154</v>
      </c>
      <c r="S76">
        <f>VLOOKUP(C76,Sheet9!$F:AR,'EUR RateHelpers'!$Q$1,FALSE)</f>
        <v>-0.35099999999999998</v>
      </c>
      <c r="T76" t="str">
        <f>_xll.qlSimpleQuote(C76&amp;"_Quote",S76/100,0.0001)</f>
        <v>EONIA_Depo10M_Quote#0005</v>
      </c>
      <c r="U76" s="171"/>
      <c r="V76" s="171"/>
    </row>
    <row r="77" spans="1:61" ht="12.75" x14ac:dyDescent="0.2">
      <c r="A77" s="58" t="str">
        <f>_xll.qlDepositRateHelper2(C77,D77,E77,F77,G77,H77,I77,J77)</f>
        <v>EONIA_Depo11M#0005</v>
      </c>
      <c r="B77" s="59" t="str">
        <f>_xll.ohRangeRetrieveError(A77)</f>
        <v/>
      </c>
      <c r="C77" s="60" t="str">
        <f t="shared" si="34"/>
        <v>EONIA_Depo11M</v>
      </c>
      <c r="D77" s="61">
        <f>_xll.qlQuoteValue(T77)</f>
        <v>-3.4899999999999996E-3</v>
      </c>
      <c r="E77" s="60" t="s">
        <v>137</v>
      </c>
      <c r="F77" s="62">
        <v>2</v>
      </c>
      <c r="G77" s="62" t="s">
        <v>10</v>
      </c>
      <c r="H77" s="60" t="s">
        <v>39</v>
      </c>
      <c r="I77" s="62" t="b">
        <v>1</v>
      </c>
      <c r="J77" s="62" t="s">
        <v>14</v>
      </c>
      <c r="K77" s="61"/>
      <c r="L77" s="63"/>
      <c r="Q77" t="s">
        <v>137</v>
      </c>
      <c r="S77">
        <f>VLOOKUP(C77,Sheet9!$F:AR,'EUR RateHelpers'!$Q$1,FALSE)</f>
        <v>-0.34899999999999998</v>
      </c>
      <c r="T77" t="str">
        <f>_xll.qlSimpleQuote(C77&amp;"_Quote",S77/100,0.0001)</f>
        <v>EONIA_Depo11M_Quote#0005</v>
      </c>
      <c r="U77" s="171"/>
      <c r="V77" s="171"/>
    </row>
    <row r="78" spans="1:61" ht="12.75" x14ac:dyDescent="0.2">
      <c r="A78" s="58" t="str">
        <f>_xll.qlFraRateHelper2(C78,D78,E78,F78,2,G78,H78,I78,J78)</f>
        <v>EONIA_Depo12M#0005</v>
      </c>
      <c r="B78" s="73" t="str">
        <f>_xll.ohRangeRetrieveError(A78)</f>
        <v/>
      </c>
      <c r="C78" s="60" t="str">
        <f t="shared" si="34"/>
        <v>EONIA_Depo12M</v>
      </c>
      <c r="D78" s="61">
        <f>_xll.qlQuoteValue(T78)</f>
        <v>-3.4799999999999996E-3</v>
      </c>
      <c r="E78" s="72" t="s">
        <v>155</v>
      </c>
      <c r="F78" s="62">
        <v>2</v>
      </c>
      <c r="G78" s="62" t="s">
        <v>98</v>
      </c>
      <c r="H78" s="60" t="s">
        <v>39</v>
      </c>
      <c r="I78" s="62" t="b">
        <v>1</v>
      </c>
      <c r="J78" s="62" t="s">
        <v>14</v>
      </c>
      <c r="K78" s="61"/>
      <c r="L78" s="63"/>
      <c r="Q78" t="s">
        <v>155</v>
      </c>
      <c r="S78">
        <f>VLOOKUP(C78,Sheet9!$F:AR,'EUR RateHelpers'!$Q$1,FALSE)</f>
        <v>-0.34799999999999998</v>
      </c>
      <c r="T78" t="str">
        <f>_xll.qlSimpleQuote(C78&amp;"_Quote",S78/100,0.0001)</f>
        <v>EONIA_Depo12M_Quote#0005</v>
      </c>
      <c r="U78" s="171"/>
      <c r="V78" s="171"/>
    </row>
    <row r="79" spans="1:61" ht="12.75" x14ac:dyDescent="0.2">
      <c r="A79" s="58" t="str">
        <f>_xll.qlSwapRateHelper2(C79,D79,,E79,F79,G79,H79,I79,J79,K79,L79)</f>
        <v>EONIA_Swap15M#0005</v>
      </c>
      <c r="B79" s="59" t="str">
        <f>_xll.ohRangeRetrieveError(A79)</f>
        <v/>
      </c>
      <c r="C79" s="60" t="str">
        <f>"EONIA_Swap"&amp;E79</f>
        <v>EONIA_Swap15M</v>
      </c>
      <c r="D79" s="61">
        <f>_xll.qlQuoteValue(T79)</f>
        <v>-3.4200000000000003E-3</v>
      </c>
      <c r="E79" s="72" t="s">
        <v>177</v>
      </c>
      <c r="F79" s="62" t="s">
        <v>98</v>
      </c>
      <c r="G79" s="62" t="s">
        <v>0</v>
      </c>
      <c r="H79" s="60" t="s">
        <v>39</v>
      </c>
      <c r="I79" s="62" t="s">
        <v>14</v>
      </c>
      <c r="J79" s="62" t="str">
        <f>'Passive Indexes'!B$8</f>
        <v>obj_0007d#0005</v>
      </c>
      <c r="K79" s="61">
        <v>0</v>
      </c>
      <c r="L79" s="63" t="s">
        <v>100</v>
      </c>
      <c r="Q79" t="s">
        <v>177</v>
      </c>
      <c r="S79">
        <f>VLOOKUP(C79,Sheet9!$F:AR,'EUR RateHelpers'!$Q$1,FALSE)</f>
        <v>-0.34200000000000003</v>
      </c>
      <c r="T79" t="str">
        <f>_xll.qlSimpleQuote(C79&amp;"_Quote",S79/100,0.0001)</f>
        <v>EONIA_Swap15M_Quote#0005</v>
      </c>
      <c r="U79" s="172"/>
      <c r="V79" s="172"/>
    </row>
    <row r="80" spans="1:61" ht="12.75" x14ac:dyDescent="0.2">
      <c r="A80" s="58" t="str">
        <f>_xll.qlSwapRateHelper2(C80,D80,,E80,F80,G80,H80,I80,J80,K80,L80)</f>
        <v>EONIA_Swap18M#0005</v>
      </c>
      <c r="B80" s="59" t="str">
        <f>_xll.ohRangeRetrieveError(A80)</f>
        <v/>
      </c>
      <c r="C80" s="60" t="str">
        <f t="shared" ref="C80:C98" si="35">"EONIA_Swap"&amp;E80</f>
        <v>EONIA_Swap18M</v>
      </c>
      <c r="D80" s="61">
        <f>_xll.qlQuoteValue(T80)</f>
        <v>-3.3400000000000001E-3</v>
      </c>
      <c r="E80" s="72" t="s">
        <v>156</v>
      </c>
      <c r="F80" s="62" t="s">
        <v>98</v>
      </c>
      <c r="G80" s="62" t="s">
        <v>0</v>
      </c>
      <c r="H80" s="60" t="s">
        <v>39</v>
      </c>
      <c r="I80" s="62" t="s">
        <v>14</v>
      </c>
      <c r="J80" s="62" t="str">
        <f>'Passive Indexes'!B$8</f>
        <v>obj_0007d#0005</v>
      </c>
      <c r="K80" s="61">
        <v>0</v>
      </c>
      <c r="L80" s="63" t="s">
        <v>100</v>
      </c>
      <c r="Q80" t="s">
        <v>156</v>
      </c>
      <c r="S80">
        <f>VLOOKUP(C80,Sheet9!$F:AR,'EUR RateHelpers'!$Q$1,FALSE)</f>
        <v>-0.33400000000000002</v>
      </c>
      <c r="T80" t="str">
        <f>_xll.qlSimpleQuote(C80&amp;"_Quote",S80/100,0.0001)</f>
        <v>EONIA_Swap18M_Quote#0005</v>
      </c>
      <c r="U80" s="172"/>
      <c r="V80" s="172"/>
    </row>
    <row r="81" spans="1:22" ht="12.75" x14ac:dyDescent="0.2">
      <c r="A81" s="58" t="str">
        <f>_xll.qlSwapRateHelper2(C81,D81,,E81,F81,G81,H81,I81,J81,K81,L81)</f>
        <v>EONIA_Swap21M#0005</v>
      </c>
      <c r="B81" s="59" t="str">
        <f>_xll.ohRangeRetrieveError(A81)</f>
        <v/>
      </c>
      <c r="C81" s="60" t="str">
        <f t="shared" si="35"/>
        <v>EONIA_Swap21M</v>
      </c>
      <c r="D81" s="61">
        <f>_xll.qlQuoteValue(T81)</f>
        <v>-3.2500000000000003E-3</v>
      </c>
      <c r="E81" s="72" t="s">
        <v>178</v>
      </c>
      <c r="F81" s="62" t="s">
        <v>98</v>
      </c>
      <c r="G81" s="62" t="s">
        <v>0</v>
      </c>
      <c r="H81" s="60" t="s">
        <v>39</v>
      </c>
      <c r="I81" s="62" t="s">
        <v>14</v>
      </c>
      <c r="J81" s="62" t="str">
        <f>'Passive Indexes'!B$8</f>
        <v>obj_0007d#0005</v>
      </c>
      <c r="K81" s="61">
        <v>0</v>
      </c>
      <c r="L81" s="63" t="s">
        <v>100</v>
      </c>
      <c r="Q81" t="s">
        <v>178</v>
      </c>
      <c r="S81">
        <f>VLOOKUP(C81,Sheet9!$F:AR,'EUR RateHelpers'!$Q$1,FALSE)</f>
        <v>-0.32500000000000001</v>
      </c>
      <c r="T81" t="str">
        <f>_xll.qlSimpleQuote(C81&amp;"_Quote",S81/100,0.0001)</f>
        <v>EONIA_Swap21M_Quote#0005</v>
      </c>
      <c r="U81" s="172"/>
      <c r="V81" s="172"/>
    </row>
    <row r="82" spans="1:22" ht="12.75" x14ac:dyDescent="0.2">
      <c r="A82" s="58" t="str">
        <f>_xll.qlSwapRateHelper2(C82,D82,,E82,F82,G82,H82,I82,J82,K82,L82)</f>
        <v>EONIA_Swap2Y#0005</v>
      </c>
      <c r="B82" s="59" t="str">
        <f>_xll.ohRangeRetrieveError(A82)</f>
        <v/>
      </c>
      <c r="C82" s="60" t="str">
        <f t="shared" si="35"/>
        <v>EONIA_Swap2Y</v>
      </c>
      <c r="D82" s="61">
        <f>_xll.qlQuoteValue(T82)</f>
        <v>-3.14E-3</v>
      </c>
      <c r="E82" s="72" t="s">
        <v>157</v>
      </c>
      <c r="F82" s="62" t="s">
        <v>98</v>
      </c>
      <c r="G82" s="62" t="s">
        <v>0</v>
      </c>
      <c r="H82" s="60" t="s">
        <v>39</v>
      </c>
      <c r="I82" s="62" t="s">
        <v>14</v>
      </c>
      <c r="J82" s="62" t="str">
        <f>'Passive Indexes'!B$8</f>
        <v>obj_0007d#0005</v>
      </c>
      <c r="K82" s="61">
        <v>0</v>
      </c>
      <c r="L82" s="63" t="s">
        <v>100</v>
      </c>
      <c r="Q82" t="s">
        <v>157</v>
      </c>
      <c r="S82">
        <f>VLOOKUP(C82,Sheet9!$F:AR,'EUR RateHelpers'!$Q$1,FALSE)</f>
        <v>-0.314</v>
      </c>
      <c r="T82" t="str">
        <f>_xll.qlSimpleQuote(C82&amp;"_Quote",S82/100,0.0001)</f>
        <v>EONIA_Swap2Y_Quote#0005</v>
      </c>
      <c r="U82" s="172"/>
      <c r="V82" s="172"/>
    </row>
    <row r="83" spans="1:22" ht="12.75" x14ac:dyDescent="0.2">
      <c r="A83" s="58" t="str">
        <f>_xll.qlSwapRateHelper2(C83,D83,,E83,F83,G83,H83,I83,J83,K83,L83)</f>
        <v>EONIA_Swap3Y#0005</v>
      </c>
      <c r="B83" s="59" t="str">
        <f>_xll.ohRangeRetrieveError(A83)</f>
        <v/>
      </c>
      <c r="C83" s="60" t="str">
        <f t="shared" si="35"/>
        <v>EONIA_Swap3Y</v>
      </c>
      <c r="D83" s="61">
        <f>_xll.qlQuoteValue(T83)</f>
        <v>-2.5400000000000002E-3</v>
      </c>
      <c r="E83" s="72" t="s">
        <v>99</v>
      </c>
      <c r="F83" s="62" t="s">
        <v>98</v>
      </c>
      <c r="G83" s="62" t="s">
        <v>0</v>
      </c>
      <c r="H83" s="60" t="s">
        <v>39</v>
      </c>
      <c r="I83" s="62" t="s">
        <v>14</v>
      </c>
      <c r="J83" s="62" t="str">
        <f>'Passive Indexes'!B$8</f>
        <v>obj_0007d#0005</v>
      </c>
      <c r="K83" s="61">
        <v>0</v>
      </c>
      <c r="L83" s="63" t="s">
        <v>100</v>
      </c>
      <c r="Q83" t="s">
        <v>99</v>
      </c>
      <c r="S83">
        <f>VLOOKUP(C83,Sheet9!$F:AR,'EUR RateHelpers'!$Q$1,FALSE)</f>
        <v>-0.254</v>
      </c>
      <c r="T83" t="str">
        <f>_xll.qlSimpleQuote(C83&amp;"_Quote",S83/100,0.0001)</f>
        <v>EONIA_Swap3Y_Quote#0005</v>
      </c>
      <c r="U83" s="172"/>
      <c r="V83" s="172"/>
    </row>
    <row r="84" spans="1:22" ht="12.75" x14ac:dyDescent="0.2">
      <c r="A84" s="58" t="str">
        <f>_xll.qlSwapRateHelper2(C84,D84,,E84,F84,G84,H84,I84,J84,K84,L84)</f>
        <v>EONIA_Swap4Y#0005</v>
      </c>
      <c r="B84" s="59" t="str">
        <f>_xll.ohRangeRetrieveError(A84)</f>
        <v/>
      </c>
      <c r="C84" s="60" t="str">
        <f t="shared" si="35"/>
        <v>EONIA_Swap4Y</v>
      </c>
      <c r="D84" s="61">
        <f>_xll.qlQuoteValue(T84)</f>
        <v>-1.7499999999999998E-3</v>
      </c>
      <c r="E84" s="72" t="s">
        <v>101</v>
      </c>
      <c r="F84" s="62" t="s">
        <v>98</v>
      </c>
      <c r="G84" s="62" t="s">
        <v>0</v>
      </c>
      <c r="H84" s="60" t="s">
        <v>39</v>
      </c>
      <c r="I84" s="62" t="s">
        <v>14</v>
      </c>
      <c r="J84" s="62" t="str">
        <f>'Passive Indexes'!B$8</f>
        <v>obj_0007d#0005</v>
      </c>
      <c r="K84" s="61">
        <v>0</v>
      </c>
      <c r="L84" s="63" t="s">
        <v>100</v>
      </c>
      <c r="Q84" t="s">
        <v>101</v>
      </c>
      <c r="S84">
        <f>VLOOKUP(C84,Sheet9!$F:AR,'EUR RateHelpers'!$Q$1,FALSE)</f>
        <v>-0.17499999999999999</v>
      </c>
      <c r="T84" t="str">
        <f>_xll.qlSimpleQuote(C84&amp;"_Quote",S84/100,0.0001)</f>
        <v>EONIA_Swap4Y_Quote#0005</v>
      </c>
      <c r="U84" s="172"/>
      <c r="V84" s="172"/>
    </row>
    <row r="85" spans="1:22" ht="12.75" x14ac:dyDescent="0.2">
      <c r="A85" s="58" t="str">
        <f>_xll.qlSwapRateHelper2(C85,D85,,E85,F85,G85,H85,I85,J85,K85,L85)</f>
        <v>EONIA_Swap5Y#0005</v>
      </c>
      <c r="B85" s="59" t="str">
        <f>_xll.ohRangeRetrieveError(A85)</f>
        <v/>
      </c>
      <c r="C85" s="60" t="str">
        <f t="shared" si="35"/>
        <v>EONIA_Swap5Y</v>
      </c>
      <c r="D85" s="61">
        <f>_xll.qlQuoteValue(T85)</f>
        <v>-7.5999999999999993E-4</v>
      </c>
      <c r="E85" s="72" t="s">
        <v>102</v>
      </c>
      <c r="F85" s="62" t="s">
        <v>98</v>
      </c>
      <c r="G85" s="62" t="s">
        <v>0</v>
      </c>
      <c r="H85" s="60" t="s">
        <v>39</v>
      </c>
      <c r="I85" s="62" t="s">
        <v>14</v>
      </c>
      <c r="J85" s="62" t="str">
        <f>'Passive Indexes'!B$8</f>
        <v>obj_0007d#0005</v>
      </c>
      <c r="K85" s="61">
        <v>0</v>
      </c>
      <c r="L85" s="63" t="s">
        <v>100</v>
      </c>
      <c r="Q85" t="s">
        <v>102</v>
      </c>
      <c r="S85">
        <f>VLOOKUP(C85,Sheet9!$F:AR,'EUR RateHelpers'!$Q$1,FALSE)</f>
        <v>-7.5999999999999998E-2</v>
      </c>
      <c r="T85" t="str">
        <f>_xll.qlSimpleQuote(C85&amp;"_Quote",S85/100,0.0001)</f>
        <v>EONIA_Swap5Y_Quote#0005</v>
      </c>
      <c r="U85" s="172"/>
      <c r="V85" s="172"/>
    </row>
    <row r="86" spans="1:22" ht="12.75" x14ac:dyDescent="0.2">
      <c r="A86" s="58" t="str">
        <f>_xll.qlSwapRateHelper2(C86,D86,,E86,F86,G86,H86,I86,J86,K86,L86)</f>
        <v>EONIA_Swap6Y#0005</v>
      </c>
      <c r="B86" s="59" t="str">
        <f>_xll.ohRangeRetrieveError(A86)</f>
        <v/>
      </c>
      <c r="C86" s="60" t="str">
        <f t="shared" si="35"/>
        <v>EONIA_Swap6Y</v>
      </c>
      <c r="D86" s="61">
        <f>_xll.qlQuoteValue(T86)</f>
        <v>4.2000000000000002E-4</v>
      </c>
      <c r="E86" s="72" t="s">
        <v>103</v>
      </c>
      <c r="F86" s="62" t="s">
        <v>98</v>
      </c>
      <c r="G86" s="62" t="s">
        <v>0</v>
      </c>
      <c r="H86" s="60" t="s">
        <v>39</v>
      </c>
      <c r="I86" s="62" t="s">
        <v>14</v>
      </c>
      <c r="J86" s="62" t="str">
        <f>'Passive Indexes'!B$8</f>
        <v>obj_0007d#0005</v>
      </c>
      <c r="K86" s="61">
        <v>0</v>
      </c>
      <c r="L86" s="63" t="s">
        <v>100</v>
      </c>
      <c r="Q86" t="s">
        <v>103</v>
      </c>
      <c r="S86">
        <f>VLOOKUP(C86,Sheet9!$F:AR,'EUR RateHelpers'!$Q$1,FALSE)</f>
        <v>4.2000000000000003E-2</v>
      </c>
      <c r="T86" t="str">
        <f>_xll.qlSimpleQuote(C86&amp;"_Quote",S86/100,0.0001)</f>
        <v>EONIA_Swap6Y_Quote#0005</v>
      </c>
      <c r="U86" s="172"/>
      <c r="V86" s="172"/>
    </row>
    <row r="87" spans="1:22" ht="12.75" x14ac:dyDescent="0.2">
      <c r="A87" s="58" t="str">
        <f>_xll.qlSwapRateHelper2(C87,D87,,E87,F87,G87,H87,I87,J87,K87,L87)</f>
        <v>EONIA_Swap7Y#0005</v>
      </c>
      <c r="B87" s="59" t="str">
        <f>_xll.ohRangeRetrieveError(A87)</f>
        <v/>
      </c>
      <c r="C87" s="60" t="str">
        <f t="shared" si="35"/>
        <v>EONIA_Swap7Y</v>
      </c>
      <c r="D87" s="61">
        <f>_xll.qlQuoteValue(T87)</f>
        <v>1.7100000000000001E-3</v>
      </c>
      <c r="E87" s="72" t="s">
        <v>104</v>
      </c>
      <c r="F87" s="62" t="s">
        <v>98</v>
      </c>
      <c r="G87" s="62" t="s">
        <v>0</v>
      </c>
      <c r="H87" s="60" t="s">
        <v>39</v>
      </c>
      <c r="I87" s="62" t="s">
        <v>14</v>
      </c>
      <c r="J87" s="62" t="str">
        <f>'Passive Indexes'!B$8</f>
        <v>obj_0007d#0005</v>
      </c>
      <c r="K87" s="61">
        <v>0</v>
      </c>
      <c r="L87" s="63" t="s">
        <v>100</v>
      </c>
      <c r="Q87" t="s">
        <v>104</v>
      </c>
      <c r="S87">
        <f>VLOOKUP(C87,Sheet9!$F:AR,'EUR RateHelpers'!$Q$1,FALSE)</f>
        <v>0.17100000000000001</v>
      </c>
      <c r="T87" t="str">
        <f>_xll.qlSimpleQuote(C87&amp;"_Quote",S87/100,0.0001)</f>
        <v>EONIA_Swap7Y_Quote#0005</v>
      </c>
      <c r="U87" s="172"/>
      <c r="V87" s="172"/>
    </row>
    <row r="88" spans="1:22" ht="12.75" x14ac:dyDescent="0.2">
      <c r="A88" s="58" t="str">
        <f>_xll.qlSwapRateHelper2(C88,D88,,E88,F88,G88,H88,I88,J88,K88,L88)</f>
        <v>EONIA_Swap8Y#0005</v>
      </c>
      <c r="B88" s="59" t="str">
        <f>_xll.ohRangeRetrieveError(A88)</f>
        <v/>
      </c>
      <c r="C88" s="60" t="str">
        <f t="shared" si="35"/>
        <v>EONIA_Swap8Y</v>
      </c>
      <c r="D88" s="61">
        <f>_xll.qlQuoteValue(T88)</f>
        <v>3.0299999999999997E-3</v>
      </c>
      <c r="E88" s="72" t="s">
        <v>105</v>
      </c>
      <c r="F88" s="62" t="s">
        <v>98</v>
      </c>
      <c r="G88" s="62" t="s">
        <v>0</v>
      </c>
      <c r="H88" s="60" t="s">
        <v>39</v>
      </c>
      <c r="I88" s="62" t="s">
        <v>14</v>
      </c>
      <c r="J88" s="62" t="str">
        <f>'Passive Indexes'!B$8</f>
        <v>obj_0007d#0005</v>
      </c>
      <c r="K88" s="61">
        <v>0</v>
      </c>
      <c r="L88" s="63" t="s">
        <v>100</v>
      </c>
      <c r="Q88" t="s">
        <v>105</v>
      </c>
      <c r="S88">
        <f>VLOOKUP(C88,Sheet9!$F:AR,'EUR RateHelpers'!$Q$1,FALSE)</f>
        <v>0.30299999999999999</v>
      </c>
      <c r="T88" t="str">
        <f>_xll.qlSimpleQuote(C88&amp;"_Quote",S88/100,0.0001)</f>
        <v>EONIA_Swap8Y_Quote#0005</v>
      </c>
      <c r="U88" s="172"/>
      <c r="V88" s="173"/>
    </row>
    <row r="89" spans="1:22" ht="12.75" x14ac:dyDescent="0.2">
      <c r="A89" s="58" t="str">
        <f>_xll.qlSwapRateHelper2(C89,D89,,E89,F89,G89,H89,I89,J89,K89,L89)</f>
        <v>EONIA_Swap9Y#0005</v>
      </c>
      <c r="B89" s="59" t="str">
        <f>_xll.ohRangeRetrieveError(A89)</f>
        <v/>
      </c>
      <c r="C89" s="60" t="str">
        <f t="shared" si="35"/>
        <v>EONIA_Swap9Y</v>
      </c>
      <c r="D89" s="61">
        <f>_xll.qlQuoteValue(T89)</f>
        <v>4.3499999999999997E-3</v>
      </c>
      <c r="E89" s="72" t="s">
        <v>106</v>
      </c>
      <c r="F89" s="62" t="s">
        <v>98</v>
      </c>
      <c r="G89" s="62" t="s">
        <v>0</v>
      </c>
      <c r="H89" s="60" t="s">
        <v>39</v>
      </c>
      <c r="I89" s="62" t="s">
        <v>14</v>
      </c>
      <c r="J89" s="62" t="str">
        <f>'Passive Indexes'!B$8</f>
        <v>obj_0007d#0005</v>
      </c>
      <c r="K89" s="61">
        <v>0</v>
      </c>
      <c r="L89" s="63" t="s">
        <v>100</v>
      </c>
      <c r="Q89" t="s">
        <v>106</v>
      </c>
      <c r="S89">
        <f>VLOOKUP(C89,Sheet9!$F:AR,'EUR RateHelpers'!$Q$1,FALSE)</f>
        <v>0.435</v>
      </c>
      <c r="T89" t="str">
        <f>_xll.qlSimpleQuote(C89&amp;"_Quote",S89/100,0.0001)</f>
        <v>EONIA_Swap9Y_Quote#0005</v>
      </c>
      <c r="U89" s="172"/>
      <c r="V89" s="172"/>
    </row>
    <row r="90" spans="1:22" ht="12.75" x14ac:dyDescent="0.2">
      <c r="A90" s="58" t="str">
        <f>_xll.qlSwapRateHelper2(C90,D90,,E90,F90,G90,H90,I90,J90,K90,L90)</f>
        <v>EONIA_Swap10Y#0005</v>
      </c>
      <c r="B90" s="59" t="str">
        <f>_xll.ohRangeRetrieveError(A90)</f>
        <v/>
      </c>
      <c r="C90" s="60" t="str">
        <f t="shared" si="35"/>
        <v>EONIA_Swap10Y</v>
      </c>
      <c r="D90" s="61">
        <f>_xll.qlQuoteValue(T90)</f>
        <v>5.5500000000000002E-3</v>
      </c>
      <c r="E90" s="72" t="s">
        <v>79</v>
      </c>
      <c r="F90" s="62" t="s">
        <v>98</v>
      </c>
      <c r="G90" s="62" t="s">
        <v>0</v>
      </c>
      <c r="H90" s="60" t="s">
        <v>39</v>
      </c>
      <c r="I90" s="62" t="s">
        <v>14</v>
      </c>
      <c r="J90" s="62" t="str">
        <f>'Passive Indexes'!B$8</f>
        <v>obj_0007d#0005</v>
      </c>
      <c r="K90" s="61">
        <v>0</v>
      </c>
      <c r="L90" s="63" t="s">
        <v>100</v>
      </c>
      <c r="Q90" t="s">
        <v>79</v>
      </c>
      <c r="S90">
        <f>VLOOKUP(C90,Sheet9!$F:AR,'EUR RateHelpers'!$Q$1,FALSE)</f>
        <v>0.55500000000000005</v>
      </c>
      <c r="T90" t="str">
        <f>_xll.qlSimpleQuote(C90&amp;"_Quote",S90/100,0.0001)</f>
        <v>EONIA_Swap10Y_Quote#0005</v>
      </c>
      <c r="U90" s="172"/>
      <c r="V90" s="172"/>
    </row>
    <row r="91" spans="1:22" ht="12.75" x14ac:dyDescent="0.2">
      <c r="A91" s="58" t="str">
        <f>_xll.qlSwapRateHelper2(C91,D91,,E91,F91,G91,H91,I91,J91,K91,L91)</f>
        <v>EONIA_Swap11Y#0005</v>
      </c>
      <c r="B91" s="59" t="str">
        <f>_xll.ohRangeRetrieveError(A91)</f>
        <v/>
      </c>
      <c r="C91" s="60" t="str">
        <f t="shared" si="35"/>
        <v>EONIA_Swap11Y</v>
      </c>
      <c r="D91" s="61">
        <f>_xll.qlQuoteValue(T91)</f>
        <v>6.62E-3</v>
      </c>
      <c r="E91" s="72" t="s">
        <v>158</v>
      </c>
      <c r="F91" s="62" t="s">
        <v>98</v>
      </c>
      <c r="G91" s="62" t="s">
        <v>0</v>
      </c>
      <c r="H91" s="60" t="s">
        <v>39</v>
      </c>
      <c r="I91" s="62" t="s">
        <v>14</v>
      </c>
      <c r="J91" s="62" t="str">
        <f>'Passive Indexes'!B$8</f>
        <v>obj_0007d#0005</v>
      </c>
      <c r="K91" s="61">
        <v>0</v>
      </c>
      <c r="L91" s="63" t="s">
        <v>100</v>
      </c>
      <c r="Q91" t="s">
        <v>158</v>
      </c>
      <c r="S91">
        <f>VLOOKUP(C91,Sheet9!$F:AR,'EUR RateHelpers'!$Q$1,FALSE)</f>
        <v>0.66200000000000003</v>
      </c>
      <c r="T91" t="str">
        <f>_xll.qlSimpleQuote(C91&amp;"_Quote",S91/100,0.0001)</f>
        <v>EONIA_Swap11Y_Quote#0005</v>
      </c>
      <c r="U91" s="172"/>
      <c r="V91" s="172"/>
    </row>
    <row r="92" spans="1:22" ht="12.75" x14ac:dyDescent="0.2">
      <c r="A92" s="58" t="str">
        <f>_xll.qlSwapRateHelper2(C92,D92,,E92,F92,G92,H92,I92,J92,K92,L92)</f>
        <v>EONIA_Swap12Y#0005</v>
      </c>
      <c r="B92" s="59" t="str">
        <f>_xll.ohRangeRetrieveError(A92)</f>
        <v/>
      </c>
      <c r="C92" s="60" t="str">
        <f t="shared" si="35"/>
        <v>EONIA_Swap12Y</v>
      </c>
      <c r="D92" s="61">
        <f>_xll.qlQuoteValue(T92)</f>
        <v>7.5599999999999999E-3</v>
      </c>
      <c r="E92" s="72" t="s">
        <v>159</v>
      </c>
      <c r="F92" s="62" t="s">
        <v>98</v>
      </c>
      <c r="G92" s="62" t="s">
        <v>0</v>
      </c>
      <c r="H92" s="60" t="s">
        <v>39</v>
      </c>
      <c r="I92" s="62" t="s">
        <v>14</v>
      </c>
      <c r="J92" s="62" t="str">
        <f>'Passive Indexes'!B$8</f>
        <v>obj_0007d#0005</v>
      </c>
      <c r="K92" s="61">
        <v>0</v>
      </c>
      <c r="L92" s="63" t="s">
        <v>100</v>
      </c>
      <c r="Q92" t="s">
        <v>159</v>
      </c>
      <c r="S92">
        <f>VLOOKUP(C92,Sheet9!$F:AR,'EUR RateHelpers'!$Q$1,FALSE)</f>
        <v>0.75600000000000001</v>
      </c>
      <c r="T92" t="str">
        <f>_xll.qlSimpleQuote(C92&amp;"_Quote",S92/100,0.0001)</f>
        <v>EONIA_Swap12Y_Quote#0005</v>
      </c>
      <c r="U92" s="172"/>
      <c r="V92" s="172"/>
    </row>
    <row r="93" spans="1:22" ht="12.75" x14ac:dyDescent="0.2">
      <c r="A93" s="58" t="str">
        <f>_xll.qlSwapRateHelper2(C93,D93,,E93,F93,G93,H93,I93,J93,K93,L93)</f>
        <v>EONIA_Swap15Y#0005</v>
      </c>
      <c r="B93" s="59" t="str">
        <f>_xll.ohRangeRetrieveError(A93)</f>
        <v/>
      </c>
      <c r="C93" s="60" t="str">
        <f t="shared" si="35"/>
        <v>EONIA_Swap15Y</v>
      </c>
      <c r="D93" s="61">
        <f>_xll.qlQuoteValue(T93)</f>
        <v>9.7099999999999999E-3</v>
      </c>
      <c r="E93" s="72" t="s">
        <v>107</v>
      </c>
      <c r="F93" s="62" t="s">
        <v>98</v>
      </c>
      <c r="G93" s="62" t="s">
        <v>0</v>
      </c>
      <c r="H93" s="60" t="s">
        <v>39</v>
      </c>
      <c r="I93" s="62" t="s">
        <v>14</v>
      </c>
      <c r="J93" s="62" t="str">
        <f>'Passive Indexes'!B$8</f>
        <v>obj_0007d#0005</v>
      </c>
      <c r="K93" s="61">
        <v>0</v>
      </c>
      <c r="L93" s="63" t="s">
        <v>100</v>
      </c>
      <c r="Q93" t="s">
        <v>107</v>
      </c>
      <c r="S93">
        <f>VLOOKUP(C93,Sheet9!$F:AR,'EUR RateHelpers'!$Q$1,FALSE)</f>
        <v>0.97099999999999997</v>
      </c>
      <c r="T93" t="str">
        <f>_xll.qlSimpleQuote(C93&amp;"_Quote",S93/100,0.0001)</f>
        <v>EONIA_Swap15Y_Quote#0005</v>
      </c>
      <c r="U93" s="172"/>
      <c r="V93" s="172"/>
    </row>
    <row r="94" spans="1:22" ht="12.75" x14ac:dyDescent="0.2">
      <c r="A94" s="58" t="str">
        <f>_xll.qlSwapRateHelper2(C94,D94,,E94,F94,G94,H94,I94,J94,K94,L94)</f>
        <v>EONIA_Swap20Y#0005</v>
      </c>
      <c r="B94" s="59" t="str">
        <f>_xll.ohRangeRetrieveError(A94)</f>
        <v/>
      </c>
      <c r="C94" s="60" t="str">
        <f t="shared" si="35"/>
        <v>EONIA_Swap20Y</v>
      </c>
      <c r="D94" s="61">
        <f>_xll.qlQuoteValue(T94)</f>
        <v>1.1610000000000001E-2</v>
      </c>
      <c r="E94" s="72" t="s">
        <v>108</v>
      </c>
      <c r="F94" s="62" t="s">
        <v>98</v>
      </c>
      <c r="G94" s="62" t="s">
        <v>0</v>
      </c>
      <c r="H94" s="60" t="s">
        <v>39</v>
      </c>
      <c r="I94" s="62" t="s">
        <v>14</v>
      </c>
      <c r="J94" s="62" t="str">
        <f>'Passive Indexes'!B$8</f>
        <v>obj_0007d#0005</v>
      </c>
      <c r="K94" s="61">
        <v>0</v>
      </c>
      <c r="L94" s="63" t="s">
        <v>100</v>
      </c>
      <c r="Q94" t="s">
        <v>108</v>
      </c>
      <c r="S94">
        <f>VLOOKUP(C94,Sheet9!$F:AR,'EUR RateHelpers'!$Q$1,FALSE)</f>
        <v>1.161</v>
      </c>
      <c r="T94" t="str">
        <f>_xll.qlSimpleQuote(C94&amp;"_Quote",S94/100,0.0001)</f>
        <v>EONIA_Swap20Y_Quote#0005</v>
      </c>
      <c r="U94" s="172"/>
      <c r="V94" s="172"/>
    </row>
    <row r="95" spans="1:22" ht="12.75" x14ac:dyDescent="0.2">
      <c r="A95" s="58" t="str">
        <f>_xll.qlSwapRateHelper2(C95,D95,,E95,F95,G95,H95,I95,J95,K95,L95)</f>
        <v>EONIA_Swap25Y#0005</v>
      </c>
      <c r="B95" s="59" t="str">
        <f>_xll.ohRangeRetrieveError(A95)</f>
        <v/>
      </c>
      <c r="C95" s="60" t="str">
        <f t="shared" si="35"/>
        <v>EONIA_Swap25Y</v>
      </c>
      <c r="D95" s="61">
        <f>_xll.qlQuoteValue(T95)</f>
        <v>1.2410000000000001E-2</v>
      </c>
      <c r="E95" s="72" t="s">
        <v>109</v>
      </c>
      <c r="F95" s="62" t="s">
        <v>98</v>
      </c>
      <c r="G95" s="62" t="s">
        <v>0</v>
      </c>
      <c r="H95" s="60" t="s">
        <v>39</v>
      </c>
      <c r="I95" s="62" t="s">
        <v>14</v>
      </c>
      <c r="J95" s="62" t="str">
        <f>'Passive Indexes'!B$8</f>
        <v>obj_0007d#0005</v>
      </c>
      <c r="K95" s="61">
        <v>0</v>
      </c>
      <c r="L95" s="63" t="s">
        <v>100</v>
      </c>
      <c r="Q95" t="s">
        <v>109</v>
      </c>
      <c r="S95">
        <f>VLOOKUP(C95,Sheet9!$F:AR,'EUR RateHelpers'!$Q$1,FALSE)</f>
        <v>1.2410000000000001</v>
      </c>
      <c r="T95" t="str">
        <f>_xll.qlSimpleQuote(C95&amp;"_Quote",S95/100,0.0001)</f>
        <v>EONIA_Swap25Y_Quote#0005</v>
      </c>
      <c r="U95" s="172"/>
      <c r="V95" s="172"/>
    </row>
    <row r="96" spans="1:22" ht="12.75" x14ac:dyDescent="0.2">
      <c r="A96" s="58" t="str">
        <f>_xll.qlSwapRateHelper2(C96,D96,,E96,F96,G96,H96,I96,J96,K96,L96)</f>
        <v>EONIA_Swap30Y#0005</v>
      </c>
      <c r="B96" s="59" t="str">
        <f>_xll.ohRangeRetrieveError(A96)</f>
        <v/>
      </c>
      <c r="C96" s="60" t="str">
        <f t="shared" si="35"/>
        <v>EONIA_Swap30Y</v>
      </c>
      <c r="D96" s="61">
        <f>_xll.qlQuoteValue(T96)</f>
        <v>1.278E-2</v>
      </c>
      <c r="E96" s="72" t="s">
        <v>110</v>
      </c>
      <c r="F96" s="62" t="s">
        <v>98</v>
      </c>
      <c r="G96" s="62" t="s">
        <v>0</v>
      </c>
      <c r="H96" s="60" t="s">
        <v>39</v>
      </c>
      <c r="I96" s="62" t="s">
        <v>14</v>
      </c>
      <c r="J96" s="62" t="str">
        <f>'Passive Indexes'!B$8</f>
        <v>obj_0007d#0005</v>
      </c>
      <c r="K96" s="61">
        <v>0</v>
      </c>
      <c r="L96" s="63" t="s">
        <v>100</v>
      </c>
      <c r="Q96" t="s">
        <v>110</v>
      </c>
      <c r="S96">
        <f>VLOOKUP(C96,Sheet9!$F:AR,'EUR RateHelpers'!$Q$1,FALSE)</f>
        <v>1.278</v>
      </c>
      <c r="T96" t="str">
        <f>_xll.qlSimpleQuote(C96&amp;"_Quote",S96/100,0.0001)</f>
        <v>EONIA_Swap30Y_Quote#0005</v>
      </c>
      <c r="U96" s="172"/>
      <c r="V96" s="172"/>
    </row>
    <row r="97" spans="1:22" ht="12.75" x14ac:dyDescent="0.2">
      <c r="A97" s="58" t="str">
        <f>_xll.qlSwapRateHelper2(C97,D97,,E97,F97,G97,H97,I97,J97,K97,L97)</f>
        <v>EONIA_Swap40Y#0005</v>
      </c>
      <c r="B97" s="59" t="str">
        <f>_xll.ohRangeRetrieveError(A97)</f>
        <v/>
      </c>
      <c r="C97" s="60" t="str">
        <f t="shared" si="35"/>
        <v>EONIA_Swap40Y</v>
      </c>
      <c r="D97" s="61">
        <f>_xll.qlQuoteValue(T97)</f>
        <v>1.3100000000000001E-2</v>
      </c>
      <c r="E97" s="72" t="s">
        <v>174</v>
      </c>
      <c r="F97" s="62" t="s">
        <v>98</v>
      </c>
      <c r="G97" s="62" t="s">
        <v>0</v>
      </c>
      <c r="H97" s="60" t="s">
        <v>39</v>
      </c>
      <c r="I97" s="62" t="s">
        <v>14</v>
      </c>
      <c r="J97" s="62" t="str">
        <f>'Passive Indexes'!B$8</f>
        <v>obj_0007d#0005</v>
      </c>
      <c r="K97" s="61">
        <v>0</v>
      </c>
      <c r="L97" s="63" t="s">
        <v>100</v>
      </c>
      <c r="Q97" t="s">
        <v>174</v>
      </c>
      <c r="S97">
        <f>VLOOKUP(C97,Sheet9!$F:AR,'EUR RateHelpers'!$Q$1,FALSE)</f>
        <v>1.31</v>
      </c>
      <c r="T97" t="str">
        <f>_xll.qlSimpleQuote(C97&amp;"_Quote",S97/100,0.0001)</f>
        <v>EONIA_Swap40Y_Quote#0005</v>
      </c>
      <c r="U97" s="172"/>
      <c r="V97" s="172"/>
    </row>
    <row r="98" spans="1:22" ht="12.75" x14ac:dyDescent="0.2">
      <c r="A98" s="58" t="str">
        <f>_xll.qlSwapRateHelper2(C98,D98,,E98,F98,G98,H98,I98,J98,K98,L98)</f>
        <v>EONIA_Swap50Y#0005</v>
      </c>
      <c r="B98" s="59" t="str">
        <f>_xll.ohRangeRetrieveError(A98)</f>
        <v/>
      </c>
      <c r="C98" s="60" t="str">
        <f t="shared" si="35"/>
        <v>EONIA_Swap50Y</v>
      </c>
      <c r="D98" s="61">
        <f>_xll.qlQuoteValue(T98)</f>
        <v>1.2789999999999999E-2</v>
      </c>
      <c r="E98" s="72" t="s">
        <v>175</v>
      </c>
      <c r="F98" s="62" t="s">
        <v>98</v>
      </c>
      <c r="G98" s="62" t="s">
        <v>0</v>
      </c>
      <c r="H98" s="60" t="s">
        <v>39</v>
      </c>
      <c r="I98" s="62" t="s">
        <v>14</v>
      </c>
      <c r="J98" s="62" t="str">
        <f>'Passive Indexes'!B$8</f>
        <v>obj_0007d#0005</v>
      </c>
      <c r="K98" s="61">
        <v>0</v>
      </c>
      <c r="L98" s="63" t="s">
        <v>100</v>
      </c>
      <c r="Q98" t="s">
        <v>175</v>
      </c>
      <c r="S98">
        <f>VLOOKUP(C98,Sheet9!$F:AR,'EUR RateHelpers'!$Q$1,FALSE)</f>
        <v>1.2789999999999999</v>
      </c>
      <c r="T98" t="str">
        <f>_xll.qlSimpleQuote(C98&amp;"_Quote",S98/100,0.0001)</f>
        <v>EONIA_Swap50Y_Quote#0005</v>
      </c>
      <c r="U98" s="172"/>
      <c r="V98" s="172"/>
    </row>
    <row r="99" spans="1:22" ht="12.75" x14ac:dyDescent="0.2">
      <c r="A99" s="58" t="str">
        <f>_xll.qlSwapRateHelper2(C99,D99,,E99,F99,G99,H99,I99,J99,K99,L99)</f>
        <v>EONIA_Swap70y#0005</v>
      </c>
      <c r="B99" s="59" t="str">
        <f>_xll.ohRangeRetrieveError(A99)</f>
        <v/>
      </c>
      <c r="C99" s="60" t="str">
        <f t="shared" ref="C99" si="36">"EONIA_Swap"&amp;E99</f>
        <v>EONIA_Swap70y</v>
      </c>
      <c r="D99" s="61">
        <f>_xll.qlQuoteValue(T99)</f>
        <v>1.2789999999999999E-2</v>
      </c>
      <c r="E99" s="72" t="s">
        <v>1773</v>
      </c>
      <c r="F99" s="62" t="s">
        <v>98</v>
      </c>
      <c r="G99" s="62" t="s">
        <v>0</v>
      </c>
      <c r="H99" s="60" t="s">
        <v>39</v>
      </c>
      <c r="I99" s="62" t="s">
        <v>14</v>
      </c>
      <c r="J99" s="62" t="str">
        <f>'Passive Indexes'!B$8</f>
        <v>obj_0007d#0005</v>
      </c>
      <c r="K99" s="61">
        <v>0</v>
      </c>
      <c r="L99" s="63" t="s">
        <v>100</v>
      </c>
      <c r="Q99" s="105" t="s">
        <v>1773</v>
      </c>
      <c r="S99">
        <f>S98</f>
        <v>1.2789999999999999</v>
      </c>
      <c r="T99" t="str">
        <f>_xll.qlSimpleQuote(C99&amp;"_Quote",S99/100,0.0001)</f>
        <v>EONIA_Swap70y_Quote#0005</v>
      </c>
      <c r="U99" s="173"/>
      <c r="V99" s="172"/>
    </row>
    <row r="100" spans="1:22" ht="12.75" x14ac:dyDescent="0.2">
      <c r="U100" s="167"/>
      <c r="V100" s="167"/>
    </row>
    <row r="101" spans="1:22" ht="12.75" x14ac:dyDescent="0.2">
      <c r="U101" s="167"/>
      <c r="V101" s="167"/>
    </row>
    <row r="102" spans="1:22" ht="12.75" x14ac:dyDescent="0.2">
      <c r="B102" t="str">
        <f>B79</f>
        <v/>
      </c>
      <c r="U102" s="167"/>
      <c r="V102" s="167"/>
    </row>
    <row r="104" spans="1:22" ht="12.75" x14ac:dyDescent="0.2">
      <c r="U104" s="167"/>
      <c r="V104" s="167"/>
    </row>
    <row r="105" spans="1:22" ht="12.75" x14ac:dyDescent="0.2">
      <c r="U105" s="167"/>
      <c r="V105" s="167"/>
    </row>
    <row r="106" spans="1:22" ht="12.75" x14ac:dyDescent="0.2">
      <c r="U106" s="167"/>
      <c r="V106" s="167"/>
    </row>
    <row r="107" spans="1:22" ht="12.75" x14ac:dyDescent="0.2">
      <c r="U107" s="167"/>
      <c r="V107" s="167"/>
    </row>
    <row r="108" spans="1:22" ht="12.75" x14ac:dyDescent="0.2">
      <c r="U108" s="167"/>
      <c r="V108" s="167"/>
    </row>
    <row r="109" spans="1:22" ht="13.5" thickBot="1" x14ac:dyDescent="0.25">
      <c r="U109" s="167"/>
      <c r="V109" s="167"/>
    </row>
    <row r="110" spans="1:22" ht="12.75" x14ac:dyDescent="0.2">
      <c r="A110" s="49"/>
      <c r="B110" s="50" t="s">
        <v>7</v>
      </c>
      <c r="C110" s="50" t="s">
        <v>1</v>
      </c>
      <c r="D110" s="50" t="s">
        <v>91</v>
      </c>
      <c r="E110" s="50"/>
      <c r="F110" s="50"/>
      <c r="G110" s="50"/>
      <c r="H110" s="50"/>
      <c r="I110" s="50"/>
      <c r="J110" s="50"/>
      <c r="K110" s="50"/>
      <c r="L110" s="51"/>
      <c r="U110" s="167"/>
      <c r="V110" s="167"/>
    </row>
    <row r="111" spans="1:22" ht="12.75" x14ac:dyDescent="0.2">
      <c r="A111" s="52" t="str">
        <f>_xll.qlDepositRateHelper2(C111,D111,E111,F111,G111,H111,I111,J111)</f>
        <v>EO3M_DepoON#0005</v>
      </c>
      <c r="B111" s="53" t="str">
        <f>_xll.ohRangeRetrieveError(A111)</f>
        <v/>
      </c>
      <c r="C111" s="54" t="str">
        <f>"EO3M_DepoON"</f>
        <v>EO3M_DepoON</v>
      </c>
      <c r="D111" s="55">
        <f>_xll.qlQuoteValue(T111)</f>
        <v>-4.0999999999999995E-3</v>
      </c>
      <c r="E111" s="54" t="s">
        <v>92</v>
      </c>
      <c r="F111" s="56">
        <v>0</v>
      </c>
      <c r="G111" s="56" t="s">
        <v>10</v>
      </c>
      <c r="H111" s="54" t="s">
        <v>26</v>
      </c>
      <c r="I111" s="56" t="b">
        <v>1</v>
      </c>
      <c r="J111" s="56" t="s">
        <v>14</v>
      </c>
      <c r="K111" s="55"/>
      <c r="L111" s="57"/>
      <c r="Q111" t="s">
        <v>92</v>
      </c>
      <c r="S111">
        <f>VLOOKUP(C111,Sheet9!$F:AR,'EUR RateHelpers'!$Q$1,FALSE)</f>
        <v>-0.41</v>
      </c>
      <c r="T111" t="str">
        <f>_xll.qlSimpleQuote(C111&amp;"_Quote",S111/100,0.0001)</f>
        <v>EO3M_DepoON_Quote#0005</v>
      </c>
      <c r="U111" s="167"/>
      <c r="V111" s="167"/>
    </row>
    <row r="112" spans="1:22" ht="12.75" x14ac:dyDescent="0.2">
      <c r="A112" s="58" t="str">
        <f>_xll.qlDepositRateHelper2(C112,D112,E112,F112,G112,H112,I112,J112)</f>
        <v>EO3M_DepoTN#0005</v>
      </c>
      <c r="B112" s="59" t="str">
        <f>_xll.ohRangeRetrieveError(A112)</f>
        <v/>
      </c>
      <c r="C112" s="60" t="str">
        <f>"EO3M_DepoTN"</f>
        <v>EO3M_DepoTN</v>
      </c>
      <c r="D112" s="61">
        <f>_xll.qlQuoteValue(T112)</f>
        <v>-4.0999999999999995E-3</v>
      </c>
      <c r="E112" s="60" t="s">
        <v>92</v>
      </c>
      <c r="F112" s="62">
        <v>1</v>
      </c>
      <c r="G112" s="62" t="s">
        <v>10</v>
      </c>
      <c r="H112" s="60" t="s">
        <v>26</v>
      </c>
      <c r="I112" s="62" t="b">
        <v>1</v>
      </c>
      <c r="J112" s="62" t="s">
        <v>14</v>
      </c>
      <c r="K112" s="61"/>
      <c r="L112" s="63"/>
      <c r="Q112" t="s">
        <v>150</v>
      </c>
      <c r="S112">
        <f>VLOOKUP(C112,Sheet9!$F:AR,'EUR RateHelpers'!$Q$1,FALSE)</f>
        <v>-0.41</v>
      </c>
      <c r="T112" t="str">
        <f>_xll.qlSimpleQuote(C112&amp;"_Quote",S112/100,0.0001)</f>
        <v>EO3M_DepoTN_Quote#0005</v>
      </c>
      <c r="U112" s="167"/>
      <c r="V112" s="167"/>
    </row>
    <row r="113" spans="1:26" ht="12.75" x14ac:dyDescent="0.2">
      <c r="A113" s="58" t="str">
        <f>_xll.qlDepositRateHelper2(C113,D113,E113,F113,G113,H113,I113,J113)</f>
        <v>EO3M_Depo1W#0005</v>
      </c>
      <c r="B113" s="59" t="str">
        <f>_xll.ohRangeRetrieveError(A113)</f>
        <v/>
      </c>
      <c r="C113" s="60" t="str">
        <f>"EO3M_Depo"&amp;E113</f>
        <v>EO3M_Depo1W</v>
      </c>
      <c r="D113" s="61">
        <f>_xll.qlQuoteValue(T113)</f>
        <v>-3.79E-3</v>
      </c>
      <c r="E113" s="60" t="s">
        <v>93</v>
      </c>
      <c r="F113" s="62">
        <v>2</v>
      </c>
      <c r="G113" s="62" t="s">
        <v>10</v>
      </c>
      <c r="H113" s="60" t="s">
        <v>26</v>
      </c>
      <c r="I113" s="62" t="b">
        <v>1</v>
      </c>
      <c r="J113" s="62" t="s">
        <v>14</v>
      </c>
      <c r="K113" s="61"/>
      <c r="L113" s="63"/>
      <c r="Q113" t="s">
        <v>93</v>
      </c>
      <c r="S113">
        <f>VLOOKUP(C113,Sheet9!$F:AR,'EUR RateHelpers'!$Q$1,FALSE)</f>
        <v>-0.379</v>
      </c>
      <c r="T113" t="str">
        <f>_xll.qlSimpleQuote(C113&amp;"_Quote",S113/100,0.0001)</f>
        <v>EO3M_Depo1W_Quote#0005</v>
      </c>
      <c r="U113" s="167"/>
      <c r="V113" s="167"/>
    </row>
    <row r="114" spans="1:26" ht="12.75" x14ac:dyDescent="0.2">
      <c r="A114" s="58" t="str">
        <f>_xll.qlDepositRateHelper2(C114,D114,E114,F114,G114,H114,I114,J114)</f>
        <v>EO3M_Depo1M#0005</v>
      </c>
      <c r="B114" s="59" t="str">
        <f>_xll.ohRangeRetrieveError(A114)</f>
        <v/>
      </c>
      <c r="C114" s="60" t="str">
        <f>"EO3M_Depo"&amp;E114</f>
        <v>EO3M_Depo1M</v>
      </c>
      <c r="D114" s="61">
        <f>_xll.qlQuoteValue(T114)</f>
        <v>-3.7199999999999998E-3</v>
      </c>
      <c r="E114" s="60" t="s">
        <v>95</v>
      </c>
      <c r="F114" s="62">
        <v>2</v>
      </c>
      <c r="G114" s="62" t="s">
        <v>10</v>
      </c>
      <c r="H114" s="60" t="s">
        <v>39</v>
      </c>
      <c r="I114" s="62" t="b">
        <v>1</v>
      </c>
      <c r="J114" s="62" t="s">
        <v>14</v>
      </c>
      <c r="K114" s="61"/>
      <c r="L114" s="63"/>
      <c r="Q114" t="s">
        <v>95</v>
      </c>
      <c r="S114">
        <f>VLOOKUP(C114,Sheet9!$F:AR,'EUR RateHelpers'!$Q$1,FALSE)</f>
        <v>-0.372</v>
      </c>
      <c r="T114" t="str">
        <f>_xll.qlSimpleQuote(C114&amp;"_Quote",S114/100,0.0001)</f>
        <v>EO3M_Depo1M_Quote#0005</v>
      </c>
      <c r="U114" s="167"/>
      <c r="V114" s="167"/>
    </row>
    <row r="115" spans="1:26" ht="12.75" x14ac:dyDescent="0.2">
      <c r="A115" s="58" t="str">
        <f>_xll.qlDepositRateHelper2(C115,D115,E115,F115,G115,H115,I115,J115)</f>
        <v>EO3M_Depo2M#0005</v>
      </c>
      <c r="B115" s="59" t="str">
        <f>_xll.ohRangeRetrieveError(A115)</f>
        <v/>
      </c>
      <c r="C115" s="60" t="str">
        <f>"EO3M_Depo"&amp;E115</f>
        <v>EO3M_Depo2M</v>
      </c>
      <c r="D115" s="61">
        <f>_xll.qlQuoteValue(T115)</f>
        <v>-3.3900000000000002E-3</v>
      </c>
      <c r="E115" s="60" t="s">
        <v>96</v>
      </c>
      <c r="F115" s="62">
        <v>2</v>
      </c>
      <c r="G115" s="62" t="s">
        <v>10</v>
      </c>
      <c r="H115" s="60" t="s">
        <v>39</v>
      </c>
      <c r="I115" s="62" t="b">
        <v>1</v>
      </c>
      <c r="J115" s="62" t="s">
        <v>14</v>
      </c>
      <c r="K115" s="61"/>
      <c r="L115" s="63"/>
      <c r="Q115" t="s">
        <v>96</v>
      </c>
      <c r="S115">
        <f>VLOOKUP(C115,Sheet9!$F:AR,'EUR RateHelpers'!$Q$1,FALSE)</f>
        <v>-0.33900000000000002</v>
      </c>
      <c r="T115" t="str">
        <f>_xll.qlSimpleQuote(C115&amp;"_Quote",S115/100,0.0001)</f>
        <v>EO3M_Depo2M_Quote#0005</v>
      </c>
      <c r="U115" s="167"/>
      <c r="V115" s="167"/>
    </row>
    <row r="116" spans="1:26" ht="12.75" x14ac:dyDescent="0.2">
      <c r="A116" s="58" t="str">
        <f>_xll.qlDepositRateHelper2(C116,D116,E116,F116,G116,H116,I116,J116)</f>
        <v>EO3M_Depo3M#0005</v>
      </c>
      <c r="B116" s="59" t="str">
        <f>_xll.ohRangeRetrieveError(A116)</f>
        <v/>
      </c>
      <c r="C116" s="60" t="str">
        <f>"EO3M_Depo"&amp;E116</f>
        <v>EO3M_Depo3M</v>
      </c>
      <c r="D116" s="61">
        <f>_xll.qlQuoteValue(T116)</f>
        <v>-3.2799999999999999E-3</v>
      </c>
      <c r="E116" s="60" t="s">
        <v>97</v>
      </c>
      <c r="F116" s="62">
        <v>2</v>
      </c>
      <c r="G116" s="62" t="s">
        <v>10</v>
      </c>
      <c r="H116" s="60" t="s">
        <v>39</v>
      </c>
      <c r="I116" s="62" t="b">
        <v>1</v>
      </c>
      <c r="J116" s="62" t="s">
        <v>14</v>
      </c>
      <c r="K116" s="61"/>
      <c r="L116" s="63"/>
      <c r="Q116" t="s">
        <v>97</v>
      </c>
      <c r="S116">
        <f>VLOOKUP(C116,Sheet9!$F:AR,'EUR RateHelpers'!$Q$1,FALSE)</f>
        <v>-0.32800000000000001</v>
      </c>
      <c r="T116" t="str">
        <f>_xll.qlSimpleQuote(C116&amp;"_Quote",S116/100,0.0001)</f>
        <v>EO3M_Depo3M_Quote#0005</v>
      </c>
      <c r="U116" s="167"/>
      <c r="V116" s="167"/>
    </row>
    <row r="117" spans="1:26" ht="12.75" x14ac:dyDescent="0.2">
      <c r="A117" s="52" t="str">
        <f>_xll.qlFraRateHelper2(C117,D117,E117,F117,2,G117,H117,I117,J117)</f>
        <v>EO3M_FRA1x4#0005</v>
      </c>
      <c r="B117" s="70" t="str">
        <f>_xll.ohRangeRetrieveError(A117)</f>
        <v/>
      </c>
      <c r="C117" s="54" t="s">
        <v>210</v>
      </c>
      <c r="D117" s="2">
        <f>_xll.qlQuoteValue(T117)</f>
        <v>-3.29E-3</v>
      </c>
      <c r="E117" s="71" t="s">
        <v>95</v>
      </c>
      <c r="F117" s="56">
        <v>3</v>
      </c>
      <c r="G117" s="56" t="s">
        <v>98</v>
      </c>
      <c r="H117" s="54" t="s">
        <v>39</v>
      </c>
      <c r="I117" s="56" t="b">
        <v>1</v>
      </c>
      <c r="J117" s="56" t="s">
        <v>14</v>
      </c>
      <c r="K117" s="55"/>
      <c r="L117" s="57"/>
      <c r="Q117" s="105" t="s">
        <v>95</v>
      </c>
      <c r="R117" t="s">
        <v>153</v>
      </c>
      <c r="S117">
        <f>VLOOKUP(C117,Sheet9!$F:AR,'EUR RateHelpers'!$Q$1,FALSE)</f>
        <v>-0.32900000000000001</v>
      </c>
      <c r="T117" t="str">
        <f>_xll.qlSimpleQuote(C117&amp;"_Quote",S117/100,0.0001)</f>
        <v>EO3M_FRA1x4_Quote#0005</v>
      </c>
      <c r="U117" s="170"/>
      <c r="V117" s="170"/>
      <c r="X117" t="s">
        <v>1049</v>
      </c>
      <c r="Y117" t="s">
        <v>1062</v>
      </c>
      <c r="Z117">
        <v>-3.15E-3</v>
      </c>
    </row>
    <row r="118" spans="1:26" ht="12.75" x14ac:dyDescent="0.2">
      <c r="A118" s="58" t="str">
        <f>_xll.qlFraRateHelper2(C118,D118,E118,F118,2,G118,H118,I118,J118)</f>
        <v>EO3M_FRA2x5#0005</v>
      </c>
      <c r="B118" s="73" t="str">
        <f>_xll.ohRangeRetrieveError(A118)</f>
        <v/>
      </c>
      <c r="C118" s="60" t="s">
        <v>211</v>
      </c>
      <c r="D118" s="2">
        <f>_xll.qlQuoteValue(T118)</f>
        <v>-3.2799999999999999E-3</v>
      </c>
      <c r="E118" s="72" t="s">
        <v>96</v>
      </c>
      <c r="F118" s="62">
        <v>3</v>
      </c>
      <c r="G118" s="62" t="s">
        <v>98</v>
      </c>
      <c r="H118" s="60" t="s">
        <v>39</v>
      </c>
      <c r="I118" s="62" t="b">
        <v>1</v>
      </c>
      <c r="J118" s="62" t="s">
        <v>14</v>
      </c>
      <c r="K118" s="61"/>
      <c r="L118" s="63"/>
      <c r="Q118" t="s">
        <v>96</v>
      </c>
      <c r="R118" t="s">
        <v>135</v>
      </c>
      <c r="S118">
        <f>VLOOKUP(C118,Sheet9!$F:AR,'EUR RateHelpers'!$Q$1,FALSE)</f>
        <v>-0.32800000000000001</v>
      </c>
      <c r="T118" t="str">
        <f>_xll.qlSimpleQuote(C118&amp;"_Quote",S118/100,0.0001)</f>
        <v>EO3M_FRA2x5_Quote#0005</v>
      </c>
      <c r="U118" s="170"/>
      <c r="V118" s="170"/>
      <c r="X118" t="s">
        <v>1045</v>
      </c>
      <c r="Y118" t="s">
        <v>1063</v>
      </c>
      <c r="Z118">
        <v>-3.32E-3</v>
      </c>
    </row>
    <row r="119" spans="1:26" ht="12.75" x14ac:dyDescent="0.2">
      <c r="A119" s="58" t="str">
        <f>_xll.qlFraRateHelper2(C119,D119,E119,F119,2,G119,H119,I119,J119)</f>
        <v>EO3M_FRA3x6#0005</v>
      </c>
      <c r="B119" s="73" t="str">
        <f>_xll.ohRangeRetrieveError(A119)</f>
        <v/>
      </c>
      <c r="C119" s="60" t="s">
        <v>212</v>
      </c>
      <c r="D119" s="2">
        <f>_xll.qlQuoteValue(T119)</f>
        <v>-3.2400000000000003E-3</v>
      </c>
      <c r="E119" s="72" t="s">
        <v>97</v>
      </c>
      <c r="F119" s="62">
        <v>3</v>
      </c>
      <c r="G119" s="62" t="s">
        <v>98</v>
      </c>
      <c r="H119" s="60" t="s">
        <v>39</v>
      </c>
      <c r="I119" s="62" t="b">
        <v>1</v>
      </c>
      <c r="J119" s="62" t="s">
        <v>14</v>
      </c>
      <c r="K119" s="61"/>
      <c r="L119" s="63"/>
      <c r="Q119" t="s">
        <v>97</v>
      </c>
      <c r="R119" t="s">
        <v>38</v>
      </c>
      <c r="S119">
        <f>VLOOKUP(C119,Sheet9!$F:AR,'EUR RateHelpers'!$Q$1,FALSE)</f>
        <v>-0.32400000000000001</v>
      </c>
      <c r="T119" t="str">
        <f>_xll.qlSimpleQuote(C119&amp;"_Quote",S119/100,0.0001)</f>
        <v>EO3M_FRA3x6_Quote#0005</v>
      </c>
      <c r="U119" s="170"/>
      <c r="V119" s="170"/>
      <c r="X119" t="s">
        <v>1046</v>
      </c>
      <c r="Y119" t="s">
        <v>1064</v>
      </c>
      <c r="Z119">
        <v>-3.47E-3</v>
      </c>
    </row>
    <row r="120" spans="1:26" ht="12.75" x14ac:dyDescent="0.2">
      <c r="A120" s="58" t="str">
        <f>_xll.qlFraRateHelper2(C120,D120,E120,F120,2,G120,H120,I120,J120)</f>
        <v>EO3M_FRA4x7#0005</v>
      </c>
      <c r="B120" s="73" t="str">
        <f>_xll.ohRangeRetrieveError(A120)</f>
        <v/>
      </c>
      <c r="C120" s="60" t="s">
        <v>213</v>
      </c>
      <c r="D120" s="2">
        <f>_xll.qlQuoteValue(T120)</f>
        <v>-3.2000000000000002E-3</v>
      </c>
      <c r="E120" s="72" t="s">
        <v>153</v>
      </c>
      <c r="F120" s="62">
        <v>3</v>
      </c>
      <c r="G120" s="62" t="s">
        <v>98</v>
      </c>
      <c r="H120" s="60" t="s">
        <v>39</v>
      </c>
      <c r="I120" s="62" t="b">
        <v>1</v>
      </c>
      <c r="J120" s="62" t="s">
        <v>14</v>
      </c>
      <c r="K120" s="61"/>
      <c r="L120" s="63"/>
      <c r="Q120" t="s">
        <v>153</v>
      </c>
      <c r="R120" t="s">
        <v>151</v>
      </c>
      <c r="S120">
        <f>VLOOKUP(C120,Sheet9!$F:AR,'EUR RateHelpers'!$Q$1,FALSE)</f>
        <v>-0.32</v>
      </c>
      <c r="T120" t="str">
        <f>_xll.qlSimpleQuote(C120&amp;"_Quote",S120/100,0.0001)</f>
        <v>EO3M_FRA4x7_Quote#0005</v>
      </c>
      <c r="U120" s="170"/>
      <c r="V120" s="170"/>
      <c r="X120" t="s">
        <v>1060</v>
      </c>
      <c r="Y120" t="s">
        <v>1065</v>
      </c>
      <c r="Z120">
        <v>-3.5899999999999999E-3</v>
      </c>
    </row>
    <row r="121" spans="1:26" ht="12.75" x14ac:dyDescent="0.2">
      <c r="A121" s="58" t="str">
        <f>_xll.qlFraRateHelper2(C121,D121,E121,F121,2,G121,H121,I121,J121)</f>
        <v>EO3M_FRA5x8#0005</v>
      </c>
      <c r="B121" s="73" t="str">
        <f>_xll.ohRangeRetrieveError(A121)</f>
        <v/>
      </c>
      <c r="C121" s="60" t="s">
        <v>214</v>
      </c>
      <c r="D121" s="2">
        <f>_xll.qlQuoteValue(T121)</f>
        <v>-3.15E-3</v>
      </c>
      <c r="E121" s="72" t="s">
        <v>135</v>
      </c>
      <c r="F121" s="62">
        <v>3</v>
      </c>
      <c r="G121" s="62" t="s">
        <v>98</v>
      </c>
      <c r="H121" s="60" t="s">
        <v>39</v>
      </c>
      <c r="I121" s="62" t="b">
        <v>1</v>
      </c>
      <c r="J121" s="62" t="s">
        <v>14</v>
      </c>
      <c r="K121" s="61"/>
      <c r="L121" s="63"/>
      <c r="Q121" t="s">
        <v>135</v>
      </c>
      <c r="R121" t="s">
        <v>136</v>
      </c>
      <c r="S121">
        <f>VLOOKUP(C121,Sheet9!$F:AR,'EUR RateHelpers'!$Q$1,FALSE)</f>
        <v>-0.315</v>
      </c>
      <c r="T121" t="str">
        <f>_xll.qlSimpleQuote(C121&amp;"_Quote",S121/100,0.0001)</f>
        <v>EO3M_FRA5x8_Quote#0005</v>
      </c>
      <c r="U121" s="170"/>
      <c r="V121" s="170"/>
    </row>
    <row r="122" spans="1:26" ht="12.75" x14ac:dyDescent="0.2">
      <c r="A122" s="58" t="str">
        <f>_xll.qlFraRateHelper2(C122,D122,E122,F122,2,G122,H122,I122,J122)</f>
        <v>EO3M_FRA6x9#0005</v>
      </c>
      <c r="B122" s="73" t="str">
        <f>_xll.ohRangeRetrieveError(A122)</f>
        <v/>
      </c>
      <c r="C122" s="60" t="s">
        <v>215</v>
      </c>
      <c r="D122" s="2">
        <f>_xll.qlQuoteValue(T122)</f>
        <v>-3.0699999999999998E-3</v>
      </c>
      <c r="E122" s="72" t="s">
        <v>38</v>
      </c>
      <c r="F122" s="62">
        <v>3</v>
      </c>
      <c r="G122" s="62" t="s">
        <v>98</v>
      </c>
      <c r="H122" s="60" t="s">
        <v>39</v>
      </c>
      <c r="I122" s="62" t="b">
        <v>1</v>
      </c>
      <c r="J122" s="62" t="s">
        <v>14</v>
      </c>
      <c r="K122" s="61"/>
      <c r="L122" s="63"/>
      <c r="Q122" t="s">
        <v>38</v>
      </c>
      <c r="R122" t="s">
        <v>152</v>
      </c>
      <c r="S122">
        <f>VLOOKUP(C122,Sheet9!$F:AR,'EUR RateHelpers'!$Q$1,FALSE)</f>
        <v>-0.307</v>
      </c>
      <c r="T122" t="str">
        <f>_xll.qlSimpleQuote(C122&amp;"_Quote",S122/100,0.0001)</f>
        <v>EO3M_FRA6x9_Quote#0005</v>
      </c>
      <c r="U122" s="170"/>
      <c r="V122" s="170"/>
    </row>
    <row r="123" spans="1:26" ht="12.75" x14ac:dyDescent="0.2">
      <c r="A123" s="58" t="str">
        <f>_xll.qlFraRateHelper2(C123,D123,E123,F123,2,G123,H123,I123,J123)</f>
        <v>EO3M_FRA9x12#0005</v>
      </c>
      <c r="B123" s="73" t="str">
        <f>_xll.ohRangeRetrieveError(A123)</f>
        <v/>
      </c>
      <c r="C123" s="60" t="s">
        <v>216</v>
      </c>
      <c r="D123" s="2">
        <f>_xll.qlQuoteValue(T123)</f>
        <v>-2.8100000000000004E-3</v>
      </c>
      <c r="E123" s="72" t="s">
        <v>152</v>
      </c>
      <c r="F123" s="62">
        <v>3</v>
      </c>
      <c r="G123" s="62" t="s">
        <v>98</v>
      </c>
      <c r="H123" s="60" t="s">
        <v>39</v>
      </c>
      <c r="I123" s="62" t="b">
        <v>1</v>
      </c>
      <c r="J123" s="62" t="s">
        <v>14</v>
      </c>
      <c r="K123" s="61"/>
      <c r="L123" s="63"/>
      <c r="Q123" t="s">
        <v>152</v>
      </c>
      <c r="R123" t="s">
        <v>155</v>
      </c>
      <c r="S123">
        <f>VLOOKUP(C123,Sheet9!$F:AR,'EUR RateHelpers'!$Q$1,FALSE)</f>
        <v>-0.28100000000000003</v>
      </c>
      <c r="T123" t="str">
        <f>_xll.qlSimpleQuote(C123&amp;"_Quote",S123/100,0.0001)</f>
        <v>EO3M_FRA9x12_Quote#0005</v>
      </c>
      <c r="U123" s="170"/>
      <c r="V123" s="170"/>
    </row>
    <row r="124" spans="1:26" ht="12.75" x14ac:dyDescent="0.2">
      <c r="A124" s="58" t="str">
        <f>_xll.qlFraRateHelper2(C124,D124,E124,F124,2,G124,H124,I124,J124)</f>
        <v>EO3M_FRA12x15#0005</v>
      </c>
      <c r="B124" s="73" t="str">
        <f>_xll.ohRangeRetrieveError(A124)</f>
        <v/>
      </c>
      <c r="C124" s="60" t="s">
        <v>217</v>
      </c>
      <c r="D124" s="2">
        <f>_xll.qlQuoteValue(T124)</f>
        <v>-2.5500000000000002E-3</v>
      </c>
      <c r="E124" s="72" t="s">
        <v>155</v>
      </c>
      <c r="F124" s="62">
        <v>3</v>
      </c>
      <c r="G124" s="62" t="s">
        <v>98</v>
      </c>
      <c r="H124" s="60" t="s">
        <v>39</v>
      </c>
      <c r="I124" s="62" t="b">
        <v>1</v>
      </c>
      <c r="J124" s="62" t="s">
        <v>14</v>
      </c>
      <c r="K124" s="61"/>
      <c r="L124" s="63"/>
      <c r="Q124" t="s">
        <v>155</v>
      </c>
      <c r="R124" t="s">
        <v>177</v>
      </c>
      <c r="S124">
        <f>VLOOKUP(C124,Sheet9!$F:AR,'EUR RateHelpers'!$Q$1,FALSE)</f>
        <v>-0.255</v>
      </c>
      <c r="T124" t="str">
        <f>_xll.qlSimpleQuote(C124&amp;"_Quote",S124/100,0.0001)</f>
        <v>EO3M_FRA12x15_Quote#0005</v>
      </c>
      <c r="U124" s="170"/>
      <c r="V124" s="170"/>
    </row>
    <row r="125" spans="1:26" ht="12.75" x14ac:dyDescent="0.2">
      <c r="A125" s="58" t="str">
        <f ca="1">_xll.qlSwapRateHelper2(C125,D125,,E125,F125,G125,H125,I125,J125,K125,L125,M125,,,,'Bootstrapping EONIA'!F$8)</f>
        <v>EO3M_SWAP2Y#0046</v>
      </c>
      <c r="B125" s="59" t="str">
        <f ca="1">_xll.ohRangeRetrieveError(A125)</f>
        <v/>
      </c>
      <c r="C125" s="60" t="str">
        <f t="shared" ref="C125:C140" si="37">"EO3M_SWAP"&amp;E125</f>
        <v>EO3M_SWAP2Y</v>
      </c>
      <c r="D125" s="61">
        <f>_xll.qlQuoteValue(T125)</f>
        <v>-2.6350000000000002E-3</v>
      </c>
      <c r="E125" t="s">
        <v>157</v>
      </c>
      <c r="F125" s="62" t="s">
        <v>98</v>
      </c>
      <c r="G125" s="62" t="s">
        <v>0</v>
      </c>
      <c r="H125" s="60" t="s">
        <v>39</v>
      </c>
      <c r="I125" s="62" t="s">
        <v>13</v>
      </c>
      <c r="J125" s="62" t="str">
        <f>'Passive Indexes'!B$18</f>
        <v>obj_000aa#0005</v>
      </c>
      <c r="K125" s="61">
        <v>0</v>
      </c>
      <c r="L125" s="63" t="s">
        <v>100</v>
      </c>
      <c r="M125" s="62" t="s">
        <v>179</v>
      </c>
      <c r="Q125" t="s">
        <v>157</v>
      </c>
      <c r="S125">
        <f>VLOOKUP(C125,Sheet9!$F:AR,'EUR RateHelpers'!$Q$1,FALSE)</f>
        <v>-0.26350000000000001</v>
      </c>
      <c r="T125" t="str">
        <f>_xll.qlSimpleQuote(C125&amp;"_Quote",S125/100,0.0001)</f>
        <v>EO3M_SWAP2Y_Quote#0005</v>
      </c>
      <c r="U125" s="170"/>
      <c r="V125" s="170"/>
      <c r="X125" t="s">
        <v>1048</v>
      </c>
      <c r="Y125" t="s">
        <v>1047</v>
      </c>
      <c r="Z125">
        <v>-3.48E-3</v>
      </c>
    </row>
    <row r="126" spans="1:26" ht="12.75" x14ac:dyDescent="0.2">
      <c r="A126" s="58" t="str">
        <f ca="1">_xll.qlSwapRateHelper2(C126,D126,,E126,F126,G126,H126,I126,J126,K126,L126,M126,,,,'Bootstrapping EONIA'!F$8)</f>
        <v>EO3M_SWAP3Y#0046</v>
      </c>
      <c r="B126" s="59" t="str">
        <f ca="1">_xll.ohRangeRetrieveError(A126)</f>
        <v/>
      </c>
      <c r="C126" s="60" t="str">
        <f t="shared" si="37"/>
        <v>EO3M_SWAP3Y</v>
      </c>
      <c r="D126" s="61">
        <f>_xll.qlQuoteValue(T126)</f>
        <v>-1.905E-3</v>
      </c>
      <c r="E126" t="s">
        <v>99</v>
      </c>
      <c r="F126" s="62" t="s">
        <v>98</v>
      </c>
      <c r="G126" s="62" t="s">
        <v>0</v>
      </c>
      <c r="H126" s="60" t="s">
        <v>39</v>
      </c>
      <c r="I126" s="62" t="s">
        <v>13</v>
      </c>
      <c r="J126" s="62" t="str">
        <f>'Passive Indexes'!B$18</f>
        <v>obj_000aa#0005</v>
      </c>
      <c r="K126" s="61">
        <v>0</v>
      </c>
      <c r="L126" s="63" t="s">
        <v>100</v>
      </c>
      <c r="M126" s="62" t="s">
        <v>179</v>
      </c>
      <c r="Q126" t="s">
        <v>99</v>
      </c>
      <c r="S126">
        <f>VLOOKUP(C126,Sheet9!$F:AR,'EUR RateHelpers'!$Q$1,FALSE)</f>
        <v>-0.1905</v>
      </c>
      <c r="T126" t="str">
        <f>_xll.qlSimpleQuote(C126&amp;"_Quote",S126/100,0.0001)</f>
        <v>EO3M_SWAP3Y_Quote#0005</v>
      </c>
      <c r="U126" s="170"/>
      <c r="V126" s="170"/>
      <c r="X126" t="s">
        <v>1049</v>
      </c>
      <c r="Y126" t="s">
        <v>1047</v>
      </c>
      <c r="Z126">
        <v>-3.4199999999999999E-3</v>
      </c>
    </row>
    <row r="127" spans="1:26" ht="12.75" x14ac:dyDescent="0.2">
      <c r="A127" s="58" t="str">
        <f ca="1">_xll.qlSwapRateHelper2(C127,D127,,E127,F127,G127,H127,I127,J127,K127,L127,M127,,,,'Bootstrapping EONIA'!F$8)</f>
        <v>EO3M_SWAP4Y#0046</v>
      </c>
      <c r="B127" s="59" t="str">
        <f ca="1">_xll.ohRangeRetrieveError(A127)</f>
        <v/>
      </c>
      <c r="C127" s="60" t="str">
        <f t="shared" si="37"/>
        <v>EO3M_SWAP4Y</v>
      </c>
      <c r="D127" s="61">
        <f>_xll.qlQuoteValue(T127)</f>
        <v>-9.8999999999999999E-4</v>
      </c>
      <c r="E127" t="s">
        <v>101</v>
      </c>
      <c r="F127" s="62" t="s">
        <v>98</v>
      </c>
      <c r="G127" s="62" t="s">
        <v>0</v>
      </c>
      <c r="H127" s="60" t="s">
        <v>39</v>
      </c>
      <c r="I127" s="62" t="s">
        <v>13</v>
      </c>
      <c r="J127" s="62" t="str">
        <f>'Passive Indexes'!B$18</f>
        <v>obj_000aa#0005</v>
      </c>
      <c r="K127" s="61">
        <v>0</v>
      </c>
      <c r="L127" s="63" t="s">
        <v>100</v>
      </c>
      <c r="M127" s="62" t="s">
        <v>179</v>
      </c>
      <c r="Q127" t="s">
        <v>101</v>
      </c>
      <c r="S127">
        <f>VLOOKUP(C127,Sheet9!$F:AR,'EUR RateHelpers'!$Q$1,FALSE)</f>
        <v>-9.9000000000000005E-2</v>
      </c>
      <c r="T127" t="str">
        <f>_xll.qlSimpleQuote(C127&amp;"_Quote",S127/100,0.0001)</f>
        <v>EO3M_SWAP4Y_Quote#0005</v>
      </c>
      <c r="U127" s="170"/>
      <c r="V127" s="170"/>
      <c r="X127" t="s">
        <v>1050</v>
      </c>
      <c r="Y127" t="s">
        <v>1047</v>
      </c>
      <c r="Z127">
        <v>-3.1099999999999999E-3</v>
      </c>
    </row>
    <row r="128" spans="1:26" ht="12.75" x14ac:dyDescent="0.2">
      <c r="A128" s="58" t="str">
        <f ca="1">_xll.qlSwapRateHelper2(C128,D128,,E128,F128,G128,H128,I128,J128,K128,L128,M128,,,,'Bootstrapping EONIA'!F$8)</f>
        <v>EO3M_SWAP5Y#0046</v>
      </c>
      <c r="B128" s="59" t="str">
        <f ca="1">_xll.ohRangeRetrieveError(A128)</f>
        <v/>
      </c>
      <c r="C128" s="60" t="str">
        <f t="shared" si="37"/>
        <v>EO3M_SWAP5Y</v>
      </c>
      <c r="D128" s="61">
        <f>_xll.qlQuoteValue(T128)</f>
        <v>8.5000000000000006E-5</v>
      </c>
      <c r="E128" t="s">
        <v>102</v>
      </c>
      <c r="F128" s="62" t="s">
        <v>98</v>
      </c>
      <c r="G128" s="62" t="s">
        <v>0</v>
      </c>
      <c r="H128" s="60" t="s">
        <v>39</v>
      </c>
      <c r="I128" s="62" t="s">
        <v>13</v>
      </c>
      <c r="J128" s="62" t="str">
        <f>'Passive Indexes'!B$18</f>
        <v>obj_000aa#0005</v>
      </c>
      <c r="K128" s="61">
        <v>0</v>
      </c>
      <c r="L128" s="63" t="s">
        <v>100</v>
      </c>
      <c r="M128" s="62" t="s">
        <v>179</v>
      </c>
      <c r="Q128" t="s">
        <v>102</v>
      </c>
      <c r="S128">
        <f>VLOOKUP(C128,Sheet9!$F:AR,'EUR RateHelpers'!$Q$1,FALSE)</f>
        <v>8.5000000000000006E-3</v>
      </c>
      <c r="T128" t="str">
        <f>_xll.qlSimpleQuote(C128&amp;"_Quote",S128/100,0.0001)</f>
        <v>EO3M_SWAP5Y_Quote#0005</v>
      </c>
      <c r="U128" s="170"/>
      <c r="V128" s="170"/>
      <c r="X128" t="s">
        <v>1051</v>
      </c>
      <c r="Y128" t="s">
        <v>1047</v>
      </c>
      <c r="Z128">
        <v>-2.5200000000000001E-3</v>
      </c>
    </row>
    <row r="129" spans="1:26" ht="12.75" x14ac:dyDescent="0.2">
      <c r="A129" s="58" t="str">
        <f ca="1">_xll.qlSwapRateHelper2(C129,D129,,E129,F129,G129,H129,I129,J129,K129,L129,M129,,,,'Bootstrapping EONIA'!F$8)</f>
        <v>EO3M_SWAP6Y#0046</v>
      </c>
      <c r="B129" s="59" t="str">
        <f ca="1">_xll.ohRangeRetrieveError(A129)</f>
        <v/>
      </c>
      <c r="C129" s="60" t="str">
        <f t="shared" si="37"/>
        <v>EO3M_SWAP6Y</v>
      </c>
      <c r="D129" s="61">
        <f>_xll.qlQuoteValue(T129)</f>
        <v>1.32E-3</v>
      </c>
      <c r="E129" t="s">
        <v>103</v>
      </c>
      <c r="F129" s="62" t="s">
        <v>98</v>
      </c>
      <c r="G129" s="62" t="s">
        <v>0</v>
      </c>
      <c r="H129" s="60" t="s">
        <v>39</v>
      </c>
      <c r="I129" s="62" t="s">
        <v>13</v>
      </c>
      <c r="J129" s="62" t="str">
        <f>'Passive Indexes'!B$18</f>
        <v>obj_000aa#0005</v>
      </c>
      <c r="K129" s="61">
        <v>0</v>
      </c>
      <c r="L129" s="63" t="s">
        <v>100</v>
      </c>
      <c r="M129" s="62" t="s">
        <v>179</v>
      </c>
      <c r="Q129" t="s">
        <v>103</v>
      </c>
      <c r="S129">
        <f>VLOOKUP(C129,Sheet9!$F:AR,'EUR RateHelpers'!$Q$1,FALSE)</f>
        <v>0.13200000000000001</v>
      </c>
      <c r="T129" t="str">
        <f>_xll.qlSimpleQuote(C129&amp;"_Quote",S129/100,0.0001)</f>
        <v>EO3M_SWAP6Y_Quote#0005</v>
      </c>
      <c r="U129" s="170"/>
      <c r="V129" s="170"/>
      <c r="X129" t="s">
        <v>1045</v>
      </c>
      <c r="Y129" t="s">
        <v>1047</v>
      </c>
      <c r="Z129">
        <v>-1.73E-3</v>
      </c>
    </row>
    <row r="130" spans="1:26" ht="12.75" x14ac:dyDescent="0.2">
      <c r="A130" s="58" t="str">
        <f ca="1">_xll.qlSwapRateHelper2(C130,D130,,E130,F130,G130,H130,I130,J130,K130,L130,M130,,,,'Bootstrapping EONIA'!F$8)</f>
        <v>EO3M_SWAP7Y#0046</v>
      </c>
      <c r="B130" s="59" t="str">
        <f ca="1">_xll.ohRangeRetrieveError(A130)</f>
        <v/>
      </c>
      <c r="C130" s="60" t="str">
        <f t="shared" si="37"/>
        <v>EO3M_SWAP7Y</v>
      </c>
      <c r="D130" s="61">
        <f>_xll.qlQuoteValue(T130)</f>
        <v>2.6550000000000002E-3</v>
      </c>
      <c r="E130" t="s">
        <v>104</v>
      </c>
      <c r="F130" s="62" t="s">
        <v>98</v>
      </c>
      <c r="G130" s="62" t="s">
        <v>0</v>
      </c>
      <c r="H130" s="60" t="s">
        <v>39</v>
      </c>
      <c r="I130" s="62" t="s">
        <v>13</v>
      </c>
      <c r="J130" s="62" t="str">
        <f>'Passive Indexes'!B$18</f>
        <v>obj_000aa#0005</v>
      </c>
      <c r="K130" s="61">
        <v>0</v>
      </c>
      <c r="L130" s="63" t="s">
        <v>100</v>
      </c>
      <c r="M130" s="62" t="s">
        <v>179</v>
      </c>
      <c r="Q130" t="s">
        <v>104</v>
      </c>
      <c r="S130">
        <f>VLOOKUP(C130,Sheet9!$F:AR,'EUR RateHelpers'!$Q$1,FALSE)</f>
        <v>0.26550000000000001</v>
      </c>
      <c r="T130" t="str">
        <f>_xll.qlSimpleQuote(C130&amp;"_Quote",S130/100,0.0001)</f>
        <v>EO3M_SWAP7Y_Quote#0005</v>
      </c>
      <c r="U130" s="170"/>
      <c r="V130" s="170"/>
      <c r="X130" t="s">
        <v>1052</v>
      </c>
      <c r="Y130" t="s">
        <v>1047</v>
      </c>
      <c r="Z130">
        <v>-7.3499999999999998E-4</v>
      </c>
    </row>
    <row r="131" spans="1:26" ht="12.75" x14ac:dyDescent="0.2">
      <c r="A131" s="58" t="str">
        <f ca="1">_xll.qlSwapRateHelper2(C131,D131,,E131,F131,G131,H131,I131,J131,K131,L131,M131,,,,'Bootstrapping EONIA'!F$8)</f>
        <v>EO3M_SWAP8Y#0046</v>
      </c>
      <c r="B131" s="59" t="str">
        <f ca="1">_xll.ohRangeRetrieveError(A131)</f>
        <v/>
      </c>
      <c r="C131" s="60" t="str">
        <f t="shared" si="37"/>
        <v>EO3M_SWAP8Y</v>
      </c>
      <c r="D131" s="61">
        <f>_xll.qlQuoteValue(T131)</f>
        <v>3.9900000000000005E-3</v>
      </c>
      <c r="E131" t="s">
        <v>105</v>
      </c>
      <c r="F131" s="62" t="s">
        <v>98</v>
      </c>
      <c r="G131" s="62" t="s">
        <v>0</v>
      </c>
      <c r="H131" s="60" t="s">
        <v>39</v>
      </c>
      <c r="I131" s="62" t="s">
        <v>13</v>
      </c>
      <c r="J131" s="62" t="str">
        <f>'Passive Indexes'!B$18</f>
        <v>obj_000aa#0005</v>
      </c>
      <c r="K131" s="61">
        <v>0</v>
      </c>
      <c r="L131" s="63" t="s">
        <v>100</v>
      </c>
      <c r="M131" s="62" t="s">
        <v>179</v>
      </c>
      <c r="Q131" t="s">
        <v>105</v>
      </c>
      <c r="S131">
        <f>VLOOKUP(C131,Sheet9!$F:AR,'EUR RateHelpers'!$Q$1,FALSE)</f>
        <v>0.39900000000000002</v>
      </c>
      <c r="T131" t="str">
        <f>_xll.qlSimpleQuote(C131&amp;"_Quote",S131/100,0.0001)</f>
        <v>EO3M_SWAP8Y_Quote#0005</v>
      </c>
      <c r="U131" s="170"/>
      <c r="V131" s="170"/>
      <c r="X131" t="s">
        <v>1059</v>
      </c>
      <c r="Y131" t="s">
        <v>1047</v>
      </c>
      <c r="Z131">
        <v>3.0499999999999999E-4</v>
      </c>
    </row>
    <row r="132" spans="1:26" ht="12.75" x14ac:dyDescent="0.2">
      <c r="A132" s="58" t="str">
        <f ca="1">_xll.qlSwapRateHelper2(C132,D132,,E132,F132,G132,H132,I132,J132,K132,L132,M132,,,,'Bootstrapping EONIA'!F$8)</f>
        <v>EO3M_SWAP9Y#0046</v>
      </c>
      <c r="B132" s="59" t="str">
        <f ca="1">_xll.ohRangeRetrieveError(A132)</f>
        <v/>
      </c>
      <c r="C132" s="60" t="str">
        <f t="shared" si="37"/>
        <v>EO3M_SWAP9Y</v>
      </c>
      <c r="D132" s="61">
        <f>_xll.qlQuoteValue(T132)</f>
        <v>5.28E-3</v>
      </c>
      <c r="E132" t="s">
        <v>106</v>
      </c>
      <c r="F132" s="62" t="s">
        <v>98</v>
      </c>
      <c r="G132" s="62" t="s">
        <v>0</v>
      </c>
      <c r="H132" s="60" t="s">
        <v>39</v>
      </c>
      <c r="I132" s="62" t="s">
        <v>13</v>
      </c>
      <c r="J132" s="62" t="str">
        <f>'Passive Indexes'!B$18</f>
        <v>obj_000aa#0005</v>
      </c>
      <c r="K132" s="61">
        <v>0</v>
      </c>
      <c r="L132" s="63" t="s">
        <v>100</v>
      </c>
      <c r="M132" s="62" t="s">
        <v>179</v>
      </c>
      <c r="Q132" t="s">
        <v>106</v>
      </c>
      <c r="S132">
        <f>VLOOKUP(C132,Sheet9!$F:AR,'EUR RateHelpers'!$Q$1,FALSE)</f>
        <v>0.52800000000000002</v>
      </c>
      <c r="T132" t="str">
        <f>_xll.qlSimpleQuote(C132&amp;"_Quote",S132/100,0.0001)</f>
        <v>EO3M_SWAP9Y_Quote#0005</v>
      </c>
      <c r="U132" s="170"/>
      <c r="V132" s="170"/>
      <c r="X132" t="s">
        <v>1046</v>
      </c>
      <c r="Y132" t="s">
        <v>1047</v>
      </c>
      <c r="Z132">
        <v>1.3749999999999999E-3</v>
      </c>
    </row>
    <row r="133" spans="1:26" ht="12.75" x14ac:dyDescent="0.2">
      <c r="A133" s="58" t="str">
        <f ca="1">_xll.qlSwapRateHelper2(C133,D133,,E133,F133,G133,H133,I133,J133,K133,L133,M133,,,,'Bootstrapping EONIA'!F$8)</f>
        <v>EO3M_SWAP10Y#0046</v>
      </c>
      <c r="B133" s="59" t="str">
        <f ca="1">_xll.ohRangeRetrieveError(A133)</f>
        <v/>
      </c>
      <c r="C133" s="60" t="str">
        <f t="shared" si="37"/>
        <v>EO3M_SWAP10Y</v>
      </c>
      <c r="D133" s="61">
        <f>_xll.qlQuoteValue(T133)</f>
        <v>6.4700000000000001E-3</v>
      </c>
      <c r="E133" t="s">
        <v>79</v>
      </c>
      <c r="F133" s="62" t="s">
        <v>98</v>
      </c>
      <c r="G133" s="62" t="s">
        <v>0</v>
      </c>
      <c r="H133" s="60" t="s">
        <v>39</v>
      </c>
      <c r="I133" s="62" t="s">
        <v>13</v>
      </c>
      <c r="J133" s="62" t="str">
        <f>'Passive Indexes'!B$18</f>
        <v>obj_000aa#0005</v>
      </c>
      <c r="K133" s="61">
        <v>0</v>
      </c>
      <c r="L133" s="63" t="s">
        <v>100</v>
      </c>
      <c r="M133" s="62" t="s">
        <v>179</v>
      </c>
      <c r="Q133" t="s">
        <v>79</v>
      </c>
      <c r="S133">
        <f>VLOOKUP(C133,Sheet9!$F:AR,'EUR RateHelpers'!$Q$1,FALSE)</f>
        <v>0.64700000000000002</v>
      </c>
      <c r="T133" t="str">
        <f>_xll.qlSimpleQuote(C133&amp;"_Quote",S133/100,0.0001)</f>
        <v>EO3M_SWAP10Y_Quote#0005</v>
      </c>
      <c r="U133" s="170"/>
      <c r="V133" s="170"/>
      <c r="X133" t="s">
        <v>1053</v>
      </c>
      <c r="Y133" t="s">
        <v>1047</v>
      </c>
      <c r="Z133">
        <v>2.3449999999999999E-3</v>
      </c>
    </row>
    <row r="134" spans="1:26" ht="12.75" x14ac:dyDescent="0.2">
      <c r="A134" s="58" t="str">
        <f ca="1">_xll.qlSwapRateHelper2(C134,D134,,E134,F134,G134,H134,I134,J134,K134,L134,M134,,,,'Bootstrapping EONIA'!F$8)</f>
        <v>EO3M_SWAP12Y#0046</v>
      </c>
      <c r="B134" s="59" t="str">
        <f ca="1">_xll.ohRangeRetrieveError(A134)</f>
        <v/>
      </c>
      <c r="C134" s="60" t="str">
        <f t="shared" si="37"/>
        <v>EO3M_SWAP12Y</v>
      </c>
      <c r="D134" s="61">
        <f>_xll.qlQuoteValue(T134)</f>
        <v>8.4849999999999995E-3</v>
      </c>
      <c r="E134" t="s">
        <v>159</v>
      </c>
      <c r="F134" s="62" t="s">
        <v>98</v>
      </c>
      <c r="G134" s="62" t="s">
        <v>0</v>
      </c>
      <c r="H134" s="60" t="s">
        <v>39</v>
      </c>
      <c r="I134" s="62" t="s">
        <v>13</v>
      </c>
      <c r="J134" s="62" t="str">
        <f>'Passive Indexes'!B$18</f>
        <v>obj_000aa#0005</v>
      </c>
      <c r="K134" s="61">
        <v>0</v>
      </c>
      <c r="L134" s="63" t="s">
        <v>100</v>
      </c>
      <c r="M134" s="62" t="s">
        <v>179</v>
      </c>
      <c r="Q134" t="s">
        <v>159</v>
      </c>
      <c r="S134">
        <f>VLOOKUP(C134,Sheet9!$F:AR,'EUR RateHelpers'!$Q$1,FALSE)</f>
        <v>0.84850000000000003</v>
      </c>
      <c r="T134" t="str">
        <f>_xll.qlSimpleQuote(C134&amp;"_Quote",S134/100,0.0001)</f>
        <v>EO3M_SWAP12Y_Quote#0005</v>
      </c>
      <c r="U134" s="170"/>
      <c r="V134" s="170"/>
      <c r="X134" t="s">
        <v>1060</v>
      </c>
      <c r="Y134" t="s">
        <v>1047</v>
      </c>
      <c r="Z134">
        <v>4.1250000000000002E-3</v>
      </c>
    </row>
    <row r="135" spans="1:26" ht="12.75" x14ac:dyDescent="0.2">
      <c r="A135" s="58" t="str">
        <f ca="1">_xll.qlSwapRateHelper2(C135,D135,,E135,F135,G135,H135,I135,J135,K135,L135,M135,,,,'Bootstrapping EONIA'!F$8)</f>
        <v>EO3M_SWAP15Y#0046</v>
      </c>
      <c r="B135" s="59" t="str">
        <f ca="1">_xll.ohRangeRetrieveError(A135)</f>
        <v/>
      </c>
      <c r="C135" s="60" t="str">
        <f t="shared" si="37"/>
        <v>EO3M_SWAP15Y</v>
      </c>
      <c r="D135" s="61">
        <f>_xll.qlQuoteValue(T135)</f>
        <v>1.0605E-2</v>
      </c>
      <c r="E135" t="s">
        <v>107</v>
      </c>
      <c r="F135" s="62" t="s">
        <v>98</v>
      </c>
      <c r="G135" s="62" t="s">
        <v>0</v>
      </c>
      <c r="H135" s="60" t="s">
        <v>39</v>
      </c>
      <c r="I135" s="62" t="s">
        <v>13</v>
      </c>
      <c r="J135" s="62" t="str">
        <f>'Passive Indexes'!B$18</f>
        <v>obj_000aa#0005</v>
      </c>
      <c r="K135" s="61">
        <v>0</v>
      </c>
      <c r="L135" s="63" t="s">
        <v>100</v>
      </c>
      <c r="M135" s="62" t="s">
        <v>179</v>
      </c>
      <c r="Q135" t="s">
        <v>107</v>
      </c>
      <c r="S135">
        <f>VLOOKUP(C135,Sheet9!$F:AR,'EUR RateHelpers'!$Q$1,FALSE)</f>
        <v>1.0605</v>
      </c>
      <c r="T135" t="str">
        <f>_xll.qlSimpleQuote(C135&amp;"_Quote",S135/100,0.0001)</f>
        <v>EO3M_SWAP15Y_Quote#0005</v>
      </c>
      <c r="U135" s="170"/>
      <c r="V135" s="170"/>
      <c r="X135" t="s">
        <v>1054</v>
      </c>
      <c r="Y135" t="s">
        <v>1047</v>
      </c>
      <c r="Z135">
        <v>6.0549999999999996E-3</v>
      </c>
    </row>
    <row r="136" spans="1:26" ht="12.75" x14ac:dyDescent="0.2">
      <c r="A136" s="58" t="str">
        <f ca="1">_xll.qlSwapRateHelper2(C136,D136,,E136,F136,G136,H136,I136,J136,K136,L136,M136,,,,'Bootstrapping EONIA'!F$8)</f>
        <v>EO3M_SWAP20Y#0046</v>
      </c>
      <c r="B136" s="59" t="str">
        <f ca="1">_xll.ohRangeRetrieveError(A136)</f>
        <v/>
      </c>
      <c r="C136" s="60" t="str">
        <f t="shared" si="37"/>
        <v>EO3M_SWAP20Y</v>
      </c>
      <c r="D136" s="61">
        <f>_xll.qlQuoteValue(T136)</f>
        <v>1.2455000000000001E-2</v>
      </c>
      <c r="E136" t="s">
        <v>108</v>
      </c>
      <c r="F136" s="62" t="s">
        <v>98</v>
      </c>
      <c r="G136" s="62" t="s">
        <v>0</v>
      </c>
      <c r="H136" s="60" t="s">
        <v>39</v>
      </c>
      <c r="I136" s="62" t="s">
        <v>13</v>
      </c>
      <c r="J136" s="62" t="str">
        <f>'Passive Indexes'!B$18</f>
        <v>obj_000aa#0005</v>
      </c>
      <c r="K136" s="61">
        <v>0</v>
      </c>
      <c r="L136" s="63" t="s">
        <v>100</v>
      </c>
      <c r="M136" s="62" t="s">
        <v>179</v>
      </c>
      <c r="Q136" t="s">
        <v>108</v>
      </c>
      <c r="S136">
        <f>VLOOKUP(C136,Sheet9!$F:AR,'EUR RateHelpers'!$Q$1,FALSE)</f>
        <v>1.2455000000000001</v>
      </c>
      <c r="T136" t="str">
        <f>_xll.qlSimpleQuote(C136&amp;"_Quote",S136/100,0.0001)</f>
        <v>EO3M_SWAP20Y_Quote#0005</v>
      </c>
      <c r="U136" s="170"/>
      <c r="V136" s="170"/>
      <c r="X136" t="s">
        <v>1055</v>
      </c>
      <c r="Y136" t="s">
        <v>1047</v>
      </c>
      <c r="Z136">
        <v>7.6649999999999999E-3</v>
      </c>
    </row>
    <row r="137" spans="1:26" ht="12.75" x14ac:dyDescent="0.2">
      <c r="A137" s="58" t="str">
        <f ca="1">_xll.qlSwapRateHelper2(C137,D137,,E137,F137,G137,H137,I137,J137,K137,L137,M137,,,,'Bootstrapping EONIA'!F$8)</f>
        <v>EO3M_SWAP25Y#0046</v>
      </c>
      <c r="B137" s="59" t="str">
        <f ca="1">_xll.ohRangeRetrieveError(A137)</f>
        <v/>
      </c>
      <c r="C137" s="60" t="str">
        <f t="shared" si="37"/>
        <v>EO3M_SWAP25Y</v>
      </c>
      <c r="D137" s="61">
        <f>_xll.qlQuoteValue(T137)</f>
        <v>1.3185000000000001E-2</v>
      </c>
      <c r="E137" t="s">
        <v>109</v>
      </c>
      <c r="F137" s="62" t="s">
        <v>98</v>
      </c>
      <c r="G137" s="62" t="s">
        <v>0</v>
      </c>
      <c r="H137" s="60" t="s">
        <v>39</v>
      </c>
      <c r="I137" s="62" t="s">
        <v>13</v>
      </c>
      <c r="J137" s="62" t="str">
        <f>'Passive Indexes'!B$18</f>
        <v>obj_000aa#0005</v>
      </c>
      <c r="K137" s="61">
        <v>0</v>
      </c>
      <c r="L137" s="63" t="s">
        <v>100</v>
      </c>
      <c r="M137" s="62" t="s">
        <v>179</v>
      </c>
      <c r="Q137" t="s">
        <v>109</v>
      </c>
      <c r="S137">
        <f>VLOOKUP(C137,Sheet9!$F:AR,'EUR RateHelpers'!$Q$1,FALSE)</f>
        <v>1.3185</v>
      </c>
      <c r="T137" t="str">
        <f>_xll.qlSimpleQuote(C137&amp;"_Quote",S137/100,0.0001)</f>
        <v>EO3M_SWAP25Y_Quote#0005</v>
      </c>
      <c r="U137" s="170"/>
      <c r="V137" s="170"/>
      <c r="X137" t="s">
        <v>1061</v>
      </c>
      <c r="Y137" t="s">
        <v>1047</v>
      </c>
      <c r="Z137">
        <v>8.2100000000000003E-3</v>
      </c>
    </row>
    <row r="138" spans="1:26" ht="12.75" x14ac:dyDescent="0.2">
      <c r="A138" s="58" t="str">
        <f ca="1">_xll.qlSwapRateHelper2(C138,D138,,E138,F138,G138,H138,I138,J138,K138,L138,M138,,,,'Bootstrapping EONIA'!F$8)</f>
        <v>EO3M_SWAP30Y#0046</v>
      </c>
      <c r="B138" s="59" t="str">
        <f ca="1">_xll.ohRangeRetrieveError(A138)</f>
        <v/>
      </c>
      <c r="C138" s="60" t="str">
        <f t="shared" si="37"/>
        <v>EO3M_SWAP30Y</v>
      </c>
      <c r="D138" s="61">
        <f>_xll.qlQuoteValue(T138)</f>
        <v>1.353E-2</v>
      </c>
      <c r="E138" t="s">
        <v>110</v>
      </c>
      <c r="F138" s="62" t="s">
        <v>98</v>
      </c>
      <c r="G138" s="62" t="s">
        <v>0</v>
      </c>
      <c r="H138" s="60" t="s">
        <v>39</v>
      </c>
      <c r="I138" s="62" t="s">
        <v>13</v>
      </c>
      <c r="J138" s="62" t="str">
        <f>'Passive Indexes'!B$18</f>
        <v>obj_000aa#0005</v>
      </c>
      <c r="K138" s="61">
        <v>0</v>
      </c>
      <c r="L138" s="63" t="s">
        <v>100</v>
      </c>
      <c r="M138" s="62" t="s">
        <v>179</v>
      </c>
      <c r="Q138" t="s">
        <v>110</v>
      </c>
      <c r="S138">
        <f>VLOOKUP(C138,Sheet9!$F:AR,'EUR RateHelpers'!$Q$1,FALSE)</f>
        <v>1.353</v>
      </c>
      <c r="T138" t="str">
        <f>_xll.qlSimpleQuote(C138&amp;"_Quote",S138/100,0.0001)</f>
        <v>EO3M_SWAP30Y_Quote#0005</v>
      </c>
      <c r="U138" s="170"/>
      <c r="V138" s="170"/>
      <c r="X138" t="s">
        <v>1056</v>
      </c>
      <c r="Y138" t="s">
        <v>1047</v>
      </c>
      <c r="Z138">
        <v>8.3899999999999999E-3</v>
      </c>
    </row>
    <row r="139" spans="1:26" ht="12.75" x14ac:dyDescent="0.2">
      <c r="A139" s="58" t="str">
        <f ca="1">_xll.qlSwapRateHelper2(C139,D139,,E139,F139,G139,H139,I139,J139,K139,L139,M139,,,,'Bootstrapping EONIA'!F$8)</f>
        <v>EO3M_SWAP40Y#0046</v>
      </c>
      <c r="B139" s="59" t="str">
        <f ca="1">_xll.ohRangeRetrieveError(A139)</f>
        <v/>
      </c>
      <c r="C139" s="60" t="str">
        <f t="shared" si="37"/>
        <v>EO3M_SWAP40Y</v>
      </c>
      <c r="D139" s="61">
        <f>_xll.qlQuoteValue(T139)</f>
        <v>1.3769999999999999E-2</v>
      </c>
      <c r="E139" t="s">
        <v>174</v>
      </c>
      <c r="F139" s="62" t="s">
        <v>98</v>
      </c>
      <c r="G139" s="62" t="s">
        <v>0</v>
      </c>
      <c r="H139" s="60" t="s">
        <v>39</v>
      </c>
      <c r="I139" s="62" t="s">
        <v>13</v>
      </c>
      <c r="J139" s="62" t="str">
        <f>'Passive Indexes'!B$18</f>
        <v>obj_000aa#0005</v>
      </c>
      <c r="K139" s="61">
        <v>0</v>
      </c>
      <c r="L139" s="63" t="s">
        <v>100</v>
      </c>
      <c r="M139" s="62" t="s">
        <v>179</v>
      </c>
      <c r="Q139" t="s">
        <v>174</v>
      </c>
      <c r="S139">
        <f>VLOOKUP(C139,Sheet9!$F:AR,'EUR RateHelpers'!$Q$1,FALSE)</f>
        <v>1.377</v>
      </c>
      <c r="T139" t="str">
        <f>_xll.qlSimpleQuote(C139&amp;"_Quote",S139/100,0.0001)</f>
        <v>EO3M_SWAP40Y_Quote#0005</v>
      </c>
      <c r="U139" s="170"/>
      <c r="V139" s="170"/>
      <c r="X139" t="s">
        <v>1057</v>
      </c>
      <c r="Y139" t="s">
        <v>1047</v>
      </c>
      <c r="Z139">
        <v>8.2699999999999996E-3</v>
      </c>
    </row>
    <row r="140" spans="1:26" ht="13.5" thickBot="1" x14ac:dyDescent="0.25">
      <c r="A140" s="58" t="str">
        <f ca="1">_xll.qlSwapRateHelper2(C140,D140,,E140,F140,G140,H140,I140,J140,K140,L140,M140,,,,'Bootstrapping EONIA'!F$8)</f>
        <v>EO3M_SWAP50Y#0046</v>
      </c>
      <c r="B140" s="59" t="str">
        <f ca="1">_xll.ohRangeRetrieveError(A140)</f>
        <v/>
      </c>
      <c r="C140" s="60" t="str">
        <f t="shared" si="37"/>
        <v>EO3M_SWAP50Y</v>
      </c>
      <c r="D140" s="61">
        <f>_xll.qlQuoteValue(T140)</f>
        <v>1.34E-2</v>
      </c>
      <c r="E140" t="s">
        <v>175</v>
      </c>
      <c r="F140" s="62" t="s">
        <v>98</v>
      </c>
      <c r="G140" s="62" t="s">
        <v>0</v>
      </c>
      <c r="H140" s="60" t="s">
        <v>39</v>
      </c>
      <c r="I140" s="62" t="s">
        <v>13</v>
      </c>
      <c r="J140" s="62" t="str">
        <f>'Passive Indexes'!B$18</f>
        <v>obj_000aa#0005</v>
      </c>
      <c r="K140" s="61">
        <v>0</v>
      </c>
      <c r="L140" s="63" t="s">
        <v>100</v>
      </c>
      <c r="M140" s="62" t="s">
        <v>179</v>
      </c>
      <c r="Q140" t="s">
        <v>175</v>
      </c>
      <c r="S140">
        <f>VLOOKUP(C140,Sheet9!$F:AR,'EUR RateHelpers'!$Q$1,FALSE)</f>
        <v>1.34</v>
      </c>
      <c r="T140" t="str">
        <f>_xll.qlSimpleQuote(C140&amp;"_Quote",S140/100,0.0001)</f>
        <v>EO3M_SWAP50Y_Quote#0005</v>
      </c>
      <c r="U140" s="170"/>
      <c r="V140" s="170"/>
      <c r="X140" t="s">
        <v>1058</v>
      </c>
      <c r="Y140" t="s">
        <v>1047</v>
      </c>
      <c r="Z140">
        <v>7.77E-3</v>
      </c>
    </row>
    <row r="141" spans="1:26" ht="12.75" x14ac:dyDescent="0.2">
      <c r="A141" s="49"/>
      <c r="B141" s="50"/>
      <c r="C141" s="50"/>
      <c r="D141" s="50"/>
      <c r="E141" s="50"/>
      <c r="F141" s="50"/>
      <c r="G141" s="50"/>
      <c r="H141" s="50"/>
      <c r="I141" s="50"/>
      <c r="J141" s="50"/>
      <c r="K141" s="50"/>
      <c r="L141" s="51"/>
      <c r="U141" s="170"/>
      <c r="V141" s="170"/>
    </row>
  </sheetData>
  <dataValidations count="6">
    <dataValidation type="list" allowBlank="1" showInputMessage="1" showErrorMessage="1" sqref="G17:G48 G79:G99 AL2:AL16 G125:G140" xr:uid="{00000000-0002-0000-0A00-000000000000}">
      <formula1>"Annual,Semiannual,EveryFourthMonth,Quarterly,Bimonthly,Monthly,Biweekly,Weekly,Daily,Once,NoFrequency"</formula1>
    </dataValidation>
    <dataValidation type="list" allowBlank="1" showInputMessage="1" showErrorMessage="1" sqref="J2:J16 J62:J78 I17:I48 I125:I140 CH2:CH16 J111:J124 BQ2:BQ16 AN2:AN16 I79:I99" xr:uid="{00000000-0002-0000-0A00-000001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H2:H48 H62:H99 CC2:CC16 BL2:BL16 CX2:CY16 DN2:DO16 AM2:AM16 H111:H140" xr:uid="{00000000-0002-0000-0A00-000002000000}">
      <formula1>"Following,Modified Following,Preceding,Modified Preceding,Unadjusted"</formula1>
    </dataValidation>
    <dataValidation type="list" allowBlank="1" showInputMessage="1" showErrorMessage="1" sqref="G2:G16 G62:G78 F17:F48 F79:F99 DM2:DM16 G111:G124 CW2:CW16 AK2:AK16 F125:F140" xr:uid="{00000000-0002-0000-0A00-000003000000}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Y4" xr:uid="{00000000-0002-0000-0A00-000004000000}">
      <formula1>"BackwardFlat,ForwardFlat,Linear,LogLinear,Cubic,LogCubic"</formula1>
    </dataValidation>
    <dataValidation type="list" allowBlank="1" showInputMessage="1" showErrorMessage="1" sqref="Y3" xr:uid="{00000000-0002-0000-0A00-000005000000}">
      <formula1>"Discount,ZeroYield,ForwardRate"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529" r:id="rId4" name="Button 1545">
              <controlPr defaultSize="0" print="0" autoFill="0" autoPict="0" macro="[0]!Update_Workbook" altText="TempXBS">
                <anchor moveWithCells="1" sizeWithCells="1">
                  <from>
                    <xdr:col>22</xdr:col>
                    <xdr:colOff>1314450</xdr:colOff>
                    <xdr:row>18</xdr:row>
                    <xdr:rowOff>9525</xdr:rowOff>
                  </from>
                  <to>
                    <xdr:col>25</xdr:col>
                    <xdr:colOff>152400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30" r:id="rId5" name="Button 1546">
              <controlPr defaultSize="0" print="0" autoFill="0" autoPict="0" macro="[0]!Temp_XBS" altText="TempXBS">
                <anchor moveWithCells="1" sizeWithCells="1">
                  <from>
                    <xdr:col>22</xdr:col>
                    <xdr:colOff>1323975</xdr:colOff>
                    <xdr:row>26</xdr:row>
                    <xdr:rowOff>114300</xdr:rowOff>
                  </from>
                  <to>
                    <xdr:col>25</xdr:col>
                    <xdr:colOff>171450</xdr:colOff>
                    <xdr:row>32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T48"/>
  <sheetViews>
    <sheetView workbookViewId="0">
      <selection activeCell="E4" sqref="E4"/>
    </sheetView>
  </sheetViews>
  <sheetFormatPr defaultRowHeight="11.25" x14ac:dyDescent="0.2"/>
  <cols>
    <col min="1" max="1" width="32.33203125" customWidth="1"/>
    <col min="3" max="3" width="20.1640625" customWidth="1"/>
    <col min="5" max="5" width="46.1640625" customWidth="1"/>
    <col min="6" max="6" width="19.83203125" customWidth="1"/>
    <col min="8" max="8" width="20.83203125" customWidth="1"/>
    <col min="9" max="9" width="15.5" customWidth="1"/>
    <col min="10" max="10" width="14.1640625" bestFit="1" customWidth="1"/>
    <col min="11" max="15" width="10.1640625" customWidth="1"/>
  </cols>
  <sheetData>
    <row r="1" spans="1:20" ht="12" thickBot="1" x14ac:dyDescent="0.25">
      <c r="A1" s="79"/>
      <c r="B1" s="79"/>
      <c r="C1" s="79"/>
      <c r="D1" s="79"/>
      <c r="E1" s="79"/>
      <c r="F1" s="79"/>
      <c r="G1" s="79"/>
      <c r="H1" s="80" t="s">
        <v>111</v>
      </c>
      <c r="I1" s="81" t="s">
        <v>112</v>
      </c>
      <c r="J1" s="81" t="s">
        <v>112</v>
      </c>
    </row>
    <row r="2" spans="1:20" x14ac:dyDescent="0.2">
      <c r="A2" s="80" t="s">
        <v>113</v>
      </c>
      <c r="B2" s="82" t="s">
        <v>114</v>
      </c>
      <c r="C2" s="81" t="s">
        <v>115</v>
      </c>
      <c r="D2" s="79"/>
      <c r="E2" s="41" t="s">
        <v>116</v>
      </c>
      <c r="F2" s="83">
        <v>0</v>
      </c>
      <c r="G2" s="79"/>
      <c r="H2" s="84">
        <f t="array" aca="1" ref="H2:H42" ca="1">_xll.qlPiecewiseYieldCurveDates(F8)</f>
        <v>42759</v>
      </c>
      <c r="I2" s="85">
        <f t="array" aca="1" ref="I2:I42" ca="1">_xll.qlPiecewiseYieldCurveData(F8)</f>
        <v>1</v>
      </c>
      <c r="J2" s="85">
        <f t="array" aca="1" ref="J2:J42" ca="1">_xll.qlPiecewiseYieldCurveData(F8,"ZeroYield")</f>
        <v>1</v>
      </c>
      <c r="K2">
        <f ca="1">_xll.qlYieldTSDiscount($F$8,H2)</f>
        <v>1</v>
      </c>
      <c r="L2" s="101">
        <f ca="1">_xll.qlYieldTSZeroRate($F$8,H2,$F$21)</f>
        <v>-3.569936173296236E-3</v>
      </c>
      <c r="R2" s="86" t="s">
        <v>138</v>
      </c>
      <c r="S2" t="e">
        <f>_xll.qlRateHelperImpliedQuote(R2)</f>
        <v>#NUM!</v>
      </c>
      <c r="T2" t="e">
        <f>_xll.qlSwapRateHelperForwardStart(R2)</f>
        <v>#NUM!</v>
      </c>
    </row>
    <row r="3" spans="1:20" x14ac:dyDescent="0.2">
      <c r="A3" s="86" t="str">
        <f t="array" ref="A3:A48">'EUR RateHelpers'!A62:A99</f>
        <v>EONIA_DepoON#0005</v>
      </c>
      <c r="B3" s="87">
        <v>1</v>
      </c>
      <c r="C3" s="88" t="str">
        <f t="array" ref="C3:C48">_xll.qlRateHelperSelection(A3:A40,B3:B40,F2,F3,F4,F5,F6)</f>
        <v>EONIA_Depo2M</v>
      </c>
      <c r="D3" s="79"/>
      <c r="E3" s="46" t="s">
        <v>117</v>
      </c>
      <c r="F3" s="89">
        <v>0</v>
      </c>
      <c r="G3" s="79"/>
      <c r="H3" s="84">
        <f ca="1"/>
        <v>42821</v>
      </c>
      <c r="I3" s="85">
        <f ca="1"/>
        <v>1.0006065840147114</v>
      </c>
      <c r="J3" s="85">
        <f ca="1"/>
        <v>1.0006065840147114</v>
      </c>
      <c r="K3">
        <f ca="1">_xll.qlYieldTSDiscount($F$8,H3)</f>
        <v>1.0006065840147114</v>
      </c>
      <c r="L3" s="101">
        <f ca="1">_xll.qlYieldTSZeroRate($F$8,H3,$F$21)</f>
        <v>-3.5699361726052032E-3</v>
      </c>
      <c r="R3" s="86" t="s">
        <v>139</v>
      </c>
      <c r="S3" t="e">
        <f>_xll.qlRateHelperImpliedQuote(R3)</f>
        <v>#NUM!</v>
      </c>
      <c r="T3" t="e">
        <f>_xll.qlSwapRateHelperForwardStart(R3)</f>
        <v>#NUM!</v>
      </c>
    </row>
    <row r="4" spans="1:20" x14ac:dyDescent="0.2">
      <c r="A4" s="86" t="str">
        <v>EONIA_DepoTN#0005</v>
      </c>
      <c r="B4" s="87">
        <v>1</v>
      </c>
      <c r="C4" s="88" t="str">
        <v>EONIA_Depo3M</v>
      </c>
      <c r="D4" s="79"/>
      <c r="E4" s="46" t="s">
        <v>118</v>
      </c>
      <c r="F4" s="89">
        <v>3</v>
      </c>
      <c r="G4" s="79"/>
      <c r="H4" s="84">
        <f ca="1"/>
        <v>42851</v>
      </c>
      <c r="I4" s="85">
        <f ca="1"/>
        <v>1.0009028582578325</v>
      </c>
      <c r="J4" s="85">
        <f ca="1"/>
        <v>1.0009028582578325</v>
      </c>
      <c r="K4">
        <f ca="1">_xll.qlYieldTSDiscount($F$8,H4)</f>
        <v>1.0009028582578325</v>
      </c>
      <c r="L4" s="101">
        <f ca="1">_xll.qlYieldTSZeroRate($F$8,H4,$F$21)</f>
        <v>-3.580375958286698E-3</v>
      </c>
      <c r="R4" s="86" t="s">
        <v>140</v>
      </c>
      <c r="S4" t="e">
        <f>_xll.qlRateHelperImpliedQuote(R4)</f>
        <v>#NUM!</v>
      </c>
      <c r="T4" t="e">
        <f>_xll.qlSwapRateHelperForwardStart(R4)</f>
        <v>#NUM!</v>
      </c>
    </row>
    <row r="5" spans="1:20" x14ac:dyDescent="0.2">
      <c r="A5" s="86" t="str">
        <v>EONIA_Depo1W#0005</v>
      </c>
      <c r="B5" s="87">
        <v>1</v>
      </c>
      <c r="C5" s="88" t="str">
        <v>EONIA_Depo4M</v>
      </c>
      <c r="D5" s="79"/>
      <c r="E5" s="46" t="s">
        <v>119</v>
      </c>
      <c r="F5" s="47" t="s">
        <v>120</v>
      </c>
      <c r="G5" s="79"/>
      <c r="H5" s="84">
        <f ca="1"/>
        <v>42881</v>
      </c>
      <c r="I5" s="85">
        <f ca="1"/>
        <v>1.0011976373720641</v>
      </c>
      <c r="J5" s="85">
        <f ca="1"/>
        <v>1.0011976373720641</v>
      </c>
      <c r="K5">
        <f ca="1">_xll.qlYieldTSDiscount($F$8,H5)</f>
        <v>1.0011976373720641</v>
      </c>
      <c r="L5" s="101">
        <f ca="1">_xll.qlYieldTSZeroRate($F$8,H5,$F$21)</f>
        <v>-3.5809515035150935E-3</v>
      </c>
      <c r="R5" s="86" t="s">
        <v>141</v>
      </c>
      <c r="S5" t="e">
        <f>_xll.qlRateHelperImpliedQuote(R5)</f>
        <v>#NUM!</v>
      </c>
      <c r="T5" t="e">
        <f>_xll.qlSwapRateHelperForwardStart(R5)</f>
        <v>#NUM!</v>
      </c>
    </row>
    <row r="6" spans="1:20" ht="12" thickBot="1" x14ac:dyDescent="0.25">
      <c r="A6" s="86" t="str">
        <v>EONIA_Depo2W#0005</v>
      </c>
      <c r="B6" s="87">
        <v>1</v>
      </c>
      <c r="C6" s="88" t="str">
        <v>EONIA_Depo5M</v>
      </c>
      <c r="D6" s="79"/>
      <c r="E6" s="43" t="s">
        <v>6</v>
      </c>
      <c r="F6" s="48">
        <v>30</v>
      </c>
      <c r="G6" s="79"/>
      <c r="H6" s="84">
        <f ca="1"/>
        <v>42912</v>
      </c>
      <c r="I6" s="85">
        <f ca="1"/>
        <v>1.0015066319160433</v>
      </c>
      <c r="J6" s="85">
        <f ca="1"/>
        <v>1.0015066319160433</v>
      </c>
      <c r="K6">
        <f ca="1">_xll.qlYieldTSDiscount($F$8,H6)</f>
        <v>1.0015066319160433</v>
      </c>
      <c r="L6" s="101">
        <f ca="1">_xll.qlYieldTSZeroRate($F$8,H6,$F$21)</f>
        <v>-3.591547718829846E-3</v>
      </c>
      <c r="R6" s="86" t="s">
        <v>142</v>
      </c>
      <c r="S6" t="e">
        <f>_xll.qlRateHelperImpliedQuote(R6)</f>
        <v>#NUM!</v>
      </c>
      <c r="T6" t="e">
        <f>_xll.qlSwapRateHelperForwardStart(R6)</f>
        <v>#NUM!</v>
      </c>
    </row>
    <row r="7" spans="1:20" ht="12" thickBot="1" x14ac:dyDescent="0.25">
      <c r="A7" s="86" t="str">
        <v>EONIA_Depo3W#0005</v>
      </c>
      <c r="B7" s="87">
        <v>1</v>
      </c>
      <c r="C7" s="88" t="str">
        <v>EONIA_Depo6M</v>
      </c>
      <c r="D7" s="79"/>
      <c r="E7" s="79"/>
      <c r="F7" s="79"/>
      <c r="G7" s="79"/>
      <c r="H7" s="84">
        <f ca="1"/>
        <v>42942</v>
      </c>
      <c r="I7" s="85">
        <f ca="1"/>
        <v>1.0018026031519369</v>
      </c>
      <c r="J7" s="85">
        <f ca="1"/>
        <v>1.0018026031519369</v>
      </c>
      <c r="K7">
        <f ca="1">_xll.qlYieldTSDiscount($F$8,H7)</f>
        <v>1.0018026031519369</v>
      </c>
      <c r="L7" s="101">
        <f ca="1">_xll.qlYieldTSZeroRate($F$8,H7,$F$21)</f>
        <v>-3.5921194023514277E-3</v>
      </c>
      <c r="R7" s="86" t="s">
        <v>143</v>
      </c>
      <c r="S7" t="e">
        <f>_xll.qlRateHelperImpliedQuote(R7)</f>
        <v>#NUM!</v>
      </c>
      <c r="T7" t="e">
        <f>_xll.qlSwapRateHelperForwardStart(R7)</f>
        <v>#NUM!</v>
      </c>
    </row>
    <row r="8" spans="1:20" x14ac:dyDescent="0.2">
      <c r="A8" s="86" t="str">
        <v>EONIA_Depo1M#0005</v>
      </c>
      <c r="B8" s="87">
        <v>1</v>
      </c>
      <c r="C8" s="88" t="str">
        <v>EONIA_Depo8M</v>
      </c>
      <c r="D8" s="79"/>
      <c r="E8" s="41" t="s">
        <v>121</v>
      </c>
      <c r="F8" s="42" t="str">
        <f ca="1">_xll.qlPiecewiseYieldCurve(F10,F11,F12,_xll.ohPack(C3:C48),F13,,,F16,F14,F15,F17,F18)</f>
        <v>EONIA#0046</v>
      </c>
      <c r="G8" s="79"/>
      <c r="H8" s="84">
        <f ca="1"/>
        <v>43004</v>
      </c>
      <c r="I8" s="85">
        <f ca="1"/>
        <v>1.0024080492648058</v>
      </c>
      <c r="J8" s="85">
        <f ca="1"/>
        <v>1.0024080492648058</v>
      </c>
      <c r="K8">
        <f ca="1">_xll.qlYieldTSDiscount($F$8,H8)</f>
        <v>1.0024080492648058</v>
      </c>
      <c r="L8" s="101">
        <f ca="1">_xll.qlYieldTSZeroRate($F$8,H8,$F$21)</f>
        <v>-3.5831894469839001E-3</v>
      </c>
      <c r="R8" s="86" t="s">
        <v>144</v>
      </c>
      <c r="S8" t="e">
        <f>_xll.qlRateHelperImpliedQuote(R8)</f>
        <v>#NUM!</v>
      </c>
      <c r="T8" t="e">
        <f>_xll.qlSwapRateHelperForwardStart(R8)</f>
        <v>#NUM!</v>
      </c>
    </row>
    <row r="9" spans="1:20" ht="12" thickBot="1" x14ac:dyDescent="0.25">
      <c r="A9" s="86" t="str">
        <v>EONIA_Depo2M#0005</v>
      </c>
      <c r="B9" s="87">
        <v>1</v>
      </c>
      <c r="C9" s="88" t="str">
        <v>EONIA_Depo9M</v>
      </c>
      <c r="D9" s="79"/>
      <c r="E9" s="43" t="s">
        <v>7</v>
      </c>
      <c r="F9" s="44" t="str">
        <f ca="1">_xll.ohRangeRetrieveError(F8)</f>
        <v/>
      </c>
      <c r="G9" s="79"/>
      <c r="H9" s="84">
        <f ca="1"/>
        <v>43034</v>
      </c>
      <c r="I9" s="85">
        <f ca="1"/>
        <v>1.0026960915860679</v>
      </c>
      <c r="J9" s="85">
        <f ca="1"/>
        <v>1.0026960915860679</v>
      </c>
      <c r="K9">
        <f ca="1">_xll.qlYieldTSDiscount($F$8,H9)</f>
        <v>1.0026960915860679</v>
      </c>
      <c r="L9" s="101">
        <f ca="1">_xll.qlYieldTSZeroRate($F$8,H9,$F$21)</f>
        <v>-3.5736335725025867E-3</v>
      </c>
      <c r="Q9" t="str">
        <f ca="1">F9</f>
        <v/>
      </c>
      <c r="R9" s="86" t="s">
        <v>145</v>
      </c>
      <c r="S9" t="e">
        <f>_xll.qlRateHelperImpliedQuote(R9)</f>
        <v>#NUM!</v>
      </c>
      <c r="T9" t="e">
        <f>_xll.qlSwapRateHelperForwardStart(R9)</f>
        <v>#NUM!</v>
      </c>
    </row>
    <row r="10" spans="1:20" x14ac:dyDescent="0.2">
      <c r="A10" s="86" t="str">
        <v>EONIA_Depo3M#0005</v>
      </c>
      <c r="B10" s="87">
        <v>1</v>
      </c>
      <c r="C10" s="88" t="str">
        <v>EONIA_Depo10M</v>
      </c>
      <c r="D10" s="79"/>
      <c r="E10" s="41" t="s">
        <v>1</v>
      </c>
      <c r="F10" s="45" t="s">
        <v>179</v>
      </c>
      <c r="G10" s="79"/>
      <c r="H10" s="84">
        <f ca="1"/>
        <v>43066</v>
      </c>
      <c r="I10" s="85">
        <f ca="1"/>
        <v>1.0030022393948623</v>
      </c>
      <c r="J10" s="85">
        <f ca="1"/>
        <v>1.0030022393948623</v>
      </c>
      <c r="K10">
        <f ca="1">_xll.qlYieldTSDiscount($F$8,H10)</f>
        <v>1.0030022393948623</v>
      </c>
      <c r="L10" s="101">
        <f ca="1">_xll.qlYieldTSZeroRate($F$8,H10,$F$21)</f>
        <v>-3.564090263969001E-3</v>
      </c>
      <c r="R10" s="86" t="s">
        <v>146</v>
      </c>
      <c r="S10" t="e">
        <f>_xll.qlRateHelperImpliedQuote(R10)</f>
        <v>#NUM!</v>
      </c>
      <c r="T10" t="e">
        <f>_xll.qlSwapRateHelperForwardStart(R10)</f>
        <v>#NUM!</v>
      </c>
    </row>
    <row r="11" spans="1:20" x14ac:dyDescent="0.2">
      <c r="A11" s="86" t="str">
        <v>EONIA_Depo4M#0005</v>
      </c>
      <c r="B11" s="87">
        <v>2</v>
      </c>
      <c r="C11" s="88" t="str">
        <v>EONIA_Depo11M</v>
      </c>
      <c r="D11" s="79"/>
      <c r="E11" s="46" t="s">
        <v>2</v>
      </c>
      <c r="F11" s="47">
        <v>0</v>
      </c>
      <c r="G11" s="79"/>
      <c r="H11" s="84">
        <f ca="1"/>
        <v>43096</v>
      </c>
      <c r="I11" s="85">
        <f ca="1"/>
        <v>1.0032778456332592</v>
      </c>
      <c r="J11" s="85">
        <f ca="1"/>
        <v>1.0032778456332592</v>
      </c>
      <c r="K11">
        <f ca="1">_xll.qlYieldTSDiscount($F$8,H11)</f>
        <v>1.0032778456332592</v>
      </c>
      <c r="L11" s="101">
        <f ca="1">_xll.qlYieldTSZeroRate($F$8,H11,$F$21)</f>
        <v>-3.5443830886014499E-3</v>
      </c>
      <c r="R11" s="86" t="s">
        <v>147</v>
      </c>
      <c r="S11" t="e">
        <f>_xll.qlRateHelperImpliedQuote(R11)</f>
        <v>#NUM!</v>
      </c>
      <c r="T11" t="e">
        <f>_xll.qlSwapRateHelperForwardStart(R11)</f>
        <v>#NUM!</v>
      </c>
    </row>
    <row r="12" spans="1:20" x14ac:dyDescent="0.2">
      <c r="A12" s="86" t="str">
        <v>EONIA_Depo5M#0005</v>
      </c>
      <c r="B12" s="87">
        <v>2</v>
      </c>
      <c r="C12" s="88" t="str">
        <v>EONIA_Depo12M</v>
      </c>
      <c r="D12" s="79"/>
      <c r="E12" s="46" t="s">
        <v>3</v>
      </c>
      <c r="F12" s="47" t="s">
        <v>98</v>
      </c>
      <c r="G12" s="79"/>
      <c r="H12" s="84">
        <f ca="1"/>
        <v>43185</v>
      </c>
      <c r="I12" s="85">
        <f ca="1"/>
        <v>1.0041416168610784</v>
      </c>
      <c r="J12" s="85">
        <f ca="1"/>
        <v>1.0041416168610784</v>
      </c>
      <c r="K12">
        <f ca="1">_xll.qlYieldTSDiscount($F$8,H12)</f>
        <v>1.0041416168610784</v>
      </c>
      <c r="L12" s="101">
        <f ca="1">_xll.qlYieldTSZeroRate($F$8,H12,$F$21)</f>
        <v>-3.5412402585770944E-3</v>
      </c>
      <c r="R12" s="86" t="s">
        <v>148</v>
      </c>
      <c r="S12" t="e">
        <f>_xll.qlRateHelperImpliedQuote(R12)</f>
        <v>#NUM!</v>
      </c>
      <c r="T12" t="e">
        <f>_xll.qlSwapRateHelperForwardStart(R12)</f>
        <v>#NUM!</v>
      </c>
    </row>
    <row r="13" spans="1:20" x14ac:dyDescent="0.2">
      <c r="A13" s="86" t="str">
        <v>EONIA_Depo6M#0005</v>
      </c>
      <c r="B13" s="87">
        <v>2</v>
      </c>
      <c r="C13" s="88" t="str">
        <v>EONIA_Swap15M</v>
      </c>
      <c r="D13" s="79"/>
      <c r="E13" s="46" t="s">
        <v>4</v>
      </c>
      <c r="F13" s="47"/>
      <c r="G13" s="79"/>
      <c r="H13" s="84">
        <f ca="1"/>
        <v>43216</v>
      </c>
      <c r="I13" s="85">
        <f ca="1"/>
        <v>1.0043579446021385</v>
      </c>
      <c r="J13" s="85">
        <f ca="1"/>
        <v>1.0043579446021385</v>
      </c>
      <c r="K13">
        <f ca="1">_xll.qlYieldTSDiscount($F$8,H13)</f>
        <v>1.0043579446021385</v>
      </c>
      <c r="L13" s="101">
        <f ca="1">_xll.qlYieldTSZeroRate($F$8,H13,$F$21)</f>
        <v>-3.4730718487441534E-3</v>
      </c>
      <c r="R13" s="86" t="s">
        <v>149</v>
      </c>
      <c r="S13" t="e">
        <f>_xll.qlRateHelperImpliedQuote(R13)</f>
        <v>#NUM!</v>
      </c>
      <c r="T13" t="e">
        <f>_xll.qlSwapRateHelperForwardStart(R13)</f>
        <v>#NUM!</v>
      </c>
    </row>
    <row r="14" spans="1:20" x14ac:dyDescent="0.2">
      <c r="A14" s="86" t="str">
        <v>EONIA_Depo7M#0005</v>
      </c>
      <c r="B14" s="87">
        <v>2</v>
      </c>
      <c r="C14" s="88" t="str">
        <v>EONIA_Swap18M</v>
      </c>
      <c r="D14" s="79"/>
      <c r="E14" s="46" t="s">
        <v>122</v>
      </c>
      <c r="F14" s="47" t="str">
        <f>'EUR RateHelpers'!Y3</f>
        <v>Discount</v>
      </c>
      <c r="G14" s="79"/>
      <c r="H14" s="84">
        <f ca="1"/>
        <v>43307</v>
      </c>
      <c r="I14" s="85">
        <f ca="1"/>
        <v>1.0051055445829518</v>
      </c>
      <c r="J14" s="85">
        <f ca="1"/>
        <v>1.0051055445829518</v>
      </c>
      <c r="K14">
        <f ca="1">_xll.qlYieldTSDiscount($F$8,H14)</f>
        <v>1.0051055445829518</v>
      </c>
      <c r="L14" s="101">
        <f ca="1">_xll.qlYieldTSZeroRate($F$8,H14,$F$21)</f>
        <v>-3.391939326783098E-3</v>
      </c>
    </row>
    <row r="15" spans="1:20" x14ac:dyDescent="0.2">
      <c r="A15" s="86" t="str">
        <v>EONIA_Depo8M#0005</v>
      </c>
      <c r="B15" s="87">
        <v>2</v>
      </c>
      <c r="C15" s="88" t="str">
        <v>EONIA_Swap21M</v>
      </c>
      <c r="D15" s="79"/>
      <c r="E15" s="46" t="s">
        <v>124</v>
      </c>
      <c r="F15" s="47" t="str">
        <f>'EUR RateHelpers'!Y4</f>
        <v>LogLinear</v>
      </c>
      <c r="G15" s="79"/>
      <c r="H15" s="84">
        <f ca="1"/>
        <v>43399</v>
      </c>
      <c r="I15" s="85">
        <f ca="1"/>
        <v>1.0058050569188386</v>
      </c>
      <c r="J15" s="85">
        <f ca="1"/>
        <v>1.0058050569188386</v>
      </c>
      <c r="K15">
        <f ca="1">_xll.qlYieldTSDiscount($F$8,H15)</f>
        <v>1.0058050569188386</v>
      </c>
      <c r="L15" s="101">
        <f ca="1">_xll.qlYieldTSZeroRate($F$8,H15,$F$21)</f>
        <v>-3.3011241606874147E-3</v>
      </c>
    </row>
    <row r="16" spans="1:20" x14ac:dyDescent="0.2">
      <c r="A16" s="86" t="str">
        <v>EONIA_Depo9M#0005</v>
      </c>
      <c r="B16" s="87">
        <v>2</v>
      </c>
      <c r="C16" s="88" t="str">
        <v>EONIA_Swap2Y</v>
      </c>
      <c r="D16" s="79"/>
      <c r="E16" s="46" t="s">
        <v>126</v>
      </c>
      <c r="F16" s="47"/>
      <c r="G16" s="79"/>
      <c r="H16" s="84">
        <f ca="1"/>
        <v>43493</v>
      </c>
      <c r="I16" s="85">
        <f ca="1"/>
        <v>1.0064361928207812</v>
      </c>
      <c r="J16" s="85">
        <f ca="1"/>
        <v>1.0064361928207812</v>
      </c>
      <c r="K16">
        <f ca="1">_xll.qlYieldTSDiscount($F$8,H16)</f>
        <v>1.0064361928207812</v>
      </c>
      <c r="L16" s="101">
        <f ca="1">_xll.qlYieldTSZeroRate($F$8,H16,$F$21)</f>
        <v>-3.1903033741992287E-3</v>
      </c>
    </row>
    <row r="17" spans="1:12" x14ac:dyDescent="0.2">
      <c r="A17" s="86" t="str">
        <v>EONIA_Depo10M#0005</v>
      </c>
      <c r="B17" s="87">
        <v>2</v>
      </c>
      <c r="C17" s="88" t="str">
        <v>EONIA_Swap3Y</v>
      </c>
      <c r="D17" s="79"/>
      <c r="E17" s="46" t="s">
        <v>5</v>
      </c>
      <c r="F17" s="47"/>
      <c r="G17" s="79"/>
      <c r="H17" s="84">
        <f ca="1"/>
        <v>43857</v>
      </c>
      <c r="I17" s="85">
        <f ca="1"/>
        <v>1.0077983350017712</v>
      </c>
      <c r="J17" s="85">
        <f ca="1"/>
        <v>1.0077983350017712</v>
      </c>
      <c r="K17">
        <f ca="1">_xll.qlYieldTSDiscount($F$8,H17)</f>
        <v>1.0077983350017712</v>
      </c>
      <c r="L17" s="101">
        <f ca="1">_xll.qlYieldTSZeroRate($F$8,H17,$F$21)</f>
        <v>-2.5822869582897774E-3</v>
      </c>
    </row>
    <row r="18" spans="1:12" ht="12" thickBot="1" x14ac:dyDescent="0.25">
      <c r="A18" s="86" t="str">
        <v>EONIA_Depo11M#0005</v>
      </c>
      <c r="B18" s="87">
        <v>2</v>
      </c>
      <c r="C18" s="88" t="str">
        <v>EONIA_Swap4Y</v>
      </c>
      <c r="D18" s="79"/>
      <c r="E18" s="43" t="s">
        <v>6</v>
      </c>
      <c r="F18" s="48" t="b">
        <f ca="1">'EUR RateHelpers'!$X$1</f>
        <v>1</v>
      </c>
      <c r="G18" s="79"/>
      <c r="H18" s="84">
        <f ca="1"/>
        <v>44222</v>
      </c>
      <c r="I18" s="85">
        <f ca="1"/>
        <v>1.0071659728686577</v>
      </c>
      <c r="J18" s="85">
        <f ca="1"/>
        <v>1.0071659728686577</v>
      </c>
      <c r="K18">
        <f ca="1">_xll.qlYieldTSDiscount($F$8,H18)</f>
        <v>1.0071659728686577</v>
      </c>
      <c r="L18" s="101">
        <f ca="1">_xll.qlYieldTSZeroRate($F$8,H18,$F$21)</f>
        <v>-1.781444320461309E-3</v>
      </c>
    </row>
    <row r="19" spans="1:12" ht="12" thickBot="1" x14ac:dyDescent="0.25">
      <c r="A19" s="86" t="str">
        <v>EONIA_Depo12M#0005</v>
      </c>
      <c r="B19" s="87">
        <v>2</v>
      </c>
      <c r="C19" s="88" t="str">
        <v>EONIA_Swap5Y</v>
      </c>
      <c r="D19" s="79"/>
      <c r="E19" s="79"/>
      <c r="F19" s="79"/>
      <c r="G19" s="79"/>
      <c r="H19" s="84">
        <f ca="1"/>
        <v>44587</v>
      </c>
      <c r="I19" s="85">
        <f ca="1"/>
        <v>1.0038967040400708</v>
      </c>
      <c r="J19" s="85">
        <f ca="1"/>
        <v>1.0038967040400708</v>
      </c>
      <c r="K19">
        <f ca="1">_xll.qlYieldTSDiscount($F$8,H19)</f>
        <v>1.0038967040400708</v>
      </c>
      <c r="L19" s="101">
        <f ca="1">_xll.qlYieldTSZeroRate($F$8,H19,$F$21)</f>
        <v>-7.7654979066256707E-4</v>
      </c>
    </row>
    <row r="20" spans="1:12" x14ac:dyDescent="0.2">
      <c r="A20" s="86" t="str">
        <v>EONIA_Swap15M#0005</v>
      </c>
      <c r="B20" s="87">
        <v>2</v>
      </c>
      <c r="C20" s="88" t="str">
        <v>EONIA_Swap6Y</v>
      </c>
      <c r="D20" s="79"/>
      <c r="E20" s="49" t="s">
        <v>127</v>
      </c>
      <c r="F20" s="90" t="str">
        <f ca="1">_xll.qlTermStructureCalendar($F$8)</f>
        <v>TARGET</v>
      </c>
      <c r="G20" s="79"/>
      <c r="H20" s="84">
        <f ca="1"/>
        <v>44952</v>
      </c>
      <c r="I20" s="85">
        <f ca="1"/>
        <v>0.99745218168627081</v>
      </c>
      <c r="J20" s="85">
        <f ca="1"/>
        <v>0.99745218168627081</v>
      </c>
      <c r="K20">
        <f ca="1">_xll.qlYieldTSDiscount($F$8,H20)</f>
        <v>0.99745218168627081</v>
      </c>
      <c r="L20" s="101">
        <f ca="1">_xll.qlYieldTSZeroRate($F$8,H20,$F$21)</f>
        <v>4.2459661518709041E-4</v>
      </c>
    </row>
    <row r="21" spans="1:12" x14ac:dyDescent="0.2">
      <c r="A21" s="86" t="str">
        <v>EONIA_Swap18M#0005</v>
      </c>
      <c r="B21" s="87">
        <v>3</v>
      </c>
      <c r="C21" s="88" t="str">
        <v>EONIA_Swap7Y</v>
      </c>
      <c r="D21" s="79"/>
      <c r="E21" s="91" t="s">
        <v>128</v>
      </c>
      <c r="F21" s="92" t="str">
        <f ca="1">_xll.qlTermStructureDayCounter($F$8)</f>
        <v>Actual/365 (Fixed)</v>
      </c>
      <c r="G21" s="79"/>
      <c r="H21" s="84">
        <f ca="1"/>
        <v>45317</v>
      </c>
      <c r="I21" s="85">
        <f ca="1"/>
        <v>0.98785396620355104</v>
      </c>
      <c r="J21" s="85">
        <f ca="1"/>
        <v>0.98785396620355104</v>
      </c>
      <c r="K21">
        <f ca="1">_xll.qlYieldTSDiscount($F$8,H21)</f>
        <v>0.98785396620355104</v>
      </c>
      <c r="L21" s="101">
        <f ca="1">_xll.qlYieldTSZeroRate($F$8,H21,$F$21)</f>
        <v>1.7437239524949878E-3</v>
      </c>
    </row>
    <row r="22" spans="1:12" x14ac:dyDescent="0.2">
      <c r="A22" s="86" t="str">
        <v>EONIA_Swap21M#0005</v>
      </c>
      <c r="B22" s="87">
        <v>3</v>
      </c>
      <c r="C22" s="88" t="str">
        <v>EONIA_Swap8Y</v>
      </c>
      <c r="D22" s="79"/>
      <c r="E22" s="91" t="s">
        <v>129</v>
      </c>
      <c r="F22" s="93">
        <f ca="1">_xll.qlTermStructureReferenceDate($F$8)</f>
        <v>42759</v>
      </c>
      <c r="G22" s="79"/>
      <c r="H22" s="84">
        <f ca="1"/>
        <v>45684</v>
      </c>
      <c r="I22" s="85">
        <f ca="1"/>
        <v>0.97544989692781425</v>
      </c>
      <c r="J22" s="85">
        <f ca="1"/>
        <v>0.97544989692781425</v>
      </c>
      <c r="K22">
        <f ca="1">_xll.qlYieldTSDiscount($F$8,H22)</f>
        <v>0.97544989692781425</v>
      </c>
      <c r="L22" s="101">
        <f ca="1">_xll.qlYieldTSZeroRate($F$8,H22,$F$21)</f>
        <v>3.1017489941146613E-3</v>
      </c>
    </row>
    <row r="23" spans="1:12" x14ac:dyDescent="0.2">
      <c r="A23" s="86" t="str">
        <v>EONIA_Swap2Y#0005</v>
      </c>
      <c r="B23" s="87">
        <v>3</v>
      </c>
      <c r="C23" s="88" t="str">
        <v>EONIA_Swap9Y</v>
      </c>
      <c r="D23" s="79"/>
      <c r="E23" s="91" t="s">
        <v>130</v>
      </c>
      <c r="F23" s="93">
        <f ca="1">_xll.qlTermStructureMaxDate($F$8)</f>
        <v>68329</v>
      </c>
      <c r="G23" s="79"/>
      <c r="H23" s="84">
        <f ca="1"/>
        <v>46048</v>
      </c>
      <c r="I23" s="85">
        <f ca="1"/>
        <v>0.96052158657328524</v>
      </c>
      <c r="J23" s="85">
        <f ca="1"/>
        <v>0.96052158657328524</v>
      </c>
      <c r="K23">
        <f ca="1">_xll.qlYieldTSDiscount($F$8,H23)</f>
        <v>0.96052158657328524</v>
      </c>
      <c r="L23" s="101">
        <f ca="1">_xll.qlYieldTSZeroRate($F$8,H23,$F$21)</f>
        <v>4.4699818461306782E-3</v>
      </c>
    </row>
    <row r="24" spans="1:12" x14ac:dyDescent="0.2">
      <c r="A24" s="86" t="str">
        <v>EONIA_Swap3Y#0005</v>
      </c>
      <c r="B24" s="87">
        <v>3</v>
      </c>
      <c r="C24" s="88" t="str">
        <v>EONIA_Swap10Y</v>
      </c>
      <c r="D24" s="79"/>
      <c r="E24" s="94" t="s">
        <v>131</v>
      </c>
      <c r="F24" s="95">
        <f ca="1">_xll.qlTermStructureSettlementDays($F$8)</f>
        <v>0</v>
      </c>
      <c r="G24" s="79"/>
      <c r="H24" s="84">
        <f ca="1"/>
        <v>46413</v>
      </c>
      <c r="I24" s="85">
        <f ca="1"/>
        <v>0.94431187189824839</v>
      </c>
      <c r="J24" s="85">
        <f ca="1"/>
        <v>0.94431187189824839</v>
      </c>
      <c r="K24">
        <f ca="1">_xll.qlYieldTSDiscount($F$8,H24)</f>
        <v>0.94431187189824839</v>
      </c>
      <c r="L24" s="101">
        <f ca="1">_xll.qlYieldTSZeroRate($F$8,H24,$F$21)</f>
        <v>5.723607016368296E-3</v>
      </c>
    </row>
    <row r="25" spans="1:12" x14ac:dyDescent="0.2">
      <c r="A25" s="86" t="str">
        <v>EONIA_Swap4Y#0005</v>
      </c>
      <c r="B25" s="87">
        <v>3</v>
      </c>
      <c r="C25" s="88" t="str">
        <v>EONIA_Swap11Y</v>
      </c>
      <c r="D25" s="79"/>
      <c r="E25" s="96" t="s">
        <v>132</v>
      </c>
      <c r="F25" s="97">
        <f ca="1">_xll.qlYieldTSDiscount($F$8,$F$22)</f>
        <v>1</v>
      </c>
      <c r="G25" s="79"/>
      <c r="H25" s="84">
        <f ca="1"/>
        <v>46778</v>
      </c>
      <c r="I25" s="85">
        <f ca="1"/>
        <v>0.92734752576904911</v>
      </c>
      <c r="J25" s="85">
        <f ca="1"/>
        <v>0.92734752576904911</v>
      </c>
      <c r="K25">
        <f ca="1">_xll.qlYieldTSDiscount($F$8,H25)</f>
        <v>0.92734752576904911</v>
      </c>
      <c r="L25" s="101">
        <f ca="1">_xll.qlYieldTSZeroRate($F$8,H25,$F$21)</f>
        <v>6.8501654917802546E-3</v>
      </c>
    </row>
    <row r="26" spans="1:12" x14ac:dyDescent="0.2">
      <c r="A26" s="86" t="str">
        <v>EONIA_Swap5Y#0005</v>
      </c>
      <c r="B26" s="87">
        <v>3</v>
      </c>
      <c r="C26" s="88" t="str">
        <v>EONIA_Swap12Y</v>
      </c>
      <c r="D26" s="79"/>
      <c r="E26" s="91" t="s">
        <v>133</v>
      </c>
      <c r="F26" s="98">
        <f ca="1">_xll.qlYieldTSForwardRate($F$8,$F$22,$F$22+90,$F$21,"simple","annual")</f>
        <v>-3.578316953511487E-3</v>
      </c>
      <c r="G26" s="79"/>
      <c r="H26" s="84">
        <f ca="1"/>
        <v>47144</v>
      </c>
      <c r="I26" s="85">
        <f ca="1"/>
        <v>0.91003401436884146</v>
      </c>
      <c r="J26" s="85">
        <f ca="1"/>
        <v>0.91003401436884146</v>
      </c>
      <c r="K26">
        <f ca="1">_xll.qlYieldTSDiscount($F$8,H26)</f>
        <v>0.91003401436884146</v>
      </c>
      <c r="L26" s="101">
        <f ca="1">_xll.qlYieldTSZeroRate($F$8,H26,$F$21)</f>
        <v>7.8471505441304757E-3</v>
      </c>
    </row>
    <row r="27" spans="1:12" ht="12" thickBot="1" x14ac:dyDescent="0.25">
      <c r="A27" s="86" t="str">
        <v>EONIA_Swap6Y#0005</v>
      </c>
      <c r="B27" s="87">
        <v>3</v>
      </c>
      <c r="C27" s="88" t="str">
        <v>EONIA_Swap15Y</v>
      </c>
      <c r="D27" s="79"/>
      <c r="E27" s="99" t="s">
        <v>134</v>
      </c>
      <c r="F27" s="100">
        <f ca="1">_xll.qlYieldTSZeroRate($F$8,$F$22,F21,"simple","annual")</f>
        <v>-3.5699355360740981E-3</v>
      </c>
      <c r="G27" s="79"/>
      <c r="H27" s="84">
        <f ca="1"/>
        <v>48239</v>
      </c>
      <c r="I27" s="85">
        <f ca="1"/>
        <v>0.85858499524404963</v>
      </c>
      <c r="J27" s="85">
        <f ca="1"/>
        <v>0.85858499524404963</v>
      </c>
      <c r="K27">
        <f ca="1">_xll.qlYieldTSDiscount($F$8,H27)</f>
        <v>0.85858499524404963</v>
      </c>
      <c r="L27" s="101">
        <f ca="1">_xll.qlYieldTSZeroRate($F$8,H27,$F$21)</f>
        <v>1.0155365639084446E-2</v>
      </c>
    </row>
    <row r="28" spans="1:12" x14ac:dyDescent="0.2">
      <c r="A28" s="86" t="str">
        <v>EONIA_Swap7Y#0005</v>
      </c>
      <c r="B28" s="87">
        <v>3</v>
      </c>
      <c r="C28" s="88" t="str">
        <v>EONIA_Swap20Y</v>
      </c>
      <c r="D28" s="79"/>
      <c r="E28" s="79"/>
      <c r="F28" s="79"/>
      <c r="G28" s="79"/>
      <c r="H28" s="84">
        <f ca="1"/>
        <v>50066</v>
      </c>
      <c r="I28" s="85">
        <f ca="1"/>
        <v>0.78302541022796968</v>
      </c>
      <c r="J28" s="85">
        <f ca="1"/>
        <v>0.78302541022796968</v>
      </c>
      <c r="K28">
        <f ca="1">_xll.qlYieldTSDiscount($F$8,H28)</f>
        <v>0.78302541022796968</v>
      </c>
      <c r="L28" s="101">
        <f ca="1">_xll.qlYieldTSZeroRate($F$8,H28,$F$21)</f>
        <v>1.2217790866102042E-2</v>
      </c>
    </row>
    <row r="29" spans="1:12" x14ac:dyDescent="0.2">
      <c r="A29" s="86" t="str">
        <v>EONIA_Swap8Y#0005</v>
      </c>
      <c r="B29" s="87">
        <v>3</v>
      </c>
      <c r="C29" s="88" t="str">
        <v>EONIA_Swap25Y</v>
      </c>
      <c r="D29" s="79"/>
      <c r="E29" s="79"/>
      <c r="F29" s="79"/>
      <c r="G29" s="79"/>
      <c r="H29" s="84">
        <f ca="1"/>
        <v>51893</v>
      </c>
      <c r="I29" s="85">
        <f ca="1"/>
        <v>0.72112255650042156</v>
      </c>
      <c r="J29" s="85">
        <f ca="1"/>
        <v>0.72112255650042156</v>
      </c>
      <c r="K29">
        <f ca="1">_xll.qlYieldTSDiscount($F$8,H29)</f>
        <v>0.72112255650042156</v>
      </c>
      <c r="L29" s="101">
        <f ca="1">_xll.qlYieldTSZeroRate($F$8,H29,$F$21)</f>
        <v>1.3064961005693999E-2</v>
      </c>
    </row>
    <row r="30" spans="1:12" x14ac:dyDescent="0.2">
      <c r="A30" s="86" t="str">
        <v>EONIA_Swap9Y#0005</v>
      </c>
      <c r="B30" s="87">
        <v>3</v>
      </c>
      <c r="C30" s="88" t="str">
        <v>EONIA_Swap30Y</v>
      </c>
      <c r="D30" s="79"/>
      <c r="E30" s="79"/>
      <c r="F30" s="79"/>
      <c r="G30" s="79"/>
      <c r="H30" s="84">
        <f ca="1"/>
        <v>53720</v>
      </c>
      <c r="I30" s="85">
        <f ca="1"/>
        <v>0.66811998679639428</v>
      </c>
      <c r="J30" s="85">
        <f ca="1"/>
        <v>0.66811998679639428</v>
      </c>
      <c r="K30">
        <f ca="1">_xll.qlYieldTSDiscount($F$8,H30)</f>
        <v>0.66811998679639428</v>
      </c>
      <c r="L30" s="101">
        <f ca="1">_xll.qlYieldTSZeroRate($F$8,H30,$F$21)</f>
        <v>1.3429425939904366E-2</v>
      </c>
    </row>
    <row r="31" spans="1:12" x14ac:dyDescent="0.2">
      <c r="A31" s="86" t="str">
        <v>EONIA_Swap10Y#0005</v>
      </c>
      <c r="B31" s="87">
        <v>3</v>
      </c>
      <c r="C31" s="88" t="str">
        <v>EONIA_Swap40Y</v>
      </c>
      <c r="D31" s="79"/>
      <c r="E31" s="79"/>
      <c r="F31" s="79"/>
      <c r="G31" s="79"/>
      <c r="H31" s="84">
        <f ca="1"/>
        <v>57371</v>
      </c>
      <c r="I31" s="85">
        <f ca="1"/>
        <v>0.57779009064750653</v>
      </c>
      <c r="J31" s="85">
        <f ca="1"/>
        <v>0.57779009064750653</v>
      </c>
      <c r="K31">
        <f ca="1">_xll.qlYieldTSDiscount($F$8,H31)</f>
        <v>0.57779009064750653</v>
      </c>
      <c r="L31" s="101">
        <f ca="1">_xll.qlYieldTSZeroRate($F$8,H31,$F$21)</f>
        <v>1.3702353822374853E-2</v>
      </c>
    </row>
    <row r="32" spans="1:12" x14ac:dyDescent="0.2">
      <c r="A32" s="86" t="str">
        <v>EONIA_Swap11Y#0005</v>
      </c>
      <c r="B32" s="87">
        <v>3</v>
      </c>
      <c r="C32" s="88" t="str">
        <v>EONIA_Swap50Y</v>
      </c>
      <c r="D32" s="79"/>
      <c r="E32" s="79"/>
      <c r="F32" s="79"/>
      <c r="G32" s="79"/>
      <c r="H32" s="84">
        <f ca="1"/>
        <v>61023</v>
      </c>
      <c r="I32" s="85">
        <f ca="1"/>
        <v>0.51720988091736475</v>
      </c>
      <c r="J32" s="85">
        <f ca="1"/>
        <v>0.51720988091736475</v>
      </c>
      <c r="K32">
        <f ca="1">_xll.qlYieldTSDiscount($F$8,H32)</f>
        <v>0.51720988091736475</v>
      </c>
      <c r="L32" s="101">
        <f ca="1">_xll.qlYieldTSZeroRate($F$8,H32,$F$21)</f>
        <v>1.3176022918613238E-2</v>
      </c>
    </row>
    <row r="33" spans="1:12" x14ac:dyDescent="0.2">
      <c r="A33" s="86" t="str">
        <v>EONIA_Swap12Y#0005</v>
      </c>
      <c r="B33" s="87">
        <v>3</v>
      </c>
      <c r="C33" s="88" t="str">
        <v>EONIA_Swap70y</v>
      </c>
      <c r="D33" s="79"/>
      <c r="E33" s="79"/>
      <c r="F33" s="79"/>
      <c r="G33" s="79"/>
      <c r="H33" s="84">
        <f ca="1"/>
        <v>68329</v>
      </c>
      <c r="I33" s="85">
        <f ca="1"/>
        <v>0.39963545115651999</v>
      </c>
      <c r="J33" s="85">
        <f ca="1"/>
        <v>0.39963545115651999</v>
      </c>
      <c r="K33">
        <f ca="1">_xll.qlYieldTSDiscount($F$8,H33)</f>
        <v>0.39963545115651999</v>
      </c>
      <c r="L33" s="101">
        <f ca="1">_xll.qlYieldTSZeroRate($F$8,H33,$F$21)</f>
        <v>1.3092644490819103E-2</v>
      </c>
    </row>
    <row r="34" spans="1:12" x14ac:dyDescent="0.2">
      <c r="A34" s="86" t="str">
        <v>EONIA_Swap15Y#0005</v>
      </c>
      <c r="B34" s="87">
        <v>3</v>
      </c>
      <c r="C34" s="88" t="e">
        <v>#N/A</v>
      </c>
      <c r="H34" s="84" t="e">
        <f ca="1"/>
        <v>#N/A</v>
      </c>
      <c r="I34" s="85" t="e">
        <f ca="1"/>
        <v>#N/A</v>
      </c>
      <c r="J34" s="85" t="e">
        <f ca="1"/>
        <v>#N/A</v>
      </c>
      <c r="K34" t="e">
        <f ca="1">_xll.qlYieldTSDiscount($F$8,H34)</f>
        <v>#NUM!</v>
      </c>
      <c r="L34" s="101" t="e">
        <f ca="1">_xll.qlYieldTSZeroRate($F$8,H34,$F$21)</f>
        <v>#NUM!</v>
      </c>
    </row>
    <row r="35" spans="1:12" x14ac:dyDescent="0.2">
      <c r="A35" s="86" t="str">
        <v>EONIA_Swap20Y#0005</v>
      </c>
      <c r="B35" s="87">
        <v>3</v>
      </c>
      <c r="C35" s="88" t="e">
        <v>#N/A</v>
      </c>
      <c r="H35" s="84" t="e">
        <f ca="1"/>
        <v>#N/A</v>
      </c>
      <c r="I35" s="85" t="e">
        <f ca="1"/>
        <v>#N/A</v>
      </c>
      <c r="J35" s="85" t="e">
        <f ca="1"/>
        <v>#N/A</v>
      </c>
      <c r="K35" t="e">
        <f ca="1">_xll.qlYieldTSDiscount($F$8,H35)</f>
        <v>#NUM!</v>
      </c>
      <c r="L35" s="101" t="e">
        <f ca="1">_xll.qlYieldTSZeroRate($F$8,H35,$F$21)</f>
        <v>#NUM!</v>
      </c>
    </row>
    <row r="36" spans="1:12" x14ac:dyDescent="0.2">
      <c r="A36" s="86" t="str">
        <v>EONIA_Swap25Y#0005</v>
      </c>
      <c r="B36" s="87">
        <v>3</v>
      </c>
      <c r="C36" s="88" t="e">
        <v>#N/A</v>
      </c>
      <c r="H36" s="84" t="e">
        <f ca="1"/>
        <v>#N/A</v>
      </c>
      <c r="I36" s="85" t="e">
        <f ca="1"/>
        <v>#N/A</v>
      </c>
      <c r="J36" s="85" t="e">
        <f ca="1"/>
        <v>#N/A</v>
      </c>
      <c r="K36" t="e">
        <f ca="1">_xll.qlYieldTSDiscount($F$8,H36)</f>
        <v>#NUM!</v>
      </c>
      <c r="L36" s="101" t="e">
        <f ca="1">_xll.qlYieldTSZeroRate($F$8,H36,$F$21)</f>
        <v>#NUM!</v>
      </c>
    </row>
    <row r="37" spans="1:12" x14ac:dyDescent="0.2">
      <c r="A37" s="86" t="str">
        <v>EONIA_Swap30Y#0005</v>
      </c>
      <c r="B37" s="87">
        <v>3</v>
      </c>
      <c r="C37" s="88" t="e">
        <v>#N/A</v>
      </c>
      <c r="H37" s="84" t="e">
        <f ca="1"/>
        <v>#N/A</v>
      </c>
      <c r="I37" s="85" t="e">
        <f ca="1"/>
        <v>#N/A</v>
      </c>
      <c r="J37" s="85" t="e">
        <f ca="1"/>
        <v>#N/A</v>
      </c>
      <c r="K37" t="e">
        <f ca="1">_xll.qlYieldTSDiscount($F$8,H37)</f>
        <v>#NUM!</v>
      </c>
      <c r="L37" s="101" t="e">
        <f ca="1">_xll.qlYieldTSZeroRate($F$8,H37,$F$21)</f>
        <v>#NUM!</v>
      </c>
    </row>
    <row r="38" spans="1:12" x14ac:dyDescent="0.2">
      <c r="A38" s="86" t="str">
        <v>EONIA_Swap40Y#0005</v>
      </c>
      <c r="B38" s="87">
        <v>3</v>
      </c>
      <c r="C38" s="88" t="e">
        <v>#N/A</v>
      </c>
      <c r="H38" s="84" t="e">
        <f ca="1"/>
        <v>#N/A</v>
      </c>
      <c r="I38" s="85" t="e">
        <f ca="1"/>
        <v>#N/A</v>
      </c>
      <c r="J38" s="85" t="e">
        <f ca="1"/>
        <v>#N/A</v>
      </c>
      <c r="K38" t="e">
        <f ca="1">_xll.qlYieldTSDiscount($F$8,H38)</f>
        <v>#NUM!</v>
      </c>
      <c r="L38" s="101" t="e">
        <f ca="1">_xll.qlYieldTSZeroRate($F$8,H38,$F$21)</f>
        <v>#NUM!</v>
      </c>
    </row>
    <row r="39" spans="1:12" x14ac:dyDescent="0.2">
      <c r="A39" s="86" t="str">
        <v>EONIA_Swap50Y#0005</v>
      </c>
      <c r="B39" s="87">
        <v>3</v>
      </c>
      <c r="C39" s="88" t="e">
        <v>#N/A</v>
      </c>
      <c r="H39" s="84" t="e">
        <f ca="1"/>
        <v>#N/A</v>
      </c>
      <c r="I39" s="85" t="e">
        <f ca="1"/>
        <v>#N/A</v>
      </c>
      <c r="J39" s="85" t="e">
        <f ca="1"/>
        <v>#N/A</v>
      </c>
      <c r="K39" t="e">
        <f ca="1">_xll.qlYieldTSDiscount($F$8,H39)</f>
        <v>#NUM!</v>
      </c>
      <c r="L39" s="101" t="e">
        <f ca="1">_xll.qlYieldTSZeroRate($F$8,H39,$F$21)</f>
        <v>#NUM!</v>
      </c>
    </row>
    <row r="40" spans="1:12" x14ac:dyDescent="0.2">
      <c r="A40" s="86" t="str">
        <v>EONIA_Swap70y#0005</v>
      </c>
      <c r="B40" s="87">
        <v>3</v>
      </c>
      <c r="C40" s="88" t="e">
        <v>#N/A</v>
      </c>
      <c r="H40" s="84" t="e">
        <f ca="1"/>
        <v>#N/A</v>
      </c>
      <c r="I40" s="85" t="e">
        <f ca="1"/>
        <v>#N/A</v>
      </c>
      <c r="J40" s="85" t="e">
        <f ca="1"/>
        <v>#N/A</v>
      </c>
      <c r="K40" t="e">
        <f ca="1">_xll.qlYieldTSDiscount($F$8,H40)</f>
        <v>#NUM!</v>
      </c>
      <c r="L40" s="101" t="e">
        <f ca="1">_xll.qlYieldTSZeroRate($F$8,H40,$F$21)</f>
        <v>#NUM!</v>
      </c>
    </row>
    <row r="41" spans="1:12" x14ac:dyDescent="0.2">
      <c r="A41" s="86" t="e">
        <v>#N/A</v>
      </c>
      <c r="B41" s="87">
        <v>3</v>
      </c>
      <c r="C41" s="88" t="e">
        <v>#N/A</v>
      </c>
      <c r="H41" s="84" t="e">
        <f ca="1"/>
        <v>#N/A</v>
      </c>
      <c r="I41" s="85" t="e">
        <f ca="1"/>
        <v>#N/A</v>
      </c>
      <c r="J41" s="85" t="e">
        <f ca="1"/>
        <v>#N/A</v>
      </c>
      <c r="K41" t="e">
        <f ca="1">_xll.qlYieldTSDiscount($F$8,H41)</f>
        <v>#NUM!</v>
      </c>
      <c r="L41" s="101" t="e">
        <f ca="1">_xll.qlYieldTSZeroRate($F$8,H41,$F$21)</f>
        <v>#NUM!</v>
      </c>
    </row>
    <row r="42" spans="1:12" x14ac:dyDescent="0.2">
      <c r="A42" s="86" t="e">
        <v>#N/A</v>
      </c>
      <c r="B42" s="87">
        <v>3</v>
      </c>
      <c r="C42" s="88" t="e">
        <v>#N/A</v>
      </c>
      <c r="H42" s="84" t="e">
        <f ca="1"/>
        <v>#N/A</v>
      </c>
      <c r="I42" s="85" t="e">
        <f ca="1"/>
        <v>#N/A</v>
      </c>
      <c r="J42" s="85" t="e">
        <f ca="1"/>
        <v>#N/A</v>
      </c>
      <c r="K42" t="e">
        <f ca="1">_xll.qlYieldTSDiscount($F$8,H42)</f>
        <v>#NUM!</v>
      </c>
      <c r="L42" s="101" t="e">
        <f ca="1">_xll.qlYieldTSZeroRate($F$8,H42,$F$21)</f>
        <v>#NUM!</v>
      </c>
    </row>
    <row r="43" spans="1:12" x14ac:dyDescent="0.2">
      <c r="A43" s="86" t="e">
        <v>#N/A</v>
      </c>
      <c r="B43" s="87">
        <v>3</v>
      </c>
      <c r="C43" s="88" t="e">
        <v>#N/A</v>
      </c>
    </row>
    <row r="44" spans="1:12" x14ac:dyDescent="0.2">
      <c r="A44" s="86" t="e">
        <v>#N/A</v>
      </c>
      <c r="B44" s="87">
        <v>3</v>
      </c>
      <c r="C44" s="88" t="e">
        <v>#N/A</v>
      </c>
    </row>
    <row r="45" spans="1:12" x14ac:dyDescent="0.2">
      <c r="A45" s="86" t="e">
        <v>#N/A</v>
      </c>
      <c r="B45" s="87">
        <v>3</v>
      </c>
      <c r="C45" s="88" t="e">
        <v>#N/A</v>
      </c>
    </row>
    <row r="46" spans="1:12" x14ac:dyDescent="0.2">
      <c r="A46" s="86" t="e">
        <v>#N/A</v>
      </c>
      <c r="B46" s="87">
        <v>3</v>
      </c>
      <c r="C46" s="88" t="e">
        <v>#N/A</v>
      </c>
      <c r="E46" t="str">
        <f ca="1">_xll.ohRangeRetrieveError(H2)</f>
        <v/>
      </c>
    </row>
    <row r="47" spans="1:12" x14ac:dyDescent="0.2">
      <c r="A47" s="86" t="e">
        <v>#N/A</v>
      </c>
      <c r="B47" s="87">
        <v>3</v>
      </c>
      <c r="C47" s="88" t="e">
        <v>#N/A</v>
      </c>
      <c r="F47" t="str">
        <f ca="1">F9</f>
        <v/>
      </c>
    </row>
    <row r="48" spans="1:12" x14ac:dyDescent="0.2">
      <c r="A48" s="86" t="e">
        <v>#N/A</v>
      </c>
      <c r="B48" s="87">
        <v>3</v>
      </c>
      <c r="C48" s="88" t="e">
        <v>#N/A</v>
      </c>
    </row>
  </sheetData>
  <dataValidations disablePrompts="1" count="5">
    <dataValidation type="list" allowBlank="1" showInputMessage="1" showErrorMessage="1" sqref="F12" xr:uid="{00000000-0002-0000-0B00-000000000000}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F13" xr:uid="{00000000-0002-0000-0B00-000001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5" xr:uid="{00000000-0002-0000-0B00-000002000000}">
      <formula1>"AllDepos,DeposBeforeFirstFuturesStartDate,DeposBeforeFirstFuturesStartDatePlusOne,DeposBeforeFirstFuturesExpiryDate"</formula1>
    </dataValidation>
    <dataValidation type="list" allowBlank="1" showInputMessage="1" showErrorMessage="1" sqref="F15" xr:uid="{00000000-0002-0000-0B00-000003000000}">
      <formula1>"BackwardFlat,ForwardFlat,Linear,LogLinear,Cubic,LogCubic"</formula1>
    </dataValidation>
    <dataValidation type="list" allowBlank="1" showInputMessage="1" showErrorMessage="1" sqref="F14" xr:uid="{00000000-0002-0000-0B00-000004000000}">
      <formula1>"Discount,ZeroYield,ForwardRate"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T128"/>
  <sheetViews>
    <sheetView workbookViewId="0">
      <selection activeCell="F35" sqref="F35"/>
    </sheetView>
  </sheetViews>
  <sheetFormatPr defaultRowHeight="11.25" x14ac:dyDescent="0.2"/>
  <cols>
    <col min="1" max="1" width="27.1640625" customWidth="1"/>
    <col min="3" max="3" width="24.1640625" customWidth="1"/>
    <col min="5" max="5" width="46.1640625" customWidth="1"/>
    <col min="6" max="6" width="19.83203125" customWidth="1"/>
    <col min="8" max="8" width="20.83203125" customWidth="1"/>
    <col min="9" max="9" width="15.5" customWidth="1"/>
    <col min="10" max="10" width="15" customWidth="1"/>
    <col min="11" max="15" width="10.1640625" customWidth="1"/>
    <col min="16" max="16" width="12.83203125" customWidth="1"/>
  </cols>
  <sheetData>
    <row r="1" spans="1:20" ht="12" thickBot="1" x14ac:dyDescent="0.25">
      <c r="A1" s="79"/>
      <c r="B1" s="79"/>
      <c r="C1" s="79"/>
      <c r="D1" s="79"/>
      <c r="E1" s="79"/>
      <c r="F1" s="79"/>
      <c r="G1" s="79"/>
      <c r="H1" s="80" t="s">
        <v>111</v>
      </c>
      <c r="I1" s="81" t="s">
        <v>112</v>
      </c>
      <c r="J1" s="81" t="s">
        <v>112</v>
      </c>
    </row>
    <row r="2" spans="1:20" x14ac:dyDescent="0.2">
      <c r="A2" s="80" t="s">
        <v>113</v>
      </c>
      <c r="B2" s="82" t="s">
        <v>114</v>
      </c>
      <c r="C2" s="81" t="s">
        <v>115</v>
      </c>
      <c r="D2" s="79"/>
      <c r="E2" s="41" t="s">
        <v>116</v>
      </c>
      <c r="F2" s="83">
        <v>0</v>
      </c>
      <c r="G2" s="79"/>
      <c r="H2" s="84">
        <f t="array" aca="1" ref="H2:H42" ca="1">_xll.qlPiecewiseYieldCurveDates(F8)</f>
        <v>42759</v>
      </c>
      <c r="I2" s="85">
        <f t="array" aca="1" ref="I2:I42" ca="1">_xll.qlPiecewiseYieldCurveData(F8)</f>
        <v>1</v>
      </c>
      <c r="J2" s="85">
        <f t="array" aca="1" ref="J2:J42" ca="1">_xll.qlPiecewiseYieldCurveData(F8,"ZeroYield")</f>
        <v>1</v>
      </c>
      <c r="K2">
        <f ca="1">_xll.qlYieldTSDiscount($F$8,H2)</f>
        <v>1</v>
      </c>
      <c r="L2" s="101">
        <f ca="1">_xll.qlYieldTSZeroRate($F$8,H2,$F$21)</f>
        <v>-3.4380546757698757E-3</v>
      </c>
      <c r="R2" s="86" t="s">
        <v>138</v>
      </c>
      <c r="S2" t="e">
        <f>_xll.qlRateHelperImpliedQuote(R2)</f>
        <v>#NUM!</v>
      </c>
      <c r="T2" t="e">
        <f>_xll.qlSwapRateHelperForwardStart(R2)</f>
        <v>#NUM!</v>
      </c>
    </row>
    <row r="3" spans="1:20" x14ac:dyDescent="0.2">
      <c r="A3" s="86" t="str">
        <f t="array" ref="A3:A49">'EUR RateHelpers'!A2:A48</f>
        <v>EO6M_DepoON#0005</v>
      </c>
      <c r="B3" s="87">
        <v>1</v>
      </c>
      <c r="C3" s="88" t="str">
        <f t="array" aca="1" ref="C3:C48" ca="1">_xll.qlRateHelperSelection(A3:A49,B3:B49,F2,F3,F4,F5,F6,_xll.ohTrigger('EUR RateHelpers'!A17:A49))</f>
        <v>EO6M_Depo2M</v>
      </c>
      <c r="D3" s="79"/>
      <c r="E3" s="46" t="s">
        <v>117</v>
      </c>
      <c r="F3" s="89">
        <v>0</v>
      </c>
      <c r="G3" s="79"/>
      <c r="H3" s="84">
        <f ca="1"/>
        <v>42821</v>
      </c>
      <c r="I3" s="85">
        <f ca="1"/>
        <v>1.0005841688886283</v>
      </c>
      <c r="J3" s="85">
        <f ca="1"/>
        <v>1.0005841688886283</v>
      </c>
      <c r="K3">
        <f ca="1">_xll.qlYieldTSDiscount($F$8,H3)</f>
        <v>1.0005841688886283</v>
      </c>
      <c r="L3" s="101">
        <f ca="1">_xll.qlYieldTSZeroRate($F$8,H3,$F$21)</f>
        <v>-3.4380546752811342E-3</v>
      </c>
      <c r="R3" s="86" t="s">
        <v>139</v>
      </c>
      <c r="S3" t="e">
        <f>_xll.qlRateHelperImpliedQuote(R3)</f>
        <v>#NUM!</v>
      </c>
      <c r="T3" t="e">
        <f>_xll.qlSwapRateHelperForwardStart(R3)</f>
        <v>#NUM!</v>
      </c>
    </row>
    <row r="4" spans="1:20" x14ac:dyDescent="0.2">
      <c r="A4" s="86" t="str">
        <v>EO6M_DepoTN#0005</v>
      </c>
      <c r="B4" s="87">
        <f>B3+1</f>
        <v>2</v>
      </c>
      <c r="C4" s="88" t="str">
        <f ca="1"/>
        <v>EO6M_Depo3M</v>
      </c>
      <c r="D4" s="79"/>
      <c r="E4" s="46" t="s">
        <v>118</v>
      </c>
      <c r="F4" s="89">
        <v>3</v>
      </c>
      <c r="G4" s="79"/>
      <c r="H4" s="84">
        <f ca="1"/>
        <v>42851</v>
      </c>
      <c r="I4" s="85">
        <f ca="1"/>
        <v>1.000839527245545</v>
      </c>
      <c r="J4" s="85">
        <f ca="1"/>
        <v>1.000839527245545</v>
      </c>
      <c r="K4">
        <f ca="1">_xll.qlYieldTSDiscount($F$8,H4)</f>
        <v>1.000839527245545</v>
      </c>
      <c r="L4" s="101">
        <f ca="1">_xll.qlYieldTSZeroRate($F$8,H4,$F$21)</f>
        <v>-3.3293357551631643E-3</v>
      </c>
      <c r="R4" s="86" t="s">
        <v>140</v>
      </c>
      <c r="S4" t="e">
        <f>_xll.qlRateHelperImpliedQuote(R4)</f>
        <v>#NUM!</v>
      </c>
      <c r="T4" t="e">
        <f>_xll.qlSwapRateHelperForwardStart(R4)</f>
        <v>#NUM!</v>
      </c>
    </row>
    <row r="5" spans="1:20" x14ac:dyDescent="0.2">
      <c r="A5" s="86" t="str">
        <v>EO6M_Depo1W#0005</v>
      </c>
      <c r="B5" s="87">
        <f t="shared" ref="B5:B49" si="0">B4+1</f>
        <v>3</v>
      </c>
      <c r="C5" s="88" t="str">
        <f ca="1"/>
        <v>EO6M_Depo6M</v>
      </c>
      <c r="D5" s="79"/>
      <c r="E5" s="46" t="s">
        <v>119</v>
      </c>
      <c r="F5" s="47" t="s">
        <v>120</v>
      </c>
      <c r="G5" s="79"/>
      <c r="H5" s="84">
        <f ca="1"/>
        <v>42942</v>
      </c>
      <c r="I5" s="85">
        <f ca="1"/>
        <v>1.0012370662213879</v>
      </c>
      <c r="J5" s="85">
        <f ca="1"/>
        <v>1.0012370662213879</v>
      </c>
      <c r="K5">
        <f ca="1">_xll.qlYieldTSDiscount($F$8,H5)</f>
        <v>1.0012370662213879</v>
      </c>
      <c r="L5" s="101">
        <f ca="1">_xll.qlYieldTSZeroRate($F$8,H5,$F$21)</f>
        <v>-2.4658476239370264E-3</v>
      </c>
      <c r="R5" s="86" t="s">
        <v>141</v>
      </c>
      <c r="S5" t="e">
        <f>_xll.qlRateHelperImpliedQuote(R5)</f>
        <v>#NUM!</v>
      </c>
      <c r="T5" t="e">
        <f>_xll.qlSwapRateHelperForwardStart(R5)</f>
        <v>#NUM!</v>
      </c>
    </row>
    <row r="6" spans="1:20" ht="12" thickBot="1" x14ac:dyDescent="0.25">
      <c r="A6" s="86" t="str">
        <v>EO6M_Depo2W#0005</v>
      </c>
      <c r="B6" s="87">
        <f t="shared" si="0"/>
        <v>4</v>
      </c>
      <c r="C6" s="88" t="str">
        <f ca="1"/>
        <v>EO6M_FRA2x8</v>
      </c>
      <c r="D6" s="79"/>
      <c r="E6" s="43" t="s">
        <v>6</v>
      </c>
      <c r="F6" s="48">
        <v>30</v>
      </c>
      <c r="G6" s="79"/>
      <c r="H6" s="84">
        <f ca="1"/>
        <v>43004</v>
      </c>
      <c r="I6" s="85">
        <f ca="1"/>
        <v>1.001769813857518</v>
      </c>
      <c r="J6" s="85">
        <f ca="1"/>
        <v>1.001769813857518</v>
      </c>
      <c r="K6">
        <f ca="1">_xll.qlYieldTSDiscount($F$8,H6)</f>
        <v>1.001769813857518</v>
      </c>
      <c r="L6" s="101">
        <f ca="1">_xll.qlYieldTSZeroRate($F$8,H6,$F$21)</f>
        <v>-2.6343310104419058E-3</v>
      </c>
      <c r="R6" s="86" t="s">
        <v>142</v>
      </c>
      <c r="S6" t="e">
        <f>_xll.qlRateHelperImpliedQuote(R6)</f>
        <v>#NUM!</v>
      </c>
      <c r="T6" t="e">
        <f>_xll.qlSwapRateHelperForwardStart(R6)</f>
        <v>#NUM!</v>
      </c>
    </row>
    <row r="7" spans="1:20" ht="12" thickBot="1" x14ac:dyDescent="0.25">
      <c r="A7" s="86" t="str">
        <v>EO6M_Depo1M#0005</v>
      </c>
      <c r="B7" s="87">
        <f t="shared" si="0"/>
        <v>5</v>
      </c>
      <c r="C7" s="88" t="str">
        <f ca="1"/>
        <v>EO6M_FRA3x9</v>
      </c>
      <c r="D7" s="79"/>
      <c r="E7" s="79"/>
      <c r="F7" s="79"/>
      <c r="G7" s="79"/>
      <c r="H7" s="84">
        <f ca="1"/>
        <v>43034</v>
      </c>
      <c r="I7" s="85">
        <f ca="1"/>
        <v>1.0019906475010825</v>
      </c>
      <c r="J7" s="85">
        <f ca="1"/>
        <v>1.0019906475010825</v>
      </c>
      <c r="K7">
        <f ca="1">_xll.qlYieldTSDiscount($F$8,H7)</f>
        <v>1.0019906475010825</v>
      </c>
      <c r="L7" s="101">
        <f ca="1">_xll.qlYieldTSZeroRate($F$8,H7,$F$21)</f>
        <v>-2.6395058457018665E-3</v>
      </c>
      <c r="R7" s="86" t="s">
        <v>143</v>
      </c>
      <c r="S7" t="e">
        <f>_xll.qlRateHelperImpliedQuote(R7)</f>
        <v>#NUM!</v>
      </c>
      <c r="T7" t="e">
        <f>_xll.qlSwapRateHelperForwardStart(R7)</f>
        <v>#NUM!</v>
      </c>
    </row>
    <row r="8" spans="1:20" x14ac:dyDescent="0.2">
      <c r="A8" s="86" t="str">
        <v>EO6M_Depo2M#0005</v>
      </c>
      <c r="B8" s="87">
        <f t="shared" si="0"/>
        <v>6</v>
      </c>
      <c r="C8" s="88" t="str">
        <f ca="1"/>
        <v>EO6M_FRA4x10</v>
      </c>
      <c r="D8" s="79"/>
      <c r="E8" s="41" t="s">
        <v>121</v>
      </c>
      <c r="F8" s="42" t="str">
        <f ca="1">_xll.qlPiecewiseYieldCurve(F10,F11,F12,_xll.ohPack(C3:C43),F13,,,F16,F14,F15,F17,F18)</f>
        <v>EO6M#0039</v>
      </c>
      <c r="G8" s="79"/>
      <c r="H8" s="84">
        <f ca="1"/>
        <v>43066</v>
      </c>
      <c r="I8" s="85">
        <f ca="1"/>
        <v>1.0020931893384017</v>
      </c>
      <c r="J8" s="85">
        <f ca="1"/>
        <v>1.0020931893384017</v>
      </c>
      <c r="K8">
        <f ca="1">_xll.qlYieldTSDiscount($F$8,H8)</f>
        <v>1.0020931893384017</v>
      </c>
      <c r="L8" s="101">
        <f ca="1">_xll.qlYieldTSZeroRate($F$8,H8,$F$21)</f>
        <v>-2.4860443306266833E-3</v>
      </c>
      <c r="R8" s="86" t="s">
        <v>144</v>
      </c>
      <c r="S8" t="e">
        <f>_xll.qlRateHelperImpliedQuote(R8)</f>
        <v>#NUM!</v>
      </c>
      <c r="T8" t="e">
        <f>_xll.qlSwapRateHelperForwardStart(R8)</f>
        <v>#NUM!</v>
      </c>
    </row>
    <row r="9" spans="1:20" ht="12" thickBot="1" x14ac:dyDescent="0.25">
      <c r="A9" s="86" t="str">
        <v>EO6M_Depo3M#0005</v>
      </c>
      <c r="B9" s="87">
        <f t="shared" si="0"/>
        <v>7</v>
      </c>
      <c r="C9" s="88" t="str">
        <f ca="1"/>
        <v>EO6M_FRA5x11</v>
      </c>
      <c r="D9" s="79"/>
      <c r="E9" s="43" t="s">
        <v>7</v>
      </c>
      <c r="F9" s="44" t="str">
        <f ca="1">_xll.ohRangeRetrieveError(F8)</f>
        <v/>
      </c>
      <c r="G9" s="79"/>
      <c r="H9" s="84">
        <f ca="1"/>
        <v>43096</v>
      </c>
      <c r="I9" s="85">
        <f ca="1"/>
        <v>1.0021765392215198</v>
      </c>
      <c r="J9" s="85">
        <f ca="1"/>
        <v>1.0021765392215198</v>
      </c>
      <c r="K9">
        <f ca="1">_xll.qlYieldTSDiscount($F$8,H9)</f>
        <v>1.0021765392215198</v>
      </c>
      <c r="L9" s="101">
        <f ca="1">_xll.qlYieldTSZeroRate($F$8,H9,$F$21)</f>
        <v>-2.3548175277962853E-3</v>
      </c>
      <c r="Q9" t="str">
        <f ca="1">F9</f>
        <v/>
      </c>
      <c r="R9" s="86" t="s">
        <v>145</v>
      </c>
      <c r="S9" t="e">
        <f>_xll.qlRateHelperImpliedQuote(R9)</f>
        <v>#NUM!</v>
      </c>
      <c r="T9" t="e">
        <f>_xll.qlSwapRateHelperForwardStart(R9)</f>
        <v>#NUM!</v>
      </c>
    </row>
    <row r="10" spans="1:20" x14ac:dyDescent="0.2">
      <c r="A10" s="86" t="str">
        <v>EO6M_Depo6M#0005</v>
      </c>
      <c r="B10" s="87">
        <f t="shared" si="0"/>
        <v>8</v>
      </c>
      <c r="C10" s="88" t="str">
        <f ca="1"/>
        <v>EO6M_FRA6x12</v>
      </c>
      <c r="D10" s="79"/>
      <c r="E10" s="41" t="s">
        <v>1</v>
      </c>
      <c r="F10" s="45" t="s">
        <v>185</v>
      </c>
      <c r="G10" s="79"/>
      <c r="H10" s="84">
        <f ca="1"/>
        <v>43126</v>
      </c>
      <c r="I10" s="85">
        <f ca="1"/>
        <v>1.0022564724156657</v>
      </c>
      <c r="J10" s="85">
        <f ca="1"/>
        <v>1.0022564724156657</v>
      </c>
      <c r="K10">
        <f ca="1">_xll.qlYieldTSDiscount($F$8,H10)</f>
        <v>1.0022564724156657</v>
      </c>
      <c r="L10" s="101">
        <f ca="1">_xll.qlYieldTSZeroRate($F$8,H10,$F$21)</f>
        <v>-2.2416474055682446E-3</v>
      </c>
      <c r="R10" s="86" t="s">
        <v>146</v>
      </c>
      <c r="S10" t="e">
        <f>_xll.qlRateHelperImpliedQuote(R10)</f>
        <v>#NUM!</v>
      </c>
      <c r="T10" t="e">
        <f>_xll.qlSwapRateHelperForwardStart(R10)</f>
        <v>#NUM!</v>
      </c>
    </row>
    <row r="11" spans="1:20" x14ac:dyDescent="0.2">
      <c r="A11" s="86" t="str">
        <v>EO6M_FRA1x7#0005</v>
      </c>
      <c r="B11" s="87">
        <f t="shared" si="0"/>
        <v>9</v>
      </c>
      <c r="C11" s="88" t="str">
        <f ca="1"/>
        <v>EO6M_FRA12x18</v>
      </c>
      <c r="D11" s="79"/>
      <c r="E11" s="46" t="s">
        <v>2</v>
      </c>
      <c r="F11" s="47">
        <v>0</v>
      </c>
      <c r="G11" s="79"/>
      <c r="H11" s="84">
        <f ca="1"/>
        <v>43307</v>
      </c>
      <c r="I11" s="85">
        <f ca="1"/>
        <v>1.0029574003388637</v>
      </c>
      <c r="J11" s="85">
        <f ca="1"/>
        <v>1.0029574003388637</v>
      </c>
      <c r="K11">
        <f ca="1">_xll.qlYieldTSDiscount($F$8,H11)</f>
        <v>1.0029574003388637</v>
      </c>
      <c r="L11" s="101">
        <f ca="1">_xll.qlYieldTSZeroRate($F$8,H11,$F$21)</f>
        <v>-1.9668943051091045E-3</v>
      </c>
      <c r="R11" s="86" t="s">
        <v>147</v>
      </c>
      <c r="S11" t="e">
        <f>_xll.qlRateHelperImpliedQuote(R11)</f>
        <v>#NUM!</v>
      </c>
      <c r="T11" t="e">
        <f>_xll.qlSwapRateHelperForwardStart(R11)</f>
        <v>#NUM!</v>
      </c>
    </row>
    <row r="12" spans="1:20" x14ac:dyDescent="0.2">
      <c r="A12" s="86" t="str">
        <v>EO6M_FRA2x8#0005</v>
      </c>
      <c r="B12" s="87">
        <f t="shared" si="0"/>
        <v>10</v>
      </c>
      <c r="C12" s="88" t="str">
        <f ca="1"/>
        <v>EO6M_SWAP2Y</v>
      </c>
      <c r="D12" s="79"/>
      <c r="E12" s="46" t="s">
        <v>3</v>
      </c>
      <c r="F12" s="47" t="s">
        <v>98</v>
      </c>
      <c r="G12" s="79"/>
      <c r="H12" s="84">
        <f ca="1"/>
        <v>43493</v>
      </c>
      <c r="I12" s="85">
        <f ca="1"/>
        <v>1.0033197671575711</v>
      </c>
      <c r="J12" s="85">
        <f ca="1"/>
        <v>1.0033197671575711</v>
      </c>
      <c r="K12">
        <f ca="1">_xll.qlYieldTSDiscount($F$8,H12)</f>
        <v>1.0033197671575711</v>
      </c>
      <c r="L12" s="101">
        <f ca="1">_xll.qlYieldTSZeroRate($F$8,H12,$F$21)</f>
        <v>-1.6481037424881059E-3</v>
      </c>
      <c r="R12" s="86" t="s">
        <v>148</v>
      </c>
      <c r="S12" t="e">
        <f>_xll.qlRateHelperImpliedQuote(R12)</f>
        <v>#NUM!</v>
      </c>
      <c r="T12" t="e">
        <f>_xll.qlSwapRateHelperForwardStart(R12)</f>
        <v>#NUM!</v>
      </c>
    </row>
    <row r="13" spans="1:20" x14ac:dyDescent="0.2">
      <c r="A13" s="86" t="str">
        <v>EO6M_FRA3x9#0005</v>
      </c>
      <c r="B13" s="87">
        <f t="shared" si="0"/>
        <v>11</v>
      </c>
      <c r="C13" s="88" t="str">
        <f ca="1"/>
        <v>EO6M_SWAP3Y</v>
      </c>
      <c r="D13" s="79"/>
      <c r="E13" s="46" t="s">
        <v>4</v>
      </c>
      <c r="F13" s="47"/>
      <c r="G13" s="79"/>
      <c r="H13" s="84">
        <f ca="1"/>
        <v>43857</v>
      </c>
      <c r="I13" s="85">
        <f ca="1"/>
        <v>1.0024649457055343</v>
      </c>
      <c r="J13" s="85">
        <f ca="1"/>
        <v>1.0024649457055343</v>
      </c>
      <c r="K13">
        <f ca="1">_xll.qlYieldTSDiscount($F$8,H13)</f>
        <v>1.0024649457055343</v>
      </c>
      <c r="L13" s="101">
        <f ca="1">_xll.qlYieldTSZeroRate($F$8,H13,$F$21)</f>
        <v>-8.1839539083344924E-4</v>
      </c>
      <c r="R13" s="86" t="s">
        <v>149</v>
      </c>
      <c r="S13" t="e">
        <f>_xll.qlRateHelperImpliedQuote(R13)</f>
        <v>#NUM!</v>
      </c>
      <c r="T13" t="e">
        <f>_xll.qlSwapRateHelperForwardStart(R13)</f>
        <v>#NUM!</v>
      </c>
    </row>
    <row r="14" spans="1:20" x14ac:dyDescent="0.2">
      <c r="A14" s="86" t="str">
        <v>EO6M_FRA4x10#0005</v>
      </c>
      <c r="B14" s="87">
        <f t="shared" si="0"/>
        <v>12</v>
      </c>
      <c r="C14" s="88" t="str">
        <f ca="1"/>
        <v>EO6M_SWAP4Y</v>
      </c>
      <c r="D14" s="79"/>
      <c r="E14" s="46" t="s">
        <v>122</v>
      </c>
      <c r="F14" s="47" t="str">
        <f>'Bootstrapping EONIA'!F14</f>
        <v>Discount</v>
      </c>
      <c r="G14" s="79"/>
      <c r="H14" s="84">
        <f ca="1"/>
        <v>44222</v>
      </c>
      <c r="I14" s="85">
        <f ca="1"/>
        <v>0.99923677368268682</v>
      </c>
      <c r="J14" s="85">
        <f ca="1"/>
        <v>0.99923677368268682</v>
      </c>
      <c r="K14">
        <f ca="1">_xll.qlYieldTSDiscount($F$8,H14)</f>
        <v>0.99923677368268682</v>
      </c>
      <c r="L14" s="101">
        <f ca="1">_xll.qlYieldTSZeroRate($F$8,H14,$F$21)</f>
        <v>1.9048801696662038E-4</v>
      </c>
    </row>
    <row r="15" spans="1:20" x14ac:dyDescent="0.2">
      <c r="A15" s="86" t="str">
        <v>EO6M_FRA5x11#0005</v>
      </c>
      <c r="B15" s="87">
        <f t="shared" si="0"/>
        <v>13</v>
      </c>
      <c r="C15" s="88" t="str">
        <f ca="1"/>
        <v>EO6M_SWAP5Y</v>
      </c>
      <c r="D15" s="79"/>
      <c r="E15" s="46" t="s">
        <v>124</v>
      </c>
      <c r="F15" s="47" t="str">
        <f>'Bootstrapping EONIA'!F15</f>
        <v>LogLinear</v>
      </c>
      <c r="G15" s="79"/>
      <c r="H15" s="84">
        <f ca="1"/>
        <v>44587</v>
      </c>
      <c r="I15" s="85">
        <f ca="1"/>
        <v>0.99331190224208887</v>
      </c>
      <c r="J15" s="85">
        <f ca="1"/>
        <v>0.99331190224208887</v>
      </c>
      <c r="K15">
        <f ca="1">_xll.qlYieldTSDiscount($F$8,H15)</f>
        <v>0.99331190224208887</v>
      </c>
      <c r="L15" s="101">
        <f ca="1">_xll.qlYieldTSZeroRate($F$8,H15,$F$21)</f>
        <v>1.3399100696267537E-3</v>
      </c>
    </row>
    <row r="16" spans="1:20" x14ac:dyDescent="0.2">
      <c r="A16" s="86" t="str">
        <v>EO6M_FRA6x12#0005</v>
      </c>
      <c r="B16" s="87">
        <f t="shared" si="0"/>
        <v>14</v>
      </c>
      <c r="C16" s="88" t="str">
        <f ca="1"/>
        <v>EO6M_SWAP6Y</v>
      </c>
      <c r="D16" s="79"/>
      <c r="E16" s="46" t="s">
        <v>126</v>
      </c>
      <c r="F16" s="47"/>
      <c r="G16" s="79"/>
      <c r="H16" s="84">
        <f ca="1"/>
        <v>44952</v>
      </c>
      <c r="I16" s="85">
        <f ca="1"/>
        <v>0.98454204752052799</v>
      </c>
      <c r="J16" s="85">
        <f ca="1"/>
        <v>0.98454204752052799</v>
      </c>
      <c r="K16">
        <f ca="1">_xll.qlYieldTSDiscount($F$8,H16)</f>
        <v>0.98454204752052799</v>
      </c>
      <c r="L16" s="101">
        <f ca="1">_xll.qlYieldTSZeroRate($F$8,H16,$F$21)</f>
        <v>2.5928934739522977E-3</v>
      </c>
      <c r="O16" t="str" cm="1">
        <f t="array" aca="1" ref="O16" ca="1">_xll.ohRangeRetrieveError(H2)</f>
        <v/>
      </c>
    </row>
    <row r="17" spans="1:19" x14ac:dyDescent="0.2">
      <c r="A17" s="86" t="str">
        <v>EO6M_FRA12x18#0005</v>
      </c>
      <c r="B17" s="87">
        <f t="shared" si="0"/>
        <v>15</v>
      </c>
      <c r="C17" s="88" t="str">
        <f ca="1"/>
        <v>EO6M_SWAP7Y</v>
      </c>
      <c r="D17" s="79"/>
      <c r="E17" s="46" t="s">
        <v>5</v>
      </c>
      <c r="F17" s="47"/>
      <c r="G17" s="79"/>
      <c r="H17" s="84">
        <f ca="1"/>
        <v>45317</v>
      </c>
      <c r="I17" s="85">
        <f ca="1"/>
        <v>0.97288757488214705</v>
      </c>
      <c r="J17" s="85">
        <f ca="1"/>
        <v>0.97288757488214705</v>
      </c>
      <c r="K17">
        <f ca="1">_xll.qlYieldTSDiscount($F$8,H17)</f>
        <v>0.97288757488214705</v>
      </c>
      <c r="L17" s="101">
        <f ca="1">_xll.qlYieldTSZeroRate($F$8,H17,$F$21)</f>
        <v>3.922073154636465E-3</v>
      </c>
      <c r="P17" t="str">
        <f ca="1">F9</f>
        <v/>
      </c>
    </row>
    <row r="18" spans="1:19" ht="12" thickBot="1" x14ac:dyDescent="0.25">
      <c r="A18" s="86" t="str">
        <f ca="1"/>
        <v>EO6M_SWAP2Y#0046</v>
      </c>
      <c r="B18" s="87">
        <f t="shared" si="0"/>
        <v>16</v>
      </c>
      <c r="C18" s="88" t="str">
        <f ca="1"/>
        <v>EO6M_SWAP8Y</v>
      </c>
      <c r="D18" s="79"/>
      <c r="E18" s="43" t="s">
        <v>6</v>
      </c>
      <c r="F18" s="48" t="b">
        <f ca="1">'EUR RateHelpers'!$X$1</f>
        <v>1</v>
      </c>
      <c r="G18" s="79"/>
      <c r="H18" s="84">
        <f ca="1"/>
        <v>45684</v>
      </c>
      <c r="I18" s="85">
        <f ca="1"/>
        <v>0.9588980495851499</v>
      </c>
      <c r="J18" s="85">
        <f ca="1"/>
        <v>0.9588980495851499</v>
      </c>
      <c r="K18">
        <f ca="1">_xll.qlYieldTSDiscount($F$8,H18)</f>
        <v>0.9588980495851499</v>
      </c>
      <c r="L18" s="101">
        <f ca="1">_xll.qlYieldTSZeroRate($F$8,H18,$F$21)</f>
        <v>5.2373467950875222E-3</v>
      </c>
    </row>
    <row r="19" spans="1:19" ht="12" thickBot="1" x14ac:dyDescent="0.25">
      <c r="A19" s="86" t="str">
        <f ca="1"/>
        <v>EO6M_SWAP3Y#0046</v>
      </c>
      <c r="B19" s="87">
        <f t="shared" si="0"/>
        <v>17</v>
      </c>
      <c r="C19" s="88" t="str">
        <f ca="1"/>
        <v>EO6M_SWAP9Y</v>
      </c>
      <c r="D19" s="79"/>
      <c r="E19" s="79"/>
      <c r="F19" s="79"/>
      <c r="G19" s="79"/>
      <c r="H19" s="84">
        <f ca="1"/>
        <v>46048</v>
      </c>
      <c r="I19" s="85">
        <f ca="1"/>
        <v>0.94308725330519727</v>
      </c>
      <c r="J19" s="85">
        <f ca="1"/>
        <v>0.94308725330519727</v>
      </c>
      <c r="K19">
        <f ca="1">_xll.qlYieldTSDiscount($F$8,H19)</f>
        <v>0.94308725330519727</v>
      </c>
      <c r="L19" s="101">
        <f ca="1">_xll.qlYieldTSZeroRate($F$8,H19,$F$21)</f>
        <v>6.5028010767362266E-3</v>
      </c>
    </row>
    <row r="20" spans="1:19" x14ac:dyDescent="0.2">
      <c r="A20" s="86" t="str">
        <f ca="1"/>
        <v>EO6M_SWAP4Y#0046</v>
      </c>
      <c r="B20" s="87">
        <f t="shared" si="0"/>
        <v>18</v>
      </c>
      <c r="C20" s="88" t="str">
        <f ca="1"/>
        <v>EO6M_SWAP10Y</v>
      </c>
      <c r="D20" s="79"/>
      <c r="E20" s="49" t="s">
        <v>127</v>
      </c>
      <c r="F20" s="90" t="str">
        <f ca="1">_xll.qlTermStructureCalendar($F$8)</f>
        <v>TARGET</v>
      </c>
      <c r="G20" s="79"/>
      <c r="H20" s="84">
        <f ca="1"/>
        <v>46413</v>
      </c>
      <c r="I20" s="85">
        <f ca="1"/>
        <v>0.92613411266048917</v>
      </c>
      <c r="J20" s="85">
        <f ca="1"/>
        <v>0.92613411266048917</v>
      </c>
      <c r="K20">
        <f ca="1">_xll.qlYieldTSDiscount($F$8,H20)</f>
        <v>0.92613411266048917</v>
      </c>
      <c r="L20" s="101">
        <f ca="1">_xll.qlYieldTSZeroRate($F$8,H20,$F$21)</f>
        <v>7.6652222300502976E-3</v>
      </c>
      <c r="P20" t="s">
        <v>221</v>
      </c>
    </row>
    <row r="21" spans="1:19" x14ac:dyDescent="0.2">
      <c r="A21" s="86" t="str">
        <f ca="1"/>
        <v>EO6M_SWAP5Y#0046</v>
      </c>
      <c r="B21" s="87">
        <f t="shared" si="0"/>
        <v>19</v>
      </c>
      <c r="C21" s="88" t="str">
        <f ca="1"/>
        <v>EO6M_SWAP11Y</v>
      </c>
      <c r="D21" s="79"/>
      <c r="E21" s="91" t="s">
        <v>128</v>
      </c>
      <c r="F21" s="92" t="str">
        <f ca="1">_xll.qlTermStructureDayCounter($F$8)</f>
        <v>Actual/365 (Fixed)</v>
      </c>
      <c r="G21" s="79"/>
      <c r="H21" s="84">
        <f ca="1"/>
        <v>46778</v>
      </c>
      <c r="I21" s="85">
        <f ca="1"/>
        <v>0.90852546798462852</v>
      </c>
      <c r="J21" s="85">
        <f ca="1"/>
        <v>0.90852546798462852</v>
      </c>
      <c r="K21">
        <f ca="1">_xll.qlYieldTSDiscount($F$8,H21)</f>
        <v>0.90852546798462852</v>
      </c>
      <c r="L21" s="101">
        <f ca="1">_xll.qlYieldTSZeroRate($F$8,H21,$F$21)</f>
        <v>8.7124436091101549E-3</v>
      </c>
    </row>
    <row r="22" spans="1:19" x14ac:dyDescent="0.2">
      <c r="A22" s="86" t="str">
        <f ca="1"/>
        <v>EO6M_SWAP6Y#0046</v>
      </c>
      <c r="B22" s="87">
        <f t="shared" si="0"/>
        <v>20</v>
      </c>
      <c r="C22" s="88" t="str">
        <f ca="1"/>
        <v>EO6M_SWAP12Y</v>
      </c>
      <c r="D22" s="79"/>
      <c r="E22" s="91" t="s">
        <v>129</v>
      </c>
      <c r="F22" s="93">
        <f ca="1">_xll.qlTermStructureReferenceDate($F$8)</f>
        <v>42759</v>
      </c>
      <c r="G22" s="79"/>
      <c r="H22" s="84">
        <f ca="1"/>
        <v>47144</v>
      </c>
      <c r="I22" s="85">
        <f ca="1"/>
        <v>0.89064242546699268</v>
      </c>
      <c r="J22" s="85">
        <f ca="1"/>
        <v>0.89064242546699268</v>
      </c>
      <c r="K22">
        <f ca="1">_xll.qlYieldTSDiscount($F$8,H22)</f>
        <v>0.89064242546699268</v>
      </c>
      <c r="L22" s="101">
        <f ca="1">_xll.qlYieldTSZeroRate($F$8,H22,$F$21)</f>
        <v>9.6400162718730011E-3</v>
      </c>
      <c r="O22" s="106" t="e">
        <f ca="1">_xll.qlYieldTSDiscount($F$8,P22)</f>
        <v>#NUM!</v>
      </c>
      <c r="P22" s="102">
        <v>42200</v>
      </c>
      <c r="Q22">
        <v>2</v>
      </c>
      <c r="R22">
        <v>-0.14038825595830001</v>
      </c>
      <c r="S22">
        <v>1.0000076925368</v>
      </c>
    </row>
    <row r="23" spans="1:19" x14ac:dyDescent="0.2">
      <c r="A23" s="86" t="str">
        <f ca="1"/>
        <v>EO6M_SWAP7Y#0046</v>
      </c>
      <c r="B23" s="87">
        <f t="shared" si="0"/>
        <v>21</v>
      </c>
      <c r="C23" s="88" t="str">
        <f ca="1"/>
        <v>EO6M_SWAP13Y</v>
      </c>
      <c r="D23" s="79"/>
      <c r="E23" s="91" t="s">
        <v>130</v>
      </c>
      <c r="F23" s="93">
        <f ca="1">_xll.qlTermStructureMaxDate($F$8)</f>
        <v>66502</v>
      </c>
      <c r="G23" s="79"/>
      <c r="H23" s="84">
        <f ca="1"/>
        <v>47511</v>
      </c>
      <c r="I23" s="85">
        <f ca="1"/>
        <v>0.87292157092322054</v>
      </c>
      <c r="J23" s="85">
        <f ca="1"/>
        <v>0.87292157092322054</v>
      </c>
      <c r="K23">
        <f ca="1">_xll.qlYieldTSDiscount($F$8,H23)</f>
        <v>0.87292157092322054</v>
      </c>
      <c r="L23" s="101">
        <f ca="1">_xll.qlYieldTSZeroRate($F$8,H23,$F$21)</f>
        <v>1.0439181713021205E-2</v>
      </c>
      <c r="O23" s="106" t="e">
        <f ca="1">_xll.qlYieldTSDiscount($F$8,P23)</f>
        <v>#NUM!</v>
      </c>
      <c r="P23" s="102">
        <v>42207</v>
      </c>
      <c r="Q23">
        <v>9</v>
      </c>
      <c r="R23">
        <v>-9.0511335174800006E-2</v>
      </c>
      <c r="S23">
        <v>1.0000223181125001</v>
      </c>
    </row>
    <row r="24" spans="1:19" x14ac:dyDescent="0.2">
      <c r="A24" s="86" t="str">
        <f ca="1"/>
        <v>EO6M_SWAP8Y#0042</v>
      </c>
      <c r="B24" s="87">
        <f t="shared" si="0"/>
        <v>22</v>
      </c>
      <c r="C24" s="88" t="str">
        <f ca="1"/>
        <v>EO6M_SWAP14Y</v>
      </c>
      <c r="D24" s="79"/>
      <c r="E24" s="94" t="s">
        <v>131</v>
      </c>
      <c r="F24" s="95">
        <f ca="1">_xll.qlTermStructureSettlementDays($F$8)</f>
        <v>0</v>
      </c>
      <c r="G24" s="79"/>
      <c r="H24" s="84">
        <f ca="1"/>
        <v>47875</v>
      </c>
      <c r="I24" s="85">
        <f ca="1"/>
        <v>0.85546471158234716</v>
      </c>
      <c r="J24" s="85">
        <f ca="1"/>
        <v>0.85546471158234716</v>
      </c>
      <c r="K24">
        <f ca="1">_xll.qlYieldTSDiscount($F$8,H24)</f>
        <v>0.85546471158234716</v>
      </c>
      <c r="L24" s="101">
        <f ca="1">_xll.qlYieldTSZeroRate($F$8,H24,$F$21)</f>
        <v>1.1137667887858298E-2</v>
      </c>
      <c r="N24" s="101" t="e">
        <f ca="1">_xll.qlYieldTSZeroRate($F$8,P24,$F$21)-R24/100</f>
        <v>#NUM!</v>
      </c>
      <c r="O24" s="106" t="e">
        <f ca="1">_xll.qlYieldTSDiscount($F$8,P24)</f>
        <v>#NUM!</v>
      </c>
      <c r="P24" s="102">
        <v>42214</v>
      </c>
      <c r="Q24">
        <v>16</v>
      </c>
      <c r="R24">
        <v>-8.5165220417699999E-2</v>
      </c>
      <c r="S24">
        <v>1.0000373333962</v>
      </c>
    </row>
    <row r="25" spans="1:19" x14ac:dyDescent="0.2">
      <c r="A25" s="86" t="str">
        <f ca="1"/>
        <v>EO6M_SWAP9Y#0042</v>
      </c>
      <c r="B25" s="87">
        <f t="shared" si="0"/>
        <v>23</v>
      </c>
      <c r="C25" s="88" t="str">
        <f ca="1"/>
        <v>EO6M_SWAP15Y</v>
      </c>
      <c r="D25" s="79"/>
      <c r="E25" s="96" t="s">
        <v>132</v>
      </c>
      <c r="F25" s="97">
        <f ca="1">_xll.qlYieldTSDiscount($F$8,$F$22)</f>
        <v>1</v>
      </c>
      <c r="G25" s="79"/>
      <c r="H25" s="84">
        <f ca="1"/>
        <v>48239</v>
      </c>
      <c r="I25" s="85">
        <f ca="1"/>
        <v>0.83848675542146489</v>
      </c>
      <c r="J25" s="85">
        <f ca="1"/>
        <v>0.83848675542146489</v>
      </c>
      <c r="K25">
        <f ca="1">_xll.qlYieldTSDiscount($F$8,H25)</f>
        <v>0.83848675542146489</v>
      </c>
      <c r="L25" s="101">
        <f ca="1">_xll.qlYieldTSZeroRate($F$8,H25,$F$21)</f>
        <v>1.1733051111854957E-2</v>
      </c>
      <c r="N25" s="101" t="e">
        <f ca="1">_xll.qlYieldTSZeroRate($F$8,P25,$F$21)-R25/100</f>
        <v>#NUM!</v>
      </c>
      <c r="O25" s="106" t="e">
        <f ca="1">_xll.qlYieldTSDiscount($F$8,P25)</f>
        <v>#NUM!</v>
      </c>
      <c r="P25" s="102">
        <v>42221</v>
      </c>
      <c r="Q25">
        <v>23</v>
      </c>
      <c r="R25">
        <v>-7.8136651573899998E-2</v>
      </c>
      <c r="S25">
        <v>1.0000492380063</v>
      </c>
    </row>
    <row r="26" spans="1:19" x14ac:dyDescent="0.2">
      <c r="A26" s="86" t="str">
        <f ca="1"/>
        <v>EO6M_SWAP10Y#0046</v>
      </c>
      <c r="B26" s="87">
        <f t="shared" si="0"/>
        <v>24</v>
      </c>
      <c r="C26" s="88" t="str">
        <f ca="1"/>
        <v>EO6M_SWAP16Y</v>
      </c>
      <c r="D26" s="79"/>
      <c r="E26" s="91" t="s">
        <v>133</v>
      </c>
      <c r="F26" s="98">
        <f ca="1">_xll.qlYieldTSForwardRate($F$8,$F$22,$F$22+90,$F$21,"simple","annual")</f>
        <v>-3.3329584664942664E-3</v>
      </c>
      <c r="G26" s="79"/>
      <c r="H26" s="84">
        <f ca="1"/>
        <v>48605</v>
      </c>
      <c r="I26" s="85">
        <f ca="1"/>
        <v>0.82208380455865482</v>
      </c>
      <c r="J26" s="85">
        <f ca="1"/>
        <v>0.82208380455865482</v>
      </c>
      <c r="K26">
        <f ca="1">_xll.qlYieldTSDiscount($F$8,H26)</f>
        <v>0.82208380455865482</v>
      </c>
      <c r="L26" s="101">
        <f ca="1">_xll.qlYieldTSZeroRate($F$8,H26,$F$21)</f>
        <v>1.2231991454547071E-2</v>
      </c>
      <c r="N26" s="101" t="e">
        <f ca="1">_xll.qlYieldTSZeroRate($F$8,P26,$F$21)-R26/100</f>
        <v>#NUM!</v>
      </c>
      <c r="O26" s="106" t="e">
        <f ca="1">_xll.qlYieldTSDiscount($F$8,P26)</f>
        <v>#NUM!</v>
      </c>
      <c r="P26" s="102">
        <v>42233</v>
      </c>
      <c r="Q26">
        <v>35</v>
      </c>
      <c r="R26">
        <v>-7.8018317694500003E-2</v>
      </c>
      <c r="S26">
        <v>1.000074814884</v>
      </c>
    </row>
    <row r="27" spans="1:19" ht="12" thickBot="1" x14ac:dyDescent="0.25">
      <c r="A27" s="86" t="str">
        <f ca="1"/>
        <v>EO6M_SWAP11Y#0042</v>
      </c>
      <c r="B27" s="87">
        <f t="shared" si="0"/>
        <v>25</v>
      </c>
      <c r="C27" s="88" t="str">
        <f ca="1"/>
        <v>EO6M_SWAP17Y</v>
      </c>
      <c r="D27" s="79"/>
      <c r="E27" s="99" t="s">
        <v>134</v>
      </c>
      <c r="F27" s="100">
        <f ca="1">_xll.qlYieldTSZeroRate($F$8,$F$22,F21,"simple","annual")</f>
        <v>-3.4380540847589458E-3</v>
      </c>
      <c r="G27" s="79"/>
      <c r="H27" s="84">
        <f ca="1"/>
        <v>48970</v>
      </c>
      <c r="I27" s="85">
        <f ca="1"/>
        <v>0.80636084173523903</v>
      </c>
      <c r="J27" s="85">
        <f ca="1"/>
        <v>0.80636084173523903</v>
      </c>
      <c r="K27">
        <f ca="1">_xll.qlYieldTSDiscount($F$8,H27)</f>
        <v>0.80636084173523903</v>
      </c>
      <c r="L27" s="101">
        <f ca="1">_xll.qlYieldTSZeroRate($F$8,H27,$F$21)</f>
        <v>1.2648001755444421E-2</v>
      </c>
      <c r="N27" s="101" t="e">
        <f ca="1">_xll.qlYieldTSZeroRate($F$8,P27,$F$21)-R27/100</f>
        <v>#NUM!</v>
      </c>
      <c r="O27" s="106" t="e">
        <f ca="1">_xll.qlYieldTSDiscount($F$8,P27)</f>
        <v>#NUM!</v>
      </c>
      <c r="P27" s="102">
        <v>42262</v>
      </c>
      <c r="Q27">
        <v>64</v>
      </c>
      <c r="R27">
        <v>-4.2956663222000001E-2</v>
      </c>
      <c r="S27">
        <v>1.0000753241092</v>
      </c>
    </row>
    <row r="28" spans="1:19" x14ac:dyDescent="0.2">
      <c r="A28" s="86" t="str">
        <f ca="1"/>
        <v>EO6M_SWAP12Y#0042</v>
      </c>
      <c r="B28" s="87">
        <f t="shared" si="0"/>
        <v>26</v>
      </c>
      <c r="C28" s="88" t="str">
        <f ca="1"/>
        <v>EO6M_SWAP18Y</v>
      </c>
      <c r="D28" s="79"/>
      <c r="E28" s="79"/>
      <c r="F28" s="79"/>
      <c r="G28" s="79"/>
      <c r="H28" s="84">
        <f ca="1"/>
        <v>49335</v>
      </c>
      <c r="I28" s="85">
        <f ca="1"/>
        <v>0.7913526039568638</v>
      </c>
      <c r="J28" s="85">
        <f ca="1"/>
        <v>0.7913526039568638</v>
      </c>
      <c r="K28">
        <f ca="1">_xll.qlYieldTSDiscount($F$8,H28)</f>
        <v>0.7913526039568638</v>
      </c>
      <c r="L28" s="101">
        <f ca="1">_xll.qlYieldTSZeroRate($F$8,H28,$F$21)</f>
        <v>1.2988784800704561E-2</v>
      </c>
      <c r="N28" s="101" t="e">
        <f ca="1">_xll.qlYieldTSZeroRate($F$8,P28,$F$21)-R28/100</f>
        <v>#NUM!</v>
      </c>
      <c r="O28" s="106" t="e">
        <f ca="1">_xll.qlYieldTSDiscount($F$8,P28)</f>
        <v>#NUM!</v>
      </c>
      <c r="P28" s="102">
        <v>42292</v>
      </c>
      <c r="Q28">
        <v>94</v>
      </c>
      <c r="R28">
        <v>-2.2263110612400001E-2</v>
      </c>
      <c r="S28">
        <v>1.0000573367779</v>
      </c>
    </row>
    <row r="29" spans="1:19" x14ac:dyDescent="0.2">
      <c r="A29" s="86" t="str">
        <f ca="1"/>
        <v>EO6M_SWAP13Y#0046</v>
      </c>
      <c r="B29" s="87">
        <f t="shared" si="0"/>
        <v>27</v>
      </c>
      <c r="C29" s="88" t="str">
        <f ca="1"/>
        <v>EO6M_SWAP19Y</v>
      </c>
      <c r="D29" s="79"/>
      <c r="E29" s="79"/>
      <c r="F29" s="79"/>
      <c r="G29" s="79"/>
      <c r="H29" s="84">
        <f ca="1"/>
        <v>49702</v>
      </c>
      <c r="I29" s="85">
        <f ca="1"/>
        <v>0.77683100786186665</v>
      </c>
      <c r="J29" s="85">
        <f ca="1"/>
        <v>0.77683100786186665</v>
      </c>
      <c r="K29">
        <f ca="1">_xll.qlYieldTSDiscount($F$8,H29)</f>
        <v>0.77683100786186665</v>
      </c>
      <c r="L29" s="101">
        <f ca="1">_xll.qlYieldTSZeroRate($F$8,H29,$F$21)</f>
        <v>1.3275866708860322E-2</v>
      </c>
      <c r="N29" s="101" t="e">
        <f ca="1">_xll.qlYieldTSZeroRate($F$8,P29,$F$21)-R29/100</f>
        <v>#NUM!</v>
      </c>
      <c r="O29" s="106" t="e">
        <f ca="1">_xll.qlYieldTSDiscount($F$8,P29)</f>
        <v>#NUM!</v>
      </c>
      <c r="P29" s="102">
        <v>42324</v>
      </c>
      <c r="Q29">
        <v>126</v>
      </c>
      <c r="R29">
        <v>1.4226657698E-2</v>
      </c>
      <c r="S29">
        <v>0.99995089000399995</v>
      </c>
    </row>
    <row r="30" spans="1:19" x14ac:dyDescent="0.2">
      <c r="A30" s="86" t="str">
        <f ca="1"/>
        <v>EO6M_SWAP14Y#0042</v>
      </c>
      <c r="B30" s="87">
        <f t="shared" si="0"/>
        <v>28</v>
      </c>
      <c r="C30" s="88" t="str">
        <f ca="1"/>
        <v>EO6M_SWAP20Y</v>
      </c>
      <c r="D30" s="79"/>
      <c r="E30" s="79"/>
      <c r="F30" s="79"/>
      <c r="G30" s="79"/>
      <c r="H30" s="84">
        <f ca="1"/>
        <v>50066</v>
      </c>
      <c r="I30" s="85">
        <f ca="1"/>
        <v>0.76325607205747048</v>
      </c>
      <c r="J30" s="85">
        <f ca="1"/>
        <v>0.76325607205747048</v>
      </c>
      <c r="K30">
        <f ca="1">_xll.qlYieldTSDiscount($F$8,H30)</f>
        <v>0.76325607205747048</v>
      </c>
      <c r="L30" s="101">
        <f ca="1">_xll.qlYieldTSZeroRate($F$8,H30,$F$21)</f>
        <v>1.3495144044408604E-2</v>
      </c>
      <c r="N30" s="101" t="e">
        <f ca="1">_xll.qlYieldTSZeroRate($F$8,P30,$F$21)-R30/100</f>
        <v>#NUM!</v>
      </c>
      <c r="O30" s="106" t="e">
        <f ca="1">_xll.qlYieldTSDiscount($F$8,P30)</f>
        <v>#NUM!</v>
      </c>
      <c r="P30" s="102">
        <v>42353</v>
      </c>
      <c r="Q30">
        <v>155</v>
      </c>
      <c r="R30">
        <v>3.4137968863400002E-2</v>
      </c>
      <c r="S30">
        <v>0.9998550410507</v>
      </c>
    </row>
    <row r="31" spans="1:19" x14ac:dyDescent="0.2">
      <c r="A31" s="86" t="str">
        <f ca="1"/>
        <v>EO6M_SWAP15Y#0046</v>
      </c>
      <c r="B31" s="87">
        <f t="shared" si="0"/>
        <v>29</v>
      </c>
      <c r="C31" s="88" t="str">
        <f ca="1"/>
        <v>EO6M_SWAP21Y</v>
      </c>
      <c r="D31" s="79"/>
      <c r="E31" s="79"/>
      <c r="F31" s="79"/>
      <c r="G31" s="79"/>
      <c r="H31" s="84">
        <f ca="1"/>
        <v>50431</v>
      </c>
      <c r="I31" s="85">
        <f ca="1"/>
        <v>0.75004072367708041</v>
      </c>
      <c r="J31" s="85">
        <f ca="1"/>
        <v>0.75004072367708041</v>
      </c>
      <c r="K31">
        <f ca="1">_xll.qlYieldTSDiscount($F$8,H31)</f>
        <v>0.75004072367708041</v>
      </c>
      <c r="L31" s="101">
        <f ca="1">_xll.qlYieldTSZeroRate($F$8,H31,$F$21)</f>
        <v>1.3684063885136323E-2</v>
      </c>
      <c r="N31" s="101" t="e">
        <f ca="1">_xll.qlYieldTSZeroRate($F$8,P31,$F$21)-R31/100</f>
        <v>#NUM!</v>
      </c>
      <c r="O31" s="106" t="e">
        <f ca="1">_xll.qlYieldTSDiscount($F$8,P31)</f>
        <v>#NUM!</v>
      </c>
      <c r="P31" s="102">
        <v>42384</v>
      </c>
      <c r="Q31">
        <v>186</v>
      </c>
      <c r="R31">
        <v>4.8721367089000003E-2</v>
      </c>
      <c r="S31">
        <v>0.99975175207129996</v>
      </c>
    </row>
    <row r="32" spans="1:19" x14ac:dyDescent="0.2">
      <c r="A32" s="86" t="str">
        <f ca="1"/>
        <v>EO6M_SWAP16Y#0046</v>
      </c>
      <c r="B32" s="87">
        <f t="shared" si="0"/>
        <v>30</v>
      </c>
      <c r="C32" s="88" t="str">
        <f ca="1"/>
        <v>EO6M_SWAP22Y</v>
      </c>
      <c r="D32" s="79"/>
      <c r="E32" s="79" t="e" cm="1">
        <f t="array" ref="E32">ql</f>
        <v>#NAME?</v>
      </c>
      <c r="F32" s="79"/>
      <c r="G32" s="79"/>
      <c r="H32" s="84">
        <f ca="1"/>
        <v>50796</v>
      </c>
      <c r="I32" s="85">
        <f ca="1"/>
        <v>0.73731293717969582</v>
      </c>
      <c r="J32" s="85">
        <f ca="1"/>
        <v>0.73731293717969582</v>
      </c>
      <c r="K32">
        <f ca="1">_xll.qlYieldTSDiscount($F$8,H32)</f>
        <v>0.73731293717969582</v>
      </c>
      <c r="L32" s="101">
        <f ca="1">_xll.qlYieldTSZeroRate($F$8,H32,$F$21)</f>
        <v>1.3839883864236536E-2</v>
      </c>
      <c r="N32" s="101" t="e">
        <f ca="1">_xll.qlYieldTSZeroRate($F$8,P32,$F$21)-R32/100</f>
        <v>#NUM!</v>
      </c>
      <c r="O32" s="106" t="e">
        <f ca="1">_xll.qlYieldTSDiscount($F$8,P32)</f>
        <v>#NUM!</v>
      </c>
      <c r="P32" s="102">
        <v>42415</v>
      </c>
      <c r="Q32">
        <v>217</v>
      </c>
      <c r="R32">
        <v>2.8382205668199999E-2</v>
      </c>
      <c r="S32">
        <v>0.99983127619080003</v>
      </c>
    </row>
    <row r="33" spans="1:19" x14ac:dyDescent="0.2">
      <c r="A33" s="86" t="str">
        <f ca="1"/>
        <v>EO6M_SWAP17Y#0046</v>
      </c>
      <c r="B33" s="87">
        <f t="shared" si="0"/>
        <v>31</v>
      </c>
      <c r="C33" s="88" t="str">
        <f ca="1"/>
        <v>EO6M_SWAP23Y</v>
      </c>
      <c r="D33" s="79"/>
      <c r="E33" s="79"/>
      <c r="F33" s="79"/>
      <c r="G33" s="79"/>
      <c r="H33" s="84">
        <f ca="1"/>
        <v>51161</v>
      </c>
      <c r="I33" s="85">
        <f ca="1"/>
        <v>0.7255336961198624</v>
      </c>
      <c r="J33" s="85">
        <f ca="1"/>
        <v>0.7255336961198624</v>
      </c>
      <c r="K33">
        <f ca="1">_xll.qlYieldTSDiscount($F$8,H33)</f>
        <v>0.7255336961198624</v>
      </c>
      <c r="L33" s="101">
        <f ca="1">_xll.qlYieldTSZeroRate($F$8,H33,$F$21)</f>
        <v>1.3938280559602174E-2</v>
      </c>
      <c r="N33" s="101" t="e">
        <f ca="1">_xll.qlYieldTSZeroRate($F$8,P33,$F$21)-R33/100</f>
        <v>#NUM!</v>
      </c>
      <c r="O33" s="106" t="e">
        <f ca="1">_xll.qlYieldTSDiscount($F$8,P33)</f>
        <v>#NUM!</v>
      </c>
      <c r="P33" s="102">
        <v>42444</v>
      </c>
      <c r="Q33">
        <v>246</v>
      </c>
      <c r="R33">
        <v>2.6311116309400001E-2</v>
      </c>
      <c r="S33">
        <v>0.99982268600659996</v>
      </c>
    </row>
    <row r="34" spans="1:19" x14ac:dyDescent="0.2">
      <c r="A34" s="86" t="str">
        <f ca="1"/>
        <v>EO6M_SWAP18Y#0046</v>
      </c>
      <c r="B34" s="87">
        <f t="shared" si="0"/>
        <v>32</v>
      </c>
      <c r="C34" s="88" t="str">
        <f ca="1"/>
        <v>EO6M_SWAP24Y</v>
      </c>
      <c r="H34" s="84">
        <f ca="1"/>
        <v>51529</v>
      </c>
      <c r="I34" s="85">
        <f ca="1"/>
        <v>0.71371574628067824</v>
      </c>
      <c r="J34" s="85">
        <f ca="1"/>
        <v>0.71371574628067824</v>
      </c>
      <c r="K34">
        <f ca="1">_xll.qlYieldTSDiscount($F$8,H34)</f>
        <v>0.71371574628067824</v>
      </c>
      <c r="L34" s="101">
        <f ca="1">_xll.qlYieldTSZeroRate($F$8,H34,$F$21)</f>
        <v>1.4036914057337924E-2</v>
      </c>
      <c r="N34" s="101" t="e">
        <f ca="1">_xll.qlYieldTSZeroRate($F$8,P34,$F$21)-R34/100</f>
        <v>#NUM!</v>
      </c>
      <c r="O34" s="106" t="e">
        <f ca="1">_xll.qlYieldTSDiscount($F$8,P34)</f>
        <v>#NUM!</v>
      </c>
      <c r="P34" s="102">
        <v>42475</v>
      </c>
      <c r="Q34">
        <v>277</v>
      </c>
      <c r="R34">
        <v>2.78928532647E-2</v>
      </c>
      <c r="S34">
        <v>0.99978834239290004</v>
      </c>
    </row>
    <row r="35" spans="1:19" x14ac:dyDescent="0.2">
      <c r="A35" s="86" t="str">
        <f ca="1"/>
        <v>EO6M_SWAP19Y#0046</v>
      </c>
      <c r="B35" s="87">
        <f t="shared" si="0"/>
        <v>33</v>
      </c>
      <c r="C35" s="88" t="str">
        <f ca="1"/>
        <v>EO6M_SWAP25Y</v>
      </c>
      <c r="H35" s="84">
        <f ca="1"/>
        <v>51893</v>
      </c>
      <c r="I35" s="85">
        <f ca="1"/>
        <v>0.70242245333792142</v>
      </c>
      <c r="J35" s="85">
        <f ca="1"/>
        <v>0.70242245333792142</v>
      </c>
      <c r="K35">
        <f ca="1">_xll.qlYieldTSDiscount($F$8,H35)</f>
        <v>0.70242245333792142</v>
      </c>
      <c r="L35" s="101">
        <f ca="1">_xll.qlYieldTSZeroRate($F$8,H35,$F$21)</f>
        <v>1.4114889288354726E-2</v>
      </c>
      <c r="N35" s="101" t="e">
        <f ca="1">_xll.qlYieldTSZeroRate($F$8,P35,$F$21)-R35/100</f>
        <v>#NUM!</v>
      </c>
      <c r="O35" s="106" t="e">
        <f ca="1">_xll.qlYieldTSDiscount($F$8,P35)</f>
        <v>#NUM!</v>
      </c>
      <c r="P35" s="102">
        <v>42506</v>
      </c>
      <c r="Q35">
        <v>308</v>
      </c>
      <c r="R35">
        <v>3.9212865751399997E-2</v>
      </c>
      <c r="S35">
        <v>0.99966916261130001</v>
      </c>
    </row>
    <row r="36" spans="1:19" x14ac:dyDescent="0.2">
      <c r="A36" s="86" t="str">
        <f ca="1"/>
        <v>EO6M_SWAP20Y#0042</v>
      </c>
      <c r="B36" s="87">
        <f t="shared" si="0"/>
        <v>34</v>
      </c>
      <c r="C36" s="88" t="str">
        <f ca="1"/>
        <v>EO6M_SWAP26Y</v>
      </c>
      <c r="H36" s="84">
        <f ca="1"/>
        <v>52257</v>
      </c>
      <c r="I36" s="85">
        <f ca="1"/>
        <v>0.69138971635193824</v>
      </c>
      <c r="J36" s="85">
        <f ca="1"/>
        <v>0.69138971635193824</v>
      </c>
      <c r="K36">
        <f ca="1">_xll.qlYieldTSDiscount($F$8,H36)</f>
        <v>0.69138971635193824</v>
      </c>
      <c r="L36" s="101">
        <f ca="1">_xll.qlYieldTSZeroRate($F$8,H36,$F$21)</f>
        <v>1.4182337673359E-2</v>
      </c>
      <c r="N36" s="101" t="e">
        <f ca="1">_xll.qlYieldTSZeroRate($F$8,P36,$F$21)-R36/100</f>
        <v>#NUM!</v>
      </c>
      <c r="O36" s="106" t="e">
        <f ca="1">_xll.qlYieldTSDiscount($F$8,P36)</f>
        <v>#NUM!</v>
      </c>
      <c r="P36" s="102">
        <v>42536</v>
      </c>
      <c r="Q36">
        <v>338</v>
      </c>
      <c r="R36">
        <v>4.7991129222200002E-2</v>
      </c>
      <c r="S36">
        <v>0.99955568773110004</v>
      </c>
    </row>
    <row r="37" spans="1:19" x14ac:dyDescent="0.2">
      <c r="A37" s="86" t="str">
        <f ca="1"/>
        <v>EO6M_SWAP21Y#0046</v>
      </c>
      <c r="B37" s="87">
        <f t="shared" si="0"/>
        <v>35</v>
      </c>
      <c r="C37" s="88" t="str">
        <f ca="1"/>
        <v>EO6M_SWAP27Y</v>
      </c>
      <c r="H37" s="84">
        <f ca="1"/>
        <v>52622</v>
      </c>
      <c r="I37" s="85">
        <f ca="1"/>
        <v>0.68061379763429786</v>
      </c>
      <c r="J37" s="85">
        <f ca="1"/>
        <v>0.68061379763429786</v>
      </c>
      <c r="K37">
        <f ca="1">_xll.qlYieldTSDiscount($F$8,H37)</f>
        <v>0.68061379763429786</v>
      </c>
      <c r="L37" s="101">
        <f ca="1">_xll.qlYieldTSZeroRate($F$8,H37,$F$21)</f>
        <v>1.423882076396657E-2</v>
      </c>
      <c r="N37" s="101" t="e">
        <f ca="1">_xll.qlYieldTSZeroRate($F$8,P37,$F$21)-R37/100</f>
        <v>#NUM!</v>
      </c>
      <c r="O37" s="106" t="e">
        <f ca="1">_xll.qlYieldTSDiscount($F$8,P37)</f>
        <v>#NUM!</v>
      </c>
      <c r="P37" s="102">
        <v>42566</v>
      </c>
      <c r="Q37">
        <v>368</v>
      </c>
      <c r="R37">
        <v>5.6186155701499998E-2</v>
      </c>
      <c r="S37">
        <v>0.99943368082210005</v>
      </c>
    </row>
    <row r="38" spans="1:19" x14ac:dyDescent="0.2">
      <c r="A38" s="86" t="str">
        <f ca="1"/>
        <v>EO6M_SWAP22Y#0042</v>
      </c>
      <c r="B38" s="87">
        <f t="shared" si="0"/>
        <v>36</v>
      </c>
      <c r="C38" s="88" t="str">
        <f ca="1"/>
        <v>EO6M_SWAP28Y</v>
      </c>
      <c r="H38" s="84">
        <f ca="1"/>
        <v>52988</v>
      </c>
      <c r="I38" s="85">
        <f ca="1"/>
        <v>0.67013897025749636</v>
      </c>
      <c r="J38" s="85">
        <f ca="1"/>
        <v>0.67013897025749636</v>
      </c>
      <c r="K38">
        <f ca="1">_xll.qlYieldTSDiscount($F$8,H38)</f>
        <v>0.67013897025749636</v>
      </c>
      <c r="L38" s="101">
        <f ca="1">_xll.qlYieldTSZeroRate($F$8,H38,$F$21)</f>
        <v>1.4282785412147092E-2</v>
      </c>
      <c r="N38" s="101" t="e">
        <f ca="1">_xll.qlYieldTSZeroRate($F$8,P38,$F$21)-R38/100</f>
        <v>#NUM!</v>
      </c>
      <c r="O38" s="106" t="e">
        <f ca="1">_xll.qlYieldTSDiscount($F$8,P38)</f>
        <v>#NUM!</v>
      </c>
      <c r="P38" s="102">
        <v>42660</v>
      </c>
      <c r="Q38">
        <v>462</v>
      </c>
      <c r="R38">
        <v>6.5746369674999999E-2</v>
      </c>
      <c r="S38">
        <v>0.99916815924580005</v>
      </c>
    </row>
    <row r="39" spans="1:19" x14ac:dyDescent="0.2">
      <c r="A39" s="86" t="str">
        <f ca="1"/>
        <v>EO6M_SWAP23Y#0046</v>
      </c>
      <c r="B39" s="87">
        <f t="shared" si="0"/>
        <v>37</v>
      </c>
      <c r="C39" s="88" t="str">
        <f ca="1"/>
        <v>EO6M_SWAP29Y</v>
      </c>
      <c r="H39" s="84">
        <f ca="1"/>
        <v>53353</v>
      </c>
      <c r="I39" s="85">
        <f ca="1"/>
        <v>0.65998204292798901</v>
      </c>
      <c r="J39" s="85">
        <f ca="1"/>
        <v>0.65998204292798901</v>
      </c>
      <c r="K39">
        <f ca="1">_xll.qlYieldTSDiscount($F$8,H39)</f>
        <v>0.65998204292798901</v>
      </c>
      <c r="L39" s="101">
        <f ca="1">_xll.qlYieldTSZeroRate($F$8,H39,$F$21)</f>
        <v>1.4316883895231579E-2</v>
      </c>
      <c r="N39" s="101" t="e">
        <f ca="1">_xll.qlYieldTSZeroRate($F$8,P39,$F$21)-R39/100</f>
        <v>#NUM!</v>
      </c>
      <c r="O39" s="106" t="e">
        <f ca="1">_xll.qlYieldTSDiscount($F$8,P39)</f>
        <v>#NUM!</v>
      </c>
      <c r="P39" s="102">
        <v>42751</v>
      </c>
      <c r="Q39">
        <v>553</v>
      </c>
      <c r="R39">
        <v>7.7169725480199999E-2</v>
      </c>
      <c r="S39">
        <v>0.99883150902090001</v>
      </c>
    </row>
    <row r="40" spans="1:19" x14ac:dyDescent="0.2">
      <c r="A40" s="86" t="str">
        <f ca="1"/>
        <v>EO6M_SWAP24Y#0046</v>
      </c>
      <c r="B40" s="87">
        <f t="shared" si="0"/>
        <v>38</v>
      </c>
      <c r="C40" s="88" t="str">
        <f ca="1"/>
        <v>EO6M_SWAP30Y</v>
      </c>
      <c r="H40" s="84">
        <f ca="1"/>
        <v>53720</v>
      </c>
      <c r="I40" s="85">
        <f ca="1"/>
        <v>0.64986330658868197</v>
      </c>
      <c r="J40" s="85">
        <f ca="1"/>
        <v>0.64986330658868197</v>
      </c>
      <c r="K40">
        <f ca="1">_xll.qlYieldTSDiscount($F$8,H40)</f>
        <v>0.64986330658868197</v>
      </c>
      <c r="L40" s="101">
        <f ca="1">_xll.qlYieldTSZeroRate($F$8,H40,$F$21)</f>
        <v>1.4352023634143356E-2</v>
      </c>
      <c r="N40" s="101">
        <f ca="1">_xll.qlYieldTSZeroRate($F$8,P40,$F$21)-R40/100</f>
        <v>-4.3076198493415662E-3</v>
      </c>
      <c r="O40" s="106">
        <f ca="1">_xll.qlYieldTSDiscount($F$8,P40)</f>
        <v>1.0007714253122268</v>
      </c>
      <c r="P40" s="102">
        <v>42843</v>
      </c>
      <c r="Q40">
        <v>645</v>
      </c>
      <c r="R40">
        <v>9.5688544958399999E-2</v>
      </c>
      <c r="S40">
        <v>0.99831049426280005</v>
      </c>
    </row>
    <row r="41" spans="1:19" x14ac:dyDescent="0.2">
      <c r="A41" s="86" t="str">
        <f ca="1"/>
        <v>EO6M_SWAP25Y#0042</v>
      </c>
      <c r="B41" s="87">
        <f t="shared" si="0"/>
        <v>39</v>
      </c>
      <c r="C41" s="88" t="str">
        <f ca="1"/>
        <v>EO6M_SWAP40Y</v>
      </c>
      <c r="H41" s="84">
        <f ca="1"/>
        <v>57371</v>
      </c>
      <c r="I41" s="85">
        <f ca="1"/>
        <v>0.56212358115030281</v>
      </c>
      <c r="J41" s="85">
        <f ca="1"/>
        <v>0.56212358115030281</v>
      </c>
      <c r="K41">
        <f ca="1">_xll.qlYieldTSDiscount($F$8,H41)</f>
        <v>0.56212358115030281</v>
      </c>
      <c r="L41" s="101">
        <f ca="1">_xll.qlYieldTSZeroRate($F$8,H41,$F$21)</f>
        <v>1.4389012363911269E-2</v>
      </c>
      <c r="N41" s="101">
        <f ca="1">_xll.qlYieldTSZeroRate($F$8,P41,$F$21)-R41/100</f>
        <v>-3.671898394207515E-3</v>
      </c>
      <c r="O41" s="106">
        <f ca="1">_xll.qlYieldTSDiscount($F$8,P41)</f>
        <v>1.0011977421446383</v>
      </c>
      <c r="P41" s="102">
        <v>42933</v>
      </c>
      <c r="Q41">
        <v>735</v>
      </c>
      <c r="R41">
        <v>0.1160896786902</v>
      </c>
      <c r="S41">
        <v>0.99766503401450002</v>
      </c>
    </row>
    <row r="42" spans="1:19" x14ac:dyDescent="0.2">
      <c r="A42" s="86" t="str">
        <f ca="1"/>
        <v>EO6M_SWAP26Y#0040</v>
      </c>
      <c r="B42" s="87">
        <f t="shared" si="0"/>
        <v>40</v>
      </c>
      <c r="C42" s="88" t="str">
        <f ca="1"/>
        <v>EO6M_SWAP50Y</v>
      </c>
      <c r="H42" s="84">
        <f ca="1"/>
        <v>61023</v>
      </c>
      <c r="I42" s="85">
        <f ca="1"/>
        <v>0.50298241780772623</v>
      </c>
      <c r="J42" s="85">
        <f ca="1"/>
        <v>0.50298241780772623</v>
      </c>
      <c r="K42">
        <f ca="1">_xll.qlYieldTSDiscount($F$8,H42)</f>
        <v>0.50298241780772623</v>
      </c>
      <c r="L42" s="101">
        <f ca="1">_xll.qlYieldTSZeroRate($F$8,H42,$F$21)</f>
        <v>1.3733466021393225E-2</v>
      </c>
      <c r="N42" s="101">
        <f ca="1">_xll.qlYieldTSZeroRate($F$8,P42,$F$21)-R42/100</f>
        <v>-4.0070682070905486E-3</v>
      </c>
      <c r="O42" s="106">
        <f ca="1">_xll.qlYieldTSDiscount($F$8,P42)</f>
        <v>1.0019243922969605</v>
      </c>
      <c r="P42" s="102">
        <v>43025</v>
      </c>
      <c r="Q42">
        <v>827</v>
      </c>
      <c r="R42">
        <v>0.1368992250079</v>
      </c>
      <c r="S42">
        <v>0.99690300672919996</v>
      </c>
    </row>
    <row r="43" spans="1:19" x14ac:dyDescent="0.2">
      <c r="A43" s="86" t="str">
        <f ca="1"/>
        <v>EO6M_SWAP27Y#0046</v>
      </c>
      <c r="B43" s="87">
        <f t="shared" si="0"/>
        <v>41</v>
      </c>
      <c r="C43" s="88" t="str">
        <f ca="1"/>
        <v>EO6M_SWAP65y</v>
      </c>
      <c r="N43" s="101">
        <f ca="1">_xll.qlYieldTSZeroRate($F$8,P43,$F$21)-R43/100</f>
        <v>-3.8806822003686165E-3</v>
      </c>
      <c r="O43" s="106">
        <f ca="1">_xll.qlYieldTSDiscount($F$8,P43)</f>
        <v>1.0022324917880241</v>
      </c>
      <c r="P43" s="102">
        <v>43117</v>
      </c>
      <c r="Q43">
        <v>919</v>
      </c>
      <c r="R43">
        <v>0.1607075299389</v>
      </c>
      <c r="S43">
        <v>0.99596186787389995</v>
      </c>
    </row>
    <row r="44" spans="1:19" x14ac:dyDescent="0.2">
      <c r="A44" s="86" t="str">
        <f ca="1"/>
        <v>EO6M_SWAP28Y#0042</v>
      </c>
      <c r="B44" s="87">
        <f t="shared" si="0"/>
        <v>42</v>
      </c>
      <c r="C44" s="88" t="e">
        <f ca="1"/>
        <v>#N/A</v>
      </c>
      <c r="N44" s="101">
        <f ca="1">_xll.qlYieldTSZeroRate($F$8,P44,$F$21)-R44/100</f>
        <v>-3.9628045212330154E-3</v>
      </c>
      <c r="O44" s="106">
        <f ca="1">_xll.qlYieldTSDiscount($F$8,P44)</f>
        <v>1.0025700867655059</v>
      </c>
      <c r="P44" s="102">
        <v>43207</v>
      </c>
      <c r="Q44">
        <v>1009</v>
      </c>
      <c r="R44">
        <v>0.1871558415773</v>
      </c>
      <c r="S44">
        <v>0.994839655243</v>
      </c>
    </row>
    <row r="45" spans="1:19" x14ac:dyDescent="0.2">
      <c r="A45" s="86" t="str">
        <f ca="1"/>
        <v>EO6M_SWAP29Y#0046</v>
      </c>
      <c r="B45" s="87">
        <f t="shared" si="0"/>
        <v>43</v>
      </c>
      <c r="C45" s="88" t="e">
        <f ca="1"/>
        <v>#N/A</v>
      </c>
      <c r="N45" s="101">
        <f ca="1">_xll.qlYieldTSZeroRate($F$8,P45,$F$21)-R45/100</f>
        <v>-4.1470319572727869E-3</v>
      </c>
      <c r="O45" s="106">
        <f ca="1">_xll.qlYieldTSDiscount($F$8,P45)</f>
        <v>1.0029186622492552</v>
      </c>
      <c r="P45" s="102">
        <v>43297</v>
      </c>
      <c r="Q45">
        <v>1099</v>
      </c>
      <c r="R45">
        <v>0.2169782706707</v>
      </c>
      <c r="S45">
        <v>0.99348816791219996</v>
      </c>
    </row>
    <row r="46" spans="1:19" x14ac:dyDescent="0.2">
      <c r="A46" s="86" t="str">
        <f ca="1"/>
        <v>EO6M_SWAP30Y#0046</v>
      </c>
      <c r="B46" s="87">
        <f t="shared" si="0"/>
        <v>44</v>
      </c>
      <c r="C46" s="88" t="e">
        <f ca="1"/>
        <v>#N/A</v>
      </c>
      <c r="E46" t="str">
        <f ca="1">_xll.ohRangeRetrieveError(H2)</f>
        <v/>
      </c>
      <c r="N46" s="101">
        <f ca="1">_xll.qlYieldTSZeroRate($F$8,P46,$F$21)-R46/100</f>
        <v>-4.2914465733768382E-3</v>
      </c>
      <c r="O46" s="106">
        <f ca="1">_xll.qlYieldTSDiscount($F$8,P46)</f>
        <v>1.0031171373191532</v>
      </c>
      <c r="P46" s="102">
        <v>43389</v>
      </c>
      <c r="Q46">
        <v>1191</v>
      </c>
      <c r="R46">
        <v>0.24882949409339999</v>
      </c>
      <c r="S46">
        <v>0.99191353233769997</v>
      </c>
    </row>
    <row r="47" spans="1:19" x14ac:dyDescent="0.2">
      <c r="A47" s="86" t="str">
        <f ca="1"/>
        <v>EO6M_SWAP40Y#0046</v>
      </c>
      <c r="B47" s="87">
        <f t="shared" si="0"/>
        <v>45</v>
      </c>
      <c r="C47" s="88" t="e">
        <f ca="1"/>
        <v>#N/A</v>
      </c>
      <c r="N47" s="101">
        <f ca="1">_xll.qlYieldTSZeroRate($F$8,P47,$F$21)-R47/100</f>
        <v>-4.5019439178507099E-3</v>
      </c>
      <c r="O47" s="106">
        <f ca="1">_xll.qlYieldTSDiscount($F$8,P47)</f>
        <v>1.0032963847028091</v>
      </c>
      <c r="P47" s="102">
        <v>43481</v>
      </c>
      <c r="Q47">
        <v>1283</v>
      </c>
      <c r="R47">
        <v>0.28382296643880001</v>
      </c>
      <c r="S47">
        <v>0.9900730292355</v>
      </c>
    </row>
    <row r="48" spans="1:19" x14ac:dyDescent="0.2">
      <c r="A48" s="86" t="str">
        <f ca="1"/>
        <v>EO6M_SWAP50Y#0042</v>
      </c>
      <c r="B48" s="87">
        <f t="shared" si="0"/>
        <v>46</v>
      </c>
      <c r="C48" s="88" t="e">
        <f ca="1"/>
        <v>#N/A</v>
      </c>
      <c r="N48" s="101">
        <f ca="1">_xll.qlYieldTSZeroRate($F$8,P48,$F$21)-R48/100</f>
        <v>-4.6124619637795735E-3</v>
      </c>
      <c r="O48" s="106">
        <f ca="1">_xll.qlYieldTSDiscount($F$8,P48)</f>
        <v>1.0031365297898918</v>
      </c>
      <c r="P48" s="102">
        <v>43571</v>
      </c>
      <c r="Q48">
        <v>1373</v>
      </c>
      <c r="R48">
        <v>0.32047751205129998</v>
      </c>
      <c r="S48">
        <v>0.98801715050259997</v>
      </c>
    </row>
    <row r="49" spans="1:19" x14ac:dyDescent="0.2">
      <c r="A49" t="str">
        <f ca="1"/>
        <v>EO6M_SWAP65y#0056</v>
      </c>
      <c r="B49" s="87">
        <f t="shared" si="0"/>
        <v>47</v>
      </c>
      <c r="N49" s="101">
        <f ca="1">_xll.qlYieldTSZeroRate($F$8,P49,$F$21)-R49/100</f>
        <v>-4.7711478673856883E-3</v>
      </c>
      <c r="O49" s="106">
        <f ca="1">_xll.qlYieldTSDiscount($F$8,P49)</f>
        <v>1.0029251436410904</v>
      </c>
      <c r="P49" s="102">
        <v>43661</v>
      </c>
      <c r="Q49">
        <v>1463</v>
      </c>
      <c r="R49">
        <v>0.35891978534239999</v>
      </c>
      <c r="S49">
        <v>0.98571669655960004</v>
      </c>
    </row>
    <row r="50" spans="1:19" x14ac:dyDescent="0.2">
      <c r="N50" s="101">
        <f ca="1">_xll.qlYieldTSZeroRate($F$8,P50,$F$21)-R50/100</f>
        <v>-4.9766020894600046E-3</v>
      </c>
      <c r="O50" s="106">
        <f ca="1">_xll.qlYieldTSDiscount($F$8,P50)</f>
        <v>1.0027091060624445</v>
      </c>
      <c r="P50" s="102">
        <v>43753</v>
      </c>
      <c r="Q50">
        <v>1555</v>
      </c>
      <c r="R50">
        <v>0.39831546922700001</v>
      </c>
      <c r="S50">
        <v>0.98317383785419998</v>
      </c>
    </row>
    <row r="51" spans="1:19" x14ac:dyDescent="0.2">
      <c r="N51" s="101">
        <f ca="1">_xll.qlYieldTSZeroRate($F$8,P51,$F$21)-R51/100</f>
        <v>-5.2234649431373474E-3</v>
      </c>
      <c r="O51" s="106">
        <f ca="1">_xll.qlYieldTSDiscount($F$8,P51)</f>
        <v>1.0024931150199092</v>
      </c>
      <c r="P51" s="102">
        <v>43845</v>
      </c>
      <c r="Q51">
        <v>1647</v>
      </c>
      <c r="R51">
        <v>0.43865823344630001</v>
      </c>
      <c r="S51">
        <v>0.9804009075283</v>
      </c>
    </row>
    <row r="52" spans="1:19" x14ac:dyDescent="0.2">
      <c r="N52" s="101">
        <f ca="1">_xll.qlYieldTSZeroRate($F$8,P52,$F$21)-R52/100</f>
        <v>-5.3390651539732912E-3</v>
      </c>
      <c r="O52" s="106">
        <f ca="1">_xll.qlYieldTSDiscount($F$8,P52)</f>
        <v>1.001765362269647</v>
      </c>
      <c r="P52" s="102">
        <v>43936</v>
      </c>
      <c r="Q52">
        <v>1738</v>
      </c>
      <c r="R52">
        <v>0.47920905278499998</v>
      </c>
      <c r="S52">
        <v>0.97744013856099998</v>
      </c>
    </row>
    <row r="53" spans="1:19" x14ac:dyDescent="0.2">
      <c r="N53" s="101">
        <f ca="1">_xll.qlYieldTSZeroRate($F$8,P53,$F$21)-R53/100</f>
        <v>-5.477445689985508E-3</v>
      </c>
      <c r="O53" s="106">
        <f ca="1">_xll.qlYieldTSDiscount($F$8,P53)</f>
        <v>1.0009601180584413</v>
      </c>
      <c r="P53" s="102">
        <v>44027</v>
      </c>
      <c r="Q53">
        <v>1829</v>
      </c>
      <c r="R53">
        <v>0.52012036035770004</v>
      </c>
      <c r="S53">
        <v>0.97427369137270003</v>
      </c>
    </row>
    <row r="54" spans="1:19" x14ac:dyDescent="0.2">
      <c r="N54" s="101">
        <f ca="1">_xll.qlYieldTSZeroRate($F$8,P54,$F$21)-R54/100</f>
        <v>-5.6636282732545565E-3</v>
      </c>
      <c r="O54" s="106">
        <f ca="1">_xll.qlYieldTSDiscount($F$8,P54)</f>
        <v>1.0001466829918353</v>
      </c>
      <c r="P54" s="102">
        <v>44119</v>
      </c>
      <c r="Q54">
        <v>1921</v>
      </c>
      <c r="R54">
        <v>0.56242640337310001</v>
      </c>
      <c r="S54">
        <v>0.970833227631</v>
      </c>
    </row>
    <row r="55" spans="1:19" x14ac:dyDescent="0.2">
      <c r="N55" s="101">
        <f ca="1">_xll.qlYieldTSZeroRate($F$8,P55,$F$21)-R55/100</f>
        <v>-5.8806593052617689E-3</v>
      </c>
      <c r="O55" s="106">
        <f ca="1">_xll.qlYieldTSDiscount($F$8,P55)</f>
        <v>0.99933390896715857</v>
      </c>
      <c r="P55" s="102">
        <v>44211</v>
      </c>
      <c r="Q55">
        <v>2013</v>
      </c>
      <c r="R55">
        <v>0.60481553342299998</v>
      </c>
      <c r="S55">
        <v>0.9671941859423</v>
      </c>
    </row>
    <row r="56" spans="1:19" x14ac:dyDescent="0.2">
      <c r="N56" s="101">
        <f ca="1">_xll.qlYieldTSZeroRate($F$8,P56,$F$21)-R56/100</f>
        <v>-5.9782493621705511E-3</v>
      </c>
      <c r="O56" s="106">
        <f ca="1">_xll.qlYieldTSDiscount($F$8,P56)</f>
        <v>0.99795141472777471</v>
      </c>
      <c r="P56" s="102">
        <v>44301</v>
      </c>
      <c r="Q56">
        <v>2103</v>
      </c>
      <c r="R56">
        <v>0.64636582921459995</v>
      </c>
      <c r="S56">
        <v>0.96344363128489996</v>
      </c>
    </row>
    <row r="57" spans="1:19" x14ac:dyDescent="0.2">
      <c r="N57" s="101">
        <f ca="1">_xll.qlYieldTSZeroRate($F$8,P57,$F$21)-R57/100</f>
        <v>-6.0948697554775401E-3</v>
      </c>
      <c r="O57" s="106">
        <f ca="1">_xll.qlYieldTSDiscount($F$8,P57)</f>
        <v>0.99647286045168959</v>
      </c>
      <c r="P57" s="102">
        <v>44392</v>
      </c>
      <c r="Q57">
        <v>2194</v>
      </c>
      <c r="R57">
        <v>0.68846319834259995</v>
      </c>
      <c r="S57">
        <v>0.95946135558400003</v>
      </c>
    </row>
    <row r="58" spans="1:19" x14ac:dyDescent="0.2">
      <c r="N58" s="101">
        <f ca="1">_xll.qlYieldTSZeroRate($F$8,P58,$F$21)-R58/100</f>
        <v>-6.2281843420415976E-3</v>
      </c>
      <c r="O58" s="106">
        <f ca="1">_xll.qlYieldTSDiscount($F$8,P58)</f>
        <v>0.99498028516595638</v>
      </c>
      <c r="P58" s="102">
        <v>44484</v>
      </c>
      <c r="Q58">
        <v>2286</v>
      </c>
      <c r="R58">
        <v>0.72930016823559995</v>
      </c>
      <c r="S58">
        <v>0.95535128404470004</v>
      </c>
    </row>
    <row r="59" spans="1:19" x14ac:dyDescent="0.2">
      <c r="N59" s="101">
        <f ca="1">_xll.qlYieldTSZeroRate($F$8,P59,$F$21)-R59/100</f>
        <v>-6.3879838868155714E-3</v>
      </c>
      <c r="O59" s="106">
        <f ca="1">_xll.qlYieldTSDiscount($F$8,P59)</f>
        <v>0.99348994554671455</v>
      </c>
      <c r="P59" s="102">
        <v>44576</v>
      </c>
      <c r="Q59">
        <v>2378</v>
      </c>
      <c r="R59">
        <v>0.77000026572309999</v>
      </c>
      <c r="S59">
        <v>0.95107149099980004</v>
      </c>
    </row>
    <row r="60" spans="1:19" x14ac:dyDescent="0.2">
      <c r="N60" s="101">
        <f ca="1">_xll.qlYieldTSZeroRate($F$8,P60,$F$21)-R60/100</f>
        <v>-6.4428753295667157E-3</v>
      </c>
      <c r="O60" s="106">
        <f ca="1">_xll.qlYieldTSDiscount($F$8,P60)</f>
        <v>0.99140716899409698</v>
      </c>
      <c r="P60" s="102">
        <v>44666</v>
      </c>
      <c r="Q60">
        <v>2468</v>
      </c>
      <c r="R60">
        <v>0.80946510072980005</v>
      </c>
      <c r="S60">
        <v>0.94673775397710003</v>
      </c>
    </row>
    <row r="61" spans="1:19" x14ac:dyDescent="0.2">
      <c r="N61" s="101">
        <f ca="1">_xll.qlYieldTSZeroRate($F$8,P61,$F$21)-R61/100</f>
        <v>-6.5075281015241756E-3</v>
      </c>
      <c r="O61" s="106">
        <f ca="1">_xll.qlYieldTSDiscount($F$8,P61)</f>
        <v>0.98921763551118913</v>
      </c>
      <c r="P61" s="102">
        <v>44757</v>
      </c>
      <c r="Q61">
        <v>2559</v>
      </c>
      <c r="R61">
        <v>0.84879756167700005</v>
      </c>
      <c r="S61">
        <v>0.94222719651300002</v>
      </c>
    </row>
    <row r="62" spans="1:19" x14ac:dyDescent="0.2">
      <c r="N62" s="101">
        <f ca="1">_xll.qlYieldTSZeroRate($F$8,P62,$F$21)-R62/100</f>
        <v>-6.5922450954599612E-3</v>
      </c>
      <c r="O62" s="106">
        <f ca="1">_xll.qlYieldTSDiscount($F$8,P62)</f>
        <v>0.98700895678922929</v>
      </c>
      <c r="P62" s="102">
        <v>44849</v>
      </c>
      <c r="Q62">
        <v>2651</v>
      </c>
      <c r="R62">
        <v>0.88758815368370003</v>
      </c>
      <c r="S62">
        <v>0.93756831994059997</v>
      </c>
    </row>
    <row r="63" spans="1:19" x14ac:dyDescent="0.2">
      <c r="N63" s="101">
        <f ca="1">_xll.qlYieldTSZeroRate($F$8,P63,$F$21)-R63/100</f>
        <v>-6.6948490566342599E-3</v>
      </c>
      <c r="O63" s="106">
        <f ca="1">_xll.qlYieldTSDiscount($F$8,P63)</f>
        <v>0.98480520950148742</v>
      </c>
      <c r="P63" s="102">
        <v>44941</v>
      </c>
      <c r="Q63">
        <v>2743</v>
      </c>
      <c r="R63">
        <v>0.92561076219390004</v>
      </c>
      <c r="S63">
        <v>0.93280389969709998</v>
      </c>
    </row>
    <row r="64" spans="1:19" x14ac:dyDescent="0.2">
      <c r="N64" s="101">
        <f ca="1">_xll.qlYieldTSZeroRate($F$8,P64,$F$21)-R64/100</f>
        <v>-6.7042512712520482E-3</v>
      </c>
      <c r="O64" s="106">
        <f ca="1">_xll.qlYieldTSDiscount($F$8,P64)</f>
        <v>0.98200779115559267</v>
      </c>
      <c r="P64" s="102">
        <v>45031</v>
      </c>
      <c r="Q64">
        <v>2833</v>
      </c>
      <c r="R64">
        <v>0.96210441377279998</v>
      </c>
      <c r="S64">
        <v>0.92804494252479997</v>
      </c>
    </row>
    <row r="65" spans="14:19" x14ac:dyDescent="0.2">
      <c r="N65" s="101">
        <f ca="1">_xll.qlYieldTSZeroRate($F$8,P65,$F$21)-R65/100</f>
        <v>-6.7209109950008578E-3</v>
      </c>
      <c r="O65" s="106">
        <f ca="1">_xll.qlYieldTSDiscount($F$8,P65)</f>
        <v>0.97903278456040022</v>
      </c>
      <c r="P65" s="102">
        <v>45124</v>
      </c>
      <c r="Q65">
        <v>2926</v>
      </c>
      <c r="R65">
        <v>0.99912722892649997</v>
      </c>
      <c r="S65">
        <v>0.92302919132670003</v>
      </c>
    </row>
    <row r="66" spans="14:19" x14ac:dyDescent="0.2">
      <c r="N66" s="101">
        <f ca="1">_xll.qlYieldTSZeroRate($F$8,P66,$F$21)-R66/100</f>
        <v>-6.7486878267680253E-3</v>
      </c>
      <c r="O66" s="106">
        <f ca="1">_xll.qlYieldTSDiscount($F$8,P66)</f>
        <v>0.97609863535756058</v>
      </c>
      <c r="P66" s="102">
        <v>45216</v>
      </c>
      <c r="Q66">
        <v>3018</v>
      </c>
      <c r="R66">
        <v>1.0342480034026</v>
      </c>
      <c r="S66">
        <v>0.91803778844770001</v>
      </c>
    </row>
    <row r="67" spans="14:19" x14ac:dyDescent="0.2">
      <c r="N67" s="101">
        <f ca="1">_xll.qlYieldTSZeroRate($F$8,P67,$F$21)-R67/100</f>
        <v>-6.7918279472418217E-3</v>
      </c>
      <c r="O67" s="106">
        <f ca="1">_xll.qlYieldTSDiscount($F$8,P67)</f>
        <v>0.97317327976376078</v>
      </c>
      <c r="P67" s="102">
        <v>45308</v>
      </c>
      <c r="Q67">
        <v>3110</v>
      </c>
      <c r="R67">
        <v>1.0685704151844</v>
      </c>
      <c r="S67">
        <v>0.91297383729449999</v>
      </c>
    </row>
    <row r="68" spans="14:19" x14ac:dyDescent="0.2">
      <c r="N68" s="101">
        <f ca="1">_xll.qlYieldTSZeroRate($F$8,P68,$F$21)-R68/100</f>
        <v>-6.7681289303970545E-3</v>
      </c>
      <c r="O68" s="106">
        <f ca="1">_xll.qlYieldTSDiscount($F$8,P68)</f>
        <v>0.96974424799055958</v>
      </c>
      <c r="P68" s="102">
        <v>45399</v>
      </c>
      <c r="Q68">
        <v>3201</v>
      </c>
      <c r="R68">
        <v>1.1015803173570999</v>
      </c>
      <c r="S68">
        <v>0.90791266873099996</v>
      </c>
    </row>
    <row r="69" spans="14:19" x14ac:dyDescent="0.2">
      <c r="N69" s="101">
        <f ca="1">_xll.qlYieldTSZeroRate($F$8,P69,$F$21)-R69/100</f>
        <v>-6.7492175947433614E-3</v>
      </c>
      <c r="O69" s="106">
        <f ca="1">_xll.qlYieldTSDiscount($F$8,P69)</f>
        <v>0.96634408056109022</v>
      </c>
      <c r="P69" s="102">
        <v>45488</v>
      </c>
      <c r="Q69">
        <v>3290</v>
      </c>
      <c r="R69">
        <v>1.1328144217591001</v>
      </c>
      <c r="S69">
        <v>0.90293159812760004</v>
      </c>
    </row>
    <row r="70" spans="14:19" x14ac:dyDescent="0.2">
      <c r="N70" s="101">
        <f ca="1">_xll.qlYieldTSZeroRate($F$8,P70,$F$21)-R70/100</f>
        <v>-6.7439394410284664E-3</v>
      </c>
      <c r="O70" s="106">
        <f ca="1">_xll.qlYieldTSDiscount($F$8,P70)</f>
        <v>0.96284183165784765</v>
      </c>
      <c r="P70" s="102">
        <v>45580</v>
      </c>
      <c r="Q70">
        <v>3382</v>
      </c>
      <c r="R70">
        <v>1.1643314139804</v>
      </c>
      <c r="S70">
        <v>0.89773165736899996</v>
      </c>
    </row>
    <row r="71" spans="14:19" x14ac:dyDescent="0.2">
      <c r="N71" s="101">
        <f ca="1">_xll.qlYieldTSZeroRate($F$8,P71,$F$21)-R71/100</f>
        <v>-6.7482572095507263E-3</v>
      </c>
      <c r="O71" s="106">
        <f ca="1">_xll.qlYieldTSDiscount($F$8,P71)</f>
        <v>0.95935227569454951</v>
      </c>
      <c r="P71" s="102">
        <v>45672</v>
      </c>
      <c r="Q71">
        <v>3474</v>
      </c>
      <c r="R71">
        <v>1.1947838842486</v>
      </c>
      <c r="S71">
        <v>0.89251028754259998</v>
      </c>
    </row>
    <row r="72" spans="14:19" x14ac:dyDescent="0.2">
      <c r="N72" s="101">
        <f ca="1">_xll.qlYieldTSZeroRate($F$8,P72,$F$21)-R72/100</f>
        <v>-6.7030083750667935E-3</v>
      </c>
      <c r="O72" s="106">
        <f ca="1">_xll.qlYieldTSDiscount($F$8,P72)</f>
        <v>0.95548785753007726</v>
      </c>
      <c r="P72" s="102">
        <v>45762</v>
      </c>
      <c r="Q72">
        <v>3564</v>
      </c>
      <c r="R72">
        <v>1.2237349542378</v>
      </c>
      <c r="S72">
        <v>0.88737272647090004</v>
      </c>
    </row>
    <row r="73" spans="14:19" x14ac:dyDescent="0.2">
      <c r="N73" s="101">
        <f ca="1">_xll.qlYieldTSZeroRate($F$8,P73,$F$21)-R73/100</f>
        <v>-6.6616383079022724E-3</v>
      </c>
      <c r="O73" s="106">
        <f ca="1">_xll.qlYieldTSDiscount($F$8,P73)</f>
        <v>0.9515246254068771</v>
      </c>
      <c r="P73" s="102">
        <v>45853</v>
      </c>
      <c r="Q73">
        <v>3655</v>
      </c>
      <c r="R73">
        <v>1.2523546797519001</v>
      </c>
      <c r="S73">
        <v>0.88213777877620003</v>
      </c>
    </row>
    <row r="74" spans="14:19" x14ac:dyDescent="0.2">
      <c r="N74" s="101">
        <f ca="1">_xll.qlYieldTSZeroRate($F$8,P74,$F$21)-R74/100</f>
        <v>-6.6232300869454586E-3</v>
      </c>
      <c r="O74" s="106">
        <f ca="1">_xll.qlYieldTSDiscount($F$8,P74)</f>
        <v>0.94753455193365588</v>
      </c>
      <c r="P74" s="102">
        <v>45945</v>
      </c>
      <c r="Q74">
        <v>3747</v>
      </c>
      <c r="R74">
        <v>1.2797283708552001</v>
      </c>
      <c r="S74">
        <v>0.87688996756680004</v>
      </c>
    </row>
    <row r="75" spans="14:19" x14ac:dyDescent="0.2">
      <c r="N75" s="101">
        <f ca="1">_xll.qlYieldTSZeroRate($F$8,P75,$F$21)-R75/100</f>
        <v>-6.5965384738073934E-3</v>
      </c>
      <c r="O75" s="106">
        <f ca="1">_xll.qlYieldTSDiscount($F$8,P75)</f>
        <v>0.94356121022532713</v>
      </c>
      <c r="P75" s="102">
        <v>46037</v>
      </c>
      <c r="Q75">
        <v>3839</v>
      </c>
      <c r="R75">
        <v>1.3065215963131001</v>
      </c>
      <c r="S75">
        <v>0.87160631046729997</v>
      </c>
    </row>
    <row r="76" spans="14:19" x14ac:dyDescent="0.2">
      <c r="N76" s="101">
        <f ca="1">_xll.qlYieldTSZeroRate($F$8,P76,$F$21)-R76/100</f>
        <v>-6.5449407827633211E-3</v>
      </c>
      <c r="O76" s="106">
        <f ca="1">_xll.qlYieldTSDiscount($F$8,P76)</f>
        <v>0.93939182174637448</v>
      </c>
      <c r="P76" s="102">
        <v>46127</v>
      </c>
      <c r="Q76">
        <v>3929</v>
      </c>
      <c r="R76">
        <v>1.3320698831355999</v>
      </c>
      <c r="S76">
        <v>0.86641687050189997</v>
      </c>
    </row>
    <row r="77" spans="14:19" x14ac:dyDescent="0.2">
      <c r="N77" s="101">
        <f ca="1">_xll.qlYieldTSZeroRate($F$8,P77,$F$21)-R77/100</f>
        <v>-6.4966248438228279E-3</v>
      </c>
      <c r="O77" s="106">
        <f ca="1">_xll.qlYieldTSDiscount($F$8,P77)</f>
        <v>0.93515300194724238</v>
      </c>
      <c r="P77" s="102">
        <v>46218</v>
      </c>
      <c r="Q77">
        <v>4020</v>
      </c>
      <c r="R77">
        <v>1.3571348894588</v>
      </c>
      <c r="S77">
        <v>0.86116362950390002</v>
      </c>
    </row>
    <row r="78" spans="14:19" x14ac:dyDescent="0.2">
      <c r="N78" s="101">
        <f ca="1">_xll.qlYieldTSZeroRate($F$8,P78,$F$21)-R78/100</f>
        <v>-6.4550304092731324E-3</v>
      </c>
      <c r="O78" s="106">
        <f ca="1">_xll.qlYieldTSDiscount($F$8,P78)</f>
        <v>0.93088704465738081</v>
      </c>
      <c r="P78" s="102">
        <v>46310</v>
      </c>
      <c r="Q78">
        <v>4112</v>
      </c>
      <c r="R78">
        <v>1.3816429346757</v>
      </c>
      <c r="S78">
        <v>0.85585656063810001</v>
      </c>
    </row>
    <row r="79" spans="14:19" x14ac:dyDescent="0.2">
      <c r="N79" s="101">
        <f ca="1">_xll.qlYieldTSZeroRate($F$8,P79,$F$21)-R79/100</f>
        <v>-6.4188863574532028E-3</v>
      </c>
      <c r="O79" s="106">
        <f ca="1">_xll.qlYieldTSDiscount($F$8,P79)</f>
        <v>0.92664054770348669</v>
      </c>
      <c r="P79" s="102">
        <v>46402</v>
      </c>
      <c r="Q79">
        <v>4204</v>
      </c>
      <c r="R79">
        <v>1.4052480857155001</v>
      </c>
      <c r="S79">
        <v>0.85056556555630003</v>
      </c>
    </row>
    <row r="80" spans="14:19" x14ac:dyDescent="0.2">
      <c r="N80" s="101">
        <f ca="1">_xll.qlYieldTSZeroRate($F$8,P80,$F$21)-R80/100</f>
        <v>-6.3653117258051419E-3</v>
      </c>
      <c r="O80" s="106">
        <f ca="1">_xll.qlYieldTSDiscount($F$8,P80)</f>
        <v>0.92229421199587802</v>
      </c>
      <c r="P80" s="102">
        <v>46492</v>
      </c>
      <c r="Q80">
        <v>4294</v>
      </c>
      <c r="R80">
        <v>1.4274558068873999</v>
      </c>
      <c r="S80">
        <v>0.84541184798720004</v>
      </c>
    </row>
    <row r="81" spans="14:19" x14ac:dyDescent="0.2">
      <c r="N81" s="101">
        <f ca="1">_xll.qlYieldTSZeroRate($F$8,P81,$F$21)-R81/100</f>
        <v>-6.3122634371240161E-3</v>
      </c>
      <c r="O81" s="106">
        <f ca="1">_xll.qlYieldTSDiscount($F$8,P81)</f>
        <v>0.91789076318610685</v>
      </c>
      <c r="P81" s="102">
        <v>46583</v>
      </c>
      <c r="Q81">
        <v>4385</v>
      </c>
      <c r="R81">
        <v>1.4490104643799999</v>
      </c>
      <c r="S81">
        <v>0.84022988639270002</v>
      </c>
    </row>
    <row r="82" spans="14:19" x14ac:dyDescent="0.2">
      <c r="N82" s="101">
        <f ca="1">_xll.qlYieldTSZeroRate($F$8,P82,$F$21)-R82/100</f>
        <v>-6.2644563713230919E-3</v>
      </c>
      <c r="O82" s="106">
        <f ca="1">_xll.qlYieldTSDiscount($F$8,P82)</f>
        <v>0.91346029632642989</v>
      </c>
      <c r="P82" s="102">
        <v>46675</v>
      </c>
      <c r="Q82">
        <v>4477</v>
      </c>
      <c r="R82">
        <v>1.4701154298743999</v>
      </c>
      <c r="S82">
        <v>0.83500235507489995</v>
      </c>
    </row>
    <row r="83" spans="14:19" x14ac:dyDescent="0.2">
      <c r="N83" s="101">
        <f ca="1">_xll.qlYieldTSZeroRate($F$8,P83,$F$21)-R83/100</f>
        <v>-6.2195225786427222E-3</v>
      </c>
      <c r="O83" s="106">
        <f ca="1">_xll.qlYieldTSDiscount($F$8,P83)</f>
        <v>0.90905121440424441</v>
      </c>
      <c r="P83" s="102">
        <v>46767</v>
      </c>
      <c r="Q83">
        <v>4569</v>
      </c>
      <c r="R83">
        <v>1.4903193584937999</v>
      </c>
      <c r="S83">
        <v>0.82981265615120003</v>
      </c>
    </row>
    <row r="84" spans="14:19" x14ac:dyDescent="0.2">
      <c r="N84" s="101">
        <f ca="1">_xll.qlYieldTSZeroRate($F$8,P84,$F$21)-R84/100</f>
        <v>-6.1651741319600026E-3</v>
      </c>
      <c r="O84" s="106">
        <f ca="1">_xll.qlYieldTSDiscount($F$8,P84)</f>
        <v>0.90458618855957529</v>
      </c>
      <c r="P84" s="102">
        <v>46858</v>
      </c>
      <c r="Q84">
        <v>4660</v>
      </c>
      <c r="R84">
        <v>1.5094512232260999</v>
      </c>
      <c r="S84">
        <v>0.82471822319010002</v>
      </c>
    </row>
    <row r="85" spans="14:19" x14ac:dyDescent="0.2">
      <c r="N85" s="101">
        <f ca="1">_xll.qlYieldTSZeroRate($F$8,P85,$F$21)-R85/100</f>
        <v>-6.1117025686503717E-3</v>
      </c>
      <c r="O85" s="106">
        <f ca="1">_xll.qlYieldTSDiscount($F$8,P85)</f>
        <v>0.90012601870388442</v>
      </c>
      <c r="P85" s="102">
        <v>46949</v>
      </c>
      <c r="Q85">
        <v>4751</v>
      </c>
      <c r="R85">
        <v>1.5277689252986999</v>
      </c>
      <c r="S85">
        <v>0.81966373640279999</v>
      </c>
    </row>
    <row r="86" spans="14:19" x14ac:dyDescent="0.2">
      <c r="N86" s="101">
        <f ca="1">_xll.qlYieldTSZeroRate($F$8,P86,$F$21)-R86/100</f>
        <v>-6.0599337990900285E-3</v>
      </c>
      <c r="O86" s="106">
        <f ca="1">_xll.qlYieldTSDiscount($F$8,P86)</f>
        <v>0.89563919081005638</v>
      </c>
      <c r="P86" s="102">
        <v>47041</v>
      </c>
      <c r="Q86">
        <v>4843</v>
      </c>
      <c r="R86">
        <v>1.5454944802524999</v>
      </c>
      <c r="S86">
        <v>0.81459531973840005</v>
      </c>
    </row>
    <row r="87" spans="14:19" x14ac:dyDescent="0.2">
      <c r="N87" s="101">
        <f ca="1">_xll.qlYieldTSZeroRate($F$8,P87,$F$21)-R87/100</f>
        <v>-6.0101666156839144E-3</v>
      </c>
      <c r="O87" s="106">
        <f ca="1">_xll.qlYieldTSDiscount($F$8,P87)</f>
        <v>0.89117472825633692</v>
      </c>
      <c r="P87" s="102">
        <v>47133</v>
      </c>
      <c r="Q87">
        <v>4935</v>
      </c>
      <c r="R87">
        <v>1.5624567627582999</v>
      </c>
      <c r="S87">
        <v>0.80956945009140002</v>
      </c>
    </row>
    <row r="88" spans="14:19" x14ac:dyDescent="0.2">
      <c r="N88" s="101">
        <f ca="1">_xll.qlYieldTSZeroRate($F$8,P88,$F$21)-R88/100</f>
        <v>-5.9603077651171846E-3</v>
      </c>
      <c r="O88" s="106">
        <f ca="1">_xll.qlYieldTSDiscount($F$8,P88)</f>
        <v>0.88679771722963829</v>
      </c>
      <c r="P88" s="102">
        <v>47223</v>
      </c>
      <c r="Q88">
        <v>5025</v>
      </c>
      <c r="R88">
        <v>1.5783450019681</v>
      </c>
      <c r="S88">
        <v>0.80469439890859995</v>
      </c>
    </row>
    <row r="89" spans="14:19" x14ac:dyDescent="0.2">
      <c r="N89" s="101">
        <f ca="1">_xll.qlYieldTSZeroRate($F$8,P89,$F$21)-R89/100</f>
        <v>-5.911126767958897E-3</v>
      </c>
      <c r="O89" s="106">
        <f ca="1">_xll.qlYieldTSDiscount($F$8,P89)</f>
        <v>0.88238956795227774</v>
      </c>
      <c r="P89" s="102">
        <v>47314</v>
      </c>
      <c r="Q89">
        <v>5116</v>
      </c>
      <c r="R89">
        <v>1.5937338890113</v>
      </c>
      <c r="S89">
        <v>0.79980708182430005</v>
      </c>
    </row>
    <row r="90" spans="14:19" x14ac:dyDescent="0.2">
      <c r="N90" s="101">
        <f ca="1">_xll.qlYieldTSZeroRate($F$8,P90,$F$21)-R90/100</f>
        <v>-5.8629221479535847E-3</v>
      </c>
      <c r="O90" s="106">
        <f ca="1">_xll.qlYieldTSDiscount($F$8,P90)</f>
        <v>0.87795525188557444</v>
      </c>
      <c r="P90" s="102">
        <v>47406</v>
      </c>
      <c r="Q90">
        <v>5208</v>
      </c>
      <c r="R90">
        <v>1.6086350855027001</v>
      </c>
      <c r="S90">
        <v>0.79490872122050005</v>
      </c>
    </row>
    <row r="91" spans="14:19" x14ac:dyDescent="0.2">
      <c r="N91" s="101">
        <f ca="1">_xll.qlYieldTSZeroRate($F$8,P91,$F$21)-R91/100</f>
        <v>-5.8161159640440982E-3</v>
      </c>
      <c r="O91" s="106">
        <f ca="1">_xll.qlYieldTSDiscount($F$8,P91)</f>
        <v>0.87354321980736516</v>
      </c>
      <c r="P91" s="102">
        <v>47498</v>
      </c>
      <c r="Q91">
        <v>5300</v>
      </c>
      <c r="R91">
        <v>1.6229103975676999</v>
      </c>
      <c r="S91">
        <v>0.7900528141616</v>
      </c>
    </row>
    <row r="92" spans="14:19" x14ac:dyDescent="0.2">
      <c r="N92" s="101">
        <f ca="1">_xll.qlYieldTSZeroRate($F$8,P92,$F$21)-R92/100</f>
        <v>-5.7673102244115808E-3</v>
      </c>
      <c r="O92" s="106">
        <f ca="1">_xll.qlYieldTSDiscount($F$8,P92)</f>
        <v>0.86919930808487789</v>
      </c>
      <c r="P92" s="102">
        <v>47588</v>
      </c>
      <c r="Q92">
        <v>5390</v>
      </c>
      <c r="R92">
        <v>1.636303019179</v>
      </c>
      <c r="S92">
        <v>0.78534286629859995</v>
      </c>
    </row>
    <row r="93" spans="14:19" x14ac:dyDescent="0.2">
      <c r="N93" s="101">
        <f ca="1">_xll.qlYieldTSZeroRate($F$8,P93,$F$21)-R93/100</f>
        <v>-5.7186197276711242E-3</v>
      </c>
      <c r="O93" s="106">
        <f ca="1">_xll.qlYieldTSDiscount($F$8,P93)</f>
        <v>0.86482072830526413</v>
      </c>
      <c r="P93" s="102">
        <v>47679</v>
      </c>
      <c r="Q93">
        <v>5481</v>
      </c>
      <c r="R93">
        <v>1.6493022385389</v>
      </c>
      <c r="S93">
        <v>0.78062027266269995</v>
      </c>
    </row>
    <row r="94" spans="14:19" x14ac:dyDescent="0.2">
      <c r="N94" s="101">
        <f ca="1">_xll.qlYieldTSZeroRate($F$8,P94,$F$21)-R94/100</f>
        <v>-5.5444685654804406E-3</v>
      </c>
      <c r="O94" s="106">
        <f ca="1">_xll.qlYieldTSDiscount($F$8,P94)</f>
        <v>0.84753975374847812</v>
      </c>
      <c r="P94" s="102">
        <v>48044</v>
      </c>
      <c r="Q94">
        <v>5846</v>
      </c>
      <c r="R94">
        <v>1.6968763706194001</v>
      </c>
      <c r="S94">
        <v>0.76202252917919999</v>
      </c>
    </row>
    <row r="95" spans="14:19" x14ac:dyDescent="0.2">
      <c r="N95" s="101">
        <f ca="1">_xll.qlYieldTSZeroRate($F$8,P95,$F$21)-R95/100</f>
        <v>-5.3922074167353402E-3</v>
      </c>
      <c r="O95" s="106">
        <f ca="1">_xll.qlYieldTSDiscount($F$8,P95)</f>
        <v>0.83078273945980119</v>
      </c>
      <c r="P95" s="102">
        <v>48410</v>
      </c>
      <c r="Q95">
        <v>6212</v>
      </c>
      <c r="R95">
        <v>1.7366414016625999</v>
      </c>
      <c r="S95">
        <v>0.74411320921739998</v>
      </c>
    </row>
    <row r="96" spans="14:19" x14ac:dyDescent="0.2">
      <c r="N96" s="101">
        <f ca="1">_xll.qlYieldTSZeroRate($F$8,P96,$F$21)-R96/100</f>
        <v>-5.2550466030899506E-3</v>
      </c>
      <c r="O96" s="106">
        <f ca="1">_xll.qlYieldTSDiscount($F$8,P96)</f>
        <v>0.81472299751645716</v>
      </c>
      <c r="P96" s="102">
        <v>48775</v>
      </c>
      <c r="Q96">
        <v>6577</v>
      </c>
      <c r="R96">
        <v>1.768707667448</v>
      </c>
      <c r="S96">
        <v>0.72708885725990002</v>
      </c>
    </row>
    <row r="97" spans="14:19" x14ac:dyDescent="0.2">
      <c r="N97" s="101">
        <f ca="1">_xll.qlYieldTSZeroRate($F$8,P97,$F$21)-R97/100</f>
        <v>-5.1236407642837444E-3</v>
      </c>
      <c r="O97" s="106">
        <f ca="1">_xll.qlYieldTSDiscount($F$8,P97)</f>
        <v>0.799335615395389</v>
      </c>
      <c r="P97" s="102">
        <v>49140</v>
      </c>
      <c r="Q97">
        <v>6942</v>
      </c>
      <c r="R97">
        <v>1.7935213816346001</v>
      </c>
      <c r="S97">
        <v>0.71097854494860002</v>
      </c>
    </row>
    <row r="98" spans="14:19" x14ac:dyDescent="0.2">
      <c r="N98" s="101">
        <f ca="1">_xll.qlYieldTSZeroRate($F$8,P98,$F$21)-R98/100</f>
        <v>-4.9880586665724952E-3</v>
      </c>
      <c r="O98" s="106">
        <f ca="1">_xll.qlYieldTSDiscount($F$8,P98)</f>
        <v>0.7845529409298192</v>
      </c>
      <c r="P98" s="102">
        <v>49506</v>
      </c>
      <c r="Q98">
        <v>7308</v>
      </c>
      <c r="R98">
        <v>1.8114492234255</v>
      </c>
      <c r="S98">
        <v>0.69580427334700001</v>
      </c>
    </row>
    <row r="99" spans="14:19" x14ac:dyDescent="0.2">
      <c r="N99" s="101">
        <f ca="1">_xll.qlYieldTSZeroRate($F$8,P99,$F$21)-R99/100</f>
        <v>-4.8672605994414964E-3</v>
      </c>
      <c r="O99" s="106">
        <f ca="1">_xll.qlYieldTSDiscount($F$8,P99)</f>
        <v>0.77046127529892461</v>
      </c>
      <c r="P99" s="102">
        <v>49872</v>
      </c>
      <c r="Q99">
        <v>7674</v>
      </c>
      <c r="R99">
        <v>1.8248330176848</v>
      </c>
      <c r="S99">
        <v>0.68135971765079995</v>
      </c>
    </row>
    <row r="100" spans="14:19" x14ac:dyDescent="0.2">
      <c r="N100" s="101">
        <f ca="1">_xll.qlYieldTSZeroRate($F$8,P100,$F$21)-R100/100</f>
        <v>-4.7436967365623375E-3</v>
      </c>
      <c r="O100" s="106">
        <f ca="1">_xll.qlYieldTSDiscount($F$8,P100)</f>
        <v>0.75703602878554377</v>
      </c>
      <c r="P100" s="102">
        <v>50237</v>
      </c>
      <c r="Q100">
        <v>8039</v>
      </c>
      <c r="R100">
        <v>1.8329644565620999</v>
      </c>
      <c r="S100">
        <v>0.66784167682219997</v>
      </c>
    </row>
    <row r="101" spans="14:19" x14ac:dyDescent="0.2">
      <c r="N101" s="101">
        <f ca="1">_xll.qlYieldTSZeroRate($F$8,P101,$F$21)-R101/100</f>
        <v>-4.6138819351770124E-3</v>
      </c>
      <c r="O101" s="106">
        <f ca="1">_xll.qlYieldTSDiscount($F$8,P101)</f>
        <v>0.74405071663682909</v>
      </c>
      <c r="P101" s="102">
        <v>50602</v>
      </c>
      <c r="Q101">
        <v>8404</v>
      </c>
      <c r="R101">
        <v>1.8372752114527999</v>
      </c>
      <c r="S101">
        <v>0.65506138813269998</v>
      </c>
    </row>
    <row r="102" spans="14:19" x14ac:dyDescent="0.2">
      <c r="N102" s="101">
        <f ca="1">_xll.qlYieldTSZeroRate($F$8,P102,$F$21)-R102/100</f>
        <v>-4.5044482502209476E-3</v>
      </c>
      <c r="O102" s="106">
        <f ca="1">_xll.qlYieldTSDiscount($F$8,P102)</f>
        <v>0.73177082078282563</v>
      </c>
      <c r="P102" s="102">
        <v>50967</v>
      </c>
      <c r="Q102">
        <v>8769</v>
      </c>
      <c r="R102">
        <v>1.8391519844735</v>
      </c>
      <c r="S102">
        <v>0.64284607711490005</v>
      </c>
    </row>
    <row r="103" spans="14:19" x14ac:dyDescent="0.2">
      <c r="N103" s="101">
        <f ca="1">_xll.qlYieldTSZeroRate($F$8,P103,$F$21)-R103/100</f>
        <v>-4.4144009877014508E-3</v>
      </c>
      <c r="O103" s="106">
        <f ca="1">_xll.qlYieldTSDiscount($F$8,P103)</f>
        <v>0.71998592773818992</v>
      </c>
      <c r="P103" s="102">
        <v>51333</v>
      </c>
      <c r="Q103">
        <v>9135</v>
      </c>
      <c r="R103">
        <v>1.8399835833684</v>
      </c>
      <c r="S103">
        <v>0.63096808199249999</v>
      </c>
    </row>
    <row r="104" spans="14:19" x14ac:dyDescent="0.2">
      <c r="N104" s="101">
        <f ca="1">_xll.qlYieldTSZeroRate($F$8,P104,$F$21)-R104/100</f>
        <v>-4.3244067368441493E-3</v>
      </c>
      <c r="O104" s="106">
        <f ca="1">_xll.qlYieldTSDiscount($F$8,P104)</f>
        <v>0.70845002677637492</v>
      </c>
      <c r="P104" s="102">
        <v>51698</v>
      </c>
      <c r="Q104">
        <v>9500</v>
      </c>
      <c r="R104">
        <v>1.839831332643</v>
      </c>
      <c r="S104">
        <v>0.6194890771014</v>
      </c>
    </row>
    <row r="105" spans="14:19" x14ac:dyDescent="0.2">
      <c r="N105" s="101">
        <f ca="1">_xll.qlYieldTSZeroRate($F$8,P105,$F$21)-R105/100</f>
        <v>-4.2520842729970709E-3</v>
      </c>
      <c r="O105" s="106">
        <f ca="1">_xll.qlYieldTSDiscount($F$8,P105)</f>
        <v>0.69724805979774573</v>
      </c>
      <c r="P105" s="102">
        <v>52063</v>
      </c>
      <c r="Q105">
        <v>9865</v>
      </c>
      <c r="R105">
        <v>1.8399131007909999</v>
      </c>
      <c r="S105">
        <v>0.60818228992650003</v>
      </c>
    </row>
    <row r="106" spans="14:19" x14ac:dyDescent="0.2">
      <c r="N106" s="101">
        <f ca="1">_xll.qlYieldTSZeroRate($F$8,P106,$F$21)-R106/100</f>
        <v>-4.1918663013266761E-3</v>
      </c>
      <c r="O106" s="106">
        <f ca="1">_xll.qlYieldTSDiscount($F$8,P106)</f>
        <v>0.68632019353905005</v>
      </c>
      <c r="P106" s="102">
        <v>52428</v>
      </c>
      <c r="Q106">
        <v>10230</v>
      </c>
      <c r="R106">
        <v>1.8401196851391</v>
      </c>
      <c r="S106">
        <v>0.59706000830429995</v>
      </c>
    </row>
    <row r="107" spans="14:19" x14ac:dyDescent="0.2">
      <c r="N107" s="101">
        <f ca="1">_xll.qlYieldTSZeroRate($F$8,P107,$F$21)-R107/100</f>
        <v>-4.1435429595933371E-3</v>
      </c>
      <c r="O107" s="106">
        <f ca="1">_xll.qlYieldTSDiscount($F$8,P107)</f>
        <v>0.67567096352044587</v>
      </c>
      <c r="P107" s="102">
        <v>52794</v>
      </c>
      <c r="Q107">
        <v>10596</v>
      </c>
      <c r="R107">
        <v>1.8403424130832</v>
      </c>
      <c r="S107">
        <v>0.58610640725950003</v>
      </c>
    </row>
    <row r="108" spans="14:19" x14ac:dyDescent="0.2">
      <c r="N108" s="101">
        <f ca="1">_xll.qlYieldTSZeroRate($F$8,P108,$F$21)-R108/100</f>
        <v>-4.1055554745270204E-3</v>
      </c>
      <c r="O108" s="106">
        <f ca="1">_xll.qlYieldTSDiscount($F$8,P108)</f>
        <v>0.66533336343551464</v>
      </c>
      <c r="P108" s="102">
        <v>53160</v>
      </c>
      <c r="Q108">
        <v>10962</v>
      </c>
      <c r="R108">
        <v>1.8404707375335001</v>
      </c>
      <c r="S108">
        <v>0.57536750251839996</v>
      </c>
    </row>
    <row r="109" spans="14:19" x14ac:dyDescent="0.2">
      <c r="N109" s="101">
        <f ca="1">_xll.qlYieldTSZeroRate($F$8,P109,$F$21)-R109/100</f>
        <v>-4.0893641321294739E-3</v>
      </c>
      <c r="O109" s="106">
        <f ca="1">_xll.qlYieldTSDiscount($F$8,P109)</f>
        <v>0.65522027803973215</v>
      </c>
      <c r="P109" s="102">
        <v>53525</v>
      </c>
      <c r="Q109">
        <v>11327</v>
      </c>
      <c r="R109">
        <v>1.8423015079517999</v>
      </c>
      <c r="S109">
        <v>0.56455404768189998</v>
      </c>
    </row>
    <row r="110" spans="14:19" x14ac:dyDescent="0.2">
      <c r="N110" s="101">
        <f ca="1">_xll.qlYieldTSZeroRate($F$8,P110,$F$21)-R110/100</f>
        <v>-4.0838238061712984E-3</v>
      </c>
      <c r="O110" s="106">
        <f ca="1">_xll.qlYieldTSDiscount($F$8,P110)</f>
        <v>0.64548927221094388</v>
      </c>
      <c r="P110" s="102">
        <v>53890</v>
      </c>
      <c r="Q110">
        <v>11692</v>
      </c>
      <c r="R110">
        <v>1.8438108343609001</v>
      </c>
      <c r="S110">
        <v>0.5539805775744</v>
      </c>
    </row>
    <row r="111" spans="14:19" x14ac:dyDescent="0.2">
      <c r="N111" s="101">
        <f ca="1">_xll.qlYieldTSZeroRate($F$8,P111,$F$21)-R111/100</f>
        <v>-4.0899036223050501E-3</v>
      </c>
      <c r="O111" s="106">
        <f ca="1">_xll.qlYieldTSDiscount($F$8,P111)</f>
        <v>0.63617189692646936</v>
      </c>
      <c r="P111" s="102">
        <v>54256</v>
      </c>
      <c r="Q111">
        <v>12058</v>
      </c>
      <c r="R111">
        <v>1.8448828820237</v>
      </c>
      <c r="S111">
        <v>0.54363977343960002</v>
      </c>
    </row>
    <row r="112" spans="14:19" x14ac:dyDescent="0.2">
      <c r="N112" s="101">
        <f ca="1">_xll.qlYieldTSZeroRate($F$8,P112,$F$21)-R112/100</f>
        <v>-4.0906667145801205E-3</v>
      </c>
      <c r="O112" s="106">
        <f ca="1">_xll.qlYieldTSDiscount($F$8,P112)</f>
        <v>0.62701392254706001</v>
      </c>
      <c r="P112" s="102">
        <v>54621</v>
      </c>
      <c r="Q112">
        <v>12423</v>
      </c>
      <c r="R112">
        <v>1.8453934692613001</v>
      </c>
      <c r="S112">
        <v>0.53360946689739996</v>
      </c>
    </row>
    <row r="113" spans="14:19" x14ac:dyDescent="0.2">
      <c r="N113" s="101">
        <f ca="1">_xll.qlYieldTSZeroRate($F$8,P113,$F$21)-R113/100</f>
        <v>-4.0849297989323501E-3</v>
      </c>
      <c r="O113" s="106">
        <f ca="1">_xll.qlYieldTSDiscount($F$8,P113)</f>
        <v>0.61798778123845921</v>
      </c>
      <c r="P113" s="102">
        <v>54986</v>
      </c>
      <c r="Q113">
        <v>12788</v>
      </c>
      <c r="R113">
        <v>1.8452281276010001</v>
      </c>
      <c r="S113">
        <v>0.52388292290329996</v>
      </c>
    </row>
    <row r="114" spans="14:19" x14ac:dyDescent="0.2">
      <c r="N114" s="101">
        <f ca="1">_xll.qlYieldTSZeroRate($F$8,P114,$F$21)-R114/100</f>
        <v>-4.0714897901086861E-3</v>
      </c>
      <c r="O114" s="106">
        <f ca="1">_xll.qlYieldTSDiscount($F$8,P114)</f>
        <v>0.60909157520560453</v>
      </c>
      <c r="P114" s="102">
        <v>55351</v>
      </c>
      <c r="Q114">
        <v>13153</v>
      </c>
      <c r="R114">
        <v>1.8442688032248999</v>
      </c>
      <c r="S114">
        <v>0.51448255446799995</v>
      </c>
    </row>
    <row r="115" spans="14:19" x14ac:dyDescent="0.2">
      <c r="N115" s="101">
        <f ca="1">_xll.qlYieldTSZeroRate($F$8,P115,$F$21)-R115/100</f>
        <v>-4.0490715984723858E-3</v>
      </c>
      <c r="O115" s="106">
        <f ca="1">_xll.qlYieldTSDiscount($F$8,P115)</f>
        <v>0.60029958588351429</v>
      </c>
      <c r="P115" s="102">
        <v>55717</v>
      </c>
      <c r="Q115">
        <v>13519</v>
      </c>
      <c r="R115">
        <v>1.8423909542556001</v>
      </c>
      <c r="S115">
        <v>0.50540695457950002</v>
      </c>
    </row>
    <row r="116" spans="14:19" x14ac:dyDescent="0.2">
      <c r="N116" s="101">
        <f ca="1">_xll.qlYieldTSZeroRate($F$8,P116,$F$21)-R116/100</f>
        <v>-4.0165966409902547E-3</v>
      </c>
      <c r="O116" s="106">
        <f ca="1">_xll.qlYieldTSDiscount($F$8,P116)</f>
        <v>0.59165800920580913</v>
      </c>
      <c r="P116" s="102">
        <v>56082</v>
      </c>
      <c r="Q116">
        <v>13884</v>
      </c>
      <c r="R116">
        <v>1.8394865186681</v>
      </c>
      <c r="S116">
        <v>0.49672911904759998</v>
      </c>
    </row>
    <row r="117" spans="14:19" x14ac:dyDescent="0.2">
      <c r="N117" s="101">
        <f ca="1">_xll.qlYieldTSZeroRate($F$8,P117,$F$21)-R117/100</f>
        <v>-3.9728199661977354E-3</v>
      </c>
      <c r="O117" s="106">
        <f ca="1">_xll.qlYieldTSDiscount($F$8,P117)</f>
        <v>0.58314083182677523</v>
      </c>
      <c r="P117" s="102">
        <v>56447</v>
      </c>
      <c r="Q117">
        <v>14249</v>
      </c>
      <c r="R117">
        <v>1.835433615476</v>
      </c>
      <c r="S117">
        <v>0.48844758457819998</v>
      </c>
    </row>
    <row r="118" spans="14:19" x14ac:dyDescent="0.2">
      <c r="N118" s="101">
        <f ca="1">_xll.qlYieldTSZeroRate($F$8,P118,$F$21)-R118/100</f>
        <v>-3.9168913379014677E-3</v>
      </c>
      <c r="O118" s="106">
        <f ca="1">_xll.qlYieldTSDiscount($F$8,P118)</f>
        <v>0.57479192973719717</v>
      </c>
      <c r="P118" s="102">
        <v>56810</v>
      </c>
      <c r="Q118">
        <v>14612</v>
      </c>
      <c r="R118">
        <v>1.8301470031563001</v>
      </c>
      <c r="S118">
        <v>0.48062857840790002</v>
      </c>
    </row>
    <row r="119" spans="14:19" x14ac:dyDescent="0.2">
      <c r="N119" s="101">
        <f ca="1">_xll.qlYieldTSZeroRate($F$8,P119,$F$21)-R119/100</f>
        <v>-3.8828527816504518E-3</v>
      </c>
      <c r="O119" s="106">
        <f ca="1">_xll.qlYieldTSDiscount($F$8,P119)</f>
        <v>0.56649504185631128</v>
      </c>
      <c r="P119" s="102">
        <v>57176</v>
      </c>
      <c r="Q119">
        <v>14978</v>
      </c>
      <c r="R119">
        <v>1.8270363154061</v>
      </c>
      <c r="S119">
        <v>0.4724914560813</v>
      </c>
    </row>
    <row r="120" spans="14:19" x14ac:dyDescent="0.2">
      <c r="N120" s="101">
        <f ca="1">_xll.qlYieldTSZeroRate($F$8,P120,$F$21)-R120/100</f>
        <v>-3.8755616020192795E-3</v>
      </c>
      <c r="O120" s="106">
        <f ca="1">_xll.qlYieldTSDiscount($F$8,P120)</f>
        <v>0.55922222723673087</v>
      </c>
      <c r="P120" s="102">
        <v>57541</v>
      </c>
      <c r="Q120">
        <v>15343</v>
      </c>
      <c r="R120">
        <v>1.8226870241574</v>
      </c>
      <c r="S120">
        <v>0.46478621753549998</v>
      </c>
    </row>
    <row r="121" spans="14:19" x14ac:dyDescent="0.2">
      <c r="N121" s="101">
        <f ca="1">_xll.qlYieldTSZeroRate($F$8,P121,$F$21)-R121/100</f>
        <v>-3.8990916208096593E-3</v>
      </c>
      <c r="O121" s="106">
        <f ca="1">_xll.qlYieldTSDiscount($F$8,P121)</f>
        <v>0.55304334265700805</v>
      </c>
      <c r="P121" s="102">
        <v>57906</v>
      </c>
      <c r="Q121">
        <v>15708</v>
      </c>
      <c r="R121">
        <v>1.8172307417514999</v>
      </c>
      <c r="S121">
        <v>0.45746429006299999</v>
      </c>
    </row>
    <row r="122" spans="14:19" x14ac:dyDescent="0.2">
      <c r="N122" s="101">
        <f ca="1">_xll.qlYieldTSZeroRate($F$8,P122,$F$21)-R122/100</f>
        <v>-3.9092594440891769E-3</v>
      </c>
      <c r="O122" s="106">
        <f ca="1">_xll.qlYieldTSDiscount($F$8,P122)</f>
        <v>0.54693272899498147</v>
      </c>
      <c r="P122" s="102">
        <v>58271</v>
      </c>
      <c r="Q122">
        <v>16073</v>
      </c>
      <c r="R122">
        <v>1.8108057473710999</v>
      </c>
      <c r="S122">
        <v>0.45049897672540001</v>
      </c>
    </row>
    <row r="123" spans="14:19" x14ac:dyDescent="0.2">
      <c r="N123" s="101">
        <f ca="1">_xll.qlYieldTSZeroRate($F$8,P123,$F$21)-R123/100</f>
        <v>-3.9076824338074804E-3</v>
      </c>
      <c r="O123" s="106">
        <f ca="1">_xll.qlYieldTSDiscount($F$8,P123)</f>
        <v>0.54087316754617809</v>
      </c>
      <c r="P123" s="102">
        <v>58637</v>
      </c>
      <c r="Q123">
        <v>16439</v>
      </c>
      <c r="R123">
        <v>1.8035294284225001</v>
      </c>
      <c r="S123">
        <v>0.4438449418989</v>
      </c>
    </row>
    <row r="124" spans="14:19" x14ac:dyDescent="0.2">
      <c r="N124" s="101">
        <f ca="1">_xll.qlYieldTSZeroRate($F$8,P124,$F$21)-R124/100</f>
        <v>-3.8959863340071784E-3</v>
      </c>
      <c r="O124" s="106">
        <f ca="1">_xll.qlYieldTSDiscount($F$8,P124)</f>
        <v>0.53489702298008934</v>
      </c>
      <c r="P124" s="102">
        <v>59002</v>
      </c>
      <c r="Q124">
        <v>16804</v>
      </c>
      <c r="R124">
        <v>1.7955801412732</v>
      </c>
      <c r="S124">
        <v>0.43751005934670001</v>
      </c>
    </row>
    <row r="125" spans="14:19" x14ac:dyDescent="0.2">
      <c r="N125" s="101">
        <f ca="1">_xll.qlYieldTSZeroRate($F$8,P125,$F$21)-R125/100</f>
        <v>-3.875775290261424E-3</v>
      </c>
      <c r="O125" s="106">
        <f ca="1">_xll.qlYieldTSDiscount($F$8,P125)</f>
        <v>0.52898690924344027</v>
      </c>
      <c r="P125" s="102">
        <v>59367</v>
      </c>
      <c r="Q125">
        <v>17169</v>
      </c>
      <c r="R125">
        <v>1.7870773585452</v>
      </c>
      <c r="S125">
        <v>0.43144647816670001</v>
      </c>
    </row>
    <row r="126" spans="14:19" x14ac:dyDescent="0.2">
      <c r="N126" s="101">
        <f ca="1">_xll.qlYieldTSZeroRate($F$8,P126,$F$21)-R126/100</f>
        <v>-3.8486243460371279E-3</v>
      </c>
      <c r="O126" s="106">
        <f ca="1">_xll.qlYieldTSDiscount($F$8,P126)</f>
        <v>0.52314209675708701</v>
      </c>
      <c r="P126" s="102">
        <v>59732</v>
      </c>
      <c r="Q126">
        <v>17534</v>
      </c>
      <c r="R126">
        <v>1.7781593594214999</v>
      </c>
      <c r="S126">
        <v>0.42562418102560001</v>
      </c>
    </row>
    <row r="127" spans="14:19" x14ac:dyDescent="0.2">
      <c r="N127" s="101">
        <f ca="1">_xll.qlYieldTSZeroRate($F$8,P127,$F$21)-R127/100</f>
        <v>-3.8159972546842509E-3</v>
      </c>
      <c r="O127" s="106">
        <f ca="1">_xll.qlYieldTSDiscount($F$8,P127)</f>
        <v>0.51734611580056167</v>
      </c>
      <c r="P127" s="102">
        <v>60098</v>
      </c>
      <c r="Q127">
        <v>17900</v>
      </c>
      <c r="R127">
        <v>1.7689389778749001</v>
      </c>
      <c r="S127">
        <v>0.41999727308419998</v>
      </c>
    </row>
    <row r="128" spans="14:19" x14ac:dyDescent="0.2">
      <c r="N128" s="101">
        <f ca="1">_xll.qlYieldTSZeroRate($F$8,P128,$F$21)-R128/100</f>
        <v>-3.779620149759964E-3</v>
      </c>
      <c r="O128" s="106">
        <f ca="1">_xll.qlYieldTSDiscount($F$8,P128)</f>
        <v>0.51162992323594403</v>
      </c>
      <c r="P128" s="102">
        <v>60463</v>
      </c>
      <c r="Q128">
        <v>18265</v>
      </c>
      <c r="R128">
        <v>1.7596051935659001</v>
      </c>
      <c r="S128">
        <v>0.41456490840429999</v>
      </c>
    </row>
  </sheetData>
  <dataValidations count="5">
    <dataValidation type="list" allowBlank="1" showInputMessage="1" showErrorMessage="1" sqref="F14" xr:uid="{00000000-0002-0000-0C00-000000000000}">
      <formula1>"Discount,ZeroYield,ForwardRate"</formula1>
    </dataValidation>
    <dataValidation type="list" allowBlank="1" showInputMessage="1" showErrorMessage="1" sqref="F15" xr:uid="{00000000-0002-0000-0C00-000001000000}">
      <formula1>"BackwardFlat,ForwardFlat,Linear,LogLinear,Cubic,LogCubic"</formula1>
    </dataValidation>
    <dataValidation type="list" allowBlank="1" showInputMessage="1" showErrorMessage="1" sqref="F5" xr:uid="{00000000-0002-0000-0C00-000002000000}">
      <formula1>"AllDepos,DeposBeforeFirstFuturesStartDate,DeposBeforeFirstFuturesStartDatePlusOne,DeposBeforeFirstFuturesExpiryDate"</formula1>
    </dataValidation>
    <dataValidation type="list" allowBlank="1" showInputMessage="1" showErrorMessage="1" sqref="F13" xr:uid="{00000000-0002-0000-0C00-000003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12" xr:uid="{00000000-0002-0000-0C00-000004000000}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7"/>
  <dimension ref="A1:V540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V1" sqref="V1"/>
    </sheetView>
  </sheetViews>
  <sheetFormatPr defaultRowHeight="11.25" x14ac:dyDescent="0.2"/>
  <cols>
    <col min="6" max="6" width="20.83203125" customWidth="1"/>
    <col min="7" max="10" width="12" customWidth="1"/>
    <col min="11" max="11" width="12.83203125" customWidth="1"/>
    <col min="12" max="14" width="11.33203125" customWidth="1"/>
    <col min="15" max="15" width="13.1640625" customWidth="1"/>
    <col min="16" max="16" width="12.6640625" customWidth="1"/>
    <col min="17" max="22" width="13.5" customWidth="1"/>
  </cols>
  <sheetData>
    <row r="1" spans="1:22" x14ac:dyDescent="0.2">
      <c r="G1" s="102">
        <v>42551</v>
      </c>
      <c r="H1" s="102">
        <v>42613</v>
      </c>
      <c r="I1" s="102">
        <v>42643</v>
      </c>
      <c r="J1" s="102">
        <v>42654</v>
      </c>
      <c r="K1" s="102">
        <v>42657</v>
      </c>
      <c r="L1" s="102">
        <v>42661</v>
      </c>
      <c r="M1" s="102">
        <v>42667</v>
      </c>
      <c r="N1" s="102">
        <v>42670</v>
      </c>
      <c r="O1" s="102">
        <v>42685</v>
      </c>
      <c r="P1" s="102">
        <v>42689</v>
      </c>
      <c r="Q1" s="102">
        <v>42702</v>
      </c>
      <c r="R1" s="102">
        <v>42704</v>
      </c>
      <c r="S1" s="102">
        <v>42713</v>
      </c>
      <c r="T1" s="102">
        <v>42720</v>
      </c>
      <c r="U1" s="102">
        <v>42723</v>
      </c>
      <c r="V1" s="102">
        <v>42759</v>
      </c>
    </row>
    <row r="2" spans="1:22" x14ac:dyDescent="0.2">
      <c r="A2" t="s">
        <v>1079</v>
      </c>
      <c r="B2" t="s">
        <v>998</v>
      </c>
      <c r="C2" t="s">
        <v>92</v>
      </c>
      <c r="D2">
        <v>99991231</v>
      </c>
      <c r="F2" t="s">
        <v>1080</v>
      </c>
      <c r="G2">
        <v>-0.375</v>
      </c>
      <c r="H2">
        <v>-0.4</v>
      </c>
      <c r="I2">
        <v>-0.41249999999999998</v>
      </c>
      <c r="J2">
        <v>-0.41249999999999998</v>
      </c>
      <c r="K2">
        <v>-0.4</v>
      </c>
      <c r="L2">
        <v>-0.41</v>
      </c>
      <c r="M2">
        <v>-0.41</v>
      </c>
      <c r="N2">
        <v>-0.42749999999999999</v>
      </c>
      <c r="O2">
        <v>-0.41</v>
      </c>
      <c r="P2">
        <v>-0.41</v>
      </c>
      <c r="Q2">
        <v>-0.40500000000000003</v>
      </c>
      <c r="R2">
        <v>-0.40250000000000002</v>
      </c>
      <c r="S2">
        <v>-0.39750000000000002</v>
      </c>
      <c r="T2">
        <v>-0.41</v>
      </c>
      <c r="U2">
        <v>-0.41</v>
      </c>
      <c r="V2">
        <v>-0.41</v>
      </c>
    </row>
    <row r="3" spans="1:22" x14ac:dyDescent="0.2">
      <c r="A3" t="s">
        <v>1079</v>
      </c>
      <c r="B3" t="s">
        <v>998</v>
      </c>
      <c r="C3" t="s">
        <v>150</v>
      </c>
      <c r="D3">
        <v>99991231</v>
      </c>
      <c r="F3" t="s">
        <v>1081</v>
      </c>
      <c r="G3">
        <v>-0.39500000000000002</v>
      </c>
      <c r="H3">
        <v>-0.41249999999999998</v>
      </c>
      <c r="I3">
        <v>-0.41</v>
      </c>
      <c r="J3">
        <v>-0.42</v>
      </c>
      <c r="K3">
        <v>-0.41249999999999998</v>
      </c>
      <c r="L3">
        <v>-0.40500000000000003</v>
      </c>
      <c r="M3">
        <v>-0.41</v>
      </c>
      <c r="N3">
        <v>-0.41</v>
      </c>
      <c r="O3">
        <v>-0.41</v>
      </c>
      <c r="P3">
        <v>-0.41</v>
      </c>
      <c r="Q3">
        <v>-0.41249999999999998</v>
      </c>
      <c r="R3">
        <v>-0.41249999999999998</v>
      </c>
      <c r="S3">
        <v>-0.41749999999999998</v>
      </c>
      <c r="T3">
        <v>-0.41</v>
      </c>
      <c r="U3">
        <v>-0.42499999999999999</v>
      </c>
      <c r="V3">
        <v>-0.41</v>
      </c>
    </row>
    <row r="4" spans="1:22" x14ac:dyDescent="0.2">
      <c r="A4" t="s">
        <v>1079</v>
      </c>
      <c r="B4" t="s">
        <v>998</v>
      </c>
      <c r="C4" t="s">
        <v>93</v>
      </c>
      <c r="D4">
        <v>99991231</v>
      </c>
      <c r="F4" t="s">
        <v>1082</v>
      </c>
      <c r="G4">
        <v>-0.371</v>
      </c>
      <c r="H4">
        <v>-0.38</v>
      </c>
      <c r="I4">
        <v>-0.38100000000000001</v>
      </c>
      <c r="J4">
        <v>-0.38100000000000001</v>
      </c>
      <c r="K4">
        <v>-0.379</v>
      </c>
      <c r="L4">
        <v>-0.38100000000000001</v>
      </c>
      <c r="M4">
        <v>-0.38</v>
      </c>
      <c r="N4">
        <v>-0.379</v>
      </c>
      <c r="O4">
        <v>-0.379</v>
      </c>
      <c r="P4">
        <v>-0.38100000000000001</v>
      </c>
      <c r="Q4">
        <v>-0.38</v>
      </c>
      <c r="R4">
        <v>-0.38</v>
      </c>
      <c r="S4">
        <v>-0.379</v>
      </c>
      <c r="T4">
        <v>-0.38100000000000001</v>
      </c>
      <c r="U4">
        <v>-0.38</v>
      </c>
      <c r="V4">
        <v>-0.379</v>
      </c>
    </row>
    <row r="5" spans="1:22" x14ac:dyDescent="0.2">
      <c r="A5" t="s">
        <v>1079</v>
      </c>
      <c r="B5" t="s">
        <v>998</v>
      </c>
      <c r="C5" t="s">
        <v>94</v>
      </c>
      <c r="D5">
        <v>99991231</v>
      </c>
      <c r="F5" t="s">
        <v>1083</v>
      </c>
      <c r="G5">
        <v>-0.37</v>
      </c>
      <c r="H5">
        <v>-0.377</v>
      </c>
      <c r="I5">
        <v>-0.373</v>
      </c>
      <c r="J5">
        <v>-0.372</v>
      </c>
      <c r="K5">
        <v>-0.372</v>
      </c>
      <c r="L5">
        <v>-0.373</v>
      </c>
      <c r="M5">
        <v>-0.373</v>
      </c>
      <c r="N5">
        <v>-0.374</v>
      </c>
      <c r="O5">
        <v>-0.376</v>
      </c>
      <c r="P5">
        <v>-0.375</v>
      </c>
      <c r="Q5">
        <v>-0.374</v>
      </c>
      <c r="R5">
        <v>-0.374</v>
      </c>
      <c r="S5">
        <v>-0.373</v>
      </c>
      <c r="T5">
        <v>-0.371</v>
      </c>
      <c r="U5">
        <v>-0.371</v>
      </c>
      <c r="V5">
        <v>-0.372</v>
      </c>
    </row>
    <row r="6" spans="1:22" x14ac:dyDescent="0.2">
      <c r="A6" t="s">
        <v>1079</v>
      </c>
      <c r="B6" t="s">
        <v>998</v>
      </c>
      <c r="C6" t="s">
        <v>95</v>
      </c>
      <c r="D6">
        <v>99991231</v>
      </c>
      <c r="F6" t="s">
        <v>1084</v>
      </c>
      <c r="G6">
        <v>-0.36399999999999999</v>
      </c>
      <c r="H6">
        <v>-0.372</v>
      </c>
      <c r="I6">
        <v>-0.371</v>
      </c>
      <c r="J6">
        <v>-0.371</v>
      </c>
      <c r="K6">
        <v>-0.371</v>
      </c>
      <c r="L6">
        <v>-0.371</v>
      </c>
      <c r="M6">
        <v>-0.371</v>
      </c>
      <c r="N6">
        <v>-0.372</v>
      </c>
      <c r="O6">
        <v>-0.374</v>
      </c>
      <c r="P6">
        <v>-0.371</v>
      </c>
      <c r="Q6">
        <v>-0.374</v>
      </c>
      <c r="R6">
        <v>-0.372</v>
      </c>
      <c r="S6">
        <v>-0.371</v>
      </c>
      <c r="T6">
        <v>-0.372</v>
      </c>
      <c r="U6">
        <v>-0.371</v>
      </c>
      <c r="V6">
        <v>-0.372</v>
      </c>
    </row>
    <row r="7" spans="1:22" x14ac:dyDescent="0.2">
      <c r="A7" t="s">
        <v>1079</v>
      </c>
      <c r="B7" t="s">
        <v>998</v>
      </c>
      <c r="C7" t="s">
        <v>96</v>
      </c>
      <c r="D7">
        <v>99991231</v>
      </c>
      <c r="F7" t="s">
        <v>1085</v>
      </c>
      <c r="G7">
        <v>-0.32100000000000001</v>
      </c>
      <c r="H7">
        <v>-0.33700000000000002</v>
      </c>
      <c r="I7">
        <v>-0.33800000000000002</v>
      </c>
      <c r="J7">
        <v>-0.33800000000000002</v>
      </c>
      <c r="K7">
        <v>-0.33800000000000002</v>
      </c>
      <c r="L7">
        <v>-0.33900000000000002</v>
      </c>
      <c r="M7">
        <v>-0.33700000000000002</v>
      </c>
      <c r="N7">
        <v>-0.33800000000000002</v>
      </c>
      <c r="O7">
        <v>-0.33900000000000002</v>
      </c>
      <c r="P7">
        <v>-0.33900000000000002</v>
      </c>
      <c r="Q7">
        <v>-0.33900000000000002</v>
      </c>
      <c r="R7">
        <v>-0.33600000000000002</v>
      </c>
      <c r="S7">
        <v>-0.33700000000000002</v>
      </c>
      <c r="T7">
        <v>-0.33600000000000002</v>
      </c>
      <c r="U7">
        <v>-0.33700000000000002</v>
      </c>
      <c r="V7">
        <v>-0.33900000000000002</v>
      </c>
    </row>
    <row r="8" spans="1:22" x14ac:dyDescent="0.2">
      <c r="A8" t="s">
        <v>1079</v>
      </c>
      <c r="B8" t="s">
        <v>998</v>
      </c>
      <c r="C8" t="s">
        <v>97</v>
      </c>
      <c r="D8">
        <v>99991231</v>
      </c>
      <c r="F8" t="s">
        <v>1086</v>
      </c>
      <c r="G8">
        <v>-0.28599999999999998</v>
      </c>
      <c r="H8">
        <v>-0.29899999999999999</v>
      </c>
      <c r="I8">
        <v>-0.30099999999999999</v>
      </c>
      <c r="J8">
        <v>-0.30599999999999999</v>
      </c>
      <c r="K8">
        <v>-0.311</v>
      </c>
      <c r="L8">
        <v>-0.312</v>
      </c>
      <c r="M8">
        <v>-0.311</v>
      </c>
      <c r="N8">
        <v>-0.312</v>
      </c>
      <c r="O8">
        <v>-0.312</v>
      </c>
      <c r="P8">
        <v>-0.312</v>
      </c>
      <c r="Q8">
        <v>-0.314</v>
      </c>
      <c r="R8">
        <v>-0.314</v>
      </c>
      <c r="S8">
        <v>-0.316</v>
      </c>
      <c r="T8">
        <v>-0.314</v>
      </c>
      <c r="U8">
        <v>-0.313</v>
      </c>
      <c r="V8">
        <v>-0.32800000000000001</v>
      </c>
    </row>
    <row r="9" spans="1:22" x14ac:dyDescent="0.2">
      <c r="A9" t="s">
        <v>1079</v>
      </c>
      <c r="B9" t="s">
        <v>998</v>
      </c>
      <c r="C9" t="s">
        <v>38</v>
      </c>
      <c r="D9">
        <v>99991231</v>
      </c>
      <c r="F9" t="s">
        <v>1087</v>
      </c>
      <c r="G9">
        <v>-0.17899999999999999</v>
      </c>
      <c r="H9">
        <v>-0.192</v>
      </c>
      <c r="I9">
        <v>-0.20300000000000001</v>
      </c>
      <c r="J9">
        <v>-0.20300000000000001</v>
      </c>
      <c r="K9">
        <v>-0.20399999999999999</v>
      </c>
      <c r="L9">
        <v>-0.20899999999999999</v>
      </c>
      <c r="M9">
        <v>-0.21199999999999999</v>
      </c>
      <c r="N9">
        <v>-0.21299999999999999</v>
      </c>
      <c r="O9">
        <v>-0.21</v>
      </c>
      <c r="P9">
        <v>-0.21099999999999999</v>
      </c>
      <c r="Q9">
        <v>-0.219</v>
      </c>
      <c r="R9">
        <v>-0.219</v>
      </c>
      <c r="S9">
        <v>-0.217</v>
      </c>
      <c r="T9">
        <v>-0.216</v>
      </c>
      <c r="U9">
        <v>-0.216</v>
      </c>
      <c r="V9">
        <v>-0.24199999999999999</v>
      </c>
    </row>
    <row r="10" spans="1:22" x14ac:dyDescent="0.2">
      <c r="A10" t="s">
        <v>1079</v>
      </c>
      <c r="B10" t="s">
        <v>998</v>
      </c>
      <c r="C10" t="s">
        <v>95</v>
      </c>
      <c r="D10" t="s">
        <v>151</v>
      </c>
      <c r="F10" t="s">
        <v>196</v>
      </c>
      <c r="G10">
        <v>-0.183</v>
      </c>
      <c r="H10">
        <v>-0.19800000000000001</v>
      </c>
      <c r="I10">
        <v>-0.2</v>
      </c>
      <c r="J10">
        <v>-0.20100000000000001</v>
      </c>
      <c r="K10">
        <v>-0.20200000000000001</v>
      </c>
      <c r="L10">
        <v>-0.20599999999999999</v>
      </c>
      <c r="M10">
        <v>-0.20499999999999999</v>
      </c>
      <c r="N10">
        <v>-0.20300000000000001</v>
      </c>
      <c r="O10">
        <v>-0.19800000000000001</v>
      </c>
      <c r="P10">
        <v>-0.20100000000000001</v>
      </c>
      <c r="Q10">
        <v>-0.21</v>
      </c>
      <c r="R10">
        <v>-0.21</v>
      </c>
      <c r="S10">
        <v>-0.215</v>
      </c>
      <c r="T10">
        <v>-0.20899999999999999</v>
      </c>
      <c r="U10">
        <v>-0.21099999999999999</v>
      </c>
      <c r="V10">
        <v>-0.23799999999999999</v>
      </c>
    </row>
    <row r="11" spans="1:22" x14ac:dyDescent="0.2">
      <c r="A11" t="s">
        <v>1079</v>
      </c>
      <c r="B11" t="s">
        <v>998</v>
      </c>
      <c r="C11" t="s">
        <v>96</v>
      </c>
      <c r="D11" t="s">
        <v>136</v>
      </c>
      <c r="F11" t="s">
        <v>197</v>
      </c>
      <c r="G11">
        <v>-0.19</v>
      </c>
      <c r="H11">
        <v>-0.20100000000000001</v>
      </c>
      <c r="I11">
        <v>-0.19900000000000001</v>
      </c>
      <c r="J11">
        <v>-0.19900000000000001</v>
      </c>
      <c r="K11">
        <v>-0.20100000000000001</v>
      </c>
      <c r="L11">
        <v>-0.20300000000000001</v>
      </c>
      <c r="M11">
        <v>-0.20100000000000001</v>
      </c>
      <c r="N11">
        <v>-0.19400000000000001</v>
      </c>
      <c r="O11">
        <v>-0.187</v>
      </c>
      <c r="P11">
        <v>-0.193</v>
      </c>
      <c r="Q11">
        <v>-0.20300000000000001</v>
      </c>
      <c r="R11">
        <v>-0.20300000000000001</v>
      </c>
      <c r="S11">
        <v>-0.21</v>
      </c>
      <c r="T11">
        <v>-0.20100000000000001</v>
      </c>
      <c r="U11">
        <v>-0.20399999999999999</v>
      </c>
      <c r="V11">
        <v>-0.23300000000000001</v>
      </c>
    </row>
    <row r="12" spans="1:22" x14ac:dyDescent="0.2">
      <c r="A12" t="s">
        <v>1079</v>
      </c>
      <c r="B12" t="s">
        <v>998</v>
      </c>
      <c r="C12" t="s">
        <v>97</v>
      </c>
      <c r="D12" t="s">
        <v>152</v>
      </c>
      <c r="F12" t="s">
        <v>180</v>
      </c>
      <c r="G12">
        <v>-0.19800000000000001</v>
      </c>
      <c r="H12">
        <v>-0.20300000000000001</v>
      </c>
      <c r="I12">
        <v>-0.2</v>
      </c>
      <c r="J12">
        <v>-0.19800000000000001</v>
      </c>
      <c r="K12">
        <v>-0.19900000000000001</v>
      </c>
      <c r="L12">
        <v>-0.20100000000000001</v>
      </c>
      <c r="M12">
        <v>-0.19800000000000001</v>
      </c>
      <c r="N12">
        <v>-0.19</v>
      </c>
      <c r="O12">
        <v>-0.17799999999999999</v>
      </c>
      <c r="P12">
        <v>-0.185</v>
      </c>
      <c r="Q12">
        <v>-0.19700000000000001</v>
      </c>
      <c r="R12">
        <v>-0.19700000000000001</v>
      </c>
      <c r="S12">
        <v>-0.20399999999999999</v>
      </c>
      <c r="T12">
        <v>-0.19400000000000001</v>
      </c>
      <c r="U12">
        <v>-0.19700000000000001</v>
      </c>
      <c r="V12">
        <v>-0.22600000000000001</v>
      </c>
    </row>
    <row r="13" spans="1:22" x14ac:dyDescent="0.2">
      <c r="A13" t="s">
        <v>1079</v>
      </c>
      <c r="B13" t="s">
        <v>998</v>
      </c>
      <c r="C13" t="s">
        <v>153</v>
      </c>
      <c r="D13" t="s">
        <v>154</v>
      </c>
      <c r="F13" t="s">
        <v>181</v>
      </c>
      <c r="G13">
        <v>-0.20200000000000001</v>
      </c>
      <c r="H13">
        <v>-0.20599999999999999</v>
      </c>
      <c r="I13">
        <v>-0.20300000000000001</v>
      </c>
      <c r="J13">
        <v>-0.19800000000000001</v>
      </c>
      <c r="K13">
        <v>-0.19700000000000001</v>
      </c>
      <c r="L13">
        <v>-0.19900000000000001</v>
      </c>
      <c r="M13">
        <v>-0.19500000000000001</v>
      </c>
      <c r="N13">
        <v>-0.185</v>
      </c>
      <c r="O13">
        <v>-0.16800000000000001</v>
      </c>
      <c r="P13">
        <v>-0.17699999999999999</v>
      </c>
      <c r="Q13">
        <v>-0.191</v>
      </c>
      <c r="R13">
        <v>-0.19</v>
      </c>
      <c r="S13">
        <v>-0.19800000000000001</v>
      </c>
      <c r="T13">
        <v>-0.187</v>
      </c>
      <c r="U13">
        <v>-0.19</v>
      </c>
      <c r="V13">
        <v>-0.218</v>
      </c>
    </row>
    <row r="14" spans="1:22" x14ac:dyDescent="0.2">
      <c r="A14" t="s">
        <v>1079</v>
      </c>
      <c r="B14" t="s">
        <v>998</v>
      </c>
      <c r="C14" t="s">
        <v>135</v>
      </c>
      <c r="D14" t="s">
        <v>137</v>
      </c>
      <c r="F14" t="s">
        <v>182</v>
      </c>
      <c r="G14">
        <v>-0.20599999999999999</v>
      </c>
      <c r="H14">
        <v>-0.20699999999999999</v>
      </c>
      <c r="I14">
        <v>-0.20499999999999999</v>
      </c>
      <c r="J14">
        <v>-0.19800000000000001</v>
      </c>
      <c r="K14">
        <v>-0.19500000000000001</v>
      </c>
      <c r="L14">
        <v>-0.19700000000000001</v>
      </c>
      <c r="M14">
        <v>-0.193</v>
      </c>
      <c r="N14">
        <v>-0.18099999999999999</v>
      </c>
      <c r="O14">
        <v>-0.158</v>
      </c>
      <c r="P14">
        <v>-0.16900000000000001</v>
      </c>
      <c r="Q14">
        <v>-0.186</v>
      </c>
      <c r="R14">
        <v>-0.186</v>
      </c>
      <c r="S14">
        <v>-0.193</v>
      </c>
      <c r="T14">
        <v>-0.17899999999999999</v>
      </c>
      <c r="U14">
        <v>-0.183</v>
      </c>
      <c r="V14">
        <v>-0.20899999999999999</v>
      </c>
    </row>
    <row r="15" spans="1:22" x14ac:dyDescent="0.2">
      <c r="A15" t="s">
        <v>1079</v>
      </c>
      <c r="B15" t="s">
        <v>998</v>
      </c>
      <c r="C15" t="s">
        <v>38</v>
      </c>
      <c r="D15" t="s">
        <v>155</v>
      </c>
      <c r="F15" t="s">
        <v>183</v>
      </c>
      <c r="G15">
        <v>-0.21</v>
      </c>
      <c r="H15">
        <v>-0.20899999999999999</v>
      </c>
      <c r="I15">
        <v>-0.20799999999999999</v>
      </c>
      <c r="J15">
        <v>-0.19800000000000001</v>
      </c>
      <c r="K15">
        <v>-0.19400000000000001</v>
      </c>
      <c r="L15">
        <v>-0.19600000000000001</v>
      </c>
      <c r="M15">
        <v>-0.191</v>
      </c>
      <c r="N15">
        <v>-0.17699999999999999</v>
      </c>
      <c r="O15">
        <v>-0.15</v>
      </c>
      <c r="P15">
        <v>-0.161</v>
      </c>
      <c r="Q15">
        <v>-0.18099999999999999</v>
      </c>
      <c r="R15">
        <v>-0.18099999999999999</v>
      </c>
      <c r="S15">
        <v>-0.188</v>
      </c>
      <c r="T15">
        <v>-0.17299999999999999</v>
      </c>
      <c r="U15">
        <v>-0.17599999999999999</v>
      </c>
      <c r="V15">
        <v>-0.19900000000000001</v>
      </c>
    </row>
    <row r="16" spans="1:22" x14ac:dyDescent="0.2">
      <c r="A16" t="s">
        <v>1079</v>
      </c>
      <c r="B16" t="s">
        <v>998</v>
      </c>
      <c r="C16" t="s">
        <v>155</v>
      </c>
      <c r="D16" t="s">
        <v>156</v>
      </c>
      <c r="F16" t="s">
        <v>184</v>
      </c>
      <c r="G16">
        <v>-0.222</v>
      </c>
      <c r="H16">
        <v>-0.216</v>
      </c>
      <c r="I16">
        <v>-0.23300000000000001</v>
      </c>
      <c r="J16">
        <v>-0.20399999999999999</v>
      </c>
      <c r="K16">
        <v>-0.191</v>
      </c>
      <c r="L16">
        <v>-0.19500000000000001</v>
      </c>
      <c r="M16">
        <v>-0.18</v>
      </c>
      <c r="N16">
        <v>-0.153</v>
      </c>
      <c r="O16">
        <v>-9.9000000000000005E-2</v>
      </c>
      <c r="P16">
        <v>-0.106</v>
      </c>
      <c r="Q16">
        <v>-0.14599999999999999</v>
      </c>
      <c r="R16">
        <v>-0.153</v>
      </c>
      <c r="S16">
        <v>-0.156</v>
      </c>
      <c r="T16">
        <v>-0.14000000000000001</v>
      </c>
      <c r="U16">
        <v>-0.14199999999999999</v>
      </c>
      <c r="V16">
        <v>-0.13900000000000001</v>
      </c>
    </row>
    <row r="17" spans="1:22" x14ac:dyDescent="0.2">
      <c r="A17" t="s">
        <v>1079</v>
      </c>
      <c r="B17" t="s">
        <v>998</v>
      </c>
      <c r="C17" t="s">
        <v>157</v>
      </c>
      <c r="D17">
        <v>99991231</v>
      </c>
      <c r="F17" t="s">
        <v>1088</v>
      </c>
      <c r="G17">
        <v>-0.21099999999999999</v>
      </c>
      <c r="H17">
        <v>-0.20899999999999999</v>
      </c>
      <c r="I17">
        <v>-0.224</v>
      </c>
      <c r="J17">
        <v>-0.20300000000000001</v>
      </c>
      <c r="K17">
        <v>-0.193</v>
      </c>
      <c r="L17">
        <v>-0.19800000000000001</v>
      </c>
      <c r="M17">
        <v>-0.189</v>
      </c>
      <c r="N17">
        <v>-0.16600000000000001</v>
      </c>
      <c r="O17">
        <v>-0.124</v>
      </c>
      <c r="P17">
        <v>-0.13</v>
      </c>
      <c r="Q17">
        <v>-0.16300000000000001</v>
      </c>
      <c r="R17">
        <v>-0.16700000000000001</v>
      </c>
      <c r="S17">
        <v>-0.16800000000000001</v>
      </c>
      <c r="T17">
        <v>-0.156</v>
      </c>
      <c r="U17">
        <v>-0.16</v>
      </c>
      <c r="V17">
        <v>-0.16400000000000001</v>
      </c>
    </row>
    <row r="18" spans="1:22" x14ac:dyDescent="0.2">
      <c r="A18" t="s">
        <v>1079</v>
      </c>
      <c r="B18" t="s">
        <v>998</v>
      </c>
      <c r="C18" t="s">
        <v>99</v>
      </c>
      <c r="D18">
        <v>99991231</v>
      </c>
      <c r="F18" t="s">
        <v>1089</v>
      </c>
      <c r="G18">
        <v>-0.20300000000000001</v>
      </c>
      <c r="H18">
        <v>-0.19800000000000001</v>
      </c>
      <c r="I18">
        <v>-0.219</v>
      </c>
      <c r="J18">
        <v>-0.18</v>
      </c>
      <c r="K18">
        <v>-0.16800000000000001</v>
      </c>
      <c r="L18">
        <v>-0.17399999999999999</v>
      </c>
      <c r="M18">
        <v>-0.16200000000000001</v>
      </c>
      <c r="N18">
        <v>-0.12</v>
      </c>
      <c r="O18">
        <v>-5.3999999999999999E-2</v>
      </c>
      <c r="P18">
        <v>-5.1999999999999998E-2</v>
      </c>
      <c r="Q18">
        <v>-0.104</v>
      </c>
      <c r="R18">
        <v>-0.108</v>
      </c>
      <c r="S18">
        <v>-9.8000000000000004E-2</v>
      </c>
      <c r="T18">
        <v>-8.5000000000000006E-2</v>
      </c>
      <c r="U18">
        <v>-9.7000000000000003E-2</v>
      </c>
      <c r="V18">
        <v>-8.1000000000000003E-2</v>
      </c>
    </row>
    <row r="19" spans="1:22" x14ac:dyDescent="0.2">
      <c r="A19" t="s">
        <v>1079</v>
      </c>
      <c r="B19" t="s">
        <v>998</v>
      </c>
      <c r="C19" t="s">
        <v>101</v>
      </c>
      <c r="D19">
        <v>99991231</v>
      </c>
      <c r="F19" t="s">
        <v>1090</v>
      </c>
      <c r="G19">
        <v>-0.16700000000000001</v>
      </c>
      <c r="H19">
        <v>-0.17399999999999999</v>
      </c>
      <c r="I19">
        <v>-0.19700000000000001</v>
      </c>
      <c r="J19">
        <v>-0.13600000000000001</v>
      </c>
      <c r="K19">
        <v>-0.123</v>
      </c>
      <c r="L19">
        <v>-0.13200000000000001</v>
      </c>
      <c r="M19">
        <v>-0.12</v>
      </c>
      <c r="N19">
        <v>-6.2E-2</v>
      </c>
      <c r="O19">
        <v>0.03</v>
      </c>
      <c r="P19">
        <v>3.6999999999999998E-2</v>
      </c>
      <c r="Q19">
        <v>-2.5000000000000001E-2</v>
      </c>
      <c r="R19">
        <v>-2.7E-2</v>
      </c>
      <c r="S19">
        <v>-1E-3</v>
      </c>
      <c r="T19">
        <v>1.2E-2</v>
      </c>
      <c r="U19">
        <v>-0.01</v>
      </c>
      <c r="V19">
        <v>0.02</v>
      </c>
    </row>
    <row r="20" spans="1:22" x14ac:dyDescent="0.2">
      <c r="A20" t="s">
        <v>1079</v>
      </c>
      <c r="B20" t="s">
        <v>998</v>
      </c>
      <c r="C20" t="s">
        <v>102</v>
      </c>
      <c r="D20">
        <v>99991231</v>
      </c>
      <c r="F20" t="s">
        <v>1091</v>
      </c>
      <c r="G20">
        <v>-0.10299999999999999</v>
      </c>
      <c r="H20">
        <v>-0.13100000000000001</v>
      </c>
      <c r="I20">
        <v>-0.152</v>
      </c>
      <c r="J20">
        <v>-7.0999999999999994E-2</v>
      </c>
      <c r="K20">
        <v>-5.2999999999999999E-2</v>
      </c>
      <c r="L20">
        <v>-6.7000000000000004E-2</v>
      </c>
      <c r="M20">
        <v>-5.7000000000000002E-2</v>
      </c>
      <c r="N20">
        <v>1.6E-2</v>
      </c>
      <c r="O20">
        <v>0.128</v>
      </c>
      <c r="P20">
        <v>0.14000000000000001</v>
      </c>
      <c r="Q20">
        <v>7.2999999999999995E-2</v>
      </c>
      <c r="R20">
        <v>7.6999999999999999E-2</v>
      </c>
      <c r="S20">
        <v>0.11799999999999999</v>
      </c>
      <c r="T20">
        <v>0.13400000000000001</v>
      </c>
      <c r="U20">
        <v>0.104</v>
      </c>
      <c r="V20">
        <v>0.13500000000000001</v>
      </c>
    </row>
    <row r="21" spans="1:22" x14ac:dyDescent="0.2">
      <c r="A21" t="s">
        <v>1079</v>
      </c>
      <c r="B21" t="s">
        <v>998</v>
      </c>
      <c r="C21" t="s">
        <v>103</v>
      </c>
      <c r="D21">
        <v>99991231</v>
      </c>
      <c r="F21" t="s">
        <v>1092</v>
      </c>
      <c r="G21">
        <v>-1.7999999999999999E-2</v>
      </c>
      <c r="H21">
        <v>-6.8000000000000005E-2</v>
      </c>
      <c r="I21">
        <v>-8.7999999999999995E-2</v>
      </c>
      <c r="J21">
        <v>1.4E-2</v>
      </c>
      <c r="K21">
        <v>0.03</v>
      </c>
      <c r="L21">
        <v>1.4999999999999999E-2</v>
      </c>
      <c r="M21">
        <v>0.02</v>
      </c>
      <c r="N21">
        <v>0.11</v>
      </c>
      <c r="O21">
        <v>0.23699999999999999</v>
      </c>
      <c r="P21">
        <v>0.25</v>
      </c>
      <c r="Q21">
        <v>0.18099999999999999</v>
      </c>
      <c r="R21">
        <v>0.19400000000000001</v>
      </c>
      <c r="S21">
        <v>0.25</v>
      </c>
      <c r="T21">
        <v>0.26600000000000001</v>
      </c>
      <c r="U21">
        <v>0.22800000000000001</v>
      </c>
      <c r="V21">
        <v>0.26</v>
      </c>
    </row>
    <row r="22" spans="1:22" x14ac:dyDescent="0.2">
      <c r="A22" t="s">
        <v>1079</v>
      </c>
      <c r="B22" t="s">
        <v>998</v>
      </c>
      <c r="C22" t="s">
        <v>104</v>
      </c>
      <c r="D22">
        <v>99991231</v>
      </c>
      <c r="F22" t="s">
        <v>1093</v>
      </c>
      <c r="G22">
        <v>7.5999999999999998E-2</v>
      </c>
      <c r="H22">
        <v>0.01</v>
      </c>
      <c r="I22">
        <v>-7.0000000000000001E-3</v>
      </c>
      <c r="J22">
        <v>0.109</v>
      </c>
      <c r="K22">
        <v>0.124</v>
      </c>
      <c r="L22">
        <v>0.11</v>
      </c>
      <c r="M22">
        <v>0.111</v>
      </c>
      <c r="N22">
        <v>0.216</v>
      </c>
      <c r="O22">
        <v>0.35</v>
      </c>
      <c r="P22">
        <v>0.36499999999999999</v>
      </c>
      <c r="Q22">
        <v>0.29499999999999998</v>
      </c>
      <c r="R22">
        <v>0.318</v>
      </c>
      <c r="S22">
        <v>0.38600000000000001</v>
      </c>
      <c r="T22">
        <v>0.40200000000000002</v>
      </c>
      <c r="U22">
        <v>0.35599999999999998</v>
      </c>
      <c r="V22">
        <v>0.39200000000000002</v>
      </c>
    </row>
    <row r="23" spans="1:22" x14ac:dyDescent="0.2">
      <c r="A23" t="s">
        <v>1079</v>
      </c>
      <c r="B23" t="s">
        <v>998</v>
      </c>
      <c r="C23" t="s">
        <v>105</v>
      </c>
      <c r="D23">
        <v>99991231</v>
      </c>
      <c r="F23" t="s">
        <v>1094</v>
      </c>
      <c r="G23">
        <v>0.17599999999999999</v>
      </c>
      <c r="H23">
        <v>9.6000000000000002E-2</v>
      </c>
      <c r="I23">
        <v>8.4000000000000005E-2</v>
      </c>
      <c r="J23">
        <v>0.21299999999999999</v>
      </c>
      <c r="K23">
        <v>0.22800000000000001</v>
      </c>
      <c r="L23">
        <v>0.21299999999999999</v>
      </c>
      <c r="M23">
        <v>0.21</v>
      </c>
      <c r="N23">
        <v>0.32600000000000001</v>
      </c>
      <c r="O23">
        <v>0.46400000000000002</v>
      </c>
      <c r="P23">
        <v>0.48</v>
      </c>
      <c r="Q23">
        <v>0.40899999999999997</v>
      </c>
      <c r="R23">
        <v>0.439</v>
      </c>
      <c r="S23">
        <v>0.52</v>
      </c>
      <c r="T23">
        <v>0.53500000000000003</v>
      </c>
      <c r="U23">
        <v>0.48399999999999999</v>
      </c>
      <c r="V23">
        <v>0.52200000000000002</v>
      </c>
    </row>
    <row r="24" spans="1:22" x14ac:dyDescent="0.2">
      <c r="A24" t="s">
        <v>1079</v>
      </c>
      <c r="B24" t="s">
        <v>998</v>
      </c>
      <c r="C24" t="s">
        <v>106</v>
      </c>
      <c r="D24">
        <v>99991231</v>
      </c>
      <c r="F24" t="s">
        <v>1095</v>
      </c>
      <c r="G24">
        <v>0.27500000000000002</v>
      </c>
      <c r="H24">
        <v>0.186</v>
      </c>
      <c r="I24">
        <v>0.17699999999999999</v>
      </c>
      <c r="J24">
        <v>0.316</v>
      </c>
      <c r="K24">
        <v>0.33500000000000002</v>
      </c>
      <c r="L24">
        <v>0.316</v>
      </c>
      <c r="M24">
        <v>0.31</v>
      </c>
      <c r="N24">
        <v>0.43</v>
      </c>
      <c r="O24">
        <v>0.57299999999999995</v>
      </c>
      <c r="P24">
        <v>0.58799999999999997</v>
      </c>
      <c r="Q24">
        <v>0.51700000000000002</v>
      </c>
      <c r="R24">
        <v>0.55400000000000005</v>
      </c>
      <c r="S24">
        <v>0.64500000000000002</v>
      </c>
      <c r="T24">
        <v>0.66100000000000003</v>
      </c>
      <c r="U24">
        <v>0.60499999999999998</v>
      </c>
      <c r="V24">
        <v>0.64600000000000002</v>
      </c>
    </row>
    <row r="25" spans="1:22" x14ac:dyDescent="0.2">
      <c r="A25" t="s">
        <v>1079</v>
      </c>
      <c r="B25" t="s">
        <v>998</v>
      </c>
      <c r="C25" t="s">
        <v>79</v>
      </c>
      <c r="D25">
        <v>99991231</v>
      </c>
      <c r="F25" t="s">
        <v>1096</v>
      </c>
      <c r="G25">
        <v>0.36599999999999999</v>
      </c>
      <c r="H25">
        <v>0.27100000000000002</v>
      </c>
      <c r="I25">
        <v>0.26400000000000001</v>
      </c>
      <c r="J25">
        <v>0.41299999999999998</v>
      </c>
      <c r="K25">
        <v>0.432</v>
      </c>
      <c r="L25">
        <v>0.41199999999999998</v>
      </c>
      <c r="M25">
        <v>0.40300000000000002</v>
      </c>
      <c r="N25">
        <v>0.53</v>
      </c>
      <c r="O25">
        <v>0.67200000000000004</v>
      </c>
      <c r="P25">
        <v>0.68799999999999994</v>
      </c>
      <c r="Q25">
        <v>0.61599999999999999</v>
      </c>
      <c r="R25">
        <v>0.65800000000000003</v>
      </c>
      <c r="S25">
        <v>0.75800000000000001</v>
      </c>
      <c r="T25">
        <v>0.77300000000000002</v>
      </c>
      <c r="U25">
        <v>0.71299999999999997</v>
      </c>
      <c r="V25">
        <v>0.75900000000000001</v>
      </c>
    </row>
    <row r="26" spans="1:22" x14ac:dyDescent="0.2">
      <c r="A26" t="s">
        <v>1079</v>
      </c>
      <c r="B26" t="s">
        <v>998</v>
      </c>
      <c r="C26" t="s">
        <v>158</v>
      </c>
      <c r="D26">
        <v>99991231</v>
      </c>
      <c r="F26" t="s">
        <v>1097</v>
      </c>
      <c r="G26">
        <v>0.44800000000000001</v>
      </c>
      <c r="H26">
        <v>0.34799999999999998</v>
      </c>
      <c r="I26">
        <v>0.34599999999999997</v>
      </c>
      <c r="J26">
        <v>0.502</v>
      </c>
      <c r="K26">
        <v>0.52</v>
      </c>
      <c r="L26">
        <v>0.499</v>
      </c>
      <c r="M26">
        <v>0.48899999999999999</v>
      </c>
      <c r="N26">
        <v>0.61499999999999999</v>
      </c>
      <c r="O26">
        <v>0.76</v>
      </c>
      <c r="P26">
        <v>0.77500000000000002</v>
      </c>
      <c r="Q26">
        <v>0.70399999999999996</v>
      </c>
      <c r="R26">
        <v>0.749</v>
      </c>
      <c r="S26">
        <v>0.85799999999999998</v>
      </c>
      <c r="T26">
        <v>0.86899999999999999</v>
      </c>
      <c r="U26">
        <v>0.80800000000000005</v>
      </c>
      <c r="V26">
        <v>0.86</v>
      </c>
    </row>
    <row r="27" spans="1:22" x14ac:dyDescent="0.2">
      <c r="A27" t="s">
        <v>1079</v>
      </c>
      <c r="B27" t="s">
        <v>998</v>
      </c>
      <c r="C27" t="s">
        <v>159</v>
      </c>
      <c r="D27">
        <v>99991231</v>
      </c>
      <c r="F27" t="s">
        <v>1098</v>
      </c>
      <c r="G27">
        <v>0.52100000000000002</v>
      </c>
      <c r="H27">
        <v>0.41699999999999998</v>
      </c>
      <c r="I27">
        <v>0.41899999999999998</v>
      </c>
      <c r="J27">
        <v>0.58099999999999996</v>
      </c>
      <c r="K27">
        <v>0.59799999999999998</v>
      </c>
      <c r="L27">
        <v>0.57599999999999996</v>
      </c>
      <c r="M27">
        <v>0.56599999999999995</v>
      </c>
      <c r="N27">
        <v>0.69499999999999995</v>
      </c>
      <c r="O27">
        <v>0.83699999999999997</v>
      </c>
      <c r="P27">
        <v>0.85199999999999998</v>
      </c>
      <c r="Q27">
        <v>0.78200000000000003</v>
      </c>
      <c r="R27">
        <v>0.83</v>
      </c>
      <c r="S27">
        <v>0.94599999999999995</v>
      </c>
      <c r="T27">
        <v>0.95399999999999996</v>
      </c>
      <c r="U27">
        <v>0.89</v>
      </c>
      <c r="V27">
        <v>0.94899999999999995</v>
      </c>
    </row>
    <row r="28" spans="1:22" x14ac:dyDescent="0.2">
      <c r="A28" t="s">
        <v>1079</v>
      </c>
      <c r="B28" t="s">
        <v>998</v>
      </c>
      <c r="C28" t="s">
        <v>160</v>
      </c>
      <c r="D28">
        <v>99991231</v>
      </c>
      <c r="F28" t="s">
        <v>1099</v>
      </c>
      <c r="G28">
        <v>0.58199999999999996</v>
      </c>
      <c r="H28">
        <v>0.47599999999999998</v>
      </c>
      <c r="I28">
        <v>0.48099999999999998</v>
      </c>
      <c r="J28">
        <v>0.64900000000000002</v>
      </c>
      <c r="K28">
        <v>0.66500000000000004</v>
      </c>
      <c r="L28">
        <v>0.64200000000000002</v>
      </c>
      <c r="M28">
        <v>0.63200000000000001</v>
      </c>
      <c r="N28">
        <v>0.76100000000000001</v>
      </c>
      <c r="O28">
        <v>0.90300000000000002</v>
      </c>
      <c r="P28">
        <v>0.91800000000000004</v>
      </c>
      <c r="Q28">
        <v>0.84899999999999998</v>
      </c>
      <c r="R28">
        <v>0.89800000000000002</v>
      </c>
      <c r="S28">
        <v>1.022</v>
      </c>
      <c r="T28">
        <v>1.028</v>
      </c>
      <c r="U28">
        <v>0.96099999999999997</v>
      </c>
      <c r="V28">
        <v>1.0249999999999999</v>
      </c>
    </row>
    <row r="29" spans="1:22" x14ac:dyDescent="0.2">
      <c r="A29" t="s">
        <v>1079</v>
      </c>
      <c r="B29" t="s">
        <v>998</v>
      </c>
      <c r="C29" t="s">
        <v>161</v>
      </c>
      <c r="D29">
        <v>99991231</v>
      </c>
      <c r="F29" t="s">
        <v>1100</v>
      </c>
      <c r="G29">
        <v>0.63500000000000001</v>
      </c>
      <c r="H29">
        <v>0.52700000000000002</v>
      </c>
      <c r="I29">
        <v>0.53500000000000003</v>
      </c>
      <c r="J29">
        <v>0.70799999999999996</v>
      </c>
      <c r="K29">
        <v>0.72299999999999998</v>
      </c>
      <c r="L29">
        <v>0.69899999999999995</v>
      </c>
      <c r="M29">
        <v>0.68899999999999995</v>
      </c>
      <c r="N29">
        <v>0.82</v>
      </c>
      <c r="O29">
        <v>0.96099999999999997</v>
      </c>
      <c r="P29">
        <v>0.97499999999999998</v>
      </c>
      <c r="Q29">
        <v>0.90700000000000003</v>
      </c>
      <c r="R29">
        <v>0.95799999999999996</v>
      </c>
      <c r="S29">
        <v>1.087</v>
      </c>
      <c r="T29">
        <v>1.091</v>
      </c>
      <c r="U29">
        <v>1.0209999999999999</v>
      </c>
      <c r="V29">
        <v>1.091</v>
      </c>
    </row>
    <row r="30" spans="1:22" x14ac:dyDescent="0.2">
      <c r="A30" t="s">
        <v>1079</v>
      </c>
      <c r="B30" t="s">
        <v>998</v>
      </c>
      <c r="C30" t="s">
        <v>107</v>
      </c>
      <c r="D30">
        <v>99991231</v>
      </c>
      <c r="F30" t="s">
        <v>1101</v>
      </c>
      <c r="G30">
        <v>0.68</v>
      </c>
      <c r="H30">
        <v>0.56999999999999995</v>
      </c>
      <c r="I30">
        <v>0.58199999999999996</v>
      </c>
      <c r="J30">
        <v>0.75700000000000001</v>
      </c>
      <c r="K30">
        <v>0.77200000000000002</v>
      </c>
      <c r="L30">
        <v>0.748</v>
      </c>
      <c r="M30">
        <v>0.73699999999999999</v>
      </c>
      <c r="N30">
        <v>0.86899999999999999</v>
      </c>
      <c r="O30">
        <v>1.0089999999999999</v>
      </c>
      <c r="P30">
        <v>1.022</v>
      </c>
      <c r="Q30">
        <v>0.95499999999999996</v>
      </c>
      <c r="R30">
        <v>1.0089999999999999</v>
      </c>
      <c r="S30">
        <v>1.141</v>
      </c>
      <c r="T30">
        <v>1.143</v>
      </c>
      <c r="U30">
        <v>1.0720000000000001</v>
      </c>
      <c r="V30">
        <v>1.147</v>
      </c>
    </row>
    <row r="31" spans="1:22" x14ac:dyDescent="0.2">
      <c r="A31" t="s">
        <v>1079</v>
      </c>
      <c r="B31" t="s">
        <v>998</v>
      </c>
      <c r="C31" t="s">
        <v>162</v>
      </c>
      <c r="D31">
        <v>99991231</v>
      </c>
      <c r="F31" t="s">
        <v>1102</v>
      </c>
      <c r="G31">
        <v>0.71499999999999997</v>
      </c>
      <c r="H31">
        <v>0.60599999999999998</v>
      </c>
      <c r="I31">
        <v>0.62</v>
      </c>
      <c r="J31">
        <v>0.79800000000000004</v>
      </c>
      <c r="K31">
        <v>0.81200000000000006</v>
      </c>
      <c r="L31">
        <v>0.78800000000000003</v>
      </c>
      <c r="M31">
        <v>0.77700000000000002</v>
      </c>
      <c r="N31">
        <v>0.91100000000000003</v>
      </c>
      <c r="O31">
        <v>1.0489999999999999</v>
      </c>
      <c r="P31">
        <v>1.0609999999999999</v>
      </c>
      <c r="Q31">
        <v>0.996</v>
      </c>
      <c r="R31">
        <v>1.0509999999999999</v>
      </c>
      <c r="S31">
        <v>1.1870000000000001</v>
      </c>
      <c r="T31">
        <v>1.1870000000000001</v>
      </c>
      <c r="U31">
        <v>1.1140000000000001</v>
      </c>
      <c r="V31">
        <v>1.194</v>
      </c>
    </row>
    <row r="32" spans="1:22" x14ac:dyDescent="0.2">
      <c r="A32" t="s">
        <v>1079</v>
      </c>
      <c r="B32" t="s">
        <v>998</v>
      </c>
      <c r="C32" t="s">
        <v>163</v>
      </c>
      <c r="D32">
        <v>99991231</v>
      </c>
      <c r="F32" t="s">
        <v>1103</v>
      </c>
      <c r="G32">
        <v>0.74299999999999999</v>
      </c>
      <c r="H32">
        <v>0.63600000000000001</v>
      </c>
      <c r="I32">
        <v>0.65</v>
      </c>
      <c r="J32">
        <v>0.83099999999999996</v>
      </c>
      <c r="K32">
        <v>0.84499999999999997</v>
      </c>
      <c r="L32">
        <v>0.82099999999999995</v>
      </c>
      <c r="M32">
        <v>0.80900000000000005</v>
      </c>
      <c r="N32">
        <v>0.94499999999999995</v>
      </c>
      <c r="O32">
        <v>1.081</v>
      </c>
      <c r="P32">
        <v>1.093</v>
      </c>
      <c r="Q32">
        <v>1.0289999999999999</v>
      </c>
      <c r="R32">
        <v>1.085</v>
      </c>
      <c r="S32">
        <v>1.224</v>
      </c>
      <c r="T32">
        <v>1.2230000000000001</v>
      </c>
      <c r="U32">
        <v>1.149</v>
      </c>
      <c r="V32">
        <v>1.2330000000000001</v>
      </c>
    </row>
    <row r="33" spans="1:22" x14ac:dyDescent="0.2">
      <c r="A33" t="s">
        <v>1079</v>
      </c>
      <c r="B33" t="s">
        <v>998</v>
      </c>
      <c r="C33" t="s">
        <v>164</v>
      </c>
      <c r="D33">
        <v>99991231</v>
      </c>
      <c r="F33" t="s">
        <v>1104</v>
      </c>
      <c r="G33">
        <v>0.76400000000000001</v>
      </c>
      <c r="H33">
        <v>0.66</v>
      </c>
      <c r="I33">
        <v>0.67500000000000004</v>
      </c>
      <c r="J33">
        <v>0.85799999999999998</v>
      </c>
      <c r="K33">
        <v>0.871</v>
      </c>
      <c r="L33">
        <v>0.84599999999999997</v>
      </c>
      <c r="M33">
        <v>0.83599999999999997</v>
      </c>
      <c r="N33">
        <v>0.96899999999999997</v>
      </c>
      <c r="O33">
        <v>1.1060000000000001</v>
      </c>
      <c r="P33">
        <v>1.1180000000000001</v>
      </c>
      <c r="Q33">
        <v>1.0549999999999999</v>
      </c>
      <c r="R33">
        <v>1.113</v>
      </c>
      <c r="S33">
        <v>1.2549999999999999</v>
      </c>
      <c r="T33">
        <v>1.252</v>
      </c>
      <c r="U33">
        <v>1.1759999999999999</v>
      </c>
      <c r="V33">
        <v>1.2649999999999999</v>
      </c>
    </row>
    <row r="34" spans="1:22" x14ac:dyDescent="0.2">
      <c r="A34" t="s">
        <v>1079</v>
      </c>
      <c r="B34" t="s">
        <v>998</v>
      </c>
      <c r="C34" t="s">
        <v>165</v>
      </c>
      <c r="D34">
        <v>99991231</v>
      </c>
      <c r="F34" t="s">
        <v>1105</v>
      </c>
      <c r="G34">
        <v>0.77900000000000003</v>
      </c>
      <c r="H34">
        <v>0.67900000000000005</v>
      </c>
      <c r="I34">
        <v>0.69499999999999995</v>
      </c>
      <c r="J34">
        <v>0.879</v>
      </c>
      <c r="K34">
        <v>0.89200000000000002</v>
      </c>
      <c r="L34">
        <v>0.86599999999999999</v>
      </c>
      <c r="M34">
        <v>0.85599999999999998</v>
      </c>
      <c r="N34">
        <v>0.99</v>
      </c>
      <c r="O34">
        <v>1.1259999999999999</v>
      </c>
      <c r="P34">
        <v>1.1379999999999999</v>
      </c>
      <c r="Q34">
        <v>1.0760000000000001</v>
      </c>
      <c r="R34">
        <v>1.1339999999999999</v>
      </c>
      <c r="S34">
        <v>1.2789999999999999</v>
      </c>
      <c r="T34">
        <v>1.2749999999999999</v>
      </c>
      <c r="U34">
        <v>1.198</v>
      </c>
      <c r="V34">
        <v>1.292</v>
      </c>
    </row>
    <row r="35" spans="1:22" x14ac:dyDescent="0.2">
      <c r="A35" t="s">
        <v>1079</v>
      </c>
      <c r="B35" t="s">
        <v>998</v>
      </c>
      <c r="C35" t="s">
        <v>108</v>
      </c>
      <c r="D35">
        <v>99991231</v>
      </c>
      <c r="F35" t="s">
        <v>1106</v>
      </c>
      <c r="G35">
        <v>0.79100000000000004</v>
      </c>
      <c r="H35">
        <v>0.69399999999999995</v>
      </c>
      <c r="I35">
        <v>0.71</v>
      </c>
      <c r="J35">
        <v>0.89500000000000002</v>
      </c>
      <c r="K35">
        <v>0.90800000000000003</v>
      </c>
      <c r="L35">
        <v>0.88100000000000001</v>
      </c>
      <c r="M35">
        <v>0.872</v>
      </c>
      <c r="N35">
        <v>1.0049999999999999</v>
      </c>
      <c r="O35">
        <v>1.1419999999999999</v>
      </c>
      <c r="P35">
        <v>1.153</v>
      </c>
      <c r="Q35">
        <v>1.0920000000000001</v>
      </c>
      <c r="R35">
        <v>1.151</v>
      </c>
      <c r="S35">
        <v>1.298</v>
      </c>
      <c r="T35">
        <v>1.294</v>
      </c>
      <c r="U35">
        <v>1.216</v>
      </c>
      <c r="V35">
        <v>1.3129999999999999</v>
      </c>
    </row>
    <row r="36" spans="1:22" x14ac:dyDescent="0.2">
      <c r="A36" t="s">
        <v>1079</v>
      </c>
      <c r="B36" t="s">
        <v>998</v>
      </c>
      <c r="C36" t="s">
        <v>166</v>
      </c>
      <c r="D36">
        <v>99991231</v>
      </c>
      <c r="F36" t="s">
        <v>1107</v>
      </c>
      <c r="G36">
        <v>0.8</v>
      </c>
      <c r="H36">
        <v>0.70499999999999996</v>
      </c>
      <c r="I36">
        <v>0.72199999999999998</v>
      </c>
      <c r="J36">
        <v>0.90800000000000003</v>
      </c>
      <c r="K36">
        <v>0.92</v>
      </c>
      <c r="L36">
        <v>0.89300000000000002</v>
      </c>
      <c r="M36">
        <v>0.88400000000000001</v>
      </c>
      <c r="N36">
        <v>1.0169999999999999</v>
      </c>
      <c r="O36">
        <v>1.1539999999999999</v>
      </c>
      <c r="P36">
        <v>1.165</v>
      </c>
      <c r="Q36">
        <v>1.105</v>
      </c>
      <c r="R36">
        <v>1.1639999999999999</v>
      </c>
      <c r="S36">
        <v>1.3129999999999999</v>
      </c>
      <c r="T36">
        <v>1.3080000000000001</v>
      </c>
      <c r="U36">
        <v>1.23</v>
      </c>
      <c r="V36">
        <v>1.331</v>
      </c>
    </row>
    <row r="37" spans="1:22" x14ac:dyDescent="0.2">
      <c r="A37" t="s">
        <v>1079</v>
      </c>
      <c r="B37" t="s">
        <v>998</v>
      </c>
      <c r="C37" t="s">
        <v>167</v>
      </c>
      <c r="D37">
        <v>99991231</v>
      </c>
      <c r="F37" t="s">
        <v>1108</v>
      </c>
      <c r="G37">
        <v>0.80600000000000005</v>
      </c>
      <c r="H37">
        <v>0.71299999999999997</v>
      </c>
      <c r="I37">
        <v>0.73</v>
      </c>
      <c r="J37">
        <v>0.91700000000000004</v>
      </c>
      <c r="K37">
        <v>0.92900000000000005</v>
      </c>
      <c r="L37">
        <v>0.90200000000000002</v>
      </c>
      <c r="M37">
        <v>0.89200000000000002</v>
      </c>
      <c r="N37">
        <v>1.0269999999999999</v>
      </c>
      <c r="O37">
        <v>1.163</v>
      </c>
      <c r="P37">
        <v>1.1739999999999999</v>
      </c>
      <c r="Q37">
        <v>1.1140000000000001</v>
      </c>
      <c r="R37">
        <v>1.1739999999999999</v>
      </c>
      <c r="S37">
        <v>1.3260000000000001</v>
      </c>
      <c r="T37">
        <v>1.319</v>
      </c>
      <c r="U37">
        <v>1.24</v>
      </c>
      <c r="V37">
        <v>1.3460000000000001</v>
      </c>
    </row>
    <row r="38" spans="1:22" x14ac:dyDescent="0.2">
      <c r="A38" t="s">
        <v>1079</v>
      </c>
      <c r="B38" t="s">
        <v>998</v>
      </c>
      <c r="C38" t="s">
        <v>168</v>
      </c>
      <c r="D38">
        <v>99991231</v>
      </c>
      <c r="F38" t="s">
        <v>1109</v>
      </c>
      <c r="G38">
        <v>0.81</v>
      </c>
      <c r="H38">
        <v>0.71799999999999997</v>
      </c>
      <c r="I38">
        <v>0.73599999999999999</v>
      </c>
      <c r="J38">
        <v>0.92400000000000004</v>
      </c>
      <c r="K38">
        <v>0.93600000000000005</v>
      </c>
      <c r="L38">
        <v>0.90800000000000003</v>
      </c>
      <c r="M38">
        <v>0.89800000000000002</v>
      </c>
      <c r="N38">
        <v>1.0329999999999999</v>
      </c>
      <c r="O38">
        <v>1.17</v>
      </c>
      <c r="P38">
        <v>1.18</v>
      </c>
      <c r="Q38">
        <v>1.121</v>
      </c>
      <c r="R38">
        <v>1.181</v>
      </c>
      <c r="S38">
        <v>1.3360000000000001</v>
      </c>
      <c r="T38">
        <v>1.3280000000000001</v>
      </c>
      <c r="U38">
        <v>1.248</v>
      </c>
      <c r="V38">
        <v>1.3560000000000001</v>
      </c>
    </row>
    <row r="39" spans="1:22" x14ac:dyDescent="0.2">
      <c r="A39" t="s">
        <v>1079</v>
      </c>
      <c r="B39" t="s">
        <v>998</v>
      </c>
      <c r="C39" t="s">
        <v>169</v>
      </c>
      <c r="D39">
        <v>99991231</v>
      </c>
      <c r="F39" t="s">
        <v>1110</v>
      </c>
      <c r="G39">
        <v>0.81200000000000006</v>
      </c>
      <c r="H39">
        <v>0.72199999999999998</v>
      </c>
      <c r="I39">
        <v>0.74099999999999999</v>
      </c>
      <c r="J39">
        <v>0.92900000000000005</v>
      </c>
      <c r="K39">
        <v>0.94099999999999995</v>
      </c>
      <c r="L39">
        <v>0.91300000000000003</v>
      </c>
      <c r="M39">
        <v>0.90200000000000002</v>
      </c>
      <c r="N39">
        <v>1.0389999999999999</v>
      </c>
      <c r="O39">
        <v>1.175</v>
      </c>
      <c r="P39">
        <v>1.1850000000000001</v>
      </c>
      <c r="Q39">
        <v>1.127</v>
      </c>
      <c r="R39">
        <v>1.1870000000000001</v>
      </c>
      <c r="S39">
        <v>1.3440000000000001</v>
      </c>
      <c r="T39">
        <v>1.335</v>
      </c>
      <c r="U39">
        <v>1.254</v>
      </c>
      <c r="V39">
        <v>1.3660000000000001</v>
      </c>
    </row>
    <row r="40" spans="1:22" x14ac:dyDescent="0.2">
      <c r="A40" t="s">
        <v>1079</v>
      </c>
      <c r="B40" t="s">
        <v>998</v>
      </c>
      <c r="C40" t="s">
        <v>109</v>
      </c>
      <c r="D40">
        <v>99991231</v>
      </c>
      <c r="F40" t="s">
        <v>1111</v>
      </c>
      <c r="G40">
        <v>0.81299999999999994</v>
      </c>
      <c r="H40">
        <v>0.72399999999999998</v>
      </c>
      <c r="I40">
        <v>0.74399999999999999</v>
      </c>
      <c r="J40">
        <v>0.93300000000000005</v>
      </c>
      <c r="K40">
        <v>0.94499999999999995</v>
      </c>
      <c r="L40">
        <v>0.91600000000000004</v>
      </c>
      <c r="M40">
        <v>0.90500000000000003</v>
      </c>
      <c r="N40">
        <v>1.042</v>
      </c>
      <c r="O40">
        <v>1.179</v>
      </c>
      <c r="P40">
        <v>1.1890000000000001</v>
      </c>
      <c r="Q40">
        <v>1.131</v>
      </c>
      <c r="R40">
        <v>1.1910000000000001</v>
      </c>
      <c r="S40">
        <v>1.35</v>
      </c>
      <c r="T40">
        <v>1.34</v>
      </c>
      <c r="U40">
        <v>1.2589999999999999</v>
      </c>
      <c r="V40">
        <v>1.3740000000000001</v>
      </c>
    </row>
    <row r="41" spans="1:22" x14ac:dyDescent="0.2">
      <c r="A41" t="s">
        <v>1079</v>
      </c>
      <c r="B41" t="s">
        <v>998</v>
      </c>
      <c r="C41" t="s">
        <v>170</v>
      </c>
      <c r="D41">
        <v>99991231</v>
      </c>
      <c r="F41" t="s">
        <v>1112</v>
      </c>
      <c r="G41">
        <v>0.81299999999999994</v>
      </c>
      <c r="H41">
        <v>0.72499999999999998</v>
      </c>
      <c r="I41">
        <v>0.746</v>
      </c>
      <c r="J41">
        <v>0.93600000000000005</v>
      </c>
      <c r="K41">
        <v>0.94799999999999995</v>
      </c>
      <c r="L41">
        <v>0.91800000000000004</v>
      </c>
      <c r="M41">
        <v>0.90700000000000003</v>
      </c>
      <c r="N41">
        <v>1.0449999999999999</v>
      </c>
      <c r="O41">
        <v>1.1819999999999999</v>
      </c>
      <c r="P41">
        <v>1.1919999999999999</v>
      </c>
      <c r="Q41">
        <v>1.135</v>
      </c>
      <c r="R41">
        <v>1.1950000000000001</v>
      </c>
      <c r="S41">
        <v>1.355</v>
      </c>
      <c r="T41">
        <v>1.345</v>
      </c>
      <c r="U41">
        <v>1.2629999999999999</v>
      </c>
      <c r="V41">
        <v>1.381</v>
      </c>
    </row>
    <row r="42" spans="1:22" x14ac:dyDescent="0.2">
      <c r="A42" t="s">
        <v>1079</v>
      </c>
      <c r="B42" t="s">
        <v>998</v>
      </c>
      <c r="C42" t="s">
        <v>171</v>
      </c>
      <c r="D42">
        <v>99991231</v>
      </c>
      <c r="F42" t="s">
        <v>1113</v>
      </c>
      <c r="G42">
        <v>0.81299999999999994</v>
      </c>
      <c r="H42">
        <v>0.72599999999999998</v>
      </c>
      <c r="I42">
        <v>0.748</v>
      </c>
      <c r="J42">
        <v>0.93899999999999995</v>
      </c>
      <c r="K42">
        <v>0.95</v>
      </c>
      <c r="L42">
        <v>0.92</v>
      </c>
      <c r="M42">
        <v>0.90900000000000003</v>
      </c>
      <c r="N42">
        <v>1.0489999999999999</v>
      </c>
      <c r="O42">
        <v>1.1850000000000001</v>
      </c>
      <c r="P42">
        <v>1.1950000000000001</v>
      </c>
      <c r="Q42">
        <v>1.1379999999999999</v>
      </c>
      <c r="R42">
        <v>1.1990000000000001</v>
      </c>
      <c r="S42">
        <v>1.36</v>
      </c>
      <c r="T42">
        <v>1.349</v>
      </c>
      <c r="U42">
        <v>1.266</v>
      </c>
      <c r="V42">
        <v>1.387</v>
      </c>
    </row>
    <row r="43" spans="1:22" x14ac:dyDescent="0.2">
      <c r="A43" t="s">
        <v>1079</v>
      </c>
      <c r="B43" t="s">
        <v>998</v>
      </c>
      <c r="C43" t="s">
        <v>172</v>
      </c>
      <c r="D43">
        <v>99991231</v>
      </c>
      <c r="F43" t="s">
        <v>1114</v>
      </c>
      <c r="G43">
        <v>0.81200000000000006</v>
      </c>
      <c r="H43">
        <v>0.72599999999999998</v>
      </c>
      <c r="I43">
        <v>0.749</v>
      </c>
      <c r="J43">
        <v>0.94</v>
      </c>
      <c r="K43">
        <v>0.95199999999999996</v>
      </c>
      <c r="L43">
        <v>0.92100000000000004</v>
      </c>
      <c r="M43">
        <v>0.91</v>
      </c>
      <c r="N43">
        <v>1.0509999999999999</v>
      </c>
      <c r="O43">
        <v>1.1870000000000001</v>
      </c>
      <c r="P43">
        <v>1.1970000000000001</v>
      </c>
      <c r="Q43">
        <v>1.1399999999999999</v>
      </c>
      <c r="R43">
        <v>1.202</v>
      </c>
      <c r="S43">
        <v>1.3640000000000001</v>
      </c>
      <c r="T43">
        <v>1.3520000000000001</v>
      </c>
      <c r="U43">
        <v>1.2689999999999999</v>
      </c>
      <c r="V43">
        <v>1.3919999999999999</v>
      </c>
    </row>
    <row r="44" spans="1:22" x14ac:dyDescent="0.2">
      <c r="A44" t="s">
        <v>1079</v>
      </c>
      <c r="B44" t="s">
        <v>998</v>
      </c>
      <c r="C44" t="s">
        <v>173</v>
      </c>
      <c r="D44">
        <v>99991231</v>
      </c>
      <c r="F44" t="s">
        <v>1115</v>
      </c>
      <c r="G44">
        <v>0.81100000000000005</v>
      </c>
      <c r="H44">
        <v>0.72499999999999998</v>
      </c>
      <c r="I44">
        <v>0.749</v>
      </c>
      <c r="J44">
        <v>0.94199999999999995</v>
      </c>
      <c r="K44">
        <v>0.95299999999999996</v>
      </c>
      <c r="L44">
        <v>0.92200000000000004</v>
      </c>
      <c r="M44">
        <v>0.91</v>
      </c>
      <c r="N44">
        <v>1.05</v>
      </c>
      <c r="O44">
        <v>1.1879999999999999</v>
      </c>
      <c r="P44">
        <v>1.198</v>
      </c>
      <c r="Q44">
        <v>1.1419999999999999</v>
      </c>
      <c r="R44">
        <v>1.204</v>
      </c>
      <c r="S44">
        <v>1.3680000000000001</v>
      </c>
      <c r="T44">
        <v>1.355</v>
      </c>
      <c r="U44">
        <v>1.2709999999999999</v>
      </c>
      <c r="V44">
        <v>1.3959999999999999</v>
      </c>
    </row>
    <row r="45" spans="1:22" x14ac:dyDescent="0.2">
      <c r="A45" t="s">
        <v>1079</v>
      </c>
      <c r="B45" t="s">
        <v>998</v>
      </c>
      <c r="C45" t="s">
        <v>110</v>
      </c>
      <c r="D45">
        <v>99991231</v>
      </c>
      <c r="F45" t="s">
        <v>1116</v>
      </c>
      <c r="G45">
        <v>0.80900000000000005</v>
      </c>
      <c r="H45">
        <v>0.72399999999999998</v>
      </c>
      <c r="I45">
        <v>0.749</v>
      </c>
      <c r="J45">
        <v>0.94199999999999995</v>
      </c>
      <c r="K45">
        <v>0.95299999999999996</v>
      </c>
      <c r="L45">
        <v>0.92200000000000004</v>
      </c>
      <c r="M45">
        <v>0.91</v>
      </c>
      <c r="N45">
        <v>1.05</v>
      </c>
      <c r="O45">
        <v>1.1890000000000001</v>
      </c>
      <c r="P45">
        <v>1.1990000000000001</v>
      </c>
      <c r="Q45">
        <v>1.1439999999999999</v>
      </c>
      <c r="R45">
        <v>1.206</v>
      </c>
      <c r="S45">
        <v>1.37</v>
      </c>
      <c r="T45">
        <v>1.357</v>
      </c>
      <c r="U45">
        <v>1.2729999999999999</v>
      </c>
      <c r="V45">
        <v>1.4</v>
      </c>
    </row>
    <row r="46" spans="1:22" x14ac:dyDescent="0.2">
      <c r="A46" t="s">
        <v>1079</v>
      </c>
      <c r="B46" t="s">
        <v>998</v>
      </c>
      <c r="C46" t="s">
        <v>174</v>
      </c>
      <c r="D46">
        <v>99991231</v>
      </c>
      <c r="F46" t="s">
        <v>1117</v>
      </c>
      <c r="G46">
        <v>0.79400000000000004</v>
      </c>
      <c r="H46">
        <v>0.70399999999999996</v>
      </c>
      <c r="I46">
        <v>0.72699999999999998</v>
      </c>
      <c r="J46">
        <v>0.92300000000000004</v>
      </c>
      <c r="K46">
        <v>0.93200000000000005</v>
      </c>
      <c r="L46">
        <v>0.9</v>
      </c>
      <c r="M46">
        <v>0.88800000000000001</v>
      </c>
      <c r="N46">
        <v>1.0309999999999999</v>
      </c>
      <c r="O46">
        <v>1.169</v>
      </c>
      <c r="P46">
        <v>1.18</v>
      </c>
      <c r="Q46">
        <v>1.1379999999999999</v>
      </c>
      <c r="R46">
        <v>1.1990000000000001</v>
      </c>
      <c r="S46">
        <v>1.361</v>
      </c>
      <c r="T46">
        <v>1.355</v>
      </c>
      <c r="U46">
        <v>1.2709999999999999</v>
      </c>
      <c r="V46">
        <v>1.4119999999999999</v>
      </c>
    </row>
    <row r="47" spans="1:22" x14ac:dyDescent="0.2">
      <c r="A47" t="s">
        <v>1079</v>
      </c>
      <c r="B47" t="s">
        <v>998</v>
      </c>
      <c r="C47" t="s">
        <v>175</v>
      </c>
      <c r="D47">
        <v>99991231</v>
      </c>
      <c r="F47" t="s">
        <v>1118</v>
      </c>
      <c r="G47">
        <v>0.752</v>
      </c>
      <c r="H47">
        <v>0.65400000000000003</v>
      </c>
      <c r="I47">
        <v>0.67500000000000004</v>
      </c>
      <c r="J47">
        <v>0.86899999999999999</v>
      </c>
      <c r="K47">
        <v>0.876</v>
      </c>
      <c r="L47">
        <v>0.84399999999999997</v>
      </c>
      <c r="M47">
        <v>0.83399999999999996</v>
      </c>
      <c r="N47">
        <v>0.97899999999999998</v>
      </c>
      <c r="O47">
        <v>1.117</v>
      </c>
      <c r="P47">
        <v>1.1240000000000001</v>
      </c>
      <c r="Q47">
        <v>1.0860000000000001</v>
      </c>
      <c r="R47">
        <v>1.147</v>
      </c>
      <c r="S47">
        <v>1.302</v>
      </c>
      <c r="T47">
        <v>1.3</v>
      </c>
      <c r="U47">
        <v>1.216</v>
      </c>
      <c r="V47">
        <v>1.369</v>
      </c>
    </row>
    <row r="49" spans="1:22" x14ac:dyDescent="0.2">
      <c r="A49" t="s">
        <v>1079</v>
      </c>
      <c r="B49" t="s">
        <v>264</v>
      </c>
      <c r="C49" t="s">
        <v>92</v>
      </c>
      <c r="F49" t="s">
        <v>1119</v>
      </c>
      <c r="G49">
        <v>-0.375</v>
      </c>
      <c r="H49">
        <v>-0.4</v>
      </c>
      <c r="I49">
        <v>-0.41249999999999998</v>
      </c>
      <c r="J49">
        <v>-0.41249999999999998</v>
      </c>
      <c r="K49">
        <v>-0.4</v>
      </c>
      <c r="L49">
        <v>-0.41</v>
      </c>
      <c r="M49">
        <v>-0.41</v>
      </c>
      <c r="N49">
        <v>-0.42749999999999999</v>
      </c>
      <c r="O49">
        <v>-0.41</v>
      </c>
      <c r="P49">
        <v>-0.41</v>
      </c>
      <c r="Q49">
        <v>-0.40500000000000003</v>
      </c>
      <c r="R49">
        <v>-0.40250000000000002</v>
      </c>
      <c r="S49">
        <v>-0.39750000000000002</v>
      </c>
      <c r="T49">
        <v>-0.41</v>
      </c>
      <c r="U49">
        <v>-0.41</v>
      </c>
      <c r="V49">
        <v>-0.41</v>
      </c>
    </row>
    <row r="50" spans="1:22" x14ac:dyDescent="0.2">
      <c r="A50" t="s">
        <v>1079</v>
      </c>
      <c r="B50" t="s">
        <v>264</v>
      </c>
      <c r="C50" t="s">
        <v>150</v>
      </c>
      <c r="F50" t="s">
        <v>1120</v>
      </c>
      <c r="G50">
        <v>-0.39500000000000002</v>
      </c>
      <c r="H50">
        <v>-0.41249999999999998</v>
      </c>
      <c r="I50">
        <v>-0.41</v>
      </c>
      <c r="J50">
        <v>-0.42</v>
      </c>
      <c r="K50">
        <v>-0.41249999999999998</v>
      </c>
      <c r="L50">
        <v>-0.40500000000000003</v>
      </c>
      <c r="M50">
        <v>-0.41</v>
      </c>
      <c r="N50">
        <v>-0.41</v>
      </c>
      <c r="O50">
        <v>-0.41</v>
      </c>
      <c r="P50">
        <v>-0.41</v>
      </c>
      <c r="Q50">
        <v>-0.41249999999999998</v>
      </c>
      <c r="R50">
        <v>-0.41249999999999998</v>
      </c>
      <c r="S50">
        <v>-0.41749999999999998</v>
      </c>
      <c r="T50">
        <v>-0.41</v>
      </c>
      <c r="U50">
        <v>-0.42499999999999999</v>
      </c>
      <c r="V50">
        <v>-0.41</v>
      </c>
    </row>
    <row r="51" spans="1:22" x14ac:dyDescent="0.2">
      <c r="A51" t="s">
        <v>1079</v>
      </c>
      <c r="B51" t="s">
        <v>264</v>
      </c>
      <c r="C51" t="s">
        <v>93</v>
      </c>
      <c r="F51" t="s">
        <v>1121</v>
      </c>
      <c r="G51">
        <v>-0.33400000000000002</v>
      </c>
      <c r="H51">
        <v>-0.34100000000000003</v>
      </c>
      <c r="I51">
        <v>-0.34499999999999997</v>
      </c>
      <c r="J51">
        <v>-0.34599999999999997</v>
      </c>
      <c r="K51">
        <v>-0.34699999999999998</v>
      </c>
      <c r="L51">
        <v>-0.35</v>
      </c>
      <c r="M51">
        <v>-0.34599999999999997</v>
      </c>
      <c r="N51">
        <v>-0.34599999999999997</v>
      </c>
      <c r="O51">
        <v>-0.34899999999999998</v>
      </c>
      <c r="P51">
        <v>-0.34899999999999998</v>
      </c>
      <c r="Q51">
        <v>-0.34499999999999997</v>
      </c>
      <c r="R51">
        <v>-0.35</v>
      </c>
      <c r="S51">
        <v>-0.35099999999999998</v>
      </c>
      <c r="T51">
        <v>-0.34899999999999998</v>
      </c>
      <c r="U51">
        <v>-0.34899999999999998</v>
      </c>
      <c r="V51">
        <v>-0.35099999999999998</v>
      </c>
    </row>
    <row r="52" spans="1:22" x14ac:dyDescent="0.2">
      <c r="A52" t="s">
        <v>1079</v>
      </c>
      <c r="B52" t="s">
        <v>264</v>
      </c>
      <c r="C52" t="s">
        <v>94</v>
      </c>
      <c r="F52" t="s">
        <v>1122</v>
      </c>
      <c r="G52">
        <v>-0.33400000000000002</v>
      </c>
      <c r="H52">
        <v>-0.34200000000000003</v>
      </c>
      <c r="I52">
        <v>-0.34499999999999997</v>
      </c>
      <c r="J52">
        <v>-0.34599999999999997</v>
      </c>
      <c r="K52">
        <v>-0.34599999999999997</v>
      </c>
      <c r="L52">
        <v>-0.34699999999999998</v>
      </c>
      <c r="M52">
        <v>-0.34799999999999998</v>
      </c>
      <c r="N52">
        <v>-0.34799999999999998</v>
      </c>
      <c r="O52">
        <v>-0.34899999999999998</v>
      </c>
      <c r="P52">
        <v>-0.34699999999999998</v>
      </c>
      <c r="Q52">
        <v>-0.34699999999999998</v>
      </c>
      <c r="R52">
        <v>-0.35</v>
      </c>
      <c r="S52">
        <v>-0.35199999999999998</v>
      </c>
      <c r="T52">
        <v>-0.33600000000000002</v>
      </c>
      <c r="U52">
        <v>-0.33400000000000002</v>
      </c>
      <c r="V52">
        <v>-0.35099999999999998</v>
      </c>
    </row>
    <row r="53" spans="1:22" x14ac:dyDescent="0.2">
      <c r="A53" t="s">
        <v>1079</v>
      </c>
      <c r="B53" t="s">
        <v>264</v>
      </c>
      <c r="C53" t="s">
        <v>176</v>
      </c>
      <c r="F53" t="s">
        <v>1123</v>
      </c>
      <c r="G53">
        <v>-0.33400000000000002</v>
      </c>
      <c r="H53">
        <v>-0.34499999999999997</v>
      </c>
      <c r="I53">
        <v>-0.34499999999999997</v>
      </c>
      <c r="J53">
        <v>-0.34499999999999997</v>
      </c>
      <c r="K53">
        <v>-0.34599999999999997</v>
      </c>
      <c r="L53">
        <v>-0.34899999999999998</v>
      </c>
      <c r="M53">
        <v>-0.34899999999999998</v>
      </c>
      <c r="N53">
        <v>-0.34799999999999998</v>
      </c>
      <c r="O53">
        <v>-0.34799999999999998</v>
      </c>
      <c r="P53">
        <v>-0.34799999999999998</v>
      </c>
      <c r="Q53">
        <v>-0.34899999999999998</v>
      </c>
      <c r="R53">
        <v>-0.35099999999999998</v>
      </c>
      <c r="S53">
        <v>-0.34399999999999997</v>
      </c>
      <c r="T53">
        <v>-0.34100000000000003</v>
      </c>
      <c r="U53">
        <v>-0.34</v>
      </c>
      <c r="V53">
        <v>-0.35099999999999998</v>
      </c>
    </row>
    <row r="54" spans="1:22" x14ac:dyDescent="0.2">
      <c r="A54" t="s">
        <v>1079</v>
      </c>
      <c r="B54" t="s">
        <v>264</v>
      </c>
      <c r="C54" t="s">
        <v>95</v>
      </c>
      <c r="F54" t="s">
        <v>1124</v>
      </c>
      <c r="G54">
        <v>-0.33600000000000002</v>
      </c>
      <c r="H54">
        <v>-0.34300000000000003</v>
      </c>
      <c r="I54">
        <v>-0.34499999999999997</v>
      </c>
      <c r="J54">
        <v>-0.34599999999999997</v>
      </c>
      <c r="K54">
        <v>-0.34599999999999997</v>
      </c>
      <c r="L54">
        <v>-0.35</v>
      </c>
      <c r="M54">
        <v>-0.34899999999999998</v>
      </c>
      <c r="N54">
        <v>-0.34799999999999998</v>
      </c>
      <c r="O54">
        <v>-0.34899999999999998</v>
      </c>
      <c r="P54">
        <v>-0.34899999999999998</v>
      </c>
      <c r="Q54">
        <v>-0.34899999999999998</v>
      </c>
      <c r="R54">
        <v>-0.34499999999999997</v>
      </c>
      <c r="S54">
        <v>-0.34699999999999998</v>
      </c>
      <c r="T54">
        <v>-0.34399999999999997</v>
      </c>
      <c r="U54">
        <v>-0.34399999999999997</v>
      </c>
      <c r="V54">
        <v>-0.35099999999999998</v>
      </c>
    </row>
    <row r="55" spans="1:22" x14ac:dyDescent="0.2">
      <c r="A55" t="s">
        <v>1079</v>
      </c>
      <c r="B55" t="s">
        <v>264</v>
      </c>
      <c r="C55" t="s">
        <v>96</v>
      </c>
      <c r="F55" t="s">
        <v>1125</v>
      </c>
      <c r="G55">
        <v>-0.34499999999999997</v>
      </c>
      <c r="H55">
        <v>-0.34699999999999998</v>
      </c>
      <c r="I55">
        <v>-0.34799999999999998</v>
      </c>
      <c r="J55">
        <v>-0.34599999999999997</v>
      </c>
      <c r="K55">
        <v>-0.34699999999999998</v>
      </c>
      <c r="L55">
        <v>-0.35</v>
      </c>
      <c r="M55">
        <v>-0.35099999999999998</v>
      </c>
      <c r="N55">
        <v>-0.35</v>
      </c>
      <c r="O55">
        <v>-0.34799999999999998</v>
      </c>
      <c r="P55">
        <v>-0.34699999999999998</v>
      </c>
      <c r="Q55">
        <v>-0.34699999999999998</v>
      </c>
      <c r="R55">
        <v>-0.34899999999999998</v>
      </c>
      <c r="S55">
        <v>-0.34799999999999998</v>
      </c>
      <c r="T55">
        <v>-0.34599999999999997</v>
      </c>
      <c r="U55">
        <v>-0.34599999999999997</v>
      </c>
      <c r="V55">
        <v>-0.35199999999999998</v>
      </c>
    </row>
    <row r="56" spans="1:22" x14ac:dyDescent="0.2">
      <c r="A56" t="s">
        <v>1079</v>
      </c>
      <c r="B56" t="s">
        <v>264</v>
      </c>
      <c r="C56" t="s">
        <v>97</v>
      </c>
      <c r="F56" t="s">
        <v>1126</v>
      </c>
      <c r="G56">
        <v>-0.35599999999999998</v>
      </c>
      <c r="H56">
        <v>-0.35099999999999998</v>
      </c>
      <c r="I56">
        <v>-0.35</v>
      </c>
      <c r="J56">
        <v>-0.34899999999999998</v>
      </c>
      <c r="K56">
        <v>-0.34899999999999998</v>
      </c>
      <c r="L56">
        <v>-0.35199999999999998</v>
      </c>
      <c r="M56">
        <v>-0.35199999999999998</v>
      </c>
      <c r="N56">
        <v>-0.35099999999999998</v>
      </c>
      <c r="O56">
        <v>-0.34899999999999998</v>
      </c>
      <c r="P56">
        <v>-0.34799999999999998</v>
      </c>
      <c r="Q56">
        <v>-0.34799999999999998</v>
      </c>
      <c r="R56">
        <v>-0.35099999999999998</v>
      </c>
      <c r="S56">
        <v>-0.34599999999999997</v>
      </c>
      <c r="T56">
        <v>-0.34699999999999998</v>
      </c>
      <c r="U56">
        <v>-0.34699999999999998</v>
      </c>
      <c r="V56">
        <v>-0.35299999999999998</v>
      </c>
    </row>
    <row r="57" spans="1:22" x14ac:dyDescent="0.2">
      <c r="A57" t="s">
        <v>1079</v>
      </c>
      <c r="B57" t="s">
        <v>264</v>
      </c>
      <c r="C57" t="s">
        <v>153</v>
      </c>
      <c r="F57" t="s">
        <v>1127</v>
      </c>
      <c r="G57">
        <v>-0.36799999999999999</v>
      </c>
      <c r="H57">
        <v>-0.35599999999999998</v>
      </c>
      <c r="I57">
        <v>-0.35599999999999998</v>
      </c>
      <c r="J57">
        <v>-0.35399999999999998</v>
      </c>
      <c r="K57">
        <v>-0.35399999999999998</v>
      </c>
      <c r="L57">
        <v>-0.35599999999999998</v>
      </c>
      <c r="M57">
        <v>-0.35599999999999998</v>
      </c>
      <c r="N57">
        <v>-0.35299999999999998</v>
      </c>
      <c r="O57">
        <v>-0.35</v>
      </c>
      <c r="P57">
        <v>-0.34899999999999998</v>
      </c>
      <c r="Q57">
        <v>-0.34899999999999998</v>
      </c>
      <c r="R57">
        <v>-0.35099999999999998</v>
      </c>
      <c r="S57">
        <v>-0.35099999999999998</v>
      </c>
      <c r="T57">
        <v>-0.34599999999999997</v>
      </c>
      <c r="U57">
        <v>-0.34599999999999997</v>
      </c>
      <c r="V57">
        <v>-0.35299999999999998</v>
      </c>
    </row>
    <row r="58" spans="1:22" x14ac:dyDescent="0.2">
      <c r="A58" t="s">
        <v>1079</v>
      </c>
      <c r="B58" t="s">
        <v>264</v>
      </c>
      <c r="C58" t="s">
        <v>135</v>
      </c>
      <c r="F58" t="s">
        <v>1128</v>
      </c>
      <c r="G58">
        <v>-0.377</v>
      </c>
      <c r="H58">
        <v>-0.36299999999999999</v>
      </c>
      <c r="I58">
        <v>-0.35899999999999999</v>
      </c>
      <c r="J58">
        <v>-0.35799999999999998</v>
      </c>
      <c r="K58">
        <v>-0.35699999999999998</v>
      </c>
      <c r="L58">
        <v>-0.35899999999999999</v>
      </c>
      <c r="M58">
        <v>-0.35799999999999998</v>
      </c>
      <c r="N58">
        <v>-0.35499999999999998</v>
      </c>
      <c r="O58">
        <v>-0.35099999999999998</v>
      </c>
      <c r="P58">
        <v>-0.35</v>
      </c>
      <c r="Q58">
        <v>-0.34899999999999998</v>
      </c>
      <c r="R58">
        <v>-0.35199999999999998</v>
      </c>
      <c r="S58">
        <v>-0.35099999999999998</v>
      </c>
      <c r="T58">
        <v>-0.34399999999999997</v>
      </c>
      <c r="U58">
        <v>-0.34499999999999997</v>
      </c>
      <c r="V58">
        <v>-0.35399999999999998</v>
      </c>
    </row>
    <row r="59" spans="1:22" x14ac:dyDescent="0.2">
      <c r="A59" t="s">
        <v>1079</v>
      </c>
      <c r="B59" t="s">
        <v>264</v>
      </c>
      <c r="C59" t="s">
        <v>38</v>
      </c>
      <c r="F59" t="s">
        <v>1129</v>
      </c>
      <c r="G59">
        <v>-0.38600000000000001</v>
      </c>
      <c r="H59">
        <v>-0.36799999999999999</v>
      </c>
      <c r="I59">
        <v>-0.36399999999999999</v>
      </c>
      <c r="J59">
        <v>-0.36199999999999999</v>
      </c>
      <c r="K59">
        <v>-0.36099999999999999</v>
      </c>
      <c r="L59">
        <v>-0.36299999999999999</v>
      </c>
      <c r="M59">
        <v>-0.36</v>
      </c>
      <c r="N59">
        <v>-0.35599999999999998</v>
      </c>
      <c r="O59">
        <v>-0.35199999999999998</v>
      </c>
      <c r="P59">
        <v>-0.35099999999999998</v>
      </c>
      <c r="Q59">
        <v>-0.34899999999999998</v>
      </c>
      <c r="R59">
        <v>-0.35199999999999998</v>
      </c>
      <c r="S59">
        <v>-0.35099999999999998</v>
      </c>
      <c r="T59">
        <v>-0.34200000000000003</v>
      </c>
      <c r="U59">
        <v>-0.34399999999999997</v>
      </c>
      <c r="V59">
        <v>-0.35399999999999998</v>
      </c>
    </row>
    <row r="60" spans="1:22" x14ac:dyDescent="0.2">
      <c r="A60" t="s">
        <v>1079</v>
      </c>
      <c r="B60" t="s">
        <v>264</v>
      </c>
      <c r="C60" t="s">
        <v>151</v>
      </c>
      <c r="F60" t="s">
        <v>1130</v>
      </c>
      <c r="G60">
        <v>-0.39600000000000002</v>
      </c>
      <c r="H60">
        <v>-0.373</v>
      </c>
      <c r="I60">
        <v>-0.36799999999999999</v>
      </c>
      <c r="J60">
        <v>-0.36599999999999999</v>
      </c>
      <c r="K60">
        <v>-0.36399999999999999</v>
      </c>
      <c r="L60">
        <v>-0.36599999999999999</v>
      </c>
      <c r="M60">
        <v>-0.36199999999999999</v>
      </c>
      <c r="N60">
        <v>-0.35699999999999998</v>
      </c>
      <c r="O60">
        <v>-0.35199999999999998</v>
      </c>
      <c r="P60">
        <v>-0.35199999999999998</v>
      </c>
      <c r="Q60">
        <v>-0.34899999999999998</v>
      </c>
      <c r="R60">
        <v>-0.35199999999999998</v>
      </c>
      <c r="S60">
        <v>-0.35099999999999998</v>
      </c>
      <c r="T60">
        <v>-0.34100000000000003</v>
      </c>
      <c r="U60">
        <v>-0.34200000000000003</v>
      </c>
      <c r="V60">
        <v>-0.35299999999999998</v>
      </c>
    </row>
    <row r="61" spans="1:22" x14ac:dyDescent="0.2">
      <c r="A61" t="s">
        <v>1079</v>
      </c>
      <c r="B61" t="s">
        <v>264</v>
      </c>
      <c r="C61" t="s">
        <v>136</v>
      </c>
      <c r="F61" t="s">
        <v>1131</v>
      </c>
      <c r="G61">
        <v>-0.40300000000000002</v>
      </c>
      <c r="H61">
        <v>-0.377</v>
      </c>
      <c r="I61">
        <v>-0.373</v>
      </c>
      <c r="J61">
        <v>-0.36899999999999999</v>
      </c>
      <c r="K61">
        <v>-0.36699999999999999</v>
      </c>
      <c r="L61">
        <v>-0.36799999999999999</v>
      </c>
      <c r="M61">
        <v>-0.36399999999999999</v>
      </c>
      <c r="N61">
        <v>-0.35799999999999998</v>
      </c>
      <c r="O61">
        <v>-0.35099999999999998</v>
      </c>
      <c r="P61">
        <v>-0.35199999999999998</v>
      </c>
      <c r="Q61">
        <v>-0.34899999999999998</v>
      </c>
      <c r="R61">
        <v>-0.35199999999999998</v>
      </c>
      <c r="S61">
        <v>-0.35099999999999998</v>
      </c>
      <c r="T61">
        <v>-0.33900000000000002</v>
      </c>
      <c r="U61">
        <v>-0.34100000000000003</v>
      </c>
      <c r="V61">
        <v>-0.35299999999999998</v>
      </c>
    </row>
    <row r="62" spans="1:22" x14ac:dyDescent="0.2">
      <c r="A62" t="s">
        <v>1079</v>
      </c>
      <c r="B62" t="s">
        <v>264</v>
      </c>
      <c r="C62" t="s">
        <v>152</v>
      </c>
      <c r="F62" t="s">
        <v>1132</v>
      </c>
      <c r="G62">
        <v>-0.40899999999999997</v>
      </c>
      <c r="H62">
        <v>-0.38200000000000001</v>
      </c>
      <c r="I62">
        <v>-0.377</v>
      </c>
      <c r="J62">
        <v>-0.372</v>
      </c>
      <c r="K62">
        <v>-0.36899999999999999</v>
      </c>
      <c r="L62">
        <v>-0.371</v>
      </c>
      <c r="M62">
        <v>-0.36499999999999999</v>
      </c>
      <c r="N62">
        <v>-0.35799999999999998</v>
      </c>
      <c r="O62">
        <v>-0.35</v>
      </c>
      <c r="P62">
        <v>-0.35099999999999998</v>
      </c>
      <c r="Q62">
        <v>-0.35</v>
      </c>
      <c r="R62">
        <v>-0.35299999999999998</v>
      </c>
      <c r="S62">
        <v>-0.35099999999999998</v>
      </c>
      <c r="T62">
        <v>-0.33800000000000002</v>
      </c>
      <c r="U62">
        <v>-0.34100000000000003</v>
      </c>
      <c r="V62">
        <v>-0.35199999999999998</v>
      </c>
    </row>
    <row r="63" spans="1:22" x14ac:dyDescent="0.2">
      <c r="A63" t="s">
        <v>1079</v>
      </c>
      <c r="B63" t="s">
        <v>264</v>
      </c>
      <c r="C63" t="s">
        <v>154</v>
      </c>
      <c r="F63" t="s">
        <v>1133</v>
      </c>
      <c r="G63">
        <v>-0.41599999999999998</v>
      </c>
      <c r="H63">
        <v>-0.38600000000000001</v>
      </c>
      <c r="I63">
        <v>-0.38100000000000001</v>
      </c>
      <c r="J63">
        <v>-0.376</v>
      </c>
      <c r="K63">
        <v>-0.372</v>
      </c>
      <c r="L63">
        <v>-0.374</v>
      </c>
      <c r="M63">
        <v>-0.36699999999999999</v>
      </c>
      <c r="N63">
        <v>-0.35899999999999999</v>
      </c>
      <c r="O63">
        <v>-0.34899999999999998</v>
      </c>
      <c r="P63">
        <v>-0.35099999999999998</v>
      </c>
      <c r="Q63">
        <v>-0.35099999999999998</v>
      </c>
      <c r="R63">
        <v>-0.35299999999999998</v>
      </c>
      <c r="S63">
        <v>-0.35099999999999998</v>
      </c>
      <c r="T63">
        <v>-0.33700000000000002</v>
      </c>
      <c r="U63">
        <v>-0.34</v>
      </c>
      <c r="V63">
        <v>-0.35099999999999998</v>
      </c>
    </row>
    <row r="64" spans="1:22" x14ac:dyDescent="0.2">
      <c r="A64" t="s">
        <v>1079</v>
      </c>
      <c r="B64" t="s">
        <v>264</v>
      </c>
      <c r="C64" t="s">
        <v>137</v>
      </c>
      <c r="F64" t="s">
        <v>1134</v>
      </c>
      <c r="G64">
        <v>-0.42199999999999999</v>
      </c>
      <c r="H64">
        <v>-0.39</v>
      </c>
      <c r="I64">
        <v>-0.38500000000000001</v>
      </c>
      <c r="J64">
        <v>-0.379</v>
      </c>
      <c r="K64">
        <v>-0.375</v>
      </c>
      <c r="L64">
        <v>-0.376</v>
      </c>
      <c r="M64">
        <v>-0.36899999999999999</v>
      </c>
      <c r="N64">
        <v>-0.36</v>
      </c>
      <c r="O64">
        <v>-0.34699999999999998</v>
      </c>
      <c r="P64">
        <v>-0.35</v>
      </c>
      <c r="Q64">
        <v>-0.35099999999999998</v>
      </c>
      <c r="R64">
        <v>-0.35399999999999998</v>
      </c>
      <c r="S64">
        <v>-0.35199999999999998</v>
      </c>
      <c r="T64">
        <v>-0.33700000000000002</v>
      </c>
      <c r="U64">
        <v>-0.33900000000000002</v>
      </c>
      <c r="V64">
        <v>-0.34899999999999998</v>
      </c>
    </row>
    <row r="65" spans="1:22" x14ac:dyDescent="0.2">
      <c r="A65" t="s">
        <v>1079</v>
      </c>
      <c r="B65" t="s">
        <v>264</v>
      </c>
      <c r="C65" t="s">
        <v>155</v>
      </c>
      <c r="F65" t="s">
        <v>1135</v>
      </c>
      <c r="G65">
        <v>-0.42799999999999999</v>
      </c>
      <c r="H65">
        <v>-0.39400000000000002</v>
      </c>
      <c r="I65">
        <v>-0.38900000000000001</v>
      </c>
      <c r="J65">
        <v>-0.38100000000000001</v>
      </c>
      <c r="K65">
        <v>-0.377</v>
      </c>
      <c r="L65">
        <v>-0.378</v>
      </c>
      <c r="M65">
        <v>-0.371</v>
      </c>
      <c r="N65">
        <v>-0.36</v>
      </c>
      <c r="O65">
        <v>-0.34599999999999997</v>
      </c>
      <c r="P65">
        <v>-0.34899999999999998</v>
      </c>
      <c r="Q65">
        <v>-0.35199999999999998</v>
      </c>
      <c r="R65">
        <v>-0.35499999999999998</v>
      </c>
      <c r="S65">
        <v>-0.35199999999999998</v>
      </c>
      <c r="T65">
        <v>-0.33600000000000002</v>
      </c>
      <c r="U65">
        <v>-0.33800000000000002</v>
      </c>
      <c r="V65">
        <v>-0.34799999999999998</v>
      </c>
    </row>
    <row r="66" spans="1:22" x14ac:dyDescent="0.2">
      <c r="A66" t="s">
        <v>1079</v>
      </c>
      <c r="B66" t="s">
        <v>264</v>
      </c>
      <c r="C66" t="s">
        <v>177</v>
      </c>
      <c r="F66" t="s">
        <v>1136</v>
      </c>
      <c r="G66">
        <v>-0.442</v>
      </c>
      <c r="H66">
        <v>-0.40600000000000003</v>
      </c>
      <c r="I66">
        <v>-0.40200000000000002</v>
      </c>
      <c r="J66">
        <v>-0.39</v>
      </c>
      <c r="K66">
        <v>-0.38400000000000001</v>
      </c>
      <c r="L66">
        <v>-0.38500000000000001</v>
      </c>
      <c r="M66">
        <v>-0.375</v>
      </c>
      <c r="N66">
        <v>-0.36099999999999999</v>
      </c>
      <c r="O66">
        <v>-0.34300000000000003</v>
      </c>
      <c r="P66">
        <v>-0.34699999999999998</v>
      </c>
      <c r="Q66">
        <v>-0.35399999999999998</v>
      </c>
      <c r="R66">
        <v>-0.35699999999999998</v>
      </c>
      <c r="S66">
        <v>-0.35199999999999998</v>
      </c>
      <c r="T66">
        <v>-0.33500000000000002</v>
      </c>
      <c r="U66">
        <v>-0.33700000000000002</v>
      </c>
      <c r="V66">
        <v>-0.34200000000000003</v>
      </c>
    </row>
    <row r="67" spans="1:22" x14ac:dyDescent="0.2">
      <c r="A67" t="s">
        <v>1079</v>
      </c>
      <c r="B67" t="s">
        <v>264</v>
      </c>
      <c r="C67" t="s">
        <v>156</v>
      </c>
      <c r="F67" t="s">
        <v>1137</v>
      </c>
      <c r="G67">
        <v>-0.45500000000000002</v>
      </c>
      <c r="H67">
        <v>-0.41499999999999998</v>
      </c>
      <c r="I67">
        <v>-0.41199999999999998</v>
      </c>
      <c r="J67">
        <v>-0.39600000000000002</v>
      </c>
      <c r="K67">
        <v>-0.38900000000000001</v>
      </c>
      <c r="L67">
        <v>-0.39</v>
      </c>
      <c r="M67">
        <v>-0.379</v>
      </c>
      <c r="N67">
        <v>-0.36099999999999999</v>
      </c>
      <c r="O67">
        <v>-0.33800000000000002</v>
      </c>
      <c r="P67">
        <v>-0.34300000000000003</v>
      </c>
      <c r="Q67">
        <v>-0.35399999999999998</v>
      </c>
      <c r="R67">
        <v>-0.35799999999999998</v>
      </c>
      <c r="S67">
        <v>-0.35099999999999998</v>
      </c>
      <c r="T67">
        <v>-0.33400000000000002</v>
      </c>
      <c r="U67">
        <v>-0.33500000000000002</v>
      </c>
      <c r="V67">
        <v>-0.33400000000000002</v>
      </c>
    </row>
    <row r="68" spans="1:22" x14ac:dyDescent="0.2">
      <c r="A68" t="s">
        <v>1079</v>
      </c>
      <c r="B68" t="s">
        <v>264</v>
      </c>
      <c r="C68" t="s">
        <v>178</v>
      </c>
      <c r="F68" t="s">
        <v>1138</v>
      </c>
      <c r="G68">
        <v>-0.46500000000000002</v>
      </c>
      <c r="H68">
        <v>-0.42299999999999999</v>
      </c>
      <c r="I68">
        <v>-0.42099999999999999</v>
      </c>
      <c r="J68">
        <v>-0.40100000000000002</v>
      </c>
      <c r="K68">
        <v>-0.39200000000000002</v>
      </c>
      <c r="L68">
        <v>-0.39400000000000002</v>
      </c>
      <c r="M68">
        <v>-0.38100000000000001</v>
      </c>
      <c r="N68">
        <v>-0.36</v>
      </c>
      <c r="O68">
        <v>-0.33200000000000002</v>
      </c>
      <c r="P68">
        <v>-0.33600000000000002</v>
      </c>
      <c r="Q68">
        <v>-0.35399999999999998</v>
      </c>
      <c r="R68">
        <v>-0.35799999999999998</v>
      </c>
      <c r="S68">
        <v>-0.34899999999999998</v>
      </c>
      <c r="T68">
        <v>-0.33100000000000002</v>
      </c>
      <c r="U68">
        <v>-0.33300000000000002</v>
      </c>
      <c r="V68">
        <v>-0.32500000000000001</v>
      </c>
    </row>
    <row r="69" spans="1:22" x14ac:dyDescent="0.2">
      <c r="A69" t="s">
        <v>1079</v>
      </c>
      <c r="B69" t="s">
        <v>264</v>
      </c>
      <c r="C69" t="s">
        <v>157</v>
      </c>
      <c r="F69" t="s">
        <v>1139</v>
      </c>
      <c r="G69">
        <v>-0.47299999999999998</v>
      </c>
      <c r="H69">
        <v>-0.42899999999999999</v>
      </c>
      <c r="I69">
        <v>-0.42899999999999999</v>
      </c>
      <c r="J69">
        <v>-0.40400000000000003</v>
      </c>
      <c r="K69">
        <v>-0.39500000000000002</v>
      </c>
      <c r="L69">
        <v>-0.39700000000000002</v>
      </c>
      <c r="M69">
        <v>-0.38300000000000001</v>
      </c>
      <c r="N69">
        <v>-0.35799999999999998</v>
      </c>
      <c r="O69">
        <v>-0.32400000000000001</v>
      </c>
      <c r="P69">
        <v>-0.32800000000000001</v>
      </c>
      <c r="Q69">
        <v>-0.35099999999999998</v>
      </c>
      <c r="R69">
        <v>-0.35699999999999998</v>
      </c>
      <c r="S69">
        <v>-0.34399999999999997</v>
      </c>
      <c r="T69">
        <v>-0.32700000000000001</v>
      </c>
      <c r="U69">
        <v>-0.32900000000000001</v>
      </c>
      <c r="V69">
        <v>-0.314</v>
      </c>
    </row>
    <row r="70" spans="1:22" x14ac:dyDescent="0.2">
      <c r="A70" t="s">
        <v>1079</v>
      </c>
      <c r="B70" t="s">
        <v>264</v>
      </c>
      <c r="C70" t="s">
        <v>99</v>
      </c>
      <c r="F70" t="s">
        <v>1140</v>
      </c>
      <c r="G70">
        <v>-0.48299999999999998</v>
      </c>
      <c r="H70">
        <v>-0.436</v>
      </c>
      <c r="I70">
        <v>-0.442</v>
      </c>
      <c r="J70">
        <v>-0.39800000000000002</v>
      </c>
      <c r="K70">
        <v>-0.38700000000000001</v>
      </c>
      <c r="L70">
        <v>-0.39100000000000001</v>
      </c>
      <c r="M70">
        <v>-0.377</v>
      </c>
      <c r="N70">
        <v>-0.32900000000000001</v>
      </c>
      <c r="O70">
        <v>-0.27300000000000002</v>
      </c>
      <c r="P70">
        <v>-0.27200000000000002</v>
      </c>
      <c r="Q70">
        <v>-0.316</v>
      </c>
      <c r="R70">
        <v>-0.32300000000000001</v>
      </c>
      <c r="S70">
        <v>-0.29599999999999999</v>
      </c>
      <c r="T70">
        <v>-0.28199999999999997</v>
      </c>
      <c r="U70">
        <v>-0.29299999999999998</v>
      </c>
      <c r="V70">
        <v>-0.254</v>
      </c>
    </row>
    <row r="71" spans="1:22" x14ac:dyDescent="0.2">
      <c r="A71" t="s">
        <v>1079</v>
      </c>
      <c r="B71" t="s">
        <v>264</v>
      </c>
      <c r="C71" t="s">
        <v>101</v>
      </c>
      <c r="F71" t="s">
        <v>1141</v>
      </c>
      <c r="G71">
        <v>-0.46500000000000002</v>
      </c>
      <c r="H71">
        <v>-0.43099999999999999</v>
      </c>
      <c r="I71">
        <v>-0.435</v>
      </c>
      <c r="J71">
        <v>-0.36899999999999999</v>
      </c>
      <c r="K71">
        <v>-0.35599999999999998</v>
      </c>
      <c r="L71">
        <v>-0.36399999999999999</v>
      </c>
      <c r="M71">
        <v>-0.35099999999999998</v>
      </c>
      <c r="N71">
        <v>-0.28299999999999997</v>
      </c>
      <c r="O71">
        <v>-0.20200000000000001</v>
      </c>
      <c r="P71">
        <v>-0.19600000000000001</v>
      </c>
      <c r="Q71">
        <v>-0.255</v>
      </c>
      <c r="R71">
        <v>-0.26100000000000001</v>
      </c>
      <c r="S71">
        <v>-0.219</v>
      </c>
      <c r="T71">
        <v>-0.20399999999999999</v>
      </c>
      <c r="U71">
        <v>-0.224</v>
      </c>
      <c r="V71">
        <v>-0.17499999999999999</v>
      </c>
    </row>
    <row r="72" spans="1:22" x14ac:dyDescent="0.2">
      <c r="A72" t="s">
        <v>1079</v>
      </c>
      <c r="B72" t="s">
        <v>264</v>
      </c>
      <c r="C72" t="s">
        <v>102</v>
      </c>
      <c r="F72" t="s">
        <v>1142</v>
      </c>
      <c r="G72">
        <v>-0.41199999999999998</v>
      </c>
      <c r="H72">
        <v>-0.4</v>
      </c>
      <c r="I72">
        <v>-0.40200000000000002</v>
      </c>
      <c r="J72">
        <v>-0.314</v>
      </c>
      <c r="K72">
        <v>-0.3</v>
      </c>
      <c r="L72">
        <v>-0.309</v>
      </c>
      <c r="M72">
        <v>-0.3</v>
      </c>
      <c r="N72">
        <v>-0.214</v>
      </c>
      <c r="O72">
        <v>-0.112</v>
      </c>
      <c r="P72">
        <v>-0.10100000000000001</v>
      </c>
      <c r="Q72">
        <v>-0.16800000000000001</v>
      </c>
      <c r="R72">
        <v>-0.17299999999999999</v>
      </c>
      <c r="S72">
        <v>-0.113</v>
      </c>
      <c r="T72">
        <v>-9.7000000000000003E-2</v>
      </c>
      <c r="U72">
        <v>-0.125</v>
      </c>
      <c r="V72">
        <v>-7.5999999999999998E-2</v>
      </c>
    </row>
    <row r="73" spans="1:22" x14ac:dyDescent="0.2">
      <c r="A73" t="s">
        <v>1079</v>
      </c>
      <c r="B73" t="s">
        <v>264</v>
      </c>
      <c r="C73" t="s">
        <v>103</v>
      </c>
      <c r="F73" t="s">
        <v>1143</v>
      </c>
      <c r="G73">
        <v>-0.33</v>
      </c>
      <c r="H73">
        <v>-0.34399999999999997</v>
      </c>
      <c r="I73">
        <v>-0.34399999999999997</v>
      </c>
      <c r="J73">
        <v>-0.23699999999999999</v>
      </c>
      <c r="K73">
        <v>-0.222</v>
      </c>
      <c r="L73">
        <v>-0.23300000000000001</v>
      </c>
      <c r="M73">
        <v>-0.22900000000000001</v>
      </c>
      <c r="N73">
        <v>-0.125</v>
      </c>
      <c r="O73">
        <v>-5.0000000000000001E-3</v>
      </c>
      <c r="P73">
        <v>6.0000000000000001E-3</v>
      </c>
      <c r="Q73">
        <v>-6.4000000000000001E-2</v>
      </c>
      <c r="R73">
        <v>-5.8000000000000003E-2</v>
      </c>
      <c r="S73">
        <v>1.6E-2</v>
      </c>
      <c r="T73">
        <v>3.3000000000000002E-2</v>
      </c>
      <c r="U73">
        <v>-4.0000000000000001E-3</v>
      </c>
      <c r="V73">
        <v>4.2000000000000003E-2</v>
      </c>
    </row>
    <row r="74" spans="1:22" x14ac:dyDescent="0.2">
      <c r="A74" t="s">
        <v>1079</v>
      </c>
      <c r="B74" t="s">
        <v>264</v>
      </c>
      <c r="C74" t="s">
        <v>104</v>
      </c>
      <c r="F74" t="s">
        <v>1144</v>
      </c>
      <c r="G74">
        <v>-0.23100000000000001</v>
      </c>
      <c r="H74">
        <v>-0.26600000000000001</v>
      </c>
      <c r="I74">
        <v>-0.26200000000000001</v>
      </c>
      <c r="J74">
        <v>-0.14099999999999999</v>
      </c>
      <c r="K74">
        <v>-0.127</v>
      </c>
      <c r="L74">
        <v>-0.13700000000000001</v>
      </c>
      <c r="M74">
        <v>-0.13900000000000001</v>
      </c>
      <c r="N74">
        <v>-1.7000000000000001E-2</v>
      </c>
      <c r="O74">
        <v>0.11</v>
      </c>
      <c r="P74">
        <v>0.123</v>
      </c>
      <c r="Q74">
        <v>5.1999999999999998E-2</v>
      </c>
      <c r="R74">
        <v>6.7000000000000004E-2</v>
      </c>
      <c r="S74">
        <v>0.153</v>
      </c>
      <c r="T74">
        <v>0.17100000000000001</v>
      </c>
      <c r="U74">
        <v>0.124</v>
      </c>
      <c r="V74">
        <v>0.17100000000000001</v>
      </c>
    </row>
    <row r="75" spans="1:22" x14ac:dyDescent="0.2">
      <c r="A75" t="s">
        <v>1079</v>
      </c>
      <c r="B75" t="s">
        <v>264</v>
      </c>
      <c r="C75" t="s">
        <v>105</v>
      </c>
      <c r="F75" t="s">
        <v>1145</v>
      </c>
      <c r="G75">
        <v>-0.124</v>
      </c>
      <c r="H75">
        <v>-0.17599999999999999</v>
      </c>
      <c r="I75">
        <v>-0.17100000000000001</v>
      </c>
      <c r="J75">
        <v>-3.5000000000000003E-2</v>
      </c>
      <c r="K75">
        <v>-1.9E-2</v>
      </c>
      <c r="L75">
        <v>-3.3000000000000002E-2</v>
      </c>
      <c r="M75">
        <v>-3.6999999999999998E-2</v>
      </c>
      <c r="N75">
        <v>9.2999999999999999E-2</v>
      </c>
      <c r="O75">
        <v>0.22600000000000001</v>
      </c>
      <c r="P75">
        <v>0.24099999999999999</v>
      </c>
      <c r="Q75">
        <v>0.17</v>
      </c>
      <c r="R75">
        <v>0.19400000000000001</v>
      </c>
      <c r="S75">
        <v>0.29099999999999998</v>
      </c>
      <c r="T75">
        <v>0.308</v>
      </c>
      <c r="U75">
        <v>0.25700000000000001</v>
      </c>
      <c r="V75">
        <v>0.30299999999999999</v>
      </c>
    </row>
    <row r="76" spans="1:22" x14ac:dyDescent="0.2">
      <c r="A76" t="s">
        <v>1079</v>
      </c>
      <c r="B76" t="s">
        <v>264</v>
      </c>
      <c r="C76" t="s">
        <v>106</v>
      </c>
      <c r="F76" t="s">
        <v>1146</v>
      </c>
      <c r="G76">
        <v>-1.7999999999999999E-2</v>
      </c>
      <c r="H76">
        <v>-8.3000000000000004E-2</v>
      </c>
      <c r="I76">
        <v>-7.3999999999999996E-2</v>
      </c>
      <c r="J76">
        <v>7.0999999999999994E-2</v>
      </c>
      <c r="K76">
        <v>8.7999999999999995E-2</v>
      </c>
      <c r="L76">
        <v>7.3999999999999996E-2</v>
      </c>
      <c r="M76">
        <v>6.7000000000000004E-2</v>
      </c>
      <c r="N76">
        <v>0.20699999999999999</v>
      </c>
      <c r="O76">
        <v>0.34200000000000003</v>
      </c>
      <c r="P76">
        <v>0.35399999999999998</v>
      </c>
      <c r="Q76">
        <v>0.28399999999999997</v>
      </c>
      <c r="R76">
        <v>0.315</v>
      </c>
      <c r="S76">
        <v>0.42099999999999999</v>
      </c>
      <c r="T76">
        <v>0.44</v>
      </c>
      <c r="U76">
        <v>0.38400000000000001</v>
      </c>
      <c r="V76">
        <v>0.435</v>
      </c>
    </row>
    <row r="77" spans="1:22" x14ac:dyDescent="0.2">
      <c r="A77" t="s">
        <v>1079</v>
      </c>
      <c r="B77" t="s">
        <v>264</v>
      </c>
      <c r="C77" t="s">
        <v>79</v>
      </c>
      <c r="F77" t="s">
        <v>1147</v>
      </c>
      <c r="G77">
        <v>7.9000000000000001E-2</v>
      </c>
      <c r="H77">
        <v>8.9999999999999993E-3</v>
      </c>
      <c r="I77">
        <v>0.02</v>
      </c>
      <c r="J77">
        <v>0.17499999999999999</v>
      </c>
      <c r="K77">
        <v>0.192</v>
      </c>
      <c r="L77">
        <v>0.17699999999999999</v>
      </c>
      <c r="M77">
        <v>0.16500000000000001</v>
      </c>
      <c r="N77">
        <v>0.311</v>
      </c>
      <c r="O77">
        <v>0.44800000000000001</v>
      </c>
      <c r="P77">
        <v>0.46100000000000002</v>
      </c>
      <c r="Q77">
        <v>0.39</v>
      </c>
      <c r="R77">
        <v>0.42599999999999999</v>
      </c>
      <c r="S77">
        <v>0.53900000000000003</v>
      </c>
      <c r="T77">
        <v>0.55800000000000005</v>
      </c>
      <c r="U77">
        <v>0.498</v>
      </c>
      <c r="V77">
        <v>0.55500000000000005</v>
      </c>
    </row>
    <row r="78" spans="1:22" x14ac:dyDescent="0.2">
      <c r="A78" t="s">
        <v>1079</v>
      </c>
      <c r="B78" t="s">
        <v>264</v>
      </c>
      <c r="C78" t="s">
        <v>158</v>
      </c>
      <c r="F78" t="s">
        <v>1148</v>
      </c>
      <c r="G78">
        <v>0.17199999999999999</v>
      </c>
      <c r="H78">
        <v>9.5000000000000001E-2</v>
      </c>
      <c r="I78">
        <v>0.109</v>
      </c>
      <c r="J78">
        <v>0.27200000000000002</v>
      </c>
      <c r="K78">
        <v>0.28599999999999998</v>
      </c>
      <c r="L78">
        <v>0.27200000000000002</v>
      </c>
      <c r="M78">
        <v>0.25800000000000001</v>
      </c>
      <c r="N78">
        <v>0.40200000000000002</v>
      </c>
      <c r="O78">
        <v>0.54200000000000004</v>
      </c>
      <c r="P78">
        <v>0.55500000000000005</v>
      </c>
      <c r="Q78">
        <v>0.48499999999999999</v>
      </c>
      <c r="R78">
        <v>0.52300000000000002</v>
      </c>
      <c r="S78">
        <v>0.64700000000000002</v>
      </c>
      <c r="T78">
        <v>0.66</v>
      </c>
      <c r="U78">
        <v>0.59899999999999998</v>
      </c>
      <c r="V78">
        <v>0.66200000000000003</v>
      </c>
    </row>
    <row r="79" spans="1:22" x14ac:dyDescent="0.2">
      <c r="A79" t="s">
        <v>1079</v>
      </c>
      <c r="B79" t="s">
        <v>264</v>
      </c>
      <c r="C79" t="s">
        <v>159</v>
      </c>
      <c r="F79" t="s">
        <v>1149</v>
      </c>
      <c r="G79">
        <v>0.254</v>
      </c>
      <c r="H79">
        <v>0.17</v>
      </c>
      <c r="I79">
        <v>0.189</v>
      </c>
      <c r="J79">
        <v>0.35799999999999998</v>
      </c>
      <c r="K79">
        <v>0.373</v>
      </c>
      <c r="L79">
        <v>0.35599999999999998</v>
      </c>
      <c r="M79">
        <v>0.34399999999999997</v>
      </c>
      <c r="N79">
        <v>0.49</v>
      </c>
      <c r="O79">
        <v>0.626</v>
      </c>
      <c r="P79">
        <v>0.63800000000000001</v>
      </c>
      <c r="Q79">
        <v>0.56899999999999995</v>
      </c>
      <c r="R79">
        <v>0.61099999999999999</v>
      </c>
      <c r="S79">
        <v>0.73899999999999999</v>
      </c>
      <c r="T79">
        <v>0.751</v>
      </c>
      <c r="U79">
        <v>0.68700000000000006</v>
      </c>
      <c r="V79">
        <v>0.75600000000000001</v>
      </c>
    </row>
    <row r="80" spans="1:22" x14ac:dyDescent="0.2">
      <c r="A80" t="s">
        <v>1079</v>
      </c>
      <c r="B80" t="s">
        <v>264</v>
      </c>
      <c r="C80" t="s">
        <v>107</v>
      </c>
      <c r="F80" t="s">
        <v>1150</v>
      </c>
      <c r="G80">
        <v>0.439</v>
      </c>
      <c r="H80">
        <v>0.34599999999999997</v>
      </c>
      <c r="I80">
        <v>0.375</v>
      </c>
      <c r="J80">
        <v>0.55500000000000005</v>
      </c>
      <c r="K80">
        <v>0.56899999999999995</v>
      </c>
      <c r="L80">
        <v>0.55100000000000005</v>
      </c>
      <c r="M80">
        <v>0.53600000000000003</v>
      </c>
      <c r="N80">
        <v>0.68400000000000005</v>
      </c>
      <c r="O80">
        <v>0.81799999999999995</v>
      </c>
      <c r="P80">
        <v>0.82899999999999996</v>
      </c>
      <c r="Q80">
        <v>0.76300000000000001</v>
      </c>
      <c r="R80">
        <v>0.81</v>
      </c>
      <c r="S80">
        <v>0.95399999999999996</v>
      </c>
      <c r="T80">
        <v>0.96</v>
      </c>
      <c r="U80">
        <v>0.89</v>
      </c>
      <c r="V80">
        <v>0.97099999999999997</v>
      </c>
    </row>
    <row r="81" spans="1:22" x14ac:dyDescent="0.2">
      <c r="A81" t="s">
        <v>1079</v>
      </c>
      <c r="B81" t="s">
        <v>264</v>
      </c>
      <c r="C81" t="s">
        <v>108</v>
      </c>
      <c r="F81" t="s">
        <v>1151</v>
      </c>
      <c r="G81">
        <v>0.58299999999999996</v>
      </c>
      <c r="H81">
        <v>0.502</v>
      </c>
      <c r="I81">
        <v>0.53400000000000003</v>
      </c>
      <c r="J81">
        <v>0.72199999999999998</v>
      </c>
      <c r="K81">
        <v>0.73599999999999999</v>
      </c>
      <c r="L81">
        <v>0.71399999999999997</v>
      </c>
      <c r="M81">
        <v>0.70399999999999996</v>
      </c>
      <c r="N81">
        <v>0.85</v>
      </c>
      <c r="O81">
        <v>0.98199999999999998</v>
      </c>
      <c r="P81">
        <v>0.99099999999999999</v>
      </c>
      <c r="Q81">
        <v>0.93</v>
      </c>
      <c r="R81">
        <v>0.98</v>
      </c>
      <c r="S81">
        <v>1.1379999999999999</v>
      </c>
      <c r="T81">
        <v>1.141</v>
      </c>
      <c r="U81">
        <v>1.0660000000000001</v>
      </c>
      <c r="V81">
        <v>1.161</v>
      </c>
    </row>
    <row r="82" spans="1:22" x14ac:dyDescent="0.2">
      <c r="A82" t="s">
        <v>1079</v>
      </c>
      <c r="B82" t="s">
        <v>264</v>
      </c>
      <c r="C82" t="s">
        <v>109</v>
      </c>
      <c r="F82" t="s">
        <v>1152</v>
      </c>
      <c r="G82">
        <v>0.628</v>
      </c>
      <c r="H82">
        <v>0.55600000000000005</v>
      </c>
      <c r="I82">
        <v>0.59</v>
      </c>
      <c r="J82">
        <v>0.78100000000000003</v>
      </c>
      <c r="K82">
        <v>0.79200000000000004</v>
      </c>
      <c r="L82">
        <v>0.77100000000000002</v>
      </c>
      <c r="M82">
        <v>0.76</v>
      </c>
      <c r="N82">
        <v>0.90700000000000003</v>
      </c>
      <c r="O82">
        <v>1.04</v>
      </c>
      <c r="P82">
        <v>1.048</v>
      </c>
      <c r="Q82">
        <v>0.99</v>
      </c>
      <c r="R82">
        <v>1.0429999999999999</v>
      </c>
      <c r="S82">
        <v>1.212</v>
      </c>
      <c r="T82">
        <v>1.2070000000000001</v>
      </c>
      <c r="U82">
        <v>1.1259999999999999</v>
      </c>
      <c r="V82">
        <v>1.2410000000000001</v>
      </c>
    </row>
    <row r="83" spans="1:22" x14ac:dyDescent="0.2">
      <c r="A83" t="s">
        <v>1079</v>
      </c>
      <c r="B83" t="s">
        <v>264</v>
      </c>
      <c r="C83" t="s">
        <v>110</v>
      </c>
      <c r="F83" t="s">
        <v>1153</v>
      </c>
      <c r="G83">
        <v>0.64200000000000002</v>
      </c>
      <c r="H83">
        <v>0.57499999999999996</v>
      </c>
      <c r="I83">
        <v>0.61099999999999999</v>
      </c>
      <c r="J83">
        <v>0.80600000000000005</v>
      </c>
      <c r="K83">
        <v>0.81799999999999995</v>
      </c>
      <c r="L83">
        <v>0.79200000000000004</v>
      </c>
      <c r="M83">
        <v>0.78100000000000003</v>
      </c>
      <c r="N83">
        <v>0.93200000000000005</v>
      </c>
      <c r="O83">
        <v>1.0660000000000001</v>
      </c>
      <c r="P83">
        <v>1.0740000000000001</v>
      </c>
      <c r="Q83">
        <v>1.0189999999999999</v>
      </c>
      <c r="R83">
        <v>1.0740000000000001</v>
      </c>
      <c r="S83">
        <v>1.2470000000000001</v>
      </c>
      <c r="T83">
        <v>1.2370000000000001</v>
      </c>
      <c r="U83">
        <v>1.153</v>
      </c>
      <c r="V83">
        <v>1.278</v>
      </c>
    </row>
    <row r="84" spans="1:22" x14ac:dyDescent="0.2">
      <c r="A84" t="s">
        <v>1079</v>
      </c>
      <c r="B84" t="s">
        <v>264</v>
      </c>
      <c r="C84" t="s">
        <v>174</v>
      </c>
      <c r="F84" t="s">
        <v>1154</v>
      </c>
      <c r="G84">
        <v>0.65400000000000003</v>
      </c>
      <c r="H84">
        <v>0.58099999999999996</v>
      </c>
      <c r="I84">
        <v>0.61199999999999999</v>
      </c>
      <c r="J84">
        <v>0.80900000000000005</v>
      </c>
      <c r="K84">
        <v>0.82199999999999995</v>
      </c>
      <c r="L84">
        <v>0.79200000000000004</v>
      </c>
      <c r="M84">
        <v>0.78200000000000003</v>
      </c>
      <c r="N84">
        <v>0.93899999999999995</v>
      </c>
      <c r="O84">
        <v>1.0680000000000001</v>
      </c>
      <c r="P84">
        <v>1.0760000000000001</v>
      </c>
      <c r="Q84">
        <v>1.034</v>
      </c>
      <c r="R84">
        <v>1.089</v>
      </c>
      <c r="S84">
        <v>1.2589999999999999</v>
      </c>
      <c r="T84">
        <v>1.256</v>
      </c>
      <c r="U84">
        <v>1.1719999999999999</v>
      </c>
      <c r="V84">
        <v>1.31</v>
      </c>
    </row>
    <row r="85" spans="1:22" x14ac:dyDescent="0.2">
      <c r="A85" t="s">
        <v>1079</v>
      </c>
      <c r="B85" t="s">
        <v>264</v>
      </c>
      <c r="C85" t="s">
        <v>175</v>
      </c>
      <c r="F85" t="s">
        <v>1155</v>
      </c>
      <c r="G85">
        <v>0.628</v>
      </c>
      <c r="H85">
        <v>0.54700000000000004</v>
      </c>
      <c r="I85">
        <v>0.57499999999999996</v>
      </c>
      <c r="J85">
        <v>0.77100000000000002</v>
      </c>
      <c r="K85">
        <v>0.78100000000000003</v>
      </c>
      <c r="L85">
        <v>0.751</v>
      </c>
      <c r="M85">
        <v>0.74399999999999999</v>
      </c>
      <c r="N85">
        <v>0.9</v>
      </c>
      <c r="O85">
        <v>1.03</v>
      </c>
      <c r="P85">
        <v>1.036</v>
      </c>
      <c r="Q85">
        <v>0.996</v>
      </c>
      <c r="R85">
        <v>1.0509999999999999</v>
      </c>
      <c r="S85">
        <v>1.214</v>
      </c>
      <c r="T85">
        <v>1.2150000000000001</v>
      </c>
      <c r="U85">
        <v>1.1319999999999999</v>
      </c>
      <c r="V85">
        <v>1.2789999999999999</v>
      </c>
    </row>
    <row r="87" spans="1:22" x14ac:dyDescent="0.2">
      <c r="A87" t="s">
        <v>1079</v>
      </c>
      <c r="B87" t="s">
        <v>1156</v>
      </c>
      <c r="C87" t="s">
        <v>92</v>
      </c>
      <c r="F87" t="s">
        <v>1157</v>
      </c>
      <c r="G87">
        <v>-0.375</v>
      </c>
      <c r="H87">
        <v>-0.4</v>
      </c>
      <c r="I87">
        <v>-0.41249999999999998</v>
      </c>
      <c r="J87">
        <v>-0.41249999999999998</v>
      </c>
      <c r="K87">
        <v>-0.4</v>
      </c>
      <c r="L87">
        <v>-0.41</v>
      </c>
      <c r="M87">
        <v>-0.41</v>
      </c>
      <c r="N87">
        <v>-0.42749999999999999</v>
      </c>
      <c r="O87">
        <v>-0.41</v>
      </c>
      <c r="P87">
        <v>-0.41</v>
      </c>
      <c r="Q87">
        <v>-0.40500000000000003</v>
      </c>
      <c r="R87">
        <v>-0.40250000000000002</v>
      </c>
      <c r="S87">
        <v>-0.39750000000000002</v>
      </c>
      <c r="T87">
        <v>-0.41</v>
      </c>
      <c r="U87">
        <v>-0.41</v>
      </c>
      <c r="V87">
        <v>-0.41</v>
      </c>
    </row>
    <row r="88" spans="1:22" x14ac:dyDescent="0.2">
      <c r="A88" t="s">
        <v>1079</v>
      </c>
      <c r="B88" t="s">
        <v>1156</v>
      </c>
      <c r="C88" t="s">
        <v>150</v>
      </c>
      <c r="F88" t="s">
        <v>1158</v>
      </c>
      <c r="G88">
        <v>-0.39500000000000002</v>
      </c>
      <c r="H88">
        <v>-0.41249999999999998</v>
      </c>
      <c r="I88">
        <v>-0.41</v>
      </c>
      <c r="J88">
        <v>-0.42</v>
      </c>
      <c r="K88">
        <v>-0.41249999999999998</v>
      </c>
      <c r="L88">
        <v>-0.40500000000000003</v>
      </c>
      <c r="M88">
        <v>-0.41</v>
      </c>
      <c r="N88">
        <v>-0.41</v>
      </c>
      <c r="O88">
        <v>-0.41</v>
      </c>
      <c r="P88">
        <v>-0.41</v>
      </c>
      <c r="Q88">
        <v>-0.41249999999999998</v>
      </c>
      <c r="R88">
        <v>-0.41249999999999998</v>
      </c>
      <c r="S88">
        <v>-0.41749999999999998</v>
      </c>
      <c r="T88">
        <v>-0.41</v>
      </c>
      <c r="U88">
        <v>-0.42499999999999999</v>
      </c>
      <c r="V88">
        <v>-0.41</v>
      </c>
    </row>
    <row r="89" spans="1:22" x14ac:dyDescent="0.2">
      <c r="A89" t="s">
        <v>1079</v>
      </c>
      <c r="B89" t="s">
        <v>1156</v>
      </c>
      <c r="C89" t="s">
        <v>93</v>
      </c>
      <c r="F89" t="s">
        <v>1159</v>
      </c>
      <c r="G89">
        <v>-0.371</v>
      </c>
      <c r="H89">
        <v>-0.38</v>
      </c>
      <c r="I89">
        <v>-0.38100000000000001</v>
      </c>
      <c r="J89">
        <v>-0.38100000000000001</v>
      </c>
      <c r="K89">
        <v>-0.379</v>
      </c>
      <c r="L89">
        <v>-0.38100000000000001</v>
      </c>
      <c r="M89">
        <v>-0.38</v>
      </c>
      <c r="N89">
        <v>-0.379</v>
      </c>
      <c r="O89">
        <v>-0.379</v>
      </c>
      <c r="P89">
        <v>-0.38100000000000001</v>
      </c>
      <c r="Q89">
        <v>-0.38</v>
      </c>
      <c r="R89">
        <v>-0.38</v>
      </c>
      <c r="S89">
        <v>-0.379</v>
      </c>
      <c r="T89">
        <v>-0.38100000000000001</v>
      </c>
      <c r="U89">
        <v>-0.38</v>
      </c>
      <c r="V89">
        <v>-0.379</v>
      </c>
    </row>
    <row r="90" spans="1:22" x14ac:dyDescent="0.2">
      <c r="A90" t="s">
        <v>1079</v>
      </c>
      <c r="B90" t="s">
        <v>1156</v>
      </c>
      <c r="C90" t="s">
        <v>95</v>
      </c>
      <c r="F90" t="s">
        <v>1160</v>
      </c>
      <c r="G90">
        <v>-0.36399999999999999</v>
      </c>
      <c r="H90">
        <v>-0.372</v>
      </c>
      <c r="I90">
        <v>-0.371</v>
      </c>
      <c r="J90">
        <v>-0.371</v>
      </c>
      <c r="K90">
        <v>-0.371</v>
      </c>
      <c r="L90">
        <v>-0.371</v>
      </c>
      <c r="M90">
        <v>-0.371</v>
      </c>
      <c r="N90">
        <v>-0.372</v>
      </c>
      <c r="O90">
        <v>-0.374</v>
      </c>
      <c r="P90">
        <v>-0.371</v>
      </c>
      <c r="Q90">
        <v>-0.374</v>
      </c>
      <c r="R90">
        <v>-0.372</v>
      </c>
      <c r="S90">
        <v>-0.371</v>
      </c>
      <c r="T90">
        <v>-0.372</v>
      </c>
      <c r="U90">
        <v>-0.371</v>
      </c>
      <c r="V90">
        <v>-0.372</v>
      </c>
    </row>
    <row r="91" spans="1:22" x14ac:dyDescent="0.2">
      <c r="A91" t="s">
        <v>1079</v>
      </c>
      <c r="B91" t="s">
        <v>1156</v>
      </c>
      <c r="C91" t="s">
        <v>96</v>
      </c>
      <c r="F91" t="s">
        <v>1161</v>
      </c>
      <c r="G91">
        <v>-0.32100000000000001</v>
      </c>
      <c r="H91">
        <v>-0.33700000000000002</v>
      </c>
      <c r="I91">
        <v>-0.33800000000000002</v>
      </c>
      <c r="J91">
        <v>-0.33800000000000002</v>
      </c>
      <c r="K91">
        <v>-0.33800000000000002</v>
      </c>
      <c r="L91">
        <v>-0.33900000000000002</v>
      </c>
      <c r="M91">
        <v>-0.33700000000000002</v>
      </c>
      <c r="N91">
        <v>-0.33800000000000002</v>
      </c>
      <c r="O91">
        <v>-0.33900000000000002</v>
      </c>
      <c r="P91">
        <v>-0.33900000000000002</v>
      </c>
      <c r="Q91">
        <v>-0.33900000000000002</v>
      </c>
      <c r="R91">
        <v>-0.33600000000000002</v>
      </c>
      <c r="S91">
        <v>-0.33700000000000002</v>
      </c>
      <c r="T91">
        <v>-0.33600000000000002</v>
      </c>
      <c r="U91">
        <v>-0.33700000000000002</v>
      </c>
      <c r="V91">
        <v>-0.33900000000000002</v>
      </c>
    </row>
    <row r="92" spans="1:22" x14ac:dyDescent="0.2">
      <c r="A92" t="s">
        <v>1079</v>
      </c>
      <c r="B92" t="s">
        <v>1156</v>
      </c>
      <c r="C92" t="s">
        <v>97</v>
      </c>
      <c r="F92" t="s">
        <v>1162</v>
      </c>
      <c r="G92">
        <v>-0.28599999999999998</v>
      </c>
      <c r="H92">
        <v>-0.29899999999999999</v>
      </c>
      <c r="I92">
        <v>-0.30099999999999999</v>
      </c>
      <c r="J92">
        <v>-0.30599999999999999</v>
      </c>
      <c r="K92">
        <v>-0.311</v>
      </c>
      <c r="L92">
        <v>-0.312</v>
      </c>
      <c r="M92">
        <v>-0.311</v>
      </c>
      <c r="N92">
        <v>-0.312</v>
      </c>
      <c r="O92">
        <v>-0.312</v>
      </c>
      <c r="P92">
        <v>-0.312</v>
      </c>
      <c r="Q92">
        <v>-0.314</v>
      </c>
      <c r="R92">
        <v>-0.314</v>
      </c>
      <c r="S92">
        <v>-0.316</v>
      </c>
      <c r="T92">
        <v>-0.314</v>
      </c>
      <c r="U92">
        <v>-0.313</v>
      </c>
      <c r="V92">
        <v>-0.32800000000000001</v>
      </c>
    </row>
    <row r="93" spans="1:22" x14ac:dyDescent="0.2">
      <c r="A93" t="s">
        <v>1079</v>
      </c>
      <c r="B93" t="s">
        <v>1156</v>
      </c>
      <c r="C93" t="s">
        <v>95</v>
      </c>
      <c r="D93" t="s">
        <v>153</v>
      </c>
      <c r="F93" t="s">
        <v>210</v>
      </c>
      <c r="G93">
        <v>-0.29299999999999998</v>
      </c>
      <c r="H93">
        <v>-0.308</v>
      </c>
      <c r="I93">
        <v>-0.29899999999999999</v>
      </c>
      <c r="J93">
        <v>-0.30399999999999999</v>
      </c>
      <c r="K93">
        <v>-0.309</v>
      </c>
      <c r="L93">
        <v>-0.31</v>
      </c>
      <c r="M93">
        <v>-0.309</v>
      </c>
      <c r="N93">
        <v>-0.309</v>
      </c>
      <c r="O93">
        <v>-0.30399999999999999</v>
      </c>
      <c r="P93">
        <v>-0.30399999999999999</v>
      </c>
      <c r="Q93">
        <v>-0.308</v>
      </c>
      <c r="R93">
        <v>-0.309</v>
      </c>
      <c r="S93">
        <v>-0.315</v>
      </c>
      <c r="T93">
        <v>-0.309</v>
      </c>
      <c r="U93">
        <v>-0.309</v>
      </c>
      <c r="V93">
        <v>-0.32900000000000001</v>
      </c>
    </row>
    <row r="94" spans="1:22" x14ac:dyDescent="0.2">
      <c r="A94" t="s">
        <v>1079</v>
      </c>
      <c r="B94" t="s">
        <v>1156</v>
      </c>
      <c r="C94" t="s">
        <v>96</v>
      </c>
      <c r="D94" t="s">
        <v>135</v>
      </c>
      <c r="F94" t="s">
        <v>211</v>
      </c>
      <c r="G94">
        <v>-0.307</v>
      </c>
      <c r="H94">
        <v>-0.315</v>
      </c>
      <c r="I94">
        <v>-0.3</v>
      </c>
      <c r="J94">
        <v>-0.30299999999999999</v>
      </c>
      <c r="K94">
        <v>-0.308</v>
      </c>
      <c r="L94">
        <v>-0.31</v>
      </c>
      <c r="M94">
        <v>-0.31</v>
      </c>
      <c r="N94">
        <v>-0.30599999999999999</v>
      </c>
      <c r="O94">
        <v>-0.29599999999999999</v>
      </c>
      <c r="P94">
        <v>-0.29799999999999999</v>
      </c>
      <c r="Q94">
        <v>-0.30399999999999999</v>
      </c>
      <c r="R94">
        <v>-0.30399999999999999</v>
      </c>
      <c r="S94">
        <v>-0.311</v>
      </c>
      <c r="T94">
        <v>-0.30299999999999999</v>
      </c>
      <c r="U94">
        <v>-0.30499999999999999</v>
      </c>
      <c r="V94">
        <v>-0.32800000000000001</v>
      </c>
    </row>
    <row r="95" spans="1:22" x14ac:dyDescent="0.2">
      <c r="A95" t="s">
        <v>1079</v>
      </c>
      <c r="B95" t="s">
        <v>1156</v>
      </c>
      <c r="C95" t="s">
        <v>97</v>
      </c>
      <c r="D95" t="s">
        <v>38</v>
      </c>
      <c r="F95" t="s">
        <v>212</v>
      </c>
      <c r="G95">
        <v>-0.316</v>
      </c>
      <c r="H95">
        <v>-0.32200000000000001</v>
      </c>
      <c r="I95">
        <v>-0.30299999999999999</v>
      </c>
      <c r="J95">
        <v>-0.30499999999999999</v>
      </c>
      <c r="K95">
        <v>-0.309</v>
      </c>
      <c r="L95">
        <v>-0.311</v>
      </c>
      <c r="M95">
        <v>-0.308</v>
      </c>
      <c r="N95">
        <v>-0.30199999999999999</v>
      </c>
      <c r="O95">
        <v>-0.28799999999999998</v>
      </c>
      <c r="P95">
        <v>-0.29199999999999998</v>
      </c>
      <c r="Q95">
        <v>-0.29799999999999999</v>
      </c>
      <c r="R95">
        <v>-0.29799999999999999</v>
      </c>
      <c r="S95">
        <v>-0.30499999999999999</v>
      </c>
      <c r="T95">
        <v>-0.29799999999999999</v>
      </c>
      <c r="U95">
        <v>-0.30099999999999999</v>
      </c>
      <c r="V95">
        <v>-0.32400000000000001</v>
      </c>
    </row>
    <row r="96" spans="1:22" x14ac:dyDescent="0.2">
      <c r="A96" t="s">
        <v>1079</v>
      </c>
      <c r="B96" t="s">
        <v>1156</v>
      </c>
      <c r="C96" t="s">
        <v>153</v>
      </c>
      <c r="D96" t="s">
        <v>151</v>
      </c>
      <c r="F96" t="s">
        <v>213</v>
      </c>
      <c r="G96">
        <v>-0.32400000000000001</v>
      </c>
      <c r="H96">
        <v>-0.32900000000000001</v>
      </c>
      <c r="I96">
        <v>-0.309</v>
      </c>
      <c r="J96">
        <v>-0.307</v>
      </c>
      <c r="K96">
        <v>-0.31</v>
      </c>
      <c r="L96">
        <v>-0.31</v>
      </c>
      <c r="M96">
        <v>-0.30599999999999999</v>
      </c>
      <c r="N96">
        <v>-0.29799999999999999</v>
      </c>
      <c r="O96">
        <v>-0.28000000000000003</v>
      </c>
      <c r="P96">
        <v>-0.28699999999999998</v>
      </c>
      <c r="Q96">
        <v>-0.29299999999999998</v>
      </c>
      <c r="R96">
        <v>-0.29199999999999998</v>
      </c>
      <c r="S96">
        <v>-0.30099999999999999</v>
      </c>
      <c r="T96">
        <v>-0.29199999999999998</v>
      </c>
      <c r="U96">
        <v>-0.29599999999999999</v>
      </c>
      <c r="V96">
        <v>-0.32</v>
      </c>
    </row>
    <row r="97" spans="1:22" x14ac:dyDescent="0.2">
      <c r="A97" t="s">
        <v>1079</v>
      </c>
      <c r="B97" t="s">
        <v>1156</v>
      </c>
      <c r="C97" t="s">
        <v>135</v>
      </c>
      <c r="D97" t="s">
        <v>136</v>
      </c>
      <c r="F97" t="s">
        <v>214</v>
      </c>
      <c r="G97">
        <v>-0.33200000000000002</v>
      </c>
      <c r="H97">
        <v>-0.33200000000000002</v>
      </c>
      <c r="I97">
        <v>-0.314</v>
      </c>
      <c r="J97">
        <v>-0.309</v>
      </c>
      <c r="K97">
        <v>-0.31</v>
      </c>
      <c r="L97">
        <v>-0.31</v>
      </c>
      <c r="M97">
        <v>-0.30499999999999999</v>
      </c>
      <c r="N97">
        <v>-0.29399999999999998</v>
      </c>
      <c r="O97">
        <v>-0.27300000000000002</v>
      </c>
      <c r="P97">
        <v>-0.28100000000000003</v>
      </c>
      <c r="Q97">
        <v>-0.28899999999999998</v>
      </c>
      <c r="R97">
        <v>-0.28899999999999998</v>
      </c>
      <c r="S97">
        <v>-0.29699999999999999</v>
      </c>
      <c r="T97">
        <v>-0.28599999999999998</v>
      </c>
      <c r="U97">
        <v>-0.28999999999999998</v>
      </c>
      <c r="V97">
        <v>-0.315</v>
      </c>
    </row>
    <row r="98" spans="1:22" x14ac:dyDescent="0.2">
      <c r="A98" t="s">
        <v>1079</v>
      </c>
      <c r="B98" t="s">
        <v>1156</v>
      </c>
      <c r="C98" t="s">
        <v>38</v>
      </c>
      <c r="D98" t="s">
        <v>152</v>
      </c>
      <c r="F98" t="s">
        <v>215</v>
      </c>
      <c r="G98">
        <v>-0.34</v>
      </c>
      <c r="H98">
        <v>-0.33500000000000002</v>
      </c>
      <c r="I98">
        <v>-0.32</v>
      </c>
      <c r="J98">
        <v>-0.312</v>
      </c>
      <c r="K98">
        <v>-0.312</v>
      </c>
      <c r="L98">
        <v>-0.312</v>
      </c>
      <c r="M98">
        <v>-0.30499999999999999</v>
      </c>
      <c r="N98">
        <v>-0.29199999999999998</v>
      </c>
      <c r="O98">
        <v>-0.26700000000000002</v>
      </c>
      <c r="P98">
        <v>-0.27600000000000002</v>
      </c>
      <c r="Q98">
        <v>-0.28499999999999998</v>
      </c>
      <c r="R98">
        <v>-0.28499999999999998</v>
      </c>
      <c r="S98">
        <v>-0.29299999999999998</v>
      </c>
      <c r="T98">
        <v>-0.28000000000000003</v>
      </c>
      <c r="U98">
        <v>-0.28499999999999998</v>
      </c>
      <c r="V98">
        <v>-0.307</v>
      </c>
    </row>
    <row r="99" spans="1:22" x14ac:dyDescent="0.2">
      <c r="A99" t="s">
        <v>1079</v>
      </c>
      <c r="B99" t="s">
        <v>1156</v>
      </c>
      <c r="C99" t="s">
        <v>152</v>
      </c>
      <c r="D99" t="s">
        <v>155</v>
      </c>
      <c r="F99" t="s">
        <v>216</v>
      </c>
      <c r="G99">
        <v>-0.35199999999999998</v>
      </c>
      <c r="H99">
        <v>-0.34300000000000003</v>
      </c>
      <c r="I99">
        <v>-0.33900000000000002</v>
      </c>
      <c r="J99">
        <v>-0.32200000000000001</v>
      </c>
      <c r="K99">
        <v>-0.316</v>
      </c>
      <c r="L99">
        <v>-0.317</v>
      </c>
      <c r="M99">
        <v>-0.30499999999999999</v>
      </c>
      <c r="N99">
        <v>-0.28499999999999998</v>
      </c>
      <c r="O99">
        <v>-0.249</v>
      </c>
      <c r="P99">
        <v>-0.25900000000000001</v>
      </c>
      <c r="Q99">
        <v>-0.27600000000000002</v>
      </c>
      <c r="R99">
        <v>-0.27800000000000002</v>
      </c>
      <c r="S99">
        <v>-0.28399999999999997</v>
      </c>
      <c r="T99">
        <v>-0.26900000000000002</v>
      </c>
      <c r="U99">
        <v>-0.27300000000000002</v>
      </c>
      <c r="V99">
        <v>-0.28100000000000003</v>
      </c>
    </row>
    <row r="100" spans="1:22" x14ac:dyDescent="0.2">
      <c r="A100" t="s">
        <v>1079</v>
      </c>
      <c r="B100" t="s">
        <v>1156</v>
      </c>
      <c r="C100" t="s">
        <v>155</v>
      </c>
      <c r="D100" t="s">
        <v>177</v>
      </c>
      <c r="F100" t="s">
        <v>217</v>
      </c>
      <c r="G100">
        <v>-0.36499999999999999</v>
      </c>
      <c r="H100">
        <v>-0.35199999999999998</v>
      </c>
      <c r="I100">
        <v>-0.35599999999999998</v>
      </c>
      <c r="J100">
        <v>-0.33</v>
      </c>
      <c r="K100">
        <v>-0.318</v>
      </c>
      <c r="L100">
        <v>-0.32</v>
      </c>
      <c r="M100">
        <v>-0.30399999999999999</v>
      </c>
      <c r="N100">
        <v>-0.27700000000000002</v>
      </c>
      <c r="O100">
        <v>-0.22900000000000001</v>
      </c>
      <c r="P100">
        <v>-0.23899999999999999</v>
      </c>
      <c r="Q100">
        <v>-0.26700000000000002</v>
      </c>
      <c r="R100">
        <v>-0.27100000000000002</v>
      </c>
      <c r="S100">
        <v>-0.27400000000000002</v>
      </c>
      <c r="T100">
        <v>-0.25800000000000001</v>
      </c>
      <c r="U100">
        <v>-0.26100000000000001</v>
      </c>
      <c r="V100">
        <v>-0.255</v>
      </c>
    </row>
    <row r="101" spans="1:22" x14ac:dyDescent="0.2">
      <c r="A101" t="s">
        <v>1079</v>
      </c>
      <c r="B101" t="s">
        <v>1156</v>
      </c>
      <c r="C101" t="s">
        <v>25</v>
      </c>
      <c r="F101" t="s">
        <v>1163</v>
      </c>
      <c r="G101">
        <v>-0.32600000000000001</v>
      </c>
      <c r="H101">
        <v>-0.32900000000000001</v>
      </c>
      <c r="I101">
        <v>-0.31900000000000001</v>
      </c>
      <c r="J101">
        <v>-0.3145</v>
      </c>
      <c r="K101">
        <v>-0.3165</v>
      </c>
      <c r="L101">
        <v>-0.3165</v>
      </c>
      <c r="M101">
        <v>-0.311</v>
      </c>
      <c r="N101">
        <v>-0.30149999999999999</v>
      </c>
      <c r="O101">
        <v>-0.28199999999999997</v>
      </c>
      <c r="P101">
        <v>-0.28849999999999998</v>
      </c>
      <c r="Q101">
        <v>-0.29699999999999999</v>
      </c>
      <c r="R101">
        <v>-0.29699999999999999</v>
      </c>
      <c r="S101">
        <v>-0.30349999999999999</v>
      </c>
      <c r="T101">
        <v>-0.29399999999999998</v>
      </c>
      <c r="U101">
        <v>-0.29699999999999999</v>
      </c>
      <c r="V101">
        <v>-0.314</v>
      </c>
    </row>
    <row r="102" spans="1:22" x14ac:dyDescent="0.2">
      <c r="A102" t="s">
        <v>1079</v>
      </c>
      <c r="B102" t="s">
        <v>1156</v>
      </c>
      <c r="C102" t="s">
        <v>157</v>
      </c>
      <c r="F102" t="s">
        <v>1164</v>
      </c>
      <c r="G102">
        <v>-0.35099999999999998</v>
      </c>
      <c r="H102">
        <v>-0.34250000000000003</v>
      </c>
      <c r="I102">
        <v>-0.34749999999999998</v>
      </c>
      <c r="J102">
        <v>-0.32600000000000001</v>
      </c>
      <c r="K102">
        <v>-0.317</v>
      </c>
      <c r="L102">
        <v>-0.32</v>
      </c>
      <c r="M102">
        <v>-0.3075</v>
      </c>
      <c r="N102">
        <v>-0.28199999999999997</v>
      </c>
      <c r="O102">
        <v>-0.23849999999999999</v>
      </c>
      <c r="P102">
        <v>-0.2445</v>
      </c>
      <c r="Q102">
        <v>-0.27150000000000002</v>
      </c>
      <c r="R102">
        <v>-0.27550000000000002</v>
      </c>
      <c r="S102">
        <v>-0.27500000000000002</v>
      </c>
      <c r="T102">
        <v>-0.26250000000000001</v>
      </c>
      <c r="U102">
        <v>-0.26750000000000002</v>
      </c>
      <c r="V102">
        <v>-0.26350000000000001</v>
      </c>
    </row>
    <row r="103" spans="1:22" x14ac:dyDescent="0.2">
      <c r="A103" t="s">
        <v>1079</v>
      </c>
      <c r="B103" t="s">
        <v>1156</v>
      </c>
      <c r="C103" t="s">
        <v>99</v>
      </c>
      <c r="F103" t="s">
        <v>1165</v>
      </c>
      <c r="G103">
        <v>-0.35249999999999998</v>
      </c>
      <c r="H103">
        <v>-0.34150000000000003</v>
      </c>
      <c r="I103">
        <v>-0.35199999999999998</v>
      </c>
      <c r="J103">
        <v>-0.3125</v>
      </c>
      <c r="K103">
        <v>-0.30149999999999999</v>
      </c>
      <c r="L103">
        <v>-0.30549999999999999</v>
      </c>
      <c r="M103">
        <v>-0.28999999999999998</v>
      </c>
      <c r="N103">
        <v>-0.2455</v>
      </c>
      <c r="O103">
        <v>-0.17849999999999999</v>
      </c>
      <c r="P103">
        <v>-0.17699999999999999</v>
      </c>
      <c r="Q103">
        <v>-0.223</v>
      </c>
      <c r="R103">
        <v>-0.22600000000000001</v>
      </c>
      <c r="S103">
        <v>-0.21299999999999999</v>
      </c>
      <c r="T103">
        <v>-0.20150000000000001</v>
      </c>
      <c r="U103">
        <v>-0.2145</v>
      </c>
      <c r="V103">
        <v>-0.1905</v>
      </c>
    </row>
    <row r="104" spans="1:22" x14ac:dyDescent="0.2">
      <c r="A104" t="s">
        <v>1079</v>
      </c>
      <c r="B104" t="s">
        <v>1156</v>
      </c>
      <c r="C104" t="s">
        <v>101</v>
      </c>
      <c r="F104" t="s">
        <v>1166</v>
      </c>
      <c r="G104">
        <v>-0.32400000000000001</v>
      </c>
      <c r="H104">
        <v>-0.32600000000000001</v>
      </c>
      <c r="I104">
        <v>-0.33800000000000002</v>
      </c>
      <c r="J104">
        <v>-0.27550000000000002</v>
      </c>
      <c r="K104">
        <v>-0.26400000000000001</v>
      </c>
      <c r="L104">
        <v>-0.27150000000000002</v>
      </c>
      <c r="M104">
        <v>-0.25700000000000001</v>
      </c>
      <c r="N104">
        <v>-0.19550000000000001</v>
      </c>
      <c r="O104">
        <v>-0.10150000000000001</v>
      </c>
      <c r="P104">
        <v>-9.5500000000000002E-2</v>
      </c>
      <c r="Q104">
        <v>-0.1525</v>
      </c>
      <c r="R104">
        <v>-0.1545</v>
      </c>
      <c r="S104">
        <v>-0.125</v>
      </c>
      <c r="T104">
        <v>-0.114</v>
      </c>
      <c r="U104">
        <v>-0.13700000000000001</v>
      </c>
      <c r="V104">
        <v>-9.9000000000000005E-2</v>
      </c>
    </row>
    <row r="105" spans="1:22" x14ac:dyDescent="0.2">
      <c r="A105" t="s">
        <v>1079</v>
      </c>
      <c r="B105" t="s">
        <v>1156</v>
      </c>
      <c r="C105" t="s">
        <v>102</v>
      </c>
      <c r="F105" t="s">
        <v>1167</v>
      </c>
      <c r="G105">
        <v>-0.26400000000000001</v>
      </c>
      <c r="H105">
        <v>-0.28899999999999998</v>
      </c>
      <c r="I105">
        <v>-0.29799999999999999</v>
      </c>
      <c r="J105">
        <v>-0.2155</v>
      </c>
      <c r="K105">
        <v>-0.19900000000000001</v>
      </c>
      <c r="L105">
        <v>-0.21149999999999999</v>
      </c>
      <c r="M105">
        <v>-0.19900000000000001</v>
      </c>
      <c r="N105">
        <v>-0.1225</v>
      </c>
      <c r="O105">
        <v>-8.0000000000000002E-3</v>
      </c>
      <c r="P105">
        <v>3.0000000000000001E-3</v>
      </c>
      <c r="Q105">
        <v>-0.06</v>
      </c>
      <c r="R105">
        <v>-5.6000000000000001E-2</v>
      </c>
      <c r="S105">
        <v>-1.0999999999999999E-2</v>
      </c>
      <c r="T105">
        <v>2.5000000000000001E-3</v>
      </c>
      <c r="U105">
        <v>-2.8000000000000001E-2</v>
      </c>
      <c r="V105">
        <v>8.5000000000000006E-3</v>
      </c>
    </row>
    <row r="106" spans="1:22" x14ac:dyDescent="0.2">
      <c r="A106" t="s">
        <v>1079</v>
      </c>
      <c r="B106" t="s">
        <v>1156</v>
      </c>
      <c r="C106" t="s">
        <v>103</v>
      </c>
      <c r="F106" t="s">
        <v>1168</v>
      </c>
      <c r="G106">
        <v>-0.17949999999999999</v>
      </c>
      <c r="H106">
        <v>-0.22700000000000001</v>
      </c>
      <c r="I106">
        <v>-0.23599999999999999</v>
      </c>
      <c r="J106">
        <v>-0.13250000000000001</v>
      </c>
      <c r="K106">
        <v>-0.11799999999999999</v>
      </c>
      <c r="L106">
        <v>-0.13150000000000001</v>
      </c>
      <c r="M106">
        <v>-0.1245</v>
      </c>
      <c r="N106">
        <v>-3.0499999999999999E-2</v>
      </c>
      <c r="O106">
        <v>0.1</v>
      </c>
      <c r="P106">
        <v>0.112</v>
      </c>
      <c r="Q106">
        <v>4.7500000000000001E-2</v>
      </c>
      <c r="R106">
        <v>6.0499999999999998E-2</v>
      </c>
      <c r="S106">
        <v>0.1205</v>
      </c>
      <c r="T106">
        <v>0.13400000000000001</v>
      </c>
      <c r="U106">
        <v>9.5500000000000002E-2</v>
      </c>
      <c r="V106">
        <v>0.13200000000000001</v>
      </c>
    </row>
    <row r="107" spans="1:22" x14ac:dyDescent="0.2">
      <c r="A107" t="s">
        <v>1079</v>
      </c>
      <c r="B107" t="s">
        <v>1156</v>
      </c>
      <c r="C107" t="s">
        <v>104</v>
      </c>
      <c r="F107" t="s">
        <v>1169</v>
      </c>
      <c r="G107">
        <v>-8.1000000000000003E-2</v>
      </c>
      <c r="H107">
        <v>-0.14849999999999999</v>
      </c>
      <c r="I107">
        <v>-0.155</v>
      </c>
      <c r="J107">
        <v>-3.7499999999999999E-2</v>
      </c>
      <c r="K107">
        <v>-2.35E-2</v>
      </c>
      <c r="L107">
        <v>-3.6999999999999998E-2</v>
      </c>
      <c r="M107">
        <v>-3.4000000000000002E-2</v>
      </c>
      <c r="N107">
        <v>7.5999999999999998E-2</v>
      </c>
      <c r="O107">
        <v>0.215</v>
      </c>
      <c r="P107">
        <v>0.22850000000000001</v>
      </c>
      <c r="Q107">
        <v>0.16300000000000001</v>
      </c>
      <c r="R107">
        <v>0.186</v>
      </c>
      <c r="S107">
        <v>0.25800000000000001</v>
      </c>
      <c r="T107">
        <v>0.27200000000000002</v>
      </c>
      <c r="U107">
        <v>0.22450000000000001</v>
      </c>
      <c r="V107">
        <v>0.26550000000000001</v>
      </c>
    </row>
    <row r="108" spans="1:22" x14ac:dyDescent="0.2">
      <c r="A108" t="s">
        <v>1079</v>
      </c>
      <c r="B108" t="s">
        <v>1156</v>
      </c>
      <c r="C108" t="s">
        <v>105</v>
      </c>
      <c r="F108" t="s">
        <v>1170</v>
      </c>
      <c r="G108">
        <v>2.4500000000000001E-2</v>
      </c>
      <c r="H108">
        <v>-5.9499999999999997E-2</v>
      </c>
      <c r="I108">
        <v>-6.2E-2</v>
      </c>
      <c r="J108">
        <v>6.8500000000000005E-2</v>
      </c>
      <c r="K108">
        <v>8.3000000000000004E-2</v>
      </c>
      <c r="L108">
        <v>6.8500000000000005E-2</v>
      </c>
      <c r="M108">
        <v>6.7000000000000004E-2</v>
      </c>
      <c r="N108">
        <v>0.1885</v>
      </c>
      <c r="O108">
        <v>0.33200000000000002</v>
      </c>
      <c r="P108">
        <v>0.34699999999999998</v>
      </c>
      <c r="Q108">
        <v>0.28100000000000003</v>
      </c>
      <c r="R108">
        <v>0.311</v>
      </c>
      <c r="S108">
        <v>0.39550000000000002</v>
      </c>
      <c r="T108">
        <v>0.40849999999999997</v>
      </c>
      <c r="U108">
        <v>0.35649999999999998</v>
      </c>
      <c r="V108">
        <v>0.39900000000000002</v>
      </c>
    </row>
    <row r="109" spans="1:22" x14ac:dyDescent="0.2">
      <c r="A109" t="s">
        <v>1079</v>
      </c>
      <c r="B109" t="s">
        <v>1156</v>
      </c>
      <c r="C109" t="s">
        <v>106</v>
      </c>
      <c r="F109" t="s">
        <v>1171</v>
      </c>
      <c r="G109">
        <v>0.13250000000000001</v>
      </c>
      <c r="H109">
        <v>3.5999999999999997E-2</v>
      </c>
      <c r="I109">
        <v>3.5999999999999997E-2</v>
      </c>
      <c r="J109">
        <v>0.17649999999999999</v>
      </c>
      <c r="K109">
        <v>0.19550000000000001</v>
      </c>
      <c r="L109">
        <v>0.17699999999999999</v>
      </c>
      <c r="M109">
        <v>0.17249999999999999</v>
      </c>
      <c r="N109">
        <v>0.29799999999999999</v>
      </c>
      <c r="O109">
        <v>0.44700000000000001</v>
      </c>
      <c r="P109">
        <v>0.46100000000000002</v>
      </c>
      <c r="Q109">
        <v>0.39500000000000002</v>
      </c>
      <c r="R109">
        <v>0.432</v>
      </c>
      <c r="S109">
        <v>0.52549999999999997</v>
      </c>
      <c r="T109">
        <v>0.53949999999999998</v>
      </c>
      <c r="U109">
        <v>0.48249999999999998</v>
      </c>
      <c r="V109">
        <v>0.52800000000000002</v>
      </c>
    </row>
    <row r="110" spans="1:22" x14ac:dyDescent="0.2">
      <c r="A110" t="s">
        <v>1079</v>
      </c>
      <c r="B110" t="s">
        <v>1156</v>
      </c>
      <c r="C110" t="s">
        <v>79</v>
      </c>
      <c r="F110" t="s">
        <v>1172</v>
      </c>
      <c r="G110">
        <v>0.23150000000000001</v>
      </c>
      <c r="H110">
        <v>0.128</v>
      </c>
      <c r="I110">
        <v>0.1295</v>
      </c>
      <c r="J110">
        <v>0.28000000000000003</v>
      </c>
      <c r="K110">
        <v>0.29899999999999999</v>
      </c>
      <c r="L110">
        <v>0.27900000000000003</v>
      </c>
      <c r="M110">
        <v>0.27150000000000002</v>
      </c>
      <c r="N110">
        <v>0.40400000000000003</v>
      </c>
      <c r="O110">
        <v>0.55249999999999999</v>
      </c>
      <c r="P110">
        <v>0.56799999999999995</v>
      </c>
      <c r="Q110">
        <v>0.50049999999999994</v>
      </c>
      <c r="R110">
        <v>0.54249999999999998</v>
      </c>
      <c r="S110">
        <v>0.64400000000000002</v>
      </c>
      <c r="T110">
        <v>0.65749999999999997</v>
      </c>
      <c r="U110">
        <v>0.59650000000000003</v>
      </c>
      <c r="V110">
        <v>0.64700000000000002</v>
      </c>
    </row>
    <row r="111" spans="1:22" x14ac:dyDescent="0.2">
      <c r="A111" t="s">
        <v>1079</v>
      </c>
      <c r="B111" t="s">
        <v>1156</v>
      </c>
      <c r="C111" t="s">
        <v>159</v>
      </c>
      <c r="F111" t="s">
        <v>1173</v>
      </c>
      <c r="G111">
        <v>0.40300000000000002</v>
      </c>
      <c r="H111">
        <v>0.28849999999999998</v>
      </c>
      <c r="I111">
        <v>0.29849999999999999</v>
      </c>
      <c r="J111">
        <v>0.46250000000000002</v>
      </c>
      <c r="K111">
        <v>0.47949999999999998</v>
      </c>
      <c r="L111">
        <v>0.45800000000000002</v>
      </c>
      <c r="M111">
        <v>0.44850000000000001</v>
      </c>
      <c r="N111">
        <v>0.58250000000000002</v>
      </c>
      <c r="O111">
        <v>0.73050000000000004</v>
      </c>
      <c r="P111">
        <v>0.745</v>
      </c>
      <c r="Q111">
        <v>0.67900000000000005</v>
      </c>
      <c r="R111">
        <v>0.72699999999999998</v>
      </c>
      <c r="S111">
        <v>0.84450000000000003</v>
      </c>
      <c r="T111">
        <v>0.85050000000000003</v>
      </c>
      <c r="U111">
        <v>0.78549999999999998</v>
      </c>
      <c r="V111">
        <v>0.84850000000000003</v>
      </c>
    </row>
    <row r="112" spans="1:22" x14ac:dyDescent="0.2">
      <c r="A112" t="s">
        <v>1079</v>
      </c>
      <c r="B112" t="s">
        <v>1156</v>
      </c>
      <c r="C112" t="s">
        <v>107</v>
      </c>
      <c r="F112" t="s">
        <v>1174</v>
      </c>
      <c r="G112">
        <v>0.58150000000000002</v>
      </c>
      <c r="H112">
        <v>0.46150000000000002</v>
      </c>
      <c r="I112">
        <v>0.48099999999999998</v>
      </c>
      <c r="J112">
        <v>0.65749999999999997</v>
      </c>
      <c r="K112">
        <v>0.67349999999999999</v>
      </c>
      <c r="L112">
        <v>0.64900000000000002</v>
      </c>
      <c r="M112">
        <v>0.63949999999999996</v>
      </c>
      <c r="N112">
        <v>0.77449999999999997</v>
      </c>
      <c r="O112">
        <v>0.91900000000000004</v>
      </c>
      <c r="P112">
        <v>0.93149999999999999</v>
      </c>
      <c r="Q112">
        <v>0.86799999999999999</v>
      </c>
      <c r="R112">
        <v>0.92200000000000004</v>
      </c>
      <c r="S112">
        <v>1.0545</v>
      </c>
      <c r="T112">
        <v>1.0549999999999999</v>
      </c>
      <c r="U112">
        <v>0.98350000000000004</v>
      </c>
      <c r="V112">
        <v>1.0605</v>
      </c>
    </row>
    <row r="113" spans="1:22" x14ac:dyDescent="0.2">
      <c r="A113" t="s">
        <v>1079</v>
      </c>
      <c r="B113" t="s">
        <v>1156</v>
      </c>
      <c r="C113" t="s">
        <v>108</v>
      </c>
      <c r="F113" t="s">
        <v>1175</v>
      </c>
      <c r="G113">
        <v>0.71350000000000002</v>
      </c>
      <c r="H113">
        <v>0.60750000000000004</v>
      </c>
      <c r="I113">
        <v>0.63</v>
      </c>
      <c r="J113">
        <v>0.81599999999999995</v>
      </c>
      <c r="K113">
        <v>0.83</v>
      </c>
      <c r="L113">
        <v>0.80300000000000005</v>
      </c>
      <c r="M113">
        <v>0.79549999999999998</v>
      </c>
      <c r="N113">
        <v>0.93049999999999999</v>
      </c>
      <c r="O113">
        <v>1.0720000000000001</v>
      </c>
      <c r="P113">
        <v>1.0820000000000001</v>
      </c>
      <c r="Q113">
        <v>1.0245</v>
      </c>
      <c r="R113">
        <v>1.083</v>
      </c>
      <c r="S113">
        <v>1.23</v>
      </c>
      <c r="T113">
        <v>1.226</v>
      </c>
      <c r="U113">
        <v>1.147</v>
      </c>
      <c r="V113">
        <v>1.2455000000000001</v>
      </c>
    </row>
    <row r="114" spans="1:22" x14ac:dyDescent="0.2">
      <c r="A114" t="s">
        <v>1079</v>
      </c>
      <c r="B114" t="s">
        <v>1156</v>
      </c>
      <c r="C114" t="s">
        <v>109</v>
      </c>
      <c r="F114" t="s">
        <v>1176</v>
      </c>
      <c r="G114">
        <v>0.749</v>
      </c>
      <c r="H114">
        <v>0.65249999999999997</v>
      </c>
      <c r="I114">
        <v>0.67749999999999999</v>
      </c>
      <c r="J114">
        <v>0.86750000000000005</v>
      </c>
      <c r="K114">
        <v>0.88</v>
      </c>
      <c r="L114">
        <v>0.85199999999999998</v>
      </c>
      <c r="M114">
        <v>0.84199999999999997</v>
      </c>
      <c r="N114">
        <v>0.98050000000000004</v>
      </c>
      <c r="O114">
        <v>1.1220000000000001</v>
      </c>
      <c r="P114">
        <v>1.1305000000000001</v>
      </c>
      <c r="Q114">
        <v>1.0754999999999999</v>
      </c>
      <c r="R114">
        <v>1.135</v>
      </c>
      <c r="S114">
        <v>1.2945</v>
      </c>
      <c r="T114">
        <v>1.284</v>
      </c>
      <c r="U114">
        <v>1.202</v>
      </c>
      <c r="V114">
        <v>1.3185</v>
      </c>
    </row>
    <row r="115" spans="1:22" x14ac:dyDescent="0.2">
      <c r="A115" t="s">
        <v>1079</v>
      </c>
      <c r="B115" t="s">
        <v>1156</v>
      </c>
      <c r="C115" t="s">
        <v>110</v>
      </c>
      <c r="F115" t="s">
        <v>1177</v>
      </c>
      <c r="G115">
        <v>0.754</v>
      </c>
      <c r="H115">
        <v>0.66300000000000003</v>
      </c>
      <c r="I115">
        <v>0.69199999999999995</v>
      </c>
      <c r="J115">
        <v>0.88600000000000001</v>
      </c>
      <c r="K115">
        <v>0.89800000000000002</v>
      </c>
      <c r="L115">
        <v>0.86699999999999999</v>
      </c>
      <c r="M115">
        <v>0.85599999999999998</v>
      </c>
      <c r="N115">
        <v>0.99750000000000005</v>
      </c>
      <c r="O115">
        <v>1.1405000000000001</v>
      </c>
      <c r="P115">
        <v>1.149</v>
      </c>
      <c r="Q115">
        <v>1.097</v>
      </c>
      <c r="R115">
        <v>1.1585000000000001</v>
      </c>
      <c r="S115">
        <v>1.3225</v>
      </c>
      <c r="T115">
        <v>1.3089999999999999</v>
      </c>
      <c r="U115">
        <v>1.224</v>
      </c>
      <c r="V115">
        <v>1.353</v>
      </c>
    </row>
    <row r="116" spans="1:22" x14ac:dyDescent="0.2">
      <c r="A116" t="s">
        <v>1079</v>
      </c>
      <c r="B116" t="s">
        <v>1156</v>
      </c>
      <c r="C116" t="s">
        <v>174</v>
      </c>
      <c r="F116" t="s">
        <v>1178</v>
      </c>
      <c r="G116">
        <v>0.752</v>
      </c>
      <c r="H116">
        <v>0.65600000000000003</v>
      </c>
      <c r="I116">
        <v>0.68300000000000005</v>
      </c>
      <c r="J116">
        <v>0.879</v>
      </c>
      <c r="K116">
        <v>0.88600000000000001</v>
      </c>
      <c r="L116">
        <v>0.85799999999999998</v>
      </c>
      <c r="M116">
        <v>0.84699999999999998</v>
      </c>
      <c r="N116">
        <v>0.99</v>
      </c>
      <c r="O116">
        <v>1.1319999999999999</v>
      </c>
      <c r="P116">
        <v>1.141</v>
      </c>
      <c r="Q116">
        <v>1.1020000000000001</v>
      </c>
      <c r="R116">
        <v>1.1619999999999999</v>
      </c>
      <c r="S116">
        <v>1.3240000000000001</v>
      </c>
      <c r="T116">
        <v>1.3180000000000001</v>
      </c>
      <c r="U116">
        <v>1.2330000000000001</v>
      </c>
      <c r="V116">
        <v>1.377</v>
      </c>
    </row>
    <row r="117" spans="1:22" x14ac:dyDescent="0.2">
      <c r="A117" t="s">
        <v>1079</v>
      </c>
      <c r="B117" t="s">
        <v>1156</v>
      </c>
      <c r="C117" t="s">
        <v>175</v>
      </c>
      <c r="F117" t="s">
        <v>1179</v>
      </c>
      <c r="G117">
        <v>0.71699999999999997</v>
      </c>
      <c r="H117">
        <v>0.61399999999999999</v>
      </c>
      <c r="I117">
        <v>0.63800000000000001</v>
      </c>
      <c r="J117">
        <v>0.83299999999999996</v>
      </c>
      <c r="K117">
        <v>0.83799999999999997</v>
      </c>
      <c r="L117">
        <v>0.80900000000000005</v>
      </c>
      <c r="M117">
        <v>0.8</v>
      </c>
      <c r="N117">
        <v>0.94499999999999995</v>
      </c>
      <c r="O117">
        <v>1.0860000000000001</v>
      </c>
      <c r="P117">
        <v>1.0920000000000001</v>
      </c>
      <c r="Q117">
        <v>1.056</v>
      </c>
      <c r="R117">
        <v>1.117</v>
      </c>
      <c r="S117">
        <v>1.2729999999999999</v>
      </c>
      <c r="T117">
        <v>1.2689999999999999</v>
      </c>
      <c r="U117">
        <v>1.1850000000000001</v>
      </c>
      <c r="V117">
        <v>1.34</v>
      </c>
    </row>
    <row r="119" spans="1:22" x14ac:dyDescent="0.2">
      <c r="A119" t="s">
        <v>1035</v>
      </c>
      <c r="B119" t="s">
        <v>984</v>
      </c>
      <c r="C119" t="s">
        <v>97</v>
      </c>
      <c r="F119" t="s">
        <v>1180</v>
      </c>
      <c r="G119">
        <v>-0.38750000000000001</v>
      </c>
      <c r="H119">
        <v>-0.40749999999999997</v>
      </c>
      <c r="I119">
        <v>-0.6</v>
      </c>
      <c r="J119">
        <v>-0.39500000000000002</v>
      </c>
      <c r="K119">
        <v>-0.44</v>
      </c>
      <c r="L119">
        <v>-0.43221700000000002</v>
      </c>
      <c r="M119">
        <v>-0.43541400000000002</v>
      </c>
      <c r="N119">
        <v>-0.45711800000000002</v>
      </c>
      <c r="O119">
        <v>-0.39547900000000002</v>
      </c>
      <c r="P119">
        <v>-0.47249999999999998</v>
      </c>
      <c r="Q119">
        <v>-0.60879000000000005</v>
      </c>
      <c r="R119">
        <v>-0.58750000000000002</v>
      </c>
      <c r="S119">
        <v>-0.54</v>
      </c>
      <c r="T119">
        <v>-0.55249999999999999</v>
      </c>
      <c r="U119">
        <v>-0.57750500000000005</v>
      </c>
      <c r="V119">
        <v>-0.37230200000000002</v>
      </c>
    </row>
    <row r="120" spans="1:22" x14ac:dyDescent="0.2">
      <c r="A120" t="s">
        <v>1035</v>
      </c>
      <c r="B120" t="s">
        <v>984</v>
      </c>
      <c r="C120" t="s">
        <v>38</v>
      </c>
      <c r="F120" t="s">
        <v>1181</v>
      </c>
      <c r="G120">
        <v>-0.41</v>
      </c>
      <c r="H120">
        <v>-0.44500000000000001</v>
      </c>
      <c r="I120">
        <v>-0.51</v>
      </c>
      <c r="J120">
        <v>-0.37878600000000001</v>
      </c>
      <c r="K120">
        <v>-0.41249999999999998</v>
      </c>
      <c r="L120">
        <v>-0.37917800000000002</v>
      </c>
      <c r="M120">
        <v>-0.41499999999999998</v>
      </c>
      <c r="N120">
        <v>-0.42124499999999998</v>
      </c>
      <c r="O120">
        <v>-0.39500000000000002</v>
      </c>
      <c r="P120">
        <v>-0.45250000000000001</v>
      </c>
      <c r="Q120">
        <v>-0.53500000000000003</v>
      </c>
      <c r="R120">
        <v>-0.51621799999999995</v>
      </c>
      <c r="S120">
        <v>-0.49419999999999997</v>
      </c>
      <c r="T120">
        <v>-0.49249999999999999</v>
      </c>
      <c r="U120">
        <v>-0.51021099999999997</v>
      </c>
      <c r="V120">
        <v>-0.40125</v>
      </c>
    </row>
    <row r="121" spans="1:22" x14ac:dyDescent="0.2">
      <c r="A121" t="s">
        <v>1035</v>
      </c>
      <c r="B121" t="s">
        <v>984</v>
      </c>
      <c r="C121" t="s">
        <v>152</v>
      </c>
      <c r="F121" t="s">
        <v>1182</v>
      </c>
      <c r="G121">
        <v>-0.40749999999999997</v>
      </c>
      <c r="H121">
        <v>-0.44</v>
      </c>
      <c r="I121">
        <v>-0.46375</v>
      </c>
      <c r="J121">
        <v>-0.375807</v>
      </c>
      <c r="K121">
        <v>-0.4</v>
      </c>
      <c r="L121">
        <v>-0.37084699999999998</v>
      </c>
      <c r="M121">
        <v>-0.40250000000000002</v>
      </c>
      <c r="N121">
        <v>-0.408771</v>
      </c>
      <c r="O121">
        <v>-0.40140700000000001</v>
      </c>
      <c r="P121">
        <v>-0.42507600000000001</v>
      </c>
      <c r="Q121">
        <v>-0.51249999999999996</v>
      </c>
      <c r="R121">
        <v>-0.5</v>
      </c>
      <c r="S121">
        <v>-0.46750000000000003</v>
      </c>
      <c r="T121">
        <v>-0.47499999999999998</v>
      </c>
      <c r="U121">
        <v>-0.49005100000000001</v>
      </c>
      <c r="V121">
        <v>-0.41580099999999998</v>
      </c>
    </row>
    <row r="122" spans="1:22" x14ac:dyDescent="0.2">
      <c r="A122" t="s">
        <v>1035</v>
      </c>
      <c r="B122" t="s">
        <v>984</v>
      </c>
      <c r="C122" t="s">
        <v>25</v>
      </c>
      <c r="F122" t="s">
        <v>1183</v>
      </c>
      <c r="G122">
        <v>-0.41</v>
      </c>
      <c r="H122">
        <v>-0.42749999999999999</v>
      </c>
      <c r="I122">
        <v>-0.44624999999999998</v>
      </c>
      <c r="J122">
        <v>-0.36625000000000002</v>
      </c>
      <c r="K122">
        <v>-0.38500000000000001</v>
      </c>
      <c r="L122">
        <v>-0.3725</v>
      </c>
      <c r="M122">
        <v>-0.39250000000000002</v>
      </c>
      <c r="N122">
        <v>-0.39874999999999999</v>
      </c>
      <c r="O122">
        <v>-0.39750000000000002</v>
      </c>
      <c r="P122">
        <v>-0.43</v>
      </c>
      <c r="Q122">
        <v>-0.4975</v>
      </c>
      <c r="R122">
        <v>-0.48</v>
      </c>
      <c r="S122">
        <v>-0.46250000000000002</v>
      </c>
      <c r="T122">
        <v>-0.47249999999999998</v>
      </c>
      <c r="U122">
        <v>-0.47499999999999998</v>
      </c>
      <c r="V122">
        <v>-0.45750000000000002</v>
      </c>
    </row>
    <row r="123" spans="1:22" x14ac:dyDescent="0.2">
      <c r="A123" t="s">
        <v>1035</v>
      </c>
      <c r="B123" t="s">
        <v>984</v>
      </c>
      <c r="C123" t="s">
        <v>157</v>
      </c>
      <c r="F123" t="s">
        <v>1184</v>
      </c>
      <c r="G123">
        <v>-0.41625000000000001</v>
      </c>
      <c r="H123">
        <v>-0.42249999999999999</v>
      </c>
      <c r="I123">
        <v>-0.42875000000000002</v>
      </c>
      <c r="J123">
        <v>-0.36</v>
      </c>
      <c r="K123">
        <v>-0.3775</v>
      </c>
      <c r="L123">
        <v>-0.35875000000000001</v>
      </c>
      <c r="M123">
        <v>-0.39</v>
      </c>
      <c r="N123">
        <v>-0.38874999999999998</v>
      </c>
      <c r="O123">
        <v>-0.39124999999999999</v>
      </c>
      <c r="P123">
        <v>-0.41749999999999998</v>
      </c>
      <c r="Q123">
        <v>-0.47499999999999998</v>
      </c>
      <c r="R123">
        <v>-0.46625</v>
      </c>
      <c r="S123">
        <v>-0.44624999999999998</v>
      </c>
      <c r="T123">
        <v>-0.45750000000000002</v>
      </c>
      <c r="U123">
        <v>-0.45874999999999999</v>
      </c>
      <c r="V123">
        <v>-0.44874999999999998</v>
      </c>
    </row>
    <row r="124" spans="1:22" x14ac:dyDescent="0.2">
      <c r="A124" t="s">
        <v>1035</v>
      </c>
      <c r="B124" t="s">
        <v>984</v>
      </c>
      <c r="C124" t="s">
        <v>99</v>
      </c>
      <c r="F124" t="s">
        <v>1185</v>
      </c>
      <c r="G124">
        <v>-0.42499999999999999</v>
      </c>
      <c r="H124">
        <v>-0.435</v>
      </c>
      <c r="I124">
        <v>-0.42749999999999999</v>
      </c>
      <c r="J124">
        <v>-0.36249999999999999</v>
      </c>
      <c r="K124">
        <v>-0.3725</v>
      </c>
      <c r="L124">
        <v>-0.35499999999999998</v>
      </c>
      <c r="M124">
        <v>-0.39374999999999999</v>
      </c>
      <c r="N124">
        <v>-0.39</v>
      </c>
      <c r="O124">
        <v>-0.39124999999999999</v>
      </c>
      <c r="P124">
        <v>-0.41249999999999998</v>
      </c>
      <c r="Q124">
        <v>-0.46250000000000002</v>
      </c>
      <c r="R124">
        <v>-0.45750000000000002</v>
      </c>
      <c r="S124">
        <v>-0.44437500000000002</v>
      </c>
      <c r="T124">
        <v>-0.46</v>
      </c>
      <c r="U124">
        <v>-0.45500000000000002</v>
      </c>
      <c r="V124">
        <v>-0.4425</v>
      </c>
    </row>
    <row r="125" spans="1:22" x14ac:dyDescent="0.2">
      <c r="A125" t="s">
        <v>1035</v>
      </c>
      <c r="B125" t="s">
        <v>984</v>
      </c>
      <c r="C125" t="s">
        <v>101</v>
      </c>
      <c r="F125" t="s">
        <v>1186</v>
      </c>
      <c r="G125">
        <v>-0.435</v>
      </c>
      <c r="H125">
        <v>-0.45624999999999999</v>
      </c>
      <c r="I125">
        <v>-0.4425</v>
      </c>
      <c r="J125">
        <v>-0.37624999999999997</v>
      </c>
      <c r="K125">
        <v>-0.38500000000000001</v>
      </c>
      <c r="L125">
        <v>-0.36249999999999999</v>
      </c>
      <c r="M125">
        <v>-0.40375</v>
      </c>
      <c r="N125">
        <v>-0.39500000000000002</v>
      </c>
      <c r="O125">
        <v>-0.39750000000000002</v>
      </c>
      <c r="P125">
        <v>-0.42</v>
      </c>
      <c r="Q125">
        <v>-0.45624999999999999</v>
      </c>
      <c r="R125">
        <v>-0.45750000000000002</v>
      </c>
      <c r="S125">
        <v>-0.44500000000000001</v>
      </c>
      <c r="T125">
        <v>-0.46250000000000002</v>
      </c>
      <c r="U125">
        <v>-0.45750000000000002</v>
      </c>
      <c r="V125">
        <v>-0.44</v>
      </c>
    </row>
    <row r="126" spans="1:22" x14ac:dyDescent="0.2">
      <c r="A126" t="s">
        <v>1035</v>
      </c>
      <c r="B126" t="s">
        <v>984</v>
      </c>
      <c r="C126" t="s">
        <v>102</v>
      </c>
      <c r="F126" t="s">
        <v>1187</v>
      </c>
      <c r="G126">
        <v>-0.44750000000000001</v>
      </c>
      <c r="H126">
        <v>-0.47749999999999998</v>
      </c>
      <c r="I126">
        <v>-0.45500000000000002</v>
      </c>
      <c r="J126">
        <v>-0.39374999999999999</v>
      </c>
      <c r="K126">
        <v>-0.39750000000000002</v>
      </c>
      <c r="L126">
        <v>-0.3725</v>
      </c>
      <c r="M126">
        <v>-0.41749999999999998</v>
      </c>
      <c r="N126">
        <v>-0.40875</v>
      </c>
      <c r="O126">
        <v>-0.40749999999999997</v>
      </c>
      <c r="P126">
        <v>-0.42625000000000002</v>
      </c>
      <c r="Q126">
        <v>-0.45624999999999999</v>
      </c>
      <c r="R126">
        <v>-0.45624999999999999</v>
      </c>
      <c r="S126">
        <v>-0.44500000000000001</v>
      </c>
      <c r="T126">
        <v>-0.46375</v>
      </c>
      <c r="U126">
        <v>-0.45874999999999999</v>
      </c>
      <c r="V126">
        <v>-0.43874999999999997</v>
      </c>
    </row>
    <row r="127" spans="1:22" x14ac:dyDescent="0.2">
      <c r="A127" t="s">
        <v>1035</v>
      </c>
      <c r="B127" t="s">
        <v>984</v>
      </c>
      <c r="C127" t="s">
        <v>104</v>
      </c>
      <c r="F127" t="s">
        <v>1188</v>
      </c>
      <c r="G127">
        <v>-0.45750000000000002</v>
      </c>
      <c r="H127">
        <v>-0.505</v>
      </c>
      <c r="I127">
        <v>-0.47249999999999998</v>
      </c>
      <c r="J127">
        <v>-0.41</v>
      </c>
      <c r="K127">
        <v>-0.41187499999999999</v>
      </c>
      <c r="L127">
        <v>-0.39</v>
      </c>
      <c r="M127">
        <v>-0.43625000000000003</v>
      </c>
      <c r="N127">
        <v>-0.43</v>
      </c>
      <c r="O127">
        <v>-0.41625000000000001</v>
      </c>
      <c r="P127">
        <v>-0.435</v>
      </c>
      <c r="Q127">
        <v>-0.45250000000000001</v>
      </c>
      <c r="R127">
        <v>-0.45250000000000001</v>
      </c>
      <c r="S127">
        <v>-0.44874999999999998</v>
      </c>
      <c r="T127">
        <v>-0.46500000000000002</v>
      </c>
      <c r="U127">
        <v>-0.45874999999999999</v>
      </c>
      <c r="V127">
        <v>-0.435</v>
      </c>
    </row>
    <row r="128" spans="1:22" x14ac:dyDescent="0.2">
      <c r="A128" t="s">
        <v>1035</v>
      </c>
      <c r="B128" t="s">
        <v>984</v>
      </c>
      <c r="C128" t="s">
        <v>79</v>
      </c>
      <c r="F128" t="s">
        <v>1189</v>
      </c>
      <c r="G128">
        <v>-0.44</v>
      </c>
      <c r="H128">
        <v>-0.52</v>
      </c>
      <c r="I128">
        <v>-0.48</v>
      </c>
      <c r="J128">
        <v>-0.41499999999999998</v>
      </c>
      <c r="K128">
        <v>-0.41375000000000001</v>
      </c>
      <c r="L128">
        <v>-0.39250000000000002</v>
      </c>
      <c r="M128">
        <v>-0.44374999999999998</v>
      </c>
      <c r="N128">
        <v>-0.43625000000000003</v>
      </c>
      <c r="O128">
        <v>-0.41749999999999998</v>
      </c>
      <c r="P128">
        <v>-0.4325</v>
      </c>
      <c r="Q128">
        <v>-0.43375000000000002</v>
      </c>
      <c r="R128">
        <v>-0.435</v>
      </c>
      <c r="S128">
        <v>-0.43625000000000003</v>
      </c>
      <c r="T128">
        <v>-0.45124999999999998</v>
      </c>
      <c r="U128">
        <v>-0.44500000000000001</v>
      </c>
      <c r="V128">
        <v>-0.42375000000000002</v>
      </c>
    </row>
    <row r="129" spans="1:22" x14ac:dyDescent="0.2">
      <c r="A129" t="s">
        <v>1035</v>
      </c>
      <c r="B129" t="s">
        <v>984</v>
      </c>
      <c r="C129" t="s">
        <v>107</v>
      </c>
      <c r="F129" t="s">
        <v>1190</v>
      </c>
      <c r="G129">
        <v>-0.38</v>
      </c>
      <c r="H129">
        <v>-0.48375000000000001</v>
      </c>
      <c r="I129">
        <v>-0.4425</v>
      </c>
      <c r="J129">
        <v>-0.37125000000000002</v>
      </c>
      <c r="K129">
        <v>-0.36812499999999998</v>
      </c>
      <c r="L129">
        <v>-0.34375</v>
      </c>
      <c r="M129">
        <v>-0.39250000000000002</v>
      </c>
      <c r="N129">
        <v>-0.38874999999999998</v>
      </c>
      <c r="O129">
        <v>-0.375</v>
      </c>
      <c r="P129">
        <v>-0.38624999999999998</v>
      </c>
      <c r="Q129">
        <v>-0.36375000000000002</v>
      </c>
      <c r="R129">
        <v>-0.36625000000000002</v>
      </c>
      <c r="S129">
        <v>-0.38624999999999998</v>
      </c>
      <c r="T129">
        <v>-0.40500000000000003</v>
      </c>
      <c r="U129">
        <v>-0.39874999999999999</v>
      </c>
      <c r="V129">
        <v>-0.37375000000000003</v>
      </c>
    </row>
    <row r="130" spans="1:22" x14ac:dyDescent="0.2">
      <c r="A130" t="s">
        <v>1035</v>
      </c>
      <c r="B130" t="s">
        <v>984</v>
      </c>
      <c r="C130" t="s">
        <v>108</v>
      </c>
      <c r="F130" t="s">
        <v>1191</v>
      </c>
      <c r="G130">
        <v>-0.32874999999999999</v>
      </c>
      <c r="H130">
        <v>-0.42625000000000002</v>
      </c>
      <c r="I130">
        <v>-0.38500000000000001</v>
      </c>
      <c r="J130">
        <v>-0.31125000000000003</v>
      </c>
      <c r="K130">
        <v>-0.30875000000000002</v>
      </c>
      <c r="L130">
        <v>-0.28249999999999997</v>
      </c>
      <c r="M130">
        <v>-0.33</v>
      </c>
      <c r="N130">
        <v>-0.32750000000000001</v>
      </c>
      <c r="O130">
        <v>-0.3125</v>
      </c>
      <c r="P130">
        <v>-0.32374999999999998</v>
      </c>
      <c r="Q130">
        <v>-0.29375000000000001</v>
      </c>
      <c r="R130">
        <v>-0.29625000000000001</v>
      </c>
      <c r="S130">
        <v>-0.32</v>
      </c>
      <c r="T130">
        <v>-0.34499999999999997</v>
      </c>
      <c r="U130">
        <v>-0.33875</v>
      </c>
      <c r="V130">
        <v>-0.3175</v>
      </c>
    </row>
    <row r="131" spans="1:22" x14ac:dyDescent="0.2">
      <c r="A131" t="s">
        <v>1035</v>
      </c>
      <c r="B131" t="s">
        <v>984</v>
      </c>
      <c r="C131" t="s">
        <v>110</v>
      </c>
      <c r="F131" t="s">
        <v>1192</v>
      </c>
      <c r="G131">
        <v>-0.28875000000000001</v>
      </c>
      <c r="H131">
        <v>-0.37874999999999998</v>
      </c>
      <c r="I131">
        <v>-0.34</v>
      </c>
      <c r="J131">
        <v>-0.260625</v>
      </c>
      <c r="K131">
        <v>-0.25374999999999998</v>
      </c>
      <c r="L131">
        <v>-0.22</v>
      </c>
      <c r="M131">
        <v>-0.26624999999999999</v>
      </c>
      <c r="N131">
        <v>-0.26124999999999998</v>
      </c>
      <c r="O131">
        <v>-0.23624999999999999</v>
      </c>
      <c r="P131">
        <v>-0.24562500000000001</v>
      </c>
      <c r="Q131">
        <v>-0.21625</v>
      </c>
      <c r="R131">
        <v>-0.22</v>
      </c>
      <c r="S131">
        <v>-0.2475</v>
      </c>
      <c r="T131">
        <v>-0.27374999999999999</v>
      </c>
      <c r="U131">
        <v>-0.26750000000000002</v>
      </c>
      <c r="V131">
        <v>-0.24</v>
      </c>
    </row>
    <row r="132" spans="1:22" x14ac:dyDescent="0.2">
      <c r="A132" t="s">
        <v>1035</v>
      </c>
      <c r="B132" t="s">
        <v>984</v>
      </c>
      <c r="C132" t="s">
        <v>174</v>
      </c>
      <c r="F132" t="s">
        <v>1193</v>
      </c>
      <c r="G132">
        <v>-0.33624999999999999</v>
      </c>
      <c r="H132">
        <v>-0.42625000000000002</v>
      </c>
      <c r="I132">
        <v>-0.38750000000000001</v>
      </c>
      <c r="J132">
        <v>-0.29749999999999999</v>
      </c>
      <c r="K132">
        <v>-0.29375000000000001</v>
      </c>
      <c r="L132">
        <v>-0.25750000000000001</v>
      </c>
      <c r="M132">
        <v>-0.29499999999999998</v>
      </c>
      <c r="N132">
        <v>-0.29249999999999998</v>
      </c>
      <c r="O132">
        <v>-0.25874999999999998</v>
      </c>
      <c r="P132">
        <v>-0.26500000000000001</v>
      </c>
      <c r="Q132">
        <v>-0.22875000000000001</v>
      </c>
      <c r="R132">
        <v>-0.23250000000000001</v>
      </c>
      <c r="S132">
        <v>-0.26</v>
      </c>
      <c r="T132">
        <v>-0.28625</v>
      </c>
      <c r="U132">
        <v>-0.28000000000000003</v>
      </c>
      <c r="V132">
        <v>-0.25624999999999998</v>
      </c>
    </row>
    <row r="133" spans="1:22" x14ac:dyDescent="0.2">
      <c r="A133" t="s">
        <v>1035</v>
      </c>
      <c r="B133" t="s">
        <v>984</v>
      </c>
      <c r="C133" t="s">
        <v>175</v>
      </c>
      <c r="F133" t="s">
        <v>1194</v>
      </c>
      <c r="G133">
        <v>-0.36375000000000002</v>
      </c>
      <c r="H133">
        <v>-0.45250000000000001</v>
      </c>
      <c r="I133">
        <v>-0.41375000000000001</v>
      </c>
      <c r="J133">
        <v>-0.32500000000000001</v>
      </c>
      <c r="K133">
        <v>-0.32</v>
      </c>
      <c r="L133">
        <v>-0.28375</v>
      </c>
      <c r="M133">
        <v>-0.32</v>
      </c>
      <c r="N133">
        <v>-0.3175</v>
      </c>
      <c r="O133">
        <v>-0.28375</v>
      </c>
      <c r="P133">
        <v>-0.28999999999999998</v>
      </c>
      <c r="Q133">
        <v>-0.255</v>
      </c>
      <c r="R133">
        <v>-0.25750000000000001</v>
      </c>
      <c r="S133">
        <v>-0.28999999999999998</v>
      </c>
      <c r="T133">
        <v>-0.31125000000000003</v>
      </c>
      <c r="U133">
        <v>-0.30499999999999999</v>
      </c>
      <c r="V133">
        <v>-0.28375</v>
      </c>
    </row>
    <row r="135" spans="1:22" x14ac:dyDescent="0.2">
      <c r="A135" t="s">
        <v>201</v>
      </c>
      <c r="B135" t="s">
        <v>985</v>
      </c>
      <c r="C135" t="s">
        <v>92</v>
      </c>
      <c r="D135">
        <v>99991231</v>
      </c>
      <c r="F135" t="s">
        <v>1195</v>
      </c>
      <c r="G135">
        <v>0.41160000000000002</v>
      </c>
      <c r="H135">
        <v>0.41943999999999998</v>
      </c>
      <c r="I135">
        <v>0.42377999999999999</v>
      </c>
      <c r="J135">
        <v>0.42766999999999999</v>
      </c>
      <c r="K135">
        <v>0.43043999999999999</v>
      </c>
      <c r="L135">
        <v>0.43321999999999999</v>
      </c>
      <c r="M135">
        <v>0.43210999999999999</v>
      </c>
      <c r="N135">
        <v>0.43489</v>
      </c>
      <c r="O135">
        <v>0.43232999999999999</v>
      </c>
      <c r="P135">
        <v>0.43289</v>
      </c>
      <c r="Q135">
        <v>0.43421999999999999</v>
      </c>
      <c r="R135">
        <v>0.43056</v>
      </c>
      <c r="S135">
        <v>0.43421999999999999</v>
      </c>
      <c r="T135">
        <v>0.68389</v>
      </c>
      <c r="U135">
        <v>0.68110999999999999</v>
      </c>
      <c r="V135">
        <v>0.68833</v>
      </c>
    </row>
    <row r="136" spans="1:22" x14ac:dyDescent="0.2">
      <c r="A136" t="s">
        <v>201</v>
      </c>
      <c r="B136" t="s">
        <v>985</v>
      </c>
      <c r="C136" t="s">
        <v>93</v>
      </c>
      <c r="D136">
        <v>99991231</v>
      </c>
      <c r="F136" t="s">
        <v>1196</v>
      </c>
      <c r="G136">
        <v>0.44019999999999998</v>
      </c>
      <c r="H136">
        <v>0.44356000000000001</v>
      </c>
      <c r="I136">
        <v>0.45672000000000001</v>
      </c>
      <c r="J136">
        <v>0.45644000000000001</v>
      </c>
      <c r="K136">
        <v>0.45922000000000002</v>
      </c>
      <c r="L136">
        <v>0.45811000000000002</v>
      </c>
      <c r="M136">
        <v>0.45589000000000002</v>
      </c>
      <c r="N136">
        <v>0.45700000000000002</v>
      </c>
      <c r="O136">
        <v>0.45922000000000002</v>
      </c>
      <c r="P136">
        <v>0.45894000000000001</v>
      </c>
      <c r="Q136">
        <v>0.45878000000000002</v>
      </c>
      <c r="R136">
        <v>0.45822000000000002</v>
      </c>
      <c r="S136">
        <v>0.60821999999999998</v>
      </c>
      <c r="T136">
        <v>0.70443999999999996</v>
      </c>
      <c r="U136">
        <v>0.70306000000000002</v>
      </c>
      <c r="V136">
        <v>0.72289000000000003</v>
      </c>
    </row>
    <row r="137" spans="1:22" x14ac:dyDescent="0.2">
      <c r="A137" t="s">
        <v>201</v>
      </c>
      <c r="B137" t="s">
        <v>985</v>
      </c>
      <c r="C137" t="s">
        <v>95</v>
      </c>
      <c r="D137">
        <v>99991231</v>
      </c>
      <c r="F137" t="s">
        <v>1197</v>
      </c>
      <c r="G137">
        <v>0.46505000000000002</v>
      </c>
      <c r="H137">
        <v>0.52488999999999997</v>
      </c>
      <c r="I137">
        <v>0.53110999999999997</v>
      </c>
      <c r="J137">
        <v>0.53066999999999998</v>
      </c>
      <c r="K137">
        <v>0.53566999999999998</v>
      </c>
      <c r="L137">
        <v>0.52566999999999997</v>
      </c>
      <c r="M137">
        <v>0.53400000000000003</v>
      </c>
      <c r="N137">
        <v>0.53432999999999997</v>
      </c>
      <c r="O137">
        <v>0.53817000000000004</v>
      </c>
      <c r="P137">
        <v>0.55010999999999999</v>
      </c>
      <c r="Q137">
        <v>0.60560999999999998</v>
      </c>
      <c r="R137">
        <v>0.62366999999999995</v>
      </c>
      <c r="S137">
        <v>0.68</v>
      </c>
      <c r="T137">
        <v>0.73899999999999999</v>
      </c>
      <c r="U137">
        <v>0.74399999999999999</v>
      </c>
      <c r="V137">
        <v>0.77332999999999996</v>
      </c>
    </row>
    <row r="138" spans="1:22" x14ac:dyDescent="0.2">
      <c r="A138" t="s">
        <v>201</v>
      </c>
      <c r="B138" t="s">
        <v>985</v>
      </c>
      <c r="C138" t="s">
        <v>96</v>
      </c>
      <c r="D138">
        <v>99991231</v>
      </c>
      <c r="F138" t="s">
        <v>1198</v>
      </c>
      <c r="G138">
        <v>0.54900000000000004</v>
      </c>
      <c r="H138">
        <v>0.66300000000000003</v>
      </c>
      <c r="I138">
        <v>0.64900000000000002</v>
      </c>
      <c r="J138">
        <v>0.65388999999999997</v>
      </c>
      <c r="K138">
        <v>0.65788999999999997</v>
      </c>
      <c r="L138">
        <v>0.66110999999999998</v>
      </c>
      <c r="M138">
        <v>0.66888999999999998</v>
      </c>
      <c r="N138">
        <v>0.67278000000000004</v>
      </c>
      <c r="O138">
        <v>0.69489000000000001</v>
      </c>
      <c r="P138">
        <v>0.69389000000000001</v>
      </c>
      <c r="Q138">
        <v>0.73194000000000004</v>
      </c>
      <c r="R138">
        <v>0.74250000000000005</v>
      </c>
      <c r="S138">
        <v>0.77139000000000002</v>
      </c>
      <c r="T138">
        <v>0.80944000000000005</v>
      </c>
      <c r="U138">
        <v>0.81</v>
      </c>
      <c r="V138">
        <v>0.84499999999999997</v>
      </c>
    </row>
    <row r="139" spans="1:22" x14ac:dyDescent="0.2">
      <c r="A139" t="s">
        <v>201</v>
      </c>
      <c r="B139" t="s">
        <v>985</v>
      </c>
      <c r="C139" t="s">
        <v>97</v>
      </c>
      <c r="D139">
        <v>99991231</v>
      </c>
      <c r="F139" t="s">
        <v>1199</v>
      </c>
      <c r="G139">
        <v>0.65410000000000001</v>
      </c>
      <c r="H139">
        <v>0.83933000000000002</v>
      </c>
      <c r="I139">
        <v>0.85367000000000004</v>
      </c>
      <c r="J139">
        <v>0.87749999999999995</v>
      </c>
      <c r="K139">
        <v>0.88166999999999995</v>
      </c>
      <c r="L139">
        <v>0.88122</v>
      </c>
      <c r="M139">
        <v>0.88371999999999995</v>
      </c>
      <c r="N139">
        <v>0.88732999999999995</v>
      </c>
      <c r="O139">
        <v>0.90566999999999998</v>
      </c>
      <c r="P139">
        <v>0.90622000000000003</v>
      </c>
      <c r="Q139">
        <v>0.93511</v>
      </c>
      <c r="R139">
        <v>0.93416999999999994</v>
      </c>
      <c r="S139">
        <v>0.95650000000000002</v>
      </c>
      <c r="T139">
        <v>0.99733000000000005</v>
      </c>
      <c r="U139">
        <v>0.99428000000000005</v>
      </c>
      <c r="V139">
        <v>1.0317799999999999</v>
      </c>
    </row>
    <row r="140" spans="1:22" x14ac:dyDescent="0.2">
      <c r="A140" t="s">
        <v>201</v>
      </c>
      <c r="B140" t="s">
        <v>985</v>
      </c>
      <c r="C140" t="s">
        <v>97</v>
      </c>
      <c r="D140" t="s">
        <v>38</v>
      </c>
      <c r="F140" t="s">
        <v>203</v>
      </c>
      <c r="G140">
        <v>0.64900000000000002</v>
      </c>
      <c r="H140">
        <v>0.92600000000000005</v>
      </c>
      <c r="I140">
        <v>0.92900000000000005</v>
      </c>
      <c r="J140">
        <v>0.98599999999999999</v>
      </c>
      <c r="K140">
        <v>0.94899999999999995</v>
      </c>
      <c r="L140">
        <v>0.92800000000000005</v>
      </c>
      <c r="M140">
        <v>0.96399999999999997</v>
      </c>
      <c r="N140">
        <v>0.97099999999999997</v>
      </c>
      <c r="O140">
        <v>0.97799999999999998</v>
      </c>
      <c r="P140">
        <v>0.99099999999999999</v>
      </c>
      <c r="Q140">
        <v>1.0289999999999999</v>
      </c>
      <c r="R140">
        <v>1.0189999999999999</v>
      </c>
      <c r="S140">
        <v>1.046</v>
      </c>
      <c r="T140">
        <v>1.083</v>
      </c>
      <c r="U140">
        <v>1.0760000000000001</v>
      </c>
      <c r="V140">
        <v>1.1439999999999999</v>
      </c>
    </row>
    <row r="141" spans="1:22" x14ac:dyDescent="0.2">
      <c r="A141" t="s">
        <v>201</v>
      </c>
      <c r="B141" t="s">
        <v>985</v>
      </c>
      <c r="C141" t="s">
        <v>38</v>
      </c>
      <c r="D141" t="s">
        <v>152</v>
      </c>
      <c r="F141" t="s">
        <v>204</v>
      </c>
      <c r="G141">
        <v>0.68300000000000005</v>
      </c>
      <c r="H141">
        <v>0.97699999999999998</v>
      </c>
      <c r="I141">
        <v>0.94399999999999995</v>
      </c>
      <c r="J141">
        <v>1.028</v>
      </c>
      <c r="K141">
        <v>0.98</v>
      </c>
      <c r="L141">
        <v>0.96099999999999997</v>
      </c>
      <c r="M141">
        <v>1.0089999999999999</v>
      </c>
      <c r="N141">
        <v>1.0229999999999999</v>
      </c>
      <c r="O141">
        <v>1.026</v>
      </c>
      <c r="P141">
        <v>1.0649999999999999</v>
      </c>
      <c r="Q141">
        <v>1.1459999999999999</v>
      </c>
      <c r="R141">
        <v>1.139</v>
      </c>
      <c r="S141">
        <v>1.169</v>
      </c>
      <c r="T141">
        <v>1.2689999999999999</v>
      </c>
      <c r="U141">
        <v>1.2569999999999999</v>
      </c>
      <c r="V141">
        <v>1.29</v>
      </c>
    </row>
    <row r="142" spans="1:22" x14ac:dyDescent="0.2">
      <c r="A142" t="s">
        <v>201</v>
      </c>
      <c r="B142" t="s">
        <v>985</v>
      </c>
      <c r="C142" t="s">
        <v>152</v>
      </c>
      <c r="D142" t="s">
        <v>155</v>
      </c>
      <c r="F142" t="s">
        <v>205</v>
      </c>
      <c r="G142">
        <v>0.71399999999999997</v>
      </c>
      <c r="H142">
        <v>1.0129999999999999</v>
      </c>
      <c r="I142">
        <v>0.97799999999999998</v>
      </c>
      <c r="J142">
        <v>1.083</v>
      </c>
      <c r="K142">
        <v>1.0289999999999999</v>
      </c>
      <c r="L142">
        <v>1.0029999999999999</v>
      </c>
      <c r="M142">
        <v>1.05</v>
      </c>
      <c r="N142">
        <v>1.077</v>
      </c>
      <c r="O142">
        <v>1.105</v>
      </c>
      <c r="P142">
        <v>1.163</v>
      </c>
      <c r="Q142">
        <v>1.244</v>
      </c>
      <c r="R142">
        <v>1.242</v>
      </c>
      <c r="S142">
        <v>1.2609999999999999</v>
      </c>
      <c r="T142">
        <v>1.4490000000000001</v>
      </c>
      <c r="U142">
        <v>1.4179999999999999</v>
      </c>
      <c r="V142">
        <v>1.4159999999999999</v>
      </c>
    </row>
    <row r="143" spans="1:22" x14ac:dyDescent="0.2">
      <c r="A143" t="s">
        <v>201</v>
      </c>
      <c r="B143" t="s">
        <v>985</v>
      </c>
      <c r="C143" t="s">
        <v>155</v>
      </c>
      <c r="D143" t="s">
        <v>177</v>
      </c>
      <c r="F143" t="s">
        <v>206</v>
      </c>
      <c r="G143">
        <v>0.745</v>
      </c>
      <c r="H143">
        <v>1.056</v>
      </c>
      <c r="I143">
        <v>1.0129999999999999</v>
      </c>
      <c r="J143">
        <v>1.1359999999999999</v>
      </c>
      <c r="K143">
        <v>1.0780000000000001</v>
      </c>
      <c r="L143">
        <v>1.052</v>
      </c>
      <c r="M143">
        <v>1.099</v>
      </c>
      <c r="N143">
        <v>1.133</v>
      </c>
      <c r="O143">
        <v>1.1859999999999999</v>
      </c>
      <c r="P143">
        <v>1.276</v>
      </c>
      <c r="Q143">
        <v>1.361</v>
      </c>
      <c r="R143">
        <v>1.3680000000000001</v>
      </c>
      <c r="S143">
        <v>1.393</v>
      </c>
      <c r="T143">
        <v>1.615</v>
      </c>
      <c r="U143">
        <v>1.5780000000000001</v>
      </c>
      <c r="V143">
        <v>1.548</v>
      </c>
    </row>
    <row r="144" spans="1:22" x14ac:dyDescent="0.2">
      <c r="A144" t="s">
        <v>201</v>
      </c>
      <c r="B144" t="s">
        <v>985</v>
      </c>
      <c r="C144" t="s">
        <v>157</v>
      </c>
      <c r="D144">
        <v>99991231</v>
      </c>
      <c r="F144" t="s">
        <v>1200</v>
      </c>
      <c r="G144">
        <v>0.748</v>
      </c>
      <c r="H144">
        <v>1.0349999999999999</v>
      </c>
      <c r="I144">
        <v>0.997</v>
      </c>
      <c r="J144">
        <v>1.099</v>
      </c>
      <c r="K144">
        <v>1.0549999999999999</v>
      </c>
      <c r="L144">
        <v>1.0449999999999999</v>
      </c>
      <c r="M144">
        <v>1.085</v>
      </c>
      <c r="N144">
        <v>1.1140000000000001</v>
      </c>
      <c r="O144">
        <v>1.1679999999999999</v>
      </c>
      <c r="P144">
        <v>1.2490000000000001</v>
      </c>
      <c r="Q144">
        <v>1.3120000000000001</v>
      </c>
      <c r="R144">
        <v>1.3180000000000001</v>
      </c>
      <c r="S144">
        <v>1.353</v>
      </c>
      <c r="T144">
        <v>1.5289999999999999</v>
      </c>
      <c r="U144">
        <v>1.4890000000000001</v>
      </c>
      <c r="V144">
        <v>1.4850000000000001</v>
      </c>
    </row>
    <row r="145" spans="1:22" x14ac:dyDescent="0.2">
      <c r="A145" t="s">
        <v>201</v>
      </c>
      <c r="B145" t="s">
        <v>985</v>
      </c>
      <c r="C145" t="s">
        <v>99</v>
      </c>
      <c r="D145">
        <v>99991231</v>
      </c>
      <c r="F145" t="s">
        <v>1201</v>
      </c>
      <c r="G145">
        <v>0.82840000000000003</v>
      </c>
      <c r="H145">
        <v>1.0900000000000001</v>
      </c>
      <c r="I145">
        <v>1.0584</v>
      </c>
      <c r="J145">
        <v>1.1791</v>
      </c>
      <c r="K145">
        <v>1.12985</v>
      </c>
      <c r="L145">
        <v>1.111</v>
      </c>
      <c r="M145">
        <v>1.153</v>
      </c>
      <c r="N145">
        <v>1.206</v>
      </c>
      <c r="O145">
        <v>1.3429500000000001</v>
      </c>
      <c r="P145">
        <v>1.42835</v>
      </c>
      <c r="Q145">
        <v>1.5029999999999999</v>
      </c>
      <c r="R145">
        <v>1.5169999999999999</v>
      </c>
      <c r="S145">
        <v>1.548</v>
      </c>
      <c r="T145">
        <v>1.794</v>
      </c>
      <c r="U145">
        <v>1.73645</v>
      </c>
      <c r="V145">
        <v>1.6830000000000001</v>
      </c>
    </row>
    <row r="146" spans="1:22" x14ac:dyDescent="0.2">
      <c r="A146" t="s">
        <v>201</v>
      </c>
      <c r="B146" t="s">
        <v>985</v>
      </c>
      <c r="C146" t="s">
        <v>101</v>
      </c>
      <c r="D146">
        <v>99991231</v>
      </c>
      <c r="F146" t="s">
        <v>1202</v>
      </c>
      <c r="G146">
        <v>0.90800000000000003</v>
      </c>
      <c r="H146">
        <v>1.143</v>
      </c>
      <c r="I146">
        <v>1.111</v>
      </c>
      <c r="J146">
        <v>1.24</v>
      </c>
      <c r="K146">
        <v>1.2030000000000001</v>
      </c>
      <c r="L146">
        <v>1.19</v>
      </c>
      <c r="M146">
        <v>1.2250000000000001</v>
      </c>
      <c r="N146">
        <v>1.2909999999999999</v>
      </c>
      <c r="O146">
        <v>1.4869000000000001</v>
      </c>
      <c r="P146">
        <v>1.5782</v>
      </c>
      <c r="Q146">
        <v>1.6585000000000001</v>
      </c>
      <c r="R146">
        <v>1.6759999999999999</v>
      </c>
      <c r="S146">
        <v>1.72</v>
      </c>
      <c r="T146">
        <v>1.988</v>
      </c>
      <c r="U146">
        <v>1.9209499999999999</v>
      </c>
      <c r="V146">
        <v>1.8360000000000001</v>
      </c>
    </row>
    <row r="147" spans="1:22" x14ac:dyDescent="0.2">
      <c r="A147" t="s">
        <v>201</v>
      </c>
      <c r="B147" t="s">
        <v>985</v>
      </c>
      <c r="C147" t="s">
        <v>102</v>
      </c>
      <c r="D147">
        <v>99991231</v>
      </c>
      <c r="F147" t="s">
        <v>1203</v>
      </c>
      <c r="G147">
        <v>0.99399999999999999</v>
      </c>
      <c r="H147">
        <v>1.194</v>
      </c>
      <c r="I147">
        <v>1.163</v>
      </c>
      <c r="J147">
        <v>1.3080000000000001</v>
      </c>
      <c r="K147">
        <v>1.274</v>
      </c>
      <c r="L147">
        <v>1.264</v>
      </c>
      <c r="M147">
        <v>1.294</v>
      </c>
      <c r="N147">
        <v>1.3759999999999999</v>
      </c>
      <c r="O147">
        <v>1.6087</v>
      </c>
      <c r="P147">
        <v>1.7017500000000001</v>
      </c>
      <c r="Q147">
        <v>1.7829999999999999</v>
      </c>
      <c r="R147">
        <v>1.806</v>
      </c>
      <c r="S147">
        <v>1.86</v>
      </c>
      <c r="T147">
        <v>2.1347999999999998</v>
      </c>
      <c r="U147">
        <v>2.0593499999999998</v>
      </c>
      <c r="V147">
        <v>1.9550000000000001</v>
      </c>
    </row>
    <row r="148" spans="1:22" x14ac:dyDescent="0.2">
      <c r="A148" t="s">
        <v>201</v>
      </c>
      <c r="B148" t="s">
        <v>985</v>
      </c>
      <c r="C148" t="s">
        <v>103</v>
      </c>
      <c r="D148">
        <v>99991231</v>
      </c>
      <c r="F148" t="s">
        <v>1204</v>
      </c>
      <c r="G148">
        <v>1.08205</v>
      </c>
      <c r="H148">
        <v>1.2505500000000001</v>
      </c>
      <c r="I148">
        <v>1.2214</v>
      </c>
      <c r="J148">
        <v>1.3740000000000001</v>
      </c>
      <c r="K148">
        <v>1.3480000000000001</v>
      </c>
      <c r="L148">
        <v>1.3420000000000001</v>
      </c>
      <c r="M148">
        <v>1.371</v>
      </c>
      <c r="N148">
        <v>1.4559500000000001</v>
      </c>
      <c r="O148">
        <v>1.7141</v>
      </c>
      <c r="P148">
        <v>1.8080499999999999</v>
      </c>
      <c r="Q148">
        <v>1.889</v>
      </c>
      <c r="R148">
        <v>1.9139999999999999</v>
      </c>
      <c r="S148">
        <v>1.9802999999999999</v>
      </c>
      <c r="T148">
        <v>2.2533500000000002</v>
      </c>
      <c r="U148">
        <v>2.1755</v>
      </c>
      <c r="V148">
        <v>2.06</v>
      </c>
    </row>
    <row r="149" spans="1:22" x14ac:dyDescent="0.2">
      <c r="A149" t="s">
        <v>201</v>
      </c>
      <c r="B149" t="s">
        <v>985</v>
      </c>
      <c r="C149" t="s">
        <v>104</v>
      </c>
      <c r="D149">
        <v>99991231</v>
      </c>
      <c r="F149" t="s">
        <v>1205</v>
      </c>
      <c r="G149">
        <v>1.159</v>
      </c>
      <c r="H149">
        <v>1.304</v>
      </c>
      <c r="I149">
        <v>1.2769999999999999</v>
      </c>
      <c r="J149">
        <v>1.4393499999999999</v>
      </c>
      <c r="K149">
        <v>1.42055</v>
      </c>
      <c r="L149">
        <v>1.413</v>
      </c>
      <c r="M149">
        <v>1.4390000000000001</v>
      </c>
      <c r="N149">
        <v>1.532</v>
      </c>
      <c r="O149">
        <v>1.80505</v>
      </c>
      <c r="P149">
        <v>1.8956500000000001</v>
      </c>
      <c r="Q149">
        <v>1.9710000000000001</v>
      </c>
      <c r="R149">
        <v>2.0059999999999998</v>
      </c>
      <c r="S149">
        <v>2.07775</v>
      </c>
      <c r="T149">
        <v>2.3460000000000001</v>
      </c>
      <c r="U149">
        <v>2.2650000000000001</v>
      </c>
      <c r="V149">
        <v>2.1429499999999999</v>
      </c>
    </row>
    <row r="150" spans="1:22" x14ac:dyDescent="0.2">
      <c r="A150" t="s">
        <v>201</v>
      </c>
      <c r="B150" t="s">
        <v>985</v>
      </c>
      <c r="C150" t="s">
        <v>105</v>
      </c>
      <c r="D150">
        <v>99991231</v>
      </c>
      <c r="F150" t="s">
        <v>1206</v>
      </c>
      <c r="G150">
        <v>1.236</v>
      </c>
      <c r="H150">
        <v>1.3515999999999999</v>
      </c>
      <c r="I150">
        <v>1.3360000000000001</v>
      </c>
      <c r="J150">
        <v>1.496</v>
      </c>
      <c r="K150">
        <v>1.4862</v>
      </c>
      <c r="L150">
        <v>1.47865</v>
      </c>
      <c r="M150">
        <v>1.5029999999999999</v>
      </c>
      <c r="N150">
        <v>1.6003000000000001</v>
      </c>
      <c r="O150">
        <v>1.88855</v>
      </c>
      <c r="P150">
        <v>1.9743999999999999</v>
      </c>
      <c r="Q150">
        <v>2.044</v>
      </c>
      <c r="R150">
        <v>2.0855999999999999</v>
      </c>
      <c r="S150">
        <v>2.1619999999999999</v>
      </c>
      <c r="T150">
        <v>2.4220000000000002</v>
      </c>
      <c r="U150">
        <v>2.3439999999999999</v>
      </c>
      <c r="V150">
        <v>2.2126999999999999</v>
      </c>
    </row>
    <row r="151" spans="1:22" x14ac:dyDescent="0.2">
      <c r="A151" t="s">
        <v>201</v>
      </c>
      <c r="B151" t="s">
        <v>985</v>
      </c>
      <c r="C151" t="s">
        <v>106</v>
      </c>
      <c r="D151">
        <v>99991231</v>
      </c>
      <c r="F151" t="s">
        <v>1207</v>
      </c>
      <c r="G151">
        <v>1.3049999999999999</v>
      </c>
      <c r="H151">
        <v>1.3940999999999999</v>
      </c>
      <c r="I151">
        <v>1.387</v>
      </c>
      <c r="J151">
        <v>1.5506</v>
      </c>
      <c r="K151">
        <v>1.5434000000000001</v>
      </c>
      <c r="L151">
        <v>1.53895</v>
      </c>
      <c r="M151">
        <v>1.5569999999999999</v>
      </c>
      <c r="N151">
        <v>1.6614</v>
      </c>
      <c r="O151">
        <v>1.9581</v>
      </c>
      <c r="P151">
        <v>2.0375000000000001</v>
      </c>
      <c r="Q151">
        <v>2.1040000000000001</v>
      </c>
      <c r="R151">
        <v>2.1506500000000002</v>
      </c>
      <c r="S151">
        <v>2.2320000000000002</v>
      </c>
      <c r="T151">
        <v>2.4820000000000002</v>
      </c>
      <c r="U151">
        <v>2.411</v>
      </c>
      <c r="V151">
        <v>2.2705500000000001</v>
      </c>
    </row>
    <row r="152" spans="1:22" x14ac:dyDescent="0.2">
      <c r="A152" t="s">
        <v>201</v>
      </c>
      <c r="B152" t="s">
        <v>985</v>
      </c>
      <c r="C152" t="s">
        <v>79</v>
      </c>
      <c r="D152">
        <v>99991231</v>
      </c>
      <c r="F152" t="s">
        <v>1208</v>
      </c>
      <c r="G152">
        <v>1.3680000000000001</v>
      </c>
      <c r="H152">
        <v>1.431</v>
      </c>
      <c r="I152">
        <v>1.4333</v>
      </c>
      <c r="J152">
        <v>1.5980000000000001</v>
      </c>
      <c r="K152">
        <v>1.5986</v>
      </c>
      <c r="L152">
        <v>1.593</v>
      </c>
      <c r="M152">
        <v>1.603</v>
      </c>
      <c r="N152">
        <v>1.714</v>
      </c>
      <c r="O152">
        <v>2.0205500000000001</v>
      </c>
      <c r="P152">
        <v>2.09335</v>
      </c>
      <c r="Q152">
        <v>2.1531500000000001</v>
      </c>
      <c r="R152">
        <v>2.2040000000000002</v>
      </c>
      <c r="S152">
        <v>2.29</v>
      </c>
      <c r="T152">
        <v>2.5335999999999999</v>
      </c>
      <c r="U152">
        <v>2.4630000000000001</v>
      </c>
      <c r="V152">
        <v>2.3193000000000001</v>
      </c>
    </row>
    <row r="153" spans="1:22" x14ac:dyDescent="0.2">
      <c r="A153" t="s">
        <v>201</v>
      </c>
      <c r="B153" t="s">
        <v>985</v>
      </c>
      <c r="C153" t="s">
        <v>159</v>
      </c>
      <c r="D153">
        <v>99991231</v>
      </c>
      <c r="F153" t="s">
        <v>1209</v>
      </c>
      <c r="G153">
        <v>1.476</v>
      </c>
      <c r="H153">
        <v>1.4990000000000001</v>
      </c>
      <c r="I153">
        <v>1.5129999999999999</v>
      </c>
      <c r="J153">
        <v>1.6839500000000001</v>
      </c>
      <c r="K153">
        <v>1.6886000000000001</v>
      </c>
      <c r="L153">
        <v>1.679</v>
      </c>
      <c r="M153">
        <v>1.6930000000000001</v>
      </c>
      <c r="N153">
        <v>1.804</v>
      </c>
      <c r="O153">
        <v>2.1193</v>
      </c>
      <c r="P153">
        <v>2.17835</v>
      </c>
      <c r="Q153">
        <v>2.2319</v>
      </c>
      <c r="R153">
        <v>2.2890000000000001</v>
      </c>
      <c r="S153">
        <v>2.3849999999999998</v>
      </c>
      <c r="T153">
        <v>2.62</v>
      </c>
      <c r="U153">
        <v>2.548</v>
      </c>
      <c r="V153">
        <v>2.3993000000000002</v>
      </c>
    </row>
    <row r="154" spans="1:22" x14ac:dyDescent="0.2">
      <c r="A154" t="s">
        <v>201</v>
      </c>
      <c r="B154" t="s">
        <v>985</v>
      </c>
      <c r="C154" t="s">
        <v>107</v>
      </c>
      <c r="D154">
        <v>99991231</v>
      </c>
      <c r="F154" t="s">
        <v>1210</v>
      </c>
      <c r="G154">
        <v>1.595</v>
      </c>
      <c r="H154">
        <v>1.571</v>
      </c>
      <c r="I154">
        <v>1.605</v>
      </c>
      <c r="J154">
        <v>1.78</v>
      </c>
      <c r="K154">
        <v>1.78725</v>
      </c>
      <c r="L154">
        <v>1.77915</v>
      </c>
      <c r="M154">
        <v>1.7919</v>
      </c>
      <c r="N154">
        <v>1.9040999999999999</v>
      </c>
      <c r="O154">
        <v>2.2200000000000002</v>
      </c>
      <c r="P154">
        <v>2.2625000000000002</v>
      </c>
      <c r="Q154">
        <v>2.3130000000000002</v>
      </c>
      <c r="R154">
        <v>2.3730000000000002</v>
      </c>
      <c r="S154">
        <v>2.4824000000000002</v>
      </c>
      <c r="T154">
        <v>2.6970000000000001</v>
      </c>
      <c r="U154">
        <v>2.6259999999999999</v>
      </c>
      <c r="V154">
        <v>2.47295</v>
      </c>
    </row>
    <row r="155" spans="1:22" x14ac:dyDescent="0.2">
      <c r="A155" t="s">
        <v>201</v>
      </c>
      <c r="B155" t="s">
        <v>985</v>
      </c>
      <c r="C155" t="s">
        <v>108</v>
      </c>
      <c r="D155">
        <v>99991231</v>
      </c>
      <c r="F155" t="s">
        <v>1211</v>
      </c>
      <c r="G155">
        <v>1.72</v>
      </c>
      <c r="H155">
        <v>1.6419999999999999</v>
      </c>
      <c r="I155">
        <v>1.6990000000000001</v>
      </c>
      <c r="J155">
        <v>1.8740000000000001</v>
      </c>
      <c r="K155">
        <v>1.889</v>
      </c>
      <c r="L155">
        <v>1.879</v>
      </c>
      <c r="M155">
        <v>1.8939999999999999</v>
      </c>
      <c r="N155">
        <v>2.0009999999999999</v>
      </c>
      <c r="O155">
        <v>2.3140000000000001</v>
      </c>
      <c r="P155">
        <v>2.343</v>
      </c>
      <c r="Q155">
        <v>2.383</v>
      </c>
      <c r="R155">
        <v>2.4489999999999998</v>
      </c>
      <c r="S155">
        <v>2.5659999999999998</v>
      </c>
      <c r="T155">
        <v>2.7559999999999998</v>
      </c>
      <c r="U155">
        <v>2.6909999999999998</v>
      </c>
      <c r="V155">
        <v>2.54</v>
      </c>
    </row>
    <row r="156" spans="1:22" x14ac:dyDescent="0.2">
      <c r="A156" t="s">
        <v>201</v>
      </c>
      <c r="B156" t="s">
        <v>985</v>
      </c>
      <c r="C156" t="s">
        <v>109</v>
      </c>
      <c r="D156">
        <v>99991231</v>
      </c>
      <c r="F156" t="s">
        <v>1212</v>
      </c>
      <c r="G156">
        <v>1.7821499999999999</v>
      </c>
      <c r="H156">
        <v>1.6768000000000001</v>
      </c>
      <c r="I156">
        <v>1.748</v>
      </c>
      <c r="J156">
        <v>1.9179999999999999</v>
      </c>
      <c r="K156">
        <v>1.9379500000000001</v>
      </c>
      <c r="L156">
        <v>1.9274</v>
      </c>
      <c r="M156">
        <v>1.9399</v>
      </c>
      <c r="N156">
        <v>2.048</v>
      </c>
      <c r="O156">
        <v>2.3570000000000002</v>
      </c>
      <c r="P156">
        <v>2.3810500000000001</v>
      </c>
      <c r="Q156">
        <v>2.411</v>
      </c>
      <c r="R156">
        <v>2.4790000000000001</v>
      </c>
      <c r="S156">
        <v>2.6012</v>
      </c>
      <c r="T156">
        <v>2.7730000000000001</v>
      </c>
      <c r="U156">
        <v>2.7088000000000001</v>
      </c>
      <c r="V156">
        <v>2.5579499999999999</v>
      </c>
    </row>
    <row r="157" spans="1:22" x14ac:dyDescent="0.2">
      <c r="A157" t="s">
        <v>201</v>
      </c>
      <c r="B157" t="s">
        <v>985</v>
      </c>
      <c r="C157" t="s">
        <v>110</v>
      </c>
      <c r="D157">
        <v>99991231</v>
      </c>
      <c r="F157" t="s">
        <v>1213</v>
      </c>
      <c r="G157">
        <v>1.819</v>
      </c>
      <c r="H157">
        <v>1.6950000000000001</v>
      </c>
      <c r="I157">
        <v>1.7669999999999999</v>
      </c>
      <c r="J157">
        <v>1.94</v>
      </c>
      <c r="K157">
        <v>1.95675</v>
      </c>
      <c r="L157">
        <v>1.9515</v>
      </c>
      <c r="M157">
        <v>1.9623999999999999</v>
      </c>
      <c r="N157">
        <v>2.06935</v>
      </c>
      <c r="O157">
        <v>2.3719999999999999</v>
      </c>
      <c r="P157">
        <v>2.3944000000000001</v>
      </c>
      <c r="Q157">
        <v>2.4169999999999998</v>
      </c>
      <c r="R157">
        <v>2.4879500000000001</v>
      </c>
      <c r="S157">
        <v>2.6169500000000001</v>
      </c>
      <c r="T157">
        <v>2.7755999999999998</v>
      </c>
      <c r="U157">
        <v>2.7149999999999999</v>
      </c>
      <c r="V157">
        <v>2.5670000000000002</v>
      </c>
    </row>
    <row r="158" spans="1:22" x14ac:dyDescent="0.2">
      <c r="A158" t="s">
        <v>201</v>
      </c>
      <c r="B158" t="s">
        <v>985</v>
      </c>
      <c r="C158" t="s">
        <v>174</v>
      </c>
      <c r="D158">
        <v>99991231</v>
      </c>
      <c r="F158" t="s">
        <v>1214</v>
      </c>
      <c r="G158">
        <v>1.839</v>
      </c>
      <c r="H158">
        <v>1.7070000000000001</v>
      </c>
      <c r="I158">
        <v>1.772</v>
      </c>
      <c r="J158">
        <v>1.9510000000000001</v>
      </c>
      <c r="K158">
        <v>1.9750000000000001</v>
      </c>
      <c r="L158">
        <v>1.966</v>
      </c>
      <c r="M158">
        <v>1.9670000000000001</v>
      </c>
      <c r="N158">
        <v>2.077</v>
      </c>
      <c r="O158">
        <v>2.38</v>
      </c>
      <c r="P158">
        <v>2.3980000000000001</v>
      </c>
      <c r="Q158">
        <v>2.419</v>
      </c>
      <c r="R158">
        <v>2.492</v>
      </c>
      <c r="S158">
        <v>2.6080000000000001</v>
      </c>
      <c r="T158">
        <v>2.7669999999999999</v>
      </c>
      <c r="U158">
        <v>2.7069999999999999</v>
      </c>
      <c r="V158">
        <v>2.5539999999999998</v>
      </c>
    </row>
    <row r="159" spans="1:22" x14ac:dyDescent="0.2">
      <c r="A159" t="s">
        <v>201</v>
      </c>
      <c r="B159" t="s">
        <v>985</v>
      </c>
      <c r="C159" t="s">
        <v>175</v>
      </c>
      <c r="D159">
        <v>99991231</v>
      </c>
      <c r="F159" t="s">
        <v>1215</v>
      </c>
      <c r="G159">
        <v>1.827</v>
      </c>
      <c r="H159">
        <v>1.6970000000000001</v>
      </c>
      <c r="I159">
        <v>1.764</v>
      </c>
      <c r="J159">
        <v>1.9379999999999999</v>
      </c>
      <c r="K159">
        <v>1.962</v>
      </c>
      <c r="L159">
        <v>1.956</v>
      </c>
      <c r="M159">
        <v>1.9570000000000001</v>
      </c>
      <c r="N159">
        <v>2.0670000000000002</v>
      </c>
      <c r="O159">
        <v>2.37</v>
      </c>
      <c r="P159">
        <v>2.3889999999999998</v>
      </c>
      <c r="Q159">
        <v>2.4089999999999998</v>
      </c>
      <c r="R159">
        <v>2.4820000000000002</v>
      </c>
      <c r="S159">
        <v>2.5979999999999999</v>
      </c>
      <c r="T159">
        <v>2.7570000000000001</v>
      </c>
      <c r="U159">
        <v>2.6970000000000001</v>
      </c>
      <c r="V159">
        <v>2.536</v>
      </c>
    </row>
    <row r="161" spans="1:22" x14ac:dyDescent="0.2">
      <c r="A161" t="s">
        <v>201</v>
      </c>
      <c r="B161" t="s">
        <v>248</v>
      </c>
      <c r="C161" t="s">
        <v>92</v>
      </c>
      <c r="D161">
        <v>99991231</v>
      </c>
      <c r="F161" t="s">
        <v>1216</v>
      </c>
      <c r="G161">
        <v>0.41160000000000002</v>
      </c>
      <c r="H161">
        <v>0.41943999999999998</v>
      </c>
      <c r="I161">
        <v>0.42377999999999999</v>
      </c>
      <c r="J161">
        <v>0.42766999999999999</v>
      </c>
      <c r="K161">
        <v>0.43043999999999999</v>
      </c>
      <c r="L161">
        <v>0.43321999999999999</v>
      </c>
      <c r="M161">
        <v>0.43210999999999999</v>
      </c>
      <c r="N161">
        <v>0.43489</v>
      </c>
      <c r="O161">
        <v>0.43232999999999999</v>
      </c>
      <c r="P161">
        <v>0.43289</v>
      </c>
      <c r="Q161">
        <v>0.43421999999999999</v>
      </c>
      <c r="R161">
        <v>0.43056</v>
      </c>
      <c r="S161">
        <v>0.43421999999999999</v>
      </c>
      <c r="T161">
        <v>0.68389</v>
      </c>
      <c r="U161">
        <v>0.68110999999999999</v>
      </c>
      <c r="V161">
        <v>0.68833</v>
      </c>
    </row>
    <row r="162" spans="1:22" x14ac:dyDescent="0.2">
      <c r="A162" t="s">
        <v>201</v>
      </c>
      <c r="B162" t="s">
        <v>248</v>
      </c>
      <c r="C162" t="s">
        <v>93</v>
      </c>
      <c r="D162">
        <v>99991231</v>
      </c>
      <c r="F162" t="s">
        <v>1217</v>
      </c>
      <c r="G162">
        <v>0.38800000000000001</v>
      </c>
      <c r="H162">
        <v>0.39500000000000002</v>
      </c>
      <c r="I162">
        <v>0.4</v>
      </c>
      <c r="J162">
        <v>0.40400000000000003</v>
      </c>
      <c r="K162">
        <v>0.40699999999999997</v>
      </c>
      <c r="L162">
        <v>0.39500000000000002</v>
      </c>
      <c r="M162">
        <v>0.39200000000000002</v>
      </c>
      <c r="N162">
        <v>0.40200000000000002</v>
      </c>
      <c r="O162">
        <v>0.40899999999999997</v>
      </c>
      <c r="P162">
        <v>0.40600000000000003</v>
      </c>
      <c r="Q162">
        <v>0.38400000000000001</v>
      </c>
      <c r="R162">
        <v>0.39700000000000002</v>
      </c>
      <c r="S162">
        <v>0.54800000000000004</v>
      </c>
      <c r="T162">
        <v>0.66400000000000003</v>
      </c>
      <c r="U162">
        <v>0.66400000000000003</v>
      </c>
      <c r="V162">
        <v>0.627</v>
      </c>
    </row>
    <row r="163" spans="1:22" x14ac:dyDescent="0.2">
      <c r="A163" t="s">
        <v>201</v>
      </c>
      <c r="B163" t="s">
        <v>248</v>
      </c>
      <c r="C163" t="s">
        <v>94</v>
      </c>
      <c r="D163">
        <v>99991231</v>
      </c>
      <c r="F163" t="s">
        <v>1218</v>
      </c>
      <c r="G163">
        <v>0.38800000000000001</v>
      </c>
      <c r="H163">
        <v>0.39500000000000002</v>
      </c>
      <c r="I163">
        <v>0.4</v>
      </c>
      <c r="J163">
        <v>0.40400000000000003</v>
      </c>
      <c r="K163">
        <v>0.40300000000000002</v>
      </c>
      <c r="L163">
        <v>0.39700000000000002</v>
      </c>
      <c r="M163">
        <v>0.40400000000000003</v>
      </c>
      <c r="N163">
        <v>0.41</v>
      </c>
      <c r="O163">
        <v>0.40899999999999997</v>
      </c>
      <c r="P163">
        <v>0.40600000000000003</v>
      </c>
      <c r="Q163">
        <v>0.38800000000000001</v>
      </c>
      <c r="R163">
        <v>0.433</v>
      </c>
      <c r="S163">
        <v>0.59599999999999997</v>
      </c>
      <c r="T163">
        <v>0.60899999999999999</v>
      </c>
      <c r="U163">
        <v>0.60899999999999999</v>
      </c>
      <c r="V163">
        <v>0.64200000000000002</v>
      </c>
    </row>
    <row r="164" spans="1:22" x14ac:dyDescent="0.2">
      <c r="A164" t="s">
        <v>201</v>
      </c>
      <c r="B164" t="s">
        <v>248</v>
      </c>
      <c r="C164" t="s">
        <v>176</v>
      </c>
      <c r="D164">
        <v>99991231</v>
      </c>
      <c r="F164" t="s">
        <v>1219</v>
      </c>
      <c r="G164">
        <v>0.38800000000000001</v>
      </c>
      <c r="H164">
        <v>0.40300000000000002</v>
      </c>
      <c r="I164">
        <v>0.4</v>
      </c>
      <c r="J164">
        <v>0.40200000000000002</v>
      </c>
      <c r="K164">
        <v>0.40799999999999997</v>
      </c>
      <c r="L164">
        <v>0.40200000000000002</v>
      </c>
      <c r="M164">
        <v>0.40899999999999997</v>
      </c>
      <c r="N164">
        <v>0.41299999999999998</v>
      </c>
      <c r="O164">
        <v>0.40200000000000002</v>
      </c>
      <c r="P164">
        <v>0.39900000000000002</v>
      </c>
      <c r="Q164">
        <v>0.47399999999999998</v>
      </c>
      <c r="R164">
        <v>0.504</v>
      </c>
      <c r="S164">
        <v>0.61099999999999999</v>
      </c>
      <c r="T164">
        <v>0.626</v>
      </c>
      <c r="U164">
        <v>0.625</v>
      </c>
      <c r="V164">
        <v>0.64700000000000002</v>
      </c>
    </row>
    <row r="165" spans="1:22" x14ac:dyDescent="0.2">
      <c r="A165" t="s">
        <v>201</v>
      </c>
      <c r="B165" t="s">
        <v>248</v>
      </c>
      <c r="C165" t="s">
        <v>95</v>
      </c>
      <c r="D165">
        <v>99991231</v>
      </c>
      <c r="F165" t="s">
        <v>1220</v>
      </c>
      <c r="G165">
        <v>0.377</v>
      </c>
      <c r="H165">
        <v>0.41599999999999998</v>
      </c>
      <c r="I165">
        <v>0.39900000000000002</v>
      </c>
      <c r="J165">
        <v>0.40799999999999997</v>
      </c>
      <c r="K165">
        <v>0.41199999999999998</v>
      </c>
      <c r="L165">
        <v>0.41</v>
      </c>
      <c r="M165">
        <v>0.41499999999999998</v>
      </c>
      <c r="N165">
        <v>0.41899999999999998</v>
      </c>
      <c r="O165">
        <v>0.41499999999999998</v>
      </c>
      <c r="P165">
        <v>0.437</v>
      </c>
      <c r="Q165">
        <v>0.52500000000000002</v>
      </c>
      <c r="R165">
        <v>0.53600000000000003</v>
      </c>
      <c r="S165">
        <v>0.621</v>
      </c>
      <c r="T165">
        <v>0.64200000000000002</v>
      </c>
      <c r="U165">
        <v>0.63700000000000001</v>
      </c>
      <c r="V165">
        <v>0.65600000000000003</v>
      </c>
    </row>
    <row r="166" spans="1:22" x14ac:dyDescent="0.2">
      <c r="A166" t="s">
        <v>201</v>
      </c>
      <c r="B166" t="s">
        <v>248</v>
      </c>
      <c r="C166" t="s">
        <v>96</v>
      </c>
      <c r="D166">
        <v>99991231</v>
      </c>
      <c r="F166" t="s">
        <v>1221</v>
      </c>
      <c r="G166">
        <v>0.375</v>
      </c>
      <c r="H166">
        <v>0.442</v>
      </c>
      <c r="I166">
        <v>0.40699999999999997</v>
      </c>
      <c r="J166">
        <v>0.41299999999999998</v>
      </c>
      <c r="K166">
        <v>0.42699999999999999</v>
      </c>
      <c r="L166">
        <v>0.42499999999999999</v>
      </c>
      <c r="M166">
        <v>0.45</v>
      </c>
      <c r="N166">
        <v>0.46400000000000002</v>
      </c>
      <c r="O166">
        <v>0.498</v>
      </c>
      <c r="P166">
        <v>0.51600000000000001</v>
      </c>
      <c r="Q166">
        <v>0.57699999999999996</v>
      </c>
      <c r="R166">
        <v>0.58599999999999997</v>
      </c>
      <c r="S166">
        <v>0.63600000000000001</v>
      </c>
      <c r="T166">
        <v>0.64800000000000002</v>
      </c>
      <c r="U166">
        <v>0.64400000000000002</v>
      </c>
      <c r="V166">
        <v>0.66800000000000004</v>
      </c>
    </row>
    <row r="167" spans="1:22" x14ac:dyDescent="0.2">
      <c r="A167" t="s">
        <v>201</v>
      </c>
      <c r="B167" t="s">
        <v>248</v>
      </c>
      <c r="C167" t="s">
        <v>97</v>
      </c>
      <c r="D167">
        <v>99991231</v>
      </c>
      <c r="F167" t="s">
        <v>1222</v>
      </c>
      <c r="G167">
        <v>0.373</v>
      </c>
      <c r="H167">
        <v>0.45500000000000002</v>
      </c>
      <c r="I167">
        <v>0.433</v>
      </c>
      <c r="J167">
        <v>0.46200000000000002</v>
      </c>
      <c r="K167">
        <v>0.46899999999999997</v>
      </c>
      <c r="L167">
        <v>0.46600000000000003</v>
      </c>
      <c r="M167">
        <v>0.49</v>
      </c>
      <c r="N167">
        <v>0.504</v>
      </c>
      <c r="O167">
        <v>0.52700000000000002</v>
      </c>
      <c r="P167">
        <v>0.55200000000000005</v>
      </c>
      <c r="Q167">
        <v>0.59899999999999998</v>
      </c>
      <c r="R167">
        <v>0.60599999999999998</v>
      </c>
      <c r="S167">
        <v>0.64100000000000001</v>
      </c>
      <c r="T167">
        <v>0.65200000000000002</v>
      </c>
      <c r="U167">
        <v>0.65</v>
      </c>
      <c r="V167">
        <v>0.68400000000000005</v>
      </c>
    </row>
    <row r="168" spans="1:22" x14ac:dyDescent="0.2">
      <c r="A168" t="s">
        <v>201</v>
      </c>
      <c r="B168" t="s">
        <v>248</v>
      </c>
      <c r="C168" t="s">
        <v>153</v>
      </c>
      <c r="D168">
        <v>99991231</v>
      </c>
      <c r="F168" t="s">
        <v>1223</v>
      </c>
      <c r="G168">
        <v>0.374</v>
      </c>
      <c r="H168">
        <v>0.47299999999999998</v>
      </c>
      <c r="I168">
        <v>0.46</v>
      </c>
      <c r="J168">
        <v>0.49299999999999999</v>
      </c>
      <c r="K168">
        <v>0.498</v>
      </c>
      <c r="L168">
        <v>0.49199999999999999</v>
      </c>
      <c r="M168">
        <v>0.51600000000000001</v>
      </c>
      <c r="N168">
        <v>0.52600000000000002</v>
      </c>
      <c r="O168">
        <v>0.54300000000000004</v>
      </c>
      <c r="P168">
        <v>0.56899999999999995</v>
      </c>
      <c r="Q168">
        <v>0.61799999999999999</v>
      </c>
      <c r="R168">
        <v>0.623</v>
      </c>
      <c r="S168">
        <v>0.65700000000000003</v>
      </c>
      <c r="T168">
        <v>0.66200000000000003</v>
      </c>
      <c r="U168">
        <v>0.66300000000000003</v>
      </c>
      <c r="V168">
        <v>0.70099999999999996</v>
      </c>
    </row>
    <row r="169" spans="1:22" x14ac:dyDescent="0.2">
      <c r="A169" t="s">
        <v>201</v>
      </c>
      <c r="B169" t="s">
        <v>248</v>
      </c>
      <c r="C169" t="s">
        <v>135</v>
      </c>
      <c r="D169">
        <v>99991231</v>
      </c>
      <c r="F169" t="s">
        <v>1224</v>
      </c>
      <c r="G169">
        <v>0.372</v>
      </c>
      <c r="H169">
        <v>0.49199999999999999</v>
      </c>
      <c r="I169">
        <v>0.47499999999999998</v>
      </c>
      <c r="J169">
        <v>0.51200000000000001</v>
      </c>
      <c r="K169">
        <v>0.51400000000000001</v>
      </c>
      <c r="L169">
        <v>0.50700000000000001</v>
      </c>
      <c r="M169">
        <v>0.53300000000000003</v>
      </c>
      <c r="N169">
        <v>0.54600000000000004</v>
      </c>
      <c r="O169">
        <v>0.56100000000000005</v>
      </c>
      <c r="P169">
        <v>0.58599999999999997</v>
      </c>
      <c r="Q169">
        <v>0.63300000000000001</v>
      </c>
      <c r="R169">
        <v>0.63600000000000001</v>
      </c>
      <c r="S169">
        <v>0.67</v>
      </c>
      <c r="T169">
        <v>0.67500000000000004</v>
      </c>
      <c r="U169">
        <v>0.67600000000000005</v>
      </c>
      <c r="V169">
        <v>0.72350000000000003</v>
      </c>
    </row>
    <row r="170" spans="1:22" x14ac:dyDescent="0.2">
      <c r="A170" t="s">
        <v>201</v>
      </c>
      <c r="B170" t="s">
        <v>248</v>
      </c>
      <c r="C170" t="s">
        <v>38</v>
      </c>
      <c r="D170">
        <v>99991231</v>
      </c>
      <c r="F170" t="s">
        <v>1225</v>
      </c>
      <c r="G170">
        <v>0.371</v>
      </c>
      <c r="H170">
        <v>0.505</v>
      </c>
      <c r="I170">
        <v>0.48899999999999999</v>
      </c>
      <c r="J170">
        <v>0.53400000000000003</v>
      </c>
      <c r="K170">
        <v>0.53200000000000003</v>
      </c>
      <c r="L170">
        <v>0.52300000000000002</v>
      </c>
      <c r="M170">
        <v>0.54700000000000004</v>
      </c>
      <c r="N170">
        <v>0.56000000000000005</v>
      </c>
      <c r="O170">
        <v>0.57299999999999995</v>
      </c>
      <c r="P170">
        <v>0.6</v>
      </c>
      <c r="Q170">
        <v>0.64800000000000002</v>
      </c>
      <c r="R170">
        <v>0.64900000000000002</v>
      </c>
      <c r="S170">
        <v>0.68100000000000005</v>
      </c>
      <c r="T170">
        <v>0.69299999999999995</v>
      </c>
      <c r="U170">
        <v>0.69099999999999995</v>
      </c>
      <c r="V170">
        <v>0.75</v>
      </c>
    </row>
    <row r="171" spans="1:22" x14ac:dyDescent="0.2">
      <c r="A171" t="s">
        <v>201</v>
      </c>
      <c r="B171" t="s">
        <v>248</v>
      </c>
      <c r="C171" t="s">
        <v>151</v>
      </c>
      <c r="D171">
        <v>99991231</v>
      </c>
      <c r="F171" t="s">
        <v>1226</v>
      </c>
      <c r="G171">
        <v>0.376</v>
      </c>
      <c r="H171">
        <v>0.51900000000000002</v>
      </c>
      <c r="I171">
        <v>0.502</v>
      </c>
      <c r="J171">
        <v>0.55100000000000005</v>
      </c>
      <c r="K171">
        <v>0.54600000000000004</v>
      </c>
      <c r="L171">
        <v>0.53600000000000003</v>
      </c>
      <c r="M171">
        <v>0.55900000000000005</v>
      </c>
      <c r="N171">
        <v>0.57399999999999995</v>
      </c>
      <c r="O171">
        <v>0.58299999999999996</v>
      </c>
      <c r="P171">
        <v>0.61399999999999999</v>
      </c>
      <c r="Q171">
        <v>0.66600000000000004</v>
      </c>
      <c r="R171">
        <v>0.66700000000000004</v>
      </c>
      <c r="S171">
        <v>0.70199999999999996</v>
      </c>
      <c r="T171">
        <v>0.71899999999999997</v>
      </c>
      <c r="U171">
        <v>0.71799999999999997</v>
      </c>
      <c r="V171">
        <v>0.77600000000000002</v>
      </c>
    </row>
    <row r="172" spans="1:22" x14ac:dyDescent="0.2">
      <c r="A172" t="s">
        <v>201</v>
      </c>
      <c r="B172" t="s">
        <v>248</v>
      </c>
      <c r="C172" t="s">
        <v>136</v>
      </c>
      <c r="D172">
        <v>99991231</v>
      </c>
      <c r="F172" t="s">
        <v>1227</v>
      </c>
      <c r="G172">
        <v>0.377</v>
      </c>
      <c r="H172">
        <v>0.53100000000000003</v>
      </c>
      <c r="I172">
        <v>0.51300000000000001</v>
      </c>
      <c r="J172">
        <v>0.56599999999999995</v>
      </c>
      <c r="K172">
        <v>0.55900000000000005</v>
      </c>
      <c r="L172">
        <v>0.54700000000000004</v>
      </c>
      <c r="M172">
        <v>0.57099999999999995</v>
      </c>
      <c r="N172">
        <v>0.58799999999999997</v>
      </c>
      <c r="O172">
        <v>0.6</v>
      </c>
      <c r="P172">
        <v>0.63100000000000001</v>
      </c>
      <c r="Q172">
        <v>0.68600000000000005</v>
      </c>
      <c r="R172">
        <v>0.68600000000000005</v>
      </c>
      <c r="S172">
        <v>0.72199999999999998</v>
      </c>
      <c r="T172">
        <v>0.747</v>
      </c>
      <c r="U172">
        <v>0.74399999999999999</v>
      </c>
      <c r="V172">
        <v>0.79500000000000004</v>
      </c>
    </row>
    <row r="173" spans="1:22" x14ac:dyDescent="0.2">
      <c r="A173" t="s">
        <v>201</v>
      </c>
      <c r="B173" t="s">
        <v>248</v>
      </c>
      <c r="C173" t="s">
        <v>152</v>
      </c>
      <c r="D173">
        <v>99991231</v>
      </c>
      <c r="F173" t="s">
        <v>1228</v>
      </c>
      <c r="G173">
        <v>0.378</v>
      </c>
      <c r="H173">
        <v>0.54100000000000004</v>
      </c>
      <c r="I173">
        <v>0.52300000000000002</v>
      </c>
      <c r="J173">
        <v>0.58099999999999996</v>
      </c>
      <c r="K173">
        <v>0.57199999999999995</v>
      </c>
      <c r="L173">
        <v>0.55800000000000005</v>
      </c>
      <c r="M173">
        <v>0.58299999999999996</v>
      </c>
      <c r="N173">
        <v>0.60199999999999998</v>
      </c>
      <c r="O173">
        <v>0.61099999999999999</v>
      </c>
      <c r="P173">
        <v>0.64700000000000002</v>
      </c>
      <c r="Q173">
        <v>0.70499999999999996</v>
      </c>
      <c r="R173">
        <v>0.70499999999999996</v>
      </c>
      <c r="S173">
        <v>0.73699999999999999</v>
      </c>
      <c r="T173">
        <v>0.76900000000000002</v>
      </c>
      <c r="U173">
        <v>0.76600000000000001</v>
      </c>
      <c r="V173">
        <v>0.81799999999999995</v>
      </c>
    </row>
    <row r="174" spans="1:22" x14ac:dyDescent="0.2">
      <c r="A174" t="s">
        <v>201</v>
      </c>
      <c r="B174" t="s">
        <v>248</v>
      </c>
      <c r="C174" t="s">
        <v>154</v>
      </c>
      <c r="D174">
        <v>99991231</v>
      </c>
      <c r="F174" t="s">
        <v>1229</v>
      </c>
      <c r="G174">
        <v>0.38200000000000001</v>
      </c>
      <c r="H174">
        <v>0.55200000000000005</v>
      </c>
      <c r="I174">
        <v>0.53200000000000003</v>
      </c>
      <c r="J174">
        <v>0.59599999999999997</v>
      </c>
      <c r="K174">
        <v>0.58399999999999996</v>
      </c>
      <c r="L174">
        <v>0.56999999999999995</v>
      </c>
      <c r="M174">
        <v>0.59499999999999997</v>
      </c>
      <c r="N174">
        <v>0.61399999999999999</v>
      </c>
      <c r="O174">
        <v>0.625</v>
      </c>
      <c r="P174">
        <v>0.66200000000000003</v>
      </c>
      <c r="Q174">
        <v>0.72099999999999997</v>
      </c>
      <c r="R174">
        <v>0.72</v>
      </c>
      <c r="S174">
        <v>0.755</v>
      </c>
      <c r="T174">
        <v>0.79800000000000004</v>
      </c>
      <c r="U174">
        <v>0.79400000000000004</v>
      </c>
      <c r="V174">
        <v>0.84099999999999997</v>
      </c>
    </row>
    <row r="175" spans="1:22" x14ac:dyDescent="0.2">
      <c r="A175" t="s">
        <v>201</v>
      </c>
      <c r="B175" t="s">
        <v>248</v>
      </c>
      <c r="C175" t="s">
        <v>137</v>
      </c>
      <c r="D175">
        <v>99991231</v>
      </c>
      <c r="F175" t="s">
        <v>1230</v>
      </c>
      <c r="G175">
        <v>0.38400000000000001</v>
      </c>
      <c r="H175">
        <v>0.56100000000000005</v>
      </c>
      <c r="I175">
        <v>0.54100000000000004</v>
      </c>
      <c r="J175">
        <v>0.60699999999999998</v>
      </c>
      <c r="K175">
        <v>0.59299999999999997</v>
      </c>
      <c r="L175">
        <v>0.57899999999999996</v>
      </c>
      <c r="M175">
        <v>0.60299999999999998</v>
      </c>
      <c r="N175">
        <v>0.624</v>
      </c>
      <c r="O175">
        <v>0.63900000000000001</v>
      </c>
      <c r="P175">
        <v>0.67700000000000005</v>
      </c>
      <c r="Q175">
        <v>0.74</v>
      </c>
      <c r="R175">
        <v>0.73799999999999999</v>
      </c>
      <c r="S175">
        <v>0.77200000000000002</v>
      </c>
      <c r="T175">
        <v>0.82599999999999996</v>
      </c>
      <c r="U175">
        <v>0.81899999999999995</v>
      </c>
      <c r="V175">
        <v>0.86299999999999999</v>
      </c>
    </row>
    <row r="176" spans="1:22" x14ac:dyDescent="0.2">
      <c r="A176" t="s">
        <v>201</v>
      </c>
      <c r="B176" t="s">
        <v>248</v>
      </c>
      <c r="C176" t="s">
        <v>155</v>
      </c>
      <c r="D176">
        <v>99991231</v>
      </c>
      <c r="F176" t="s">
        <v>1231</v>
      </c>
      <c r="G176">
        <v>0.38700000000000001</v>
      </c>
      <c r="H176">
        <v>0.57099999999999995</v>
      </c>
      <c r="I176">
        <v>0.54700000000000004</v>
      </c>
      <c r="J176">
        <v>0.61899999999999999</v>
      </c>
      <c r="K176">
        <v>0.60399999999999998</v>
      </c>
      <c r="L176">
        <v>0.58899999999999997</v>
      </c>
      <c r="M176">
        <v>0.61299999999999999</v>
      </c>
      <c r="N176">
        <v>0.63400000000000001</v>
      </c>
      <c r="O176">
        <v>0.65</v>
      </c>
      <c r="P176">
        <v>0.69399999999999995</v>
      </c>
      <c r="Q176">
        <v>0.75800000000000001</v>
      </c>
      <c r="R176">
        <v>0.755</v>
      </c>
      <c r="S176">
        <v>0.78500000000000003</v>
      </c>
      <c r="T176">
        <v>0.85399999999999998</v>
      </c>
      <c r="U176">
        <v>0.84399999999999997</v>
      </c>
      <c r="V176">
        <v>0.88800000000000001</v>
      </c>
    </row>
    <row r="177" spans="1:22" x14ac:dyDescent="0.2">
      <c r="A177" t="s">
        <v>201</v>
      </c>
      <c r="B177" t="s">
        <v>248</v>
      </c>
      <c r="C177" t="s">
        <v>177</v>
      </c>
      <c r="D177">
        <v>99991231</v>
      </c>
      <c r="F177" t="s">
        <v>1232</v>
      </c>
      <c r="G177">
        <v>0.39700000000000002</v>
      </c>
      <c r="H177">
        <v>0.59399999999999997</v>
      </c>
      <c r="I177">
        <v>0.56699999999999995</v>
      </c>
      <c r="J177">
        <v>0.65200000000000002</v>
      </c>
      <c r="K177">
        <v>0.63</v>
      </c>
      <c r="L177">
        <v>0.61499999999999999</v>
      </c>
      <c r="M177">
        <v>0.63900000000000001</v>
      </c>
      <c r="N177">
        <v>0.66400000000000003</v>
      </c>
      <c r="O177">
        <v>0.69199999999999995</v>
      </c>
      <c r="P177">
        <v>0.74399999999999999</v>
      </c>
      <c r="Q177">
        <v>0.81200000000000006</v>
      </c>
      <c r="R177">
        <v>0.80900000000000005</v>
      </c>
      <c r="S177">
        <v>0.84299999999999997</v>
      </c>
      <c r="T177">
        <v>0.93500000000000005</v>
      </c>
      <c r="U177">
        <v>0.92</v>
      </c>
      <c r="V177">
        <v>0.94899999999999995</v>
      </c>
    </row>
    <row r="178" spans="1:22" x14ac:dyDescent="0.2">
      <c r="A178" t="s">
        <v>201</v>
      </c>
      <c r="B178" t="s">
        <v>248</v>
      </c>
      <c r="C178" t="s">
        <v>156</v>
      </c>
      <c r="D178">
        <v>99991231</v>
      </c>
      <c r="F178" t="s">
        <v>1233</v>
      </c>
      <c r="G178">
        <v>0.41</v>
      </c>
      <c r="H178">
        <v>0.62</v>
      </c>
      <c r="I178">
        <v>0.58499999999999996</v>
      </c>
      <c r="J178">
        <v>0.68</v>
      </c>
      <c r="K178">
        <v>0.65800000000000003</v>
      </c>
      <c r="L178">
        <v>0.63800000000000001</v>
      </c>
      <c r="M178">
        <v>0.66300000000000003</v>
      </c>
      <c r="N178">
        <v>0.69099999999999995</v>
      </c>
      <c r="O178">
        <v>0.73299999999999998</v>
      </c>
      <c r="P178">
        <v>0.78900000000000003</v>
      </c>
      <c r="Q178">
        <v>0.86499999999999999</v>
      </c>
      <c r="R178">
        <v>0.86599999999999999</v>
      </c>
      <c r="S178">
        <v>0.89700000000000002</v>
      </c>
      <c r="T178">
        <v>1.0129999999999999</v>
      </c>
      <c r="U178">
        <v>0.99299999999999999</v>
      </c>
      <c r="V178">
        <v>1.01</v>
      </c>
    </row>
    <row r="179" spans="1:22" x14ac:dyDescent="0.2">
      <c r="A179" t="s">
        <v>201</v>
      </c>
      <c r="B179" t="s">
        <v>248</v>
      </c>
      <c r="C179" t="s">
        <v>178</v>
      </c>
      <c r="D179">
        <v>99991231</v>
      </c>
      <c r="F179" t="s">
        <v>1234</v>
      </c>
      <c r="G179">
        <v>0.42399999999999999</v>
      </c>
      <c r="H179">
        <v>0.63500000000000001</v>
      </c>
      <c r="I179">
        <v>0.60099999999999998</v>
      </c>
      <c r="J179">
        <v>0.70599999999999996</v>
      </c>
      <c r="K179">
        <v>0.68</v>
      </c>
      <c r="L179">
        <v>0.65800000000000003</v>
      </c>
      <c r="M179">
        <v>0.68400000000000005</v>
      </c>
      <c r="N179">
        <v>0.71599999999999997</v>
      </c>
      <c r="O179">
        <v>0.77500000000000002</v>
      </c>
      <c r="P179">
        <v>0.83799999999999997</v>
      </c>
      <c r="Q179">
        <v>0.91800000000000004</v>
      </c>
      <c r="R179">
        <v>0.91600000000000004</v>
      </c>
      <c r="S179">
        <v>0.95099999999999996</v>
      </c>
      <c r="T179">
        <v>1.0880000000000001</v>
      </c>
      <c r="U179">
        <v>1.0629999999999999</v>
      </c>
      <c r="V179">
        <v>1.07</v>
      </c>
    </row>
    <row r="180" spans="1:22" x14ac:dyDescent="0.2">
      <c r="A180" t="s">
        <v>201</v>
      </c>
      <c r="B180" t="s">
        <v>248</v>
      </c>
      <c r="C180" t="s">
        <v>157</v>
      </c>
      <c r="D180">
        <v>99991231</v>
      </c>
      <c r="F180" t="s">
        <v>1235</v>
      </c>
      <c r="G180">
        <v>0.438</v>
      </c>
      <c r="H180">
        <v>0.65</v>
      </c>
      <c r="I180">
        <v>0.61599999999999999</v>
      </c>
      <c r="J180">
        <v>0.73</v>
      </c>
      <c r="K180">
        <v>0.70099999999999996</v>
      </c>
      <c r="L180">
        <v>0.67900000000000005</v>
      </c>
      <c r="M180">
        <v>0.70399999999999996</v>
      </c>
      <c r="N180">
        <v>0.74</v>
      </c>
      <c r="O180">
        <v>0.81799999999999995</v>
      </c>
      <c r="P180">
        <v>0.88800000000000001</v>
      </c>
      <c r="Q180">
        <v>0.97199999999999998</v>
      </c>
      <c r="R180">
        <v>0.96899999999999997</v>
      </c>
      <c r="S180">
        <v>1.0029999999999999</v>
      </c>
      <c r="T180">
        <v>1.1599999999999999</v>
      </c>
      <c r="U180">
        <v>1.1299999999999999</v>
      </c>
      <c r="V180">
        <v>1.129</v>
      </c>
    </row>
    <row r="181" spans="1:22" x14ac:dyDescent="0.2">
      <c r="A181" t="s">
        <v>201</v>
      </c>
      <c r="B181" t="s">
        <v>248</v>
      </c>
      <c r="C181" t="s">
        <v>99</v>
      </c>
      <c r="D181">
        <v>99991231</v>
      </c>
      <c r="F181" t="s">
        <v>1236</v>
      </c>
      <c r="G181">
        <v>0.499</v>
      </c>
      <c r="H181">
        <v>0.70499999999999996</v>
      </c>
      <c r="I181">
        <v>0.66800000000000004</v>
      </c>
      <c r="J181">
        <v>0.80800000000000005</v>
      </c>
      <c r="K181">
        <v>0.77700000000000002</v>
      </c>
      <c r="L181">
        <v>0.754</v>
      </c>
      <c r="M181">
        <v>0.78</v>
      </c>
      <c r="N181">
        <v>0.83299999999999996</v>
      </c>
      <c r="O181">
        <v>0.98399999999999999</v>
      </c>
      <c r="P181">
        <v>1.0720000000000001</v>
      </c>
      <c r="Q181">
        <v>1.163</v>
      </c>
      <c r="R181">
        <v>1.167</v>
      </c>
      <c r="S181">
        <v>1.2010000000000001</v>
      </c>
      <c r="T181">
        <v>1.42</v>
      </c>
      <c r="U181">
        <v>1.3680000000000001</v>
      </c>
      <c r="V181">
        <v>1.32</v>
      </c>
    </row>
    <row r="182" spans="1:22" x14ac:dyDescent="0.2">
      <c r="A182" t="s">
        <v>201</v>
      </c>
      <c r="B182" t="s">
        <v>248</v>
      </c>
      <c r="C182" t="s">
        <v>101</v>
      </c>
      <c r="D182">
        <v>99991231</v>
      </c>
      <c r="F182" t="s">
        <v>1237</v>
      </c>
      <c r="G182">
        <v>0.56799999999999995</v>
      </c>
      <c r="H182">
        <v>0.75600000000000001</v>
      </c>
      <c r="I182">
        <v>0.71899999999999997</v>
      </c>
      <c r="J182">
        <v>0.874</v>
      </c>
      <c r="K182">
        <v>0.84599999999999997</v>
      </c>
      <c r="L182">
        <v>0.82599999999999996</v>
      </c>
      <c r="M182">
        <v>0.85299999999999998</v>
      </c>
      <c r="N182">
        <v>0.92100000000000004</v>
      </c>
      <c r="O182">
        <v>1.127</v>
      </c>
      <c r="P182">
        <v>1.218</v>
      </c>
      <c r="Q182">
        <v>1.3180000000000001</v>
      </c>
      <c r="R182">
        <v>1.3260000000000001</v>
      </c>
      <c r="S182">
        <v>1.369</v>
      </c>
      <c r="T182">
        <v>1.6180000000000001</v>
      </c>
      <c r="U182">
        <v>1.5489999999999999</v>
      </c>
      <c r="V182">
        <v>1.4670000000000001</v>
      </c>
    </row>
    <row r="183" spans="1:22" x14ac:dyDescent="0.2">
      <c r="A183" t="s">
        <v>201</v>
      </c>
      <c r="B183" t="s">
        <v>248</v>
      </c>
      <c r="C183" t="s">
        <v>102</v>
      </c>
      <c r="D183">
        <v>99991231</v>
      </c>
      <c r="F183" t="s">
        <v>1238</v>
      </c>
      <c r="G183">
        <v>0.64700000000000002</v>
      </c>
      <c r="H183">
        <v>0.80200000000000005</v>
      </c>
      <c r="I183">
        <v>0.77800000000000002</v>
      </c>
      <c r="J183">
        <v>0.94099999999999995</v>
      </c>
      <c r="K183">
        <v>0.91700000000000004</v>
      </c>
      <c r="L183">
        <v>0.90100000000000002</v>
      </c>
      <c r="M183">
        <v>0.92200000000000004</v>
      </c>
      <c r="N183">
        <v>1.0069999999999999</v>
      </c>
      <c r="O183">
        <v>1.2450000000000001</v>
      </c>
      <c r="P183">
        <v>1.337</v>
      </c>
      <c r="Q183">
        <v>1.4430000000000001</v>
      </c>
      <c r="R183">
        <v>1.4550000000000001</v>
      </c>
      <c r="S183">
        <v>1.5109999999999999</v>
      </c>
      <c r="T183">
        <v>1.76</v>
      </c>
      <c r="U183">
        <v>1.6890000000000001</v>
      </c>
      <c r="V183">
        <v>1.5840000000000001</v>
      </c>
    </row>
    <row r="184" spans="1:22" x14ac:dyDescent="0.2">
      <c r="A184" t="s">
        <v>201</v>
      </c>
      <c r="B184" t="s">
        <v>248</v>
      </c>
      <c r="C184" t="s">
        <v>104</v>
      </c>
      <c r="D184">
        <v>99991231</v>
      </c>
      <c r="F184" t="s">
        <v>1239</v>
      </c>
      <c r="G184">
        <v>0.80200000000000005</v>
      </c>
      <c r="H184">
        <v>0.9</v>
      </c>
      <c r="I184">
        <v>0.89200000000000002</v>
      </c>
      <c r="J184">
        <v>1.071</v>
      </c>
      <c r="K184">
        <v>1.0589999999999999</v>
      </c>
      <c r="L184">
        <v>1.0449999999999999</v>
      </c>
      <c r="M184">
        <v>1.0589999999999999</v>
      </c>
      <c r="N184">
        <v>1.1599999999999999</v>
      </c>
      <c r="O184">
        <v>1.4410000000000001</v>
      </c>
      <c r="P184">
        <v>1.5349999999999999</v>
      </c>
      <c r="Q184">
        <v>1.6279999999999999</v>
      </c>
      <c r="R184">
        <v>1.659</v>
      </c>
      <c r="S184">
        <v>1.7270000000000001</v>
      </c>
      <c r="T184">
        <v>1.97</v>
      </c>
      <c r="U184">
        <v>1.893</v>
      </c>
      <c r="V184">
        <v>1.7589999999999999</v>
      </c>
    </row>
    <row r="185" spans="1:22" x14ac:dyDescent="0.2">
      <c r="A185" t="s">
        <v>201</v>
      </c>
      <c r="B185" t="s">
        <v>248</v>
      </c>
      <c r="C185" t="s">
        <v>79</v>
      </c>
      <c r="D185">
        <v>99991231</v>
      </c>
      <c r="F185" t="s">
        <v>1240</v>
      </c>
      <c r="G185">
        <v>1.0029999999999999</v>
      </c>
      <c r="H185">
        <v>1.016</v>
      </c>
      <c r="I185">
        <v>1.038</v>
      </c>
      <c r="J185">
        <v>1.2210000000000001</v>
      </c>
      <c r="K185">
        <v>1.226</v>
      </c>
      <c r="L185">
        <v>1.22</v>
      </c>
      <c r="M185">
        <v>1.2190000000000001</v>
      </c>
      <c r="N185">
        <v>1.337</v>
      </c>
      <c r="O185">
        <v>1.649</v>
      </c>
      <c r="P185">
        <v>1.726</v>
      </c>
      <c r="Q185">
        <v>1.806</v>
      </c>
      <c r="R185">
        <v>1.85</v>
      </c>
      <c r="S185">
        <v>1.931</v>
      </c>
      <c r="T185">
        <v>2.1520000000000001</v>
      </c>
      <c r="U185">
        <v>2.0779999999999998</v>
      </c>
      <c r="V185">
        <v>1.921</v>
      </c>
    </row>
    <row r="186" spans="1:22" x14ac:dyDescent="0.2">
      <c r="A186" t="s">
        <v>201</v>
      </c>
      <c r="B186" t="s">
        <v>248</v>
      </c>
      <c r="C186" t="s">
        <v>159</v>
      </c>
      <c r="D186">
        <v>99991231</v>
      </c>
      <c r="F186" t="s">
        <v>1241</v>
      </c>
      <c r="G186">
        <v>1.107</v>
      </c>
      <c r="H186">
        <v>1.081</v>
      </c>
      <c r="I186">
        <v>1.115</v>
      </c>
      <c r="J186">
        <v>1.3089999999999999</v>
      </c>
      <c r="K186">
        <v>1.3149999999999999</v>
      </c>
      <c r="L186">
        <v>1.3109999999999999</v>
      </c>
      <c r="M186">
        <v>1.302</v>
      </c>
      <c r="N186">
        <v>1.425</v>
      </c>
      <c r="O186">
        <v>1.742</v>
      </c>
      <c r="P186">
        <v>1.8080000000000001</v>
      </c>
      <c r="Q186">
        <v>1.8819999999999999</v>
      </c>
      <c r="R186">
        <v>1.9319999999999999</v>
      </c>
      <c r="S186">
        <v>2.0219999999999998</v>
      </c>
      <c r="T186">
        <v>2.2269999999999999</v>
      </c>
      <c r="U186">
        <v>2.1549999999999998</v>
      </c>
      <c r="V186">
        <v>1.9930000000000001</v>
      </c>
    </row>
    <row r="187" spans="1:22" x14ac:dyDescent="0.2">
      <c r="A187" t="s">
        <v>201</v>
      </c>
      <c r="B187" t="s">
        <v>248</v>
      </c>
      <c r="C187" t="s">
        <v>107</v>
      </c>
      <c r="D187">
        <v>99991231</v>
      </c>
      <c r="F187" t="s">
        <v>1242</v>
      </c>
      <c r="G187">
        <v>1.2210000000000001</v>
      </c>
      <c r="H187">
        <v>1.1479999999999999</v>
      </c>
      <c r="I187">
        <v>1.202</v>
      </c>
      <c r="J187">
        <v>1.399</v>
      </c>
      <c r="K187">
        <v>1.413</v>
      </c>
      <c r="L187">
        <v>1.407</v>
      </c>
      <c r="M187">
        <v>1.3939999999999999</v>
      </c>
      <c r="N187">
        <v>1.516</v>
      </c>
      <c r="O187">
        <v>1.841</v>
      </c>
      <c r="P187">
        <v>1.889</v>
      </c>
      <c r="Q187">
        <v>1.9550000000000001</v>
      </c>
      <c r="R187">
        <v>2.012</v>
      </c>
      <c r="S187">
        <v>2.109</v>
      </c>
      <c r="T187">
        <v>2.2989999999999999</v>
      </c>
      <c r="U187">
        <v>2.23</v>
      </c>
      <c r="V187">
        <v>2.0590000000000002</v>
      </c>
    </row>
    <row r="188" spans="1:22" x14ac:dyDescent="0.2">
      <c r="A188" t="s">
        <v>201</v>
      </c>
      <c r="B188" t="s">
        <v>248</v>
      </c>
      <c r="C188" t="s">
        <v>108</v>
      </c>
      <c r="D188">
        <v>99991231</v>
      </c>
      <c r="F188" t="s">
        <v>1243</v>
      </c>
      <c r="G188">
        <v>1.3440000000000001</v>
      </c>
      <c r="H188">
        <v>1.2170000000000001</v>
      </c>
      <c r="I188">
        <v>1.284</v>
      </c>
      <c r="J188">
        <v>1.488</v>
      </c>
      <c r="K188">
        <v>1.5069999999999999</v>
      </c>
      <c r="L188">
        <v>1.51</v>
      </c>
      <c r="M188">
        <v>1.4850000000000001</v>
      </c>
      <c r="N188">
        <v>1.6060000000000001</v>
      </c>
      <c r="O188">
        <v>1.9359999999999999</v>
      </c>
      <c r="P188">
        <v>1.9690000000000001</v>
      </c>
      <c r="Q188">
        <v>2.016</v>
      </c>
      <c r="R188">
        <v>2.081</v>
      </c>
      <c r="S188">
        <v>2.19</v>
      </c>
      <c r="T188">
        <v>2.359</v>
      </c>
      <c r="U188">
        <v>2.2879999999999998</v>
      </c>
      <c r="V188">
        <v>2.1120000000000001</v>
      </c>
    </row>
    <row r="189" spans="1:22" x14ac:dyDescent="0.2">
      <c r="A189" t="s">
        <v>201</v>
      </c>
      <c r="B189" t="s">
        <v>248</v>
      </c>
      <c r="C189" t="s">
        <v>109</v>
      </c>
      <c r="D189">
        <v>99991231</v>
      </c>
      <c r="F189" t="s">
        <v>1244</v>
      </c>
      <c r="G189">
        <v>1.4039999999999999</v>
      </c>
      <c r="H189">
        <v>1.2450000000000001</v>
      </c>
      <c r="I189">
        <v>1.323</v>
      </c>
      <c r="J189">
        <v>1.5289999999999999</v>
      </c>
      <c r="K189">
        <v>1.548</v>
      </c>
      <c r="L189">
        <v>1.552</v>
      </c>
      <c r="M189">
        <v>1.526</v>
      </c>
      <c r="N189">
        <v>1.643</v>
      </c>
      <c r="O189">
        <v>1.978</v>
      </c>
      <c r="P189">
        <v>1.9970000000000001</v>
      </c>
      <c r="Q189">
        <v>2.0390000000000001</v>
      </c>
      <c r="R189">
        <v>2.109</v>
      </c>
      <c r="S189">
        <v>2.2160000000000002</v>
      </c>
      <c r="T189">
        <v>2.3719999999999999</v>
      </c>
      <c r="U189">
        <v>2.306</v>
      </c>
      <c r="V189">
        <v>2.1240000000000001</v>
      </c>
    </row>
    <row r="190" spans="1:22" x14ac:dyDescent="0.2">
      <c r="A190" t="s">
        <v>201</v>
      </c>
      <c r="B190" t="s">
        <v>248</v>
      </c>
      <c r="C190" t="s">
        <v>110</v>
      </c>
      <c r="D190">
        <v>99991231</v>
      </c>
      <c r="F190" t="s">
        <v>1245</v>
      </c>
      <c r="G190">
        <v>1.4410000000000001</v>
      </c>
      <c r="H190">
        <v>1.2589999999999999</v>
      </c>
      <c r="I190">
        <v>1.341</v>
      </c>
      <c r="J190">
        <v>1.5489999999999999</v>
      </c>
      <c r="K190">
        <v>1.569</v>
      </c>
      <c r="L190">
        <v>1.571</v>
      </c>
      <c r="M190">
        <v>1.5469999999999999</v>
      </c>
      <c r="N190">
        <v>1.66</v>
      </c>
      <c r="O190">
        <v>1.998</v>
      </c>
      <c r="P190">
        <v>2.004</v>
      </c>
      <c r="Q190">
        <v>2.0449999999999999</v>
      </c>
      <c r="R190">
        <v>2.1120000000000001</v>
      </c>
      <c r="S190">
        <v>2.2280000000000002</v>
      </c>
      <c r="T190">
        <v>2.3679999999999999</v>
      </c>
      <c r="U190">
        <v>2.3069999999999999</v>
      </c>
      <c r="V190">
        <v>2.125</v>
      </c>
    </row>
    <row r="191" spans="1:22" x14ac:dyDescent="0.2">
      <c r="A191" t="s">
        <v>201</v>
      </c>
      <c r="B191" t="s">
        <v>248</v>
      </c>
      <c r="C191" t="s">
        <v>174</v>
      </c>
      <c r="D191">
        <v>99991231</v>
      </c>
      <c r="F191" t="s">
        <v>1246</v>
      </c>
      <c r="G191">
        <v>1.4590000000000001</v>
      </c>
      <c r="H191">
        <v>1.272</v>
      </c>
      <c r="I191">
        <v>1.351</v>
      </c>
      <c r="J191">
        <v>1.56</v>
      </c>
      <c r="K191">
        <v>1.58</v>
      </c>
      <c r="L191">
        <v>1.58</v>
      </c>
      <c r="M191">
        <v>1.5549999999999999</v>
      </c>
      <c r="N191">
        <v>1.6659999999999999</v>
      </c>
      <c r="O191">
        <v>2.0030000000000001</v>
      </c>
      <c r="P191">
        <v>2.0049999999999999</v>
      </c>
      <c r="Q191">
        <v>2.0459999999999998</v>
      </c>
      <c r="R191">
        <v>2.113</v>
      </c>
      <c r="S191">
        <v>2.2210000000000001</v>
      </c>
      <c r="T191">
        <v>2.367</v>
      </c>
      <c r="U191">
        <v>2.298</v>
      </c>
      <c r="V191">
        <v>2.113</v>
      </c>
    </row>
    <row r="192" spans="1:22" x14ac:dyDescent="0.2">
      <c r="A192" t="s">
        <v>201</v>
      </c>
      <c r="B192" t="s">
        <v>248</v>
      </c>
      <c r="C192" t="s">
        <v>175</v>
      </c>
      <c r="D192">
        <v>99991231</v>
      </c>
      <c r="F192" t="s">
        <v>1247</v>
      </c>
      <c r="G192">
        <v>1.4450000000000001</v>
      </c>
      <c r="H192">
        <v>1.2729999999999999</v>
      </c>
      <c r="I192">
        <v>1.3360000000000001</v>
      </c>
      <c r="J192">
        <v>1.5329999999999999</v>
      </c>
      <c r="K192">
        <v>1.556</v>
      </c>
      <c r="L192">
        <v>1.544</v>
      </c>
      <c r="M192">
        <v>1.54</v>
      </c>
      <c r="N192">
        <v>1.6479999999999999</v>
      </c>
      <c r="O192">
        <v>1.9970000000000001</v>
      </c>
      <c r="P192">
        <v>1.99</v>
      </c>
      <c r="Q192">
        <v>2.0249999999999999</v>
      </c>
      <c r="R192">
        <v>2.093</v>
      </c>
      <c r="S192">
        <v>2.2189999999999999</v>
      </c>
      <c r="T192">
        <v>2.3639999999999999</v>
      </c>
      <c r="U192">
        <v>2.3039999999999998</v>
      </c>
      <c r="V192">
        <v>2.105</v>
      </c>
    </row>
    <row r="194" spans="1:22" x14ac:dyDescent="0.2">
      <c r="A194" t="s">
        <v>201</v>
      </c>
      <c r="B194" t="s">
        <v>1248</v>
      </c>
      <c r="C194" t="s">
        <v>95</v>
      </c>
      <c r="D194">
        <v>99991231</v>
      </c>
      <c r="F194" t="s">
        <v>1249</v>
      </c>
      <c r="G194" t="e">
        <v>#REF!</v>
      </c>
      <c r="H194" t="e">
        <v>#REF!</v>
      </c>
      <c r="I194" t="e">
        <v>#REF!</v>
      </c>
      <c r="J194" t="e">
        <v>#REF!</v>
      </c>
      <c r="K194" t="e">
        <v>#REF!</v>
      </c>
      <c r="L194" t="e">
        <v>#REF!</v>
      </c>
      <c r="M194" t="e">
        <v>#REF!</v>
      </c>
      <c r="N194" t="e">
        <v>#REF!</v>
      </c>
      <c r="O194" t="e">
        <v>#REF!</v>
      </c>
      <c r="P194" t="e">
        <v>#REF!</v>
      </c>
      <c r="Q194" t="e">
        <v>#REF!</v>
      </c>
      <c r="R194" t="e">
        <v>#REF!</v>
      </c>
      <c r="S194" t="e">
        <v>#REF!</v>
      </c>
      <c r="T194" t="e">
        <v>#REF!</v>
      </c>
      <c r="U194" t="e">
        <v>#REF!</v>
      </c>
      <c r="V194" t="e">
        <v>#REF!</v>
      </c>
    </row>
    <row r="195" spans="1:22" x14ac:dyDescent="0.2">
      <c r="A195" t="s">
        <v>201</v>
      </c>
      <c r="B195" t="s">
        <v>1250</v>
      </c>
      <c r="C195" t="s">
        <v>97</v>
      </c>
      <c r="D195">
        <v>99991231</v>
      </c>
      <c r="F195" t="s">
        <v>1251</v>
      </c>
      <c r="G195" t="e">
        <v>#REF!</v>
      </c>
      <c r="H195" t="e">
        <v>#REF!</v>
      </c>
      <c r="I195" t="e">
        <v>#REF!</v>
      </c>
      <c r="J195" t="e">
        <v>#REF!</v>
      </c>
      <c r="K195" t="e">
        <v>#REF!</v>
      </c>
      <c r="L195" t="e">
        <v>#REF!</v>
      </c>
      <c r="M195" t="e">
        <v>#REF!</v>
      </c>
      <c r="N195" t="e">
        <v>#REF!</v>
      </c>
      <c r="O195" t="e">
        <v>#REF!</v>
      </c>
      <c r="P195" t="e">
        <v>#REF!</v>
      </c>
      <c r="Q195" t="e">
        <v>#REF!</v>
      </c>
      <c r="R195" t="e">
        <v>#REF!</v>
      </c>
      <c r="S195" t="e">
        <v>#REF!</v>
      </c>
      <c r="T195" t="e">
        <v>#REF!</v>
      </c>
      <c r="U195" t="e">
        <v>#REF!</v>
      </c>
      <c r="V195" t="e">
        <v>#REF!</v>
      </c>
    </row>
    <row r="196" spans="1:22" x14ac:dyDescent="0.2">
      <c r="A196" t="s">
        <v>201</v>
      </c>
      <c r="B196" t="s">
        <v>1250</v>
      </c>
      <c r="C196" t="s">
        <v>38</v>
      </c>
      <c r="D196">
        <v>99991231</v>
      </c>
      <c r="F196" t="s">
        <v>1252</v>
      </c>
      <c r="G196" t="e">
        <v>#REF!</v>
      </c>
      <c r="H196" t="e">
        <v>#REF!</v>
      </c>
      <c r="I196" t="e">
        <v>#REF!</v>
      </c>
      <c r="J196" t="e">
        <v>#REF!</v>
      </c>
      <c r="K196" t="e">
        <v>#REF!</v>
      </c>
      <c r="L196" t="e">
        <v>#REF!</v>
      </c>
      <c r="M196" t="e">
        <v>#REF!</v>
      </c>
      <c r="N196" t="e">
        <v>#REF!</v>
      </c>
      <c r="O196" t="e">
        <v>#REF!</v>
      </c>
      <c r="P196" t="e">
        <v>#REF!</v>
      </c>
      <c r="Q196" t="e">
        <v>#REF!</v>
      </c>
      <c r="R196" t="e">
        <v>#REF!</v>
      </c>
      <c r="S196" t="e">
        <v>#REF!</v>
      </c>
      <c r="T196" t="e">
        <v>#REF!</v>
      </c>
      <c r="U196" t="e">
        <v>#REF!</v>
      </c>
      <c r="V196" t="e">
        <v>#REF!</v>
      </c>
    </row>
    <row r="197" spans="1:22" x14ac:dyDescent="0.2">
      <c r="A197" t="s">
        <v>201</v>
      </c>
      <c r="B197" t="s">
        <v>1250</v>
      </c>
      <c r="C197" t="s">
        <v>152</v>
      </c>
      <c r="D197">
        <v>99991231</v>
      </c>
      <c r="F197" t="s">
        <v>1253</v>
      </c>
      <c r="G197" t="e">
        <v>#REF!</v>
      </c>
      <c r="H197" t="e">
        <v>#REF!</v>
      </c>
      <c r="I197" t="e">
        <v>#REF!</v>
      </c>
      <c r="J197" t="e">
        <v>#REF!</v>
      </c>
      <c r="K197" t="e">
        <v>#REF!</v>
      </c>
      <c r="L197" t="e">
        <v>#REF!</v>
      </c>
      <c r="M197" t="e">
        <v>#REF!</v>
      </c>
      <c r="N197" t="e">
        <v>#REF!</v>
      </c>
      <c r="O197" t="e">
        <v>#REF!</v>
      </c>
      <c r="P197" t="e">
        <v>#REF!</v>
      </c>
      <c r="Q197" t="e">
        <v>#REF!</v>
      </c>
      <c r="R197" t="e">
        <v>#REF!</v>
      </c>
      <c r="S197" t="e">
        <v>#REF!</v>
      </c>
      <c r="T197" t="e">
        <v>#REF!</v>
      </c>
      <c r="U197" t="e">
        <v>#REF!</v>
      </c>
      <c r="V197" t="e">
        <v>#REF!</v>
      </c>
    </row>
    <row r="198" spans="1:22" x14ac:dyDescent="0.2">
      <c r="A198" t="s">
        <v>201</v>
      </c>
      <c r="B198" t="s">
        <v>1250</v>
      </c>
      <c r="C198" t="s">
        <v>25</v>
      </c>
      <c r="D198">
        <v>99991231</v>
      </c>
      <c r="F198" t="s">
        <v>1254</v>
      </c>
      <c r="G198" t="e">
        <v>#REF!</v>
      </c>
      <c r="H198" t="e">
        <v>#REF!</v>
      </c>
      <c r="I198" t="e">
        <v>#REF!</v>
      </c>
      <c r="J198" t="e">
        <v>#REF!</v>
      </c>
      <c r="K198" t="e">
        <v>#REF!</v>
      </c>
      <c r="L198" t="e">
        <v>#REF!</v>
      </c>
      <c r="M198" t="e">
        <v>#REF!</v>
      </c>
      <c r="N198" t="e">
        <v>#REF!</v>
      </c>
      <c r="O198" t="e">
        <v>#REF!</v>
      </c>
      <c r="P198" t="e">
        <v>#REF!</v>
      </c>
      <c r="Q198" t="e">
        <v>#REF!</v>
      </c>
      <c r="R198" t="e">
        <v>#REF!</v>
      </c>
      <c r="S198" t="e">
        <v>#REF!</v>
      </c>
      <c r="T198" t="e">
        <v>#REF!</v>
      </c>
      <c r="U198" t="e">
        <v>#REF!</v>
      </c>
      <c r="V198" t="e">
        <v>#REF!</v>
      </c>
    </row>
    <row r="199" spans="1:22" x14ac:dyDescent="0.2">
      <c r="A199" t="s">
        <v>201</v>
      </c>
      <c r="B199" t="s">
        <v>1250</v>
      </c>
      <c r="C199" t="s">
        <v>157</v>
      </c>
      <c r="D199">
        <v>99991231</v>
      </c>
      <c r="F199" t="s">
        <v>1255</v>
      </c>
      <c r="G199" t="e">
        <v>#REF!</v>
      </c>
      <c r="H199" t="e">
        <v>#REF!</v>
      </c>
      <c r="I199" t="e">
        <v>#REF!</v>
      </c>
      <c r="J199" t="e">
        <v>#REF!</v>
      </c>
      <c r="K199" t="e">
        <v>#REF!</v>
      </c>
      <c r="L199" t="e">
        <v>#REF!</v>
      </c>
      <c r="M199" t="e">
        <v>#REF!</v>
      </c>
      <c r="N199" t="e">
        <v>#REF!</v>
      </c>
      <c r="O199" t="e">
        <v>#REF!</v>
      </c>
      <c r="P199" t="e">
        <v>#REF!</v>
      </c>
      <c r="Q199" t="e">
        <v>#REF!</v>
      </c>
      <c r="R199" t="e">
        <v>#REF!</v>
      </c>
      <c r="S199" t="e">
        <v>#REF!</v>
      </c>
      <c r="T199" t="e">
        <v>#REF!</v>
      </c>
      <c r="U199" t="e">
        <v>#REF!</v>
      </c>
      <c r="V199" t="e">
        <v>#REF!</v>
      </c>
    </row>
    <row r="200" spans="1:22" x14ac:dyDescent="0.2">
      <c r="A200" t="s">
        <v>201</v>
      </c>
      <c r="B200" t="s">
        <v>1250</v>
      </c>
      <c r="C200" t="s">
        <v>99</v>
      </c>
      <c r="D200">
        <v>99991231</v>
      </c>
      <c r="F200" t="s">
        <v>1256</v>
      </c>
      <c r="G200" t="e">
        <v>#REF!</v>
      </c>
      <c r="H200" t="e">
        <v>#REF!</v>
      </c>
      <c r="I200" t="e">
        <v>#REF!</v>
      </c>
      <c r="J200" t="e">
        <v>#REF!</v>
      </c>
      <c r="K200" t="e">
        <v>#REF!</v>
      </c>
      <c r="L200" t="e">
        <v>#REF!</v>
      </c>
      <c r="M200" t="e">
        <v>#REF!</v>
      </c>
      <c r="N200" t="e">
        <v>#REF!</v>
      </c>
      <c r="O200" t="e">
        <v>#REF!</v>
      </c>
      <c r="P200" t="e">
        <v>#REF!</v>
      </c>
      <c r="Q200" t="e">
        <v>#REF!</v>
      </c>
      <c r="R200" t="e">
        <v>#REF!</v>
      </c>
      <c r="S200" t="e">
        <v>#REF!</v>
      </c>
      <c r="T200" t="e">
        <v>#REF!</v>
      </c>
      <c r="U200" t="e">
        <v>#REF!</v>
      </c>
      <c r="V200" t="e">
        <v>#REF!</v>
      </c>
    </row>
    <row r="201" spans="1:22" x14ac:dyDescent="0.2">
      <c r="A201" t="s">
        <v>201</v>
      </c>
      <c r="B201" t="s">
        <v>1250</v>
      </c>
      <c r="C201" t="s">
        <v>101</v>
      </c>
      <c r="D201">
        <v>99991231</v>
      </c>
      <c r="F201" t="s">
        <v>1257</v>
      </c>
      <c r="G201" t="e">
        <v>#REF!</v>
      </c>
      <c r="H201" t="e">
        <v>#REF!</v>
      </c>
      <c r="I201" t="e">
        <v>#REF!</v>
      </c>
      <c r="J201" t="e">
        <v>#REF!</v>
      </c>
      <c r="K201" t="e">
        <v>#REF!</v>
      </c>
      <c r="L201" t="e">
        <v>#REF!</v>
      </c>
      <c r="M201" t="e">
        <v>#REF!</v>
      </c>
      <c r="N201" t="e">
        <v>#REF!</v>
      </c>
      <c r="O201" t="e">
        <v>#REF!</v>
      </c>
      <c r="P201" t="e">
        <v>#REF!</v>
      </c>
      <c r="Q201" t="e">
        <v>#REF!</v>
      </c>
      <c r="R201" t="e">
        <v>#REF!</v>
      </c>
      <c r="S201" t="e">
        <v>#REF!</v>
      </c>
      <c r="T201" t="e">
        <v>#REF!</v>
      </c>
      <c r="U201" t="e">
        <v>#REF!</v>
      </c>
      <c r="V201" t="e">
        <v>#REF!</v>
      </c>
    </row>
    <row r="202" spans="1:22" x14ac:dyDescent="0.2">
      <c r="A202" t="s">
        <v>201</v>
      </c>
      <c r="B202" t="s">
        <v>1250</v>
      </c>
      <c r="C202" t="s">
        <v>102</v>
      </c>
      <c r="D202">
        <v>99991231</v>
      </c>
      <c r="F202" t="s">
        <v>1258</v>
      </c>
      <c r="G202" t="e">
        <v>#REF!</v>
      </c>
      <c r="H202" t="e">
        <v>#REF!</v>
      </c>
      <c r="I202" t="e">
        <v>#REF!</v>
      </c>
      <c r="J202" t="e">
        <v>#REF!</v>
      </c>
      <c r="K202" t="e">
        <v>#REF!</v>
      </c>
      <c r="L202" t="e">
        <v>#REF!</v>
      </c>
      <c r="M202" t="e">
        <v>#REF!</v>
      </c>
      <c r="N202" t="e">
        <v>#REF!</v>
      </c>
      <c r="O202" t="e">
        <v>#REF!</v>
      </c>
      <c r="P202" t="e">
        <v>#REF!</v>
      </c>
      <c r="Q202" t="e">
        <v>#REF!</v>
      </c>
      <c r="R202" t="e">
        <v>#REF!</v>
      </c>
      <c r="S202" t="e">
        <v>#REF!</v>
      </c>
      <c r="T202" t="e">
        <v>#REF!</v>
      </c>
      <c r="U202" t="e">
        <v>#REF!</v>
      </c>
      <c r="V202" t="e">
        <v>#REF!</v>
      </c>
    </row>
    <row r="203" spans="1:22" x14ac:dyDescent="0.2">
      <c r="A203" t="s">
        <v>201</v>
      </c>
      <c r="B203" t="s">
        <v>1250</v>
      </c>
      <c r="C203" t="s">
        <v>103</v>
      </c>
      <c r="D203">
        <v>99991231</v>
      </c>
      <c r="F203" t="s">
        <v>1259</v>
      </c>
      <c r="G203" t="e">
        <v>#REF!</v>
      </c>
      <c r="H203" t="e">
        <v>#REF!</v>
      </c>
      <c r="I203" t="e">
        <v>#REF!</v>
      </c>
      <c r="J203" t="e">
        <v>#REF!</v>
      </c>
      <c r="K203" t="e">
        <v>#REF!</v>
      </c>
      <c r="L203" t="e">
        <v>#REF!</v>
      </c>
      <c r="M203" t="e">
        <v>#REF!</v>
      </c>
      <c r="N203" t="e">
        <v>#REF!</v>
      </c>
      <c r="O203" t="e">
        <v>#REF!</v>
      </c>
      <c r="P203" t="e">
        <v>#REF!</v>
      </c>
      <c r="Q203" t="e">
        <v>#REF!</v>
      </c>
      <c r="R203" t="e">
        <v>#REF!</v>
      </c>
      <c r="S203" t="e">
        <v>#REF!</v>
      </c>
      <c r="T203" t="e">
        <v>#REF!</v>
      </c>
      <c r="U203" t="e">
        <v>#REF!</v>
      </c>
      <c r="V203" t="e">
        <v>#REF!</v>
      </c>
    </row>
    <row r="204" spans="1:22" x14ac:dyDescent="0.2">
      <c r="A204" t="s">
        <v>201</v>
      </c>
      <c r="B204" t="s">
        <v>1250</v>
      </c>
      <c r="C204" t="s">
        <v>104</v>
      </c>
      <c r="D204">
        <v>99991231</v>
      </c>
      <c r="F204" t="s">
        <v>1260</v>
      </c>
      <c r="G204" t="e">
        <v>#REF!</v>
      </c>
      <c r="H204" t="e">
        <v>#REF!</v>
      </c>
      <c r="I204" t="e">
        <v>#REF!</v>
      </c>
      <c r="J204" t="e">
        <v>#REF!</v>
      </c>
      <c r="K204" t="e">
        <v>#REF!</v>
      </c>
      <c r="L204" t="e">
        <v>#REF!</v>
      </c>
      <c r="M204" t="e">
        <v>#REF!</v>
      </c>
      <c r="N204" t="e">
        <v>#REF!</v>
      </c>
      <c r="O204" t="e">
        <v>#REF!</v>
      </c>
      <c r="P204" t="e">
        <v>#REF!</v>
      </c>
      <c r="Q204" t="e">
        <v>#REF!</v>
      </c>
      <c r="R204" t="e">
        <v>#REF!</v>
      </c>
      <c r="S204" t="e">
        <v>#REF!</v>
      </c>
      <c r="T204" t="e">
        <v>#REF!</v>
      </c>
      <c r="U204" t="e">
        <v>#REF!</v>
      </c>
      <c r="V204" t="e">
        <v>#REF!</v>
      </c>
    </row>
    <row r="205" spans="1:22" x14ac:dyDescent="0.2">
      <c r="A205" t="s">
        <v>201</v>
      </c>
      <c r="B205" t="s">
        <v>1250</v>
      </c>
      <c r="C205" t="s">
        <v>105</v>
      </c>
      <c r="D205">
        <v>99991231</v>
      </c>
      <c r="F205" t="s">
        <v>1261</v>
      </c>
      <c r="G205" t="e">
        <v>#REF!</v>
      </c>
      <c r="H205" t="e">
        <v>#REF!</v>
      </c>
      <c r="I205" t="e">
        <v>#REF!</v>
      </c>
      <c r="J205" t="e">
        <v>#REF!</v>
      </c>
      <c r="K205" t="e">
        <v>#REF!</v>
      </c>
      <c r="L205" t="e">
        <v>#REF!</v>
      </c>
      <c r="M205" t="e">
        <v>#REF!</v>
      </c>
      <c r="N205" t="e">
        <v>#REF!</v>
      </c>
      <c r="O205" t="e">
        <v>#REF!</v>
      </c>
      <c r="P205" t="e">
        <v>#REF!</v>
      </c>
      <c r="Q205" t="e">
        <v>#REF!</v>
      </c>
      <c r="R205" t="e">
        <v>#REF!</v>
      </c>
      <c r="S205" t="e">
        <v>#REF!</v>
      </c>
      <c r="T205" t="e">
        <v>#REF!</v>
      </c>
      <c r="U205" t="e">
        <v>#REF!</v>
      </c>
      <c r="V205" t="e">
        <v>#REF!</v>
      </c>
    </row>
    <row r="206" spans="1:22" x14ac:dyDescent="0.2">
      <c r="A206" t="s">
        <v>201</v>
      </c>
      <c r="B206" t="s">
        <v>1250</v>
      </c>
      <c r="C206" t="s">
        <v>106</v>
      </c>
      <c r="D206">
        <v>99991231</v>
      </c>
      <c r="F206" t="s">
        <v>1262</v>
      </c>
      <c r="G206" t="e">
        <v>#REF!</v>
      </c>
      <c r="H206" t="e">
        <v>#REF!</v>
      </c>
      <c r="I206" t="e">
        <v>#REF!</v>
      </c>
      <c r="J206" t="e">
        <v>#REF!</v>
      </c>
      <c r="K206" t="e">
        <v>#REF!</v>
      </c>
      <c r="L206" t="e">
        <v>#REF!</v>
      </c>
      <c r="M206" t="e">
        <v>#REF!</v>
      </c>
      <c r="N206" t="e">
        <v>#REF!</v>
      </c>
      <c r="O206" t="e">
        <v>#REF!</v>
      </c>
      <c r="P206" t="e">
        <v>#REF!</v>
      </c>
      <c r="Q206" t="e">
        <v>#REF!</v>
      </c>
      <c r="R206" t="e">
        <v>#REF!</v>
      </c>
      <c r="S206" t="e">
        <v>#REF!</v>
      </c>
      <c r="T206" t="e">
        <v>#REF!</v>
      </c>
      <c r="U206" t="e">
        <v>#REF!</v>
      </c>
      <c r="V206" t="e">
        <v>#REF!</v>
      </c>
    </row>
    <row r="207" spans="1:22" x14ac:dyDescent="0.2">
      <c r="A207" t="s">
        <v>201</v>
      </c>
      <c r="B207" t="s">
        <v>1250</v>
      </c>
      <c r="C207" t="s">
        <v>79</v>
      </c>
      <c r="D207">
        <v>99991231</v>
      </c>
      <c r="F207" t="s">
        <v>1263</v>
      </c>
      <c r="G207" t="e">
        <v>#REF!</v>
      </c>
      <c r="H207" t="e">
        <v>#REF!</v>
      </c>
      <c r="I207" t="e">
        <v>#REF!</v>
      </c>
      <c r="J207" t="e">
        <v>#REF!</v>
      </c>
      <c r="K207" t="e">
        <v>#REF!</v>
      </c>
      <c r="L207" t="e">
        <v>#REF!</v>
      </c>
      <c r="M207" t="e">
        <v>#REF!</v>
      </c>
      <c r="N207" t="e">
        <v>#REF!</v>
      </c>
      <c r="O207" t="e">
        <v>#REF!</v>
      </c>
      <c r="P207" t="e">
        <v>#REF!</v>
      </c>
      <c r="Q207" t="e">
        <v>#REF!</v>
      </c>
      <c r="R207" t="e">
        <v>#REF!</v>
      </c>
      <c r="S207" t="e">
        <v>#REF!</v>
      </c>
      <c r="T207" t="e">
        <v>#REF!</v>
      </c>
      <c r="U207" t="e">
        <v>#REF!</v>
      </c>
      <c r="V207" t="e">
        <v>#REF!</v>
      </c>
    </row>
    <row r="208" spans="1:22" x14ac:dyDescent="0.2">
      <c r="A208" t="s">
        <v>201</v>
      </c>
      <c r="B208" t="s">
        <v>1250</v>
      </c>
      <c r="C208" t="s">
        <v>159</v>
      </c>
      <c r="D208">
        <v>99991231</v>
      </c>
      <c r="F208" t="s">
        <v>1264</v>
      </c>
      <c r="G208" t="e">
        <v>#REF!</v>
      </c>
      <c r="H208" t="e">
        <v>#REF!</v>
      </c>
      <c r="I208" t="e">
        <v>#REF!</v>
      </c>
      <c r="J208" t="e">
        <v>#REF!</v>
      </c>
      <c r="K208" t="e">
        <v>#REF!</v>
      </c>
      <c r="L208" t="e">
        <v>#REF!</v>
      </c>
      <c r="M208" t="e">
        <v>#REF!</v>
      </c>
      <c r="N208" t="e">
        <v>#REF!</v>
      </c>
      <c r="O208" t="e">
        <v>#REF!</v>
      </c>
      <c r="P208" t="e">
        <v>#REF!</v>
      </c>
      <c r="Q208" t="e">
        <v>#REF!</v>
      </c>
      <c r="R208" t="e">
        <v>#REF!</v>
      </c>
      <c r="S208" t="e">
        <v>#REF!</v>
      </c>
      <c r="T208" t="e">
        <v>#REF!</v>
      </c>
      <c r="U208" t="e">
        <v>#REF!</v>
      </c>
      <c r="V208" t="e">
        <v>#REF!</v>
      </c>
    </row>
    <row r="209" spans="1:22" x14ac:dyDescent="0.2">
      <c r="A209" t="s">
        <v>201</v>
      </c>
      <c r="B209" t="s">
        <v>1250</v>
      </c>
      <c r="C209" t="s">
        <v>107</v>
      </c>
      <c r="D209">
        <v>99991231</v>
      </c>
      <c r="F209" t="s">
        <v>1265</v>
      </c>
      <c r="G209" t="e">
        <v>#REF!</v>
      </c>
      <c r="H209" t="e">
        <v>#REF!</v>
      </c>
      <c r="I209" t="e">
        <v>#REF!</v>
      </c>
      <c r="J209" t="e">
        <v>#REF!</v>
      </c>
      <c r="K209" t="e">
        <v>#REF!</v>
      </c>
      <c r="L209" t="e">
        <v>#REF!</v>
      </c>
      <c r="M209" t="e">
        <v>#REF!</v>
      </c>
      <c r="N209" t="e">
        <v>#REF!</v>
      </c>
      <c r="O209" t="e">
        <v>#REF!</v>
      </c>
      <c r="P209" t="e">
        <v>#REF!</v>
      </c>
      <c r="Q209" t="e">
        <v>#REF!</v>
      </c>
      <c r="R209" t="e">
        <v>#REF!</v>
      </c>
      <c r="S209" t="e">
        <v>#REF!</v>
      </c>
      <c r="T209" t="e">
        <v>#REF!</v>
      </c>
      <c r="U209" t="e">
        <v>#REF!</v>
      </c>
      <c r="V209" t="e">
        <v>#REF!</v>
      </c>
    </row>
    <row r="210" spans="1:22" x14ac:dyDescent="0.2">
      <c r="A210" t="s">
        <v>201</v>
      </c>
      <c r="B210" t="s">
        <v>1250</v>
      </c>
      <c r="C210" t="s">
        <v>108</v>
      </c>
      <c r="D210">
        <v>99991231</v>
      </c>
      <c r="F210" t="s">
        <v>1266</v>
      </c>
      <c r="G210" t="e">
        <v>#REF!</v>
      </c>
      <c r="H210" t="e">
        <v>#REF!</v>
      </c>
      <c r="I210" t="e">
        <v>#REF!</v>
      </c>
      <c r="J210" t="e">
        <v>#REF!</v>
      </c>
      <c r="K210" t="e">
        <v>#REF!</v>
      </c>
      <c r="L210" t="e">
        <v>#REF!</v>
      </c>
      <c r="M210" t="e">
        <v>#REF!</v>
      </c>
      <c r="N210" t="e">
        <v>#REF!</v>
      </c>
      <c r="O210" t="e">
        <v>#REF!</v>
      </c>
      <c r="P210" t="e">
        <v>#REF!</v>
      </c>
      <c r="Q210" t="e">
        <v>#REF!</v>
      </c>
      <c r="R210" t="e">
        <v>#REF!</v>
      </c>
      <c r="S210" t="e">
        <v>#REF!</v>
      </c>
      <c r="T210" t="e">
        <v>#REF!</v>
      </c>
      <c r="U210" t="e">
        <v>#REF!</v>
      </c>
      <c r="V210" t="e">
        <v>#REF!</v>
      </c>
    </row>
    <row r="211" spans="1:22" x14ac:dyDescent="0.2">
      <c r="A211" t="s">
        <v>201</v>
      </c>
      <c r="B211" t="s">
        <v>1250</v>
      </c>
      <c r="C211" t="s">
        <v>109</v>
      </c>
      <c r="D211">
        <v>99991231</v>
      </c>
      <c r="F211" t="s">
        <v>1267</v>
      </c>
      <c r="G211" t="e">
        <v>#REF!</v>
      </c>
      <c r="H211" t="e">
        <v>#REF!</v>
      </c>
      <c r="I211" t="e">
        <v>#REF!</v>
      </c>
      <c r="J211" t="e">
        <v>#REF!</v>
      </c>
      <c r="K211" t="e">
        <v>#REF!</v>
      </c>
      <c r="L211" t="e">
        <v>#REF!</v>
      </c>
      <c r="M211" t="e">
        <v>#REF!</v>
      </c>
      <c r="N211" t="e">
        <v>#REF!</v>
      </c>
      <c r="O211" t="e">
        <v>#REF!</v>
      </c>
      <c r="P211" t="e">
        <v>#REF!</v>
      </c>
      <c r="Q211" t="e">
        <v>#REF!</v>
      </c>
      <c r="R211" t="e">
        <v>#REF!</v>
      </c>
      <c r="S211" t="e">
        <v>#REF!</v>
      </c>
      <c r="T211" t="e">
        <v>#REF!</v>
      </c>
      <c r="U211" t="e">
        <v>#REF!</v>
      </c>
      <c r="V211" t="e">
        <v>#REF!</v>
      </c>
    </row>
    <row r="212" spans="1:22" x14ac:dyDescent="0.2">
      <c r="A212" t="s">
        <v>201</v>
      </c>
      <c r="B212" t="s">
        <v>1250</v>
      </c>
      <c r="C212" t="s">
        <v>110</v>
      </c>
      <c r="D212">
        <v>99991231</v>
      </c>
      <c r="F212" t="s">
        <v>1268</v>
      </c>
      <c r="G212" t="e">
        <v>#REF!</v>
      </c>
      <c r="H212" t="e">
        <v>#REF!</v>
      </c>
      <c r="I212" t="e">
        <v>#REF!</v>
      </c>
      <c r="J212" t="e">
        <v>#REF!</v>
      </c>
      <c r="K212" t="e">
        <v>#REF!</v>
      </c>
      <c r="L212" t="e">
        <v>#REF!</v>
      </c>
      <c r="M212" t="e">
        <v>#REF!</v>
      </c>
      <c r="N212" t="e">
        <v>#REF!</v>
      </c>
      <c r="O212" t="e">
        <v>#REF!</v>
      </c>
      <c r="P212" t="e">
        <v>#REF!</v>
      </c>
      <c r="Q212" t="e">
        <v>#REF!</v>
      </c>
      <c r="R212" t="e">
        <v>#REF!</v>
      </c>
      <c r="S212" t="e">
        <v>#REF!</v>
      </c>
      <c r="T212" t="e">
        <v>#REF!</v>
      </c>
      <c r="U212" t="e">
        <v>#REF!</v>
      </c>
      <c r="V212" t="e">
        <v>#REF!</v>
      </c>
    </row>
    <row r="214" spans="1:22" x14ac:dyDescent="0.2">
      <c r="A214" t="s">
        <v>1024</v>
      </c>
      <c r="B214" t="s">
        <v>1269</v>
      </c>
      <c r="C214" t="s">
        <v>150</v>
      </c>
      <c r="D214">
        <v>99991231</v>
      </c>
      <c r="F214" t="s">
        <v>1270</v>
      </c>
      <c r="G214">
        <v>-4.9570000000000003E-2</v>
      </c>
      <c r="H214">
        <v>-3.8429999999999999E-2</v>
      </c>
      <c r="I214">
        <v>-5.9139999999999998E-2</v>
      </c>
      <c r="J214">
        <v>-3.0859999999999999E-2</v>
      </c>
      <c r="K214">
        <v>-1.7139999999999999E-2</v>
      </c>
      <c r="L214">
        <v>-1.357E-2</v>
      </c>
      <c r="M214">
        <v>-1.6289999999999999E-2</v>
      </c>
      <c r="N214">
        <v>-2.1999999999999999E-2</v>
      </c>
      <c r="O214">
        <v>-5.9429999999999997E-2</v>
      </c>
      <c r="P214">
        <v>-5.6570000000000002E-2</v>
      </c>
      <c r="Q214">
        <v>-6.8860000000000005E-2</v>
      </c>
      <c r="R214">
        <v>-8.3140000000000006E-2</v>
      </c>
      <c r="S214">
        <v>-4.0289999999999999E-2</v>
      </c>
      <c r="T214">
        <v>-2.2859999999999998E-2</v>
      </c>
      <c r="U214">
        <v>-2.4289999999999999E-2</v>
      </c>
      <c r="V214">
        <v>-6.5700000000000003E-3</v>
      </c>
    </row>
    <row r="215" spans="1:22" x14ac:dyDescent="0.2">
      <c r="A215" t="s">
        <v>1024</v>
      </c>
      <c r="B215" t="s">
        <v>1269</v>
      </c>
      <c r="C215" t="s">
        <v>93</v>
      </c>
      <c r="D215">
        <v>99991231</v>
      </c>
      <c r="F215" t="s">
        <v>1271</v>
      </c>
      <c r="G215">
        <v>-6.2E-2</v>
      </c>
      <c r="H215">
        <v>-4.2430000000000002E-2</v>
      </c>
      <c r="I215">
        <v>-6.0569999999999999E-2</v>
      </c>
      <c r="J215">
        <v>-2.5000000000000001E-2</v>
      </c>
      <c r="K215">
        <v>-2.1000000000000001E-2</v>
      </c>
      <c r="L215">
        <v>-1.3860000000000001E-2</v>
      </c>
      <c r="M215">
        <v>-8.9999999999999993E-3</v>
      </c>
      <c r="N215">
        <v>-9.7099999999999999E-3</v>
      </c>
      <c r="O215">
        <v>-4.5999999999999999E-2</v>
      </c>
      <c r="P215">
        <v>-4.1430000000000002E-2</v>
      </c>
      <c r="Q215">
        <v>-7.2859999999999994E-2</v>
      </c>
      <c r="R215">
        <v>-7.3289999999999994E-2</v>
      </c>
      <c r="S215">
        <v>-2.7570000000000001E-2</v>
      </c>
      <c r="T215">
        <v>-1.2290000000000001E-2</v>
      </c>
      <c r="U215">
        <v>-1.2999999999999999E-2</v>
      </c>
      <c r="V215">
        <v>-6.8599999999999998E-3</v>
      </c>
    </row>
    <row r="216" spans="1:22" x14ac:dyDescent="0.2">
      <c r="A216" t="s">
        <v>1024</v>
      </c>
      <c r="B216" t="s">
        <v>1269</v>
      </c>
      <c r="C216" t="s">
        <v>95</v>
      </c>
      <c r="D216">
        <v>99991231</v>
      </c>
      <c r="F216" t="s">
        <v>1272</v>
      </c>
      <c r="G216">
        <v>-5.2139999999999999E-2</v>
      </c>
      <c r="H216">
        <v>-7.2139999999999996E-2</v>
      </c>
      <c r="I216">
        <v>-4.4999999999999998E-2</v>
      </c>
      <c r="J216">
        <v>-2.8000000000000001E-2</v>
      </c>
      <c r="K216">
        <v>-2.8000000000000001E-2</v>
      </c>
      <c r="L216">
        <v>-2.086E-2</v>
      </c>
      <c r="M216">
        <v>-1.8710000000000001E-2</v>
      </c>
      <c r="N216">
        <v>-2.4E-2</v>
      </c>
      <c r="O216">
        <v>-6.8140000000000006E-2</v>
      </c>
      <c r="P216">
        <v>-4.8140000000000002E-2</v>
      </c>
      <c r="Q216">
        <v>-8.2570000000000005E-2</v>
      </c>
      <c r="R216">
        <v>-0.10971</v>
      </c>
      <c r="S216">
        <v>-0.10786</v>
      </c>
      <c r="T216">
        <v>-8.1140000000000004E-2</v>
      </c>
      <c r="U216">
        <v>-4.1860000000000001E-2</v>
      </c>
      <c r="V216">
        <v>-5.7099999999999998E-3</v>
      </c>
    </row>
    <row r="217" spans="1:22" x14ac:dyDescent="0.2">
      <c r="A217" t="s">
        <v>1024</v>
      </c>
      <c r="B217" t="s">
        <v>1269</v>
      </c>
      <c r="C217" t="s">
        <v>96</v>
      </c>
      <c r="D217">
        <v>99991231</v>
      </c>
      <c r="F217" t="s">
        <v>1273</v>
      </c>
      <c r="G217">
        <v>-2.657E-2</v>
      </c>
      <c r="H217">
        <v>-2.5000000000000001E-2</v>
      </c>
      <c r="I217">
        <v>-2.743E-2</v>
      </c>
      <c r="J217">
        <v>-2.2290000000000001E-2</v>
      </c>
      <c r="K217">
        <v>-1.7430000000000001E-2</v>
      </c>
      <c r="L217">
        <v>-1.6E-2</v>
      </c>
      <c r="M217">
        <v>-1.086E-2</v>
      </c>
      <c r="N217">
        <v>-1.129E-2</v>
      </c>
      <c r="O217">
        <v>-9.3429999999999999E-2</v>
      </c>
      <c r="P217">
        <v>-9.6290000000000001E-2</v>
      </c>
      <c r="Q217">
        <v>-0.12114</v>
      </c>
      <c r="R217">
        <v>-0.11086</v>
      </c>
      <c r="S217">
        <v>-8.8859999999999995E-2</v>
      </c>
      <c r="T217">
        <v>-6.9290000000000004E-2</v>
      </c>
      <c r="U217">
        <v>-4.1140000000000003E-2</v>
      </c>
      <c r="V217">
        <v>6.7099999999999998E-3</v>
      </c>
    </row>
    <row r="218" spans="1:22" x14ac:dyDescent="0.2">
      <c r="A218" t="s">
        <v>1024</v>
      </c>
      <c r="B218" t="s">
        <v>1269</v>
      </c>
      <c r="C218" t="s">
        <v>97</v>
      </c>
      <c r="D218">
        <v>99991231</v>
      </c>
      <c r="F218" t="s">
        <v>1274</v>
      </c>
      <c r="G218">
        <v>-2.2429999999999999E-2</v>
      </c>
      <c r="H218">
        <v>-2.8289999999999999E-2</v>
      </c>
      <c r="I218">
        <v>-2.5930000000000002E-2</v>
      </c>
      <c r="J218">
        <v>-1.5429999999999999E-2</v>
      </c>
      <c r="K218">
        <v>-1.2070000000000001E-2</v>
      </c>
      <c r="L218">
        <v>-1.171E-2</v>
      </c>
      <c r="M218">
        <v>-8.7100000000000007E-3</v>
      </c>
      <c r="N218">
        <v>-1.7000000000000001E-2</v>
      </c>
      <c r="O218">
        <v>-6.6860000000000003E-2</v>
      </c>
      <c r="P218">
        <v>-6.1859999999999998E-2</v>
      </c>
      <c r="Q218">
        <v>-7.5999999999999998E-2</v>
      </c>
      <c r="R218">
        <v>-6.7430000000000004E-2</v>
      </c>
      <c r="S218">
        <v>-5.1290000000000002E-2</v>
      </c>
      <c r="T218">
        <v>-3.057E-2</v>
      </c>
      <c r="U218">
        <v>-1.414E-2</v>
      </c>
      <c r="V218">
        <v>-9.5700000000000004E-3</v>
      </c>
    </row>
    <row r="219" spans="1:22" x14ac:dyDescent="0.2">
      <c r="A219" t="s">
        <v>1024</v>
      </c>
      <c r="B219" t="s">
        <v>1269</v>
      </c>
      <c r="C219" t="s">
        <v>38</v>
      </c>
      <c r="D219">
        <v>99991231</v>
      </c>
      <c r="F219" t="s">
        <v>1275</v>
      </c>
      <c r="G219">
        <v>-9.4999999999999998E-3</v>
      </c>
      <c r="H219">
        <v>-3.6000000000000002E-4</v>
      </c>
      <c r="I219">
        <v>3.3600000000000001E-3</v>
      </c>
      <c r="J219">
        <v>1.0710000000000001E-2</v>
      </c>
      <c r="K219">
        <v>1.0500000000000001E-2</v>
      </c>
      <c r="L219">
        <v>1.2290000000000001E-2</v>
      </c>
      <c r="M219">
        <v>1.529E-2</v>
      </c>
      <c r="N219">
        <v>1.521E-2</v>
      </c>
      <c r="O219">
        <v>3.8600000000000001E-3</v>
      </c>
      <c r="P219">
        <v>4.5700000000000003E-3</v>
      </c>
      <c r="Q219">
        <v>3.4299999999999999E-3</v>
      </c>
      <c r="R219">
        <v>1.1140000000000001E-2</v>
      </c>
      <c r="S219">
        <v>8.5699999999999995E-3</v>
      </c>
      <c r="T219">
        <v>1.6639999999999999E-2</v>
      </c>
      <c r="U219">
        <v>2.164E-2</v>
      </c>
      <c r="V219">
        <v>2.1000000000000001E-2</v>
      </c>
    </row>
    <row r="220" spans="1:22" x14ac:dyDescent="0.2">
      <c r="A220" t="s">
        <v>1024</v>
      </c>
      <c r="B220" t="s">
        <v>1269</v>
      </c>
      <c r="C220" t="s">
        <v>95</v>
      </c>
      <c r="D220" t="s">
        <v>151</v>
      </c>
      <c r="F220" t="s">
        <v>1013</v>
      </c>
      <c r="G220">
        <v>-4.6249999999999999E-2</v>
      </c>
      <c r="H220">
        <v>-0.02</v>
      </c>
      <c r="I220">
        <v>-1.4375000000000001E-2</v>
      </c>
      <c r="J220">
        <v>-5.0000000000000001E-3</v>
      </c>
      <c r="K220">
        <v>1.25E-3</v>
      </c>
      <c r="L220">
        <v>5.0000000000000001E-3</v>
      </c>
      <c r="M220">
        <v>1.2500000000000001E-2</v>
      </c>
      <c r="N220">
        <v>8.9999999999999993E-3</v>
      </c>
      <c r="O220">
        <v>0.01</v>
      </c>
      <c r="P220">
        <v>0.01</v>
      </c>
      <c r="Q220">
        <v>3.7499999999999999E-3</v>
      </c>
      <c r="R220">
        <v>0.01</v>
      </c>
      <c r="S220">
        <v>1.4999999999999999E-2</v>
      </c>
      <c r="T220">
        <v>0.02</v>
      </c>
      <c r="U220">
        <v>2.6249999999999999E-2</v>
      </c>
      <c r="V220">
        <v>2.1250000000000002E-2</v>
      </c>
    </row>
    <row r="221" spans="1:22" x14ac:dyDescent="0.2">
      <c r="A221" t="s">
        <v>1024</v>
      </c>
      <c r="B221" t="s">
        <v>1269</v>
      </c>
      <c r="C221" t="s">
        <v>96</v>
      </c>
      <c r="D221" t="s">
        <v>136</v>
      </c>
      <c r="F221" t="s">
        <v>1014</v>
      </c>
      <c r="G221">
        <v>-6.7000000000000004E-2</v>
      </c>
      <c r="H221">
        <v>-3.5499999999999997E-2</v>
      </c>
      <c r="I221">
        <v>-2.75E-2</v>
      </c>
      <c r="J221">
        <v>-1.4999999999999999E-2</v>
      </c>
      <c r="K221">
        <v>-7.4999999999999997E-3</v>
      </c>
      <c r="L221">
        <v>-2.5000000000000001E-3</v>
      </c>
      <c r="M221">
        <v>5.0000000000000001E-3</v>
      </c>
      <c r="N221">
        <v>5.4999999999999997E-3</v>
      </c>
      <c r="O221">
        <v>8.7500000000000008E-3</v>
      </c>
      <c r="P221">
        <v>1.125E-2</v>
      </c>
      <c r="Q221">
        <v>1.125E-2</v>
      </c>
      <c r="R221">
        <v>1.2500000000000001E-2</v>
      </c>
      <c r="S221">
        <v>1.7500000000000002E-2</v>
      </c>
      <c r="T221">
        <v>2.4375000000000001E-2</v>
      </c>
      <c r="U221">
        <v>0.03</v>
      </c>
      <c r="V221">
        <v>2.375E-2</v>
      </c>
    </row>
    <row r="222" spans="1:22" x14ac:dyDescent="0.2">
      <c r="A222" t="s">
        <v>1024</v>
      </c>
      <c r="B222" t="s">
        <v>1269</v>
      </c>
      <c r="C222" t="s">
        <v>97</v>
      </c>
      <c r="D222" t="s">
        <v>152</v>
      </c>
      <c r="F222" t="s">
        <v>1015</v>
      </c>
      <c r="G222">
        <v>-8.7499999999999994E-2</v>
      </c>
      <c r="H222">
        <v>-5.1499999999999997E-2</v>
      </c>
      <c r="I222">
        <v>-4.3499999999999997E-2</v>
      </c>
      <c r="J222">
        <v>-2.5000000000000001E-2</v>
      </c>
      <c r="K222">
        <v>-1.7500000000000002E-2</v>
      </c>
      <c r="L222">
        <v>-9.4999999999999998E-3</v>
      </c>
      <c r="M222">
        <v>1.2999999999999999E-3</v>
      </c>
      <c r="N222">
        <v>-4.0000000000000001E-3</v>
      </c>
      <c r="O222">
        <v>6.2500000000000003E-3</v>
      </c>
      <c r="P222">
        <v>1.4999999999999999E-2</v>
      </c>
      <c r="Q222">
        <v>1.4999999999999999E-2</v>
      </c>
      <c r="R222">
        <v>1.375E-2</v>
      </c>
      <c r="S222">
        <v>0.02</v>
      </c>
      <c r="T222">
        <v>2.6249999999999999E-2</v>
      </c>
      <c r="U222">
        <v>3.3750000000000002E-2</v>
      </c>
      <c r="V222">
        <v>2.6249999999999999E-2</v>
      </c>
    </row>
    <row r="223" spans="1:22" x14ac:dyDescent="0.2">
      <c r="A223" t="s">
        <v>1024</v>
      </c>
      <c r="B223" t="s">
        <v>1269</v>
      </c>
      <c r="C223" t="s">
        <v>153</v>
      </c>
      <c r="D223" t="s">
        <v>154</v>
      </c>
      <c r="F223" t="s">
        <v>1016</v>
      </c>
      <c r="G223">
        <v>-0.105</v>
      </c>
      <c r="H223">
        <v>-6.5000000000000002E-2</v>
      </c>
      <c r="I223">
        <v>-5.5E-2</v>
      </c>
      <c r="J223">
        <v>-3.5000000000000003E-2</v>
      </c>
      <c r="K223">
        <v>-2.75E-2</v>
      </c>
      <c r="L223">
        <v>-0.02</v>
      </c>
      <c r="M223">
        <v>-2.5000000000000001E-3</v>
      </c>
      <c r="N223">
        <v>-8.7500000000000008E-3</v>
      </c>
      <c r="O223">
        <v>6.2500000000000003E-3</v>
      </c>
      <c r="P223">
        <v>1.6250000000000001E-2</v>
      </c>
      <c r="Q223">
        <v>1.6250000000000001E-2</v>
      </c>
      <c r="R223">
        <v>1.4999999999999999E-2</v>
      </c>
      <c r="S223">
        <v>0.02</v>
      </c>
      <c r="T223">
        <v>3.5000000000000003E-2</v>
      </c>
      <c r="U223">
        <v>0.04</v>
      </c>
      <c r="V223">
        <v>2.75E-2</v>
      </c>
    </row>
    <row r="224" spans="1:22" x14ac:dyDescent="0.2">
      <c r="A224" t="s">
        <v>1024</v>
      </c>
      <c r="B224" t="s">
        <v>1269</v>
      </c>
      <c r="C224" t="s">
        <v>135</v>
      </c>
      <c r="D224" t="s">
        <v>137</v>
      </c>
      <c r="F224" t="s">
        <v>1017</v>
      </c>
      <c r="G224">
        <v>-0.12</v>
      </c>
      <c r="H224">
        <v>-0.08</v>
      </c>
      <c r="I224">
        <v>-7.2499999999999995E-2</v>
      </c>
      <c r="J224">
        <v>-4.4999999999999998E-2</v>
      </c>
      <c r="K224">
        <v>-3.5000000000000003E-2</v>
      </c>
      <c r="L224">
        <v>-2.8750000000000001E-2</v>
      </c>
      <c r="M224">
        <v>-5.0000000000000001E-3</v>
      </c>
      <c r="N224">
        <v>-1.375E-2</v>
      </c>
      <c r="O224">
        <v>3.7499999999999999E-3</v>
      </c>
      <c r="P224">
        <v>1.8749999999999999E-2</v>
      </c>
      <c r="Q224">
        <v>1.8749999999999999E-2</v>
      </c>
      <c r="R224">
        <v>1.6250000000000001E-2</v>
      </c>
      <c r="S224">
        <v>2.5000000000000001E-2</v>
      </c>
      <c r="T224">
        <v>3.7499999999999999E-2</v>
      </c>
      <c r="U224">
        <v>4.2500000000000003E-2</v>
      </c>
      <c r="V224">
        <v>2.8750000000000001E-2</v>
      </c>
    </row>
    <row r="225" spans="1:22" x14ac:dyDescent="0.2">
      <c r="A225" t="s">
        <v>1024</v>
      </c>
      <c r="B225" t="s">
        <v>1269</v>
      </c>
      <c r="C225" t="s">
        <v>38</v>
      </c>
      <c r="D225" t="s">
        <v>155</v>
      </c>
      <c r="F225" t="s">
        <v>1018</v>
      </c>
      <c r="G225">
        <v>-0.14050000000000001</v>
      </c>
      <c r="H225">
        <v>-0.09</v>
      </c>
      <c r="I225">
        <v>-0.08</v>
      </c>
      <c r="J225">
        <v>-5.5E-2</v>
      </c>
      <c r="K225">
        <v>-4.4999999999999998E-2</v>
      </c>
      <c r="L225">
        <v>-3.5000000000000003E-2</v>
      </c>
      <c r="M225">
        <v>-1.2500000000000001E-2</v>
      </c>
      <c r="N225">
        <v>-2.1250000000000002E-2</v>
      </c>
      <c r="O225">
        <v>2.5000000000000001E-3</v>
      </c>
      <c r="P225">
        <v>0.02</v>
      </c>
      <c r="Q225">
        <v>0.02</v>
      </c>
      <c r="R225">
        <v>1.8499999999999999E-2</v>
      </c>
      <c r="S225">
        <v>2.5999999999999999E-2</v>
      </c>
      <c r="T225">
        <v>4.0500000000000001E-2</v>
      </c>
      <c r="U225">
        <v>4.4999999999999998E-2</v>
      </c>
      <c r="V225">
        <v>3.125E-2</v>
      </c>
    </row>
    <row r="226" spans="1:22" x14ac:dyDescent="0.2">
      <c r="A226" t="s">
        <v>1024</v>
      </c>
      <c r="B226" t="s">
        <v>1269</v>
      </c>
      <c r="C226" t="s">
        <v>155</v>
      </c>
      <c r="D226" t="s">
        <v>156</v>
      </c>
      <c r="F226" t="s">
        <v>1070</v>
      </c>
      <c r="G226">
        <v>-0.1895</v>
      </c>
      <c r="H226">
        <v>-0.12</v>
      </c>
      <c r="I226">
        <v>-0.14000000000000001</v>
      </c>
      <c r="J226">
        <v>-0.105</v>
      </c>
      <c r="K226">
        <v>-0.1</v>
      </c>
      <c r="L226">
        <v>-8.0500000000000002E-2</v>
      </c>
      <c r="M226">
        <v>-3.2500000000000001E-2</v>
      </c>
      <c r="N226">
        <v>-4.8750000000000002E-2</v>
      </c>
      <c r="O226">
        <v>-1.6500000000000001E-2</v>
      </c>
      <c r="P226">
        <v>1.4999999999999999E-2</v>
      </c>
      <c r="Q226">
        <v>3.3750000000000002E-2</v>
      </c>
      <c r="R226">
        <v>3.3750000000000002E-2</v>
      </c>
      <c r="S226">
        <v>3.3750000000000002E-2</v>
      </c>
      <c r="T226">
        <v>0.06</v>
      </c>
      <c r="U226">
        <v>6.7500000000000004E-2</v>
      </c>
      <c r="V226">
        <v>3.6249999999999998E-2</v>
      </c>
    </row>
    <row r="227" spans="1:22" x14ac:dyDescent="0.2">
      <c r="A227" t="s">
        <v>1024</v>
      </c>
      <c r="B227" t="s">
        <v>1269</v>
      </c>
      <c r="C227" t="s">
        <v>157</v>
      </c>
      <c r="D227">
        <v>99991231</v>
      </c>
      <c r="F227" t="s">
        <v>1276</v>
      </c>
      <c r="G227">
        <v>-0.13750000000000001</v>
      </c>
      <c r="H227">
        <v>-8.5000000000000006E-2</v>
      </c>
      <c r="I227">
        <v>-9.7500000000000003E-2</v>
      </c>
      <c r="J227">
        <v>-7.0000000000000007E-2</v>
      </c>
      <c r="K227">
        <v>-6.25E-2</v>
      </c>
      <c r="L227">
        <v>-5.2499999999999998E-2</v>
      </c>
      <c r="M227">
        <v>-0.02</v>
      </c>
      <c r="N227">
        <v>-2.75E-2</v>
      </c>
      <c r="O227">
        <v>-0.01</v>
      </c>
      <c r="P227">
        <v>1.4999999999999999E-2</v>
      </c>
      <c r="Q227">
        <v>2.2499999999999999E-2</v>
      </c>
      <c r="R227">
        <v>2.5000000000000001E-2</v>
      </c>
      <c r="S227">
        <v>0.03</v>
      </c>
      <c r="T227">
        <v>5.2499999999999998E-2</v>
      </c>
      <c r="U227">
        <v>5.7500000000000002E-2</v>
      </c>
      <c r="V227">
        <v>3.2500000000000001E-2</v>
      </c>
    </row>
    <row r="228" spans="1:22" x14ac:dyDescent="0.2">
      <c r="A228" t="s">
        <v>1024</v>
      </c>
      <c r="B228" t="s">
        <v>1269</v>
      </c>
      <c r="C228" t="s">
        <v>99</v>
      </c>
      <c r="D228">
        <v>99991231</v>
      </c>
      <c r="F228" t="s">
        <v>1277</v>
      </c>
      <c r="G228">
        <v>-0.16</v>
      </c>
      <c r="H228">
        <v>-9.2499999999999999E-2</v>
      </c>
      <c r="I228">
        <v>-0.115</v>
      </c>
      <c r="J228">
        <v>-8.5000000000000006E-2</v>
      </c>
      <c r="K228">
        <v>-7.4999999999999997E-2</v>
      </c>
      <c r="L228">
        <v>-6.7500000000000004E-2</v>
      </c>
      <c r="M228">
        <v>-3.2500000000000001E-2</v>
      </c>
      <c r="N228">
        <v>-3.7499999999999999E-2</v>
      </c>
      <c r="O228">
        <v>-1.4999999999999999E-2</v>
      </c>
      <c r="P228">
        <v>1.4999999999999999E-2</v>
      </c>
      <c r="Q228">
        <v>3.5000000000000003E-2</v>
      </c>
      <c r="R228">
        <v>3.7499999999999999E-2</v>
      </c>
      <c r="S228">
        <v>4.2500000000000003E-2</v>
      </c>
      <c r="T228">
        <v>7.2499999999999995E-2</v>
      </c>
      <c r="U228">
        <v>7.4999999999999997E-2</v>
      </c>
      <c r="V228">
        <v>0.04</v>
      </c>
    </row>
    <row r="229" spans="1:22" x14ac:dyDescent="0.2">
      <c r="A229" t="s">
        <v>1024</v>
      </c>
      <c r="B229" t="s">
        <v>1269</v>
      </c>
      <c r="C229" t="s">
        <v>101</v>
      </c>
      <c r="D229">
        <v>99991231</v>
      </c>
      <c r="F229" t="s">
        <v>1278</v>
      </c>
      <c r="G229">
        <v>-0.16250000000000001</v>
      </c>
      <c r="H229">
        <v>-8.2500000000000004E-2</v>
      </c>
      <c r="I229">
        <v>-0.1125</v>
      </c>
      <c r="J229">
        <v>-7.7499999999999999E-2</v>
      </c>
      <c r="K229">
        <v>-7.2499999999999995E-2</v>
      </c>
      <c r="L229">
        <v>-6.5000000000000002E-2</v>
      </c>
      <c r="M229">
        <v>-3.2500000000000001E-2</v>
      </c>
      <c r="N229">
        <v>-3.2500000000000001E-2</v>
      </c>
      <c r="O229">
        <v>-1.2500000000000001E-2</v>
      </c>
      <c r="P229">
        <v>2.5000000000000001E-2</v>
      </c>
      <c r="Q229">
        <v>0.05</v>
      </c>
      <c r="R229">
        <v>5.2499999999999998E-2</v>
      </c>
      <c r="S229">
        <v>6.25E-2</v>
      </c>
      <c r="T229">
        <v>9.5000000000000001E-2</v>
      </c>
      <c r="U229">
        <v>0.1</v>
      </c>
      <c r="V229">
        <v>5.2499999999999998E-2</v>
      </c>
    </row>
    <row r="230" spans="1:22" x14ac:dyDescent="0.2">
      <c r="A230" t="s">
        <v>1024</v>
      </c>
      <c r="B230" t="s">
        <v>1269</v>
      </c>
      <c r="C230" t="s">
        <v>102</v>
      </c>
      <c r="D230">
        <v>99991231</v>
      </c>
      <c r="F230" t="s">
        <v>1279</v>
      </c>
      <c r="G230">
        <v>-0.1525</v>
      </c>
      <c r="H230">
        <v>-6.25E-2</v>
      </c>
      <c r="I230">
        <v>-0.1</v>
      </c>
      <c r="J230">
        <v>-6.25E-2</v>
      </c>
      <c r="K230">
        <v>-6.25E-2</v>
      </c>
      <c r="L230">
        <v>-5.5E-2</v>
      </c>
      <c r="M230">
        <v>-2.5000000000000001E-2</v>
      </c>
      <c r="N230">
        <v>-2.2499999999999999E-2</v>
      </c>
      <c r="O230">
        <v>-2.5000000000000001E-3</v>
      </c>
      <c r="P230">
        <v>3.7499999999999999E-2</v>
      </c>
      <c r="Q230">
        <v>6.7500000000000004E-2</v>
      </c>
      <c r="R230">
        <v>7.0000000000000007E-2</v>
      </c>
      <c r="S230">
        <v>8.5000000000000006E-2</v>
      </c>
      <c r="T230">
        <v>0.1225</v>
      </c>
      <c r="U230">
        <v>0.125</v>
      </c>
      <c r="V230">
        <v>7.0000000000000007E-2</v>
      </c>
    </row>
    <row r="231" spans="1:22" x14ac:dyDescent="0.2">
      <c r="A231" t="s">
        <v>1024</v>
      </c>
      <c r="B231" t="s">
        <v>1269</v>
      </c>
      <c r="C231" t="s">
        <v>103</v>
      </c>
      <c r="D231">
        <v>99991231</v>
      </c>
      <c r="F231" t="s">
        <v>1280</v>
      </c>
      <c r="G231">
        <v>-0.13500000000000001</v>
      </c>
      <c r="H231">
        <v>-3.7499999999999999E-2</v>
      </c>
      <c r="I231">
        <v>-8.2500000000000004E-2</v>
      </c>
      <c r="J231">
        <v>-4.2500000000000003E-2</v>
      </c>
      <c r="K231">
        <v>-4.4999999999999998E-2</v>
      </c>
      <c r="L231">
        <v>-3.7499999999999999E-2</v>
      </c>
      <c r="M231">
        <v>-1.2500000000000001E-2</v>
      </c>
      <c r="N231">
        <v>-7.4999999999999997E-3</v>
      </c>
      <c r="O231">
        <v>0.01</v>
      </c>
      <c r="P231">
        <v>5.2499999999999998E-2</v>
      </c>
      <c r="Q231">
        <v>8.7499999999999994E-2</v>
      </c>
      <c r="R231">
        <v>9.2499999999999999E-2</v>
      </c>
      <c r="S231">
        <v>0.11</v>
      </c>
      <c r="T231">
        <v>0.1525</v>
      </c>
      <c r="U231">
        <v>0.1525</v>
      </c>
      <c r="V231">
        <v>0.09</v>
      </c>
    </row>
    <row r="232" spans="1:22" x14ac:dyDescent="0.2">
      <c r="A232" t="s">
        <v>1024</v>
      </c>
      <c r="B232" t="s">
        <v>1269</v>
      </c>
      <c r="C232" t="s">
        <v>104</v>
      </c>
      <c r="D232">
        <v>99991231</v>
      </c>
      <c r="F232" t="s">
        <v>1281</v>
      </c>
      <c r="G232">
        <v>-0.105</v>
      </c>
      <c r="H232">
        <v>-0.01</v>
      </c>
      <c r="I232">
        <v>-5.5E-2</v>
      </c>
      <c r="J232">
        <v>-1.7500000000000002E-2</v>
      </c>
      <c r="K232">
        <v>-2.2499999999999999E-2</v>
      </c>
      <c r="L232">
        <v>-1.4999999999999999E-2</v>
      </c>
      <c r="M232">
        <v>5.0000000000000001E-3</v>
      </c>
      <c r="N232">
        <v>1.2500000000000001E-2</v>
      </c>
      <c r="O232">
        <v>0.03</v>
      </c>
      <c r="P232">
        <v>7.0000000000000007E-2</v>
      </c>
      <c r="Q232">
        <v>0.11</v>
      </c>
      <c r="R232">
        <v>0.115</v>
      </c>
      <c r="S232">
        <v>0.14000000000000001</v>
      </c>
      <c r="T232">
        <v>0.1825</v>
      </c>
      <c r="U232">
        <v>0.1825</v>
      </c>
      <c r="V232">
        <v>0.115</v>
      </c>
    </row>
    <row r="233" spans="1:22" x14ac:dyDescent="0.2">
      <c r="A233" t="s">
        <v>1024</v>
      </c>
      <c r="B233" t="s">
        <v>1269</v>
      </c>
      <c r="C233" t="s">
        <v>105</v>
      </c>
      <c r="D233">
        <v>99991231</v>
      </c>
      <c r="F233" t="s">
        <v>1282</v>
      </c>
      <c r="G233">
        <v>-0.08</v>
      </c>
      <c r="H233">
        <v>0.02</v>
      </c>
      <c r="I233">
        <v>-2.5000000000000001E-2</v>
      </c>
      <c r="J233">
        <v>1.4999999999999999E-2</v>
      </c>
      <c r="K233">
        <v>7.4999999999999997E-3</v>
      </c>
      <c r="L233">
        <v>1.2500000000000001E-2</v>
      </c>
      <c r="M233">
        <v>0.03</v>
      </c>
      <c r="N233">
        <v>3.7499999999999999E-2</v>
      </c>
      <c r="O233">
        <v>5.5E-2</v>
      </c>
      <c r="P233">
        <v>9.2499999999999999E-2</v>
      </c>
      <c r="Q233">
        <v>0.13500000000000001</v>
      </c>
      <c r="R233">
        <v>0.14000000000000001</v>
      </c>
      <c r="S233">
        <v>0.17249999999999999</v>
      </c>
      <c r="T233">
        <v>0.21249999999999999</v>
      </c>
      <c r="U233">
        <v>0.215</v>
      </c>
      <c r="V233">
        <v>0.14499999999999999</v>
      </c>
    </row>
    <row r="234" spans="1:22" x14ac:dyDescent="0.2">
      <c r="A234" t="s">
        <v>1024</v>
      </c>
      <c r="B234" t="s">
        <v>1269</v>
      </c>
      <c r="C234" t="s">
        <v>106</v>
      </c>
      <c r="D234">
        <v>99991231</v>
      </c>
      <c r="F234" t="s">
        <v>1283</v>
      </c>
      <c r="G234">
        <v>-5.5E-2</v>
      </c>
      <c r="H234">
        <v>5.2499999999999998E-2</v>
      </c>
      <c r="I234">
        <v>0.01</v>
      </c>
      <c r="J234">
        <v>0.05</v>
      </c>
      <c r="K234">
        <v>0.04</v>
      </c>
      <c r="L234">
        <v>4.4999999999999998E-2</v>
      </c>
      <c r="M234">
        <v>5.5E-2</v>
      </c>
      <c r="N234">
        <v>6.5000000000000002E-2</v>
      </c>
      <c r="O234">
        <v>8.2500000000000004E-2</v>
      </c>
      <c r="P234">
        <v>0.12</v>
      </c>
      <c r="Q234">
        <v>0.16</v>
      </c>
      <c r="R234">
        <v>0.16750000000000001</v>
      </c>
      <c r="S234">
        <v>0.20499999999999999</v>
      </c>
      <c r="T234">
        <v>0.24249999999999999</v>
      </c>
      <c r="U234">
        <v>0.245</v>
      </c>
      <c r="V234">
        <v>0.17749999999999999</v>
      </c>
    </row>
    <row r="235" spans="1:22" x14ac:dyDescent="0.2">
      <c r="A235" t="s">
        <v>1024</v>
      </c>
      <c r="B235" t="s">
        <v>1269</v>
      </c>
      <c r="C235" t="s">
        <v>79</v>
      </c>
      <c r="D235">
        <v>99991231</v>
      </c>
      <c r="F235" t="s">
        <v>1284</v>
      </c>
      <c r="G235">
        <v>-0.03</v>
      </c>
      <c r="H235">
        <v>8.5000000000000006E-2</v>
      </c>
      <c r="I235">
        <v>4.4999999999999998E-2</v>
      </c>
      <c r="J235">
        <v>8.7499999999999994E-2</v>
      </c>
      <c r="K235">
        <v>7.4999999999999997E-2</v>
      </c>
      <c r="L235">
        <v>0.08</v>
      </c>
      <c r="M235">
        <v>8.5000000000000006E-2</v>
      </c>
      <c r="N235">
        <v>9.7500000000000003E-2</v>
      </c>
      <c r="O235">
        <v>0.1125</v>
      </c>
      <c r="P235">
        <v>0.15</v>
      </c>
      <c r="Q235">
        <v>0.19</v>
      </c>
      <c r="R235">
        <v>0.19500000000000001</v>
      </c>
      <c r="S235">
        <v>0.24</v>
      </c>
      <c r="T235">
        <v>0.27500000000000002</v>
      </c>
      <c r="U235">
        <v>0.27750000000000002</v>
      </c>
      <c r="V235">
        <v>0.215</v>
      </c>
    </row>
    <row r="236" spans="1:22" x14ac:dyDescent="0.2">
      <c r="A236" t="s">
        <v>1024</v>
      </c>
      <c r="B236" t="s">
        <v>1269</v>
      </c>
      <c r="C236" t="s">
        <v>159</v>
      </c>
      <c r="D236">
        <v>99991231</v>
      </c>
      <c r="F236" t="s">
        <v>1285</v>
      </c>
      <c r="G236">
        <v>0.02</v>
      </c>
      <c r="H236">
        <v>0.155</v>
      </c>
      <c r="I236">
        <v>0.1225</v>
      </c>
      <c r="J236">
        <v>0.16750000000000001</v>
      </c>
      <c r="K236">
        <v>0.1525</v>
      </c>
      <c r="L236">
        <v>0.16</v>
      </c>
      <c r="M236">
        <v>0.15</v>
      </c>
      <c r="N236">
        <v>0.16750000000000001</v>
      </c>
      <c r="O236">
        <v>0.1825</v>
      </c>
      <c r="P236">
        <v>0.22</v>
      </c>
      <c r="Q236">
        <v>0.25750000000000001</v>
      </c>
      <c r="R236">
        <v>0.26500000000000001</v>
      </c>
      <c r="S236">
        <v>0.3175</v>
      </c>
      <c r="T236">
        <v>0.35</v>
      </c>
      <c r="U236">
        <v>0.35249999999999998</v>
      </c>
      <c r="V236">
        <v>0.29749999999999999</v>
      </c>
    </row>
    <row r="237" spans="1:22" x14ac:dyDescent="0.2">
      <c r="A237" t="s">
        <v>1024</v>
      </c>
      <c r="B237" t="s">
        <v>1269</v>
      </c>
      <c r="C237" t="s">
        <v>107</v>
      </c>
      <c r="D237">
        <v>99991231</v>
      </c>
      <c r="F237" t="s">
        <v>1286</v>
      </c>
      <c r="G237">
        <v>8.5000000000000006E-2</v>
      </c>
      <c r="H237">
        <v>0.26</v>
      </c>
      <c r="I237">
        <v>0.23499999999999999</v>
      </c>
      <c r="J237">
        <v>0.29249999999999998</v>
      </c>
      <c r="K237">
        <v>0.27500000000000002</v>
      </c>
      <c r="L237">
        <v>0.28499999999999998</v>
      </c>
      <c r="M237">
        <v>0.26250000000000001</v>
      </c>
      <c r="N237">
        <v>0.28249999999999997</v>
      </c>
      <c r="O237">
        <v>0.3</v>
      </c>
      <c r="P237">
        <v>0.34</v>
      </c>
      <c r="Q237">
        <v>0.38</v>
      </c>
      <c r="R237">
        <v>0.38750000000000001</v>
      </c>
      <c r="S237">
        <v>0.46250000000000002</v>
      </c>
      <c r="T237">
        <v>0.48249999999999998</v>
      </c>
      <c r="U237">
        <v>0.49</v>
      </c>
      <c r="V237">
        <v>0.45</v>
      </c>
    </row>
    <row r="238" spans="1:22" x14ac:dyDescent="0.2">
      <c r="A238" t="s">
        <v>1024</v>
      </c>
      <c r="B238" t="s">
        <v>1269</v>
      </c>
      <c r="C238" t="s">
        <v>108</v>
      </c>
      <c r="D238">
        <v>99991231</v>
      </c>
      <c r="F238" t="s">
        <v>1287</v>
      </c>
      <c r="G238">
        <v>0.155</v>
      </c>
      <c r="H238">
        <v>0.39500000000000002</v>
      </c>
      <c r="I238">
        <v>0.37</v>
      </c>
      <c r="J238">
        <v>0.44750000000000001</v>
      </c>
      <c r="K238">
        <v>0.42499999999999999</v>
      </c>
      <c r="L238">
        <v>0.44</v>
      </c>
      <c r="M238">
        <v>0.40749999999999997</v>
      </c>
      <c r="N238">
        <v>0.4325</v>
      </c>
      <c r="O238">
        <v>0.45750000000000002</v>
      </c>
      <c r="P238">
        <v>0.5</v>
      </c>
      <c r="Q238">
        <v>0.54749999999999999</v>
      </c>
      <c r="R238">
        <v>0.56000000000000005</v>
      </c>
      <c r="S238">
        <v>0.66749999999999998</v>
      </c>
      <c r="T238">
        <v>0.66500000000000004</v>
      </c>
      <c r="U238">
        <v>0.67249999999999999</v>
      </c>
      <c r="V238">
        <v>0.66249999999999998</v>
      </c>
    </row>
    <row r="239" spans="1:22" x14ac:dyDescent="0.2">
      <c r="A239" t="s">
        <v>1024</v>
      </c>
      <c r="B239" t="s">
        <v>1269</v>
      </c>
      <c r="C239" t="s">
        <v>109</v>
      </c>
      <c r="D239">
        <v>99991231</v>
      </c>
      <c r="F239" t="s">
        <v>1288</v>
      </c>
      <c r="G239">
        <v>0.1875</v>
      </c>
      <c r="H239">
        <v>0.45250000000000001</v>
      </c>
      <c r="I239">
        <v>0.435</v>
      </c>
      <c r="J239">
        <v>0.52249999999999996</v>
      </c>
      <c r="K239">
        <v>0.4975</v>
      </c>
      <c r="L239">
        <v>0.51249999999999996</v>
      </c>
      <c r="M239">
        <v>0.48</v>
      </c>
      <c r="N239">
        <v>0.50749999999999995</v>
      </c>
      <c r="O239">
        <v>0.54749999999999999</v>
      </c>
      <c r="P239">
        <v>0.59499999999999997</v>
      </c>
      <c r="Q239">
        <v>0.64</v>
      </c>
      <c r="R239">
        <v>0.65249999999999997</v>
      </c>
      <c r="S239">
        <v>0.77500000000000002</v>
      </c>
      <c r="T239">
        <v>0.755</v>
      </c>
      <c r="U239">
        <v>0.76249999999999996</v>
      </c>
      <c r="V239">
        <v>0.77749999999999997</v>
      </c>
    </row>
    <row r="240" spans="1:22" x14ac:dyDescent="0.2">
      <c r="A240" t="s">
        <v>1024</v>
      </c>
      <c r="B240" t="s">
        <v>1269</v>
      </c>
      <c r="C240" t="s">
        <v>110</v>
      </c>
      <c r="D240">
        <v>99991231</v>
      </c>
      <c r="F240" t="s">
        <v>1289</v>
      </c>
      <c r="G240">
        <v>0.20499999999999999</v>
      </c>
      <c r="H240">
        <v>0.48</v>
      </c>
      <c r="I240">
        <v>0.46750000000000003</v>
      </c>
      <c r="J240">
        <v>0.5675</v>
      </c>
      <c r="K240">
        <v>0.53749999999999998</v>
      </c>
      <c r="L240">
        <v>0.55500000000000005</v>
      </c>
      <c r="M240">
        <v>0.52249999999999996</v>
      </c>
      <c r="N240">
        <v>0.54749999999999999</v>
      </c>
      <c r="O240">
        <v>0.60250000000000004</v>
      </c>
      <c r="P240">
        <v>0.65</v>
      </c>
      <c r="Q240">
        <v>0.69499999999999995</v>
      </c>
      <c r="R240">
        <v>0.70750000000000002</v>
      </c>
      <c r="S240">
        <v>0.84499999999999997</v>
      </c>
      <c r="T240">
        <v>0.8</v>
      </c>
      <c r="U240">
        <v>0.81</v>
      </c>
      <c r="V240">
        <v>0.84499999999999997</v>
      </c>
    </row>
    <row r="241" spans="1:22" x14ac:dyDescent="0.2">
      <c r="A241" t="s">
        <v>1024</v>
      </c>
      <c r="B241" t="s">
        <v>1269</v>
      </c>
      <c r="C241" t="s">
        <v>174</v>
      </c>
      <c r="D241">
        <v>99991231</v>
      </c>
      <c r="G241">
        <v>0.17369999999999999</v>
      </c>
      <c r="H241">
        <v>0.46600000000000003</v>
      </c>
      <c r="I241">
        <v>0.47499999999999998</v>
      </c>
      <c r="J241">
        <v>0.56874999999999998</v>
      </c>
      <c r="K241">
        <v>0.55205000000000004</v>
      </c>
      <c r="L241">
        <v>0.57250000000000001</v>
      </c>
      <c r="M241">
        <v>0.53625</v>
      </c>
      <c r="N241">
        <v>0.55374999999999996</v>
      </c>
      <c r="O241">
        <v>0.61299999999999999</v>
      </c>
      <c r="P241">
        <v>0.67249999999999999</v>
      </c>
      <c r="Q241">
        <v>0.73750000000000004</v>
      </c>
      <c r="R241">
        <v>0.73624999999999996</v>
      </c>
      <c r="S241">
        <v>0.89124999999999999</v>
      </c>
      <c r="T241">
        <v>0.83499999999999996</v>
      </c>
      <c r="U241">
        <v>0.84</v>
      </c>
      <c r="V241">
        <v>0.88875000000000004</v>
      </c>
    </row>
    <row r="246" spans="1:22" x14ac:dyDescent="0.2">
      <c r="A246" t="s">
        <v>1024</v>
      </c>
      <c r="B246" t="s">
        <v>1290</v>
      </c>
      <c r="C246" t="s">
        <v>150</v>
      </c>
      <c r="G246">
        <v>-4.9570000000000003E-2</v>
      </c>
      <c r="H246">
        <v>-3.8429999999999999E-2</v>
      </c>
      <c r="I246">
        <v>-5.9139999999999998E-2</v>
      </c>
      <c r="J246">
        <v>-3.0859999999999999E-2</v>
      </c>
      <c r="K246">
        <v>-1.7139999999999999E-2</v>
      </c>
      <c r="L246">
        <v>-1.357E-2</v>
      </c>
      <c r="M246">
        <v>-1.6289999999999999E-2</v>
      </c>
      <c r="N246">
        <v>-2.1999999999999999E-2</v>
      </c>
      <c r="O246">
        <v>-5.9429999999999997E-2</v>
      </c>
      <c r="P246">
        <v>-5.6570000000000002E-2</v>
      </c>
      <c r="Q246">
        <v>-6.8860000000000005E-2</v>
      </c>
      <c r="R246">
        <v>-8.3140000000000006E-2</v>
      </c>
      <c r="S246">
        <v>-4.0289999999999999E-2</v>
      </c>
      <c r="T246">
        <v>-2.2859999999999998E-2</v>
      </c>
      <c r="U246">
        <v>-2.4289999999999999E-2</v>
      </c>
      <c r="V246">
        <v>-6.5700000000000003E-3</v>
      </c>
    </row>
    <row r="247" spans="1:22" x14ac:dyDescent="0.2">
      <c r="A247" t="s">
        <v>1024</v>
      </c>
      <c r="B247" t="s">
        <v>1290</v>
      </c>
      <c r="C247" t="s">
        <v>95</v>
      </c>
      <c r="F247" t="s">
        <v>1291</v>
      </c>
      <c r="G247">
        <v>-7.5600000000000001E-2</v>
      </c>
      <c r="H247">
        <v>-7.1300000000000002E-2</v>
      </c>
      <c r="I247">
        <v>-5.9400000000000001E-2</v>
      </c>
      <c r="J247">
        <v>-5.3100000000000001E-2</v>
      </c>
      <c r="K247">
        <v>-5.3100000000000001E-2</v>
      </c>
      <c r="L247">
        <v>-5.5E-2</v>
      </c>
      <c r="M247">
        <v>-4.9399999999999999E-2</v>
      </c>
      <c r="N247">
        <v>-4.4400000000000002E-2</v>
      </c>
      <c r="O247">
        <v>-4.7500000000000001E-2</v>
      </c>
      <c r="P247">
        <v>-5.2499999999999998E-2</v>
      </c>
      <c r="Q247">
        <v>-5.3800000000000001E-2</v>
      </c>
      <c r="R247">
        <v>-5.5599999999999997E-2</v>
      </c>
      <c r="S247">
        <v>-5.5599999999999997E-2</v>
      </c>
      <c r="T247">
        <v>-4.87E-2</v>
      </c>
      <c r="U247">
        <v>-4.4999999999999998E-2</v>
      </c>
      <c r="V247">
        <v>-3.8800000000000001E-2</v>
      </c>
    </row>
    <row r="248" spans="1:22" x14ac:dyDescent="0.2">
      <c r="A248" t="s">
        <v>1024</v>
      </c>
      <c r="B248" t="s">
        <v>1290</v>
      </c>
      <c r="C248" t="s">
        <v>96</v>
      </c>
      <c r="F248" t="s">
        <v>1292</v>
      </c>
      <c r="G248">
        <v>-0.105</v>
      </c>
      <c r="H248">
        <v>-8.6300000000000002E-2</v>
      </c>
      <c r="I248">
        <v>-7.3099999999999998E-2</v>
      </c>
      <c r="J248">
        <v>-6.3799999999999996E-2</v>
      </c>
      <c r="K248">
        <v>-0.06</v>
      </c>
      <c r="L248">
        <v>-0.06</v>
      </c>
      <c r="M248">
        <v>-5.0599999999999999E-2</v>
      </c>
      <c r="N248">
        <v>-4.8800000000000003E-2</v>
      </c>
      <c r="O248">
        <v>-5.1900000000000002E-2</v>
      </c>
      <c r="P248">
        <v>-5.3800000000000001E-2</v>
      </c>
      <c r="Q248">
        <v>-5.6300000000000003E-2</v>
      </c>
      <c r="R248">
        <v>-5.6300000000000003E-2</v>
      </c>
      <c r="S248">
        <v>-5.6899999999999999E-2</v>
      </c>
      <c r="T248">
        <v>-4.8899999999999999E-2</v>
      </c>
      <c r="U248">
        <v>-4.4999999999999998E-2</v>
      </c>
      <c r="V248">
        <v>-3.8800000000000001E-2</v>
      </c>
    </row>
    <row r="249" spans="1:22" x14ac:dyDescent="0.2">
      <c r="A249" t="s">
        <v>1024</v>
      </c>
      <c r="B249" t="s">
        <v>1290</v>
      </c>
      <c r="C249" t="s">
        <v>97</v>
      </c>
      <c r="F249" t="s">
        <v>1293</v>
      </c>
      <c r="G249">
        <v>-0.12189999999999999</v>
      </c>
      <c r="H249">
        <v>-9.9400000000000002E-2</v>
      </c>
      <c r="I249">
        <v>-8.1900000000000001E-2</v>
      </c>
      <c r="J249">
        <v>-7.4399999999999994E-2</v>
      </c>
      <c r="K249">
        <v>-6.88E-2</v>
      </c>
      <c r="L249">
        <v>-6.9400000000000003E-2</v>
      </c>
      <c r="M249">
        <v>-5.7500000000000002E-2</v>
      </c>
      <c r="N249">
        <v>-5.5E-2</v>
      </c>
      <c r="O249">
        <v>-5.5599999999999997E-2</v>
      </c>
      <c r="P249">
        <v>-5.5599999999999997E-2</v>
      </c>
      <c r="Q249">
        <v>-5.8099999999999999E-2</v>
      </c>
      <c r="R249">
        <v>-5.7500000000000002E-2</v>
      </c>
      <c r="S249">
        <v>-5.6899999999999999E-2</v>
      </c>
      <c r="T249">
        <v>-5.0099999999999999E-2</v>
      </c>
      <c r="U249">
        <v>-4.4999999999999998E-2</v>
      </c>
      <c r="V249">
        <v>-3.8100000000000002E-2</v>
      </c>
    </row>
    <row r="250" spans="1:22" x14ac:dyDescent="0.2">
      <c r="A250" t="s">
        <v>1024</v>
      </c>
      <c r="B250" t="s">
        <v>1290</v>
      </c>
      <c r="C250" t="s">
        <v>153</v>
      </c>
      <c r="F250" t="s">
        <v>1294</v>
      </c>
      <c r="G250">
        <v>-0.1431</v>
      </c>
      <c r="H250">
        <v>-0.1075</v>
      </c>
      <c r="I250">
        <v>-9.06E-2</v>
      </c>
      <c r="J250">
        <v>-8.2500000000000004E-2</v>
      </c>
      <c r="K250">
        <v>-7.6300000000000007E-2</v>
      </c>
      <c r="L250">
        <v>-7.5600000000000001E-2</v>
      </c>
      <c r="M250">
        <v>-6.3100000000000003E-2</v>
      </c>
      <c r="N250">
        <v>-6.1899999999999997E-2</v>
      </c>
      <c r="O250">
        <v>-5.9400000000000001E-2</v>
      </c>
      <c r="P250">
        <v>-5.7500000000000002E-2</v>
      </c>
      <c r="Q250">
        <v>-5.9400000000000001E-2</v>
      </c>
      <c r="R250">
        <v>-0.06</v>
      </c>
      <c r="S250">
        <v>-5.8799999999999998E-2</v>
      </c>
      <c r="T250">
        <v>-5.0200000000000002E-2</v>
      </c>
      <c r="U250">
        <v>-4.4999999999999998E-2</v>
      </c>
      <c r="V250">
        <v>-3.8100000000000002E-2</v>
      </c>
    </row>
    <row r="251" spans="1:22" x14ac:dyDescent="0.2">
      <c r="A251" t="s">
        <v>1024</v>
      </c>
      <c r="B251" t="s">
        <v>1290</v>
      </c>
      <c r="C251" t="s">
        <v>135</v>
      </c>
      <c r="F251" t="s">
        <v>1295</v>
      </c>
      <c r="G251">
        <v>-0.16189999999999999</v>
      </c>
      <c r="H251">
        <v>-0.1169</v>
      </c>
      <c r="I251">
        <v>-9.8799999999999999E-2</v>
      </c>
      <c r="J251">
        <v>-0.09</v>
      </c>
      <c r="K251">
        <v>-8.2500000000000004E-2</v>
      </c>
      <c r="L251">
        <v>-8.1299999999999997E-2</v>
      </c>
      <c r="M251">
        <v>-6.7500000000000004E-2</v>
      </c>
      <c r="N251">
        <v>-6.7500000000000004E-2</v>
      </c>
      <c r="O251">
        <v>-6.3100000000000003E-2</v>
      </c>
      <c r="P251">
        <v>-0.06</v>
      </c>
      <c r="Q251">
        <v>-6.0600000000000001E-2</v>
      </c>
      <c r="R251">
        <v>-0.06</v>
      </c>
      <c r="S251">
        <v>-5.8799999999999998E-2</v>
      </c>
      <c r="T251">
        <v>-5.0200000000000002E-2</v>
      </c>
      <c r="U251">
        <v>-4.4999999999999998E-2</v>
      </c>
      <c r="V251">
        <v>-3.8100000000000002E-2</v>
      </c>
    </row>
    <row r="252" spans="1:22" x14ac:dyDescent="0.2">
      <c r="A252" t="s">
        <v>1024</v>
      </c>
      <c r="B252" t="s">
        <v>1290</v>
      </c>
      <c r="C252" t="s">
        <v>38</v>
      </c>
      <c r="F252" t="s">
        <v>1296</v>
      </c>
      <c r="G252">
        <v>-0.17879999999999999</v>
      </c>
      <c r="H252">
        <v>-0.1263</v>
      </c>
      <c r="I252">
        <v>-0.1081</v>
      </c>
      <c r="J252">
        <v>-9.7500000000000003E-2</v>
      </c>
      <c r="K252">
        <v>-0.09</v>
      </c>
      <c r="L252">
        <v>-8.8099999999999998E-2</v>
      </c>
      <c r="M252">
        <v>-7.3099999999999998E-2</v>
      </c>
      <c r="N252">
        <v>-7.3099999999999998E-2</v>
      </c>
      <c r="O252">
        <v>-6.6900000000000001E-2</v>
      </c>
      <c r="P252">
        <v>-6.25E-2</v>
      </c>
      <c r="Q252">
        <v>-6.1899999999999997E-2</v>
      </c>
      <c r="R252">
        <v>-6.1899999999999997E-2</v>
      </c>
      <c r="S252">
        <v>-5.8099999999999999E-2</v>
      </c>
      <c r="T252">
        <v>-5.0099999999999999E-2</v>
      </c>
      <c r="U252">
        <v>-4.4400000000000002E-2</v>
      </c>
      <c r="V252">
        <v>-3.8100000000000002E-2</v>
      </c>
    </row>
    <row r="253" spans="1:22" x14ac:dyDescent="0.2">
      <c r="A253" t="s">
        <v>1024</v>
      </c>
      <c r="B253" t="s">
        <v>1290</v>
      </c>
      <c r="C253" t="s">
        <v>152</v>
      </c>
      <c r="F253" t="s">
        <v>1297</v>
      </c>
      <c r="G253">
        <v>-0.21310000000000001</v>
      </c>
      <c r="H253">
        <v>-0.1525</v>
      </c>
      <c r="I253">
        <v>-0.1338</v>
      </c>
      <c r="J253">
        <v>-0.12</v>
      </c>
      <c r="K253">
        <v>-0.1106</v>
      </c>
      <c r="L253">
        <v>-0.1056</v>
      </c>
      <c r="M253">
        <v>-8.8800000000000004E-2</v>
      </c>
      <c r="N253">
        <v>-8.6900000000000005E-2</v>
      </c>
      <c r="O253">
        <v>-7.5600000000000001E-2</v>
      </c>
      <c r="P253">
        <v>-6.8099999999999994E-2</v>
      </c>
      <c r="Q253">
        <v>-6.5600000000000006E-2</v>
      </c>
      <c r="R253">
        <v>-6.5600000000000006E-2</v>
      </c>
      <c r="S253">
        <v>-6.13E-2</v>
      </c>
      <c r="T253">
        <v>-5.0200000000000002E-2</v>
      </c>
      <c r="U253">
        <v>-4.3799999999999999E-2</v>
      </c>
      <c r="V253">
        <v>-3.7499999999999999E-2</v>
      </c>
    </row>
    <row r="254" spans="1:22" x14ac:dyDescent="0.2">
      <c r="A254" t="s">
        <v>1024</v>
      </c>
      <c r="B254" t="s">
        <v>1290</v>
      </c>
      <c r="C254" t="s">
        <v>155</v>
      </c>
      <c r="F254" t="s">
        <v>1298</v>
      </c>
      <c r="G254">
        <v>-0.23810000000000001</v>
      </c>
      <c r="H254">
        <v>-0.17380000000000001</v>
      </c>
      <c r="I254">
        <v>-0.15690000000000001</v>
      </c>
      <c r="J254">
        <v>-0.14000000000000001</v>
      </c>
      <c r="K254">
        <v>-0.12809999999999999</v>
      </c>
      <c r="L254">
        <v>-0.12130000000000001</v>
      </c>
      <c r="M254">
        <v>-0.1013</v>
      </c>
      <c r="N254">
        <v>-9.8100000000000007E-2</v>
      </c>
      <c r="O254">
        <v>-8.1900000000000001E-2</v>
      </c>
      <c r="P254">
        <v>-7.2499999999999995E-2</v>
      </c>
      <c r="Q254">
        <v>-6.88E-2</v>
      </c>
      <c r="R254">
        <v>-6.88E-2</v>
      </c>
      <c r="S254">
        <v>-6.3100000000000003E-2</v>
      </c>
      <c r="T254">
        <v>-4.8399999999999999E-2</v>
      </c>
      <c r="U254">
        <v>-4.2500000000000003E-2</v>
      </c>
      <c r="V254">
        <v>-3.7499999999999999E-2</v>
      </c>
    </row>
    <row r="255" spans="1:22" x14ac:dyDescent="0.2">
      <c r="A255" t="s">
        <v>1024</v>
      </c>
      <c r="B255" t="s">
        <v>1290</v>
      </c>
      <c r="C255" t="s">
        <v>156</v>
      </c>
      <c r="F255" t="s">
        <v>1299</v>
      </c>
      <c r="G255">
        <v>-0.27250000000000002</v>
      </c>
      <c r="H255">
        <v>-0.19750000000000001</v>
      </c>
      <c r="I255">
        <v>-0.1925</v>
      </c>
      <c r="J255">
        <v>-0.17130000000000001</v>
      </c>
      <c r="K255">
        <v>-0.1613</v>
      </c>
      <c r="L255">
        <v>-0.15190000000000001</v>
      </c>
      <c r="M255">
        <v>-0.1225</v>
      </c>
      <c r="N255">
        <v>-0.1206</v>
      </c>
      <c r="O255">
        <v>-9.4399999999999998E-2</v>
      </c>
      <c r="P255">
        <v>-7.5600000000000001E-2</v>
      </c>
      <c r="Q255">
        <v>-7.1300000000000002E-2</v>
      </c>
      <c r="R255">
        <v>-7.0599999999999996E-2</v>
      </c>
      <c r="S255">
        <v>-6.6299999999999998E-2</v>
      </c>
      <c r="T255">
        <v>-4.7699999999999999E-2</v>
      </c>
      <c r="U255">
        <v>-4.0599999999999997E-2</v>
      </c>
      <c r="V255">
        <v>-3.7499999999999999E-2</v>
      </c>
    </row>
    <row r="256" spans="1:22" x14ac:dyDescent="0.2">
      <c r="A256" t="s">
        <v>1024</v>
      </c>
      <c r="B256" t="s">
        <v>1290</v>
      </c>
      <c r="C256" t="s">
        <v>157</v>
      </c>
      <c r="F256" t="s">
        <v>1300</v>
      </c>
      <c r="G256">
        <v>-0.29380000000000001</v>
      </c>
      <c r="H256">
        <v>-0.21060000000000001</v>
      </c>
      <c r="I256">
        <v>-0.2213</v>
      </c>
      <c r="J256">
        <v>-0.19689999999999999</v>
      </c>
      <c r="K256">
        <v>-0.18629999999999999</v>
      </c>
      <c r="L256">
        <v>-0.1731</v>
      </c>
      <c r="M256">
        <v>-0.1363</v>
      </c>
      <c r="N256">
        <v>-0.13750000000000001</v>
      </c>
      <c r="O256">
        <v>-0.1094</v>
      </c>
      <c r="P256">
        <v>-8.2500000000000004E-2</v>
      </c>
      <c r="Q256">
        <v>-7.3099999999999998E-2</v>
      </c>
      <c r="R256">
        <v>-7.0599999999999996E-2</v>
      </c>
      <c r="S256">
        <v>-7.0000000000000007E-2</v>
      </c>
      <c r="T256">
        <v>-4.5999999999999999E-2</v>
      </c>
      <c r="U256">
        <v>-3.8800000000000001E-2</v>
      </c>
      <c r="V256">
        <v>-3.8800000000000001E-2</v>
      </c>
    </row>
    <row r="257" spans="1:22" x14ac:dyDescent="0.2">
      <c r="A257" t="s">
        <v>1024</v>
      </c>
      <c r="B257" t="s">
        <v>1290</v>
      </c>
      <c r="C257" t="s">
        <v>99</v>
      </c>
      <c r="F257" t="s">
        <v>1301</v>
      </c>
      <c r="G257">
        <v>-0.31559999999999999</v>
      </c>
      <c r="H257">
        <v>-0.21440000000000001</v>
      </c>
      <c r="I257">
        <v>-0.24629999999999999</v>
      </c>
      <c r="J257">
        <v>-0.21879999999999999</v>
      </c>
      <c r="K257">
        <v>-0.2094</v>
      </c>
      <c r="L257">
        <v>-0.19750000000000001</v>
      </c>
      <c r="M257">
        <v>-0.15809999999999999</v>
      </c>
      <c r="N257">
        <v>-0.15629999999999999</v>
      </c>
      <c r="O257">
        <v>-0.12809999999999999</v>
      </c>
      <c r="P257">
        <v>-9.7500000000000003E-2</v>
      </c>
      <c r="Q257">
        <v>-7.8799999999999995E-2</v>
      </c>
      <c r="R257">
        <v>-7.3099999999999998E-2</v>
      </c>
      <c r="S257">
        <v>-7.0599999999999996E-2</v>
      </c>
      <c r="T257">
        <v>-4.2500000000000003E-2</v>
      </c>
      <c r="U257">
        <v>-3.5000000000000003E-2</v>
      </c>
      <c r="V257">
        <v>-4.3099999999999999E-2</v>
      </c>
    </row>
    <row r="258" spans="1:22" x14ac:dyDescent="0.2">
      <c r="A258" t="s">
        <v>1024</v>
      </c>
      <c r="B258" t="s">
        <v>1290</v>
      </c>
      <c r="C258" t="s">
        <v>101</v>
      </c>
      <c r="F258" t="s">
        <v>1302</v>
      </c>
      <c r="G258">
        <v>-0.31630000000000003</v>
      </c>
      <c r="H258">
        <v>-0.2056</v>
      </c>
      <c r="I258">
        <v>-0.25</v>
      </c>
      <c r="J258">
        <v>-0.21940000000000001</v>
      </c>
      <c r="K258">
        <v>-0.21310000000000001</v>
      </c>
      <c r="L258">
        <v>-0.2019</v>
      </c>
      <c r="M258">
        <v>-0.16439999999999999</v>
      </c>
      <c r="N258">
        <v>-0.16059999999999999</v>
      </c>
      <c r="O258">
        <v>-0.13689999999999999</v>
      </c>
      <c r="P258">
        <v>-9.9400000000000002E-2</v>
      </c>
      <c r="Q258">
        <v>-8.1299999999999997E-2</v>
      </c>
      <c r="R258">
        <v>-7.3800000000000004E-2</v>
      </c>
      <c r="S258">
        <v>-6.88E-2</v>
      </c>
      <c r="T258">
        <v>-3.4700000000000002E-2</v>
      </c>
      <c r="U258">
        <v>-2.75E-2</v>
      </c>
      <c r="V258">
        <v>-4.3799999999999999E-2</v>
      </c>
    </row>
    <row r="259" spans="1:22" x14ac:dyDescent="0.2">
      <c r="A259" t="s">
        <v>1024</v>
      </c>
      <c r="B259" t="s">
        <v>1290</v>
      </c>
      <c r="C259" t="s">
        <v>102</v>
      </c>
      <c r="F259" t="s">
        <v>1303</v>
      </c>
      <c r="G259">
        <v>-0.30630000000000002</v>
      </c>
      <c r="H259">
        <v>-0.19309999999999999</v>
      </c>
      <c r="I259">
        <v>-0.24249999999999999</v>
      </c>
      <c r="J259">
        <v>-0.21129999999999999</v>
      </c>
      <c r="K259">
        <v>-0.2069</v>
      </c>
      <c r="L259">
        <v>-0.19689999999999999</v>
      </c>
      <c r="M259">
        <v>-0.16309999999999999</v>
      </c>
      <c r="N259">
        <v>-0.16</v>
      </c>
      <c r="O259">
        <v>-0.1381</v>
      </c>
      <c r="P259">
        <v>-9.69E-2</v>
      </c>
      <c r="Q259">
        <v>-7.9399999999999998E-2</v>
      </c>
      <c r="R259">
        <v>-7.2499999999999995E-2</v>
      </c>
      <c r="S259">
        <v>-6.3799999999999996E-2</v>
      </c>
      <c r="T259">
        <v>-2.2499999999999999E-2</v>
      </c>
      <c r="U259">
        <v>-1.6899999999999998E-2</v>
      </c>
      <c r="V259">
        <v>-4.0599999999999997E-2</v>
      </c>
    </row>
    <row r="260" spans="1:22" x14ac:dyDescent="0.2">
      <c r="A260" t="s">
        <v>1024</v>
      </c>
      <c r="B260" t="s">
        <v>1290</v>
      </c>
      <c r="C260" t="s">
        <v>104</v>
      </c>
      <c r="F260" t="s">
        <v>1304</v>
      </c>
      <c r="G260">
        <v>-0.26690000000000003</v>
      </c>
      <c r="H260">
        <v>-0.15440000000000001</v>
      </c>
      <c r="I260">
        <v>-0.20749999999999999</v>
      </c>
      <c r="J260">
        <v>-0.1769</v>
      </c>
      <c r="K260">
        <v>-0.17810000000000001</v>
      </c>
      <c r="L260">
        <v>-0.1694</v>
      </c>
      <c r="M260">
        <v>-0.14749999999999999</v>
      </c>
      <c r="N260">
        <v>-0.1431</v>
      </c>
      <c r="O260">
        <v>-0.1231</v>
      </c>
      <c r="P260">
        <v>-8.4400000000000003E-2</v>
      </c>
      <c r="Q260">
        <v>-6.8099999999999994E-2</v>
      </c>
      <c r="R260">
        <v>-5.9400000000000001E-2</v>
      </c>
      <c r="S260">
        <v>-3.9399999999999998E-2</v>
      </c>
      <c r="T260">
        <v>5.8999999999999999E-3</v>
      </c>
      <c r="U260">
        <v>8.0999999999999996E-3</v>
      </c>
      <c r="V260">
        <v>-2.4400000000000002E-2</v>
      </c>
    </row>
    <row r="261" spans="1:22" x14ac:dyDescent="0.2">
      <c r="A261" t="s">
        <v>1024</v>
      </c>
      <c r="B261" t="s">
        <v>1290</v>
      </c>
      <c r="C261" t="s">
        <v>79</v>
      </c>
      <c r="F261" t="s">
        <v>1305</v>
      </c>
      <c r="G261">
        <v>-0.2019</v>
      </c>
      <c r="H261">
        <v>-7.8799999999999995E-2</v>
      </c>
      <c r="I261">
        <v>-0.12189999999999999</v>
      </c>
      <c r="J261">
        <v>-9.5600000000000004E-2</v>
      </c>
      <c r="K261">
        <v>-0.10249999999999999</v>
      </c>
      <c r="L261">
        <v>-9.8100000000000007E-2</v>
      </c>
      <c r="M261">
        <v>-9.1899999999999996E-2</v>
      </c>
      <c r="N261">
        <v>-8.8800000000000004E-2</v>
      </c>
      <c r="O261">
        <v>-7.3099999999999998E-2</v>
      </c>
      <c r="P261">
        <v>-3.9399999999999998E-2</v>
      </c>
      <c r="Q261">
        <v>-2.81E-2</v>
      </c>
      <c r="R261">
        <v>-1.9400000000000001E-2</v>
      </c>
      <c r="S261">
        <v>1.4999999999999999E-2</v>
      </c>
      <c r="T261">
        <v>5.0599999999999999E-2</v>
      </c>
      <c r="U261">
        <v>5.5599999999999997E-2</v>
      </c>
      <c r="V261">
        <v>2.75E-2</v>
      </c>
    </row>
    <row r="262" spans="1:22" x14ac:dyDescent="0.2">
      <c r="A262" t="s">
        <v>1024</v>
      </c>
      <c r="B262" t="s">
        <v>1290</v>
      </c>
      <c r="C262" t="s">
        <v>159</v>
      </c>
      <c r="F262" t="s">
        <v>1306</v>
      </c>
      <c r="G262">
        <v>-0.15939999999999999</v>
      </c>
      <c r="H262">
        <v>-1.8100000000000002E-2</v>
      </c>
      <c r="I262">
        <v>-5.6899999999999999E-2</v>
      </c>
      <c r="J262">
        <v>-2.81E-2</v>
      </c>
      <c r="K262">
        <v>-0.04</v>
      </c>
      <c r="L262">
        <v>-3.44E-2</v>
      </c>
      <c r="M262">
        <v>-4.19E-2</v>
      </c>
      <c r="N262">
        <v>-3.5000000000000003E-2</v>
      </c>
      <c r="O262">
        <v>-1.6899999999999998E-2</v>
      </c>
      <c r="P262">
        <v>1.5599999999999999E-2</v>
      </c>
      <c r="Q262">
        <v>2.69E-2</v>
      </c>
      <c r="R262">
        <v>3.2500000000000001E-2</v>
      </c>
      <c r="S262">
        <v>7.6300000000000007E-2</v>
      </c>
      <c r="T262">
        <v>0.1056</v>
      </c>
      <c r="U262">
        <v>0.11310000000000001</v>
      </c>
      <c r="V262">
        <v>8.7499999999999994E-2</v>
      </c>
    </row>
    <row r="263" spans="1:22" x14ac:dyDescent="0.2">
      <c r="A263" t="s">
        <v>1024</v>
      </c>
      <c r="B263" t="s">
        <v>1290</v>
      </c>
      <c r="C263" t="s">
        <v>107</v>
      </c>
      <c r="F263" t="s">
        <v>1307</v>
      </c>
      <c r="G263">
        <v>-0.1069</v>
      </c>
      <c r="H263">
        <v>7.7499999999999999E-2</v>
      </c>
      <c r="I263">
        <v>4.4999999999999998E-2</v>
      </c>
      <c r="J263">
        <v>8.5000000000000006E-2</v>
      </c>
      <c r="K263">
        <v>7.1900000000000006E-2</v>
      </c>
      <c r="L263">
        <v>0.08</v>
      </c>
      <c r="M263">
        <v>5.8799999999999998E-2</v>
      </c>
      <c r="N263">
        <v>6.8099999999999994E-2</v>
      </c>
      <c r="O263">
        <v>8.8099999999999998E-2</v>
      </c>
      <c r="P263">
        <v>0.1206</v>
      </c>
      <c r="Q263">
        <v>0.1331</v>
      </c>
      <c r="R263">
        <v>0.13750000000000001</v>
      </c>
      <c r="S263">
        <v>0.2006</v>
      </c>
      <c r="T263">
        <v>0.22109999999999999</v>
      </c>
      <c r="U263">
        <v>0.2306</v>
      </c>
      <c r="V263">
        <v>0.21379999999999999</v>
      </c>
    </row>
    <row r="264" spans="1:22" x14ac:dyDescent="0.2">
      <c r="A264" t="s">
        <v>1024</v>
      </c>
      <c r="B264" t="s">
        <v>1290</v>
      </c>
      <c r="C264" t="s">
        <v>108</v>
      </c>
      <c r="F264" t="s">
        <v>1308</v>
      </c>
      <c r="G264">
        <v>-4.4999999999999998E-2</v>
      </c>
      <c r="H264">
        <v>0.2</v>
      </c>
      <c r="I264">
        <v>0.1681</v>
      </c>
      <c r="J264">
        <v>0.22</v>
      </c>
      <c r="K264">
        <v>0.2044</v>
      </c>
      <c r="L264">
        <v>0.2175</v>
      </c>
      <c r="M264">
        <v>0.185</v>
      </c>
      <c r="N264">
        <v>0.1981</v>
      </c>
      <c r="O264">
        <v>0.2238</v>
      </c>
      <c r="P264">
        <v>0.2581</v>
      </c>
      <c r="Q264">
        <v>0.28000000000000003</v>
      </c>
      <c r="R264">
        <v>0.28560000000000002</v>
      </c>
      <c r="S264">
        <v>0.37809999999999999</v>
      </c>
      <c r="T264">
        <v>0.37619999999999998</v>
      </c>
      <c r="U264">
        <v>0.38879999999999998</v>
      </c>
      <c r="V264">
        <v>0.39689999999999998</v>
      </c>
    </row>
    <row r="265" spans="1:22" x14ac:dyDescent="0.2">
      <c r="A265" t="s">
        <v>1024</v>
      </c>
      <c r="B265" t="s">
        <v>1290</v>
      </c>
      <c r="C265" t="s">
        <v>109</v>
      </c>
      <c r="F265" t="s">
        <v>1309</v>
      </c>
      <c r="G265">
        <v>-1.8749999999999999E-2</v>
      </c>
      <c r="H265">
        <v>0.25059999999999999</v>
      </c>
      <c r="I265">
        <v>0.2331</v>
      </c>
      <c r="J265">
        <v>0.2888</v>
      </c>
      <c r="K265">
        <v>0.27189999999999998</v>
      </c>
      <c r="L265">
        <v>0.2863</v>
      </c>
      <c r="M265">
        <v>0.25380000000000003</v>
      </c>
      <c r="N265">
        <v>0.26690000000000003</v>
      </c>
      <c r="O265">
        <v>0.3019</v>
      </c>
      <c r="P265">
        <v>0.33939999999999998</v>
      </c>
      <c r="Q265">
        <v>0.3594</v>
      </c>
      <c r="R265">
        <v>0.36249999999999999</v>
      </c>
      <c r="S265">
        <v>0.47060000000000002</v>
      </c>
      <c r="T265">
        <v>0.44900000000000001</v>
      </c>
      <c r="U265">
        <v>0.46129999999999999</v>
      </c>
      <c r="V265">
        <v>0.49440000000000001</v>
      </c>
    </row>
    <row r="266" spans="1:22" x14ac:dyDescent="0.2">
      <c r="A266" t="s">
        <v>1024</v>
      </c>
      <c r="B266" t="s">
        <v>1290</v>
      </c>
      <c r="C266" t="s">
        <v>110</v>
      </c>
      <c r="F266" t="s">
        <v>1310</v>
      </c>
      <c r="G266">
        <v>-8.0999999999999996E-3</v>
      </c>
      <c r="H266">
        <v>0.27060000000000001</v>
      </c>
      <c r="I266">
        <v>0.25940000000000002</v>
      </c>
      <c r="J266">
        <v>0.32879999999999998</v>
      </c>
      <c r="K266">
        <v>0.30809999999999998</v>
      </c>
      <c r="L266">
        <v>0.32379999999999998</v>
      </c>
      <c r="M266">
        <v>0.28999999999999998</v>
      </c>
      <c r="N266">
        <v>0.3044</v>
      </c>
      <c r="O266">
        <v>0.34749999999999998</v>
      </c>
      <c r="P266">
        <v>0.3856</v>
      </c>
      <c r="Q266">
        <v>0.40379999999999999</v>
      </c>
      <c r="R266">
        <v>0.40310000000000001</v>
      </c>
      <c r="S266">
        <v>0.52690000000000003</v>
      </c>
      <c r="T266">
        <v>0.4839</v>
      </c>
      <c r="U266">
        <v>0.49690000000000001</v>
      </c>
      <c r="V266">
        <v>0.54879999999999995</v>
      </c>
    </row>
    <row r="269" spans="1:22" x14ac:dyDescent="0.2">
      <c r="A269" t="s">
        <v>1024</v>
      </c>
      <c r="B269" t="s">
        <v>1311</v>
      </c>
      <c r="C269" t="s">
        <v>1001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</row>
    <row r="270" spans="1:22" x14ac:dyDescent="0.2">
      <c r="A270" t="s">
        <v>1024</v>
      </c>
      <c r="B270" t="s">
        <v>1311</v>
      </c>
      <c r="C270" t="s">
        <v>25</v>
      </c>
      <c r="F270" t="s">
        <v>1312</v>
      </c>
      <c r="G270">
        <v>5.5E-2</v>
      </c>
      <c r="H270">
        <v>4.2500000000000003E-2</v>
      </c>
      <c r="I270">
        <v>4.3749999999999997E-2</v>
      </c>
      <c r="J270">
        <v>3.875E-2</v>
      </c>
      <c r="K270">
        <v>3.6249999999999998E-2</v>
      </c>
      <c r="L270">
        <v>3.6249999999999998E-2</v>
      </c>
      <c r="M270">
        <v>3.125E-2</v>
      </c>
      <c r="N270">
        <v>3.125E-2</v>
      </c>
      <c r="O270">
        <v>4.2500000000000003E-2</v>
      </c>
      <c r="P270">
        <v>4.4999999999999998E-2</v>
      </c>
      <c r="Q270">
        <v>4.2500000000000003E-2</v>
      </c>
      <c r="R270">
        <v>4.4999999999999998E-2</v>
      </c>
      <c r="S270">
        <v>4.3749999999999997E-2</v>
      </c>
      <c r="T270">
        <v>3.875E-2</v>
      </c>
      <c r="U270">
        <v>3.3750000000000002E-2</v>
      </c>
      <c r="V270">
        <v>0.03</v>
      </c>
    </row>
    <row r="271" spans="1:22" x14ac:dyDescent="0.2">
      <c r="A271" t="s">
        <v>1024</v>
      </c>
      <c r="B271" t="s">
        <v>1311</v>
      </c>
      <c r="C271" t="s">
        <v>157</v>
      </c>
      <c r="F271" t="s">
        <v>1313</v>
      </c>
      <c r="G271">
        <v>4.6249999999999999E-2</v>
      </c>
      <c r="H271">
        <v>3.6249999999999998E-2</v>
      </c>
      <c r="I271">
        <v>3.875E-2</v>
      </c>
      <c r="J271">
        <v>3.5000000000000003E-2</v>
      </c>
      <c r="K271">
        <v>3.3750000000000002E-2</v>
      </c>
      <c r="L271">
        <v>3.3750000000000002E-2</v>
      </c>
      <c r="M271">
        <v>0.03</v>
      </c>
      <c r="N271">
        <v>2.8750000000000001E-2</v>
      </c>
      <c r="O271">
        <v>3.6249999999999998E-2</v>
      </c>
      <c r="P271">
        <v>3.7499999999999999E-2</v>
      </c>
      <c r="Q271">
        <v>3.6249999999999998E-2</v>
      </c>
      <c r="R271">
        <v>3.7499999999999999E-2</v>
      </c>
      <c r="S271">
        <v>3.6249999999999998E-2</v>
      </c>
      <c r="T271">
        <v>3.3750000000000002E-2</v>
      </c>
      <c r="U271">
        <v>3.2500000000000001E-2</v>
      </c>
      <c r="V271">
        <v>0.03</v>
      </c>
    </row>
    <row r="272" spans="1:22" x14ac:dyDescent="0.2">
      <c r="A272" t="s">
        <v>1024</v>
      </c>
      <c r="B272" t="s">
        <v>1311</v>
      </c>
      <c r="C272" t="s">
        <v>99</v>
      </c>
      <c r="F272" t="s">
        <v>1314</v>
      </c>
      <c r="G272">
        <v>4.1250000000000002E-2</v>
      </c>
      <c r="H272">
        <v>3.125E-2</v>
      </c>
      <c r="I272">
        <v>3.5000000000000003E-2</v>
      </c>
      <c r="J272">
        <v>3.5000000000000003E-2</v>
      </c>
      <c r="K272">
        <v>3.3750000000000002E-2</v>
      </c>
      <c r="L272">
        <v>3.3750000000000002E-2</v>
      </c>
      <c r="M272">
        <v>2.8750000000000001E-2</v>
      </c>
      <c r="N272">
        <v>2.75E-2</v>
      </c>
      <c r="O272">
        <v>3.2500000000000001E-2</v>
      </c>
      <c r="P272">
        <v>3.3750000000000002E-2</v>
      </c>
      <c r="Q272">
        <v>3.3750000000000002E-2</v>
      </c>
      <c r="R272">
        <v>3.3750000000000002E-2</v>
      </c>
      <c r="S272">
        <v>3.5000000000000003E-2</v>
      </c>
      <c r="T272">
        <v>3.2500000000000001E-2</v>
      </c>
      <c r="U272">
        <v>3.2500000000000001E-2</v>
      </c>
      <c r="V272">
        <v>3.125E-2</v>
      </c>
    </row>
    <row r="273" spans="1:22" x14ac:dyDescent="0.2">
      <c r="A273" t="s">
        <v>1024</v>
      </c>
      <c r="B273" t="s">
        <v>1311</v>
      </c>
      <c r="C273" t="s">
        <v>101</v>
      </c>
      <c r="F273" t="s">
        <v>1315</v>
      </c>
      <c r="G273">
        <v>3.7499999999999999E-2</v>
      </c>
      <c r="H273">
        <v>2.75E-2</v>
      </c>
      <c r="I273">
        <v>3.2500000000000001E-2</v>
      </c>
      <c r="J273">
        <v>3.5000000000000003E-2</v>
      </c>
      <c r="K273">
        <v>3.3750000000000002E-2</v>
      </c>
      <c r="L273">
        <v>3.2500000000000001E-2</v>
      </c>
      <c r="M273">
        <v>2.75E-2</v>
      </c>
      <c r="N273">
        <v>2.6249999999999999E-2</v>
      </c>
      <c r="O273">
        <v>3.125E-2</v>
      </c>
      <c r="P273">
        <v>3.2500000000000001E-2</v>
      </c>
      <c r="Q273">
        <v>3.5000000000000003E-2</v>
      </c>
      <c r="R273">
        <v>3.3750000000000002E-2</v>
      </c>
      <c r="S273">
        <v>3.6249999999999998E-2</v>
      </c>
      <c r="T273">
        <v>3.2500000000000001E-2</v>
      </c>
      <c r="U273">
        <v>3.2500000000000001E-2</v>
      </c>
      <c r="V273">
        <v>3.3750000000000002E-2</v>
      </c>
    </row>
    <row r="274" spans="1:22" x14ac:dyDescent="0.2">
      <c r="A274" t="s">
        <v>1024</v>
      </c>
      <c r="B274" t="s">
        <v>1311</v>
      </c>
      <c r="C274" t="s">
        <v>102</v>
      </c>
      <c r="F274" t="s">
        <v>1316</v>
      </c>
      <c r="G274">
        <v>3.5000000000000003E-2</v>
      </c>
      <c r="H274">
        <v>2.5000000000000001E-2</v>
      </c>
      <c r="I274">
        <v>3.125E-2</v>
      </c>
      <c r="J274">
        <v>3.5000000000000003E-2</v>
      </c>
      <c r="K274">
        <v>3.3750000000000002E-2</v>
      </c>
      <c r="L274">
        <v>3.2500000000000001E-2</v>
      </c>
      <c r="M274">
        <v>2.75E-2</v>
      </c>
      <c r="N274">
        <v>2.6249999999999999E-2</v>
      </c>
      <c r="O274">
        <v>3.125E-2</v>
      </c>
      <c r="P274">
        <v>3.2500000000000001E-2</v>
      </c>
      <c r="Q274">
        <v>3.7499999999999999E-2</v>
      </c>
      <c r="R274">
        <v>3.6249999999999998E-2</v>
      </c>
      <c r="S274">
        <v>3.875E-2</v>
      </c>
      <c r="T274">
        <v>3.5000000000000003E-2</v>
      </c>
      <c r="U274">
        <v>3.5000000000000003E-2</v>
      </c>
      <c r="V274">
        <v>3.6249999999999998E-2</v>
      </c>
    </row>
    <row r="275" spans="1:22" x14ac:dyDescent="0.2">
      <c r="A275" t="s">
        <v>1024</v>
      </c>
      <c r="B275" t="s">
        <v>1311</v>
      </c>
      <c r="C275" t="s">
        <v>103</v>
      </c>
      <c r="F275" t="s">
        <v>1317</v>
      </c>
      <c r="G275">
        <v>3.2500000000000001E-2</v>
      </c>
      <c r="H275">
        <v>2.375E-2</v>
      </c>
      <c r="I275">
        <v>0.03</v>
      </c>
      <c r="J275">
        <v>3.5000000000000003E-2</v>
      </c>
      <c r="K275">
        <v>3.3750000000000002E-2</v>
      </c>
      <c r="L275">
        <v>3.2500000000000001E-2</v>
      </c>
      <c r="M275">
        <v>2.75E-2</v>
      </c>
      <c r="N275">
        <v>2.6249999999999999E-2</v>
      </c>
      <c r="O275">
        <v>3.2500000000000001E-2</v>
      </c>
      <c r="P275">
        <v>3.5000000000000003E-2</v>
      </c>
      <c r="Q275">
        <v>4.1250000000000002E-2</v>
      </c>
      <c r="R275">
        <v>3.875E-2</v>
      </c>
      <c r="S275">
        <v>4.2500000000000003E-2</v>
      </c>
      <c r="T275">
        <v>3.7499999999999999E-2</v>
      </c>
      <c r="U275">
        <v>3.7499999999999999E-2</v>
      </c>
      <c r="V275">
        <v>3.875E-2</v>
      </c>
    </row>
    <row r="276" spans="1:22" x14ac:dyDescent="0.2">
      <c r="A276" t="s">
        <v>1024</v>
      </c>
      <c r="B276" t="s">
        <v>1311</v>
      </c>
      <c r="C276" t="s">
        <v>104</v>
      </c>
      <c r="F276" t="s">
        <v>1318</v>
      </c>
      <c r="G276">
        <v>0.03</v>
      </c>
      <c r="H276">
        <v>2.2499999999999999E-2</v>
      </c>
      <c r="I276">
        <v>0.03</v>
      </c>
      <c r="J276">
        <v>3.5000000000000003E-2</v>
      </c>
      <c r="K276">
        <v>3.3750000000000002E-2</v>
      </c>
      <c r="L276">
        <v>3.2500000000000001E-2</v>
      </c>
      <c r="M276">
        <v>2.75E-2</v>
      </c>
      <c r="N276">
        <v>2.75E-2</v>
      </c>
      <c r="O276">
        <v>3.5000000000000003E-2</v>
      </c>
      <c r="P276">
        <v>3.7499999999999999E-2</v>
      </c>
      <c r="Q276">
        <v>4.4999999999999998E-2</v>
      </c>
      <c r="R276">
        <v>4.2500000000000003E-2</v>
      </c>
      <c r="S276">
        <v>4.8750000000000002E-2</v>
      </c>
      <c r="T276">
        <v>4.2500000000000003E-2</v>
      </c>
      <c r="U276">
        <v>4.2500000000000003E-2</v>
      </c>
      <c r="V276">
        <v>4.2500000000000003E-2</v>
      </c>
    </row>
    <row r="277" spans="1:22" x14ac:dyDescent="0.2">
      <c r="A277" t="s">
        <v>1024</v>
      </c>
      <c r="B277" t="s">
        <v>1311</v>
      </c>
      <c r="C277" t="s">
        <v>105</v>
      </c>
      <c r="F277" t="s">
        <v>1319</v>
      </c>
      <c r="G277">
        <v>2.75E-2</v>
      </c>
      <c r="H277">
        <v>2.2499999999999999E-2</v>
      </c>
      <c r="I277">
        <v>0.03</v>
      </c>
      <c r="J277">
        <v>3.5000000000000003E-2</v>
      </c>
      <c r="K277">
        <v>3.3750000000000002E-2</v>
      </c>
      <c r="L277">
        <v>3.3750000000000002E-2</v>
      </c>
      <c r="M277">
        <v>2.8750000000000001E-2</v>
      </c>
      <c r="N277">
        <v>2.8750000000000001E-2</v>
      </c>
      <c r="O277">
        <v>3.7499999999999999E-2</v>
      </c>
      <c r="P277">
        <v>4.1250000000000002E-2</v>
      </c>
      <c r="Q277">
        <v>0.05</v>
      </c>
      <c r="R277">
        <v>4.7500000000000001E-2</v>
      </c>
      <c r="S277">
        <v>5.3749999999999999E-2</v>
      </c>
      <c r="T277">
        <v>4.7500000000000001E-2</v>
      </c>
      <c r="U277">
        <v>4.7500000000000001E-2</v>
      </c>
      <c r="V277">
        <v>4.7500000000000001E-2</v>
      </c>
    </row>
    <row r="278" spans="1:22" x14ac:dyDescent="0.2">
      <c r="A278" t="s">
        <v>1024</v>
      </c>
      <c r="B278" t="s">
        <v>1311</v>
      </c>
      <c r="C278" t="s">
        <v>106</v>
      </c>
      <c r="F278" t="s">
        <v>1320</v>
      </c>
      <c r="G278">
        <v>2.6249999999999999E-2</v>
      </c>
      <c r="H278">
        <v>2.2499999999999999E-2</v>
      </c>
      <c r="I278">
        <v>0.03</v>
      </c>
      <c r="J278">
        <v>3.5000000000000003E-2</v>
      </c>
      <c r="K278">
        <v>3.3750000000000002E-2</v>
      </c>
      <c r="L278">
        <v>3.5000000000000003E-2</v>
      </c>
      <c r="M278">
        <v>0.03</v>
      </c>
      <c r="N278">
        <v>0.03</v>
      </c>
      <c r="O278">
        <v>0.04</v>
      </c>
      <c r="P278">
        <v>4.3749999999999997E-2</v>
      </c>
      <c r="Q278">
        <v>5.5E-2</v>
      </c>
      <c r="R278">
        <v>5.2499999999999998E-2</v>
      </c>
      <c r="S278">
        <v>5.8749999999999997E-2</v>
      </c>
      <c r="T278">
        <v>5.2499999999999998E-2</v>
      </c>
      <c r="U278">
        <v>5.2499999999999998E-2</v>
      </c>
      <c r="V278">
        <v>5.3749999999999999E-2</v>
      </c>
    </row>
    <row r="279" spans="1:22" x14ac:dyDescent="0.2">
      <c r="A279" t="s">
        <v>1024</v>
      </c>
      <c r="B279" t="s">
        <v>1311</v>
      </c>
      <c r="C279" t="s">
        <v>79</v>
      </c>
      <c r="F279" t="s">
        <v>1321</v>
      </c>
      <c r="G279">
        <v>2.5000000000000001E-2</v>
      </c>
      <c r="H279">
        <v>2.2499999999999999E-2</v>
      </c>
      <c r="I279">
        <v>0.03</v>
      </c>
      <c r="J279">
        <v>3.5000000000000003E-2</v>
      </c>
      <c r="K279">
        <v>3.5000000000000003E-2</v>
      </c>
      <c r="L279">
        <v>3.5000000000000003E-2</v>
      </c>
      <c r="M279">
        <v>3.125E-2</v>
      </c>
      <c r="N279">
        <v>3.125E-2</v>
      </c>
      <c r="O279">
        <v>4.1250000000000002E-2</v>
      </c>
      <c r="P279">
        <v>4.4999999999999998E-2</v>
      </c>
      <c r="Q279">
        <v>0.06</v>
      </c>
      <c r="R279">
        <v>5.6250000000000001E-2</v>
      </c>
      <c r="S279">
        <v>6.3750000000000001E-2</v>
      </c>
      <c r="T279">
        <v>5.7500000000000002E-2</v>
      </c>
      <c r="U279">
        <v>5.7500000000000002E-2</v>
      </c>
      <c r="V279">
        <v>0.06</v>
      </c>
    </row>
    <row r="280" spans="1:22" x14ac:dyDescent="0.2">
      <c r="A280" t="s">
        <v>1024</v>
      </c>
      <c r="B280" t="s">
        <v>1311</v>
      </c>
      <c r="C280" t="s">
        <v>159</v>
      </c>
      <c r="F280" t="s">
        <v>1322</v>
      </c>
      <c r="G280">
        <v>2.2499999999999999E-2</v>
      </c>
      <c r="H280">
        <v>2.1250000000000002E-2</v>
      </c>
      <c r="I280">
        <v>2.8750000000000001E-2</v>
      </c>
      <c r="J280">
        <v>3.5000000000000003E-2</v>
      </c>
      <c r="K280">
        <v>3.7499999999999999E-2</v>
      </c>
      <c r="L280">
        <v>3.7499999999999999E-2</v>
      </c>
      <c r="M280">
        <v>3.3750000000000002E-2</v>
      </c>
      <c r="N280">
        <v>3.3750000000000002E-2</v>
      </c>
      <c r="O280">
        <v>4.4999999999999998E-2</v>
      </c>
      <c r="P280">
        <v>0.05</v>
      </c>
      <c r="Q280">
        <v>6.7500000000000004E-2</v>
      </c>
      <c r="R280">
        <v>6.5000000000000002E-2</v>
      </c>
      <c r="S280">
        <v>7.3749999999999996E-2</v>
      </c>
      <c r="T280">
        <v>6.7500000000000004E-2</v>
      </c>
      <c r="U280">
        <v>6.7500000000000004E-2</v>
      </c>
      <c r="V280">
        <v>7.2499999999999995E-2</v>
      </c>
    </row>
    <row r="281" spans="1:22" x14ac:dyDescent="0.2">
      <c r="A281" t="s">
        <v>1024</v>
      </c>
      <c r="B281" t="s">
        <v>1311</v>
      </c>
      <c r="C281" t="s">
        <v>107</v>
      </c>
      <c r="F281" t="s">
        <v>1323</v>
      </c>
      <c r="G281">
        <v>0.02</v>
      </c>
      <c r="H281">
        <v>0.02</v>
      </c>
      <c r="I281">
        <v>2.8750000000000001E-2</v>
      </c>
      <c r="J281">
        <v>3.6249999999999998E-2</v>
      </c>
      <c r="K281">
        <v>3.875E-2</v>
      </c>
      <c r="L281">
        <v>3.875E-2</v>
      </c>
      <c r="M281">
        <v>3.5000000000000003E-2</v>
      </c>
      <c r="N281">
        <v>3.5000000000000003E-2</v>
      </c>
      <c r="O281">
        <v>4.7500000000000001E-2</v>
      </c>
      <c r="P281">
        <v>5.3749999999999999E-2</v>
      </c>
      <c r="Q281">
        <v>7.2499999999999995E-2</v>
      </c>
      <c r="R281">
        <v>7.0000000000000007E-2</v>
      </c>
      <c r="S281">
        <v>0.08</v>
      </c>
      <c r="T281">
        <v>7.8750000000000001E-2</v>
      </c>
      <c r="U281">
        <v>7.8750000000000001E-2</v>
      </c>
      <c r="V281">
        <v>8.3750000000000005E-2</v>
      </c>
    </row>
    <row r="282" spans="1:22" x14ac:dyDescent="0.2">
      <c r="A282" t="s">
        <v>1024</v>
      </c>
      <c r="B282" t="s">
        <v>1311</v>
      </c>
      <c r="C282" t="s">
        <v>108</v>
      </c>
      <c r="F282" t="s">
        <v>1324</v>
      </c>
      <c r="G282">
        <v>1.7500000000000002E-2</v>
      </c>
      <c r="H282">
        <v>0.02</v>
      </c>
      <c r="I282">
        <v>2.8750000000000001E-2</v>
      </c>
      <c r="J282">
        <v>3.7499999999999999E-2</v>
      </c>
      <c r="K282">
        <v>4.1250000000000002E-2</v>
      </c>
      <c r="L282">
        <v>4.1250000000000002E-2</v>
      </c>
      <c r="M282">
        <v>3.7499999999999999E-2</v>
      </c>
      <c r="N282">
        <v>3.7499999999999999E-2</v>
      </c>
      <c r="O282">
        <v>0.05</v>
      </c>
      <c r="P282">
        <v>5.7500000000000002E-2</v>
      </c>
      <c r="Q282">
        <v>7.8750000000000001E-2</v>
      </c>
      <c r="R282">
        <v>7.6249999999999998E-2</v>
      </c>
      <c r="S282">
        <v>8.6249999999999993E-2</v>
      </c>
      <c r="T282">
        <v>8.5000000000000006E-2</v>
      </c>
      <c r="U282">
        <v>8.5000000000000006E-2</v>
      </c>
      <c r="V282">
        <v>9.1249999999999998E-2</v>
      </c>
    </row>
    <row r="283" spans="1:22" x14ac:dyDescent="0.2">
      <c r="A283" t="s">
        <v>1024</v>
      </c>
      <c r="B283" t="s">
        <v>1311</v>
      </c>
      <c r="C283" t="s">
        <v>109</v>
      </c>
      <c r="F283" t="s">
        <v>1325</v>
      </c>
      <c r="G283">
        <v>1.7500000000000002E-2</v>
      </c>
      <c r="H283">
        <v>0.02</v>
      </c>
      <c r="I283">
        <v>2.8750000000000001E-2</v>
      </c>
      <c r="J283">
        <v>3.7499999999999999E-2</v>
      </c>
      <c r="K283">
        <v>4.1250000000000002E-2</v>
      </c>
      <c r="L283">
        <v>4.1250000000000002E-2</v>
      </c>
      <c r="M283">
        <v>3.7499999999999999E-2</v>
      </c>
      <c r="N283">
        <v>3.7499999999999999E-2</v>
      </c>
      <c r="O283">
        <v>5.5E-2</v>
      </c>
      <c r="P283">
        <v>6.25E-2</v>
      </c>
      <c r="Q283">
        <v>8.5000000000000006E-2</v>
      </c>
      <c r="R283">
        <v>8.2500000000000004E-2</v>
      </c>
      <c r="S283">
        <v>9.2499999999999999E-2</v>
      </c>
      <c r="T283">
        <v>9.1249999999999998E-2</v>
      </c>
      <c r="U283">
        <v>9.1249999999999998E-2</v>
      </c>
      <c r="V283">
        <v>9.8750000000000004E-2</v>
      </c>
    </row>
    <row r="284" spans="1:22" x14ac:dyDescent="0.2">
      <c r="A284" t="s">
        <v>1024</v>
      </c>
      <c r="B284" t="s">
        <v>1311</v>
      </c>
      <c r="C284" t="s">
        <v>110</v>
      </c>
      <c r="F284" t="s">
        <v>1326</v>
      </c>
      <c r="G284">
        <v>1.6250000000000001E-2</v>
      </c>
      <c r="H284">
        <v>1.8749999999999999E-2</v>
      </c>
      <c r="I284">
        <v>2.75E-2</v>
      </c>
      <c r="J284">
        <v>3.7499999999999999E-2</v>
      </c>
      <c r="K284">
        <v>4.1250000000000002E-2</v>
      </c>
      <c r="L284">
        <v>4.1250000000000002E-2</v>
      </c>
      <c r="M284">
        <v>3.7499999999999999E-2</v>
      </c>
      <c r="N284">
        <v>3.7499999999999999E-2</v>
      </c>
      <c r="O284">
        <v>5.8749999999999997E-2</v>
      </c>
      <c r="P284">
        <v>6.6250000000000003E-2</v>
      </c>
      <c r="Q284">
        <v>0.09</v>
      </c>
      <c r="R284">
        <v>8.7499999999999994E-2</v>
      </c>
      <c r="S284">
        <v>9.7500000000000003E-2</v>
      </c>
      <c r="T284">
        <v>9.6250000000000002E-2</v>
      </c>
      <c r="U284">
        <v>9.6250000000000002E-2</v>
      </c>
      <c r="V284">
        <v>0.10375</v>
      </c>
    </row>
    <row r="285" spans="1:22" x14ac:dyDescent="0.2">
      <c r="A285" t="s">
        <v>1024</v>
      </c>
      <c r="B285" t="s">
        <v>1311</v>
      </c>
      <c r="C285" t="s">
        <v>174</v>
      </c>
      <c r="F285" t="s">
        <v>1327</v>
      </c>
      <c r="G285">
        <v>1.6250000000000001E-2</v>
      </c>
      <c r="H285">
        <v>1.8749999999999999E-2</v>
      </c>
      <c r="I285">
        <v>2.75E-2</v>
      </c>
      <c r="J285">
        <v>3.7499999999999999E-2</v>
      </c>
      <c r="K285">
        <v>4.1250000000000002E-2</v>
      </c>
      <c r="L285">
        <v>4.1250000000000002E-2</v>
      </c>
      <c r="M285">
        <v>3.7499999999999999E-2</v>
      </c>
      <c r="N285">
        <v>3.7499999999999999E-2</v>
      </c>
      <c r="O285">
        <v>5.8749999999999997E-2</v>
      </c>
      <c r="P285">
        <v>6.6250000000000003E-2</v>
      </c>
      <c r="Q285">
        <v>0.09</v>
      </c>
      <c r="R285">
        <v>8.7499999999999994E-2</v>
      </c>
      <c r="S285">
        <v>9.7500000000000003E-2</v>
      </c>
      <c r="T285">
        <v>9.6250000000000002E-2</v>
      </c>
      <c r="U285">
        <v>9.6250000000000002E-2</v>
      </c>
      <c r="V285">
        <v>0.10375</v>
      </c>
    </row>
    <row r="286" spans="1:22" x14ac:dyDescent="0.2">
      <c r="A286" t="s">
        <v>1024</v>
      </c>
      <c r="B286" t="s">
        <v>1311</v>
      </c>
      <c r="C286" t="s">
        <v>175</v>
      </c>
      <c r="F286" t="s">
        <v>1328</v>
      </c>
      <c r="G286">
        <v>1.6250000000000001E-2</v>
      </c>
      <c r="H286">
        <v>1.8749999999999999E-2</v>
      </c>
      <c r="I286">
        <v>2.75E-2</v>
      </c>
      <c r="J286">
        <v>3.7499999999999999E-2</v>
      </c>
      <c r="K286">
        <v>4.1250000000000002E-2</v>
      </c>
      <c r="L286">
        <v>4.1250000000000002E-2</v>
      </c>
      <c r="M286">
        <v>3.7499999999999999E-2</v>
      </c>
      <c r="N286">
        <v>3.7499999999999999E-2</v>
      </c>
      <c r="O286">
        <v>5.8749999999999997E-2</v>
      </c>
      <c r="P286">
        <v>6.6250000000000003E-2</v>
      </c>
      <c r="Q286">
        <v>0.09</v>
      </c>
      <c r="R286">
        <v>8.7499999999999994E-2</v>
      </c>
      <c r="S286">
        <v>9.7500000000000003E-2</v>
      </c>
      <c r="T286">
        <v>9.6250000000000002E-2</v>
      </c>
      <c r="U286">
        <v>9.6250000000000002E-2</v>
      </c>
      <c r="V286">
        <v>0.10375</v>
      </c>
    </row>
    <row r="290" spans="1:22" x14ac:dyDescent="0.2">
      <c r="A290" t="s">
        <v>1024</v>
      </c>
      <c r="B290" t="s">
        <v>1329</v>
      </c>
      <c r="C290" t="s">
        <v>25</v>
      </c>
      <c r="F290" t="s">
        <v>1330</v>
      </c>
      <c r="G290">
        <v>-0.66125</v>
      </c>
      <c r="H290">
        <v>-0.73375000000000001</v>
      </c>
      <c r="I290">
        <v>-0.71499999999999997</v>
      </c>
      <c r="J290">
        <v>-0.6875</v>
      </c>
      <c r="K290">
        <v>-0.68500000000000005</v>
      </c>
      <c r="L290">
        <v>-0.65562500000000001</v>
      </c>
      <c r="M290">
        <v>-0.625</v>
      </c>
      <c r="N290">
        <v>-0.62749999999999995</v>
      </c>
      <c r="O290">
        <v>-0.6825</v>
      </c>
      <c r="P290">
        <v>-0.71875</v>
      </c>
      <c r="Q290">
        <v>-0.80500000000000005</v>
      </c>
      <c r="R290">
        <v>-0.78249999999999997</v>
      </c>
      <c r="S290">
        <v>-0.73187500000000005</v>
      </c>
      <c r="T290">
        <v>-0.72250000000000003</v>
      </c>
      <c r="U290">
        <v>-0.71</v>
      </c>
      <c r="V290">
        <v>-0.72499999999999998</v>
      </c>
    </row>
    <row r="291" spans="1:22" x14ac:dyDescent="0.2">
      <c r="A291" t="s">
        <v>1024</v>
      </c>
      <c r="B291" t="s">
        <v>1329</v>
      </c>
      <c r="C291" t="s">
        <v>157</v>
      </c>
      <c r="F291" t="s">
        <v>1331</v>
      </c>
      <c r="G291">
        <v>-0.72499999999999998</v>
      </c>
      <c r="H291">
        <v>-0.76249999999999996</v>
      </c>
      <c r="I291">
        <v>-0.73499999999999999</v>
      </c>
      <c r="J291">
        <v>-0.71750000000000003</v>
      </c>
      <c r="K291">
        <v>-0.71750000000000003</v>
      </c>
      <c r="L291">
        <v>-0.7</v>
      </c>
      <c r="M291">
        <v>-0.6825</v>
      </c>
      <c r="N291">
        <v>-0.68374999999999997</v>
      </c>
      <c r="O291">
        <v>-0.71625000000000005</v>
      </c>
      <c r="P291">
        <v>-0.73750000000000004</v>
      </c>
      <c r="Q291">
        <v>-0.82</v>
      </c>
      <c r="R291">
        <v>-0.80625000000000002</v>
      </c>
      <c r="S291">
        <v>-0.77124999999999999</v>
      </c>
      <c r="T291">
        <v>-0.76749999999999996</v>
      </c>
      <c r="U291">
        <v>-0.76375000000000004</v>
      </c>
      <c r="V291">
        <v>-0.79</v>
      </c>
    </row>
    <row r="292" spans="1:22" x14ac:dyDescent="0.2">
      <c r="A292" t="s">
        <v>1024</v>
      </c>
      <c r="B292" t="s">
        <v>1329</v>
      </c>
      <c r="C292" t="s">
        <v>99</v>
      </c>
      <c r="F292" t="s">
        <v>1332</v>
      </c>
      <c r="G292">
        <v>-0.78500000000000003</v>
      </c>
      <c r="H292">
        <v>-0.77749999999999997</v>
      </c>
      <c r="I292">
        <v>-0.760625</v>
      </c>
      <c r="J292">
        <v>-0.74624999999999997</v>
      </c>
      <c r="K292">
        <v>-0.74624999999999997</v>
      </c>
      <c r="L292">
        <v>-0.73124999999999996</v>
      </c>
      <c r="M292">
        <v>-0.71499999999999997</v>
      </c>
      <c r="N292">
        <v>-0.71750000000000003</v>
      </c>
      <c r="O292">
        <v>-0.74</v>
      </c>
      <c r="P292">
        <v>-0.755</v>
      </c>
      <c r="Q292">
        <v>-0.82499999999999996</v>
      </c>
      <c r="R292">
        <v>-0.82625000000000004</v>
      </c>
      <c r="S292">
        <v>-0.79874999999999996</v>
      </c>
      <c r="T292">
        <v>-0.80374999999999996</v>
      </c>
      <c r="U292">
        <v>-0.79937499999999995</v>
      </c>
      <c r="V292">
        <v>-0.83750000000000002</v>
      </c>
    </row>
    <row r="293" spans="1:22" x14ac:dyDescent="0.2">
      <c r="A293" t="s">
        <v>1024</v>
      </c>
      <c r="B293" t="s">
        <v>1329</v>
      </c>
      <c r="C293" t="s">
        <v>101</v>
      </c>
      <c r="F293" t="s">
        <v>1333</v>
      </c>
      <c r="G293">
        <v>-0.83250000000000002</v>
      </c>
      <c r="H293">
        <v>-0.78749999999999998</v>
      </c>
      <c r="I293">
        <v>-0.77500000000000002</v>
      </c>
      <c r="J293">
        <v>-0.77</v>
      </c>
      <c r="K293">
        <v>-0.76875000000000004</v>
      </c>
      <c r="L293">
        <v>-0.755</v>
      </c>
      <c r="M293">
        <v>-0.73499999999999999</v>
      </c>
      <c r="N293">
        <v>-0.74</v>
      </c>
      <c r="O293">
        <v>-0.75624999999999998</v>
      </c>
      <c r="P293">
        <v>-0.76624999999999999</v>
      </c>
      <c r="Q293">
        <v>-0.83250000000000002</v>
      </c>
      <c r="R293">
        <v>-0.83250000000000002</v>
      </c>
      <c r="S293">
        <v>-0.81499999999999995</v>
      </c>
      <c r="T293">
        <v>-0.83374999999999999</v>
      </c>
      <c r="U293">
        <v>-0.82374999999999998</v>
      </c>
      <c r="V293">
        <v>-0.87</v>
      </c>
    </row>
    <row r="294" spans="1:22" x14ac:dyDescent="0.2">
      <c r="A294" t="s">
        <v>1024</v>
      </c>
      <c r="B294" t="s">
        <v>1329</v>
      </c>
      <c r="C294" t="s">
        <v>102</v>
      </c>
      <c r="F294" t="s">
        <v>1334</v>
      </c>
      <c r="G294">
        <v>-0.86750000000000005</v>
      </c>
      <c r="H294">
        <v>-0.79625000000000001</v>
      </c>
      <c r="I294">
        <v>-0.78749999999999998</v>
      </c>
      <c r="J294">
        <v>-0.79</v>
      </c>
      <c r="K294">
        <v>-0.78500000000000003</v>
      </c>
      <c r="L294">
        <v>-0.76875000000000004</v>
      </c>
      <c r="M294">
        <v>-0.75</v>
      </c>
      <c r="N294">
        <v>-0.75249999999999995</v>
      </c>
      <c r="O294">
        <v>-0.76124999999999998</v>
      </c>
      <c r="P294">
        <v>-0.77</v>
      </c>
      <c r="Q294">
        <v>-0.83250000000000002</v>
      </c>
      <c r="R294">
        <v>-0.83</v>
      </c>
      <c r="S294">
        <v>-0.82499999999999996</v>
      </c>
      <c r="T294">
        <v>-0.84250000000000003</v>
      </c>
      <c r="U294">
        <v>-0.83625000000000005</v>
      </c>
      <c r="V294">
        <v>-0.88624999999999998</v>
      </c>
    </row>
    <row r="295" spans="1:22" x14ac:dyDescent="0.2">
      <c r="A295" t="s">
        <v>1024</v>
      </c>
      <c r="B295" t="s">
        <v>1329</v>
      </c>
      <c r="C295" t="s">
        <v>1019</v>
      </c>
      <c r="F295" t="s">
        <v>1335</v>
      </c>
      <c r="G295">
        <v>-0.9</v>
      </c>
      <c r="H295">
        <v>-0.79500000000000004</v>
      </c>
      <c r="I295">
        <v>-0.79500000000000004</v>
      </c>
      <c r="J295">
        <v>-0.79374999999999996</v>
      </c>
      <c r="K295">
        <v>-0.78500000000000003</v>
      </c>
      <c r="L295">
        <v>-0.76749999999999996</v>
      </c>
      <c r="M295">
        <v>-0.74875000000000003</v>
      </c>
      <c r="N295">
        <v>-0.75249999999999995</v>
      </c>
      <c r="O295">
        <v>-0.74</v>
      </c>
      <c r="P295">
        <v>-0.75</v>
      </c>
      <c r="Q295">
        <v>-0.8</v>
      </c>
      <c r="R295">
        <v>-0.80500000000000005</v>
      </c>
      <c r="S295">
        <v>-0.8075</v>
      </c>
      <c r="T295">
        <v>-0.83750000000000002</v>
      </c>
      <c r="U295">
        <v>-0.83</v>
      </c>
      <c r="V295">
        <v>-0.88624999999999998</v>
      </c>
    </row>
    <row r="296" spans="1:22" x14ac:dyDescent="0.2">
      <c r="A296" t="s">
        <v>1024</v>
      </c>
      <c r="B296" t="s">
        <v>1329</v>
      </c>
      <c r="C296" t="s">
        <v>952</v>
      </c>
      <c r="F296" t="s">
        <v>1336</v>
      </c>
      <c r="G296">
        <v>-0.87124999999999997</v>
      </c>
      <c r="H296">
        <v>-0.75749999999999995</v>
      </c>
      <c r="I296">
        <v>-0.74750000000000005</v>
      </c>
      <c r="J296">
        <v>-0.75124999999999997</v>
      </c>
      <c r="K296">
        <v>-0.73624999999999996</v>
      </c>
      <c r="L296">
        <v>-0.72375</v>
      </c>
      <c r="M296">
        <v>-0.70250000000000001</v>
      </c>
      <c r="N296">
        <v>-0.71250000000000002</v>
      </c>
      <c r="O296">
        <v>-0.69</v>
      </c>
      <c r="P296">
        <v>-0.70250000000000001</v>
      </c>
      <c r="Q296">
        <v>-0.75</v>
      </c>
      <c r="R296">
        <v>-0.75624999999999998</v>
      </c>
      <c r="S296">
        <v>-0.76500000000000001</v>
      </c>
      <c r="T296">
        <v>-0.79125000000000001</v>
      </c>
      <c r="U296">
        <v>-0.78625</v>
      </c>
      <c r="V296">
        <v>-0.84375</v>
      </c>
    </row>
    <row r="297" spans="1:22" x14ac:dyDescent="0.2">
      <c r="A297" t="s">
        <v>1024</v>
      </c>
      <c r="B297" t="s">
        <v>1329</v>
      </c>
      <c r="C297" t="s">
        <v>1020</v>
      </c>
      <c r="F297" t="s">
        <v>1337</v>
      </c>
      <c r="G297">
        <v>-0.71250000000000002</v>
      </c>
      <c r="H297">
        <v>-0.66500000000000004</v>
      </c>
      <c r="I297">
        <v>-0.67749999999999999</v>
      </c>
      <c r="J297">
        <v>-0.67500000000000004</v>
      </c>
      <c r="K297">
        <v>-0.65749999999999997</v>
      </c>
      <c r="L297">
        <v>-0.64249999999999996</v>
      </c>
      <c r="M297">
        <v>-0.62</v>
      </c>
      <c r="N297">
        <v>-0.63</v>
      </c>
      <c r="O297">
        <v>-0.60875000000000001</v>
      </c>
      <c r="P297">
        <v>-0.62250000000000005</v>
      </c>
      <c r="Q297">
        <v>-0.67</v>
      </c>
      <c r="R297">
        <v>-0.67</v>
      </c>
      <c r="S297">
        <v>-0.6825</v>
      </c>
      <c r="T297">
        <v>-0.70750000000000002</v>
      </c>
      <c r="U297">
        <v>-0.70499999999999996</v>
      </c>
      <c r="V297">
        <v>-0.76124999999999998</v>
      </c>
    </row>
    <row r="298" spans="1:22" x14ac:dyDescent="0.2">
      <c r="A298" t="s">
        <v>1024</v>
      </c>
      <c r="B298" t="s">
        <v>1329</v>
      </c>
      <c r="C298" t="s">
        <v>1021</v>
      </c>
      <c r="F298" t="s">
        <v>1338</v>
      </c>
      <c r="G298">
        <v>-0.59</v>
      </c>
      <c r="H298">
        <v>-0.56999999999999995</v>
      </c>
      <c r="I298">
        <v>-0.60499999999999998</v>
      </c>
      <c r="J298">
        <v>-0.60250000000000004</v>
      </c>
      <c r="K298">
        <v>-0.58499999999999996</v>
      </c>
      <c r="L298">
        <v>-0.57125000000000004</v>
      </c>
      <c r="M298">
        <v>-0.5575</v>
      </c>
      <c r="N298">
        <v>-0.56499999999999995</v>
      </c>
      <c r="O298">
        <v>-0.54749999999999999</v>
      </c>
      <c r="P298">
        <v>-0.5625</v>
      </c>
      <c r="Q298">
        <v>-0.61124999999999996</v>
      </c>
      <c r="R298">
        <v>-0.61</v>
      </c>
      <c r="S298">
        <v>-0.625</v>
      </c>
      <c r="T298">
        <v>-0.64875000000000005</v>
      </c>
      <c r="U298">
        <v>-0.64500000000000002</v>
      </c>
      <c r="V298">
        <v>-0.7</v>
      </c>
    </row>
    <row r="299" spans="1:22" x14ac:dyDescent="0.2">
      <c r="A299" t="s">
        <v>1024</v>
      </c>
      <c r="B299" t="s">
        <v>1329</v>
      </c>
      <c r="C299" t="s">
        <v>1022</v>
      </c>
      <c r="F299" t="s">
        <v>1339</v>
      </c>
      <c r="G299">
        <v>-0.48</v>
      </c>
      <c r="H299">
        <v>-0.48249999999999998</v>
      </c>
      <c r="I299">
        <v>-0.52</v>
      </c>
      <c r="J299">
        <v>-0.51749999999999996</v>
      </c>
      <c r="K299">
        <v>-0.49875000000000003</v>
      </c>
      <c r="L299">
        <v>-0.48375000000000001</v>
      </c>
      <c r="M299">
        <v>-0.47875000000000001</v>
      </c>
      <c r="N299">
        <v>-0.48749999999999999</v>
      </c>
      <c r="O299">
        <v>-0.46500000000000002</v>
      </c>
      <c r="P299">
        <v>-0.48</v>
      </c>
      <c r="Q299">
        <v>-0.52875000000000005</v>
      </c>
      <c r="R299">
        <v>-0.52749999999999997</v>
      </c>
      <c r="S299">
        <v>-0.54125000000000001</v>
      </c>
      <c r="T299">
        <v>-0.56125000000000003</v>
      </c>
      <c r="U299">
        <v>-0.56125000000000003</v>
      </c>
      <c r="V299">
        <v>-0.6</v>
      </c>
    </row>
    <row r="301" spans="1:22" x14ac:dyDescent="0.2">
      <c r="A301" t="s">
        <v>1340</v>
      </c>
      <c r="B301" t="s">
        <v>1269</v>
      </c>
      <c r="C301" t="s">
        <v>1341</v>
      </c>
      <c r="F301" t="s">
        <v>1342</v>
      </c>
      <c r="G301">
        <v>-0.80879999999999996</v>
      </c>
      <c r="H301">
        <v>-0.80300000000000005</v>
      </c>
      <c r="I301">
        <v>-0.79979999999999996</v>
      </c>
      <c r="J301">
        <v>-0.78680000000000005</v>
      </c>
      <c r="K301">
        <v>-0.79039999999999999</v>
      </c>
      <c r="L301">
        <v>-0.7964</v>
      </c>
      <c r="M301">
        <v>-0.78320000000000001</v>
      </c>
      <c r="N301">
        <v>-0.79920000000000002</v>
      </c>
      <c r="O301">
        <v>-0.77200000000000002</v>
      </c>
      <c r="P301">
        <v>-0.77780000000000005</v>
      </c>
      <c r="Q301">
        <v>-0.79879999999999995</v>
      </c>
      <c r="R301">
        <v>-0.78180000000000005</v>
      </c>
      <c r="S301">
        <v>-0.77580000000000005</v>
      </c>
      <c r="T301">
        <v>-0.79020000000000001</v>
      </c>
      <c r="U301">
        <v>-0.79020000000000001</v>
      </c>
      <c r="V301">
        <v>-0.7792</v>
      </c>
    </row>
    <row r="302" spans="1:22" x14ac:dyDescent="0.2">
      <c r="A302" t="s">
        <v>1340</v>
      </c>
      <c r="B302" t="s">
        <v>1269</v>
      </c>
      <c r="C302" t="s">
        <v>1343</v>
      </c>
      <c r="F302" t="s">
        <v>1344</v>
      </c>
      <c r="G302">
        <v>-0.83819999999999995</v>
      </c>
      <c r="H302">
        <v>-0.81459999999999999</v>
      </c>
      <c r="I302">
        <v>-0.81299999999999994</v>
      </c>
      <c r="J302">
        <v>-0.7944</v>
      </c>
      <c r="K302">
        <v>-0.80479999999999996</v>
      </c>
      <c r="L302">
        <v>-0.80840000000000001</v>
      </c>
      <c r="M302">
        <v>-0.79479999999999995</v>
      </c>
      <c r="N302">
        <v>-0.79400000000000004</v>
      </c>
      <c r="O302">
        <v>-0.78039999999999998</v>
      </c>
      <c r="P302">
        <v>-0.78839999999999999</v>
      </c>
      <c r="Q302">
        <v>-0.8</v>
      </c>
      <c r="R302">
        <v>-0.79520000000000002</v>
      </c>
      <c r="S302">
        <v>-0.78520000000000001</v>
      </c>
      <c r="T302">
        <v>-0.80320000000000003</v>
      </c>
      <c r="U302">
        <v>-0.79920000000000002</v>
      </c>
      <c r="V302">
        <v>-0.80279999999999996</v>
      </c>
    </row>
    <row r="303" spans="1:22" x14ac:dyDescent="0.2">
      <c r="A303" t="s">
        <v>1340</v>
      </c>
      <c r="B303" t="s">
        <v>1269</v>
      </c>
      <c r="C303" t="s">
        <v>1345</v>
      </c>
      <c r="F303" t="s">
        <v>1346</v>
      </c>
      <c r="G303">
        <v>-0.8286</v>
      </c>
      <c r="H303">
        <v>-0.81079999999999997</v>
      </c>
      <c r="I303">
        <v>-0.80200000000000005</v>
      </c>
      <c r="J303">
        <v>-0.78759999999999997</v>
      </c>
      <c r="K303">
        <v>-0.79039999999999999</v>
      </c>
      <c r="L303">
        <v>-0.79100000000000004</v>
      </c>
      <c r="M303">
        <v>-0.78839999999999999</v>
      </c>
      <c r="N303">
        <v>-0.78739999999999999</v>
      </c>
      <c r="O303">
        <v>-0.78039999999999998</v>
      </c>
      <c r="P303">
        <v>-0.78639999999999999</v>
      </c>
      <c r="Q303">
        <v>-0.78959999999999997</v>
      </c>
      <c r="R303">
        <v>-0.81779999999999997</v>
      </c>
      <c r="S303">
        <v>-0.81779999999999997</v>
      </c>
      <c r="T303">
        <v>-0.82840000000000003</v>
      </c>
      <c r="U303">
        <v>-0.82040000000000002</v>
      </c>
      <c r="V303">
        <v>-0.78720000000000001</v>
      </c>
    </row>
    <row r="304" spans="1:22" x14ac:dyDescent="0.2">
      <c r="A304" t="s">
        <v>1340</v>
      </c>
      <c r="B304" t="s">
        <v>1269</v>
      </c>
      <c r="C304" t="s">
        <v>1347</v>
      </c>
      <c r="F304" t="s">
        <v>1348</v>
      </c>
      <c r="G304">
        <v>-0.79759999999999998</v>
      </c>
      <c r="H304">
        <v>-0.78239999999999998</v>
      </c>
      <c r="I304">
        <v>-0.7732</v>
      </c>
      <c r="J304">
        <v>-0.75800000000000001</v>
      </c>
      <c r="K304">
        <v>-0.75780000000000003</v>
      </c>
      <c r="L304">
        <v>-0.75839999999999996</v>
      </c>
      <c r="M304">
        <v>-0.75780000000000003</v>
      </c>
      <c r="N304">
        <v>-0.75600000000000001</v>
      </c>
      <c r="O304">
        <v>-0.75739999999999996</v>
      </c>
      <c r="P304">
        <v>-0.76139999999999997</v>
      </c>
      <c r="Q304">
        <v>-0.77639999999999998</v>
      </c>
      <c r="R304">
        <v>-0.78559999999999997</v>
      </c>
      <c r="S304">
        <v>-0.77400000000000002</v>
      </c>
      <c r="T304">
        <v>-0.77880000000000005</v>
      </c>
      <c r="U304">
        <v>-0.77880000000000005</v>
      </c>
      <c r="V304">
        <v>-0.75460000000000005</v>
      </c>
    </row>
    <row r="305" spans="1:22" x14ac:dyDescent="0.2">
      <c r="A305" t="s">
        <v>1340</v>
      </c>
      <c r="B305" t="s">
        <v>1269</v>
      </c>
      <c r="C305" t="s">
        <v>1001</v>
      </c>
      <c r="F305" t="s">
        <v>1349</v>
      </c>
      <c r="G305">
        <v>-0.77980000000000005</v>
      </c>
      <c r="H305">
        <v>-0.73640000000000005</v>
      </c>
      <c r="I305">
        <v>-0.75</v>
      </c>
      <c r="J305">
        <v>-0.73119999999999996</v>
      </c>
      <c r="K305">
        <v>-0.72819999999999996</v>
      </c>
      <c r="L305">
        <v>-0.7288</v>
      </c>
      <c r="M305">
        <v>-0.72399999999999998</v>
      </c>
      <c r="N305">
        <v>-0.73</v>
      </c>
      <c r="O305">
        <v>-0.73119999999999996</v>
      </c>
      <c r="P305">
        <v>-0.73519999999999996</v>
      </c>
      <c r="Q305">
        <v>-0.74639999999999995</v>
      </c>
      <c r="R305">
        <v>-0.749</v>
      </c>
      <c r="S305">
        <v>-0.73719999999999997</v>
      </c>
      <c r="T305">
        <v>-0.73880000000000001</v>
      </c>
      <c r="U305">
        <v>-0.73880000000000001</v>
      </c>
      <c r="V305">
        <v>-0.72940000000000005</v>
      </c>
    </row>
    <row r="306" spans="1:22" x14ac:dyDescent="0.2">
      <c r="A306" t="s">
        <v>1340</v>
      </c>
      <c r="B306" t="s">
        <v>1269</v>
      </c>
      <c r="C306" t="s">
        <v>1000</v>
      </c>
      <c r="F306" t="s">
        <v>1350</v>
      </c>
      <c r="G306">
        <v>-0.7016</v>
      </c>
      <c r="H306">
        <v>-0.65280000000000005</v>
      </c>
      <c r="I306">
        <v>-0.65739999999999998</v>
      </c>
      <c r="J306">
        <v>-0.64939999999999998</v>
      </c>
      <c r="K306">
        <v>-0.64700000000000002</v>
      </c>
      <c r="L306">
        <v>-0.65100000000000002</v>
      </c>
      <c r="M306">
        <v>-0.64300000000000002</v>
      </c>
      <c r="N306">
        <v>-0.64259999999999995</v>
      </c>
      <c r="O306">
        <v>-0.66100000000000003</v>
      </c>
      <c r="P306">
        <v>-0.66200000000000003</v>
      </c>
      <c r="Q306">
        <v>-0.67500000000000004</v>
      </c>
      <c r="R306">
        <v>-0.68</v>
      </c>
      <c r="S306">
        <v>-0.66959999999999997</v>
      </c>
      <c r="T306">
        <v>-0.66900000000000004</v>
      </c>
      <c r="U306">
        <v>-0.66900000000000004</v>
      </c>
      <c r="V306">
        <v>-0.66359999999999997</v>
      </c>
    </row>
    <row r="307" spans="1:22" x14ac:dyDescent="0.2">
      <c r="A307" t="s">
        <v>1340</v>
      </c>
      <c r="B307" t="s">
        <v>1269</v>
      </c>
      <c r="C307" t="s">
        <v>1345</v>
      </c>
      <c r="D307" t="s">
        <v>1351</v>
      </c>
      <c r="F307" t="s">
        <v>956</v>
      </c>
      <c r="G307">
        <v>-0.8</v>
      </c>
      <c r="H307">
        <v>-0.65500000000000003</v>
      </c>
      <c r="I307">
        <v>-0.67</v>
      </c>
      <c r="J307">
        <v>-0.65</v>
      </c>
      <c r="K307">
        <v>-0.65</v>
      </c>
      <c r="L307">
        <v>-0.66</v>
      </c>
      <c r="M307">
        <v>-0.65</v>
      </c>
      <c r="N307">
        <v>-0.65</v>
      </c>
      <c r="O307">
        <v>-0.67</v>
      </c>
      <c r="P307">
        <v>-0.68500000000000005</v>
      </c>
      <c r="Q307">
        <v>-0.70499999999999996</v>
      </c>
      <c r="R307">
        <v>-0.7</v>
      </c>
      <c r="S307">
        <v>-0.67</v>
      </c>
      <c r="T307">
        <v>-0.66500000000000004</v>
      </c>
      <c r="U307">
        <v>-0.67</v>
      </c>
      <c r="V307">
        <v>-0.66500000000000004</v>
      </c>
    </row>
    <row r="308" spans="1:22" x14ac:dyDescent="0.2">
      <c r="A308" t="s">
        <v>1340</v>
      </c>
      <c r="B308" t="s">
        <v>1269</v>
      </c>
      <c r="C308" t="s">
        <v>1347</v>
      </c>
      <c r="D308" t="s">
        <v>1352</v>
      </c>
      <c r="F308" t="s">
        <v>957</v>
      </c>
      <c r="G308">
        <v>-0.86</v>
      </c>
      <c r="H308">
        <v>-0.66500000000000004</v>
      </c>
      <c r="I308">
        <v>-0.68500000000000005</v>
      </c>
      <c r="J308">
        <v>-0.66</v>
      </c>
      <c r="K308">
        <v>-0.65500000000000003</v>
      </c>
      <c r="L308">
        <v>-0.67</v>
      </c>
      <c r="M308">
        <v>-0.66</v>
      </c>
      <c r="N308">
        <v>-0.65500000000000003</v>
      </c>
      <c r="O308">
        <v>-0.66500000000000004</v>
      </c>
      <c r="P308">
        <v>-0.68</v>
      </c>
      <c r="Q308">
        <v>-0.71499999999999997</v>
      </c>
      <c r="R308">
        <v>-0.71</v>
      </c>
      <c r="S308">
        <v>-0.68</v>
      </c>
      <c r="T308">
        <v>-0.66500000000000004</v>
      </c>
      <c r="U308">
        <v>-0.67500000000000004</v>
      </c>
      <c r="V308">
        <v>-0.67</v>
      </c>
    </row>
    <row r="309" spans="1:22" x14ac:dyDescent="0.2">
      <c r="A309" t="s">
        <v>1340</v>
      </c>
      <c r="B309" t="s">
        <v>1269</v>
      </c>
      <c r="C309" t="s">
        <v>1001</v>
      </c>
      <c r="D309" t="s">
        <v>1353</v>
      </c>
      <c r="F309" t="s">
        <v>958</v>
      </c>
      <c r="G309">
        <v>-0.89500000000000002</v>
      </c>
      <c r="H309">
        <v>-0.67500000000000004</v>
      </c>
      <c r="I309">
        <v>-0.69499999999999995</v>
      </c>
      <c r="J309">
        <v>-0.67</v>
      </c>
      <c r="K309">
        <v>-0.66</v>
      </c>
      <c r="L309">
        <v>-0.67500000000000004</v>
      </c>
      <c r="M309">
        <v>-0.67</v>
      </c>
      <c r="N309">
        <v>-0.66</v>
      </c>
      <c r="O309">
        <v>-0.66</v>
      </c>
      <c r="P309">
        <v>-0.67500000000000004</v>
      </c>
      <c r="Q309">
        <v>-0.72</v>
      </c>
      <c r="R309">
        <v>-0.72</v>
      </c>
      <c r="S309">
        <v>-0.68500000000000005</v>
      </c>
      <c r="T309">
        <v>-0.66500000000000004</v>
      </c>
      <c r="U309">
        <v>-0.67500000000000004</v>
      </c>
      <c r="V309">
        <v>-0.67</v>
      </c>
    </row>
    <row r="310" spans="1:22" x14ac:dyDescent="0.2">
      <c r="A310" t="s">
        <v>1340</v>
      </c>
      <c r="B310" t="s">
        <v>1269</v>
      </c>
      <c r="C310" t="s">
        <v>1354</v>
      </c>
      <c r="D310" t="s">
        <v>1355</v>
      </c>
      <c r="F310" t="s">
        <v>959</v>
      </c>
      <c r="G310">
        <v>-0.88009999999999999</v>
      </c>
      <c r="H310">
        <v>-0.6825</v>
      </c>
      <c r="I310">
        <v>-0.69850000000000001</v>
      </c>
      <c r="J310">
        <v>-0.66920000000000002</v>
      </c>
      <c r="K310">
        <v>-0.66559999999999997</v>
      </c>
      <c r="L310">
        <v>-0.67249999999999999</v>
      </c>
      <c r="M310">
        <v>-0.66800000000000004</v>
      </c>
      <c r="N310">
        <v>-0.65749999999999997</v>
      </c>
      <c r="O310">
        <v>-0.64790000000000003</v>
      </c>
      <c r="P310">
        <v>-0.66249999999999998</v>
      </c>
      <c r="Q310">
        <v>-0.72250000000000003</v>
      </c>
      <c r="R310">
        <v>-0.72</v>
      </c>
      <c r="S310">
        <v>-0.6825</v>
      </c>
      <c r="T310">
        <v>-0.66</v>
      </c>
      <c r="U310">
        <v>-0.67500000000000004</v>
      </c>
      <c r="V310">
        <v>-0.67379999999999995</v>
      </c>
    </row>
    <row r="311" spans="1:22" x14ac:dyDescent="0.2">
      <c r="A311" t="s">
        <v>1340</v>
      </c>
      <c r="B311" t="s">
        <v>1269</v>
      </c>
      <c r="C311" t="s">
        <v>1356</v>
      </c>
      <c r="D311" t="s">
        <v>1357</v>
      </c>
      <c r="F311" t="s">
        <v>960</v>
      </c>
      <c r="G311">
        <v>-0.9</v>
      </c>
      <c r="H311">
        <v>-0.6835</v>
      </c>
      <c r="I311">
        <v>-0.70320000000000005</v>
      </c>
      <c r="J311">
        <v>-0.67310000000000003</v>
      </c>
      <c r="K311">
        <v>-0.66830000000000001</v>
      </c>
      <c r="L311">
        <v>-0.67830000000000001</v>
      </c>
      <c r="M311">
        <v>-0.66930000000000001</v>
      </c>
      <c r="N311">
        <v>-0.65500000000000003</v>
      </c>
      <c r="O311">
        <v>-0.64</v>
      </c>
      <c r="P311">
        <v>-0.66</v>
      </c>
      <c r="Q311">
        <v>-0.7218</v>
      </c>
      <c r="R311">
        <v>-0.71250000000000002</v>
      </c>
      <c r="S311">
        <v>-0.68</v>
      </c>
      <c r="T311">
        <v>-0.67</v>
      </c>
      <c r="U311">
        <v>-0.67249999999999999</v>
      </c>
      <c r="V311">
        <v>-0.66990000000000005</v>
      </c>
    </row>
    <row r="312" spans="1:22" x14ac:dyDescent="0.2">
      <c r="A312" t="s">
        <v>1340</v>
      </c>
      <c r="B312" t="s">
        <v>1269</v>
      </c>
      <c r="C312" t="s">
        <v>1000</v>
      </c>
      <c r="D312" t="s">
        <v>1071</v>
      </c>
      <c r="F312" t="s">
        <v>961</v>
      </c>
      <c r="G312">
        <v>-0.92500000000000004</v>
      </c>
      <c r="H312">
        <v>-0.68</v>
      </c>
      <c r="I312">
        <v>-0.71</v>
      </c>
      <c r="J312">
        <v>-0.67</v>
      </c>
      <c r="K312">
        <v>-0.65500000000000003</v>
      </c>
      <c r="L312">
        <v>-0.67</v>
      </c>
      <c r="M312">
        <v>-0.66500000000000004</v>
      </c>
      <c r="N312">
        <v>-0.65</v>
      </c>
      <c r="O312">
        <v>-0.63500000000000001</v>
      </c>
      <c r="P312">
        <v>-0.65500000000000003</v>
      </c>
      <c r="Q312">
        <v>-0.72499999999999998</v>
      </c>
      <c r="R312">
        <v>-0.71</v>
      </c>
      <c r="S312">
        <v>-0.67</v>
      </c>
      <c r="T312">
        <v>-0.65500000000000003</v>
      </c>
      <c r="U312">
        <v>-0.66500000000000004</v>
      </c>
      <c r="V312">
        <v>-0.66500000000000004</v>
      </c>
    </row>
    <row r="313" spans="1:22" x14ac:dyDescent="0.2">
      <c r="A313" t="s">
        <v>1340</v>
      </c>
      <c r="B313" t="s">
        <v>1269</v>
      </c>
      <c r="C313" t="s">
        <v>1069</v>
      </c>
      <c r="F313" t="s">
        <v>1358</v>
      </c>
      <c r="G313">
        <v>-0.86750000000000005</v>
      </c>
      <c r="H313">
        <v>-0.66749999999999998</v>
      </c>
      <c r="I313">
        <v>-0.6925</v>
      </c>
      <c r="J313">
        <v>-0.66749999999999998</v>
      </c>
      <c r="K313">
        <v>-0.65249999999999997</v>
      </c>
      <c r="L313">
        <v>-0.66749999999999998</v>
      </c>
      <c r="M313">
        <v>-0.65249999999999997</v>
      </c>
      <c r="N313">
        <v>-0.62250000000000005</v>
      </c>
      <c r="O313">
        <v>-0.60250000000000004</v>
      </c>
      <c r="P313">
        <v>-0.61250000000000004</v>
      </c>
      <c r="Q313">
        <v>-0.68</v>
      </c>
      <c r="R313">
        <v>-0.65749999999999997</v>
      </c>
      <c r="S313">
        <v>-0.62250000000000005</v>
      </c>
      <c r="T313">
        <v>-0.61250000000000004</v>
      </c>
      <c r="U313">
        <v>-0.62</v>
      </c>
      <c r="V313">
        <v>-0.62250000000000005</v>
      </c>
    </row>
    <row r="314" spans="1:22" x14ac:dyDescent="0.2">
      <c r="A314" t="s">
        <v>1340</v>
      </c>
      <c r="B314" t="s">
        <v>1269</v>
      </c>
      <c r="C314" t="s">
        <v>1072</v>
      </c>
      <c r="F314" t="s">
        <v>1359</v>
      </c>
      <c r="G314">
        <v>-0.86</v>
      </c>
      <c r="H314">
        <v>-0.65249999999999997</v>
      </c>
      <c r="I314">
        <v>-0.67749999999999999</v>
      </c>
      <c r="J314">
        <v>-0.64249999999999996</v>
      </c>
      <c r="K314">
        <v>-0.625</v>
      </c>
      <c r="L314">
        <v>-0.64</v>
      </c>
      <c r="M314">
        <v>-0.62250000000000005</v>
      </c>
      <c r="N314">
        <v>-0.57999999999999996</v>
      </c>
      <c r="O314">
        <v>-0.52749999999999997</v>
      </c>
      <c r="P314">
        <v>-0.52749999999999997</v>
      </c>
      <c r="Q314">
        <v>-0.6</v>
      </c>
      <c r="R314">
        <v>-0.57999999999999996</v>
      </c>
      <c r="S314">
        <v>-0.54</v>
      </c>
      <c r="T314">
        <v>-0.52249999999999996</v>
      </c>
      <c r="U314">
        <v>-0.53749999999999998</v>
      </c>
      <c r="V314">
        <v>-0.53500000000000003</v>
      </c>
    </row>
    <row r="315" spans="1:22" x14ac:dyDescent="0.2">
      <c r="A315" t="s">
        <v>1340</v>
      </c>
      <c r="B315" t="s">
        <v>1269</v>
      </c>
      <c r="C315" t="s">
        <v>1075</v>
      </c>
      <c r="F315" t="s">
        <v>1360</v>
      </c>
      <c r="G315">
        <v>-0.82</v>
      </c>
      <c r="H315">
        <v>-0.62250000000000005</v>
      </c>
      <c r="I315">
        <v>-0.64500000000000002</v>
      </c>
      <c r="J315">
        <v>-0.59750000000000003</v>
      </c>
      <c r="K315">
        <v>-0.57499999999999996</v>
      </c>
      <c r="L315">
        <v>-0.59</v>
      </c>
      <c r="M315">
        <v>-0.56999999999999995</v>
      </c>
      <c r="N315">
        <v>-0.52249999999999996</v>
      </c>
      <c r="O315">
        <v>-0.44</v>
      </c>
      <c r="P315">
        <v>-0.43</v>
      </c>
      <c r="Q315">
        <v>-0.5</v>
      </c>
      <c r="R315">
        <v>-0.48</v>
      </c>
      <c r="S315">
        <v>-0.4325</v>
      </c>
      <c r="T315">
        <v>-0.41499999999999998</v>
      </c>
      <c r="U315">
        <v>-0.43</v>
      </c>
      <c r="V315">
        <v>-0.43</v>
      </c>
    </row>
    <row r="316" spans="1:22" x14ac:dyDescent="0.2">
      <c r="A316" t="s">
        <v>1340</v>
      </c>
      <c r="B316" t="s">
        <v>1269</v>
      </c>
      <c r="C316" t="s">
        <v>1073</v>
      </c>
      <c r="F316" t="s">
        <v>1361</v>
      </c>
      <c r="G316">
        <v>-0.76</v>
      </c>
      <c r="H316">
        <v>-0.57750000000000001</v>
      </c>
      <c r="I316">
        <v>-0.59750000000000003</v>
      </c>
      <c r="J316">
        <v>-0.53249999999999997</v>
      </c>
      <c r="K316">
        <v>-0.51</v>
      </c>
      <c r="L316">
        <v>-0.52249999999999996</v>
      </c>
      <c r="M316">
        <v>-0.50749999999999995</v>
      </c>
      <c r="N316">
        <v>-0.45250000000000001</v>
      </c>
      <c r="O316">
        <v>-0.34499999999999997</v>
      </c>
      <c r="P316">
        <v>-0.32500000000000001</v>
      </c>
      <c r="Q316">
        <v>-0.39250000000000002</v>
      </c>
      <c r="R316">
        <v>-0.36749999999999999</v>
      </c>
      <c r="S316">
        <v>-0.3075</v>
      </c>
      <c r="T316">
        <v>-0.29499999999999998</v>
      </c>
      <c r="U316">
        <v>-0.31</v>
      </c>
      <c r="V316">
        <v>-0.315</v>
      </c>
    </row>
    <row r="317" spans="1:22" x14ac:dyDescent="0.2">
      <c r="A317" t="s">
        <v>1340</v>
      </c>
      <c r="B317" t="s">
        <v>1269</v>
      </c>
      <c r="C317" t="s">
        <v>1076</v>
      </c>
      <c r="F317" t="s">
        <v>1362</v>
      </c>
      <c r="G317">
        <v>-0.6875</v>
      </c>
      <c r="H317">
        <v>-0.52500000000000002</v>
      </c>
      <c r="I317">
        <v>-0.53749999999999998</v>
      </c>
      <c r="J317">
        <v>-0.45750000000000002</v>
      </c>
      <c r="K317">
        <v>-0.435</v>
      </c>
      <c r="L317">
        <v>-0.44750000000000001</v>
      </c>
      <c r="M317">
        <v>-0.4375</v>
      </c>
      <c r="N317">
        <v>-0.3725</v>
      </c>
      <c r="O317">
        <v>-0.25</v>
      </c>
      <c r="P317">
        <v>-0.2225</v>
      </c>
      <c r="Q317">
        <v>-0.28749999999999998</v>
      </c>
      <c r="R317">
        <v>-0.25750000000000001</v>
      </c>
      <c r="S317">
        <v>-0.185</v>
      </c>
      <c r="T317">
        <v>-0.17749999999999999</v>
      </c>
      <c r="U317">
        <v>-0.1925</v>
      </c>
      <c r="V317">
        <v>-0.20250000000000001</v>
      </c>
    </row>
    <row r="318" spans="1:22" x14ac:dyDescent="0.2">
      <c r="A318" t="s">
        <v>1340</v>
      </c>
      <c r="B318" t="s">
        <v>1269</v>
      </c>
      <c r="C318" t="s">
        <v>1019</v>
      </c>
      <c r="F318" t="s">
        <v>1363</v>
      </c>
      <c r="G318">
        <v>-0.61</v>
      </c>
      <c r="H318">
        <v>-0.46250000000000002</v>
      </c>
      <c r="I318">
        <v>-0.47249999999999998</v>
      </c>
      <c r="J318">
        <v>-0.38250000000000001</v>
      </c>
      <c r="K318">
        <v>-0.36</v>
      </c>
      <c r="L318">
        <v>-0.37</v>
      </c>
      <c r="M318">
        <v>-0.36499999999999999</v>
      </c>
      <c r="N318">
        <v>-0.28999999999999998</v>
      </c>
      <c r="O318">
        <v>-0.1575</v>
      </c>
      <c r="P318">
        <v>-0.125</v>
      </c>
      <c r="Q318">
        <v>-0.1875</v>
      </c>
      <c r="R318">
        <v>-0.1525</v>
      </c>
      <c r="S318">
        <v>-7.0000000000000007E-2</v>
      </c>
      <c r="T318">
        <v>-6.7500000000000004E-2</v>
      </c>
      <c r="U318">
        <v>-8.2500000000000004E-2</v>
      </c>
      <c r="V318">
        <v>-9.5000000000000001E-2</v>
      </c>
    </row>
    <row r="319" spans="1:22" x14ac:dyDescent="0.2">
      <c r="A319" t="s">
        <v>1340</v>
      </c>
      <c r="B319" t="s">
        <v>1269</v>
      </c>
      <c r="C319" t="s">
        <v>1364</v>
      </c>
      <c r="F319" t="s">
        <v>1365</v>
      </c>
      <c r="G319">
        <v>-0.53249999999999997</v>
      </c>
      <c r="H319">
        <v>-0.40250000000000002</v>
      </c>
      <c r="I319">
        <v>-0.40749999999999997</v>
      </c>
      <c r="J319">
        <v>-0.3075</v>
      </c>
      <c r="K319">
        <v>-0.28499999999999998</v>
      </c>
      <c r="L319">
        <v>-0.29249999999999998</v>
      </c>
      <c r="M319">
        <v>-0.29249999999999998</v>
      </c>
      <c r="N319">
        <v>-0.21</v>
      </c>
      <c r="O319">
        <v>-7.0000000000000007E-2</v>
      </c>
      <c r="P319">
        <v>-3.5000000000000003E-2</v>
      </c>
      <c r="Q319">
        <v>-9.7500000000000003E-2</v>
      </c>
      <c r="R319">
        <v>-5.7500000000000002E-2</v>
      </c>
      <c r="S319">
        <v>3.5000000000000003E-2</v>
      </c>
      <c r="T319">
        <v>3.2500000000000001E-2</v>
      </c>
      <c r="U319">
        <v>1.7500000000000002E-2</v>
      </c>
      <c r="V319">
        <v>7.4999999999999997E-3</v>
      </c>
    </row>
    <row r="320" spans="1:22" x14ac:dyDescent="0.2">
      <c r="A320" t="s">
        <v>1340</v>
      </c>
      <c r="B320" t="s">
        <v>1269</v>
      </c>
      <c r="C320" t="s">
        <v>1366</v>
      </c>
      <c r="F320" t="s">
        <v>1367</v>
      </c>
      <c r="G320">
        <v>-0.45750000000000002</v>
      </c>
      <c r="H320">
        <v>-0.34749999999999998</v>
      </c>
      <c r="I320">
        <v>-0.34749999999999998</v>
      </c>
      <c r="J320">
        <v>-0.23499999999999999</v>
      </c>
      <c r="K320">
        <v>-0.21249999999999999</v>
      </c>
      <c r="L320">
        <v>-0.22</v>
      </c>
      <c r="M320">
        <v>-0.22500000000000001</v>
      </c>
      <c r="N320">
        <v>-0.13250000000000001</v>
      </c>
      <c r="O320">
        <v>0.01</v>
      </c>
      <c r="P320">
        <v>4.7500000000000001E-2</v>
      </c>
      <c r="Q320">
        <v>-1.4999999999999999E-2</v>
      </c>
      <c r="R320">
        <v>2.75E-2</v>
      </c>
      <c r="S320">
        <v>0.13</v>
      </c>
      <c r="T320">
        <v>0.1225</v>
      </c>
      <c r="U320">
        <v>0.1075</v>
      </c>
      <c r="V320">
        <v>0.1</v>
      </c>
    </row>
    <row r="321" spans="1:22" x14ac:dyDescent="0.2">
      <c r="A321" t="s">
        <v>1340</v>
      </c>
      <c r="B321" t="s">
        <v>1269</v>
      </c>
      <c r="C321" t="s">
        <v>952</v>
      </c>
      <c r="F321" t="s">
        <v>1368</v>
      </c>
      <c r="G321">
        <v>-0.38750000000000001</v>
      </c>
      <c r="H321">
        <v>-0.29749999999999999</v>
      </c>
      <c r="I321">
        <v>-0.29249999999999998</v>
      </c>
      <c r="J321">
        <v>-0.17249999999999999</v>
      </c>
      <c r="K321">
        <v>-0.15</v>
      </c>
      <c r="L321">
        <v>-0.155</v>
      </c>
      <c r="M321">
        <v>-0.16</v>
      </c>
      <c r="N321">
        <v>-0.06</v>
      </c>
      <c r="O321">
        <v>8.2500000000000004E-2</v>
      </c>
      <c r="P321">
        <v>0.1225</v>
      </c>
      <c r="Q321">
        <v>0.06</v>
      </c>
      <c r="R321">
        <v>0.105</v>
      </c>
      <c r="S321">
        <v>0.21249999999999999</v>
      </c>
      <c r="T321">
        <v>0.20250000000000001</v>
      </c>
      <c r="U321">
        <v>0.1875</v>
      </c>
      <c r="V321">
        <v>0.1825</v>
      </c>
    </row>
    <row r="322" spans="1:22" x14ac:dyDescent="0.2">
      <c r="A322" t="s">
        <v>1340</v>
      </c>
      <c r="B322" t="s">
        <v>1269</v>
      </c>
      <c r="C322" t="s">
        <v>1077</v>
      </c>
      <c r="F322" t="s">
        <v>1369</v>
      </c>
      <c r="G322">
        <v>-0.27</v>
      </c>
      <c r="H322">
        <v>-0.21</v>
      </c>
      <c r="I322">
        <v>-0.2</v>
      </c>
      <c r="J322">
        <v>-7.2499999999999995E-2</v>
      </c>
      <c r="K322">
        <v>-0.05</v>
      </c>
      <c r="L322">
        <v>-0.05</v>
      </c>
      <c r="M322">
        <v>-5.7500000000000002E-2</v>
      </c>
      <c r="N322">
        <v>0.05</v>
      </c>
      <c r="O322">
        <v>0.19750000000000001</v>
      </c>
      <c r="P322">
        <v>0.24249999999999999</v>
      </c>
      <c r="Q322">
        <v>0.1825</v>
      </c>
      <c r="R322">
        <v>0.22750000000000001</v>
      </c>
      <c r="S322">
        <v>0.34</v>
      </c>
      <c r="T322">
        <v>0.33250000000000002</v>
      </c>
      <c r="U322">
        <v>0.3175</v>
      </c>
      <c r="V322">
        <v>0.3125</v>
      </c>
    </row>
    <row r="323" spans="1:22" x14ac:dyDescent="0.2">
      <c r="A323" t="s">
        <v>1340</v>
      </c>
      <c r="B323" t="s">
        <v>1269</v>
      </c>
      <c r="C323" t="s">
        <v>1020</v>
      </c>
      <c r="F323" t="s">
        <v>1370</v>
      </c>
      <c r="G323">
        <v>-0.15</v>
      </c>
      <c r="H323">
        <v>-0.1125</v>
      </c>
      <c r="I323">
        <v>-9.2499999999999999E-2</v>
      </c>
      <c r="J323">
        <v>3.5000000000000003E-2</v>
      </c>
      <c r="K323">
        <v>0.06</v>
      </c>
      <c r="L323">
        <v>0.06</v>
      </c>
      <c r="M323">
        <v>4.7500000000000001E-2</v>
      </c>
      <c r="N323">
        <v>0.155</v>
      </c>
      <c r="O323">
        <v>0.315</v>
      </c>
      <c r="P323">
        <v>0.36</v>
      </c>
      <c r="Q323">
        <v>0.29749999999999999</v>
      </c>
      <c r="R323">
        <v>0.34749999999999998</v>
      </c>
      <c r="S323">
        <v>0.47499999999999998</v>
      </c>
      <c r="T323">
        <v>0.45500000000000002</v>
      </c>
      <c r="U323">
        <v>0.44500000000000001</v>
      </c>
      <c r="V323">
        <v>0.45</v>
      </c>
    </row>
    <row r="324" spans="1:22" x14ac:dyDescent="0.2">
      <c r="A324" t="s">
        <v>1340</v>
      </c>
      <c r="B324" t="s">
        <v>1269</v>
      </c>
      <c r="C324" t="s">
        <v>1021</v>
      </c>
      <c r="F324" t="s">
        <v>1371</v>
      </c>
      <c r="G324">
        <v>-0.03</v>
      </c>
      <c r="H324">
        <v>1E-4</v>
      </c>
      <c r="I324">
        <v>0.01</v>
      </c>
      <c r="J324">
        <v>0.13</v>
      </c>
      <c r="K324">
        <v>0.1575</v>
      </c>
      <c r="L324">
        <v>0.16250000000000001</v>
      </c>
      <c r="M324">
        <v>0.14749999999999999</v>
      </c>
      <c r="N324">
        <v>0.25750000000000001</v>
      </c>
      <c r="O324">
        <v>0.41499999999999998</v>
      </c>
      <c r="P324">
        <v>0.46500000000000002</v>
      </c>
      <c r="Q324">
        <v>0.39750000000000002</v>
      </c>
      <c r="R324">
        <v>0.44750000000000001</v>
      </c>
      <c r="S324">
        <v>0.58750000000000002</v>
      </c>
      <c r="T324">
        <v>0.57250000000000001</v>
      </c>
      <c r="U324">
        <v>0.56000000000000005</v>
      </c>
      <c r="V324">
        <v>0.5625</v>
      </c>
    </row>
    <row r="325" spans="1:22" x14ac:dyDescent="0.2">
      <c r="A325" t="s">
        <v>1340</v>
      </c>
      <c r="B325" t="s">
        <v>1269</v>
      </c>
      <c r="C325" t="s">
        <v>1078</v>
      </c>
      <c r="F325" t="s">
        <v>1372</v>
      </c>
      <c r="G325">
        <v>0.04</v>
      </c>
      <c r="H325">
        <v>6.7500000000000004E-2</v>
      </c>
      <c r="I325">
        <v>7.4999999999999997E-2</v>
      </c>
      <c r="J325">
        <v>0.1925</v>
      </c>
      <c r="K325">
        <v>0.2175</v>
      </c>
      <c r="L325">
        <v>0.22</v>
      </c>
      <c r="M325">
        <v>0.20250000000000001</v>
      </c>
      <c r="N325">
        <v>0.3125</v>
      </c>
      <c r="O325">
        <v>0.47249999999999998</v>
      </c>
      <c r="P325">
        <v>0.51749999999999996</v>
      </c>
      <c r="Q325">
        <v>0.45750000000000002</v>
      </c>
      <c r="R325">
        <v>0.50749999999999995</v>
      </c>
      <c r="S325">
        <v>0.65</v>
      </c>
      <c r="T325">
        <v>0.63500000000000001</v>
      </c>
      <c r="U325">
        <v>0.62250000000000005</v>
      </c>
      <c r="V325">
        <v>0.625</v>
      </c>
    </row>
    <row r="326" spans="1:22" x14ac:dyDescent="0.2">
      <c r="A326" t="s">
        <v>1340</v>
      </c>
      <c r="B326" t="s">
        <v>1269</v>
      </c>
      <c r="C326" t="s">
        <v>1022</v>
      </c>
      <c r="F326" t="s">
        <v>1373</v>
      </c>
      <c r="G326">
        <v>7.2499999999999995E-2</v>
      </c>
      <c r="H326">
        <v>9.5000000000000001E-2</v>
      </c>
      <c r="I326">
        <v>0.1075</v>
      </c>
      <c r="J326">
        <v>0.2225</v>
      </c>
      <c r="K326">
        <v>0.25</v>
      </c>
      <c r="L326">
        <v>0.2525</v>
      </c>
      <c r="M326">
        <v>0.23499999999999999</v>
      </c>
      <c r="N326">
        <v>0.34499999999999997</v>
      </c>
      <c r="O326">
        <v>0.505</v>
      </c>
      <c r="P326">
        <v>0.55000000000000004</v>
      </c>
      <c r="Q326">
        <v>0.495</v>
      </c>
      <c r="R326">
        <v>0.54749999999999999</v>
      </c>
      <c r="S326">
        <v>0.6925</v>
      </c>
      <c r="T326">
        <v>0.67500000000000004</v>
      </c>
      <c r="U326">
        <v>0.66249999999999998</v>
      </c>
      <c r="V326">
        <v>0.66500000000000004</v>
      </c>
    </row>
    <row r="328" spans="1:22" x14ac:dyDescent="0.2">
      <c r="A328" t="s">
        <v>1340</v>
      </c>
      <c r="B328" t="s">
        <v>1374</v>
      </c>
      <c r="C328" t="s">
        <v>1345</v>
      </c>
      <c r="F328" t="s">
        <v>1375</v>
      </c>
      <c r="G328">
        <v>-0.64</v>
      </c>
      <c r="H328">
        <v>-0.52500000000000002</v>
      </c>
      <c r="I328">
        <v>-0.53</v>
      </c>
      <c r="J328">
        <v>-0.51</v>
      </c>
      <c r="K328">
        <v>-0.51</v>
      </c>
      <c r="L328">
        <v>-0.51</v>
      </c>
      <c r="M328">
        <v>-0.52</v>
      </c>
      <c r="N328">
        <v>-0.52</v>
      </c>
      <c r="O328">
        <v>-0.54</v>
      </c>
      <c r="P328">
        <v>-0.54</v>
      </c>
      <c r="Q328">
        <v>-0.54</v>
      </c>
      <c r="R328">
        <v>-0.54500000000000004</v>
      </c>
      <c r="S328">
        <v>-0.54500000000000004</v>
      </c>
      <c r="T328">
        <v>-0.54500000000000004</v>
      </c>
      <c r="U328">
        <v>-0.55000000000000004</v>
      </c>
      <c r="V328">
        <v>-0.53500000000000003</v>
      </c>
    </row>
    <row r="329" spans="1:22" x14ac:dyDescent="0.2">
      <c r="A329" t="s">
        <v>1340</v>
      </c>
      <c r="B329" t="s">
        <v>1374</v>
      </c>
      <c r="C329" t="s">
        <v>1347</v>
      </c>
      <c r="F329" t="s">
        <v>1376</v>
      </c>
      <c r="G329">
        <v>-0.68500000000000005</v>
      </c>
      <c r="H329">
        <v>-0.55000000000000004</v>
      </c>
      <c r="I329">
        <v>-0.55500000000000005</v>
      </c>
      <c r="J329">
        <v>-0.52500000000000002</v>
      </c>
      <c r="K329">
        <v>-0.52500000000000002</v>
      </c>
      <c r="L329">
        <v>-0.52500000000000002</v>
      </c>
      <c r="M329">
        <v>-0.53500000000000003</v>
      </c>
      <c r="N329">
        <v>-0.53500000000000003</v>
      </c>
      <c r="O329">
        <v>-0.55500000000000005</v>
      </c>
      <c r="P329">
        <v>-0.55500000000000005</v>
      </c>
      <c r="Q329">
        <v>-0.56499999999999995</v>
      </c>
      <c r="R329">
        <v>-0.56999999999999995</v>
      </c>
      <c r="S329">
        <v>-0.56499999999999995</v>
      </c>
      <c r="T329">
        <v>-0.56999999999999995</v>
      </c>
      <c r="U329">
        <v>-0.57499999999999996</v>
      </c>
      <c r="V329">
        <v>-0.55000000000000004</v>
      </c>
    </row>
    <row r="330" spans="1:22" x14ac:dyDescent="0.2">
      <c r="A330" t="s">
        <v>1340</v>
      </c>
      <c r="B330" t="s">
        <v>1374</v>
      </c>
      <c r="C330" t="s">
        <v>1001</v>
      </c>
      <c r="F330" t="s">
        <v>1377</v>
      </c>
      <c r="G330">
        <v>-0.71</v>
      </c>
      <c r="H330">
        <v>-0.56499999999999995</v>
      </c>
      <c r="I330">
        <v>-0.57999999999999996</v>
      </c>
      <c r="J330">
        <v>-0.55500000000000005</v>
      </c>
      <c r="K330">
        <v>-0.55000000000000004</v>
      </c>
      <c r="L330">
        <v>-0.55000000000000004</v>
      </c>
      <c r="M330">
        <v>-0.56000000000000005</v>
      </c>
      <c r="N330">
        <v>-0.56499999999999995</v>
      </c>
      <c r="O330">
        <v>-0.57499999999999996</v>
      </c>
      <c r="P330">
        <v>-0.57499999999999996</v>
      </c>
      <c r="Q330">
        <v>-0.59</v>
      </c>
      <c r="R330">
        <v>-0.59499999999999997</v>
      </c>
      <c r="S330">
        <v>-0.57499999999999996</v>
      </c>
      <c r="T330">
        <v>-0.57999999999999996</v>
      </c>
      <c r="U330">
        <v>-0.58499999999999996</v>
      </c>
      <c r="V330">
        <v>-0.56999999999999995</v>
      </c>
    </row>
    <row r="331" spans="1:22" x14ac:dyDescent="0.2">
      <c r="A331" t="s">
        <v>1340</v>
      </c>
      <c r="B331" t="s">
        <v>1374</v>
      </c>
      <c r="C331" t="s">
        <v>1354</v>
      </c>
      <c r="F331" t="s">
        <v>1378</v>
      </c>
      <c r="G331">
        <v>-0.74</v>
      </c>
      <c r="H331">
        <v>-0.57499999999999996</v>
      </c>
      <c r="I331">
        <v>-0.59499999999999997</v>
      </c>
      <c r="J331">
        <v>-0.56499999999999995</v>
      </c>
      <c r="K331">
        <v>-0.56000000000000005</v>
      </c>
      <c r="L331">
        <v>-0.56499999999999995</v>
      </c>
      <c r="M331">
        <v>-0.57499999999999996</v>
      </c>
      <c r="N331">
        <v>-0.57499999999999996</v>
      </c>
      <c r="O331">
        <v>-0.57999999999999996</v>
      </c>
      <c r="P331">
        <v>-0.58499999999999996</v>
      </c>
      <c r="Q331">
        <v>-0.60499999999999998</v>
      </c>
      <c r="R331">
        <v>-0.61</v>
      </c>
      <c r="S331">
        <v>-0.59499999999999997</v>
      </c>
      <c r="T331">
        <v>-0.59</v>
      </c>
      <c r="U331">
        <v>-0.6</v>
      </c>
      <c r="V331">
        <v>-0.58499999999999996</v>
      </c>
    </row>
    <row r="332" spans="1:22" x14ac:dyDescent="0.2">
      <c r="A332" t="s">
        <v>1340</v>
      </c>
      <c r="B332" t="s">
        <v>1374</v>
      </c>
      <c r="C332" t="s">
        <v>1356</v>
      </c>
      <c r="F332" t="s">
        <v>1379</v>
      </c>
      <c r="G332">
        <v>-0.76500000000000001</v>
      </c>
      <c r="H332">
        <v>-0.58499999999999996</v>
      </c>
      <c r="I332">
        <v>-0.60499999999999998</v>
      </c>
      <c r="J332">
        <v>-0.57499999999999996</v>
      </c>
      <c r="K332">
        <v>-0.56999999999999995</v>
      </c>
      <c r="L332">
        <v>-0.57499999999999996</v>
      </c>
      <c r="M332">
        <v>-0.58499999999999996</v>
      </c>
      <c r="N332">
        <v>-0.58499999999999996</v>
      </c>
      <c r="O332">
        <v>-0.59</v>
      </c>
      <c r="P332">
        <v>-0.59499999999999997</v>
      </c>
      <c r="Q332">
        <v>-0.62</v>
      </c>
      <c r="R332">
        <v>-0.63</v>
      </c>
      <c r="S332">
        <v>-0.60499999999999998</v>
      </c>
      <c r="T332">
        <v>-0.60499999999999998</v>
      </c>
      <c r="U332">
        <v>-0.61</v>
      </c>
      <c r="V332">
        <v>-0.6</v>
      </c>
    </row>
    <row r="333" spans="1:22" x14ac:dyDescent="0.2">
      <c r="A333" t="s">
        <v>1340</v>
      </c>
      <c r="B333" t="s">
        <v>1374</v>
      </c>
      <c r="C333" t="s">
        <v>1000</v>
      </c>
      <c r="F333" t="s">
        <v>1380</v>
      </c>
      <c r="G333">
        <v>-0.78500000000000003</v>
      </c>
      <c r="H333">
        <v>-0.6</v>
      </c>
      <c r="I333">
        <v>-0.61499999999999999</v>
      </c>
      <c r="J333">
        <v>-0.58499999999999996</v>
      </c>
      <c r="K333">
        <v>-0.57999999999999996</v>
      </c>
      <c r="L333">
        <v>-0.58499999999999996</v>
      </c>
      <c r="M333">
        <v>-0.59499999999999997</v>
      </c>
      <c r="N333">
        <v>-0.59499999999999997</v>
      </c>
      <c r="O333">
        <v>-0.59499999999999997</v>
      </c>
      <c r="P333">
        <v>-0.60499999999999998</v>
      </c>
      <c r="Q333">
        <v>-0.63500000000000001</v>
      </c>
      <c r="R333">
        <v>-0.64</v>
      </c>
      <c r="S333">
        <v>-0.61499999999999999</v>
      </c>
      <c r="T333">
        <v>-0.61</v>
      </c>
      <c r="U333">
        <v>-0.62</v>
      </c>
      <c r="V333">
        <v>-0.60499999999999998</v>
      </c>
    </row>
    <row r="334" spans="1:22" x14ac:dyDescent="0.2">
      <c r="A334" t="s">
        <v>1340</v>
      </c>
      <c r="B334" t="s">
        <v>1374</v>
      </c>
      <c r="C334" t="s">
        <v>1351</v>
      </c>
      <c r="F334" t="s">
        <v>1381</v>
      </c>
      <c r="G334">
        <v>-0.80500000000000005</v>
      </c>
      <c r="H334">
        <v>-0.61</v>
      </c>
      <c r="I334">
        <v>-0.62</v>
      </c>
      <c r="J334">
        <v>-0.59499999999999997</v>
      </c>
      <c r="K334">
        <v>-0.58499999999999996</v>
      </c>
      <c r="L334">
        <v>-0.59499999999999997</v>
      </c>
      <c r="M334">
        <v>-0.60499999999999998</v>
      </c>
      <c r="N334">
        <v>-0.6</v>
      </c>
      <c r="O334">
        <v>-0.60499999999999998</v>
      </c>
      <c r="P334">
        <v>-0.61499999999999999</v>
      </c>
      <c r="Q334">
        <v>-0.64500000000000002</v>
      </c>
      <c r="R334">
        <v>-0.65</v>
      </c>
      <c r="S334">
        <v>-0.625</v>
      </c>
      <c r="T334">
        <v>-0.62</v>
      </c>
      <c r="U334">
        <v>-0.63</v>
      </c>
      <c r="V334">
        <v>-0.61499999999999999</v>
      </c>
    </row>
    <row r="335" spans="1:22" x14ac:dyDescent="0.2">
      <c r="A335" t="s">
        <v>1340</v>
      </c>
      <c r="B335" t="s">
        <v>1374</v>
      </c>
      <c r="C335" t="s">
        <v>1352</v>
      </c>
      <c r="F335" t="s">
        <v>1382</v>
      </c>
      <c r="G335">
        <v>-0.82</v>
      </c>
      <c r="H335">
        <v>-0.61499999999999999</v>
      </c>
      <c r="I335">
        <v>-0.63</v>
      </c>
      <c r="J335">
        <v>-0.6</v>
      </c>
      <c r="K335">
        <v>-0.59499999999999997</v>
      </c>
      <c r="L335">
        <v>-0.60499999999999998</v>
      </c>
      <c r="M335">
        <v>-0.61</v>
      </c>
      <c r="N335">
        <v>-0.60499999999999998</v>
      </c>
      <c r="O335">
        <v>-0.60499999999999998</v>
      </c>
      <c r="P335">
        <v>-0.62</v>
      </c>
      <c r="Q335">
        <v>-0.65500000000000003</v>
      </c>
      <c r="R335">
        <v>-0.66</v>
      </c>
      <c r="S335">
        <v>-0.63</v>
      </c>
      <c r="T335">
        <v>-0.63</v>
      </c>
      <c r="U335">
        <v>-0.63500000000000001</v>
      </c>
      <c r="V335">
        <v>-0.62</v>
      </c>
    </row>
    <row r="336" spans="1:22" x14ac:dyDescent="0.2">
      <c r="A336" t="s">
        <v>1340</v>
      </c>
      <c r="B336" t="s">
        <v>1374</v>
      </c>
      <c r="C336" t="s">
        <v>1353</v>
      </c>
      <c r="F336" t="s">
        <v>1383</v>
      </c>
      <c r="G336">
        <v>-0.83</v>
      </c>
      <c r="H336">
        <v>-0.62</v>
      </c>
      <c r="I336">
        <v>-0.63500000000000001</v>
      </c>
      <c r="J336">
        <v>-0.61</v>
      </c>
      <c r="K336">
        <v>-0.6</v>
      </c>
      <c r="L336">
        <v>-0.61</v>
      </c>
      <c r="M336">
        <v>-0.61499999999999999</v>
      </c>
      <c r="N336">
        <v>-0.61</v>
      </c>
      <c r="O336">
        <v>-0.61</v>
      </c>
      <c r="P336">
        <v>-0.62</v>
      </c>
      <c r="Q336">
        <v>-0.66</v>
      </c>
      <c r="R336">
        <v>-0.66500000000000004</v>
      </c>
      <c r="S336">
        <v>-0.63500000000000001</v>
      </c>
      <c r="T336">
        <v>-0.63500000000000001</v>
      </c>
      <c r="U336">
        <v>-0.63500000000000001</v>
      </c>
      <c r="V336">
        <v>-0.625</v>
      </c>
    </row>
    <row r="337" spans="1:22" x14ac:dyDescent="0.2">
      <c r="A337" t="s">
        <v>1340</v>
      </c>
      <c r="B337" t="s">
        <v>1374</v>
      </c>
      <c r="C337" t="s">
        <v>1355</v>
      </c>
      <c r="F337" t="s">
        <v>1384</v>
      </c>
      <c r="G337">
        <v>-0.84</v>
      </c>
      <c r="H337">
        <v>-0.625</v>
      </c>
      <c r="I337">
        <v>-0.64500000000000002</v>
      </c>
      <c r="J337">
        <v>-0.61499999999999999</v>
      </c>
      <c r="K337">
        <v>-0.60499999999999998</v>
      </c>
      <c r="L337">
        <v>-0.61499999999999999</v>
      </c>
      <c r="M337">
        <v>-0.62</v>
      </c>
      <c r="N337">
        <v>-0.61499999999999999</v>
      </c>
      <c r="O337">
        <v>-0.61</v>
      </c>
      <c r="P337">
        <v>-0.625</v>
      </c>
      <c r="Q337">
        <v>-0.66500000000000004</v>
      </c>
      <c r="R337">
        <v>-0.66500000000000004</v>
      </c>
      <c r="S337">
        <v>-0.64</v>
      </c>
      <c r="T337">
        <v>-0.64</v>
      </c>
      <c r="U337">
        <v>-0.64</v>
      </c>
      <c r="V337">
        <v>-0.63</v>
      </c>
    </row>
    <row r="338" spans="1:22" x14ac:dyDescent="0.2">
      <c r="A338" t="s">
        <v>1340</v>
      </c>
      <c r="B338" t="s">
        <v>1374</v>
      </c>
      <c r="C338" t="s">
        <v>1357</v>
      </c>
      <c r="F338" t="s">
        <v>1385</v>
      </c>
      <c r="G338">
        <v>-0.85499999999999998</v>
      </c>
      <c r="H338">
        <v>-0.63</v>
      </c>
      <c r="I338">
        <v>-0.65</v>
      </c>
      <c r="J338">
        <v>-0.62</v>
      </c>
      <c r="K338">
        <v>-0.61</v>
      </c>
      <c r="L338">
        <v>-0.62</v>
      </c>
      <c r="M338">
        <v>-0.625</v>
      </c>
      <c r="N338">
        <v>-0.62</v>
      </c>
      <c r="O338">
        <v>-0.61499999999999999</v>
      </c>
      <c r="P338">
        <v>-0.625</v>
      </c>
      <c r="Q338">
        <v>-0.67</v>
      </c>
      <c r="R338">
        <v>-0.67</v>
      </c>
      <c r="S338">
        <v>-0.64500000000000002</v>
      </c>
      <c r="T338">
        <v>-0.64</v>
      </c>
      <c r="U338">
        <v>-0.64500000000000002</v>
      </c>
      <c r="V338">
        <v>-0.63</v>
      </c>
    </row>
    <row r="339" spans="1:22" x14ac:dyDescent="0.2">
      <c r="A339" t="s">
        <v>1340</v>
      </c>
      <c r="B339" t="s">
        <v>1374</v>
      </c>
      <c r="C339" t="s">
        <v>1071</v>
      </c>
      <c r="F339" t="s">
        <v>1386</v>
      </c>
      <c r="G339">
        <v>-0.86499999999999999</v>
      </c>
      <c r="H339">
        <v>-0.63500000000000001</v>
      </c>
      <c r="I339">
        <v>-0.65</v>
      </c>
      <c r="J339">
        <v>-0.625</v>
      </c>
      <c r="K339">
        <v>-0.61499999999999999</v>
      </c>
      <c r="L339">
        <v>-0.625</v>
      </c>
      <c r="M339">
        <v>-0.63</v>
      </c>
      <c r="N339">
        <v>-0.62</v>
      </c>
      <c r="O339">
        <v>-0.61499999999999999</v>
      </c>
      <c r="P339">
        <v>-0.625</v>
      </c>
      <c r="Q339">
        <v>-0.67500000000000004</v>
      </c>
      <c r="R339">
        <v>-0.67500000000000004</v>
      </c>
      <c r="S339">
        <v>-0.64500000000000002</v>
      </c>
      <c r="T339">
        <v>-0.64500000000000002</v>
      </c>
      <c r="U339">
        <v>-0.64500000000000002</v>
      </c>
      <c r="V339">
        <v>-0.63500000000000001</v>
      </c>
    </row>
    <row r="340" spans="1:22" x14ac:dyDescent="0.2">
      <c r="A340" t="s">
        <v>1340</v>
      </c>
      <c r="B340" t="s">
        <v>1374</v>
      </c>
      <c r="C340" t="s">
        <v>1387</v>
      </c>
      <c r="F340" t="s">
        <v>1388</v>
      </c>
      <c r="G340">
        <v>-0.88500000000000001</v>
      </c>
      <c r="H340">
        <v>-0.64500000000000002</v>
      </c>
      <c r="I340">
        <v>-0.66500000000000004</v>
      </c>
      <c r="J340">
        <v>-0.64</v>
      </c>
      <c r="K340">
        <v>-0.63</v>
      </c>
      <c r="L340">
        <v>-0.64</v>
      </c>
      <c r="M340">
        <v>-0.64</v>
      </c>
      <c r="N340">
        <v>-0.625</v>
      </c>
      <c r="O340">
        <v>-0.61499999999999999</v>
      </c>
      <c r="P340">
        <v>-0.63</v>
      </c>
      <c r="Q340">
        <v>-0.68</v>
      </c>
      <c r="R340">
        <v>-0.67500000000000004</v>
      </c>
      <c r="S340">
        <v>-0.65</v>
      </c>
      <c r="T340">
        <v>-0.64500000000000002</v>
      </c>
      <c r="U340">
        <v>-0.65</v>
      </c>
      <c r="V340">
        <v>-0.63500000000000001</v>
      </c>
    </row>
    <row r="341" spans="1:22" x14ac:dyDescent="0.2">
      <c r="A341" t="s">
        <v>1340</v>
      </c>
      <c r="B341" t="s">
        <v>1374</v>
      </c>
      <c r="C341" t="s">
        <v>1389</v>
      </c>
      <c r="F341" t="s">
        <v>1390</v>
      </c>
      <c r="G341">
        <v>-0.90500000000000003</v>
      </c>
      <c r="H341">
        <v>-0.65500000000000003</v>
      </c>
      <c r="I341">
        <v>-0.67500000000000004</v>
      </c>
      <c r="J341">
        <v>-0.65</v>
      </c>
      <c r="K341">
        <v>-0.63500000000000001</v>
      </c>
      <c r="L341">
        <v>-0.65</v>
      </c>
      <c r="M341">
        <v>-0.64500000000000002</v>
      </c>
      <c r="N341">
        <v>-0.625</v>
      </c>
      <c r="O341">
        <v>-0.61499999999999999</v>
      </c>
      <c r="P341">
        <v>-0.625</v>
      </c>
      <c r="Q341">
        <v>-0.68500000000000005</v>
      </c>
      <c r="R341">
        <v>-0.67500000000000004</v>
      </c>
      <c r="S341">
        <v>-0.64500000000000002</v>
      </c>
      <c r="T341">
        <v>-0.64500000000000002</v>
      </c>
      <c r="U341">
        <v>-0.64500000000000002</v>
      </c>
      <c r="V341">
        <v>-0.63500000000000001</v>
      </c>
    </row>
    <row r="342" spans="1:22" x14ac:dyDescent="0.2">
      <c r="A342" t="s">
        <v>1340</v>
      </c>
      <c r="B342" t="s">
        <v>1374</v>
      </c>
      <c r="C342" t="s">
        <v>1391</v>
      </c>
      <c r="F342" t="s">
        <v>1392</v>
      </c>
      <c r="G342">
        <v>-0.91500000000000004</v>
      </c>
      <c r="H342">
        <v>-0.66</v>
      </c>
      <c r="I342">
        <v>-0.68</v>
      </c>
      <c r="J342">
        <v>-0.65500000000000003</v>
      </c>
      <c r="K342">
        <v>-0.64</v>
      </c>
      <c r="L342">
        <v>-0.65500000000000003</v>
      </c>
      <c r="M342">
        <v>-0.65</v>
      </c>
      <c r="N342">
        <v>-0.625</v>
      </c>
      <c r="O342">
        <v>-0.60499999999999998</v>
      </c>
      <c r="P342">
        <v>-0.62</v>
      </c>
      <c r="Q342">
        <v>-0.68500000000000005</v>
      </c>
      <c r="R342">
        <v>-0.67</v>
      </c>
      <c r="S342">
        <v>-0.64</v>
      </c>
      <c r="T342">
        <v>-0.63500000000000001</v>
      </c>
      <c r="U342">
        <v>-0.64</v>
      </c>
      <c r="V342">
        <v>-0.63</v>
      </c>
    </row>
    <row r="343" spans="1:22" x14ac:dyDescent="0.2">
      <c r="A343" t="s">
        <v>1340</v>
      </c>
      <c r="B343" t="s">
        <v>1374</v>
      </c>
      <c r="C343" t="s">
        <v>1069</v>
      </c>
      <c r="F343" t="s">
        <v>1393</v>
      </c>
      <c r="G343">
        <v>-0.92</v>
      </c>
      <c r="H343">
        <v>-0.66</v>
      </c>
      <c r="I343">
        <v>-0.68500000000000005</v>
      </c>
      <c r="J343">
        <v>-0.66</v>
      </c>
      <c r="K343">
        <v>-0.64500000000000002</v>
      </c>
      <c r="L343">
        <v>-0.66</v>
      </c>
      <c r="M343">
        <v>-0.65</v>
      </c>
      <c r="N343">
        <v>-0.62</v>
      </c>
      <c r="O343">
        <v>-0.59499999999999997</v>
      </c>
      <c r="P343">
        <v>-0.61</v>
      </c>
      <c r="Q343">
        <v>-0.68</v>
      </c>
      <c r="R343">
        <v>-0.66500000000000004</v>
      </c>
      <c r="S343">
        <v>-0.625</v>
      </c>
      <c r="T343">
        <v>-0.625</v>
      </c>
      <c r="U343">
        <v>-0.625</v>
      </c>
      <c r="V343">
        <v>-0.62</v>
      </c>
    </row>
    <row r="344" spans="1:22" x14ac:dyDescent="0.2">
      <c r="A344" t="s">
        <v>1340</v>
      </c>
      <c r="B344" t="s">
        <v>1374</v>
      </c>
      <c r="C344" t="s">
        <v>1072</v>
      </c>
      <c r="F344" t="s">
        <v>1394</v>
      </c>
      <c r="G344">
        <v>-0.94</v>
      </c>
      <c r="H344">
        <v>-0.68500000000000005</v>
      </c>
      <c r="I344">
        <v>-0.71</v>
      </c>
      <c r="J344">
        <v>-0.68</v>
      </c>
      <c r="K344">
        <v>-0.66</v>
      </c>
      <c r="L344">
        <v>-0.67500000000000004</v>
      </c>
      <c r="M344">
        <v>-0.66</v>
      </c>
      <c r="N344">
        <v>-0.62</v>
      </c>
      <c r="O344">
        <v>-0.56499999999999995</v>
      </c>
      <c r="P344">
        <v>-0.56499999999999995</v>
      </c>
      <c r="Q344">
        <v>-0.64</v>
      </c>
      <c r="R344">
        <v>-0.625</v>
      </c>
      <c r="S344">
        <v>-0.59</v>
      </c>
      <c r="T344">
        <v>-0.57999999999999996</v>
      </c>
      <c r="U344">
        <v>-0.59</v>
      </c>
      <c r="V344">
        <v>-0.57499999999999996</v>
      </c>
    </row>
    <row r="345" spans="1:22" x14ac:dyDescent="0.2">
      <c r="A345" t="s">
        <v>1340</v>
      </c>
      <c r="B345" t="s">
        <v>1374</v>
      </c>
      <c r="C345" t="s">
        <v>1075</v>
      </c>
      <c r="F345" t="s">
        <v>1395</v>
      </c>
      <c r="G345">
        <v>-0.93</v>
      </c>
      <c r="H345">
        <v>-0.69</v>
      </c>
      <c r="I345">
        <v>-0.71499999999999997</v>
      </c>
      <c r="J345">
        <v>-0.67500000000000004</v>
      </c>
      <c r="K345">
        <v>-0.65</v>
      </c>
      <c r="L345">
        <v>-0.66500000000000004</v>
      </c>
      <c r="M345">
        <v>-0.64500000000000002</v>
      </c>
      <c r="N345">
        <v>-0.6</v>
      </c>
      <c r="O345">
        <v>-0.51500000000000001</v>
      </c>
      <c r="P345">
        <v>-0.505</v>
      </c>
      <c r="Q345">
        <v>-0.57999999999999996</v>
      </c>
      <c r="R345">
        <v>-0.56499999999999995</v>
      </c>
      <c r="S345">
        <v>-0.52</v>
      </c>
      <c r="T345">
        <v>-0.51</v>
      </c>
      <c r="U345">
        <v>-0.52</v>
      </c>
      <c r="V345">
        <v>-0.51</v>
      </c>
    </row>
    <row r="346" spans="1:22" x14ac:dyDescent="0.2">
      <c r="A346" t="s">
        <v>1340</v>
      </c>
      <c r="B346" t="s">
        <v>1374</v>
      </c>
      <c r="C346" t="s">
        <v>1073</v>
      </c>
      <c r="F346" t="s">
        <v>1396</v>
      </c>
      <c r="G346">
        <v>-0.90500000000000003</v>
      </c>
      <c r="H346">
        <v>-0.67500000000000004</v>
      </c>
      <c r="I346">
        <v>-0.7</v>
      </c>
      <c r="J346">
        <v>-0.65</v>
      </c>
      <c r="K346">
        <v>-0.625</v>
      </c>
      <c r="L346">
        <v>-0.63500000000000001</v>
      </c>
      <c r="M346">
        <v>-0.62</v>
      </c>
      <c r="N346">
        <v>-0.56499999999999995</v>
      </c>
      <c r="O346">
        <v>-0.45500000000000002</v>
      </c>
      <c r="P346">
        <v>-0.435</v>
      </c>
      <c r="Q346">
        <v>-0.505</v>
      </c>
      <c r="R346">
        <v>-0.48499999999999999</v>
      </c>
      <c r="S346">
        <v>-0.43</v>
      </c>
      <c r="T346">
        <v>-0.42499999999999999</v>
      </c>
      <c r="U346">
        <v>-0.435</v>
      </c>
      <c r="V346">
        <v>-0.435</v>
      </c>
    </row>
    <row r="347" spans="1:22" x14ac:dyDescent="0.2">
      <c r="A347" t="s">
        <v>1340</v>
      </c>
      <c r="B347" t="s">
        <v>1374</v>
      </c>
      <c r="C347" t="s">
        <v>1076</v>
      </c>
      <c r="F347" t="s">
        <v>1397</v>
      </c>
      <c r="G347">
        <v>-0.86499999999999999</v>
      </c>
      <c r="H347">
        <v>-0.65500000000000003</v>
      </c>
      <c r="I347">
        <v>-0.67500000000000004</v>
      </c>
      <c r="J347">
        <v>-0.60499999999999998</v>
      </c>
      <c r="K347">
        <v>-0.57999999999999996</v>
      </c>
      <c r="L347">
        <v>-0.59</v>
      </c>
      <c r="M347">
        <v>-0.57999999999999996</v>
      </c>
      <c r="N347">
        <v>-0.51500000000000001</v>
      </c>
      <c r="O347">
        <v>-0.39500000000000002</v>
      </c>
      <c r="P347">
        <v>-0.36499999999999999</v>
      </c>
      <c r="Q347">
        <v>-0.435</v>
      </c>
      <c r="R347">
        <v>-0.40500000000000003</v>
      </c>
      <c r="S347">
        <v>-0.33500000000000002</v>
      </c>
      <c r="T347">
        <v>-0.33500000000000002</v>
      </c>
      <c r="U347">
        <v>-0.35</v>
      </c>
      <c r="V347">
        <v>-0.35499999999999998</v>
      </c>
    </row>
    <row r="348" spans="1:22" x14ac:dyDescent="0.2">
      <c r="A348" t="s">
        <v>1340</v>
      </c>
      <c r="B348" t="s">
        <v>1374</v>
      </c>
      <c r="C348" t="s">
        <v>1019</v>
      </c>
      <c r="F348" t="s">
        <v>1398</v>
      </c>
      <c r="G348">
        <v>-0.81</v>
      </c>
      <c r="H348">
        <v>-0.62</v>
      </c>
      <c r="I348">
        <v>-0.63</v>
      </c>
      <c r="J348">
        <v>-0.55000000000000004</v>
      </c>
      <c r="K348">
        <v>-0.52500000000000002</v>
      </c>
      <c r="L348">
        <v>-0.53500000000000003</v>
      </c>
      <c r="M348">
        <v>-0.53</v>
      </c>
      <c r="N348">
        <v>-0.45500000000000002</v>
      </c>
      <c r="O348">
        <v>-0.32</v>
      </c>
      <c r="P348">
        <v>-0.28999999999999998</v>
      </c>
      <c r="Q348">
        <v>-0.35</v>
      </c>
      <c r="R348">
        <v>-0.32</v>
      </c>
      <c r="S348">
        <v>-0.24</v>
      </c>
      <c r="T348">
        <v>-0.245</v>
      </c>
      <c r="U348">
        <v>-0.26</v>
      </c>
      <c r="V348">
        <v>-0.27</v>
      </c>
    </row>
    <row r="349" spans="1:22" x14ac:dyDescent="0.2">
      <c r="A349" t="s">
        <v>1340</v>
      </c>
      <c r="B349" t="s">
        <v>1374</v>
      </c>
      <c r="C349" t="s">
        <v>1364</v>
      </c>
      <c r="F349" t="s">
        <v>1399</v>
      </c>
      <c r="G349">
        <v>-0.75</v>
      </c>
      <c r="H349">
        <v>-0.57499999999999996</v>
      </c>
      <c r="I349">
        <v>-0.57999999999999996</v>
      </c>
      <c r="J349">
        <v>-0.48499999999999999</v>
      </c>
      <c r="K349">
        <v>-0.46</v>
      </c>
      <c r="L349">
        <v>-0.47</v>
      </c>
      <c r="M349">
        <v>-0.47</v>
      </c>
      <c r="N349">
        <v>-0.39</v>
      </c>
      <c r="O349">
        <v>-0.245</v>
      </c>
      <c r="P349">
        <v>-0.21</v>
      </c>
      <c r="Q349">
        <v>-0.27500000000000002</v>
      </c>
      <c r="R349">
        <v>-0.24</v>
      </c>
      <c r="S349">
        <v>-0.15</v>
      </c>
      <c r="T349">
        <v>-0.155</v>
      </c>
      <c r="U349">
        <v>-0.17</v>
      </c>
      <c r="V349">
        <v>-0.18</v>
      </c>
    </row>
    <row r="350" spans="1:22" x14ac:dyDescent="0.2">
      <c r="A350" t="s">
        <v>1340</v>
      </c>
      <c r="B350" t="s">
        <v>1374</v>
      </c>
      <c r="C350" t="s">
        <v>1366</v>
      </c>
      <c r="F350" t="s">
        <v>1400</v>
      </c>
      <c r="G350">
        <v>-0.68</v>
      </c>
      <c r="H350">
        <v>-0.52500000000000002</v>
      </c>
      <c r="I350">
        <v>-0.52500000000000002</v>
      </c>
      <c r="J350">
        <v>-0.42</v>
      </c>
      <c r="K350">
        <v>-0.4</v>
      </c>
      <c r="L350">
        <v>-0.40500000000000003</v>
      </c>
      <c r="M350">
        <v>-0.41</v>
      </c>
      <c r="N350">
        <v>-0.315</v>
      </c>
      <c r="O350">
        <v>-0.17499999999999999</v>
      </c>
      <c r="P350">
        <v>-0.13500000000000001</v>
      </c>
      <c r="Q350">
        <v>-0.2</v>
      </c>
      <c r="R350">
        <v>-0.16</v>
      </c>
      <c r="S350">
        <v>-0.06</v>
      </c>
      <c r="T350">
        <v>-7.4999999999999997E-2</v>
      </c>
      <c r="U350">
        <v>-0.09</v>
      </c>
      <c r="V350">
        <v>-9.5000000000000001E-2</v>
      </c>
    </row>
    <row r="351" spans="1:22" x14ac:dyDescent="0.2">
      <c r="A351" t="s">
        <v>1340</v>
      </c>
      <c r="B351" t="s">
        <v>1374</v>
      </c>
      <c r="C351" t="s">
        <v>952</v>
      </c>
      <c r="F351" t="s">
        <v>1401</v>
      </c>
      <c r="G351">
        <v>-0.61499999999999999</v>
      </c>
      <c r="H351">
        <v>-0.48</v>
      </c>
      <c r="I351">
        <v>-0.47499999999999998</v>
      </c>
      <c r="J351">
        <v>-0.36499999999999999</v>
      </c>
      <c r="K351">
        <v>-0.34</v>
      </c>
      <c r="L351">
        <v>-0.34499999999999997</v>
      </c>
      <c r="M351">
        <v>-0.34499999999999997</v>
      </c>
      <c r="N351">
        <v>-0.25</v>
      </c>
      <c r="O351">
        <v>-0.105</v>
      </c>
      <c r="P351">
        <v>-0.06</v>
      </c>
      <c r="Q351">
        <v>-0.125</v>
      </c>
      <c r="R351">
        <v>-8.5000000000000006E-2</v>
      </c>
      <c r="S351">
        <v>0.02</v>
      </c>
      <c r="T351">
        <v>5.0000000000000001E-3</v>
      </c>
      <c r="U351">
        <v>-0.01</v>
      </c>
      <c r="V351">
        <v>-1.4999999999999999E-2</v>
      </c>
    </row>
    <row r="352" spans="1:22" x14ac:dyDescent="0.2">
      <c r="A352" t="s">
        <v>1340</v>
      </c>
      <c r="B352" t="s">
        <v>1374</v>
      </c>
      <c r="C352" t="s">
        <v>1077</v>
      </c>
      <c r="F352" t="s">
        <v>1402</v>
      </c>
      <c r="G352">
        <v>-0.49</v>
      </c>
      <c r="H352">
        <v>-0.39</v>
      </c>
      <c r="I352">
        <v>-0.375</v>
      </c>
      <c r="J352">
        <v>-0.26</v>
      </c>
      <c r="K352">
        <v>-0.23499999999999999</v>
      </c>
      <c r="L352">
        <v>-0.23499999999999999</v>
      </c>
      <c r="M352">
        <v>-0.24</v>
      </c>
      <c r="N352">
        <v>-0.13500000000000001</v>
      </c>
      <c r="O352">
        <v>1.4999999999999999E-2</v>
      </c>
      <c r="P352">
        <v>0.06</v>
      </c>
      <c r="Q352">
        <v>1E-4</v>
      </c>
      <c r="R352">
        <v>4.4999999999999998E-2</v>
      </c>
      <c r="S352">
        <v>0.15</v>
      </c>
      <c r="T352">
        <v>0.14000000000000001</v>
      </c>
      <c r="U352">
        <v>0.125</v>
      </c>
      <c r="V352">
        <v>0.115</v>
      </c>
    </row>
    <row r="353" spans="1:22" x14ac:dyDescent="0.2">
      <c r="A353" t="s">
        <v>1340</v>
      </c>
      <c r="B353" t="s">
        <v>1374</v>
      </c>
      <c r="C353" t="s">
        <v>1020</v>
      </c>
      <c r="F353" t="s">
        <v>1403</v>
      </c>
      <c r="G353">
        <v>-0.34499999999999997</v>
      </c>
      <c r="H353">
        <v>-0.27500000000000002</v>
      </c>
      <c r="I353">
        <v>-0.25</v>
      </c>
      <c r="J353">
        <v>-0.13</v>
      </c>
      <c r="K353">
        <v>-0.105</v>
      </c>
      <c r="L353">
        <v>-0.105</v>
      </c>
      <c r="M353">
        <v>-0.115</v>
      </c>
      <c r="N353">
        <v>-0.01</v>
      </c>
      <c r="O353">
        <v>0.15</v>
      </c>
      <c r="P353">
        <v>0.19500000000000001</v>
      </c>
      <c r="Q353">
        <v>0.13500000000000001</v>
      </c>
      <c r="R353">
        <v>0.18</v>
      </c>
      <c r="S353">
        <v>0.30499999999999999</v>
      </c>
      <c r="T353">
        <v>0.28000000000000003</v>
      </c>
      <c r="U353">
        <v>0.27</v>
      </c>
      <c r="V353">
        <v>0.27</v>
      </c>
    </row>
    <row r="354" spans="1:22" x14ac:dyDescent="0.2">
      <c r="A354" t="s">
        <v>1340</v>
      </c>
      <c r="B354" t="s">
        <v>1374</v>
      </c>
      <c r="C354" t="s">
        <v>1021</v>
      </c>
      <c r="F354" t="s">
        <v>1404</v>
      </c>
      <c r="G354">
        <v>-0.185</v>
      </c>
      <c r="H354">
        <v>-0.13</v>
      </c>
      <c r="I354">
        <v>-0.12</v>
      </c>
      <c r="J354">
        <v>-0.01</v>
      </c>
      <c r="K354">
        <v>0.02</v>
      </c>
      <c r="L354">
        <v>2.5000000000000001E-2</v>
      </c>
      <c r="M354">
        <v>1.4999999999999999E-2</v>
      </c>
      <c r="N354">
        <v>0.12</v>
      </c>
      <c r="O354">
        <v>0.27500000000000002</v>
      </c>
      <c r="P354">
        <v>0.33</v>
      </c>
      <c r="Q354">
        <v>0.26</v>
      </c>
      <c r="R354">
        <v>0.30499999999999999</v>
      </c>
      <c r="S354">
        <v>0.44500000000000001</v>
      </c>
      <c r="T354">
        <v>0.42499999999999999</v>
      </c>
      <c r="U354">
        <v>0.41</v>
      </c>
      <c r="V354">
        <v>0.41</v>
      </c>
    </row>
    <row r="355" spans="1:22" x14ac:dyDescent="0.2">
      <c r="A355" t="s">
        <v>1340</v>
      </c>
      <c r="B355" t="s">
        <v>1374</v>
      </c>
      <c r="C355" t="s">
        <v>1078</v>
      </c>
      <c r="F355" t="s">
        <v>1405</v>
      </c>
      <c r="G355">
        <v>-0.09</v>
      </c>
      <c r="H355">
        <v>-4.4999999999999998E-2</v>
      </c>
      <c r="I355">
        <v>-0.04</v>
      </c>
      <c r="J355">
        <v>7.0000000000000007E-2</v>
      </c>
      <c r="K355">
        <v>9.5000000000000001E-2</v>
      </c>
      <c r="L355">
        <v>0.1</v>
      </c>
      <c r="M355">
        <v>8.5000000000000006E-2</v>
      </c>
      <c r="N355">
        <v>0.19500000000000001</v>
      </c>
      <c r="O355">
        <v>0.35</v>
      </c>
      <c r="P355">
        <v>0.39500000000000002</v>
      </c>
      <c r="Q355">
        <v>0.33500000000000002</v>
      </c>
      <c r="R355">
        <v>0.38500000000000001</v>
      </c>
      <c r="S355">
        <v>0.52</v>
      </c>
      <c r="T355">
        <v>0.505</v>
      </c>
      <c r="U355">
        <v>0.49</v>
      </c>
      <c r="V355">
        <v>0.49</v>
      </c>
    </row>
    <row r="356" spans="1:22" x14ac:dyDescent="0.2">
      <c r="A356" t="s">
        <v>1340</v>
      </c>
      <c r="B356" t="s">
        <v>1374</v>
      </c>
      <c r="C356" t="s">
        <v>1022</v>
      </c>
      <c r="F356" t="s">
        <v>1406</v>
      </c>
      <c r="G356">
        <v>-4.4999999999999998E-2</v>
      </c>
      <c r="H356">
        <v>-0.01</v>
      </c>
      <c r="I356">
        <v>5.0000000000000001E-3</v>
      </c>
      <c r="J356">
        <v>0.115</v>
      </c>
      <c r="K356">
        <v>0.14000000000000001</v>
      </c>
      <c r="L356">
        <v>0.14499999999999999</v>
      </c>
      <c r="M356">
        <v>0.13</v>
      </c>
      <c r="N356">
        <v>0.24</v>
      </c>
      <c r="O356">
        <v>0.39500000000000002</v>
      </c>
      <c r="P356">
        <v>0.44</v>
      </c>
      <c r="Q356">
        <v>0.38500000000000001</v>
      </c>
      <c r="R356">
        <v>0.435</v>
      </c>
      <c r="S356">
        <v>0.57499999999999996</v>
      </c>
      <c r="T356">
        <v>0.55500000000000005</v>
      </c>
      <c r="U356">
        <v>0.54500000000000004</v>
      </c>
      <c r="V356">
        <v>0.54</v>
      </c>
    </row>
    <row r="358" spans="1:22" x14ac:dyDescent="0.2">
      <c r="A358" t="s">
        <v>1340</v>
      </c>
      <c r="B358" t="s">
        <v>1407</v>
      </c>
      <c r="C358" t="s">
        <v>1341</v>
      </c>
      <c r="F358" t="s">
        <v>1408</v>
      </c>
      <c r="G358">
        <v>-0.80879999999999996</v>
      </c>
      <c r="H358">
        <v>-0.80300000000000005</v>
      </c>
      <c r="I358">
        <v>-0.79979999999999996</v>
      </c>
      <c r="J358">
        <v>-0.78680000000000005</v>
      </c>
      <c r="K358">
        <v>-0.79039999999999999</v>
      </c>
      <c r="L358">
        <v>-0.7964</v>
      </c>
      <c r="M358">
        <v>-0.78320000000000001</v>
      </c>
      <c r="N358">
        <v>-0.79920000000000002</v>
      </c>
      <c r="O358">
        <v>-0.77200000000000002</v>
      </c>
      <c r="P358">
        <v>-0.77780000000000005</v>
      </c>
      <c r="Q358">
        <v>-0.79879999999999995</v>
      </c>
      <c r="R358">
        <v>-0.78180000000000005</v>
      </c>
      <c r="S358">
        <v>-0.77580000000000005</v>
      </c>
      <c r="T358">
        <v>-0.79020000000000001</v>
      </c>
      <c r="U358">
        <v>-0.79020000000000001</v>
      </c>
      <c r="V358">
        <v>-0.7792</v>
      </c>
    </row>
    <row r="359" spans="1:22" x14ac:dyDescent="0.2">
      <c r="A359" t="s">
        <v>1340</v>
      </c>
      <c r="B359" t="s">
        <v>1407</v>
      </c>
      <c r="C359" t="s">
        <v>1341</v>
      </c>
      <c r="F359" t="s">
        <v>1409</v>
      </c>
      <c r="G359">
        <v>-0.80879999999999996</v>
      </c>
      <c r="H359">
        <v>-0.80300000000000005</v>
      </c>
      <c r="I359">
        <v>-0.79979999999999996</v>
      </c>
      <c r="J359">
        <v>-0.78680000000000005</v>
      </c>
      <c r="K359">
        <v>-0.79039999999999999</v>
      </c>
      <c r="L359">
        <v>-0.7964</v>
      </c>
      <c r="M359">
        <v>-0.78320000000000001</v>
      </c>
      <c r="N359">
        <v>-0.79920000000000002</v>
      </c>
      <c r="O359">
        <v>-0.77200000000000002</v>
      </c>
      <c r="P359">
        <v>-0.77780000000000005</v>
      </c>
      <c r="Q359">
        <v>-0.79879999999999995</v>
      </c>
      <c r="R359">
        <v>-0.78180000000000005</v>
      </c>
      <c r="S359">
        <v>-0.77580000000000005</v>
      </c>
      <c r="T359">
        <v>-0.79020000000000001</v>
      </c>
      <c r="U359">
        <v>-0.79020000000000001</v>
      </c>
      <c r="V359">
        <v>-0.7792</v>
      </c>
    </row>
    <row r="360" spans="1:22" x14ac:dyDescent="0.2">
      <c r="A360" t="s">
        <v>1340</v>
      </c>
      <c r="B360" t="s">
        <v>1407</v>
      </c>
      <c r="C360" t="s">
        <v>1343</v>
      </c>
      <c r="F360" t="s">
        <v>1410</v>
      </c>
      <c r="G360">
        <v>-0.83819999999999995</v>
      </c>
      <c r="H360">
        <v>-0.81459999999999999</v>
      </c>
      <c r="I360">
        <v>-0.81299999999999994</v>
      </c>
      <c r="J360">
        <v>-0.7944</v>
      </c>
      <c r="K360">
        <v>-0.80479999999999996</v>
      </c>
      <c r="L360">
        <v>-0.80840000000000001</v>
      </c>
      <c r="M360">
        <v>-0.79479999999999995</v>
      </c>
      <c r="N360">
        <v>-0.79400000000000004</v>
      </c>
      <c r="O360">
        <v>-0.78039999999999998</v>
      </c>
      <c r="P360">
        <v>-0.78839999999999999</v>
      </c>
      <c r="Q360">
        <v>-0.8</v>
      </c>
      <c r="R360">
        <v>-0.79520000000000002</v>
      </c>
      <c r="S360">
        <v>-0.78520000000000001</v>
      </c>
      <c r="T360">
        <v>-0.80320000000000003</v>
      </c>
      <c r="U360">
        <v>-0.79920000000000002</v>
      </c>
      <c r="V360">
        <v>-0.80279999999999996</v>
      </c>
    </row>
    <row r="361" spans="1:22" x14ac:dyDescent="0.2">
      <c r="A361" t="s">
        <v>1340</v>
      </c>
      <c r="B361" t="s">
        <v>1407</v>
      </c>
      <c r="C361" t="s">
        <v>1345</v>
      </c>
      <c r="F361" t="s">
        <v>1411</v>
      </c>
      <c r="G361">
        <v>-0.8286</v>
      </c>
      <c r="H361">
        <v>-0.81079999999999997</v>
      </c>
      <c r="I361">
        <v>-0.80200000000000005</v>
      </c>
      <c r="J361">
        <v>-0.78759999999999997</v>
      </c>
      <c r="K361">
        <v>-0.79039999999999999</v>
      </c>
      <c r="L361">
        <v>-0.79100000000000004</v>
      </c>
      <c r="M361">
        <v>-0.78839999999999999</v>
      </c>
      <c r="N361">
        <v>-0.78739999999999999</v>
      </c>
      <c r="O361">
        <v>-0.78039999999999998</v>
      </c>
      <c r="P361">
        <v>-0.78639999999999999</v>
      </c>
      <c r="Q361">
        <v>-0.78959999999999997</v>
      </c>
      <c r="R361">
        <v>-0.81779999999999997</v>
      </c>
      <c r="S361">
        <v>-0.81779999999999997</v>
      </c>
      <c r="T361">
        <v>-0.82840000000000003</v>
      </c>
      <c r="U361">
        <v>-0.82040000000000002</v>
      </c>
      <c r="V361">
        <v>-0.78720000000000001</v>
      </c>
    </row>
    <row r="362" spans="1:22" x14ac:dyDescent="0.2">
      <c r="A362" t="s">
        <v>1340</v>
      </c>
      <c r="B362" t="s">
        <v>1407</v>
      </c>
      <c r="C362" t="s">
        <v>1347</v>
      </c>
      <c r="F362" t="s">
        <v>1412</v>
      </c>
      <c r="G362">
        <v>-0.79759999999999998</v>
      </c>
      <c r="H362">
        <v>-0.78239999999999998</v>
      </c>
      <c r="I362">
        <v>-0.7732</v>
      </c>
      <c r="J362">
        <v>-0.75800000000000001</v>
      </c>
      <c r="K362">
        <v>-0.75780000000000003</v>
      </c>
      <c r="L362">
        <v>-0.75839999999999996</v>
      </c>
      <c r="M362">
        <v>-0.75780000000000003</v>
      </c>
      <c r="N362">
        <v>-0.75600000000000001</v>
      </c>
      <c r="O362">
        <v>-0.75739999999999996</v>
      </c>
      <c r="P362">
        <v>-0.76139999999999997</v>
      </c>
      <c r="Q362">
        <v>-0.77639999999999998</v>
      </c>
      <c r="R362">
        <v>-0.78559999999999997</v>
      </c>
      <c r="S362">
        <v>-0.77400000000000002</v>
      </c>
      <c r="T362">
        <v>-0.77880000000000005</v>
      </c>
      <c r="U362">
        <v>-0.77880000000000005</v>
      </c>
      <c r="V362">
        <v>-0.75460000000000005</v>
      </c>
    </row>
    <row r="363" spans="1:22" x14ac:dyDescent="0.2">
      <c r="A363" t="s">
        <v>1340</v>
      </c>
      <c r="B363" t="s">
        <v>1407</v>
      </c>
      <c r="C363" t="s">
        <v>1001</v>
      </c>
      <c r="F363" t="s">
        <v>1413</v>
      </c>
      <c r="G363">
        <v>-0.77980000000000005</v>
      </c>
      <c r="H363">
        <v>-0.73640000000000005</v>
      </c>
      <c r="I363">
        <v>-0.75</v>
      </c>
      <c r="J363">
        <v>-0.73119999999999996</v>
      </c>
      <c r="K363">
        <v>-0.72819999999999996</v>
      </c>
      <c r="L363">
        <v>-0.7288</v>
      </c>
      <c r="M363">
        <v>-0.72399999999999998</v>
      </c>
      <c r="N363">
        <v>-0.73</v>
      </c>
      <c r="O363">
        <v>-0.73119999999999996</v>
      </c>
      <c r="P363">
        <v>-0.73519999999999996</v>
      </c>
      <c r="Q363">
        <v>-0.74639999999999995</v>
      </c>
      <c r="R363">
        <v>-0.749</v>
      </c>
      <c r="S363">
        <v>-0.73719999999999997</v>
      </c>
      <c r="T363">
        <v>-0.73880000000000001</v>
      </c>
      <c r="U363">
        <v>-0.73880000000000001</v>
      </c>
      <c r="V363">
        <v>-0.72940000000000005</v>
      </c>
    </row>
    <row r="364" spans="1:22" x14ac:dyDescent="0.2">
      <c r="A364" t="s">
        <v>1340</v>
      </c>
      <c r="B364" t="s">
        <v>1407</v>
      </c>
      <c r="C364" t="s">
        <v>1345</v>
      </c>
      <c r="D364" t="s">
        <v>1354</v>
      </c>
      <c r="F364" t="s">
        <v>962</v>
      </c>
      <c r="G364">
        <v>-0.85499999999999998</v>
      </c>
      <c r="H364">
        <v>-0.76</v>
      </c>
      <c r="I364">
        <v>-0.77</v>
      </c>
      <c r="J364">
        <v>-0.745</v>
      </c>
      <c r="K364">
        <v>-0.74</v>
      </c>
      <c r="L364">
        <v>-0.75</v>
      </c>
      <c r="M364">
        <v>-0.745</v>
      </c>
      <c r="N364">
        <v>-0.745</v>
      </c>
      <c r="O364">
        <v>-0.75</v>
      </c>
      <c r="P364">
        <v>-0.76500000000000001</v>
      </c>
      <c r="Q364">
        <v>-0.79</v>
      </c>
      <c r="R364">
        <v>-0.78500000000000003</v>
      </c>
      <c r="S364">
        <v>-0.755</v>
      </c>
      <c r="T364">
        <v>-0.75</v>
      </c>
      <c r="U364">
        <v>-0.755</v>
      </c>
      <c r="V364">
        <v>-0.75</v>
      </c>
    </row>
    <row r="365" spans="1:22" x14ac:dyDescent="0.2">
      <c r="A365" t="s">
        <v>1340</v>
      </c>
      <c r="B365" t="s">
        <v>1407</v>
      </c>
      <c r="C365" t="s">
        <v>1347</v>
      </c>
      <c r="D365" t="s">
        <v>1356</v>
      </c>
      <c r="F365" t="s">
        <v>963</v>
      </c>
      <c r="G365">
        <v>-0.93500000000000005</v>
      </c>
      <c r="H365">
        <v>-0.77</v>
      </c>
      <c r="I365">
        <v>-0.79</v>
      </c>
      <c r="J365">
        <v>-0.76500000000000001</v>
      </c>
      <c r="K365">
        <v>-0.755</v>
      </c>
      <c r="L365">
        <v>-0.76500000000000001</v>
      </c>
      <c r="M365">
        <v>-0.755</v>
      </c>
      <c r="N365">
        <v>-0.76</v>
      </c>
      <c r="O365">
        <v>-0.76</v>
      </c>
      <c r="P365">
        <v>-0.77</v>
      </c>
      <c r="Q365">
        <v>-0.80500000000000005</v>
      </c>
      <c r="R365">
        <v>-0.80500000000000005</v>
      </c>
      <c r="S365">
        <v>-0.77500000000000002</v>
      </c>
      <c r="T365">
        <v>-0.76500000000000001</v>
      </c>
      <c r="U365">
        <v>-0.77</v>
      </c>
      <c r="V365">
        <v>-0.76</v>
      </c>
    </row>
    <row r="366" spans="1:22" x14ac:dyDescent="0.2">
      <c r="A366" t="s">
        <v>1340</v>
      </c>
      <c r="B366" t="s">
        <v>1407</v>
      </c>
      <c r="C366" t="s">
        <v>1001</v>
      </c>
      <c r="D366" t="s">
        <v>1000</v>
      </c>
      <c r="F366" t="s">
        <v>964</v>
      </c>
      <c r="G366">
        <v>-0.98499999999999999</v>
      </c>
      <c r="H366">
        <v>-0.78</v>
      </c>
      <c r="I366">
        <v>-0.8</v>
      </c>
      <c r="J366">
        <v>-0.77500000000000002</v>
      </c>
      <c r="K366">
        <v>-0.76500000000000001</v>
      </c>
      <c r="L366">
        <v>-0.77500000000000002</v>
      </c>
      <c r="M366">
        <v>-0.76500000000000001</v>
      </c>
      <c r="N366">
        <v>-0.76500000000000001</v>
      </c>
      <c r="O366">
        <v>-0.76500000000000001</v>
      </c>
      <c r="P366">
        <v>-0.78</v>
      </c>
      <c r="Q366">
        <v>-0.82</v>
      </c>
      <c r="R366">
        <v>-0.82</v>
      </c>
      <c r="S366">
        <v>-0.79</v>
      </c>
      <c r="T366">
        <v>-0.77500000000000002</v>
      </c>
      <c r="U366">
        <v>-0.78</v>
      </c>
      <c r="V366">
        <v>-0.76500000000000001</v>
      </c>
    </row>
    <row r="367" spans="1:22" x14ac:dyDescent="0.2">
      <c r="A367" t="s">
        <v>1340</v>
      </c>
      <c r="B367" t="s">
        <v>1407</v>
      </c>
      <c r="C367" t="s">
        <v>1354</v>
      </c>
      <c r="D367" t="s">
        <v>1351</v>
      </c>
      <c r="F367" t="s">
        <v>965</v>
      </c>
      <c r="G367">
        <v>-1.0125</v>
      </c>
      <c r="H367">
        <v>-0.79249999999999998</v>
      </c>
      <c r="I367">
        <v>-0.8125</v>
      </c>
      <c r="J367">
        <v>-0.78500000000000003</v>
      </c>
      <c r="K367">
        <v>-0.78</v>
      </c>
      <c r="L367">
        <v>-0.78749999999999998</v>
      </c>
      <c r="M367">
        <v>-0.78249999999999997</v>
      </c>
      <c r="N367">
        <v>-0.77500000000000002</v>
      </c>
      <c r="O367">
        <v>-0.77</v>
      </c>
      <c r="P367">
        <v>-0.78500000000000003</v>
      </c>
      <c r="Q367">
        <v>-0.82499999999999996</v>
      </c>
      <c r="R367">
        <v>-0.82499999999999996</v>
      </c>
      <c r="S367">
        <v>-0.79249999999999998</v>
      </c>
      <c r="T367">
        <v>-0.77749999999999997</v>
      </c>
      <c r="U367">
        <v>-0.78500000000000003</v>
      </c>
      <c r="V367">
        <v>-0.77</v>
      </c>
    </row>
    <row r="368" spans="1:22" x14ac:dyDescent="0.2">
      <c r="A368" t="s">
        <v>1340</v>
      </c>
      <c r="B368" t="s">
        <v>1407</v>
      </c>
      <c r="C368" t="s">
        <v>1356</v>
      </c>
      <c r="D368" t="s">
        <v>1352</v>
      </c>
      <c r="F368" t="s">
        <v>966</v>
      </c>
      <c r="G368">
        <v>-1.0375000000000001</v>
      </c>
      <c r="H368">
        <v>-0.79500000000000004</v>
      </c>
      <c r="I368">
        <v>-0.82499999999999996</v>
      </c>
      <c r="J368">
        <v>-0.79500000000000004</v>
      </c>
      <c r="K368">
        <v>-0.78749999999999998</v>
      </c>
      <c r="L368">
        <v>-0.79500000000000004</v>
      </c>
      <c r="M368">
        <v>-0.78749999999999998</v>
      </c>
      <c r="N368">
        <v>-0.77749999999999997</v>
      </c>
      <c r="O368">
        <v>-0.76500000000000001</v>
      </c>
      <c r="P368">
        <v>-0.78249999999999997</v>
      </c>
      <c r="Q368">
        <v>-0.83250000000000002</v>
      </c>
      <c r="R368">
        <v>-0.82750000000000001</v>
      </c>
      <c r="S368">
        <v>-0.79500000000000004</v>
      </c>
      <c r="T368">
        <v>-0.78220000000000001</v>
      </c>
      <c r="U368">
        <v>-0.78749999999999998</v>
      </c>
      <c r="V368">
        <v>-0.77500000000000002</v>
      </c>
    </row>
    <row r="369" spans="1:22" x14ac:dyDescent="0.2">
      <c r="A369" t="s">
        <v>1340</v>
      </c>
      <c r="B369" t="s">
        <v>1407</v>
      </c>
      <c r="C369" t="s">
        <v>1000</v>
      </c>
      <c r="D369" t="s">
        <v>1353</v>
      </c>
      <c r="F369" t="s">
        <v>967</v>
      </c>
      <c r="G369">
        <v>-1.05</v>
      </c>
      <c r="H369">
        <v>-0.80500000000000005</v>
      </c>
      <c r="I369">
        <v>-0.83</v>
      </c>
      <c r="J369">
        <v>-0.8</v>
      </c>
      <c r="K369">
        <v>-0.79</v>
      </c>
      <c r="L369">
        <v>-0.8</v>
      </c>
      <c r="M369">
        <v>-0.79</v>
      </c>
      <c r="N369">
        <v>-0.77500000000000002</v>
      </c>
      <c r="O369">
        <v>-0.76</v>
      </c>
      <c r="P369">
        <v>-0.78</v>
      </c>
      <c r="Q369">
        <v>-0.83499999999999996</v>
      </c>
      <c r="R369">
        <v>-0.83</v>
      </c>
      <c r="S369">
        <v>-0.8</v>
      </c>
      <c r="T369">
        <v>-0.78500000000000003</v>
      </c>
      <c r="U369">
        <v>-0.79</v>
      </c>
      <c r="V369">
        <v>-0.78</v>
      </c>
    </row>
    <row r="370" spans="1:22" x14ac:dyDescent="0.2">
      <c r="A370" t="s">
        <v>1340</v>
      </c>
      <c r="B370" t="s">
        <v>1407</v>
      </c>
      <c r="C370" t="s">
        <v>1068</v>
      </c>
      <c r="F370" t="s">
        <v>1414</v>
      </c>
      <c r="G370">
        <v>-0.98299999999999998</v>
      </c>
      <c r="H370">
        <v>-0.79</v>
      </c>
      <c r="I370">
        <v>-0.81299999999999994</v>
      </c>
      <c r="J370">
        <v>-0.78500000000000003</v>
      </c>
      <c r="K370">
        <v>-0.77800000000000002</v>
      </c>
      <c r="L370">
        <v>-0.78800000000000003</v>
      </c>
      <c r="M370">
        <v>-0.77800000000000002</v>
      </c>
      <c r="N370">
        <v>-0.76800000000000002</v>
      </c>
      <c r="O370">
        <v>-0.76</v>
      </c>
      <c r="P370">
        <v>-0.77</v>
      </c>
      <c r="Q370">
        <v>-0.81799999999999995</v>
      </c>
      <c r="R370">
        <v>-0.81299999999999994</v>
      </c>
      <c r="S370">
        <v>-0.78800000000000003</v>
      </c>
      <c r="T370">
        <v>-0.77800000000000002</v>
      </c>
      <c r="U370">
        <v>-0.78300000000000003</v>
      </c>
      <c r="V370">
        <v>-0.77</v>
      </c>
    </row>
    <row r="371" spans="1:22" x14ac:dyDescent="0.2">
      <c r="A371" t="s">
        <v>1340</v>
      </c>
      <c r="B371" t="s">
        <v>1407</v>
      </c>
      <c r="C371" t="s">
        <v>1069</v>
      </c>
      <c r="F371" t="s">
        <v>1415</v>
      </c>
      <c r="G371">
        <v>-1.0349999999999999</v>
      </c>
      <c r="H371">
        <v>-0.79500000000000004</v>
      </c>
      <c r="I371">
        <v>-0.82250000000000001</v>
      </c>
      <c r="J371">
        <v>-0.8</v>
      </c>
      <c r="K371">
        <v>-0.78249999999999997</v>
      </c>
      <c r="L371">
        <v>-0.79749999999999999</v>
      </c>
      <c r="M371">
        <v>-0.78</v>
      </c>
      <c r="N371">
        <v>-0.755</v>
      </c>
      <c r="O371">
        <v>-0.72250000000000003</v>
      </c>
      <c r="P371">
        <v>-0.73499999999999999</v>
      </c>
      <c r="Q371">
        <v>-0.80500000000000005</v>
      </c>
      <c r="R371">
        <v>-0.78500000000000003</v>
      </c>
      <c r="S371">
        <v>-0.75</v>
      </c>
      <c r="T371">
        <v>-0.74250000000000005</v>
      </c>
      <c r="U371">
        <v>-0.75</v>
      </c>
      <c r="V371">
        <v>-0.74</v>
      </c>
    </row>
    <row r="372" spans="1:22" x14ac:dyDescent="0.2">
      <c r="A372" t="s">
        <v>1340</v>
      </c>
      <c r="B372" t="s">
        <v>1407</v>
      </c>
      <c r="C372" t="s">
        <v>1072</v>
      </c>
      <c r="F372" t="s">
        <v>1416</v>
      </c>
      <c r="G372">
        <v>-1.0375000000000001</v>
      </c>
      <c r="H372">
        <v>-0.78749999999999998</v>
      </c>
      <c r="I372">
        <v>-0.82</v>
      </c>
      <c r="J372">
        <v>-0.79</v>
      </c>
      <c r="K372">
        <v>-0.77</v>
      </c>
      <c r="L372">
        <v>-0.78500000000000003</v>
      </c>
      <c r="M372">
        <v>-0.76500000000000001</v>
      </c>
      <c r="N372">
        <v>-0.72750000000000004</v>
      </c>
      <c r="O372">
        <v>-0.66249999999999998</v>
      </c>
      <c r="P372">
        <v>-0.66249999999999998</v>
      </c>
      <c r="Q372">
        <v>-0.74</v>
      </c>
      <c r="R372">
        <v>-0.72250000000000003</v>
      </c>
      <c r="S372">
        <v>-0.68500000000000005</v>
      </c>
      <c r="T372">
        <v>-0.67</v>
      </c>
      <c r="U372">
        <v>-0.68500000000000005</v>
      </c>
      <c r="V372">
        <v>-0.67</v>
      </c>
    </row>
    <row r="373" spans="1:22" x14ac:dyDescent="0.2">
      <c r="A373" t="s">
        <v>1340</v>
      </c>
      <c r="B373" t="s">
        <v>1407</v>
      </c>
      <c r="C373" t="s">
        <v>1075</v>
      </c>
      <c r="F373" t="s">
        <v>1417</v>
      </c>
      <c r="G373">
        <v>-1.01</v>
      </c>
      <c r="H373">
        <v>-0.76500000000000001</v>
      </c>
      <c r="I373">
        <v>-0.8</v>
      </c>
      <c r="J373">
        <v>-0.755</v>
      </c>
      <c r="K373">
        <v>-0.73</v>
      </c>
      <c r="L373">
        <v>-0.745</v>
      </c>
      <c r="M373">
        <v>-0.72250000000000003</v>
      </c>
      <c r="N373">
        <v>-0.67500000000000004</v>
      </c>
      <c r="O373">
        <v>-0.58750000000000002</v>
      </c>
      <c r="P373">
        <v>-0.57999999999999996</v>
      </c>
      <c r="Q373">
        <v>-0.65249999999999997</v>
      </c>
      <c r="R373">
        <v>-0.63749999999999996</v>
      </c>
      <c r="S373">
        <v>-0.59</v>
      </c>
      <c r="T373">
        <v>-0.57499999999999996</v>
      </c>
      <c r="U373">
        <v>-0.59</v>
      </c>
      <c r="V373">
        <v>-0.58250000000000002</v>
      </c>
    </row>
    <row r="374" spans="1:22" x14ac:dyDescent="0.2">
      <c r="A374" t="s">
        <v>1340</v>
      </c>
      <c r="B374" t="s">
        <v>1407</v>
      </c>
      <c r="C374" t="s">
        <v>1073</v>
      </c>
      <c r="F374" t="s">
        <v>1418</v>
      </c>
      <c r="G374">
        <v>-0.96499999999999997</v>
      </c>
      <c r="H374">
        <v>-0.73</v>
      </c>
      <c r="I374">
        <v>-0.75749999999999995</v>
      </c>
      <c r="J374">
        <v>-0.70250000000000001</v>
      </c>
      <c r="K374">
        <v>-0.67749999999999999</v>
      </c>
      <c r="L374">
        <v>-0.69</v>
      </c>
      <c r="M374">
        <v>-0.67249999999999999</v>
      </c>
      <c r="N374">
        <v>-0.61750000000000005</v>
      </c>
      <c r="O374">
        <v>-0.50749999999999995</v>
      </c>
      <c r="P374">
        <v>-0.48749999999999999</v>
      </c>
      <c r="Q374">
        <v>-0.5575</v>
      </c>
      <c r="R374">
        <v>-0.53500000000000003</v>
      </c>
      <c r="S374">
        <v>-0.47499999999999998</v>
      </c>
      <c r="T374">
        <v>-0.46500000000000002</v>
      </c>
      <c r="U374">
        <v>-0.48249999999999998</v>
      </c>
      <c r="V374">
        <v>-0.48249999999999998</v>
      </c>
    </row>
    <row r="375" spans="1:22" x14ac:dyDescent="0.2">
      <c r="A375" t="s">
        <v>1340</v>
      </c>
      <c r="B375" t="s">
        <v>1407</v>
      </c>
      <c r="C375" t="s">
        <v>1076</v>
      </c>
      <c r="F375" t="s">
        <v>1419</v>
      </c>
      <c r="G375">
        <v>-0.90500000000000003</v>
      </c>
      <c r="H375">
        <v>-0.68500000000000005</v>
      </c>
      <c r="I375">
        <v>-0.70750000000000002</v>
      </c>
      <c r="J375">
        <v>-0.63500000000000001</v>
      </c>
      <c r="K375">
        <v>-0.61</v>
      </c>
      <c r="L375">
        <v>-0.62250000000000005</v>
      </c>
      <c r="M375">
        <v>-0.61</v>
      </c>
      <c r="N375">
        <v>-0.54500000000000004</v>
      </c>
      <c r="O375">
        <v>-0.42</v>
      </c>
      <c r="P375">
        <v>-0.39250000000000002</v>
      </c>
      <c r="Q375">
        <v>-0.45750000000000002</v>
      </c>
      <c r="R375">
        <v>-0.43</v>
      </c>
      <c r="S375">
        <v>-0.36</v>
      </c>
      <c r="T375">
        <v>-0.35499999999999998</v>
      </c>
      <c r="U375">
        <v>-0.3725</v>
      </c>
      <c r="V375">
        <v>-0.38</v>
      </c>
    </row>
    <row r="376" spans="1:22" x14ac:dyDescent="0.2">
      <c r="A376" t="s">
        <v>1340</v>
      </c>
      <c r="B376" t="s">
        <v>1407</v>
      </c>
      <c r="C376" t="s">
        <v>1019</v>
      </c>
      <c r="F376" t="s">
        <v>1420</v>
      </c>
      <c r="G376">
        <v>-0.83499999999999996</v>
      </c>
      <c r="H376">
        <v>-0.63249999999999995</v>
      </c>
      <c r="I376">
        <v>-0.64749999999999996</v>
      </c>
      <c r="J376">
        <v>-0.5625</v>
      </c>
      <c r="K376">
        <v>-0.53749999999999998</v>
      </c>
      <c r="L376">
        <v>-0.54749999999999999</v>
      </c>
      <c r="M376">
        <v>-0.54</v>
      </c>
      <c r="N376">
        <v>-0.46500000000000002</v>
      </c>
      <c r="O376">
        <v>-0.33</v>
      </c>
      <c r="P376">
        <v>-0.29749999999999999</v>
      </c>
      <c r="Q376">
        <v>-0.36</v>
      </c>
      <c r="R376">
        <v>-0.32750000000000001</v>
      </c>
      <c r="S376">
        <v>-0.2475</v>
      </c>
      <c r="T376">
        <v>-0.25</v>
      </c>
      <c r="U376">
        <v>-0.26750000000000002</v>
      </c>
      <c r="V376">
        <v>-0.27750000000000002</v>
      </c>
    </row>
    <row r="377" spans="1:22" x14ac:dyDescent="0.2">
      <c r="A377" t="s">
        <v>1340</v>
      </c>
      <c r="B377" t="s">
        <v>1407</v>
      </c>
      <c r="C377" t="s">
        <v>1364</v>
      </c>
      <c r="F377" t="s">
        <v>1421</v>
      </c>
      <c r="G377">
        <v>-0.75749999999999995</v>
      </c>
      <c r="H377">
        <v>-0.57499999999999996</v>
      </c>
      <c r="I377">
        <v>-0.58250000000000002</v>
      </c>
      <c r="J377">
        <v>-0.49</v>
      </c>
      <c r="K377">
        <v>-0.46500000000000002</v>
      </c>
      <c r="L377">
        <v>-0.47249999999999998</v>
      </c>
      <c r="M377">
        <v>-0.47</v>
      </c>
      <c r="N377">
        <v>-0.38750000000000001</v>
      </c>
      <c r="O377">
        <v>-0.245</v>
      </c>
      <c r="P377">
        <v>-0.21</v>
      </c>
      <c r="Q377">
        <v>-0.27250000000000002</v>
      </c>
      <c r="R377">
        <v>-0.23499999999999999</v>
      </c>
      <c r="S377">
        <v>-0.14499999999999999</v>
      </c>
      <c r="T377">
        <v>-0.15</v>
      </c>
      <c r="U377">
        <v>-0.16750000000000001</v>
      </c>
      <c r="V377">
        <v>-0.17499999999999999</v>
      </c>
    </row>
    <row r="378" spans="1:22" x14ac:dyDescent="0.2">
      <c r="A378" t="s">
        <v>1340</v>
      </c>
      <c r="B378" t="s">
        <v>1407</v>
      </c>
      <c r="C378" t="s">
        <v>1366</v>
      </c>
      <c r="F378" t="s">
        <v>1422</v>
      </c>
      <c r="G378">
        <v>-0.6825</v>
      </c>
      <c r="H378">
        <v>-0.52</v>
      </c>
      <c r="I378">
        <v>-0.52249999999999996</v>
      </c>
      <c r="J378">
        <v>-0.41749999999999998</v>
      </c>
      <c r="K378">
        <v>-0.39250000000000002</v>
      </c>
      <c r="L378">
        <v>-0.4</v>
      </c>
      <c r="M378">
        <v>-0.4</v>
      </c>
      <c r="N378">
        <v>-0.3075</v>
      </c>
      <c r="O378">
        <v>-0.16250000000000001</v>
      </c>
      <c r="P378">
        <v>-0.125</v>
      </c>
      <c r="Q378">
        <v>-0.1875</v>
      </c>
      <c r="R378">
        <v>-0.14749999999999999</v>
      </c>
      <c r="S378">
        <v>-4.7500000000000001E-2</v>
      </c>
      <c r="T378">
        <v>-5.7500000000000002E-2</v>
      </c>
      <c r="U378">
        <v>-7.4999999999999997E-2</v>
      </c>
      <c r="V378">
        <v>-8.2500000000000004E-2</v>
      </c>
    </row>
    <row r="379" spans="1:22" x14ac:dyDescent="0.2">
      <c r="A379" t="s">
        <v>1340</v>
      </c>
      <c r="B379" t="s">
        <v>1407</v>
      </c>
      <c r="C379" t="s">
        <v>952</v>
      </c>
      <c r="F379" t="s">
        <v>1423</v>
      </c>
      <c r="G379">
        <v>-0.61</v>
      </c>
      <c r="H379">
        <v>-0.46750000000000003</v>
      </c>
      <c r="I379">
        <v>-0.46500000000000002</v>
      </c>
      <c r="J379">
        <v>-0.35249999999999998</v>
      </c>
      <c r="K379">
        <v>-0.32750000000000001</v>
      </c>
      <c r="L379">
        <v>-0.33250000000000002</v>
      </c>
      <c r="M379">
        <v>-0.33250000000000002</v>
      </c>
      <c r="N379">
        <v>-0.23250000000000001</v>
      </c>
      <c r="O379">
        <v>-8.7499999999999994E-2</v>
      </c>
      <c r="P379">
        <v>-4.7500000000000001E-2</v>
      </c>
      <c r="Q379">
        <v>-0.11</v>
      </c>
      <c r="R379">
        <v>-6.7500000000000004E-2</v>
      </c>
      <c r="S379">
        <v>3.7499999999999999E-2</v>
      </c>
      <c r="T379">
        <v>2.5000000000000001E-2</v>
      </c>
      <c r="U379">
        <v>7.4999999999999997E-3</v>
      </c>
      <c r="V379">
        <v>2.5000000000000001E-3</v>
      </c>
    </row>
    <row r="380" spans="1:22" x14ac:dyDescent="0.2">
      <c r="A380" t="s">
        <v>1340</v>
      </c>
      <c r="B380" t="s">
        <v>1407</v>
      </c>
      <c r="C380" t="s">
        <v>987</v>
      </c>
      <c r="F380" t="s">
        <v>1424</v>
      </c>
      <c r="G380">
        <v>-0.54</v>
      </c>
      <c r="H380">
        <v>-0.41749999999999998</v>
      </c>
      <c r="I380">
        <v>-0.41</v>
      </c>
      <c r="J380">
        <v>-0.29249999999999998</v>
      </c>
      <c r="K380">
        <v>-0.26750000000000002</v>
      </c>
      <c r="L380">
        <v>-0.26750000000000002</v>
      </c>
      <c r="M380">
        <v>-0.27</v>
      </c>
      <c r="N380">
        <v>-0.16250000000000001</v>
      </c>
      <c r="O380">
        <v>-0.02</v>
      </c>
      <c r="P380">
        <v>2.2499999999999999E-2</v>
      </c>
      <c r="Q380">
        <v>-0.04</v>
      </c>
      <c r="R380">
        <v>2.5000000000000001E-3</v>
      </c>
      <c r="S380">
        <v>0.11</v>
      </c>
      <c r="T380">
        <v>0.1</v>
      </c>
      <c r="U380">
        <v>8.2500000000000004E-2</v>
      </c>
      <c r="V380">
        <v>7.2499999999999995E-2</v>
      </c>
    </row>
    <row r="381" spans="1:22" x14ac:dyDescent="0.2">
      <c r="A381" t="s">
        <v>1340</v>
      </c>
      <c r="B381" t="s">
        <v>1407</v>
      </c>
      <c r="C381" t="s">
        <v>1077</v>
      </c>
      <c r="F381" t="s">
        <v>1425</v>
      </c>
      <c r="G381">
        <v>-0.47499999999999998</v>
      </c>
      <c r="H381">
        <v>-0.37</v>
      </c>
      <c r="I381">
        <v>-0.36</v>
      </c>
      <c r="J381">
        <v>-0.24</v>
      </c>
      <c r="K381">
        <v>-0.215</v>
      </c>
      <c r="L381">
        <v>-0.215</v>
      </c>
      <c r="M381">
        <v>-0.22</v>
      </c>
      <c r="N381">
        <v>-0.1125</v>
      </c>
      <c r="O381">
        <v>3.7499999999999999E-2</v>
      </c>
      <c r="P381">
        <v>8.2500000000000004E-2</v>
      </c>
      <c r="Q381">
        <v>2.2499999999999999E-2</v>
      </c>
      <c r="R381">
        <v>6.5000000000000002E-2</v>
      </c>
      <c r="S381">
        <v>0.17499999999999999</v>
      </c>
      <c r="T381">
        <v>0.16500000000000001</v>
      </c>
      <c r="U381">
        <v>0.14749999999999999</v>
      </c>
      <c r="V381">
        <v>0.13750000000000001</v>
      </c>
    </row>
    <row r="382" spans="1:22" x14ac:dyDescent="0.2">
      <c r="A382" t="s">
        <v>1340</v>
      </c>
      <c r="B382" t="s">
        <v>1407</v>
      </c>
      <c r="C382" t="s">
        <v>1020</v>
      </c>
      <c r="F382" t="s">
        <v>1426</v>
      </c>
      <c r="G382">
        <v>-0.32500000000000001</v>
      </c>
      <c r="H382">
        <v>-0.2475</v>
      </c>
      <c r="I382">
        <v>-0.22750000000000001</v>
      </c>
      <c r="J382">
        <v>-0.1075</v>
      </c>
      <c r="K382">
        <v>-0.08</v>
      </c>
      <c r="L382">
        <v>-0.08</v>
      </c>
      <c r="M382">
        <v>-0.09</v>
      </c>
      <c r="N382">
        <v>1.7500000000000002E-2</v>
      </c>
      <c r="O382">
        <v>0.18</v>
      </c>
      <c r="P382">
        <v>0.22500000000000001</v>
      </c>
      <c r="Q382">
        <v>0.16250000000000001</v>
      </c>
      <c r="R382">
        <v>0.21</v>
      </c>
      <c r="S382">
        <v>0.33500000000000002</v>
      </c>
      <c r="T382">
        <v>0.3125</v>
      </c>
      <c r="U382">
        <v>0.3</v>
      </c>
      <c r="V382">
        <v>0.3</v>
      </c>
    </row>
    <row r="383" spans="1:22" x14ac:dyDescent="0.2">
      <c r="A383" t="s">
        <v>1340</v>
      </c>
      <c r="B383" t="s">
        <v>1407</v>
      </c>
      <c r="C383" t="s">
        <v>1021</v>
      </c>
      <c r="F383" t="s">
        <v>1427</v>
      </c>
      <c r="G383">
        <v>-0.16250000000000001</v>
      </c>
      <c r="H383">
        <v>-0.10249999999999999</v>
      </c>
      <c r="I383">
        <v>-9.5000000000000001E-2</v>
      </c>
      <c r="J383">
        <v>1.7500000000000002E-2</v>
      </c>
      <c r="K383">
        <v>4.7500000000000001E-2</v>
      </c>
      <c r="L383">
        <v>5.2499999999999998E-2</v>
      </c>
      <c r="M383">
        <v>0.04</v>
      </c>
      <c r="N383">
        <v>0.15</v>
      </c>
      <c r="O383">
        <v>0.31</v>
      </c>
      <c r="P383">
        <v>0.36</v>
      </c>
      <c r="Q383">
        <v>0.29249999999999998</v>
      </c>
      <c r="R383">
        <v>0.34</v>
      </c>
      <c r="S383">
        <v>0.47749999999999998</v>
      </c>
      <c r="T383">
        <v>0.46</v>
      </c>
      <c r="U383">
        <v>0.44500000000000001</v>
      </c>
      <c r="V383">
        <v>0.44</v>
      </c>
    </row>
    <row r="384" spans="1:22" x14ac:dyDescent="0.2">
      <c r="A384" t="s">
        <v>1340</v>
      </c>
      <c r="B384" t="s">
        <v>1407</v>
      </c>
      <c r="C384" t="s">
        <v>1078</v>
      </c>
      <c r="F384" t="s">
        <v>1428</v>
      </c>
      <c r="G384">
        <v>-7.0000000000000007E-2</v>
      </c>
      <c r="H384">
        <v>-1.4999999999999999E-2</v>
      </c>
      <c r="I384">
        <v>-0.01</v>
      </c>
      <c r="J384">
        <v>0.1</v>
      </c>
      <c r="K384">
        <v>0.1275</v>
      </c>
      <c r="L384">
        <v>0.13</v>
      </c>
      <c r="M384">
        <v>0.115</v>
      </c>
      <c r="N384">
        <v>0.22500000000000001</v>
      </c>
      <c r="O384">
        <v>0.38500000000000001</v>
      </c>
      <c r="P384">
        <v>0.42749999999999999</v>
      </c>
      <c r="Q384">
        <v>0.36749999999999999</v>
      </c>
      <c r="R384">
        <v>0.41499999999999998</v>
      </c>
      <c r="S384">
        <v>0.55500000000000005</v>
      </c>
      <c r="T384">
        <v>0.54</v>
      </c>
      <c r="U384">
        <v>0.52500000000000002</v>
      </c>
      <c r="V384">
        <v>0.52</v>
      </c>
    </row>
    <row r="385" spans="1:22" x14ac:dyDescent="0.2">
      <c r="A385" t="s">
        <v>1340</v>
      </c>
      <c r="B385" t="s">
        <v>1407</v>
      </c>
      <c r="C385" t="s">
        <v>1022</v>
      </c>
      <c r="F385" t="s">
        <v>1429</v>
      </c>
      <c r="G385">
        <v>-0.02</v>
      </c>
      <c r="H385">
        <v>2.5000000000000001E-2</v>
      </c>
      <c r="I385">
        <v>3.5000000000000003E-2</v>
      </c>
      <c r="J385">
        <v>0.14499999999999999</v>
      </c>
      <c r="K385">
        <v>0.17499999999999999</v>
      </c>
      <c r="L385">
        <v>0.17749999999999999</v>
      </c>
      <c r="M385">
        <v>0.16250000000000001</v>
      </c>
      <c r="N385">
        <v>0.27250000000000002</v>
      </c>
      <c r="O385">
        <v>0.4325</v>
      </c>
      <c r="P385">
        <v>0.47499999999999998</v>
      </c>
      <c r="Q385">
        <v>0.42</v>
      </c>
      <c r="R385">
        <v>0.46750000000000003</v>
      </c>
      <c r="S385">
        <v>0.61</v>
      </c>
      <c r="T385">
        <v>0.59250000000000003</v>
      </c>
      <c r="U385">
        <v>0.57750000000000001</v>
      </c>
      <c r="V385">
        <v>0.57250000000000001</v>
      </c>
    </row>
    <row r="387" spans="1:22" x14ac:dyDescent="0.2">
      <c r="A387" t="s">
        <v>1340</v>
      </c>
      <c r="B387" t="s">
        <v>1329</v>
      </c>
      <c r="C387" t="s">
        <v>25</v>
      </c>
      <c r="F387" t="s">
        <v>1430</v>
      </c>
      <c r="G387">
        <v>-0.48499999999999999</v>
      </c>
      <c r="H387">
        <v>-0.48249999999999998</v>
      </c>
      <c r="I387">
        <v>-0.47499999999999998</v>
      </c>
      <c r="J387">
        <v>-0.42249999999999999</v>
      </c>
      <c r="K387">
        <v>-0.42499999999999999</v>
      </c>
      <c r="L387">
        <v>-0.43</v>
      </c>
      <c r="M387">
        <v>-0.42249999999999999</v>
      </c>
      <c r="N387">
        <v>-0.42249999999999999</v>
      </c>
      <c r="O387">
        <v>-0.45500000000000002</v>
      </c>
      <c r="P387">
        <v>-0.45500000000000002</v>
      </c>
      <c r="Q387">
        <v>-0.51</v>
      </c>
      <c r="R387">
        <v>-0.53249999999999997</v>
      </c>
      <c r="S387">
        <v>-0.47499999999999998</v>
      </c>
      <c r="T387">
        <v>-0.505</v>
      </c>
      <c r="U387">
        <v>-0.5</v>
      </c>
      <c r="V387">
        <v>-0.46250000000000002</v>
      </c>
    </row>
    <row r="388" spans="1:22" x14ac:dyDescent="0.2">
      <c r="A388" t="s">
        <v>1340</v>
      </c>
      <c r="B388" t="s">
        <v>1329</v>
      </c>
      <c r="C388" t="s">
        <v>157</v>
      </c>
      <c r="F388" t="s">
        <v>1431</v>
      </c>
      <c r="G388">
        <v>-0.47499999999999998</v>
      </c>
      <c r="H388">
        <v>-0.46500000000000002</v>
      </c>
      <c r="I388">
        <v>-0.44500000000000001</v>
      </c>
      <c r="J388">
        <v>-0.43</v>
      </c>
      <c r="K388">
        <v>-0.42499999999999999</v>
      </c>
      <c r="L388">
        <v>-0.42499999999999999</v>
      </c>
      <c r="M388">
        <v>-0.42</v>
      </c>
      <c r="N388">
        <v>-0.42</v>
      </c>
      <c r="O388">
        <v>-0.43</v>
      </c>
      <c r="P388">
        <v>-0.435</v>
      </c>
      <c r="Q388">
        <v>-0.48</v>
      </c>
      <c r="R388">
        <v>-0.48499999999999999</v>
      </c>
      <c r="S388">
        <v>-0.47</v>
      </c>
      <c r="T388">
        <v>-0.47749999999999998</v>
      </c>
      <c r="U388">
        <v>-0.47749999999999998</v>
      </c>
      <c r="V388">
        <v>-0.44750000000000001</v>
      </c>
    </row>
    <row r="389" spans="1:22" x14ac:dyDescent="0.2">
      <c r="A389" t="s">
        <v>1340</v>
      </c>
      <c r="B389" t="s">
        <v>1329</v>
      </c>
      <c r="C389" t="s">
        <v>99</v>
      </c>
      <c r="F389" t="s">
        <v>1432</v>
      </c>
      <c r="G389">
        <v>-0.49</v>
      </c>
      <c r="H389">
        <v>-0.49</v>
      </c>
      <c r="I389">
        <v>-0.46750000000000003</v>
      </c>
      <c r="J389">
        <v>-0.44750000000000001</v>
      </c>
      <c r="K389">
        <v>-0.44500000000000001</v>
      </c>
      <c r="L389">
        <v>-0.44</v>
      </c>
      <c r="M389">
        <v>-0.4375</v>
      </c>
      <c r="N389">
        <v>-0.435</v>
      </c>
      <c r="O389">
        <v>-0.42499999999999999</v>
      </c>
      <c r="P389">
        <v>-0.435</v>
      </c>
      <c r="Q389">
        <v>-0.48</v>
      </c>
      <c r="R389">
        <v>-0.48499999999999999</v>
      </c>
      <c r="S389">
        <v>-0.47499999999999998</v>
      </c>
      <c r="T389">
        <v>-0.48</v>
      </c>
      <c r="U389">
        <v>-0.48</v>
      </c>
      <c r="V389">
        <v>-0.46</v>
      </c>
    </row>
    <row r="390" spans="1:22" x14ac:dyDescent="0.2">
      <c r="A390" t="s">
        <v>1340</v>
      </c>
      <c r="B390" t="s">
        <v>1329</v>
      </c>
      <c r="C390" t="s">
        <v>101</v>
      </c>
      <c r="F390" t="s">
        <v>1433</v>
      </c>
      <c r="G390">
        <v>-0.51249999999999996</v>
      </c>
      <c r="H390">
        <v>-0.52</v>
      </c>
      <c r="I390">
        <v>-0.47499999999999998</v>
      </c>
      <c r="J390">
        <v>-0.47</v>
      </c>
      <c r="K390">
        <v>-0.46500000000000002</v>
      </c>
      <c r="L390">
        <v>-0.45750000000000002</v>
      </c>
      <c r="M390">
        <v>-0.45500000000000002</v>
      </c>
      <c r="N390">
        <v>-0.45500000000000002</v>
      </c>
      <c r="O390">
        <v>-0.435</v>
      </c>
      <c r="P390">
        <v>-0.44500000000000001</v>
      </c>
      <c r="Q390">
        <v>-0.48499999999999999</v>
      </c>
      <c r="R390">
        <v>-0.49</v>
      </c>
      <c r="S390">
        <v>-0.48499999999999999</v>
      </c>
      <c r="T390">
        <v>-0.49249999999999999</v>
      </c>
      <c r="U390">
        <v>-0.49249999999999999</v>
      </c>
      <c r="V390">
        <v>-0.48</v>
      </c>
    </row>
    <row r="391" spans="1:22" x14ac:dyDescent="0.2">
      <c r="A391" t="s">
        <v>1340</v>
      </c>
      <c r="B391" t="s">
        <v>1329</v>
      </c>
      <c r="C391" t="s">
        <v>102</v>
      </c>
      <c r="F391" t="s">
        <v>1434</v>
      </c>
      <c r="G391">
        <v>-0.5675</v>
      </c>
      <c r="H391">
        <v>-0.56000000000000005</v>
      </c>
      <c r="I391">
        <v>-0.50249999999999995</v>
      </c>
      <c r="J391">
        <v>-0.5</v>
      </c>
      <c r="K391">
        <v>-0.49249999999999999</v>
      </c>
      <c r="L391">
        <v>-0.48249999999999998</v>
      </c>
      <c r="M391">
        <v>-0.48499999999999999</v>
      </c>
      <c r="N391">
        <v>-0.48499999999999999</v>
      </c>
      <c r="O391">
        <v>-0.46500000000000002</v>
      </c>
      <c r="P391">
        <v>-0.47249999999999998</v>
      </c>
      <c r="Q391">
        <v>-0.51249999999999996</v>
      </c>
      <c r="R391">
        <v>-0.51749999999999996</v>
      </c>
      <c r="S391">
        <v>-0.50749999999999995</v>
      </c>
      <c r="T391">
        <v>-0.51</v>
      </c>
      <c r="U391">
        <v>-0.51</v>
      </c>
      <c r="V391">
        <v>-0.51</v>
      </c>
    </row>
    <row r="392" spans="1:22" x14ac:dyDescent="0.2">
      <c r="A392" t="s">
        <v>1340</v>
      </c>
      <c r="B392" t="s">
        <v>1329</v>
      </c>
      <c r="C392" t="s">
        <v>1019</v>
      </c>
      <c r="F392" t="s">
        <v>1435</v>
      </c>
      <c r="G392">
        <v>-0.66500000000000004</v>
      </c>
      <c r="H392">
        <v>-0.65500000000000003</v>
      </c>
      <c r="I392">
        <v>-0.58750000000000002</v>
      </c>
      <c r="J392">
        <v>-0.58250000000000002</v>
      </c>
      <c r="K392">
        <v>-0.57499999999999996</v>
      </c>
      <c r="L392">
        <v>-0.5575</v>
      </c>
      <c r="M392">
        <v>-0.5575</v>
      </c>
      <c r="N392">
        <v>-0.55500000000000005</v>
      </c>
      <c r="O392">
        <v>-0.53749999999999998</v>
      </c>
      <c r="P392">
        <v>-0.54249999999999998</v>
      </c>
      <c r="Q392">
        <v>-0.57999999999999996</v>
      </c>
      <c r="R392">
        <v>-0.58250000000000002</v>
      </c>
      <c r="S392">
        <v>-0.56999999999999995</v>
      </c>
      <c r="T392">
        <v>-0.56499999999999995</v>
      </c>
      <c r="U392">
        <v>-0.56499999999999995</v>
      </c>
      <c r="V392">
        <v>-0.56999999999999995</v>
      </c>
    </row>
    <row r="393" spans="1:22" x14ac:dyDescent="0.2">
      <c r="A393" t="s">
        <v>1340</v>
      </c>
      <c r="B393" t="s">
        <v>1329</v>
      </c>
      <c r="C393" t="s">
        <v>952</v>
      </c>
      <c r="F393" t="s">
        <v>1436</v>
      </c>
      <c r="G393">
        <v>-0.71</v>
      </c>
      <c r="H393">
        <v>-0.70250000000000001</v>
      </c>
      <c r="I393">
        <v>-0.65</v>
      </c>
      <c r="J393">
        <v>-0.64500000000000002</v>
      </c>
      <c r="K393">
        <v>-0.63749999999999996</v>
      </c>
      <c r="L393">
        <v>-0.625</v>
      </c>
      <c r="M393">
        <v>-0.62250000000000005</v>
      </c>
      <c r="N393">
        <v>-0.61499999999999999</v>
      </c>
      <c r="O393">
        <v>-0.59750000000000003</v>
      </c>
      <c r="P393">
        <v>-0.6</v>
      </c>
      <c r="Q393">
        <v>-0.63249999999999995</v>
      </c>
      <c r="R393">
        <v>-0.64</v>
      </c>
      <c r="S393">
        <v>-0.63</v>
      </c>
      <c r="T393">
        <v>-0.61499999999999999</v>
      </c>
      <c r="U393">
        <v>-0.63</v>
      </c>
      <c r="V393">
        <v>-0.62</v>
      </c>
    </row>
    <row r="394" spans="1:22" x14ac:dyDescent="0.2">
      <c r="A394" t="s">
        <v>1340</v>
      </c>
      <c r="B394" t="s">
        <v>1329</v>
      </c>
      <c r="C394" t="s">
        <v>1020</v>
      </c>
      <c r="F394" t="s">
        <v>1437</v>
      </c>
      <c r="G394">
        <v>-0.6825</v>
      </c>
      <c r="H394">
        <v>-0.67</v>
      </c>
      <c r="I394">
        <v>-0.62</v>
      </c>
      <c r="J394">
        <v>-0.61250000000000004</v>
      </c>
      <c r="K394">
        <v>-0.60499999999999998</v>
      </c>
      <c r="L394">
        <v>-0.59499999999999997</v>
      </c>
      <c r="M394">
        <v>-0.60250000000000004</v>
      </c>
      <c r="N394">
        <v>-0.59250000000000003</v>
      </c>
      <c r="O394">
        <v>-0.57250000000000001</v>
      </c>
      <c r="P394">
        <v>-0.57250000000000001</v>
      </c>
      <c r="Q394">
        <v>-0.60250000000000004</v>
      </c>
      <c r="R394">
        <v>-0.60750000000000004</v>
      </c>
      <c r="S394">
        <v>-0.59750000000000003</v>
      </c>
      <c r="T394">
        <v>-0.6</v>
      </c>
      <c r="U394">
        <v>-0.6</v>
      </c>
      <c r="V394">
        <v>-0.60750000000000004</v>
      </c>
    </row>
    <row r="395" spans="1:22" x14ac:dyDescent="0.2">
      <c r="A395" t="s">
        <v>1340</v>
      </c>
      <c r="B395" t="s">
        <v>1329</v>
      </c>
      <c r="C395" t="s">
        <v>1021</v>
      </c>
      <c r="F395" t="s">
        <v>1438</v>
      </c>
      <c r="G395">
        <v>-0.62</v>
      </c>
      <c r="H395">
        <v>-0.62</v>
      </c>
      <c r="I395">
        <v>-0.5675</v>
      </c>
      <c r="J395">
        <v>-0.56000000000000005</v>
      </c>
      <c r="K395">
        <v>-0.55249999999999999</v>
      </c>
      <c r="L395">
        <v>-0.54249999999999998</v>
      </c>
      <c r="M395">
        <v>-0.55000000000000004</v>
      </c>
      <c r="N395">
        <v>-0.54</v>
      </c>
      <c r="O395">
        <v>-0.51500000000000001</v>
      </c>
      <c r="P395">
        <v>-0.51500000000000001</v>
      </c>
      <c r="Q395">
        <v>-0.53249999999999997</v>
      </c>
      <c r="R395">
        <v>-0.53749999999999998</v>
      </c>
      <c r="S395">
        <v>-0.52749999999999997</v>
      </c>
      <c r="T395">
        <v>-0.51749999999999996</v>
      </c>
      <c r="U395">
        <v>-0.53</v>
      </c>
      <c r="V395">
        <v>-0.54</v>
      </c>
    </row>
    <row r="396" spans="1:22" x14ac:dyDescent="0.2">
      <c r="A396" t="s">
        <v>1340</v>
      </c>
      <c r="B396" t="s">
        <v>1329</v>
      </c>
      <c r="C396" t="s">
        <v>1022</v>
      </c>
      <c r="F396" t="s">
        <v>1439</v>
      </c>
      <c r="G396">
        <v>-0.54249999999999998</v>
      </c>
      <c r="H396">
        <v>-0.5625</v>
      </c>
      <c r="I396">
        <v>-0.51249999999999996</v>
      </c>
      <c r="J396">
        <v>-0.50249999999999995</v>
      </c>
      <c r="K396">
        <v>-0.495</v>
      </c>
      <c r="L396">
        <v>-0.48499999999999999</v>
      </c>
      <c r="M396">
        <v>-0.49249999999999999</v>
      </c>
      <c r="N396">
        <v>-0.48249999999999998</v>
      </c>
      <c r="O396">
        <v>-0.45750000000000002</v>
      </c>
      <c r="P396">
        <v>-0.45750000000000002</v>
      </c>
      <c r="Q396">
        <v>-0.47499999999999998</v>
      </c>
      <c r="R396">
        <v>-0.48</v>
      </c>
      <c r="S396">
        <v>-0.47</v>
      </c>
      <c r="T396">
        <v>-0.45500000000000002</v>
      </c>
      <c r="U396">
        <v>-0.47249999999999998</v>
      </c>
      <c r="V396">
        <v>-0.48249999999999998</v>
      </c>
    </row>
    <row r="398" spans="1:22" x14ac:dyDescent="0.2">
      <c r="A398" t="s">
        <v>1440</v>
      </c>
      <c r="B398" t="s">
        <v>1441</v>
      </c>
      <c r="C398" t="s">
        <v>1341</v>
      </c>
      <c r="F398" t="s">
        <v>1442</v>
      </c>
      <c r="G398">
        <v>0.4</v>
      </c>
      <c r="H398">
        <v>0.37</v>
      </c>
      <c r="I398">
        <v>0.375</v>
      </c>
      <c r="J398">
        <v>0.35</v>
      </c>
      <c r="K398">
        <v>0.3</v>
      </c>
      <c r="L398">
        <v>0.52500000000000002</v>
      </c>
      <c r="M398">
        <v>0.35</v>
      </c>
      <c r="N398">
        <v>0.42499999999999999</v>
      </c>
      <c r="O398">
        <v>0.2</v>
      </c>
      <c r="P398">
        <v>0.34499999999999997</v>
      </c>
      <c r="Q398">
        <v>0.35</v>
      </c>
      <c r="R398">
        <v>0.375</v>
      </c>
      <c r="S398">
        <v>0.375</v>
      </c>
      <c r="T398">
        <v>0.375</v>
      </c>
      <c r="U398">
        <v>0.39</v>
      </c>
      <c r="V398">
        <v>0.55000000000000004</v>
      </c>
    </row>
    <row r="399" spans="1:22" x14ac:dyDescent="0.2">
      <c r="A399" t="s">
        <v>1440</v>
      </c>
      <c r="B399" t="s">
        <v>1441</v>
      </c>
      <c r="C399" t="s">
        <v>1343</v>
      </c>
      <c r="F399" t="s">
        <v>1443</v>
      </c>
      <c r="G399">
        <v>0.42499999999999999</v>
      </c>
      <c r="H399">
        <v>0.46</v>
      </c>
      <c r="I399">
        <v>0.48</v>
      </c>
      <c r="J399">
        <v>0.35</v>
      </c>
      <c r="K399">
        <v>0.56999999999999995</v>
      </c>
      <c r="L399">
        <v>0.57499999999999996</v>
      </c>
      <c r="M399">
        <v>0.56000000000000005</v>
      </c>
      <c r="N399">
        <v>0.43</v>
      </c>
      <c r="O399">
        <v>0.42499999999999999</v>
      </c>
      <c r="P399">
        <v>0.42499999999999999</v>
      </c>
      <c r="Q399">
        <v>0.33</v>
      </c>
      <c r="R399">
        <v>0.33</v>
      </c>
      <c r="S399">
        <v>0.42</v>
      </c>
      <c r="T399">
        <v>0.45</v>
      </c>
      <c r="U399">
        <v>0.45</v>
      </c>
      <c r="V399">
        <v>0.55000000000000004</v>
      </c>
    </row>
    <row r="400" spans="1:22" x14ac:dyDescent="0.2">
      <c r="A400" t="s">
        <v>1440</v>
      </c>
      <c r="B400" t="s">
        <v>1441</v>
      </c>
      <c r="C400" t="s">
        <v>1345</v>
      </c>
      <c r="F400" t="s">
        <v>1444</v>
      </c>
      <c r="G400">
        <v>0.6</v>
      </c>
      <c r="H400">
        <v>0.94499999999999995</v>
      </c>
      <c r="I400">
        <v>0.47499999999999998</v>
      </c>
      <c r="J400">
        <v>0.45</v>
      </c>
      <c r="K400">
        <v>0.73</v>
      </c>
      <c r="L400">
        <v>0.75</v>
      </c>
      <c r="M400">
        <v>0.64</v>
      </c>
      <c r="N400">
        <v>0.63500000000000001</v>
      </c>
      <c r="O400">
        <v>0.51</v>
      </c>
      <c r="P400">
        <v>0.59499999999999997</v>
      </c>
      <c r="Q400">
        <v>0.65</v>
      </c>
      <c r="R400">
        <v>0.53500000000000003</v>
      </c>
      <c r="S400">
        <v>0.52500000000000002</v>
      </c>
      <c r="T400">
        <v>0.42499999999999999</v>
      </c>
      <c r="U400">
        <v>0.47499999999999998</v>
      </c>
      <c r="V400">
        <v>0.625</v>
      </c>
    </row>
    <row r="401" spans="1:22" x14ac:dyDescent="0.2">
      <c r="A401" t="s">
        <v>1440</v>
      </c>
      <c r="B401" t="s">
        <v>1441</v>
      </c>
      <c r="C401" t="s">
        <v>1347</v>
      </c>
      <c r="F401" t="s">
        <v>1445</v>
      </c>
      <c r="G401">
        <v>0.73</v>
      </c>
      <c r="H401">
        <v>0.94499999999999995</v>
      </c>
      <c r="I401">
        <v>0.85</v>
      </c>
      <c r="J401">
        <v>0.82499999999999996</v>
      </c>
      <c r="K401">
        <v>0.76</v>
      </c>
      <c r="L401">
        <v>0.78</v>
      </c>
      <c r="M401">
        <v>0.68</v>
      </c>
      <c r="N401">
        <v>0.69499999999999995</v>
      </c>
      <c r="O401">
        <v>0.69499999999999995</v>
      </c>
      <c r="P401">
        <v>0.65500000000000003</v>
      </c>
      <c r="Q401">
        <v>0.69499999999999995</v>
      </c>
      <c r="R401">
        <v>0.67500000000000004</v>
      </c>
      <c r="S401">
        <v>0.67500000000000004</v>
      </c>
      <c r="T401">
        <v>0.625</v>
      </c>
      <c r="U401">
        <v>0.59499999999999997</v>
      </c>
      <c r="V401">
        <v>0.67</v>
      </c>
    </row>
    <row r="402" spans="1:22" x14ac:dyDescent="0.2">
      <c r="A402" t="s">
        <v>1440</v>
      </c>
      <c r="B402" t="s">
        <v>1441</v>
      </c>
      <c r="C402" t="s">
        <v>1001</v>
      </c>
      <c r="F402" t="s">
        <v>1446</v>
      </c>
      <c r="G402">
        <v>0.89500000000000002</v>
      </c>
      <c r="H402">
        <v>0.98499999999999999</v>
      </c>
      <c r="I402">
        <v>0.82499999999999996</v>
      </c>
      <c r="J402">
        <v>1.0049999999999999</v>
      </c>
      <c r="K402">
        <v>1.01</v>
      </c>
      <c r="L402">
        <v>1</v>
      </c>
      <c r="M402">
        <v>0.82499999999999996</v>
      </c>
      <c r="N402">
        <v>0.79500000000000004</v>
      </c>
      <c r="O402">
        <v>0.93500000000000005</v>
      </c>
      <c r="P402">
        <v>0.95499999999999996</v>
      </c>
      <c r="Q402">
        <v>1.0349999999999999</v>
      </c>
      <c r="R402">
        <v>1.0249999999999999</v>
      </c>
      <c r="S402">
        <v>0.995</v>
      </c>
      <c r="T402">
        <v>0.96499999999999997</v>
      </c>
      <c r="U402">
        <v>0.89500000000000002</v>
      </c>
      <c r="V402">
        <v>0.90500000000000003</v>
      </c>
    </row>
    <row r="403" spans="1:22" x14ac:dyDescent="0.2">
      <c r="A403" t="s">
        <v>1440</v>
      </c>
      <c r="B403" t="s">
        <v>1441</v>
      </c>
      <c r="C403" t="s">
        <v>1000</v>
      </c>
      <c r="F403" t="s">
        <v>1447</v>
      </c>
      <c r="G403">
        <v>1.145</v>
      </c>
      <c r="H403">
        <v>1.2749999999999999</v>
      </c>
      <c r="I403">
        <v>1.2050000000000001</v>
      </c>
      <c r="J403">
        <v>1.23</v>
      </c>
      <c r="K403">
        <v>1.2150000000000001</v>
      </c>
      <c r="L403">
        <v>1.2150000000000001</v>
      </c>
      <c r="M403">
        <v>1.1000000000000001</v>
      </c>
      <c r="N403">
        <v>1.1299999999999999</v>
      </c>
      <c r="O403">
        <v>1.1599999999999999</v>
      </c>
      <c r="P403">
        <v>1.155</v>
      </c>
      <c r="Q403">
        <v>1.1499999999999999</v>
      </c>
      <c r="R403">
        <v>1.1399999999999999</v>
      </c>
      <c r="S403">
        <v>1.1200000000000001</v>
      </c>
      <c r="T403">
        <v>1.0549999999999999</v>
      </c>
      <c r="U403">
        <v>1.07</v>
      </c>
      <c r="V403">
        <v>1.1399999999999999</v>
      </c>
    </row>
    <row r="404" spans="1:22" x14ac:dyDescent="0.2">
      <c r="A404" t="s">
        <v>1440</v>
      </c>
      <c r="B404" t="s">
        <v>1441</v>
      </c>
      <c r="C404" t="s">
        <v>1353</v>
      </c>
      <c r="F404" t="s">
        <v>1448</v>
      </c>
      <c r="G404">
        <v>1.24</v>
      </c>
      <c r="H404">
        <v>1.425</v>
      </c>
      <c r="I404">
        <v>1.2849999999999999</v>
      </c>
      <c r="J404">
        <v>1.3049999999999999</v>
      </c>
      <c r="K404">
        <v>1.3</v>
      </c>
      <c r="L404">
        <v>1.3149999999999999</v>
      </c>
      <c r="M404">
        <v>1.2250000000000001</v>
      </c>
      <c r="N404">
        <v>1.1950000000000001</v>
      </c>
      <c r="O404">
        <v>1.23</v>
      </c>
      <c r="P404">
        <v>1.2250000000000001</v>
      </c>
      <c r="Q404">
        <v>1.21</v>
      </c>
      <c r="R404">
        <v>1.2150000000000001</v>
      </c>
      <c r="S404">
        <v>1.2949999999999999</v>
      </c>
      <c r="T404">
        <v>1.2</v>
      </c>
      <c r="U404">
        <v>1.1850000000000001</v>
      </c>
      <c r="V404">
        <v>1.2250000000000001</v>
      </c>
    </row>
    <row r="405" spans="1:22" x14ac:dyDescent="0.2">
      <c r="A405" t="s">
        <v>1440</v>
      </c>
      <c r="B405" t="s">
        <v>1441</v>
      </c>
      <c r="C405" t="s">
        <v>1071</v>
      </c>
      <c r="F405" t="s">
        <v>1449</v>
      </c>
      <c r="G405">
        <v>1.34</v>
      </c>
      <c r="H405">
        <v>1.47</v>
      </c>
      <c r="I405">
        <v>1.385</v>
      </c>
      <c r="J405">
        <v>1.39</v>
      </c>
      <c r="K405">
        <v>1.42</v>
      </c>
      <c r="L405">
        <v>1.385</v>
      </c>
      <c r="M405">
        <v>1.28</v>
      </c>
      <c r="N405">
        <v>1.2849999999999999</v>
      </c>
      <c r="O405">
        <v>1.325</v>
      </c>
      <c r="P405">
        <v>1.3149999999999999</v>
      </c>
      <c r="Q405">
        <v>1.3</v>
      </c>
      <c r="R405">
        <v>1.325</v>
      </c>
      <c r="S405">
        <v>1.355</v>
      </c>
      <c r="T405">
        <v>1.34</v>
      </c>
      <c r="U405">
        <v>1.31</v>
      </c>
      <c r="V405">
        <v>1.325</v>
      </c>
    </row>
    <row r="406" spans="1:22" x14ac:dyDescent="0.2">
      <c r="A406" t="s">
        <v>1440</v>
      </c>
      <c r="B406" t="s">
        <v>1441</v>
      </c>
      <c r="C406" t="s">
        <v>1069</v>
      </c>
      <c r="F406" t="s">
        <v>1450</v>
      </c>
      <c r="G406">
        <v>0.86499999999999999</v>
      </c>
      <c r="H406">
        <v>0.93100000000000005</v>
      </c>
      <c r="I406">
        <v>0.86799999999999999</v>
      </c>
      <c r="J406">
        <v>0.93799999999999994</v>
      </c>
      <c r="K406">
        <v>0.97250000000000003</v>
      </c>
      <c r="L406">
        <v>0.95850000000000002</v>
      </c>
      <c r="M406">
        <v>0.89200000000000002</v>
      </c>
      <c r="N406">
        <v>0.93049999999999999</v>
      </c>
      <c r="O406">
        <v>0.97099999999999997</v>
      </c>
      <c r="P406">
        <v>0.997</v>
      </c>
      <c r="Q406">
        <v>0.995</v>
      </c>
      <c r="R406">
        <v>1.0225</v>
      </c>
      <c r="S406">
        <v>1.0609999999999999</v>
      </c>
      <c r="T406">
        <v>1.175</v>
      </c>
      <c r="U406">
        <v>1.155</v>
      </c>
      <c r="V406">
        <v>1.0860000000000001</v>
      </c>
    </row>
    <row r="407" spans="1:22" x14ac:dyDescent="0.2">
      <c r="A407" t="s">
        <v>1440</v>
      </c>
      <c r="B407" t="s">
        <v>1441</v>
      </c>
      <c r="C407" t="s">
        <v>1072</v>
      </c>
      <c r="F407" t="s">
        <v>1451</v>
      </c>
      <c r="G407">
        <v>0.877</v>
      </c>
      <c r="H407">
        <v>0.94199999999999995</v>
      </c>
      <c r="I407">
        <v>0.88449999999999995</v>
      </c>
      <c r="J407">
        <v>0.98</v>
      </c>
      <c r="K407">
        <v>1.0185</v>
      </c>
      <c r="L407">
        <v>1.0009999999999999</v>
      </c>
      <c r="M407">
        <v>0.92549999999999999</v>
      </c>
      <c r="N407">
        <v>0.97799999999999998</v>
      </c>
      <c r="O407">
        <v>1.0469999999999999</v>
      </c>
      <c r="P407">
        <v>1.1005</v>
      </c>
      <c r="Q407">
        <v>1.1054999999999999</v>
      </c>
      <c r="R407">
        <v>1.1285000000000001</v>
      </c>
      <c r="S407">
        <v>1.1859999999999999</v>
      </c>
      <c r="T407">
        <v>1.3420000000000001</v>
      </c>
      <c r="U407">
        <v>1.3109999999999999</v>
      </c>
      <c r="V407">
        <v>1.2115</v>
      </c>
    </row>
    <row r="408" spans="1:22" x14ac:dyDescent="0.2">
      <c r="A408" t="s">
        <v>1440</v>
      </c>
      <c r="B408" t="s">
        <v>1441</v>
      </c>
      <c r="C408" t="s">
        <v>1075</v>
      </c>
      <c r="F408" t="s">
        <v>1452</v>
      </c>
      <c r="G408">
        <v>0.89700000000000002</v>
      </c>
      <c r="H408">
        <v>0.95299999999999996</v>
      </c>
      <c r="I408">
        <v>0.90400000000000003</v>
      </c>
      <c r="J408">
        <v>1.018</v>
      </c>
      <c r="K408">
        <v>1.0625</v>
      </c>
      <c r="L408">
        <v>1.0469999999999999</v>
      </c>
      <c r="M408">
        <v>0.96699999999999997</v>
      </c>
      <c r="N408">
        <v>1.0265</v>
      </c>
      <c r="O408">
        <v>1.129</v>
      </c>
      <c r="P408">
        <v>1.2044999999999999</v>
      </c>
      <c r="Q408">
        <v>1.2055</v>
      </c>
      <c r="R408">
        <v>1.2270000000000001</v>
      </c>
      <c r="S408">
        <v>1.3009999999999999</v>
      </c>
      <c r="T408">
        <v>1.484</v>
      </c>
      <c r="U408">
        <v>1.4395</v>
      </c>
      <c r="V408">
        <v>1.335</v>
      </c>
    </row>
    <row r="409" spans="1:22" x14ac:dyDescent="0.2">
      <c r="A409" t="s">
        <v>1440</v>
      </c>
      <c r="B409" t="s">
        <v>1441</v>
      </c>
      <c r="C409" t="s">
        <v>1073</v>
      </c>
      <c r="F409" t="s">
        <v>1453</v>
      </c>
      <c r="G409">
        <v>0.93049999999999999</v>
      </c>
      <c r="H409">
        <v>0.96799999999999997</v>
      </c>
      <c r="I409">
        <v>0.93100000000000005</v>
      </c>
      <c r="J409">
        <v>1.0609999999999999</v>
      </c>
      <c r="K409">
        <v>1.1120000000000001</v>
      </c>
      <c r="L409">
        <v>1.0934999999999999</v>
      </c>
      <c r="M409">
        <v>1.0089999999999999</v>
      </c>
      <c r="N409">
        <v>1.0740000000000001</v>
      </c>
      <c r="O409">
        <v>1.2110000000000001</v>
      </c>
      <c r="P409">
        <v>1.296</v>
      </c>
      <c r="Q409">
        <v>1.302</v>
      </c>
      <c r="R409">
        <v>1.3205</v>
      </c>
      <c r="S409">
        <v>1.405</v>
      </c>
      <c r="T409">
        <v>1.6160000000000001</v>
      </c>
      <c r="U409">
        <v>1.5455000000000001</v>
      </c>
      <c r="V409">
        <v>1.4419999999999999</v>
      </c>
    </row>
    <row r="410" spans="1:22" x14ac:dyDescent="0.2">
      <c r="A410" t="s">
        <v>1440</v>
      </c>
      <c r="B410" t="s">
        <v>1441</v>
      </c>
      <c r="C410" t="s">
        <v>1076</v>
      </c>
      <c r="F410" t="s">
        <v>1454</v>
      </c>
      <c r="G410">
        <v>0.98399999999999999</v>
      </c>
      <c r="H410">
        <v>1</v>
      </c>
      <c r="I410">
        <v>0.97050000000000003</v>
      </c>
      <c r="J410">
        <v>1.1085</v>
      </c>
      <c r="K410">
        <v>1.167</v>
      </c>
      <c r="L410">
        <v>1.151</v>
      </c>
      <c r="M410">
        <v>1.0660000000000001</v>
      </c>
      <c r="N410">
        <v>1.1365000000000001</v>
      </c>
      <c r="O410">
        <v>1.292</v>
      </c>
      <c r="P410">
        <v>1.3965000000000001</v>
      </c>
      <c r="Q410">
        <v>1.3979999999999999</v>
      </c>
      <c r="R410">
        <v>1.4159999999999999</v>
      </c>
      <c r="S410">
        <v>1.5089999999999999</v>
      </c>
      <c r="T410">
        <v>1.7155</v>
      </c>
      <c r="U410">
        <v>1.6479999999999999</v>
      </c>
      <c r="V410">
        <v>1.546</v>
      </c>
    </row>
    <row r="411" spans="1:22" x14ac:dyDescent="0.2">
      <c r="A411" t="s">
        <v>1440</v>
      </c>
      <c r="B411" t="s">
        <v>1441</v>
      </c>
      <c r="C411" t="s">
        <v>1019</v>
      </c>
      <c r="F411" t="s">
        <v>1455</v>
      </c>
      <c r="G411">
        <v>1.05</v>
      </c>
      <c r="H411">
        <v>1.0445</v>
      </c>
      <c r="I411">
        <v>1.028</v>
      </c>
      <c r="J411">
        <v>1.1725000000000001</v>
      </c>
      <c r="K411">
        <v>1.2270000000000001</v>
      </c>
      <c r="L411">
        <v>1.216</v>
      </c>
      <c r="M411">
        <v>1.1299999999999999</v>
      </c>
      <c r="N411">
        <v>1.2090000000000001</v>
      </c>
      <c r="O411">
        <v>1.3865000000000001</v>
      </c>
      <c r="P411">
        <v>1.4870000000000001</v>
      </c>
      <c r="Q411">
        <v>1.4950000000000001</v>
      </c>
      <c r="R411">
        <v>1.5129999999999999</v>
      </c>
      <c r="S411">
        <v>1.6185</v>
      </c>
      <c r="T411">
        <v>1.8075000000000001</v>
      </c>
      <c r="U411">
        <v>1.75</v>
      </c>
      <c r="V411">
        <v>1.6479999999999999</v>
      </c>
    </row>
    <row r="412" spans="1:22" x14ac:dyDescent="0.2">
      <c r="A412" t="s">
        <v>1440</v>
      </c>
      <c r="B412" t="s">
        <v>1441</v>
      </c>
      <c r="C412" t="s">
        <v>1364</v>
      </c>
      <c r="F412" t="s">
        <v>1456</v>
      </c>
      <c r="G412">
        <v>1.131</v>
      </c>
      <c r="H412">
        <v>1.111</v>
      </c>
      <c r="I412">
        <v>1.0920000000000001</v>
      </c>
      <c r="J412">
        <v>1.2450000000000001</v>
      </c>
      <c r="K412">
        <v>1.302</v>
      </c>
      <c r="L412">
        <v>1.2935000000000001</v>
      </c>
      <c r="M412">
        <v>1.2084999999999999</v>
      </c>
      <c r="N412">
        <v>1.2969999999999999</v>
      </c>
      <c r="O412">
        <v>1.4910000000000001</v>
      </c>
      <c r="P412">
        <v>1.59</v>
      </c>
      <c r="Q412">
        <v>1.597</v>
      </c>
      <c r="R412">
        <v>1.6160000000000001</v>
      </c>
      <c r="S412">
        <v>1.728</v>
      </c>
      <c r="T412">
        <v>1.9059999999999999</v>
      </c>
      <c r="U412">
        <v>1.8520000000000001</v>
      </c>
      <c r="V412">
        <v>1.744</v>
      </c>
    </row>
    <row r="413" spans="1:22" x14ac:dyDescent="0.2">
      <c r="A413" t="s">
        <v>1440</v>
      </c>
      <c r="B413" t="s">
        <v>1441</v>
      </c>
      <c r="C413" t="s">
        <v>1366</v>
      </c>
      <c r="F413" t="s">
        <v>1457</v>
      </c>
      <c r="G413">
        <v>1.2230000000000001</v>
      </c>
      <c r="H413">
        <v>1.181</v>
      </c>
      <c r="I413">
        <v>1.163</v>
      </c>
      <c r="J413">
        <v>1.3240000000000001</v>
      </c>
      <c r="K413">
        <v>1.3794999999999999</v>
      </c>
      <c r="L413">
        <v>1.371</v>
      </c>
      <c r="M413">
        <v>1.2909999999999999</v>
      </c>
      <c r="N413">
        <v>1.3875</v>
      </c>
      <c r="O413">
        <v>1.585</v>
      </c>
      <c r="P413">
        <v>1.679</v>
      </c>
      <c r="Q413">
        <v>1.6910000000000001</v>
      </c>
      <c r="R413">
        <v>1.7130000000000001</v>
      </c>
      <c r="S413">
        <v>1.833</v>
      </c>
      <c r="T413">
        <v>2.0030000000000001</v>
      </c>
      <c r="U413">
        <v>1.9464999999999999</v>
      </c>
      <c r="V413">
        <v>1.839</v>
      </c>
    </row>
    <row r="414" spans="1:22" x14ac:dyDescent="0.2">
      <c r="A414" t="s">
        <v>1440</v>
      </c>
      <c r="B414" t="s">
        <v>1441</v>
      </c>
      <c r="C414" t="s">
        <v>952</v>
      </c>
      <c r="F414" t="s">
        <v>1458</v>
      </c>
      <c r="G414">
        <v>1.3140000000000001</v>
      </c>
      <c r="H414">
        <v>1.25</v>
      </c>
      <c r="I414">
        <v>1.2324999999999999</v>
      </c>
      <c r="J414">
        <v>1.4</v>
      </c>
      <c r="K414">
        <v>1.4535</v>
      </c>
      <c r="L414">
        <v>1.4490000000000001</v>
      </c>
      <c r="M414">
        <v>1.37</v>
      </c>
      <c r="N414">
        <v>1.476</v>
      </c>
      <c r="O414">
        <v>1.68</v>
      </c>
      <c r="P414">
        <v>1.7749999999999999</v>
      </c>
      <c r="Q414">
        <v>1.7849999999999999</v>
      </c>
      <c r="R414">
        <v>1.804</v>
      </c>
      <c r="S414">
        <v>1.93</v>
      </c>
      <c r="T414">
        <v>2.089</v>
      </c>
      <c r="U414">
        <v>2.036</v>
      </c>
      <c r="V414">
        <v>1.9279999999999999</v>
      </c>
    </row>
    <row r="415" spans="1:22" x14ac:dyDescent="0.2">
      <c r="A415" t="s">
        <v>1440</v>
      </c>
      <c r="B415" t="s">
        <v>1441</v>
      </c>
      <c r="C415" t="s">
        <v>1077</v>
      </c>
      <c r="F415" t="s">
        <v>1459</v>
      </c>
      <c r="G415">
        <v>1.4804999999999999</v>
      </c>
      <c r="H415">
        <v>1.3819999999999999</v>
      </c>
      <c r="I415">
        <v>1.3714999999999999</v>
      </c>
      <c r="J415">
        <v>1.5389999999999999</v>
      </c>
      <c r="K415">
        <v>1.6040000000000001</v>
      </c>
      <c r="L415">
        <v>1.599</v>
      </c>
      <c r="M415">
        <v>1.524</v>
      </c>
      <c r="N415">
        <v>1.6279999999999999</v>
      </c>
      <c r="O415">
        <v>1.8440000000000001</v>
      </c>
      <c r="P415">
        <v>1.9415</v>
      </c>
      <c r="Q415">
        <v>1.9430000000000001</v>
      </c>
      <c r="R415">
        <v>1.9610000000000001</v>
      </c>
      <c r="S415">
        <v>2.1040000000000001</v>
      </c>
      <c r="T415">
        <v>2.2570000000000001</v>
      </c>
      <c r="U415">
        <v>2.2040000000000002</v>
      </c>
      <c r="V415">
        <v>2.089</v>
      </c>
    </row>
    <row r="416" spans="1:22" x14ac:dyDescent="0.2">
      <c r="A416" t="s">
        <v>1440</v>
      </c>
      <c r="B416" t="s">
        <v>1441</v>
      </c>
      <c r="C416" t="s">
        <v>1020</v>
      </c>
      <c r="F416" t="s">
        <v>1460</v>
      </c>
      <c r="G416">
        <v>1.665</v>
      </c>
      <c r="H416">
        <v>1.5329999999999999</v>
      </c>
      <c r="I416">
        <v>1.53</v>
      </c>
      <c r="J416">
        <v>1.696</v>
      </c>
      <c r="K416">
        <v>1.764</v>
      </c>
      <c r="L416">
        <v>1.7689999999999999</v>
      </c>
      <c r="M416">
        <v>1.6970000000000001</v>
      </c>
      <c r="N416">
        <v>1.7929999999999999</v>
      </c>
      <c r="O416">
        <v>2.0249999999999999</v>
      </c>
      <c r="P416">
        <v>2.1150000000000002</v>
      </c>
      <c r="Q416">
        <v>2.1084999999999998</v>
      </c>
      <c r="R416">
        <v>2.1355</v>
      </c>
      <c r="S416">
        <v>2.2885</v>
      </c>
      <c r="T416">
        <v>2.4350000000000001</v>
      </c>
      <c r="U416">
        <v>2.383</v>
      </c>
      <c r="V416">
        <v>2.262</v>
      </c>
    </row>
    <row r="417" spans="1:22" x14ac:dyDescent="0.2">
      <c r="A417" t="s">
        <v>1440</v>
      </c>
      <c r="B417" t="s">
        <v>1441</v>
      </c>
      <c r="C417" t="s">
        <v>1021</v>
      </c>
      <c r="F417" t="s">
        <v>1461</v>
      </c>
      <c r="G417">
        <v>1.7909999999999999</v>
      </c>
      <c r="H417">
        <v>1.6365000000000001</v>
      </c>
      <c r="I417">
        <v>1.63</v>
      </c>
      <c r="J417">
        <v>1.8069999999999999</v>
      </c>
      <c r="K417">
        <v>1.857</v>
      </c>
      <c r="L417">
        <v>1.8740000000000001</v>
      </c>
      <c r="M417">
        <v>1.819</v>
      </c>
      <c r="N417">
        <v>1.9079999999999999</v>
      </c>
      <c r="O417">
        <v>2.1360000000000001</v>
      </c>
      <c r="P417">
        <v>2.2334999999999998</v>
      </c>
      <c r="Q417">
        <v>2.2229999999999999</v>
      </c>
      <c r="R417">
        <v>2.25</v>
      </c>
      <c r="S417">
        <v>2.41</v>
      </c>
      <c r="T417">
        <v>2.5510000000000002</v>
      </c>
      <c r="U417">
        <v>2.5009999999999999</v>
      </c>
      <c r="V417">
        <v>2.3864999999999998</v>
      </c>
    </row>
    <row r="418" spans="1:22" x14ac:dyDescent="0.2">
      <c r="A418" t="s">
        <v>1440</v>
      </c>
      <c r="B418" t="s">
        <v>1441</v>
      </c>
      <c r="C418" t="s">
        <v>1078</v>
      </c>
      <c r="F418" t="s">
        <v>1462</v>
      </c>
      <c r="G418">
        <v>1.776</v>
      </c>
      <c r="H418">
        <v>1.6</v>
      </c>
      <c r="I418">
        <v>1.603</v>
      </c>
      <c r="J418">
        <v>1.7869999999999999</v>
      </c>
      <c r="K418">
        <v>1.837</v>
      </c>
      <c r="L418">
        <v>1.8614999999999999</v>
      </c>
      <c r="M418">
        <v>1.8149999999999999</v>
      </c>
      <c r="N418">
        <v>1.8959999999999999</v>
      </c>
      <c r="O418">
        <v>2.1185</v>
      </c>
      <c r="P418">
        <v>2.2240000000000002</v>
      </c>
      <c r="Q418">
        <v>2.2069999999999999</v>
      </c>
      <c r="R418">
        <v>2.234</v>
      </c>
      <c r="S418">
        <v>2.4015</v>
      </c>
      <c r="T418">
        <v>2.5369999999999999</v>
      </c>
      <c r="U418">
        <v>2.4940000000000002</v>
      </c>
      <c r="V418">
        <v>2.3839999999999999</v>
      </c>
    </row>
    <row r="419" spans="1:22" x14ac:dyDescent="0.2">
      <c r="A419" t="s">
        <v>1440</v>
      </c>
      <c r="B419" t="s">
        <v>1441</v>
      </c>
      <c r="C419" t="s">
        <v>1022</v>
      </c>
      <c r="F419" t="s">
        <v>1463</v>
      </c>
      <c r="G419">
        <v>1.7370000000000001</v>
      </c>
      <c r="H419">
        <v>1.5469999999999999</v>
      </c>
      <c r="I419">
        <v>1.5569999999999999</v>
      </c>
      <c r="J419">
        <v>1.7450000000000001</v>
      </c>
      <c r="K419">
        <v>1.7929999999999999</v>
      </c>
      <c r="L419">
        <v>1.8245</v>
      </c>
      <c r="M419">
        <v>1.79</v>
      </c>
      <c r="N419">
        <v>1.855</v>
      </c>
      <c r="O419">
        <v>2.077</v>
      </c>
      <c r="P419">
        <v>2.1934999999999998</v>
      </c>
      <c r="Q419">
        <v>2.17</v>
      </c>
      <c r="R419">
        <v>2.1909999999999998</v>
      </c>
      <c r="S419">
        <v>2.3660000000000001</v>
      </c>
      <c r="T419">
        <v>2.4990000000000001</v>
      </c>
      <c r="U419">
        <v>2.46</v>
      </c>
      <c r="V419">
        <v>2.355</v>
      </c>
    </row>
    <row r="421" spans="1:22" x14ac:dyDescent="0.2">
      <c r="A421" t="s">
        <v>1440</v>
      </c>
      <c r="B421" t="s">
        <v>1329</v>
      </c>
      <c r="C421" t="s">
        <v>25</v>
      </c>
      <c r="F421" t="s">
        <v>1464</v>
      </c>
      <c r="G421">
        <v>-0.23250000000000001</v>
      </c>
      <c r="H421">
        <v>-0.185</v>
      </c>
      <c r="I421">
        <v>-0.20250000000000001</v>
      </c>
      <c r="J421">
        <v>-0.19500000000000001</v>
      </c>
      <c r="K421">
        <v>-0.19500000000000001</v>
      </c>
      <c r="L421">
        <v>-0.1925</v>
      </c>
      <c r="M421">
        <v>-0.20499999999999999</v>
      </c>
      <c r="N421">
        <v>-0.20749999999999999</v>
      </c>
      <c r="O421">
        <v>-0.21249999999999999</v>
      </c>
      <c r="P421">
        <v>-0.23</v>
      </c>
      <c r="Q421">
        <v>-0.25750000000000001</v>
      </c>
      <c r="R421">
        <v>-0.255</v>
      </c>
      <c r="S421">
        <v>-0.27</v>
      </c>
      <c r="T421">
        <v>-0.28499999999999998</v>
      </c>
      <c r="U421">
        <v>-0.28499999999999998</v>
      </c>
      <c r="V421">
        <v>-0.25</v>
      </c>
    </row>
    <row r="422" spans="1:22" x14ac:dyDescent="0.2">
      <c r="A422" t="s">
        <v>1440</v>
      </c>
      <c r="B422" t="s">
        <v>1329</v>
      </c>
      <c r="C422" t="s">
        <v>157</v>
      </c>
      <c r="F422" t="s">
        <v>1465</v>
      </c>
      <c r="G422">
        <v>-0.17499999999999999</v>
      </c>
      <c r="H422">
        <v>-0.1525</v>
      </c>
      <c r="I422">
        <v>-0.16500000000000001</v>
      </c>
      <c r="J422">
        <v>-0.16250000000000001</v>
      </c>
      <c r="K422">
        <v>-0.16</v>
      </c>
      <c r="L422">
        <v>-0.155</v>
      </c>
      <c r="M422">
        <v>-0.16750000000000001</v>
      </c>
      <c r="N422">
        <v>-0.17</v>
      </c>
      <c r="O422">
        <v>-0.17749999999999999</v>
      </c>
      <c r="P422">
        <v>-0.185</v>
      </c>
      <c r="Q422">
        <v>-0.22</v>
      </c>
      <c r="R422">
        <v>-0.22</v>
      </c>
      <c r="S422">
        <v>-0.21</v>
      </c>
      <c r="T422">
        <v>-0.23</v>
      </c>
      <c r="U422">
        <v>-0.23250000000000001</v>
      </c>
      <c r="V422">
        <v>-0.215</v>
      </c>
    </row>
    <row r="423" spans="1:22" x14ac:dyDescent="0.2">
      <c r="A423" t="s">
        <v>1440</v>
      </c>
      <c r="B423" t="s">
        <v>1329</v>
      </c>
      <c r="C423" t="s">
        <v>99</v>
      </c>
      <c r="F423" t="s">
        <v>1466</v>
      </c>
      <c r="G423">
        <v>-0.13</v>
      </c>
      <c r="H423">
        <v>-0.12</v>
      </c>
      <c r="I423">
        <v>-0.1275</v>
      </c>
      <c r="J423">
        <v>-0.125</v>
      </c>
      <c r="K423">
        <v>-0.1225</v>
      </c>
      <c r="L423">
        <v>-0.12</v>
      </c>
      <c r="M423">
        <v>-0.13</v>
      </c>
      <c r="N423">
        <v>-0.13250000000000001</v>
      </c>
      <c r="O423">
        <v>-0.13750000000000001</v>
      </c>
      <c r="P423">
        <v>-0.14249999999999999</v>
      </c>
      <c r="Q423">
        <v>-0.18</v>
      </c>
      <c r="R423">
        <v>-0.18</v>
      </c>
      <c r="S423">
        <v>-0.16750000000000001</v>
      </c>
      <c r="T423">
        <v>-0.1875</v>
      </c>
      <c r="U423">
        <v>-0.1875</v>
      </c>
      <c r="V423">
        <v>-0.17249999999999999</v>
      </c>
    </row>
    <row r="424" spans="1:22" x14ac:dyDescent="0.2">
      <c r="A424" t="s">
        <v>1440</v>
      </c>
      <c r="B424" t="s">
        <v>1329</v>
      </c>
      <c r="C424" t="s">
        <v>101</v>
      </c>
      <c r="F424" t="s">
        <v>1467</v>
      </c>
      <c r="G424">
        <v>-8.7499999999999994E-2</v>
      </c>
      <c r="H424">
        <v>-8.5000000000000006E-2</v>
      </c>
      <c r="I424">
        <v>-8.5000000000000006E-2</v>
      </c>
      <c r="J424">
        <v>-0.09</v>
      </c>
      <c r="K424">
        <v>-8.7499999999999994E-2</v>
      </c>
      <c r="L424">
        <v>-8.5000000000000006E-2</v>
      </c>
      <c r="M424">
        <v>-9.2499999999999999E-2</v>
      </c>
      <c r="N424">
        <v>-9.5000000000000001E-2</v>
      </c>
      <c r="O424">
        <v>-0.1</v>
      </c>
      <c r="P424">
        <v>-0.11</v>
      </c>
      <c r="Q424">
        <v>-0.14000000000000001</v>
      </c>
      <c r="R424">
        <v>-0.14000000000000001</v>
      </c>
      <c r="S424">
        <v>-0.1275</v>
      </c>
      <c r="T424">
        <v>-0.14249999999999999</v>
      </c>
      <c r="U424">
        <v>-0.14000000000000001</v>
      </c>
      <c r="V424">
        <v>-0.13250000000000001</v>
      </c>
    </row>
    <row r="425" spans="1:22" x14ac:dyDescent="0.2">
      <c r="A425" t="s">
        <v>1440</v>
      </c>
      <c r="B425" t="s">
        <v>1329</v>
      </c>
      <c r="C425" t="s">
        <v>102</v>
      </c>
      <c r="F425" t="s">
        <v>1468</v>
      </c>
      <c r="G425">
        <v>-4.4999999999999998E-2</v>
      </c>
      <c r="H425">
        <v>-4.4999999999999998E-2</v>
      </c>
      <c r="I425">
        <v>-5.5E-2</v>
      </c>
      <c r="J425">
        <v>-5.5E-2</v>
      </c>
      <c r="K425">
        <v>-5.2499999999999998E-2</v>
      </c>
      <c r="L425">
        <v>-0.05</v>
      </c>
      <c r="M425">
        <v>-5.5E-2</v>
      </c>
      <c r="N425">
        <v>-0.06</v>
      </c>
      <c r="O425">
        <v>-0.06</v>
      </c>
      <c r="P425">
        <v>-6.25E-2</v>
      </c>
      <c r="Q425">
        <v>-0.1</v>
      </c>
      <c r="R425">
        <v>-0.10249999999999999</v>
      </c>
      <c r="S425">
        <v>-8.7499999999999994E-2</v>
      </c>
      <c r="T425">
        <v>-0.1</v>
      </c>
      <c r="U425">
        <v>-0.1</v>
      </c>
      <c r="V425">
        <v>-9.2499999999999999E-2</v>
      </c>
    </row>
    <row r="426" spans="1:22" x14ac:dyDescent="0.2">
      <c r="A426" t="s">
        <v>1440</v>
      </c>
      <c r="B426" t="s">
        <v>1329</v>
      </c>
      <c r="C426" t="s">
        <v>1019</v>
      </c>
      <c r="F426" t="s">
        <v>1469</v>
      </c>
      <c r="G426">
        <v>2.2499999999999999E-2</v>
      </c>
      <c r="H426">
        <v>1.2500000000000001E-2</v>
      </c>
      <c r="I426">
        <v>5.0000000000000001E-3</v>
      </c>
      <c r="J426">
        <v>5.0000000000000001E-3</v>
      </c>
      <c r="K426">
        <v>1.4999999999999999E-2</v>
      </c>
      <c r="L426">
        <v>1.4999999999999999E-2</v>
      </c>
      <c r="M426">
        <v>7.4999999999999997E-3</v>
      </c>
      <c r="N426">
        <v>2.5000000000000001E-3</v>
      </c>
      <c r="O426">
        <v>2.5000000000000001E-3</v>
      </c>
      <c r="P426">
        <v>-2.5000000000000001E-3</v>
      </c>
      <c r="Q426">
        <v>-3.2500000000000001E-2</v>
      </c>
      <c r="R426">
        <v>-3.7499999999999999E-2</v>
      </c>
      <c r="S426">
        <v>-2.2499999999999999E-2</v>
      </c>
      <c r="T426">
        <v>-3.5000000000000003E-2</v>
      </c>
      <c r="U426">
        <v>-3.5000000000000003E-2</v>
      </c>
      <c r="V426">
        <v>-0.03</v>
      </c>
    </row>
    <row r="427" spans="1:22" x14ac:dyDescent="0.2">
      <c r="A427" t="s">
        <v>1440</v>
      </c>
      <c r="B427" t="s">
        <v>1329</v>
      </c>
      <c r="C427" t="s">
        <v>952</v>
      </c>
      <c r="F427" t="s">
        <v>1470</v>
      </c>
      <c r="G427">
        <v>6.7500000000000004E-2</v>
      </c>
      <c r="H427">
        <v>7.7499999999999999E-2</v>
      </c>
      <c r="I427">
        <v>6.7500000000000004E-2</v>
      </c>
      <c r="J427">
        <v>6.7500000000000004E-2</v>
      </c>
      <c r="K427">
        <v>7.0000000000000007E-2</v>
      </c>
      <c r="L427">
        <v>7.0000000000000007E-2</v>
      </c>
      <c r="M427">
        <v>6.25E-2</v>
      </c>
      <c r="N427">
        <v>5.7500000000000002E-2</v>
      </c>
      <c r="O427">
        <v>6.5000000000000002E-2</v>
      </c>
      <c r="P427">
        <v>5.5E-2</v>
      </c>
      <c r="Q427">
        <v>0.03</v>
      </c>
      <c r="R427">
        <v>0.02</v>
      </c>
      <c r="S427">
        <v>2.5000000000000001E-2</v>
      </c>
      <c r="T427">
        <v>0.02</v>
      </c>
      <c r="U427">
        <v>1.7500000000000002E-2</v>
      </c>
      <c r="V427">
        <v>1.7500000000000002E-2</v>
      </c>
    </row>
    <row r="428" spans="1:22" x14ac:dyDescent="0.2">
      <c r="A428" t="s">
        <v>1440</v>
      </c>
      <c r="B428" t="s">
        <v>1329</v>
      </c>
      <c r="C428" t="s">
        <v>1020</v>
      </c>
      <c r="F428" t="s">
        <v>1471</v>
      </c>
      <c r="G428">
        <v>7.4999999999999997E-2</v>
      </c>
      <c r="H428">
        <v>0.14000000000000001</v>
      </c>
      <c r="I428">
        <v>0.13750000000000001</v>
      </c>
      <c r="J428">
        <v>0.13750000000000001</v>
      </c>
      <c r="K428">
        <v>0.13750000000000001</v>
      </c>
      <c r="L428">
        <v>0.13750000000000001</v>
      </c>
      <c r="M428">
        <v>0.14000000000000001</v>
      </c>
      <c r="N428">
        <v>0.13750000000000001</v>
      </c>
      <c r="O428">
        <v>0.14249999999999999</v>
      </c>
      <c r="P428">
        <v>0.13500000000000001</v>
      </c>
      <c r="Q428">
        <v>0.11</v>
      </c>
      <c r="R428">
        <v>0.09</v>
      </c>
      <c r="S428">
        <v>6.5000000000000002E-2</v>
      </c>
      <c r="T428">
        <v>6.5000000000000002E-2</v>
      </c>
      <c r="U428">
        <v>0.06</v>
      </c>
      <c r="V428">
        <v>5.5E-2</v>
      </c>
    </row>
    <row r="429" spans="1:22" x14ac:dyDescent="0.2">
      <c r="A429" t="s">
        <v>1440</v>
      </c>
      <c r="B429" t="s">
        <v>1329</v>
      </c>
      <c r="C429" t="s">
        <v>1021</v>
      </c>
      <c r="F429" t="s">
        <v>1472</v>
      </c>
      <c r="G429">
        <v>7.4999999999999997E-2</v>
      </c>
      <c r="H429">
        <v>0.13</v>
      </c>
      <c r="I429">
        <v>0.13500000000000001</v>
      </c>
      <c r="J429">
        <v>0.14000000000000001</v>
      </c>
      <c r="K429">
        <v>0.14249999999999999</v>
      </c>
      <c r="L429">
        <v>0.14249999999999999</v>
      </c>
      <c r="M429">
        <v>0.14249999999999999</v>
      </c>
      <c r="N429">
        <v>0.1225</v>
      </c>
      <c r="O429">
        <v>0.14499999999999999</v>
      </c>
      <c r="P429">
        <v>0.13500000000000001</v>
      </c>
      <c r="Q429">
        <v>0.11749999999999999</v>
      </c>
      <c r="R429">
        <v>0.1</v>
      </c>
      <c r="S429">
        <v>7.0000000000000007E-2</v>
      </c>
      <c r="T429">
        <v>6.7500000000000004E-2</v>
      </c>
      <c r="U429">
        <v>6.5000000000000002E-2</v>
      </c>
      <c r="V429">
        <v>5.7500000000000002E-2</v>
      </c>
    </row>
    <row r="430" spans="1:22" x14ac:dyDescent="0.2">
      <c r="A430" t="s">
        <v>1440</v>
      </c>
      <c r="B430" t="s">
        <v>1329</v>
      </c>
      <c r="C430" t="s">
        <v>1022</v>
      </c>
      <c r="F430" t="s">
        <v>1473</v>
      </c>
      <c r="G430">
        <v>7.0000000000000007E-2</v>
      </c>
      <c r="H430">
        <v>0.1275</v>
      </c>
      <c r="I430">
        <v>0.14249999999999999</v>
      </c>
      <c r="J430">
        <v>0.15</v>
      </c>
      <c r="K430">
        <v>0.15</v>
      </c>
      <c r="L430">
        <v>0.14499999999999999</v>
      </c>
      <c r="M430">
        <v>0.14749999999999999</v>
      </c>
      <c r="N430">
        <v>0.1275</v>
      </c>
      <c r="O430">
        <v>0.15</v>
      </c>
      <c r="P430">
        <v>0.14249999999999999</v>
      </c>
      <c r="Q430">
        <v>0.13250500000000001</v>
      </c>
      <c r="R430">
        <v>0.115</v>
      </c>
      <c r="S430">
        <v>7.4999999999999997E-2</v>
      </c>
      <c r="T430">
        <v>6.7500000000000004E-2</v>
      </c>
      <c r="U430">
        <v>6.5000000000000002E-2</v>
      </c>
      <c r="V430">
        <v>6.25E-2</v>
      </c>
    </row>
    <row r="433" spans="1:22" x14ac:dyDescent="0.2">
      <c r="A433" t="s">
        <v>1628</v>
      </c>
      <c r="B433" t="s">
        <v>985</v>
      </c>
      <c r="C433" t="s">
        <v>92</v>
      </c>
      <c r="F433" t="s">
        <v>1696</v>
      </c>
      <c r="G433">
        <v>0.47749999999999998</v>
      </c>
      <c r="H433">
        <v>0.22563</v>
      </c>
      <c r="I433">
        <v>0.22375</v>
      </c>
      <c r="J433">
        <v>0.22938</v>
      </c>
      <c r="K433">
        <v>0.22938</v>
      </c>
      <c r="L433">
        <v>0.22938</v>
      </c>
      <c r="M433">
        <v>0.22938</v>
      </c>
      <c r="N433">
        <v>0.22813</v>
      </c>
      <c r="O433">
        <v>0.22875000000000001</v>
      </c>
      <c r="P433">
        <v>0.22875000000000001</v>
      </c>
      <c r="Q433">
        <v>0.22750000000000001</v>
      </c>
      <c r="R433">
        <v>0.22500000000000001</v>
      </c>
      <c r="S433">
        <v>0.22625000000000001</v>
      </c>
      <c r="T433">
        <v>0.22750000000000001</v>
      </c>
      <c r="U433">
        <v>0.22750000000000001</v>
      </c>
      <c r="V433">
        <v>0.22625000000000001</v>
      </c>
    </row>
    <row r="434" spans="1:22" x14ac:dyDescent="0.2">
      <c r="A434" t="s">
        <v>1628</v>
      </c>
      <c r="B434" t="s">
        <v>985</v>
      </c>
      <c r="C434" t="s">
        <v>93</v>
      </c>
      <c r="F434" t="s">
        <v>1697</v>
      </c>
      <c r="G434">
        <v>0.48093999999999998</v>
      </c>
      <c r="H434">
        <v>0.24406</v>
      </c>
      <c r="I434">
        <v>0.24587999999999999</v>
      </c>
      <c r="J434">
        <v>0.24831</v>
      </c>
      <c r="K434">
        <v>0.25106000000000001</v>
      </c>
      <c r="L434">
        <v>0.25074999999999997</v>
      </c>
      <c r="M434">
        <v>0.2505</v>
      </c>
      <c r="N434">
        <v>0.24668999999999999</v>
      </c>
      <c r="O434">
        <v>0.24518999999999999</v>
      </c>
      <c r="P434">
        <v>0.24743999999999999</v>
      </c>
      <c r="Q434">
        <v>0.24575</v>
      </c>
      <c r="R434">
        <v>0.25119000000000002</v>
      </c>
      <c r="S434">
        <v>0.24056</v>
      </c>
      <c r="T434">
        <v>0.24031</v>
      </c>
      <c r="U434">
        <v>0.24063000000000001</v>
      </c>
      <c r="V434">
        <v>0.23838000000000001</v>
      </c>
    </row>
    <row r="435" spans="1:22" x14ac:dyDescent="0.2">
      <c r="A435" t="s">
        <v>1628</v>
      </c>
      <c r="B435" t="s">
        <v>985</v>
      </c>
      <c r="C435" t="s">
        <v>95</v>
      </c>
      <c r="F435" t="s">
        <v>1698</v>
      </c>
      <c r="G435">
        <v>0.51188</v>
      </c>
      <c r="H435">
        <v>0.27468999999999999</v>
      </c>
      <c r="I435">
        <v>0.26874999999999999</v>
      </c>
      <c r="J435">
        <v>0.26694000000000001</v>
      </c>
      <c r="K435">
        <v>0.26630999999999999</v>
      </c>
      <c r="L435">
        <v>0.26480999999999999</v>
      </c>
      <c r="M435">
        <v>0.26250000000000001</v>
      </c>
      <c r="N435">
        <v>0.26750000000000002</v>
      </c>
      <c r="O435">
        <v>0.26674999999999999</v>
      </c>
      <c r="P435">
        <v>0.26674999999999999</v>
      </c>
      <c r="Q435">
        <v>0.26074999999999998</v>
      </c>
      <c r="R435">
        <v>0.26074999999999998</v>
      </c>
      <c r="S435">
        <v>0.25888</v>
      </c>
      <c r="T435">
        <v>0.26050000000000001</v>
      </c>
      <c r="U435">
        <v>0.26174999999999998</v>
      </c>
      <c r="V435">
        <v>0.26494000000000001</v>
      </c>
    </row>
    <row r="436" spans="1:22" x14ac:dyDescent="0.2">
      <c r="A436" t="s">
        <v>1628</v>
      </c>
      <c r="B436" t="s">
        <v>985</v>
      </c>
      <c r="C436" t="s">
        <v>96</v>
      </c>
      <c r="F436" t="s">
        <v>1699</v>
      </c>
      <c r="G436">
        <v>0.52988000000000002</v>
      </c>
      <c r="H436">
        <v>0.33856000000000003</v>
      </c>
      <c r="I436">
        <v>0.32850000000000001</v>
      </c>
      <c r="J436">
        <v>0.33174999999999999</v>
      </c>
      <c r="K436">
        <v>0.33424999999999999</v>
      </c>
      <c r="L436">
        <v>0.33312999999999998</v>
      </c>
      <c r="M436">
        <v>0.33200000000000002</v>
      </c>
      <c r="N436">
        <v>0.33350000000000002</v>
      </c>
      <c r="O436">
        <v>0.33212999999999998</v>
      </c>
      <c r="P436">
        <v>0.32930999999999999</v>
      </c>
      <c r="Q436">
        <v>0.32462999999999997</v>
      </c>
      <c r="R436">
        <v>0.32438</v>
      </c>
      <c r="S436">
        <v>0.32562999999999998</v>
      </c>
      <c r="T436">
        <v>0.32124999999999998</v>
      </c>
      <c r="U436">
        <v>0.32</v>
      </c>
      <c r="V436">
        <v>0.32150000000000001</v>
      </c>
    </row>
    <row r="437" spans="1:22" x14ac:dyDescent="0.2">
      <c r="A437" t="s">
        <v>1628</v>
      </c>
      <c r="B437" t="s">
        <v>985</v>
      </c>
      <c r="C437" t="s">
        <v>97</v>
      </c>
      <c r="F437" t="s">
        <v>1700</v>
      </c>
      <c r="G437">
        <v>0.55837999999999999</v>
      </c>
      <c r="H437">
        <v>0.38750000000000001</v>
      </c>
      <c r="I437">
        <v>0.38274999999999998</v>
      </c>
      <c r="J437">
        <v>0.39562999999999998</v>
      </c>
      <c r="K437">
        <v>0.40125</v>
      </c>
      <c r="L437">
        <v>0.40212999999999999</v>
      </c>
      <c r="M437">
        <v>0.40125</v>
      </c>
      <c r="N437">
        <v>0.40488000000000002</v>
      </c>
      <c r="O437">
        <v>0.40056000000000003</v>
      </c>
      <c r="P437">
        <v>0.39774999999999999</v>
      </c>
      <c r="Q437">
        <v>0.38774999999999998</v>
      </c>
      <c r="R437">
        <v>0.38463000000000003</v>
      </c>
      <c r="S437">
        <v>0.37687999999999999</v>
      </c>
      <c r="T437">
        <v>0.373</v>
      </c>
      <c r="U437">
        <v>0.37063000000000001</v>
      </c>
      <c r="V437">
        <v>0.36337999999999998</v>
      </c>
    </row>
    <row r="438" spans="1:22" x14ac:dyDescent="0.2">
      <c r="A438" t="s">
        <v>1628</v>
      </c>
      <c r="B438" t="s">
        <v>985</v>
      </c>
      <c r="C438" t="s">
        <v>38</v>
      </c>
      <c r="F438" t="s">
        <v>1701</v>
      </c>
      <c r="G438">
        <v>0.67749999999999999</v>
      </c>
      <c r="H438">
        <v>0.52</v>
      </c>
      <c r="I438">
        <v>0.53325</v>
      </c>
      <c r="J438">
        <v>0.55488000000000004</v>
      </c>
      <c r="K438">
        <v>0.55962999999999996</v>
      </c>
      <c r="L438">
        <v>0.56569000000000003</v>
      </c>
      <c r="M438">
        <v>0.56194</v>
      </c>
      <c r="N438">
        <v>0.56694</v>
      </c>
      <c r="O438">
        <v>0.56194</v>
      </c>
      <c r="P438">
        <v>0.56569000000000003</v>
      </c>
      <c r="Q438">
        <v>0.55325000000000002</v>
      </c>
      <c r="R438">
        <v>0.55037999999999998</v>
      </c>
      <c r="S438">
        <v>0.54013</v>
      </c>
      <c r="T438">
        <v>0.54313</v>
      </c>
      <c r="U438">
        <v>0.54074999999999995</v>
      </c>
      <c r="V438">
        <v>0.52837999999999996</v>
      </c>
    </row>
    <row r="439" spans="1:22" x14ac:dyDescent="0.2">
      <c r="A439" t="s">
        <v>1628</v>
      </c>
      <c r="B439" t="s">
        <v>985</v>
      </c>
      <c r="C439" t="s">
        <v>95</v>
      </c>
      <c r="D439" t="s">
        <v>151</v>
      </c>
      <c r="F439" t="s">
        <v>1612</v>
      </c>
      <c r="G439">
        <v>0.63300000000000001</v>
      </c>
      <c r="H439">
        <v>0.48899999999999999</v>
      </c>
      <c r="I439">
        <v>0.52200000000000002</v>
      </c>
      <c r="J439">
        <v>0.54200000000000004</v>
      </c>
      <c r="K439">
        <v>0.56699999999999995</v>
      </c>
      <c r="L439">
        <v>0.56499999999999995</v>
      </c>
      <c r="M439">
        <v>0.56200000000000006</v>
      </c>
      <c r="N439">
        <v>0.56899999999999995</v>
      </c>
      <c r="O439">
        <v>0.56699999999999995</v>
      </c>
      <c r="P439">
        <v>0.56899999999999995</v>
      </c>
      <c r="Q439">
        <v>0.56100000000000005</v>
      </c>
      <c r="R439">
        <v>0.56200000000000006</v>
      </c>
      <c r="S439">
        <v>0.55000000000000004</v>
      </c>
      <c r="T439">
        <v>0.55400000000000005</v>
      </c>
      <c r="U439">
        <v>0.55000000000000004</v>
      </c>
      <c r="V439">
        <v>0.54600000000000004</v>
      </c>
    </row>
    <row r="440" spans="1:22" x14ac:dyDescent="0.2">
      <c r="A440" t="s">
        <v>1628</v>
      </c>
      <c r="B440" t="s">
        <v>985</v>
      </c>
      <c r="C440" t="s">
        <v>96</v>
      </c>
      <c r="D440" t="s">
        <v>136</v>
      </c>
      <c r="F440" t="s">
        <v>1613</v>
      </c>
      <c r="G440">
        <v>0.58699999999999997</v>
      </c>
      <c r="H440">
        <v>0.47299999999999998</v>
      </c>
      <c r="I440">
        <v>0.48599999999999999</v>
      </c>
      <c r="J440">
        <v>0.53300000000000003</v>
      </c>
      <c r="K440">
        <v>0.57099999999999995</v>
      </c>
      <c r="L440">
        <v>0.56000000000000005</v>
      </c>
      <c r="M440">
        <v>0.55800000000000005</v>
      </c>
      <c r="N440">
        <v>0.57099999999999995</v>
      </c>
      <c r="O440">
        <v>0.57399999999999995</v>
      </c>
      <c r="P440">
        <v>0.57599999999999996</v>
      </c>
      <c r="Q440">
        <v>0.56799999999999995</v>
      </c>
      <c r="R440">
        <v>0.56999999999999995</v>
      </c>
      <c r="S440">
        <v>0.55800000000000005</v>
      </c>
      <c r="T440">
        <v>0.56599999999999995</v>
      </c>
      <c r="U440">
        <v>0.56299999999999994</v>
      </c>
      <c r="V440">
        <v>0.55700000000000005</v>
      </c>
    </row>
    <row r="441" spans="1:22" x14ac:dyDescent="0.2">
      <c r="A441" t="s">
        <v>1628</v>
      </c>
      <c r="B441" t="s">
        <v>985</v>
      </c>
      <c r="C441" t="s">
        <v>97</v>
      </c>
      <c r="D441" t="s">
        <v>152</v>
      </c>
      <c r="F441" t="s">
        <v>1614</v>
      </c>
      <c r="G441">
        <v>0.56399999999999995</v>
      </c>
      <c r="H441">
        <v>0.44400000000000001</v>
      </c>
      <c r="I441">
        <v>0.47299999999999998</v>
      </c>
      <c r="J441">
        <v>0.52100000000000002</v>
      </c>
      <c r="K441">
        <v>0.57399999999999995</v>
      </c>
      <c r="L441">
        <v>0.55300000000000005</v>
      </c>
      <c r="M441">
        <v>0.55600000000000005</v>
      </c>
      <c r="N441">
        <v>0.57199999999999995</v>
      </c>
      <c r="O441">
        <v>0.58199999999999996</v>
      </c>
      <c r="P441">
        <v>0.58399999999999996</v>
      </c>
      <c r="Q441">
        <v>0.57299999999999995</v>
      </c>
      <c r="R441">
        <v>0.57799999999999996</v>
      </c>
      <c r="S441">
        <v>0.56599999999999995</v>
      </c>
      <c r="T441">
        <v>0.57799999999999996</v>
      </c>
      <c r="U441">
        <v>0.57399999999999995</v>
      </c>
      <c r="V441">
        <v>0.56999999999999995</v>
      </c>
    </row>
    <row r="442" spans="1:22" x14ac:dyDescent="0.2">
      <c r="A442" t="s">
        <v>1628</v>
      </c>
      <c r="B442" t="s">
        <v>985</v>
      </c>
      <c r="C442" t="s">
        <v>153</v>
      </c>
      <c r="D442" t="s">
        <v>154</v>
      </c>
      <c r="F442" t="s">
        <v>1615</v>
      </c>
      <c r="G442">
        <v>0.55200000000000005</v>
      </c>
      <c r="H442">
        <v>0.433</v>
      </c>
      <c r="I442">
        <v>0.46</v>
      </c>
      <c r="J442">
        <v>0.51600000000000001</v>
      </c>
      <c r="K442">
        <v>0.57499999999999996</v>
      </c>
      <c r="L442">
        <v>0.55200000000000005</v>
      </c>
      <c r="M442">
        <v>0.55300000000000005</v>
      </c>
      <c r="N442">
        <v>0.57499999999999996</v>
      </c>
      <c r="O442">
        <v>0.58899999999999997</v>
      </c>
      <c r="P442">
        <v>0.59199999999999997</v>
      </c>
      <c r="Q442">
        <v>0.57899999999999996</v>
      </c>
      <c r="R442">
        <v>0.58599999999999997</v>
      </c>
      <c r="S442">
        <v>0.57499999999999996</v>
      </c>
      <c r="T442">
        <v>0.59</v>
      </c>
      <c r="U442">
        <v>0.58499999999999996</v>
      </c>
      <c r="V442">
        <v>0.58299999999999996</v>
      </c>
    </row>
    <row r="443" spans="1:22" x14ac:dyDescent="0.2">
      <c r="A443" t="s">
        <v>1628</v>
      </c>
      <c r="B443" t="s">
        <v>985</v>
      </c>
      <c r="C443" t="s">
        <v>135</v>
      </c>
      <c r="D443" t="s">
        <v>137</v>
      </c>
      <c r="F443" t="s">
        <v>1616</v>
      </c>
      <c r="G443">
        <v>0.54300000000000004</v>
      </c>
      <c r="H443">
        <v>0.42799999999999999</v>
      </c>
      <c r="I443">
        <v>0.441</v>
      </c>
      <c r="J443">
        <v>0.51400000000000001</v>
      </c>
      <c r="K443">
        <v>0.57699999999999996</v>
      </c>
      <c r="L443">
        <v>0.55200000000000005</v>
      </c>
      <c r="M443">
        <v>0.55300000000000005</v>
      </c>
      <c r="N443">
        <v>0.57899999999999996</v>
      </c>
      <c r="O443">
        <v>0.59799999999999998</v>
      </c>
      <c r="P443">
        <v>0.60299999999999998</v>
      </c>
      <c r="Q443">
        <v>0.58699999999999997</v>
      </c>
      <c r="R443">
        <v>0.59599999999999997</v>
      </c>
      <c r="S443">
        <v>0.58399999999999996</v>
      </c>
      <c r="T443">
        <v>0.60399999999999998</v>
      </c>
      <c r="U443">
        <v>0.59899999999999998</v>
      </c>
      <c r="V443">
        <v>0.6</v>
      </c>
    </row>
    <row r="444" spans="1:22" x14ac:dyDescent="0.2">
      <c r="A444" t="s">
        <v>1628</v>
      </c>
      <c r="B444" t="s">
        <v>985</v>
      </c>
      <c r="C444" t="s">
        <v>38</v>
      </c>
      <c r="D444" t="s">
        <v>155</v>
      </c>
      <c r="F444" t="s">
        <v>1617</v>
      </c>
      <c r="G444">
        <v>0.53200000000000003</v>
      </c>
      <c r="H444">
        <v>0.41399999999999998</v>
      </c>
      <c r="I444">
        <v>0.432</v>
      </c>
      <c r="J444">
        <v>0.51300000000000001</v>
      </c>
      <c r="K444">
        <v>0.57899999999999996</v>
      </c>
      <c r="L444">
        <v>0.55100000000000005</v>
      </c>
      <c r="M444">
        <v>0.55600000000000005</v>
      </c>
      <c r="N444">
        <v>0.58799999999999997</v>
      </c>
      <c r="O444">
        <v>0.60699999999999998</v>
      </c>
      <c r="P444">
        <v>0.61199999999999999</v>
      </c>
      <c r="Q444">
        <v>0.59399999999999997</v>
      </c>
      <c r="R444">
        <v>0.60499999999999998</v>
      </c>
      <c r="S444">
        <v>0.59499999999999997</v>
      </c>
      <c r="T444">
        <v>0.621</v>
      </c>
      <c r="U444">
        <v>0.61099999999999999</v>
      </c>
      <c r="V444">
        <v>0.61899999999999999</v>
      </c>
    </row>
    <row r="445" spans="1:22" x14ac:dyDescent="0.2">
      <c r="A445" t="s">
        <v>1628</v>
      </c>
      <c r="B445" t="s">
        <v>985</v>
      </c>
      <c r="C445" t="s">
        <v>155</v>
      </c>
      <c r="D445" t="s">
        <v>156</v>
      </c>
      <c r="F445" t="s">
        <v>1618</v>
      </c>
      <c r="G445">
        <v>0.52500000000000002</v>
      </c>
      <c r="H445">
        <v>0.39300000000000002</v>
      </c>
      <c r="I445">
        <v>0.39700000000000002</v>
      </c>
      <c r="J445">
        <v>0.51900000000000002</v>
      </c>
      <c r="K445">
        <v>0.59799999999999998</v>
      </c>
      <c r="L445">
        <v>0.56999999999999995</v>
      </c>
      <c r="M445">
        <v>0.58499999999999996</v>
      </c>
      <c r="N445">
        <v>0.64500000000000002</v>
      </c>
      <c r="O445">
        <v>0.68300000000000005</v>
      </c>
      <c r="P445">
        <v>0.69699999999999995</v>
      </c>
      <c r="Q445">
        <v>0.67400000000000004</v>
      </c>
      <c r="R445">
        <v>0.67900000000000005</v>
      </c>
      <c r="S445">
        <v>0.67700000000000005</v>
      </c>
      <c r="T445">
        <v>0.70499999999999996</v>
      </c>
      <c r="U445">
        <v>0.69199999999999995</v>
      </c>
      <c r="V445">
        <v>0.71599999999999997</v>
      </c>
    </row>
    <row r="446" spans="1:22" x14ac:dyDescent="0.2">
      <c r="A446" t="s">
        <v>1628</v>
      </c>
      <c r="B446" t="s">
        <v>985</v>
      </c>
      <c r="C446" t="s">
        <v>157</v>
      </c>
      <c r="F446" t="s">
        <v>1702</v>
      </c>
      <c r="G446">
        <v>0.56399999999999995</v>
      </c>
      <c r="H446">
        <v>0.42799999999999999</v>
      </c>
      <c r="I446">
        <v>0.438</v>
      </c>
      <c r="J446">
        <v>0.53300000000000003</v>
      </c>
      <c r="K446">
        <v>0.59499999999999997</v>
      </c>
      <c r="L446">
        <v>0.57399999999999995</v>
      </c>
      <c r="M446">
        <v>0.58399999999999996</v>
      </c>
      <c r="N446">
        <v>0.63300000000000001</v>
      </c>
      <c r="O446">
        <v>0.66</v>
      </c>
      <c r="P446">
        <v>0.67100000000000004</v>
      </c>
      <c r="Q446">
        <v>0.64700000000000002</v>
      </c>
      <c r="R446">
        <v>0.65300000000000002</v>
      </c>
      <c r="S446">
        <v>0.64800000000000002</v>
      </c>
      <c r="T446">
        <v>0.67</v>
      </c>
      <c r="U446">
        <v>0.65900000000000003</v>
      </c>
      <c r="V446">
        <v>0.67100000000000004</v>
      </c>
    </row>
    <row r="447" spans="1:22" x14ac:dyDescent="0.2">
      <c r="A447" t="s">
        <v>1628</v>
      </c>
      <c r="B447" t="s">
        <v>985</v>
      </c>
      <c r="C447" t="s">
        <v>99</v>
      </c>
      <c r="F447" t="s">
        <v>1703</v>
      </c>
      <c r="G447">
        <v>0.57099999999999995</v>
      </c>
      <c r="H447">
        <v>0.42699999999999999</v>
      </c>
      <c r="I447">
        <v>0.436</v>
      </c>
      <c r="J447">
        <v>0.56200000000000006</v>
      </c>
      <c r="K447">
        <v>0.63900000000000001</v>
      </c>
      <c r="L447">
        <v>0.61699999999999999</v>
      </c>
      <c r="M447">
        <v>0.63200000000000001</v>
      </c>
      <c r="N447">
        <v>0.70899999999999996</v>
      </c>
      <c r="O447">
        <v>0.755</v>
      </c>
      <c r="P447">
        <v>0.76900000000000002</v>
      </c>
      <c r="Q447">
        <v>0.74299999999999999</v>
      </c>
      <c r="R447">
        <v>0.746</v>
      </c>
      <c r="S447">
        <v>0.75</v>
      </c>
      <c r="T447">
        <v>0.77900000000000003</v>
      </c>
      <c r="U447">
        <v>0.76100000000000001</v>
      </c>
      <c r="V447">
        <v>0.77400000000000002</v>
      </c>
    </row>
    <row r="448" spans="1:22" x14ac:dyDescent="0.2">
      <c r="A448" t="s">
        <v>1628</v>
      </c>
      <c r="B448" t="s">
        <v>985</v>
      </c>
      <c r="C448" t="s">
        <v>101</v>
      </c>
      <c r="F448" t="s">
        <v>1704</v>
      </c>
      <c r="G448">
        <v>0.60599999999999998</v>
      </c>
      <c r="H448">
        <v>0.44500000000000001</v>
      </c>
      <c r="I448">
        <v>0.45800000000000002</v>
      </c>
      <c r="J448">
        <v>0.61</v>
      </c>
      <c r="K448">
        <v>0.69599999999999995</v>
      </c>
      <c r="L448">
        <v>0.67200000000000004</v>
      </c>
      <c r="M448">
        <v>0.68899999999999995</v>
      </c>
      <c r="N448">
        <v>0.78700000000000003</v>
      </c>
      <c r="O448">
        <v>0.85099999999999998</v>
      </c>
      <c r="P448">
        <v>0.86199999999999999</v>
      </c>
      <c r="Q448">
        <v>0.84399999999999997</v>
      </c>
      <c r="R448">
        <v>0.84599999999999997</v>
      </c>
      <c r="S448">
        <v>0.85899999999999999</v>
      </c>
      <c r="T448">
        <v>0.89900000000000002</v>
      </c>
      <c r="U448">
        <v>0.871</v>
      </c>
      <c r="V448">
        <v>0.875</v>
      </c>
    </row>
    <row r="449" spans="1:22" x14ac:dyDescent="0.2">
      <c r="A449" t="s">
        <v>1628</v>
      </c>
      <c r="B449" t="s">
        <v>985</v>
      </c>
      <c r="C449" t="s">
        <v>102</v>
      </c>
      <c r="F449" t="s">
        <v>1705</v>
      </c>
      <c r="G449">
        <v>0.65800000000000003</v>
      </c>
      <c r="H449">
        <v>0.47299999999999998</v>
      </c>
      <c r="I449">
        <v>0.49199999999999999</v>
      </c>
      <c r="J449">
        <v>0.66900000000000004</v>
      </c>
      <c r="K449">
        <v>0.75800000000000001</v>
      </c>
      <c r="L449">
        <v>0.73099999999999998</v>
      </c>
      <c r="M449">
        <v>0.746</v>
      </c>
      <c r="N449">
        <v>0.86399999999999999</v>
      </c>
      <c r="O449">
        <v>0.94399999999999995</v>
      </c>
      <c r="P449">
        <v>0.95099999999999996</v>
      </c>
      <c r="Q449">
        <v>0.93899999999999995</v>
      </c>
      <c r="R449">
        <v>0.94399999999999995</v>
      </c>
      <c r="S449">
        <v>0.96699999999999997</v>
      </c>
      <c r="T449">
        <v>1.016</v>
      </c>
      <c r="U449">
        <v>0.98</v>
      </c>
      <c r="V449">
        <v>0.97599999999999998</v>
      </c>
    </row>
    <row r="450" spans="1:22" x14ac:dyDescent="0.2">
      <c r="A450" t="s">
        <v>1628</v>
      </c>
      <c r="B450" t="s">
        <v>985</v>
      </c>
      <c r="C450" t="s">
        <v>103</v>
      </c>
      <c r="F450" t="s">
        <v>1706</v>
      </c>
      <c r="G450">
        <v>0.73099999999999998</v>
      </c>
      <c r="H450">
        <v>0.51100000000000001</v>
      </c>
      <c r="I450">
        <v>0.53800000000000003</v>
      </c>
      <c r="J450">
        <v>0.73199999999999998</v>
      </c>
      <c r="K450">
        <v>0.82299999999999995</v>
      </c>
      <c r="L450">
        <v>0.79400000000000004</v>
      </c>
      <c r="M450">
        <v>0.80700000000000005</v>
      </c>
      <c r="N450">
        <v>0.93799999999999994</v>
      </c>
      <c r="O450">
        <v>1.0329999999999999</v>
      </c>
      <c r="P450">
        <v>1.0349999999999999</v>
      </c>
      <c r="Q450">
        <v>1.0309999999999999</v>
      </c>
      <c r="R450">
        <v>1.036</v>
      </c>
      <c r="S450">
        <v>1.0680000000000001</v>
      </c>
      <c r="T450">
        <v>1.121</v>
      </c>
      <c r="U450">
        <v>1.077</v>
      </c>
      <c r="V450">
        <v>1.071</v>
      </c>
    </row>
    <row r="451" spans="1:22" x14ac:dyDescent="0.2">
      <c r="A451" t="s">
        <v>1628</v>
      </c>
      <c r="B451" t="s">
        <v>985</v>
      </c>
      <c r="C451" t="s">
        <v>104</v>
      </c>
      <c r="F451" t="s">
        <v>1707</v>
      </c>
      <c r="G451">
        <v>0.81499999999999995</v>
      </c>
      <c r="H451">
        <v>0.54900000000000004</v>
      </c>
      <c r="I451">
        <v>0.58899999999999997</v>
      </c>
      <c r="J451">
        <v>0.79800000000000004</v>
      </c>
      <c r="K451">
        <v>0.89100000000000001</v>
      </c>
      <c r="L451">
        <v>0.86</v>
      </c>
      <c r="M451">
        <v>0.872</v>
      </c>
      <c r="N451">
        <v>1.0109999999999999</v>
      </c>
      <c r="O451">
        <v>1.1160000000000001</v>
      </c>
      <c r="P451">
        <v>1.1160000000000001</v>
      </c>
      <c r="Q451">
        <v>1.117</v>
      </c>
      <c r="R451">
        <v>1.125</v>
      </c>
      <c r="S451">
        <v>1.163</v>
      </c>
      <c r="T451">
        <v>1.2190000000000001</v>
      </c>
      <c r="U451">
        <v>1.169</v>
      </c>
      <c r="V451">
        <v>1.1599999999999999</v>
      </c>
    </row>
    <row r="452" spans="1:22" x14ac:dyDescent="0.2">
      <c r="A452" t="s">
        <v>1628</v>
      </c>
      <c r="B452" t="s">
        <v>985</v>
      </c>
      <c r="C452" t="s">
        <v>105</v>
      </c>
      <c r="F452" t="s">
        <v>1708</v>
      </c>
      <c r="G452">
        <v>0.89300000000000002</v>
      </c>
      <c r="H452">
        <v>0.59299999999999997</v>
      </c>
      <c r="I452">
        <v>0.64600000000000002</v>
      </c>
      <c r="J452">
        <v>0.86299999999999999</v>
      </c>
      <c r="K452">
        <v>0.95699999999999996</v>
      </c>
      <c r="L452">
        <v>0.92500000000000004</v>
      </c>
      <c r="M452">
        <v>0.93899999999999995</v>
      </c>
      <c r="N452">
        <v>1.083</v>
      </c>
      <c r="O452">
        <v>1.1930000000000001</v>
      </c>
      <c r="P452">
        <v>1.1919999999999999</v>
      </c>
      <c r="Q452">
        <v>1.198</v>
      </c>
      <c r="R452">
        <v>1.206</v>
      </c>
      <c r="S452">
        <v>1.2509999999999999</v>
      </c>
      <c r="T452">
        <v>1.3069999999999999</v>
      </c>
      <c r="U452">
        <v>1.252</v>
      </c>
      <c r="V452">
        <v>1.24</v>
      </c>
    </row>
    <row r="453" spans="1:22" x14ac:dyDescent="0.2">
      <c r="A453" t="s">
        <v>1628</v>
      </c>
      <c r="B453" t="s">
        <v>985</v>
      </c>
      <c r="C453" t="s">
        <v>106</v>
      </c>
      <c r="F453" t="s">
        <v>1709</v>
      </c>
      <c r="G453">
        <v>0.96599999999999997</v>
      </c>
      <c r="H453">
        <v>0.63800000000000001</v>
      </c>
      <c r="I453">
        <v>0.70599999999999996</v>
      </c>
      <c r="J453">
        <v>0.92700000000000005</v>
      </c>
      <c r="K453">
        <v>1.0229999999999999</v>
      </c>
      <c r="L453">
        <v>0.99199999999999999</v>
      </c>
      <c r="M453">
        <v>1.01</v>
      </c>
      <c r="N453">
        <v>1.151</v>
      </c>
      <c r="O453">
        <v>1.2629999999999999</v>
      </c>
      <c r="P453">
        <v>1.262</v>
      </c>
      <c r="Q453">
        <v>1.2709999999999999</v>
      </c>
      <c r="R453">
        <v>1.2809999999999999</v>
      </c>
      <c r="S453">
        <v>1.3280000000000001</v>
      </c>
      <c r="T453">
        <v>1.3839999999999999</v>
      </c>
      <c r="U453">
        <v>1.3240000000000001</v>
      </c>
      <c r="V453">
        <v>1.3129999999999999</v>
      </c>
    </row>
    <row r="454" spans="1:22" x14ac:dyDescent="0.2">
      <c r="A454" t="s">
        <v>1628</v>
      </c>
      <c r="B454" t="s">
        <v>985</v>
      </c>
      <c r="C454" t="s">
        <v>79</v>
      </c>
      <c r="F454" t="s">
        <v>1710</v>
      </c>
      <c r="G454">
        <v>1.03</v>
      </c>
      <c r="H454">
        <v>0.68600000000000005</v>
      </c>
      <c r="I454">
        <v>0.76</v>
      </c>
      <c r="J454">
        <v>0.99099999999999999</v>
      </c>
      <c r="K454">
        <v>1.0820000000000001</v>
      </c>
      <c r="L454">
        <v>1.052</v>
      </c>
      <c r="M454">
        <v>1.069</v>
      </c>
      <c r="N454">
        <v>1.216</v>
      </c>
      <c r="O454">
        <v>1.3280000000000001</v>
      </c>
      <c r="P454">
        <v>1.325</v>
      </c>
      <c r="Q454">
        <v>1.3360000000000001</v>
      </c>
      <c r="R454">
        <v>1.347</v>
      </c>
      <c r="S454">
        <v>1.397</v>
      </c>
      <c r="T454">
        <v>1.4530000000000001</v>
      </c>
      <c r="U454">
        <v>1.39</v>
      </c>
      <c r="V454">
        <v>1.379</v>
      </c>
    </row>
    <row r="455" spans="1:22" x14ac:dyDescent="0.2">
      <c r="A455" t="s">
        <v>1628</v>
      </c>
      <c r="B455" t="s">
        <v>985</v>
      </c>
      <c r="C455" t="s">
        <v>159</v>
      </c>
      <c r="F455" t="s">
        <v>1711</v>
      </c>
      <c r="G455">
        <v>1.1319999999999999</v>
      </c>
      <c r="H455">
        <v>0.76200000000000001</v>
      </c>
      <c r="I455">
        <v>0.85099999999999998</v>
      </c>
      <c r="J455">
        <v>1.087</v>
      </c>
      <c r="K455">
        <v>1.177</v>
      </c>
      <c r="L455">
        <v>1.1479999999999999</v>
      </c>
      <c r="M455">
        <v>1.161</v>
      </c>
      <c r="N455">
        <v>1.3120000000000001</v>
      </c>
      <c r="O455">
        <v>1.431</v>
      </c>
      <c r="P455">
        <v>1.427</v>
      </c>
      <c r="Q455">
        <v>1.4370000000000001</v>
      </c>
      <c r="R455">
        <v>1.45</v>
      </c>
      <c r="S455">
        <v>1.4990000000000001</v>
      </c>
      <c r="T455">
        <v>1.556</v>
      </c>
      <c r="U455">
        <v>1.4910000000000001</v>
      </c>
      <c r="V455">
        <v>1.48</v>
      </c>
    </row>
    <row r="456" spans="1:22" x14ac:dyDescent="0.2">
      <c r="A456" t="s">
        <v>1628</v>
      </c>
      <c r="B456" t="s">
        <v>985</v>
      </c>
      <c r="C456" t="s">
        <v>107</v>
      </c>
      <c r="F456" t="s">
        <v>1712</v>
      </c>
      <c r="G456">
        <v>1.2230000000000001</v>
      </c>
      <c r="H456">
        <v>0.83699999999999997</v>
      </c>
      <c r="I456">
        <v>0.93600000000000005</v>
      </c>
      <c r="J456">
        <v>1.1759999999999999</v>
      </c>
      <c r="K456">
        <v>1.2629999999999999</v>
      </c>
      <c r="L456">
        <v>1.2370000000000001</v>
      </c>
      <c r="M456">
        <v>1.246</v>
      </c>
      <c r="N456">
        <v>1.399</v>
      </c>
      <c r="O456">
        <v>1.5289999999999999</v>
      </c>
      <c r="P456">
        <v>1.524</v>
      </c>
      <c r="Q456">
        <v>1.528</v>
      </c>
      <c r="R456">
        <v>1.542</v>
      </c>
      <c r="S456">
        <v>1.593</v>
      </c>
      <c r="T456">
        <v>1.65</v>
      </c>
      <c r="U456">
        <v>1.5840000000000001</v>
      </c>
      <c r="V456">
        <v>1.573</v>
      </c>
    </row>
    <row r="457" spans="1:22" x14ac:dyDescent="0.2">
      <c r="A457" t="s">
        <v>1628</v>
      </c>
      <c r="B457" t="s">
        <v>985</v>
      </c>
      <c r="C457" t="s">
        <v>108</v>
      </c>
      <c r="F457" t="s">
        <v>1713</v>
      </c>
      <c r="G457">
        <v>1.272</v>
      </c>
      <c r="H457">
        <v>0.874</v>
      </c>
      <c r="I457">
        <v>0.99399999999999999</v>
      </c>
      <c r="J457">
        <v>1.234</v>
      </c>
      <c r="K457">
        <v>1.3140000000000001</v>
      </c>
      <c r="L457">
        <v>1.2909999999999999</v>
      </c>
      <c r="M457">
        <v>1.2949999999999999</v>
      </c>
      <c r="N457">
        <v>1.446</v>
      </c>
      <c r="O457">
        <v>1.58</v>
      </c>
      <c r="P457">
        <v>1.5740000000000001</v>
      </c>
      <c r="Q457">
        <v>1.573</v>
      </c>
      <c r="R457">
        <v>1.5880000000000001</v>
      </c>
      <c r="S457">
        <v>1.641</v>
      </c>
      <c r="T457">
        <v>1.6990000000000001</v>
      </c>
      <c r="U457">
        <v>1.631</v>
      </c>
      <c r="V457">
        <v>1.6240000000000001</v>
      </c>
    </row>
    <row r="458" spans="1:22" x14ac:dyDescent="0.2">
      <c r="A458" t="s">
        <v>1628</v>
      </c>
      <c r="B458" t="s">
        <v>985</v>
      </c>
      <c r="C458" t="s">
        <v>109</v>
      </c>
      <c r="F458" t="s">
        <v>1714</v>
      </c>
      <c r="G458">
        <v>1.2609999999999999</v>
      </c>
      <c r="H458">
        <v>0.85699999999999998</v>
      </c>
      <c r="I458">
        <v>0.996</v>
      </c>
      <c r="J458">
        <v>1.2350000000000001</v>
      </c>
      <c r="K458">
        <v>1.306</v>
      </c>
      <c r="L458">
        <v>1.2849999999999999</v>
      </c>
      <c r="M458">
        <v>1.2869999999999999</v>
      </c>
      <c r="N458">
        <v>1.4359999999999999</v>
      </c>
      <c r="O458">
        <v>1.5680000000000001</v>
      </c>
      <c r="P458">
        <v>1.56</v>
      </c>
      <c r="Q458">
        <v>1.5620000000000001</v>
      </c>
      <c r="R458">
        <v>1.573</v>
      </c>
      <c r="S458">
        <v>1.627</v>
      </c>
      <c r="T458">
        <v>1.6890000000000001</v>
      </c>
      <c r="U458">
        <v>1.619</v>
      </c>
      <c r="V458">
        <v>1.613</v>
      </c>
    </row>
    <row r="459" spans="1:22" x14ac:dyDescent="0.2">
      <c r="A459" t="s">
        <v>1628</v>
      </c>
      <c r="B459" t="s">
        <v>985</v>
      </c>
      <c r="C459" t="s">
        <v>110</v>
      </c>
      <c r="F459" t="s">
        <v>1715</v>
      </c>
      <c r="G459">
        <v>1.2410000000000001</v>
      </c>
      <c r="H459">
        <v>0.83599999999999997</v>
      </c>
      <c r="I459">
        <v>0.98799999999999999</v>
      </c>
      <c r="J459">
        <v>1.224</v>
      </c>
      <c r="K459">
        <v>1.288</v>
      </c>
      <c r="L459">
        <v>1.27</v>
      </c>
      <c r="M459">
        <v>1.2689999999999999</v>
      </c>
      <c r="N459">
        <v>1.417</v>
      </c>
      <c r="O459">
        <v>1.5469999999999999</v>
      </c>
      <c r="P459">
        <v>1.5389999999999999</v>
      </c>
      <c r="Q459">
        <v>1.542</v>
      </c>
      <c r="R459">
        <v>1.55</v>
      </c>
      <c r="S459">
        <v>1.603</v>
      </c>
      <c r="T459">
        <v>1.6679999999999999</v>
      </c>
      <c r="U459">
        <v>1.597</v>
      </c>
      <c r="V459">
        <v>1.5920000000000001</v>
      </c>
    </row>
    <row r="460" spans="1:22" x14ac:dyDescent="0.2">
      <c r="A460" t="s">
        <v>1628</v>
      </c>
      <c r="B460" t="s">
        <v>985</v>
      </c>
      <c r="C460" t="s">
        <v>174</v>
      </c>
      <c r="F460" t="s">
        <v>1716</v>
      </c>
      <c r="G460">
        <v>1.169</v>
      </c>
      <c r="H460">
        <v>0.77400000000000002</v>
      </c>
      <c r="I460">
        <v>0.92900000000000005</v>
      </c>
      <c r="J460">
        <v>1.163</v>
      </c>
      <c r="K460">
        <v>1.224</v>
      </c>
      <c r="L460">
        <v>1.206</v>
      </c>
      <c r="M460">
        <v>1.2010000000000001</v>
      </c>
      <c r="N460">
        <v>1.349</v>
      </c>
      <c r="O460">
        <v>1.47</v>
      </c>
      <c r="P460">
        <v>1.46</v>
      </c>
      <c r="Q460">
        <v>1.468</v>
      </c>
      <c r="R460">
        <v>1.4730000000000001</v>
      </c>
      <c r="S460">
        <v>1.52</v>
      </c>
      <c r="T460">
        <v>1.5840000000000001</v>
      </c>
      <c r="U460">
        <v>1.5129999999999999</v>
      </c>
      <c r="V460">
        <v>1.512</v>
      </c>
    </row>
    <row r="461" spans="1:22" x14ac:dyDescent="0.2">
      <c r="A461" t="s">
        <v>1628</v>
      </c>
      <c r="B461" t="s">
        <v>985</v>
      </c>
      <c r="C461" t="s">
        <v>175</v>
      </c>
      <c r="F461" t="s">
        <v>1717</v>
      </c>
      <c r="G461">
        <v>1.123</v>
      </c>
      <c r="H461">
        <v>0.73399999999999999</v>
      </c>
      <c r="I461">
        <v>0.89100000000000001</v>
      </c>
      <c r="J461">
        <v>1.1240000000000001</v>
      </c>
      <c r="K461">
        <v>1.181</v>
      </c>
      <c r="L461">
        <v>1.163</v>
      </c>
      <c r="M461">
        <v>1.155</v>
      </c>
      <c r="N461">
        <v>1.304</v>
      </c>
      <c r="O461">
        <v>1.419</v>
      </c>
      <c r="P461">
        <v>1.4079999999999999</v>
      </c>
      <c r="Q461">
        <v>1.415</v>
      </c>
      <c r="R461">
        <v>1.419</v>
      </c>
      <c r="S461">
        <v>1.46</v>
      </c>
      <c r="T461">
        <v>1.5229999999999999</v>
      </c>
      <c r="U461">
        <v>1.452</v>
      </c>
      <c r="V461">
        <v>1.45</v>
      </c>
    </row>
    <row r="462" spans="1:22" x14ac:dyDescent="0.2">
      <c r="A462" t="s">
        <v>1628</v>
      </c>
      <c r="B462" t="s">
        <v>985</v>
      </c>
      <c r="C462" t="s">
        <v>1619</v>
      </c>
      <c r="F462" t="s">
        <v>1718</v>
      </c>
      <c r="G462">
        <v>1.117</v>
      </c>
      <c r="H462">
        <v>0.72799999999999998</v>
      </c>
      <c r="I462">
        <v>0.88500000000000001</v>
      </c>
      <c r="J462">
        <v>1.1180000000000001</v>
      </c>
      <c r="K462">
        <v>1.175</v>
      </c>
      <c r="L462">
        <v>1.157</v>
      </c>
      <c r="M462">
        <v>1.149</v>
      </c>
      <c r="N462">
        <v>1.296</v>
      </c>
      <c r="O462">
        <v>1.413</v>
      </c>
      <c r="P462">
        <v>1.4019999999999999</v>
      </c>
      <c r="Q462">
        <v>1.409</v>
      </c>
      <c r="R462">
        <v>1.413</v>
      </c>
      <c r="S462">
        <v>1.452</v>
      </c>
      <c r="T462">
        <v>1.5169999999999999</v>
      </c>
      <c r="U462">
        <v>1.446</v>
      </c>
      <c r="V462">
        <v>1.444</v>
      </c>
    </row>
    <row r="463" spans="1:22" x14ac:dyDescent="0.2">
      <c r="A463" t="s">
        <v>1628</v>
      </c>
      <c r="B463" t="s">
        <v>985</v>
      </c>
      <c r="C463" t="s">
        <v>1620</v>
      </c>
      <c r="F463" t="s">
        <v>1719</v>
      </c>
      <c r="G463">
        <v>1.117</v>
      </c>
      <c r="H463">
        <v>0.72799999999999998</v>
      </c>
      <c r="I463">
        <v>0.88500000000000001</v>
      </c>
      <c r="J463">
        <v>1.1180000000000001</v>
      </c>
      <c r="K463">
        <v>1.175</v>
      </c>
      <c r="L463">
        <v>1.157</v>
      </c>
      <c r="M463">
        <v>1.149</v>
      </c>
      <c r="N463">
        <v>1.296</v>
      </c>
      <c r="O463">
        <v>1.413</v>
      </c>
      <c r="P463">
        <v>1.4019999999999999</v>
      </c>
      <c r="Q463">
        <v>1.409</v>
      </c>
      <c r="R463">
        <v>1.413</v>
      </c>
      <c r="S463">
        <v>1.452</v>
      </c>
      <c r="T463">
        <v>1.5169999999999999</v>
      </c>
      <c r="U463">
        <v>1.446</v>
      </c>
      <c r="V463">
        <v>1.444</v>
      </c>
    </row>
    <row r="466" spans="1:22" x14ac:dyDescent="0.2">
      <c r="F466" t="s">
        <v>1629</v>
      </c>
    </row>
    <row r="467" spans="1:22" x14ac:dyDescent="0.2">
      <c r="A467" t="s">
        <v>1628</v>
      </c>
      <c r="B467" t="s">
        <v>1630</v>
      </c>
      <c r="C467" t="s">
        <v>92</v>
      </c>
      <c r="F467" t="s">
        <v>1631</v>
      </c>
      <c r="G467">
        <v>0.47749999999999998</v>
      </c>
      <c r="H467">
        <v>0.22563</v>
      </c>
      <c r="I467">
        <v>0.22375</v>
      </c>
      <c r="J467">
        <v>0.22938</v>
      </c>
      <c r="K467">
        <v>0.22938</v>
      </c>
      <c r="L467">
        <v>0.22938</v>
      </c>
      <c r="M467">
        <v>0.22938</v>
      </c>
      <c r="N467">
        <v>0.22813</v>
      </c>
      <c r="O467">
        <v>0.22875000000000001</v>
      </c>
      <c r="P467">
        <v>0.22875000000000001</v>
      </c>
      <c r="Q467">
        <v>0.22750000000000001</v>
      </c>
      <c r="R467">
        <v>0.22500000000000001</v>
      </c>
      <c r="S467">
        <v>0.22625000000000001</v>
      </c>
      <c r="T467">
        <v>0.22750000000000001</v>
      </c>
      <c r="U467">
        <v>0.22750000000000001</v>
      </c>
      <c r="V467">
        <v>0.22625000000000001</v>
      </c>
    </row>
    <row r="468" spans="1:22" x14ac:dyDescent="0.2">
      <c r="A468" t="s">
        <v>1628</v>
      </c>
      <c r="B468" t="s">
        <v>1630</v>
      </c>
      <c r="C468" t="s">
        <v>93</v>
      </c>
      <c r="F468" t="s">
        <v>1632</v>
      </c>
      <c r="G468">
        <v>0.44500000000000001</v>
      </c>
      <c r="H468">
        <v>0.21199999999999999</v>
      </c>
      <c r="I468">
        <v>0.214</v>
      </c>
      <c r="J468">
        <v>0.21299999999999999</v>
      </c>
      <c r="K468">
        <v>0.21299999999999999</v>
      </c>
      <c r="L468">
        <v>0.21299999999999999</v>
      </c>
      <c r="M468">
        <v>0.21299999999999999</v>
      </c>
      <c r="N468">
        <v>0.21199999999999999</v>
      </c>
      <c r="O468">
        <v>0.21</v>
      </c>
      <c r="P468">
        <v>0.21</v>
      </c>
      <c r="Q468">
        <v>0.21</v>
      </c>
      <c r="R468">
        <v>0.21</v>
      </c>
      <c r="S468">
        <v>0.20899999999999999</v>
      </c>
      <c r="T468">
        <v>0.21</v>
      </c>
      <c r="U468">
        <v>0.21199999999999999</v>
      </c>
      <c r="V468">
        <v>0.215</v>
      </c>
    </row>
    <row r="469" spans="1:22" x14ac:dyDescent="0.2">
      <c r="A469" t="s">
        <v>1628</v>
      </c>
      <c r="B469" t="s">
        <v>1630</v>
      </c>
      <c r="C469" t="s">
        <v>94</v>
      </c>
      <c r="F469" t="s">
        <v>1633</v>
      </c>
      <c r="G469">
        <v>0.45</v>
      </c>
      <c r="H469">
        <v>0.21199999999999999</v>
      </c>
      <c r="I469">
        <v>0.214</v>
      </c>
      <c r="J469">
        <v>0.21299999999999999</v>
      </c>
      <c r="K469">
        <v>0.21299999999999999</v>
      </c>
      <c r="L469">
        <v>0.21299999999999999</v>
      </c>
      <c r="M469">
        <v>0.2082</v>
      </c>
      <c r="N469">
        <v>0.2079</v>
      </c>
      <c r="O469">
        <v>0.21</v>
      </c>
      <c r="P469">
        <v>0.21</v>
      </c>
      <c r="Q469">
        <v>0.21</v>
      </c>
      <c r="R469">
        <v>0.21</v>
      </c>
      <c r="S469">
        <v>0.20599999999999999</v>
      </c>
      <c r="T469">
        <v>0.21</v>
      </c>
      <c r="U469">
        <v>0.20399999999999999</v>
      </c>
      <c r="V469">
        <v>0.21590000000000001</v>
      </c>
    </row>
    <row r="470" spans="1:22" x14ac:dyDescent="0.2">
      <c r="A470" t="s">
        <v>1628</v>
      </c>
      <c r="B470" t="s">
        <v>1630</v>
      </c>
      <c r="C470" t="s">
        <v>176</v>
      </c>
      <c r="F470" t="s">
        <v>1634</v>
      </c>
      <c r="G470">
        <v>0.42849999999999999</v>
      </c>
      <c r="H470">
        <v>0.20830000000000001</v>
      </c>
      <c r="I470">
        <v>0.214</v>
      </c>
      <c r="J470">
        <v>0.21299999999999999</v>
      </c>
      <c r="K470">
        <v>0.21249999999999999</v>
      </c>
      <c r="L470">
        <v>0.2094</v>
      </c>
      <c r="M470">
        <v>0.20419999999999999</v>
      </c>
      <c r="N470">
        <v>0.20649999999999999</v>
      </c>
      <c r="O470">
        <v>0.21</v>
      </c>
      <c r="P470">
        <v>0.21</v>
      </c>
      <c r="Q470">
        <v>0.2084</v>
      </c>
      <c r="R470">
        <v>0.20760000000000001</v>
      </c>
      <c r="S470">
        <v>0.20499999999999999</v>
      </c>
      <c r="T470">
        <v>0.20430000000000001</v>
      </c>
      <c r="U470">
        <v>0.20630000000000001</v>
      </c>
      <c r="V470">
        <v>0.21640000000000001</v>
      </c>
    </row>
    <row r="471" spans="1:22" x14ac:dyDescent="0.2">
      <c r="A471" t="s">
        <v>1628</v>
      </c>
      <c r="B471" t="s">
        <v>1630</v>
      </c>
      <c r="C471" t="s">
        <v>95</v>
      </c>
      <c r="F471" t="s">
        <v>1635</v>
      </c>
      <c r="G471">
        <v>0.41660000000000003</v>
      </c>
      <c r="H471">
        <v>0.20549999999999999</v>
      </c>
      <c r="I471">
        <v>0.214</v>
      </c>
      <c r="J471">
        <v>0.20699999999999999</v>
      </c>
      <c r="K471">
        <v>0.2094</v>
      </c>
      <c r="L471">
        <v>0.20569999999999999</v>
      </c>
      <c r="M471">
        <v>0.2016</v>
      </c>
      <c r="N471">
        <v>0.2056</v>
      </c>
      <c r="O471">
        <v>0.21</v>
      </c>
      <c r="P471">
        <v>0.21</v>
      </c>
      <c r="Q471">
        <v>0.20630000000000001</v>
      </c>
      <c r="R471">
        <v>0.20580000000000001</v>
      </c>
      <c r="S471">
        <v>0.20039999999999999</v>
      </c>
      <c r="T471">
        <v>0.20630000000000001</v>
      </c>
      <c r="U471">
        <v>0.20810000000000001</v>
      </c>
      <c r="V471">
        <v>0.2167</v>
      </c>
    </row>
    <row r="472" spans="1:22" x14ac:dyDescent="0.2">
      <c r="A472" t="s">
        <v>1628</v>
      </c>
      <c r="B472" t="s">
        <v>1630</v>
      </c>
      <c r="C472" t="s">
        <v>96</v>
      </c>
      <c r="F472" t="s">
        <v>1636</v>
      </c>
      <c r="G472">
        <v>0.35470000000000002</v>
      </c>
      <c r="H472">
        <v>0.20219999999999999</v>
      </c>
      <c r="I472">
        <v>0.19350000000000001</v>
      </c>
      <c r="J472">
        <v>0.1983</v>
      </c>
      <c r="K472">
        <v>0.2064</v>
      </c>
      <c r="L472">
        <v>0.20130000000000001</v>
      </c>
      <c r="M472">
        <v>0.1968</v>
      </c>
      <c r="N472">
        <v>0.20430000000000001</v>
      </c>
      <c r="O472">
        <v>0.2046</v>
      </c>
      <c r="P472">
        <v>0.20230000000000001</v>
      </c>
      <c r="Q472">
        <v>0.20219999999999999</v>
      </c>
      <c r="R472">
        <v>0.2024</v>
      </c>
      <c r="S472">
        <v>0.20169999999999999</v>
      </c>
      <c r="T472">
        <v>0.21010000000000001</v>
      </c>
      <c r="U472">
        <v>0.2122</v>
      </c>
      <c r="V472">
        <v>0.21729999999999999</v>
      </c>
    </row>
    <row r="473" spans="1:22" x14ac:dyDescent="0.2">
      <c r="A473" t="s">
        <v>1628</v>
      </c>
      <c r="B473" t="s">
        <v>1630</v>
      </c>
      <c r="C473" t="s">
        <v>97</v>
      </c>
      <c r="F473" t="s">
        <v>1637</v>
      </c>
      <c r="G473">
        <v>0.32690000000000002</v>
      </c>
      <c r="H473">
        <v>0.18340000000000001</v>
      </c>
      <c r="I473">
        <v>0.1827</v>
      </c>
      <c r="J473">
        <v>0.19270000000000001</v>
      </c>
      <c r="K473">
        <v>0.20300000000000001</v>
      </c>
      <c r="L473">
        <v>0.19739999999999999</v>
      </c>
      <c r="M473">
        <v>0.19389999999999999</v>
      </c>
      <c r="N473">
        <v>0.20349999999999999</v>
      </c>
      <c r="O473">
        <v>0.20399999999999999</v>
      </c>
      <c r="P473">
        <v>0.2019</v>
      </c>
      <c r="Q473">
        <v>0.20180000000000001</v>
      </c>
      <c r="R473">
        <v>0.20230000000000001</v>
      </c>
      <c r="S473">
        <v>0.20180000000000001</v>
      </c>
      <c r="T473">
        <v>0.21290000000000001</v>
      </c>
      <c r="U473">
        <v>0.21440000000000001</v>
      </c>
      <c r="V473">
        <v>0.21790000000000001</v>
      </c>
    </row>
    <row r="474" spans="1:22" x14ac:dyDescent="0.2">
      <c r="A474" t="s">
        <v>1628</v>
      </c>
      <c r="B474" t="s">
        <v>1630</v>
      </c>
      <c r="C474" t="s">
        <v>153</v>
      </c>
      <c r="F474" t="s">
        <v>1638</v>
      </c>
      <c r="G474">
        <v>0.31159999999999999</v>
      </c>
      <c r="H474">
        <v>0.17100000000000001</v>
      </c>
      <c r="I474">
        <v>0.1754</v>
      </c>
      <c r="J474">
        <v>0.18779999999999999</v>
      </c>
      <c r="K474">
        <v>0.20080000000000001</v>
      </c>
      <c r="L474">
        <v>0.19420000000000001</v>
      </c>
      <c r="M474">
        <v>0.19109999999999999</v>
      </c>
      <c r="N474">
        <v>0.20150000000000001</v>
      </c>
      <c r="O474">
        <v>0.2036</v>
      </c>
      <c r="P474">
        <v>0.20119999999999999</v>
      </c>
      <c r="Q474">
        <v>0.2014</v>
      </c>
      <c r="R474">
        <v>0.2024</v>
      </c>
      <c r="S474">
        <v>0.20219999999999999</v>
      </c>
      <c r="T474">
        <v>0.21590000000000001</v>
      </c>
      <c r="U474">
        <v>0.21609999999999999</v>
      </c>
      <c r="V474">
        <v>0.22040000000000001</v>
      </c>
    </row>
    <row r="475" spans="1:22" x14ac:dyDescent="0.2">
      <c r="A475" t="s">
        <v>1628</v>
      </c>
      <c r="B475" t="s">
        <v>1630</v>
      </c>
      <c r="C475" t="s">
        <v>135</v>
      </c>
      <c r="F475" t="s">
        <v>1639</v>
      </c>
      <c r="G475">
        <v>0.29299999999999998</v>
      </c>
      <c r="H475">
        <v>0.16189999999999999</v>
      </c>
      <c r="I475">
        <v>0.16619999999999999</v>
      </c>
      <c r="J475">
        <v>0.1837</v>
      </c>
      <c r="K475">
        <v>0.1996</v>
      </c>
      <c r="L475">
        <v>0.19189999999999999</v>
      </c>
      <c r="M475">
        <v>0.189</v>
      </c>
      <c r="N475">
        <v>0.20050000000000001</v>
      </c>
      <c r="O475">
        <v>0.20369999999999999</v>
      </c>
      <c r="P475">
        <v>0.2009</v>
      </c>
      <c r="Q475">
        <v>0.2011</v>
      </c>
      <c r="R475">
        <v>0.20269999999999999</v>
      </c>
      <c r="S475">
        <v>0.20250000000000001</v>
      </c>
      <c r="T475">
        <v>0.21790000000000001</v>
      </c>
      <c r="U475">
        <v>0.21779999999999999</v>
      </c>
      <c r="V475">
        <v>0.22500000000000001</v>
      </c>
    </row>
    <row r="476" spans="1:22" x14ac:dyDescent="0.2">
      <c r="A476" t="s">
        <v>1628</v>
      </c>
      <c r="B476" t="s">
        <v>1630</v>
      </c>
      <c r="C476" t="s">
        <v>38</v>
      </c>
      <c r="F476" t="s">
        <v>1640</v>
      </c>
      <c r="G476">
        <v>0.27800000000000002</v>
      </c>
      <c r="H476">
        <v>0.155</v>
      </c>
      <c r="I476">
        <v>0.15859999999999999</v>
      </c>
      <c r="J476">
        <v>0.18029999999999999</v>
      </c>
      <c r="K476">
        <v>0.19819999999999999</v>
      </c>
      <c r="L476">
        <v>0.19</v>
      </c>
      <c r="M476">
        <v>0.18679999999999999</v>
      </c>
      <c r="N476">
        <v>0.2001</v>
      </c>
      <c r="O476">
        <v>0.2031</v>
      </c>
      <c r="P476">
        <v>0.2009</v>
      </c>
      <c r="Q476">
        <v>0.2009</v>
      </c>
      <c r="R476">
        <v>0.20349999999999999</v>
      </c>
      <c r="S476">
        <v>0.2034</v>
      </c>
      <c r="T476">
        <v>0.2218</v>
      </c>
      <c r="U476">
        <v>0.2205</v>
      </c>
      <c r="V476">
        <v>0.22819999999999999</v>
      </c>
    </row>
    <row r="477" spans="1:22" x14ac:dyDescent="0.2">
      <c r="A477" t="s">
        <v>1628</v>
      </c>
      <c r="B477" t="s">
        <v>1630</v>
      </c>
      <c r="C477" t="s">
        <v>151</v>
      </c>
      <c r="F477" t="s">
        <v>1641</v>
      </c>
      <c r="G477">
        <v>0.26590000000000003</v>
      </c>
      <c r="H477">
        <v>0.14899999999999999</v>
      </c>
      <c r="I477">
        <v>0.15260000000000001</v>
      </c>
      <c r="J477">
        <v>0.1777</v>
      </c>
      <c r="K477">
        <v>0.1981</v>
      </c>
      <c r="L477">
        <v>0.18840000000000001</v>
      </c>
      <c r="M477">
        <v>0.1852</v>
      </c>
      <c r="N477">
        <v>0.2</v>
      </c>
      <c r="O477">
        <v>0.2041</v>
      </c>
      <c r="P477">
        <v>0.20200000000000001</v>
      </c>
      <c r="Q477">
        <v>0.2011</v>
      </c>
      <c r="R477">
        <v>0.2051</v>
      </c>
      <c r="S477">
        <v>0.20449999999999999</v>
      </c>
      <c r="T477">
        <v>0.2258</v>
      </c>
      <c r="U477">
        <v>0.2235</v>
      </c>
      <c r="V477">
        <v>0.23400000000000001</v>
      </c>
    </row>
    <row r="478" spans="1:22" x14ac:dyDescent="0.2">
      <c r="A478" t="s">
        <v>1628</v>
      </c>
      <c r="B478" t="s">
        <v>1630</v>
      </c>
      <c r="C478" t="s">
        <v>136</v>
      </c>
      <c r="F478" t="s">
        <v>1642</v>
      </c>
      <c r="G478">
        <v>0.25619999999999998</v>
      </c>
      <c r="H478">
        <v>0.14449999999999999</v>
      </c>
      <c r="I478">
        <v>0.1469</v>
      </c>
      <c r="J478">
        <v>0.17480000000000001</v>
      </c>
      <c r="K478">
        <v>0.1976</v>
      </c>
      <c r="L478">
        <v>0.1865</v>
      </c>
      <c r="M478">
        <v>0.1837</v>
      </c>
      <c r="N478">
        <v>0.20050000000000001</v>
      </c>
      <c r="O478">
        <v>0.20599999999999999</v>
      </c>
      <c r="P478">
        <v>0.20380000000000001</v>
      </c>
      <c r="Q478">
        <v>0.20150000000000001</v>
      </c>
      <c r="R478">
        <v>0.20699999999999999</v>
      </c>
      <c r="S478">
        <v>0.20630000000000001</v>
      </c>
      <c r="T478">
        <v>0.22950000000000001</v>
      </c>
      <c r="U478">
        <v>0.2271</v>
      </c>
      <c r="V478">
        <v>0.2404</v>
      </c>
    </row>
    <row r="479" spans="1:22" x14ac:dyDescent="0.2">
      <c r="A479" t="s">
        <v>1628</v>
      </c>
      <c r="B479" t="s">
        <v>1630</v>
      </c>
      <c r="C479" t="s">
        <v>152</v>
      </c>
      <c r="F479" t="s">
        <v>1643</v>
      </c>
      <c r="G479">
        <v>0.24759999999999999</v>
      </c>
      <c r="H479">
        <v>0.1396</v>
      </c>
      <c r="I479">
        <v>0.14180000000000001</v>
      </c>
      <c r="J479">
        <v>0.1729</v>
      </c>
      <c r="K479">
        <v>0.1981</v>
      </c>
      <c r="L479">
        <v>0.18540000000000001</v>
      </c>
      <c r="M479">
        <v>0.1827</v>
      </c>
      <c r="N479">
        <v>0.2016</v>
      </c>
      <c r="O479">
        <v>0.20799999999999999</v>
      </c>
      <c r="P479">
        <v>0.20599999999999999</v>
      </c>
      <c r="Q479">
        <v>0.2029</v>
      </c>
      <c r="R479">
        <v>0.21010000000000001</v>
      </c>
      <c r="S479">
        <v>0.2097</v>
      </c>
      <c r="T479">
        <v>0.23400000000000001</v>
      </c>
      <c r="U479">
        <v>0.23050000000000001</v>
      </c>
      <c r="V479">
        <v>0.24540000000000001</v>
      </c>
    </row>
    <row r="480" spans="1:22" x14ac:dyDescent="0.2">
      <c r="A480" t="s">
        <v>1628</v>
      </c>
      <c r="B480" t="s">
        <v>1630</v>
      </c>
      <c r="C480" t="s">
        <v>154</v>
      </c>
      <c r="F480" t="s">
        <v>1644</v>
      </c>
      <c r="G480">
        <v>0.2399</v>
      </c>
      <c r="H480">
        <v>0.13539999999999999</v>
      </c>
      <c r="I480">
        <v>0.13730000000000001</v>
      </c>
      <c r="J480">
        <v>0.17119999999999999</v>
      </c>
      <c r="K480">
        <v>0.19869999999999999</v>
      </c>
      <c r="L480">
        <v>0.18479999999999999</v>
      </c>
      <c r="M480">
        <v>0.18210000000000001</v>
      </c>
      <c r="N480">
        <v>0.20349999999999999</v>
      </c>
      <c r="O480">
        <v>0.2112</v>
      </c>
      <c r="P480">
        <v>0.20949999999999999</v>
      </c>
      <c r="Q480">
        <v>0.2049</v>
      </c>
      <c r="R480">
        <v>0.21329999999999999</v>
      </c>
      <c r="S480">
        <v>0.21299999999999999</v>
      </c>
      <c r="T480">
        <v>0.2387</v>
      </c>
      <c r="U480">
        <v>0.23419999999999999</v>
      </c>
      <c r="V480">
        <v>0.25280000000000002</v>
      </c>
    </row>
    <row r="481" spans="1:22" x14ac:dyDescent="0.2">
      <c r="A481" t="s">
        <v>1628</v>
      </c>
      <c r="B481" t="s">
        <v>1630</v>
      </c>
      <c r="C481" t="s">
        <v>137</v>
      </c>
      <c r="F481" t="s">
        <v>1645</v>
      </c>
      <c r="G481">
        <v>0.2329</v>
      </c>
      <c r="H481">
        <v>0.13150000000000001</v>
      </c>
      <c r="I481">
        <v>0.1333</v>
      </c>
      <c r="J481">
        <v>0.1701</v>
      </c>
      <c r="K481">
        <v>0.19969999999999999</v>
      </c>
      <c r="L481">
        <v>0.1847</v>
      </c>
      <c r="M481">
        <v>0.1817</v>
      </c>
      <c r="N481">
        <v>0.2056</v>
      </c>
      <c r="O481">
        <v>0.21460000000000001</v>
      </c>
      <c r="P481">
        <v>0.21360000000000001</v>
      </c>
      <c r="Q481">
        <v>0.20730000000000001</v>
      </c>
      <c r="R481">
        <v>0.21640000000000001</v>
      </c>
      <c r="S481">
        <v>0.217</v>
      </c>
      <c r="T481">
        <v>0.24340000000000001</v>
      </c>
      <c r="U481">
        <v>0.2382</v>
      </c>
      <c r="V481">
        <v>0.26069999999999999</v>
      </c>
    </row>
    <row r="482" spans="1:22" x14ac:dyDescent="0.2">
      <c r="A482" t="s">
        <v>1628</v>
      </c>
      <c r="B482" t="s">
        <v>1630</v>
      </c>
      <c r="C482" t="s">
        <v>155</v>
      </c>
      <c r="F482" t="s">
        <v>1646</v>
      </c>
      <c r="G482">
        <v>0.22770000000000001</v>
      </c>
      <c r="H482">
        <v>0.128</v>
      </c>
      <c r="I482">
        <v>0.1298</v>
      </c>
      <c r="J482">
        <v>0.16930000000000001</v>
      </c>
      <c r="K482">
        <v>0.20030000000000001</v>
      </c>
      <c r="L482">
        <v>0.18479999999999999</v>
      </c>
      <c r="M482">
        <v>0.18149999999999999</v>
      </c>
      <c r="N482">
        <v>0.2077</v>
      </c>
      <c r="O482">
        <v>0.218</v>
      </c>
      <c r="P482">
        <v>0.2175</v>
      </c>
      <c r="Q482">
        <v>0.2104</v>
      </c>
      <c r="R482">
        <v>0.22020000000000001</v>
      </c>
      <c r="S482">
        <v>0.2213</v>
      </c>
      <c r="T482">
        <v>0.24829999999999999</v>
      </c>
      <c r="U482">
        <v>0.24210000000000001</v>
      </c>
      <c r="V482">
        <v>0.26600000000000001</v>
      </c>
    </row>
    <row r="483" spans="1:22" x14ac:dyDescent="0.2">
      <c r="A483" t="s">
        <v>1628</v>
      </c>
      <c r="B483" t="s">
        <v>1630</v>
      </c>
      <c r="C483" t="s">
        <v>177</v>
      </c>
      <c r="F483" t="s">
        <v>1647</v>
      </c>
      <c r="G483">
        <v>0.2145</v>
      </c>
      <c r="H483">
        <v>0.11990000000000001</v>
      </c>
      <c r="I483">
        <v>0.12039999999999999</v>
      </c>
      <c r="J483">
        <v>0.1686</v>
      </c>
      <c r="K483">
        <v>0.2026</v>
      </c>
      <c r="L483">
        <v>0.186</v>
      </c>
      <c r="M483">
        <v>0.1845</v>
      </c>
      <c r="N483">
        <v>0.21629999999999999</v>
      </c>
      <c r="O483">
        <v>0.23150000000000001</v>
      </c>
      <c r="P483">
        <v>0.23419999999999999</v>
      </c>
      <c r="Q483">
        <v>0.22320000000000001</v>
      </c>
      <c r="R483">
        <v>0.2334</v>
      </c>
      <c r="S483">
        <v>0.23419999999999999</v>
      </c>
      <c r="T483">
        <v>0.26300000000000001</v>
      </c>
      <c r="U483">
        <v>0.25540000000000002</v>
      </c>
      <c r="V483">
        <v>0.28660000000000002</v>
      </c>
    </row>
    <row r="484" spans="1:22" x14ac:dyDescent="0.2">
      <c r="A484" t="s">
        <v>1628</v>
      </c>
      <c r="B484" t="s">
        <v>1630</v>
      </c>
      <c r="C484" t="s">
        <v>156</v>
      </c>
      <c r="F484" t="s">
        <v>1648</v>
      </c>
      <c r="G484">
        <v>0.20430000000000001</v>
      </c>
      <c r="H484">
        <v>0.1133</v>
      </c>
      <c r="I484">
        <v>0.1133</v>
      </c>
      <c r="J484">
        <v>0.17</v>
      </c>
      <c r="K484">
        <v>0.20910000000000001</v>
      </c>
      <c r="L484">
        <v>0.19009999999999999</v>
      </c>
      <c r="M484">
        <v>0.19</v>
      </c>
      <c r="N484">
        <v>0.22720000000000001</v>
      </c>
      <c r="O484">
        <v>0.2477</v>
      </c>
      <c r="P484">
        <v>0.253</v>
      </c>
      <c r="Q484">
        <v>0.23930000000000001</v>
      </c>
      <c r="R484">
        <v>0.24979999999999999</v>
      </c>
      <c r="S484">
        <v>0.25119999999999998</v>
      </c>
      <c r="T484">
        <v>0.28079999999999999</v>
      </c>
      <c r="U484">
        <v>0.2707</v>
      </c>
      <c r="V484">
        <v>0.307</v>
      </c>
    </row>
    <row r="485" spans="1:22" x14ac:dyDescent="0.2">
      <c r="A485" t="s">
        <v>1628</v>
      </c>
      <c r="B485" t="s">
        <v>1630</v>
      </c>
      <c r="C485" t="s">
        <v>157</v>
      </c>
      <c r="F485" t="s">
        <v>1649</v>
      </c>
      <c r="G485">
        <v>0.19189999999999999</v>
      </c>
      <c r="H485">
        <v>0.105</v>
      </c>
      <c r="I485">
        <v>0.10440000000000001</v>
      </c>
      <c r="J485">
        <v>0.1759</v>
      </c>
      <c r="K485">
        <v>0.2263</v>
      </c>
      <c r="L485">
        <v>0.2031</v>
      </c>
      <c r="M485">
        <v>0.2051</v>
      </c>
      <c r="N485">
        <v>0.2576</v>
      </c>
      <c r="O485">
        <v>0.29110000000000003</v>
      </c>
      <c r="P485">
        <v>0.30049999999999999</v>
      </c>
      <c r="Q485">
        <v>0.28050000000000003</v>
      </c>
      <c r="R485">
        <v>0.28989999999999999</v>
      </c>
      <c r="S485">
        <v>0.29199999999999998</v>
      </c>
      <c r="T485">
        <v>0.32050000000000001</v>
      </c>
      <c r="U485">
        <v>0.30959999999999999</v>
      </c>
      <c r="V485">
        <v>0.35110000000000002</v>
      </c>
    </row>
    <row r="486" spans="1:22" x14ac:dyDescent="0.2">
      <c r="A486" t="s">
        <v>1628</v>
      </c>
      <c r="B486" t="s">
        <v>1630</v>
      </c>
      <c r="C486" t="s">
        <v>99</v>
      </c>
      <c r="F486" t="s">
        <v>1650</v>
      </c>
      <c r="G486">
        <v>0.1953</v>
      </c>
      <c r="H486">
        <v>0.10730000000000001</v>
      </c>
      <c r="I486">
        <v>0.1094</v>
      </c>
      <c r="J486">
        <v>0.21</v>
      </c>
      <c r="K486">
        <v>0.2772</v>
      </c>
      <c r="L486">
        <v>0.2545</v>
      </c>
      <c r="M486">
        <v>0.25480000000000003</v>
      </c>
      <c r="N486">
        <v>0.33510000000000001</v>
      </c>
      <c r="O486">
        <v>0.39200000000000002</v>
      </c>
      <c r="P486">
        <v>0.40500000000000003</v>
      </c>
      <c r="Q486">
        <v>0.38229999999999997</v>
      </c>
      <c r="R486">
        <v>0.38740000000000002</v>
      </c>
      <c r="S486">
        <v>0.39889999999999998</v>
      </c>
      <c r="T486">
        <v>0.42880000000000001</v>
      </c>
      <c r="U486">
        <v>0.41249999999999998</v>
      </c>
      <c r="V486">
        <v>0.44379999999999997</v>
      </c>
    </row>
    <row r="487" spans="1:22" x14ac:dyDescent="0.2">
      <c r="A487" t="s">
        <v>1628</v>
      </c>
      <c r="B487" t="s">
        <v>1630</v>
      </c>
      <c r="C487" t="s">
        <v>101</v>
      </c>
      <c r="F487" t="s">
        <v>1651</v>
      </c>
      <c r="G487">
        <v>0.22450000000000001</v>
      </c>
      <c r="H487">
        <v>0.1217</v>
      </c>
      <c r="I487">
        <v>0.13639999999999999</v>
      </c>
      <c r="J487">
        <v>0.2631</v>
      </c>
      <c r="K487">
        <v>0.34289999999999998</v>
      </c>
      <c r="L487">
        <v>0.314</v>
      </c>
      <c r="M487">
        <v>0.31480000000000002</v>
      </c>
      <c r="N487">
        <v>0.41270000000000001</v>
      </c>
      <c r="O487">
        <v>0.49530000000000002</v>
      </c>
      <c r="P487">
        <v>0.50360000000000005</v>
      </c>
      <c r="Q487">
        <v>0.48630000000000001</v>
      </c>
      <c r="R487">
        <v>0.4909</v>
      </c>
      <c r="S487">
        <v>0.51080000000000003</v>
      </c>
      <c r="T487">
        <v>0.55000000000000004</v>
      </c>
      <c r="U487">
        <v>0.52210000000000001</v>
      </c>
      <c r="V487">
        <v>0.53649999999999998</v>
      </c>
    </row>
    <row r="488" spans="1:22" x14ac:dyDescent="0.2">
      <c r="A488" t="s">
        <v>1628</v>
      </c>
      <c r="B488" t="s">
        <v>1630</v>
      </c>
      <c r="C488" t="s">
        <v>102</v>
      </c>
      <c r="F488" t="s">
        <v>1652</v>
      </c>
      <c r="G488">
        <v>0.28310000000000002</v>
      </c>
      <c r="H488">
        <v>0.14799999999999999</v>
      </c>
      <c r="I488">
        <v>0.1696</v>
      </c>
      <c r="J488">
        <v>0.3246</v>
      </c>
      <c r="K488">
        <v>0.4123</v>
      </c>
      <c r="L488">
        <v>0.38040000000000002</v>
      </c>
      <c r="M488">
        <v>0.38</v>
      </c>
      <c r="N488">
        <v>0.498</v>
      </c>
      <c r="O488">
        <v>0.59630000000000005</v>
      </c>
      <c r="P488">
        <v>0.60109999999999997</v>
      </c>
      <c r="Q488">
        <v>0.58940000000000003</v>
      </c>
      <c r="R488">
        <v>0.59819999999999995</v>
      </c>
      <c r="S488">
        <v>0.62580000000000002</v>
      </c>
      <c r="T488">
        <v>0.67110000000000003</v>
      </c>
      <c r="U488">
        <v>0.63570000000000004</v>
      </c>
      <c r="V488">
        <v>0.63109999999999999</v>
      </c>
    </row>
    <row r="489" spans="1:22" x14ac:dyDescent="0.2">
      <c r="A489" t="s">
        <v>1628</v>
      </c>
      <c r="B489" t="s">
        <v>1630</v>
      </c>
      <c r="C489" t="s">
        <v>103</v>
      </c>
      <c r="F489" t="s">
        <v>1653</v>
      </c>
      <c r="G489">
        <v>0.36030000000000001</v>
      </c>
      <c r="H489">
        <v>0.1847</v>
      </c>
      <c r="I489">
        <v>0.21460000000000001</v>
      </c>
      <c r="J489">
        <v>0.39100000000000001</v>
      </c>
      <c r="K489">
        <v>0.48060000000000003</v>
      </c>
      <c r="L489">
        <v>0.45090000000000002</v>
      </c>
      <c r="M489">
        <v>0.45019999999999999</v>
      </c>
      <c r="N489">
        <v>0.57979999999999998</v>
      </c>
      <c r="O489">
        <v>0.6925</v>
      </c>
      <c r="P489">
        <v>0.69689999999999996</v>
      </c>
      <c r="Q489">
        <v>0.6966</v>
      </c>
      <c r="R489">
        <v>0.70289999999999997</v>
      </c>
      <c r="S489">
        <v>0.73599999999999999</v>
      </c>
      <c r="T489">
        <v>0.78890000000000005</v>
      </c>
      <c r="U489">
        <v>0.74660000000000004</v>
      </c>
      <c r="V489">
        <v>0.72809999999999997</v>
      </c>
    </row>
    <row r="490" spans="1:22" x14ac:dyDescent="0.2">
      <c r="A490" t="s">
        <v>1628</v>
      </c>
      <c r="B490" t="s">
        <v>1630</v>
      </c>
      <c r="C490" t="s">
        <v>104</v>
      </c>
      <c r="F490" t="s">
        <v>1654</v>
      </c>
      <c r="G490">
        <v>0.44919999999999999</v>
      </c>
      <c r="H490">
        <v>0.22689999999999999</v>
      </c>
      <c r="I490">
        <v>0.26900000000000002</v>
      </c>
      <c r="J490">
        <v>0.46210000000000001</v>
      </c>
      <c r="K490">
        <v>0.55449999999999999</v>
      </c>
      <c r="L490">
        <v>0.52510000000000001</v>
      </c>
      <c r="M490">
        <v>0.52690000000000003</v>
      </c>
      <c r="N490">
        <v>0.66139999999999999</v>
      </c>
      <c r="O490">
        <v>0.78510000000000002</v>
      </c>
      <c r="P490">
        <v>0.78639999999999999</v>
      </c>
      <c r="Q490">
        <v>0.79700000000000004</v>
      </c>
      <c r="R490">
        <v>0.80430000000000001</v>
      </c>
      <c r="S490">
        <v>0.84340000000000004</v>
      </c>
      <c r="T490">
        <v>0.90080000000000005</v>
      </c>
      <c r="U490">
        <v>0.85109999999999997</v>
      </c>
      <c r="V490">
        <v>0.82789999999999997</v>
      </c>
    </row>
    <row r="491" spans="1:22" x14ac:dyDescent="0.2">
      <c r="A491" t="s">
        <v>1628</v>
      </c>
      <c r="B491" t="s">
        <v>1630</v>
      </c>
      <c r="C491" t="s">
        <v>105</v>
      </c>
      <c r="F491" t="s">
        <v>1655</v>
      </c>
      <c r="G491">
        <v>0.5393</v>
      </c>
      <c r="H491">
        <v>0.27310000000000001</v>
      </c>
      <c r="I491">
        <v>0.33460000000000001</v>
      </c>
      <c r="J491">
        <v>0.53480000000000005</v>
      </c>
      <c r="K491">
        <v>0.62629999999999997</v>
      </c>
      <c r="L491">
        <v>0.59330000000000005</v>
      </c>
      <c r="M491">
        <v>0.60360000000000003</v>
      </c>
      <c r="N491">
        <v>0.74670000000000003</v>
      </c>
      <c r="O491">
        <v>0.871</v>
      </c>
      <c r="P491">
        <v>0.87219999999999998</v>
      </c>
      <c r="Q491">
        <v>0.89239999999999997</v>
      </c>
      <c r="R491">
        <v>0.90039999999999998</v>
      </c>
      <c r="S491">
        <v>0.94320000000000004</v>
      </c>
      <c r="T491">
        <v>1.0019</v>
      </c>
      <c r="U491">
        <v>0.94550000000000001</v>
      </c>
      <c r="V491">
        <v>0.91959999999999997</v>
      </c>
    </row>
    <row r="492" spans="1:22" x14ac:dyDescent="0.2">
      <c r="A492" t="s">
        <v>1628</v>
      </c>
      <c r="B492" t="s">
        <v>1630</v>
      </c>
      <c r="C492" t="s">
        <v>106</v>
      </c>
      <c r="F492" t="s">
        <v>1656</v>
      </c>
      <c r="G492">
        <v>0.61660000000000004</v>
      </c>
      <c r="H492">
        <v>0.3261</v>
      </c>
      <c r="I492">
        <v>0.39829999999999999</v>
      </c>
      <c r="J492">
        <v>0.60729999999999995</v>
      </c>
      <c r="K492">
        <v>0.69810000000000005</v>
      </c>
      <c r="L492">
        <v>0.66520000000000001</v>
      </c>
      <c r="M492">
        <v>0.67749999999999999</v>
      </c>
      <c r="N492">
        <v>0.82450000000000001</v>
      </c>
      <c r="O492">
        <v>0.95030000000000003</v>
      </c>
      <c r="P492">
        <v>0.94920000000000004</v>
      </c>
      <c r="Q492">
        <v>0.97660000000000002</v>
      </c>
      <c r="R492">
        <v>0.98799999999999999</v>
      </c>
      <c r="S492">
        <v>1.0345</v>
      </c>
      <c r="T492">
        <v>1.0921000000000001</v>
      </c>
      <c r="U492">
        <v>1.0301</v>
      </c>
      <c r="V492">
        <v>1.0023</v>
      </c>
    </row>
    <row r="493" spans="1:22" x14ac:dyDescent="0.2">
      <c r="A493" t="s">
        <v>1628</v>
      </c>
      <c r="B493" t="s">
        <v>1630</v>
      </c>
      <c r="C493" t="s">
        <v>79</v>
      </c>
      <c r="F493" t="s">
        <v>1657</v>
      </c>
      <c r="G493">
        <v>0.69359999999999999</v>
      </c>
      <c r="H493">
        <v>0.37330000000000002</v>
      </c>
      <c r="I493">
        <v>0.46150000000000002</v>
      </c>
      <c r="J493">
        <v>0.67879999999999996</v>
      </c>
      <c r="K493">
        <v>0.77310000000000001</v>
      </c>
      <c r="L493">
        <v>0.73570000000000002</v>
      </c>
      <c r="M493">
        <v>0.74819999999999998</v>
      </c>
      <c r="N493">
        <v>0.89839999999999998</v>
      </c>
      <c r="O493">
        <v>1.0276000000000001</v>
      </c>
      <c r="P493">
        <v>1.0246</v>
      </c>
      <c r="Q493">
        <v>1.0549999999999999</v>
      </c>
      <c r="R493">
        <v>1.0681</v>
      </c>
      <c r="S493">
        <v>1.1192</v>
      </c>
      <c r="T493">
        <v>1.1711</v>
      </c>
      <c r="U493">
        <v>1.1063000000000001</v>
      </c>
      <c r="V493">
        <v>1.0822000000000001</v>
      </c>
    </row>
    <row r="494" spans="1:22" x14ac:dyDescent="0.2">
      <c r="A494" t="s">
        <v>1628</v>
      </c>
      <c r="B494" t="s">
        <v>1630</v>
      </c>
      <c r="C494" t="s">
        <v>159</v>
      </c>
      <c r="F494" t="s">
        <v>1658</v>
      </c>
      <c r="G494">
        <v>0.82040000000000002</v>
      </c>
      <c r="H494">
        <v>0.46510000000000001</v>
      </c>
      <c r="I494">
        <v>0.56869999999999998</v>
      </c>
      <c r="J494">
        <v>0.79239999999999999</v>
      </c>
      <c r="K494">
        <v>0.88980000000000004</v>
      </c>
      <c r="L494">
        <v>0.8589</v>
      </c>
      <c r="M494">
        <v>0.86180000000000001</v>
      </c>
      <c r="N494">
        <v>1.0158</v>
      </c>
      <c r="O494">
        <v>1.1500999999999999</v>
      </c>
      <c r="P494">
        <v>1.1493</v>
      </c>
      <c r="Q494">
        <v>1.1769000000000001</v>
      </c>
      <c r="R494">
        <v>1.1955</v>
      </c>
      <c r="S494">
        <v>1.2508999999999999</v>
      </c>
      <c r="T494">
        <v>1.298</v>
      </c>
      <c r="U494">
        <v>1.2314000000000001</v>
      </c>
      <c r="V494">
        <v>1.2118</v>
      </c>
    </row>
    <row r="495" spans="1:22" x14ac:dyDescent="0.2">
      <c r="A495" t="s">
        <v>1628</v>
      </c>
      <c r="B495" t="s">
        <v>1630</v>
      </c>
      <c r="C495" t="s">
        <v>107</v>
      </c>
      <c r="F495" t="s">
        <v>1659</v>
      </c>
      <c r="G495">
        <v>0.94599999999999995</v>
      </c>
      <c r="H495">
        <v>0.56499999999999995</v>
      </c>
      <c r="I495">
        <v>0.67269999999999996</v>
      </c>
      <c r="J495">
        <v>0.90449999999999997</v>
      </c>
      <c r="K495">
        <v>1.0008999999999999</v>
      </c>
      <c r="L495">
        <v>0.96430000000000005</v>
      </c>
      <c r="M495">
        <v>0.97160000000000002</v>
      </c>
      <c r="N495">
        <v>1.1257999999999999</v>
      </c>
      <c r="O495">
        <v>1.2687999999999999</v>
      </c>
      <c r="P495">
        <v>1.2727999999999999</v>
      </c>
      <c r="Q495">
        <v>1.2945</v>
      </c>
      <c r="R495">
        <v>1.3157000000000001</v>
      </c>
      <c r="S495">
        <v>1.3714</v>
      </c>
      <c r="T495">
        <v>1.427</v>
      </c>
      <c r="U495">
        <v>1.3605</v>
      </c>
      <c r="V495">
        <v>1.3360000000000001</v>
      </c>
    </row>
    <row r="496" spans="1:22" x14ac:dyDescent="0.2">
      <c r="A496" t="s">
        <v>1628</v>
      </c>
      <c r="B496" t="s">
        <v>1630</v>
      </c>
      <c r="C496" t="s">
        <v>108</v>
      </c>
      <c r="F496" t="s">
        <v>1660</v>
      </c>
      <c r="G496">
        <v>1.0308999999999999</v>
      </c>
      <c r="H496">
        <v>0.63190000000000002</v>
      </c>
      <c r="I496">
        <v>0.76219999999999999</v>
      </c>
      <c r="J496">
        <v>0.99450000000000005</v>
      </c>
      <c r="K496">
        <v>1.0792999999999999</v>
      </c>
      <c r="L496">
        <v>1.0512999999999999</v>
      </c>
      <c r="M496">
        <v>1.0521</v>
      </c>
      <c r="N496">
        <v>1.2076</v>
      </c>
      <c r="O496">
        <v>1.3503000000000001</v>
      </c>
      <c r="P496">
        <v>1.3529</v>
      </c>
      <c r="Q496">
        <v>1.3752</v>
      </c>
      <c r="R496">
        <v>1.3942000000000001</v>
      </c>
      <c r="S496">
        <v>1.4530000000000001</v>
      </c>
      <c r="T496">
        <v>1.5118</v>
      </c>
      <c r="U496">
        <v>1.4420999999999999</v>
      </c>
      <c r="V496">
        <v>1.4247000000000001</v>
      </c>
    </row>
    <row r="497" spans="1:22" x14ac:dyDescent="0.2">
      <c r="A497" t="s">
        <v>1628</v>
      </c>
      <c r="B497" t="s">
        <v>1630</v>
      </c>
      <c r="C497" t="s">
        <v>109</v>
      </c>
      <c r="F497" t="s">
        <v>1661</v>
      </c>
      <c r="G497">
        <v>1.0410999999999999</v>
      </c>
      <c r="H497">
        <v>0.63260000000000005</v>
      </c>
      <c r="I497">
        <v>0.7833</v>
      </c>
      <c r="J497">
        <v>1.0155000000000001</v>
      </c>
      <c r="K497">
        <v>1.0928</v>
      </c>
      <c r="L497">
        <v>1.0674999999999999</v>
      </c>
      <c r="M497">
        <v>1.0627</v>
      </c>
      <c r="N497">
        <v>1.2189000000000001</v>
      </c>
      <c r="O497">
        <v>1.3586</v>
      </c>
      <c r="P497">
        <v>1.3589</v>
      </c>
      <c r="Q497">
        <v>1.3864000000000001</v>
      </c>
      <c r="R497">
        <v>1.4045000000000001</v>
      </c>
      <c r="S497">
        <v>1.4618</v>
      </c>
      <c r="T497">
        <v>1.5249999999999999</v>
      </c>
      <c r="U497">
        <v>1.4532</v>
      </c>
      <c r="V497">
        <v>1.4361999999999999</v>
      </c>
    </row>
    <row r="498" spans="1:22" x14ac:dyDescent="0.2">
      <c r="A498" t="s">
        <v>1628</v>
      </c>
      <c r="B498" t="s">
        <v>1630</v>
      </c>
      <c r="C498" t="s">
        <v>110</v>
      </c>
      <c r="F498" t="s">
        <v>1662</v>
      </c>
      <c r="G498">
        <v>1.0367999999999999</v>
      </c>
      <c r="H498">
        <v>0.62580000000000002</v>
      </c>
      <c r="I498">
        <v>0.78820000000000001</v>
      </c>
      <c r="J498">
        <v>1.0198</v>
      </c>
      <c r="K498">
        <v>1.0920000000000001</v>
      </c>
      <c r="L498">
        <v>1.0685</v>
      </c>
      <c r="M498">
        <v>1.0623</v>
      </c>
      <c r="N498">
        <v>1.2166999999999999</v>
      </c>
      <c r="O498">
        <v>1.3554999999999999</v>
      </c>
      <c r="P498">
        <v>1.3504</v>
      </c>
      <c r="Q498">
        <v>1.3827</v>
      </c>
      <c r="R498">
        <v>1.3987000000000001</v>
      </c>
      <c r="S498">
        <v>1.4578</v>
      </c>
      <c r="T498">
        <v>1.5202</v>
      </c>
      <c r="U498">
        <v>1.4473</v>
      </c>
      <c r="V498">
        <v>1.4327000000000001</v>
      </c>
    </row>
    <row r="499" spans="1:22" x14ac:dyDescent="0.2">
      <c r="A499" t="s">
        <v>1628</v>
      </c>
      <c r="B499" t="s">
        <v>1630</v>
      </c>
      <c r="C499" t="s">
        <v>174</v>
      </c>
      <c r="F499" t="s">
        <v>1663</v>
      </c>
      <c r="G499">
        <v>0.98180000000000001</v>
      </c>
      <c r="H499">
        <v>0.58199999999999996</v>
      </c>
      <c r="I499">
        <v>0.74629999999999996</v>
      </c>
      <c r="J499">
        <v>0.98170000000000002</v>
      </c>
      <c r="K499">
        <v>1.0483</v>
      </c>
      <c r="L499">
        <v>1.024</v>
      </c>
      <c r="M499">
        <v>1.0157</v>
      </c>
      <c r="N499">
        <v>1.1691</v>
      </c>
      <c r="O499">
        <v>1.2995000000000001</v>
      </c>
      <c r="P499">
        <v>1.2898000000000001</v>
      </c>
      <c r="Q499">
        <v>1.3268</v>
      </c>
      <c r="R499">
        <v>1.3415999999999999</v>
      </c>
      <c r="S499">
        <v>1.3932</v>
      </c>
      <c r="T499">
        <v>1.4584999999999999</v>
      </c>
      <c r="U499">
        <v>1.3856999999999999</v>
      </c>
      <c r="V499">
        <v>1.3768</v>
      </c>
    </row>
    <row r="500" spans="1:22" x14ac:dyDescent="0.2">
      <c r="A500" t="s">
        <v>1628</v>
      </c>
      <c r="B500" t="s">
        <v>1630</v>
      </c>
      <c r="C500" t="s">
        <v>175</v>
      </c>
      <c r="F500" t="s">
        <v>1664</v>
      </c>
      <c r="G500">
        <v>0.94910000000000005</v>
      </c>
      <c r="H500">
        <v>0.55379999999999996</v>
      </c>
      <c r="I500">
        <v>0.7177</v>
      </c>
      <c r="J500">
        <v>0.95369999999999999</v>
      </c>
      <c r="K500">
        <v>1.0186999999999999</v>
      </c>
      <c r="L500">
        <v>0.99319999999999997</v>
      </c>
      <c r="M500">
        <v>0.9839</v>
      </c>
      <c r="N500">
        <v>1.1363000000000001</v>
      </c>
      <c r="O500">
        <v>1.2657</v>
      </c>
      <c r="P500">
        <v>1.2485999999999999</v>
      </c>
      <c r="Q500">
        <v>1.2843</v>
      </c>
      <c r="R500">
        <v>1.3007</v>
      </c>
      <c r="S500">
        <v>1.3476999999999999</v>
      </c>
      <c r="T500">
        <v>1.4084000000000001</v>
      </c>
      <c r="U500">
        <v>1.3360000000000001</v>
      </c>
      <c r="V500">
        <v>1.3278000000000001</v>
      </c>
    </row>
    <row r="501" spans="1:22" x14ac:dyDescent="0.2">
      <c r="A501" t="s">
        <v>1628</v>
      </c>
      <c r="B501" t="s">
        <v>1630</v>
      </c>
      <c r="C501" t="s">
        <v>1619</v>
      </c>
      <c r="F501" t="s">
        <v>1665</v>
      </c>
      <c r="G501">
        <v>0.95479999999999998</v>
      </c>
      <c r="H501">
        <v>0.55620000000000003</v>
      </c>
      <c r="I501">
        <v>0.71960000000000002</v>
      </c>
      <c r="J501">
        <v>0.9556</v>
      </c>
      <c r="K501">
        <v>1.0202</v>
      </c>
      <c r="L501">
        <v>0.99480000000000002</v>
      </c>
      <c r="M501">
        <v>0.98719999999999997</v>
      </c>
      <c r="N501">
        <v>1.1392</v>
      </c>
      <c r="O501">
        <v>1.2683</v>
      </c>
      <c r="P501">
        <v>1.2493000000000001</v>
      </c>
      <c r="Q501">
        <v>1.2849999999999999</v>
      </c>
      <c r="R501">
        <v>1.3024</v>
      </c>
      <c r="S501">
        <v>1.349</v>
      </c>
      <c r="T501">
        <v>1.4080999999999999</v>
      </c>
      <c r="U501">
        <v>1.3357000000000001</v>
      </c>
      <c r="V501">
        <v>1.3244</v>
      </c>
    </row>
    <row r="502" spans="1:22" x14ac:dyDescent="0.2">
      <c r="A502" t="s">
        <v>1628</v>
      </c>
      <c r="B502" t="s">
        <v>1630</v>
      </c>
      <c r="C502" t="s">
        <v>1620</v>
      </c>
      <c r="F502" t="s">
        <v>1666</v>
      </c>
      <c r="G502">
        <v>0.97119999999999995</v>
      </c>
      <c r="H502">
        <v>0.57140000000000002</v>
      </c>
      <c r="I502">
        <v>0.73450000000000004</v>
      </c>
      <c r="J502">
        <v>0.96830000000000005</v>
      </c>
      <c r="K502">
        <v>1.0349999999999999</v>
      </c>
      <c r="L502">
        <v>1.0105</v>
      </c>
      <c r="M502">
        <v>1.0026999999999999</v>
      </c>
      <c r="N502">
        <v>1.155</v>
      </c>
      <c r="O502">
        <v>1.2829999999999999</v>
      </c>
      <c r="P502">
        <v>1.2662</v>
      </c>
      <c r="Q502">
        <v>1.3007</v>
      </c>
      <c r="R502">
        <v>1.3292999999999999</v>
      </c>
      <c r="S502">
        <v>1.3753</v>
      </c>
      <c r="T502">
        <v>1.4267000000000001</v>
      </c>
      <c r="U502">
        <v>1.3547</v>
      </c>
      <c r="V502">
        <v>1.3424</v>
      </c>
    </row>
    <row r="507" spans="1:22" x14ac:dyDescent="0.2">
      <c r="A507" t="s">
        <v>1628</v>
      </c>
      <c r="B507" t="s">
        <v>986</v>
      </c>
      <c r="C507" t="s">
        <v>97</v>
      </c>
      <c r="G507" s="207">
        <v>9.9999999999999994E-12</v>
      </c>
      <c r="H507" s="207">
        <v>9.9999999999999994E-12</v>
      </c>
      <c r="I507" s="207">
        <v>9.9999999999999994E-12</v>
      </c>
      <c r="J507" s="207">
        <v>9.9999999999999994E-12</v>
      </c>
      <c r="K507" s="207">
        <v>9.9999999999999994E-12</v>
      </c>
      <c r="L507" s="207">
        <v>9.9999999999999994E-12</v>
      </c>
      <c r="M507" s="207">
        <v>9.9999999999999994E-12</v>
      </c>
      <c r="N507" s="207">
        <v>9.9999999999999994E-12</v>
      </c>
      <c r="O507" s="207">
        <v>9.9999999999999994E-12</v>
      </c>
      <c r="P507" s="207">
        <v>9.9999999999999994E-12</v>
      </c>
      <c r="Q507" s="207">
        <v>9.9999999999999994E-12</v>
      </c>
      <c r="R507" s="207">
        <v>9.9999999999999994E-12</v>
      </c>
      <c r="S507" s="207">
        <v>9.9999999999999994E-12</v>
      </c>
      <c r="T507" s="207">
        <v>9.9999999999999994E-12</v>
      </c>
      <c r="U507" s="207">
        <v>9.9999999999999994E-12</v>
      </c>
      <c r="V507" s="207">
        <v>9.9999999999999994E-12</v>
      </c>
    </row>
    <row r="508" spans="1:22" x14ac:dyDescent="0.2">
      <c r="A508" t="s">
        <v>1628</v>
      </c>
      <c r="B508" t="s">
        <v>986</v>
      </c>
      <c r="C508" t="s">
        <v>25</v>
      </c>
      <c r="F508" t="s">
        <v>1667</v>
      </c>
      <c r="G508">
        <v>0.16800000000000001</v>
      </c>
      <c r="H508">
        <v>0.156</v>
      </c>
      <c r="I508">
        <v>0.16</v>
      </c>
      <c r="J508">
        <v>0.156</v>
      </c>
      <c r="K508">
        <v>0.14899999999999999</v>
      </c>
      <c r="L508">
        <v>0.155</v>
      </c>
      <c r="M508">
        <v>0.153</v>
      </c>
      <c r="N508">
        <v>0.15</v>
      </c>
      <c r="O508">
        <v>0.14699999999999999</v>
      </c>
      <c r="P508">
        <v>0.14899999999999999</v>
      </c>
      <c r="Q508">
        <v>0.14599999999999999</v>
      </c>
      <c r="R508">
        <v>0.14499999999999999</v>
      </c>
      <c r="S508">
        <v>0.14599999999999999</v>
      </c>
      <c r="T508">
        <v>0.14599999999999999</v>
      </c>
      <c r="U508">
        <v>0.14599999999999999</v>
      </c>
      <c r="V508">
        <v>0.14699999999999999</v>
      </c>
    </row>
    <row r="509" spans="1:22" x14ac:dyDescent="0.2">
      <c r="A509" t="s">
        <v>1628</v>
      </c>
      <c r="B509" t="s">
        <v>986</v>
      </c>
      <c r="C509" t="s">
        <v>157</v>
      </c>
      <c r="F509" t="s">
        <v>1668</v>
      </c>
      <c r="G509">
        <v>0.156</v>
      </c>
      <c r="H509">
        <v>0.14399999999999999</v>
      </c>
      <c r="I509">
        <v>0.14799999999999999</v>
      </c>
      <c r="J509">
        <v>0.14599999999999999</v>
      </c>
      <c r="K509">
        <v>0.14199999999999999</v>
      </c>
      <c r="L509">
        <v>0.14499999999999999</v>
      </c>
      <c r="M509">
        <v>0.14299999999999999</v>
      </c>
      <c r="N509">
        <v>0.14099999999999999</v>
      </c>
      <c r="O509">
        <v>0.13800000000000001</v>
      </c>
      <c r="P509">
        <v>0.13900000000000001</v>
      </c>
      <c r="Q509">
        <v>0.13700000000000001</v>
      </c>
      <c r="R509">
        <v>0.13600000000000001</v>
      </c>
      <c r="S509">
        <v>0.13700000000000001</v>
      </c>
      <c r="T509">
        <v>0.13800000000000001</v>
      </c>
      <c r="U509">
        <v>0.13800000000000001</v>
      </c>
      <c r="V509">
        <v>0.14299999999999999</v>
      </c>
    </row>
    <row r="510" spans="1:22" x14ac:dyDescent="0.2">
      <c r="A510" t="s">
        <v>1628</v>
      </c>
      <c r="B510" t="s">
        <v>986</v>
      </c>
      <c r="C510" t="s">
        <v>99</v>
      </c>
      <c r="F510" t="s">
        <v>1669</v>
      </c>
      <c r="G510">
        <v>0.14699999999999999</v>
      </c>
      <c r="H510">
        <v>0.13900000000000001</v>
      </c>
      <c r="I510">
        <v>0.14099999999999999</v>
      </c>
      <c r="J510">
        <v>0.13900000000000001</v>
      </c>
      <c r="K510">
        <v>0.13600000000000001</v>
      </c>
      <c r="L510">
        <v>0.13900000000000001</v>
      </c>
      <c r="M510">
        <v>0.13600000000000001</v>
      </c>
      <c r="N510">
        <v>0.13400000000000001</v>
      </c>
      <c r="O510">
        <v>0.13</v>
      </c>
      <c r="P510">
        <v>0.13100000000000001</v>
      </c>
      <c r="Q510">
        <v>0.127</v>
      </c>
      <c r="R510">
        <v>0.126</v>
      </c>
      <c r="S510">
        <v>0.127</v>
      </c>
      <c r="T510">
        <v>0.129</v>
      </c>
      <c r="U510">
        <v>0.129</v>
      </c>
      <c r="V510">
        <v>0.14099999999999999</v>
      </c>
    </row>
    <row r="511" spans="1:22" x14ac:dyDescent="0.2">
      <c r="A511" t="s">
        <v>1628</v>
      </c>
      <c r="B511" t="s">
        <v>986</v>
      </c>
      <c r="C511" t="s">
        <v>101</v>
      </c>
      <c r="F511" t="s">
        <v>1670</v>
      </c>
      <c r="G511">
        <v>0.14000000000000001</v>
      </c>
      <c r="H511">
        <v>0.13600000000000001</v>
      </c>
      <c r="I511">
        <v>0.13600000000000001</v>
      </c>
      <c r="J511">
        <v>0.13500000000000001</v>
      </c>
      <c r="K511">
        <v>0.13200000000000001</v>
      </c>
      <c r="L511">
        <v>0.13500000000000001</v>
      </c>
      <c r="M511">
        <v>0.13100000000000001</v>
      </c>
      <c r="N511">
        <v>0.129</v>
      </c>
      <c r="O511">
        <v>0.125</v>
      </c>
      <c r="P511">
        <v>0.125</v>
      </c>
      <c r="Q511">
        <v>0.121</v>
      </c>
      <c r="R511">
        <v>0.12</v>
      </c>
      <c r="S511">
        <v>0.121</v>
      </c>
      <c r="T511">
        <v>0.123</v>
      </c>
      <c r="U511">
        <v>0.123</v>
      </c>
      <c r="V511">
        <v>0.13900000000000001</v>
      </c>
    </row>
    <row r="512" spans="1:22" x14ac:dyDescent="0.2">
      <c r="A512" t="s">
        <v>1628</v>
      </c>
      <c r="B512" t="s">
        <v>986</v>
      </c>
      <c r="C512" t="s">
        <v>102</v>
      </c>
      <c r="F512" t="s">
        <v>1671</v>
      </c>
      <c r="G512">
        <v>0.13300000000000001</v>
      </c>
      <c r="H512">
        <v>0.13400000000000001</v>
      </c>
      <c r="I512">
        <v>0.13200000000000001</v>
      </c>
      <c r="J512">
        <v>0.13100000000000001</v>
      </c>
      <c r="K512">
        <v>0.129</v>
      </c>
      <c r="L512">
        <v>0.13</v>
      </c>
      <c r="M512">
        <v>0.126</v>
      </c>
      <c r="N512">
        <v>0.124</v>
      </c>
      <c r="O512">
        <v>0.11899999999999999</v>
      </c>
      <c r="P512">
        <v>0.11899999999999999</v>
      </c>
      <c r="Q512">
        <v>0.114</v>
      </c>
      <c r="R512">
        <v>0.114</v>
      </c>
      <c r="S512">
        <v>0.115</v>
      </c>
      <c r="T512">
        <v>0.11700000000000001</v>
      </c>
      <c r="U512">
        <v>0.11700000000000001</v>
      </c>
      <c r="V512">
        <v>0.13600000000000001</v>
      </c>
    </row>
    <row r="513" spans="1:22" x14ac:dyDescent="0.2">
      <c r="A513" t="s">
        <v>1628</v>
      </c>
      <c r="B513" t="s">
        <v>986</v>
      </c>
      <c r="C513" t="s">
        <v>103</v>
      </c>
      <c r="F513" t="s">
        <v>1672</v>
      </c>
      <c r="G513">
        <v>0.127</v>
      </c>
      <c r="H513">
        <v>0.13100000000000001</v>
      </c>
      <c r="I513">
        <v>0.129</v>
      </c>
      <c r="J513">
        <v>0.128</v>
      </c>
      <c r="K513">
        <v>0.126</v>
      </c>
      <c r="L513">
        <v>0.126</v>
      </c>
      <c r="M513">
        <v>0.122</v>
      </c>
      <c r="N513">
        <v>0.12</v>
      </c>
      <c r="O513">
        <v>0.115</v>
      </c>
      <c r="P513">
        <v>0.115</v>
      </c>
      <c r="Q513">
        <v>0.108</v>
      </c>
      <c r="R513">
        <v>0.108</v>
      </c>
      <c r="S513">
        <v>0.109</v>
      </c>
      <c r="T513">
        <v>0.112</v>
      </c>
      <c r="U513">
        <v>0.112</v>
      </c>
      <c r="V513">
        <v>0.13100000000000001</v>
      </c>
    </row>
    <row r="514" spans="1:22" x14ac:dyDescent="0.2">
      <c r="A514" t="s">
        <v>1628</v>
      </c>
      <c r="B514" t="s">
        <v>986</v>
      </c>
      <c r="C514" t="s">
        <v>104</v>
      </c>
      <c r="F514" t="s">
        <v>1673</v>
      </c>
      <c r="G514">
        <v>0.121</v>
      </c>
      <c r="H514">
        <v>0.128</v>
      </c>
      <c r="I514">
        <v>0.125</v>
      </c>
      <c r="J514">
        <v>0.124</v>
      </c>
      <c r="K514">
        <v>0.122</v>
      </c>
      <c r="L514">
        <v>0.122</v>
      </c>
      <c r="M514">
        <v>0.12</v>
      </c>
      <c r="N514">
        <v>0.11799999999999999</v>
      </c>
      <c r="O514">
        <v>0.11</v>
      </c>
      <c r="P514">
        <v>0.11</v>
      </c>
      <c r="Q514">
        <v>0.10299999999999999</v>
      </c>
      <c r="R514">
        <v>0.10299999999999999</v>
      </c>
      <c r="S514">
        <v>0.104</v>
      </c>
      <c r="T514">
        <v>0.107</v>
      </c>
      <c r="U514">
        <v>0.107</v>
      </c>
      <c r="V514">
        <v>0.125</v>
      </c>
    </row>
    <row r="515" spans="1:22" x14ac:dyDescent="0.2">
      <c r="A515" t="s">
        <v>1628</v>
      </c>
      <c r="B515" t="s">
        <v>986</v>
      </c>
      <c r="C515" t="s">
        <v>105</v>
      </c>
      <c r="F515" t="s">
        <v>1674</v>
      </c>
      <c r="G515">
        <v>0.113</v>
      </c>
      <c r="H515">
        <v>0.125</v>
      </c>
      <c r="I515">
        <v>0.11899999999999999</v>
      </c>
      <c r="J515">
        <v>0.11899999999999999</v>
      </c>
      <c r="K515">
        <v>0.11700000000000001</v>
      </c>
      <c r="L515">
        <v>0.11700000000000001</v>
      </c>
      <c r="M515">
        <v>0.115</v>
      </c>
      <c r="N515">
        <v>0.113</v>
      </c>
      <c r="O515">
        <v>0.105</v>
      </c>
      <c r="P515">
        <v>0.105</v>
      </c>
      <c r="Q515">
        <v>9.8000000000000004E-2</v>
      </c>
      <c r="R515">
        <v>9.8000000000000004E-2</v>
      </c>
      <c r="S515">
        <v>9.8000000000000004E-2</v>
      </c>
      <c r="T515">
        <v>0.10199999999999999</v>
      </c>
      <c r="U515">
        <v>0.10199999999999999</v>
      </c>
      <c r="V515">
        <v>0.11799999999999999</v>
      </c>
    </row>
    <row r="516" spans="1:22" x14ac:dyDescent="0.2">
      <c r="A516" t="s">
        <v>1628</v>
      </c>
      <c r="B516" t="s">
        <v>986</v>
      </c>
      <c r="C516" t="s">
        <v>106</v>
      </c>
      <c r="F516" t="s">
        <v>1675</v>
      </c>
      <c r="G516">
        <v>0.106</v>
      </c>
      <c r="H516">
        <v>0.122</v>
      </c>
      <c r="I516">
        <v>0.113</v>
      </c>
      <c r="J516">
        <v>0.113</v>
      </c>
      <c r="K516">
        <v>0.112</v>
      </c>
      <c r="L516">
        <v>0.111</v>
      </c>
      <c r="M516">
        <v>0.11</v>
      </c>
      <c r="N516">
        <v>0.108</v>
      </c>
      <c r="O516">
        <v>0.1</v>
      </c>
      <c r="P516">
        <v>0.1</v>
      </c>
      <c r="Q516">
        <v>9.1999999999999998E-2</v>
      </c>
      <c r="R516">
        <v>9.0999999999999998E-2</v>
      </c>
      <c r="S516">
        <v>9.2999999999999999E-2</v>
      </c>
      <c r="T516">
        <v>9.6000000000000002E-2</v>
      </c>
      <c r="U516">
        <v>9.7000000000000003E-2</v>
      </c>
      <c r="V516">
        <v>0.111</v>
      </c>
    </row>
    <row r="517" spans="1:22" x14ac:dyDescent="0.2">
      <c r="A517" t="s">
        <v>1628</v>
      </c>
      <c r="B517" t="s">
        <v>986</v>
      </c>
      <c r="C517" t="s">
        <v>79</v>
      </c>
      <c r="F517" t="s">
        <v>1676</v>
      </c>
      <c r="G517">
        <v>0.1</v>
      </c>
      <c r="H517">
        <v>0.11799999999999999</v>
      </c>
      <c r="I517">
        <v>0.108</v>
      </c>
      <c r="J517">
        <v>0.107</v>
      </c>
      <c r="K517">
        <v>0.106</v>
      </c>
      <c r="L517">
        <v>0.105</v>
      </c>
      <c r="M517">
        <v>0.104</v>
      </c>
      <c r="N517">
        <v>0.10100000000000001</v>
      </c>
      <c r="O517">
        <v>9.5000000000000001E-2</v>
      </c>
      <c r="P517">
        <v>9.5000000000000001E-2</v>
      </c>
      <c r="Q517">
        <v>8.6999999999999994E-2</v>
      </c>
      <c r="R517">
        <v>8.5000000000000006E-2</v>
      </c>
      <c r="S517">
        <v>8.8999999999999996E-2</v>
      </c>
      <c r="T517">
        <v>9.1999999999999998E-2</v>
      </c>
      <c r="U517">
        <v>9.2999999999999999E-2</v>
      </c>
      <c r="V517">
        <v>0.105</v>
      </c>
    </row>
    <row r="518" spans="1:22" x14ac:dyDescent="0.2">
      <c r="A518" t="s">
        <v>1628</v>
      </c>
      <c r="B518" t="s">
        <v>986</v>
      </c>
      <c r="C518" t="s">
        <v>159</v>
      </c>
      <c r="F518" t="s">
        <v>1677</v>
      </c>
      <c r="G518">
        <v>8.7999999999999995E-2</v>
      </c>
      <c r="H518">
        <v>0.108</v>
      </c>
      <c r="I518">
        <v>9.7000000000000003E-2</v>
      </c>
      <c r="J518">
        <v>9.7000000000000003E-2</v>
      </c>
      <c r="K518">
        <v>9.6000000000000002E-2</v>
      </c>
      <c r="L518">
        <v>9.5000000000000001E-2</v>
      </c>
      <c r="M518">
        <v>9.4E-2</v>
      </c>
      <c r="N518">
        <v>9.1999999999999998E-2</v>
      </c>
      <c r="O518">
        <v>8.5000000000000006E-2</v>
      </c>
      <c r="P518">
        <v>8.5000000000000006E-2</v>
      </c>
      <c r="Q518">
        <v>7.8E-2</v>
      </c>
      <c r="R518">
        <v>7.5999999999999998E-2</v>
      </c>
      <c r="S518">
        <v>0.08</v>
      </c>
      <c r="T518">
        <v>8.2000000000000003E-2</v>
      </c>
      <c r="U518">
        <v>8.3000000000000004E-2</v>
      </c>
      <c r="V518">
        <v>9.5000000000000001E-2</v>
      </c>
    </row>
    <row r="519" spans="1:22" x14ac:dyDescent="0.2">
      <c r="A519" t="s">
        <v>1628</v>
      </c>
      <c r="B519" t="s">
        <v>986</v>
      </c>
      <c r="C519" t="s">
        <v>107</v>
      </c>
      <c r="F519" t="s">
        <v>1678</v>
      </c>
      <c r="G519">
        <v>7.4999999999999997E-2</v>
      </c>
      <c r="H519">
        <v>9.0999999999999998E-2</v>
      </c>
      <c r="I519">
        <v>0.08</v>
      </c>
      <c r="J519">
        <v>0.08</v>
      </c>
      <c r="K519">
        <v>0.08</v>
      </c>
      <c r="L519">
        <v>7.9000000000000001E-2</v>
      </c>
      <c r="M519">
        <v>7.9000000000000001E-2</v>
      </c>
      <c r="N519">
        <v>7.6999999999999999E-2</v>
      </c>
      <c r="O519">
        <v>7.1999999999999995E-2</v>
      </c>
      <c r="P519">
        <v>7.1999999999999995E-2</v>
      </c>
      <c r="Q519">
        <v>6.6000000000000003E-2</v>
      </c>
      <c r="R519">
        <v>6.2E-2</v>
      </c>
      <c r="S519">
        <v>6.7000000000000004E-2</v>
      </c>
      <c r="T519">
        <v>7.0000000000000007E-2</v>
      </c>
      <c r="U519">
        <v>7.0000000000000007E-2</v>
      </c>
      <c r="V519">
        <v>7.9000000000000001E-2</v>
      </c>
    </row>
    <row r="520" spans="1:22" x14ac:dyDescent="0.2">
      <c r="A520" t="s">
        <v>1628</v>
      </c>
      <c r="B520" t="s">
        <v>986</v>
      </c>
      <c r="C520" t="s">
        <v>108</v>
      </c>
      <c r="F520" t="s">
        <v>1679</v>
      </c>
      <c r="G520">
        <v>5.8999999999999997E-2</v>
      </c>
      <c r="H520">
        <v>7.0000000000000007E-2</v>
      </c>
      <c r="I520">
        <v>6.2E-2</v>
      </c>
      <c r="J520">
        <v>6.2E-2</v>
      </c>
      <c r="K520">
        <v>6.0999999999999999E-2</v>
      </c>
      <c r="L520">
        <v>0.06</v>
      </c>
      <c r="M520">
        <v>0.06</v>
      </c>
      <c r="N520">
        <v>5.8000000000000003E-2</v>
      </c>
      <c r="O520">
        <v>5.5E-2</v>
      </c>
      <c r="P520">
        <v>5.5E-2</v>
      </c>
      <c r="Q520">
        <v>4.9000000000000002E-2</v>
      </c>
      <c r="R520">
        <v>4.7E-2</v>
      </c>
      <c r="S520">
        <v>5.0999999999999997E-2</v>
      </c>
      <c r="T520">
        <v>5.3999999999999999E-2</v>
      </c>
      <c r="U520">
        <v>5.3999999999999999E-2</v>
      </c>
      <c r="V520">
        <v>6.3E-2</v>
      </c>
    </row>
    <row r="521" spans="1:22" x14ac:dyDescent="0.2">
      <c r="A521" t="s">
        <v>1628</v>
      </c>
      <c r="B521" t="s">
        <v>986</v>
      </c>
      <c r="C521" t="s">
        <v>109</v>
      </c>
      <c r="F521" t="s">
        <v>1680</v>
      </c>
      <c r="G521">
        <v>4.9000000000000002E-2</v>
      </c>
      <c r="H521">
        <v>5.6000000000000001E-2</v>
      </c>
      <c r="I521">
        <v>0.05</v>
      </c>
      <c r="J521">
        <v>0.05</v>
      </c>
      <c r="K521">
        <v>0.05</v>
      </c>
      <c r="L521">
        <v>0.05</v>
      </c>
      <c r="M521">
        <v>4.9000000000000002E-2</v>
      </c>
      <c r="N521">
        <v>4.7E-2</v>
      </c>
      <c r="O521">
        <v>4.4999999999999998E-2</v>
      </c>
      <c r="P521">
        <v>4.4999999999999998E-2</v>
      </c>
      <c r="Q521">
        <v>3.9E-2</v>
      </c>
      <c r="R521">
        <v>3.7999999999999999E-2</v>
      </c>
      <c r="S521">
        <v>4.1000000000000002E-2</v>
      </c>
      <c r="T521">
        <v>4.3999999999999997E-2</v>
      </c>
      <c r="U521">
        <v>4.3999999999999997E-2</v>
      </c>
      <c r="V521">
        <v>5.3999999999999999E-2</v>
      </c>
    </row>
    <row r="522" spans="1:22" x14ac:dyDescent="0.2">
      <c r="A522" t="s">
        <v>1628</v>
      </c>
      <c r="B522" t="s">
        <v>986</v>
      </c>
      <c r="C522" t="s">
        <v>110</v>
      </c>
      <c r="F522" t="s">
        <v>1681</v>
      </c>
      <c r="G522">
        <v>4.2000000000000003E-2</v>
      </c>
      <c r="H522">
        <v>4.7E-2</v>
      </c>
      <c r="I522">
        <v>4.2000000000000003E-2</v>
      </c>
      <c r="J522">
        <v>4.2000000000000003E-2</v>
      </c>
      <c r="K522">
        <v>4.2000000000000003E-2</v>
      </c>
      <c r="L522">
        <v>4.2000000000000003E-2</v>
      </c>
      <c r="M522">
        <v>4.1000000000000002E-2</v>
      </c>
      <c r="N522">
        <v>0.04</v>
      </c>
      <c r="O522">
        <v>3.7999999999999999E-2</v>
      </c>
      <c r="P522">
        <v>3.7999999999999999E-2</v>
      </c>
      <c r="Q522">
        <v>3.2000000000000001E-2</v>
      </c>
      <c r="R522">
        <v>3.2000000000000001E-2</v>
      </c>
      <c r="S522">
        <v>3.5000000000000003E-2</v>
      </c>
      <c r="T522">
        <v>3.6999999999999998E-2</v>
      </c>
      <c r="U522">
        <v>3.6999999999999998E-2</v>
      </c>
      <c r="V522">
        <v>4.7E-2</v>
      </c>
    </row>
    <row r="523" spans="1:22" x14ac:dyDescent="0.2">
      <c r="A523" t="s">
        <v>1628</v>
      </c>
      <c r="B523" t="s">
        <v>986</v>
      </c>
      <c r="C523" t="s">
        <v>174</v>
      </c>
      <c r="F523" t="s">
        <v>1682</v>
      </c>
      <c r="G523">
        <v>3.2000000000000001E-2</v>
      </c>
      <c r="H523">
        <v>3.6999999999999998E-2</v>
      </c>
      <c r="I523">
        <v>3.2000000000000001E-2</v>
      </c>
      <c r="J523">
        <v>3.2000000000000001E-2</v>
      </c>
      <c r="K523">
        <v>3.1E-2</v>
      </c>
      <c r="L523">
        <v>3.1E-2</v>
      </c>
      <c r="M523">
        <v>0.03</v>
      </c>
      <c r="N523">
        <v>0.03</v>
      </c>
      <c r="O523">
        <v>2.9000000000000001E-2</v>
      </c>
      <c r="P523">
        <v>2.9000000000000001E-2</v>
      </c>
      <c r="Q523">
        <v>2.5000000000000001E-2</v>
      </c>
      <c r="R523">
        <v>2.4E-2</v>
      </c>
      <c r="S523">
        <v>2.7E-2</v>
      </c>
      <c r="T523">
        <v>2.9000000000000001E-2</v>
      </c>
      <c r="U523">
        <v>2.9000000000000001E-2</v>
      </c>
      <c r="V523">
        <v>3.7999999999999999E-2</v>
      </c>
    </row>
    <row r="524" spans="1:22" x14ac:dyDescent="0.2">
      <c r="A524" t="s">
        <v>1628</v>
      </c>
      <c r="B524" t="s">
        <v>986</v>
      </c>
      <c r="C524" t="s">
        <v>175</v>
      </c>
      <c r="F524" t="s">
        <v>1683</v>
      </c>
      <c r="G524">
        <v>2.8000000000000001E-2</v>
      </c>
      <c r="H524">
        <v>0.03</v>
      </c>
      <c r="I524">
        <v>2.5999999999999999E-2</v>
      </c>
      <c r="J524">
        <v>2.5999999999999999E-2</v>
      </c>
      <c r="K524">
        <v>2.5000000000000001E-2</v>
      </c>
      <c r="L524">
        <v>2.5000000000000001E-2</v>
      </c>
      <c r="M524">
        <v>2.4E-2</v>
      </c>
      <c r="N524">
        <v>2.4E-2</v>
      </c>
      <c r="O524">
        <v>2.4E-2</v>
      </c>
      <c r="P524">
        <v>2.4E-2</v>
      </c>
      <c r="Q524">
        <v>2.1000000000000001E-2</v>
      </c>
      <c r="R524">
        <v>0.02</v>
      </c>
      <c r="S524">
        <v>2.3E-2</v>
      </c>
      <c r="T524">
        <v>2.5000000000000001E-2</v>
      </c>
      <c r="U524">
        <v>2.5000000000000001E-2</v>
      </c>
      <c r="V524">
        <v>3.3000000000000002E-2</v>
      </c>
    </row>
    <row r="525" spans="1:22" x14ac:dyDescent="0.2">
      <c r="A525" t="s">
        <v>1628</v>
      </c>
      <c r="B525" t="s">
        <v>986</v>
      </c>
      <c r="C525" t="s">
        <v>1619</v>
      </c>
      <c r="F525" t="s">
        <v>1684</v>
      </c>
      <c r="G525">
        <v>2.5000000000000001E-2</v>
      </c>
      <c r="H525">
        <v>2.9000000000000001E-2</v>
      </c>
      <c r="I525">
        <v>2.4E-2</v>
      </c>
      <c r="J525">
        <v>2.4E-2</v>
      </c>
      <c r="K525">
        <v>2.3E-2</v>
      </c>
      <c r="L525">
        <v>2.3E-2</v>
      </c>
      <c r="M525">
        <v>2.1000000000000001E-2</v>
      </c>
      <c r="N525">
        <v>2.1000000000000001E-2</v>
      </c>
      <c r="O525">
        <v>0.02</v>
      </c>
      <c r="P525">
        <v>0.02</v>
      </c>
      <c r="Q525">
        <v>1.7000000000000001E-2</v>
      </c>
      <c r="R525">
        <v>1.7000000000000001E-2</v>
      </c>
      <c r="S525">
        <v>0.02</v>
      </c>
      <c r="T525">
        <v>2.1999999999999999E-2</v>
      </c>
      <c r="U525">
        <v>2.1999999999999999E-2</v>
      </c>
      <c r="V525">
        <v>0.03</v>
      </c>
    </row>
    <row r="526" spans="1:22" x14ac:dyDescent="0.2">
      <c r="A526" t="s">
        <v>1628</v>
      </c>
      <c r="B526" t="s">
        <v>986</v>
      </c>
      <c r="C526" t="s">
        <v>1620</v>
      </c>
      <c r="F526" t="s">
        <v>1685</v>
      </c>
      <c r="G526">
        <v>2.5000000000000001E-2</v>
      </c>
      <c r="H526">
        <v>2.9000000000000001E-2</v>
      </c>
      <c r="I526">
        <v>2.4E-2</v>
      </c>
      <c r="J526">
        <v>2.4E-2</v>
      </c>
      <c r="K526">
        <v>2.3E-2</v>
      </c>
      <c r="L526">
        <v>2.3E-2</v>
      </c>
      <c r="M526">
        <v>2.1000000000000001E-2</v>
      </c>
      <c r="N526">
        <v>2.1000000000000001E-2</v>
      </c>
      <c r="O526">
        <v>0.02</v>
      </c>
      <c r="P526">
        <v>0.02</v>
      </c>
      <c r="Q526">
        <v>1.7000000000000001E-2</v>
      </c>
      <c r="R526">
        <v>1.7000000000000001E-2</v>
      </c>
      <c r="S526">
        <v>0.02</v>
      </c>
      <c r="T526">
        <v>2.1999999999999999E-2</v>
      </c>
      <c r="U526">
        <v>2.1999999999999999E-2</v>
      </c>
      <c r="V526">
        <v>0.03</v>
      </c>
    </row>
    <row r="529" spans="1:22" x14ac:dyDescent="0.2">
      <c r="A529" t="s">
        <v>1628</v>
      </c>
      <c r="B529" t="s">
        <v>984</v>
      </c>
      <c r="C529" t="s">
        <v>25</v>
      </c>
      <c r="F529" t="s">
        <v>1686</v>
      </c>
      <c r="G529">
        <v>-0.155</v>
      </c>
      <c r="H529">
        <v>-0.20125000000000001</v>
      </c>
      <c r="I529">
        <v>-0.17249999999999999</v>
      </c>
      <c r="J529">
        <v>-0.14499999999999999</v>
      </c>
      <c r="K529">
        <v>-0.16</v>
      </c>
      <c r="L529">
        <v>-0.16</v>
      </c>
      <c r="M529">
        <v>-0.17</v>
      </c>
      <c r="N529">
        <v>-0.1825</v>
      </c>
      <c r="O529">
        <v>-0.19</v>
      </c>
      <c r="P529">
        <v>-0.20499999999999999</v>
      </c>
      <c r="Q529">
        <v>-0.24</v>
      </c>
      <c r="R529">
        <v>-0.24</v>
      </c>
      <c r="S529">
        <v>-0.20499999999999999</v>
      </c>
      <c r="T529">
        <v>-0.19750000000000001</v>
      </c>
      <c r="U529">
        <v>-0.19750000000000001</v>
      </c>
      <c r="V529">
        <v>-0.24</v>
      </c>
    </row>
    <row r="530" spans="1:22" x14ac:dyDescent="0.2">
      <c r="A530" t="s">
        <v>1628</v>
      </c>
      <c r="B530" t="s">
        <v>984</v>
      </c>
      <c r="C530" t="s">
        <v>157</v>
      </c>
      <c r="F530" t="s">
        <v>1687</v>
      </c>
      <c r="G530">
        <v>-0.13250000000000001</v>
      </c>
      <c r="H530">
        <v>-0.18124999999999999</v>
      </c>
      <c r="I530">
        <v>-0.1525</v>
      </c>
      <c r="J530">
        <v>-0.12875</v>
      </c>
      <c r="K530">
        <v>-0.14249999999999999</v>
      </c>
      <c r="L530">
        <v>-0.14249999999999999</v>
      </c>
      <c r="M530">
        <v>-0.15</v>
      </c>
      <c r="N530">
        <v>-0.1575</v>
      </c>
      <c r="O530">
        <v>-0.16250000000000001</v>
      </c>
      <c r="P530">
        <v>-0.17</v>
      </c>
      <c r="Q530">
        <v>-0.20250000000000001</v>
      </c>
      <c r="R530">
        <v>-0.21</v>
      </c>
      <c r="S530">
        <v>-0.18</v>
      </c>
      <c r="T530">
        <v>-0.17</v>
      </c>
      <c r="U530">
        <v>-0.17</v>
      </c>
      <c r="V530">
        <v>-0.21</v>
      </c>
    </row>
    <row r="531" spans="1:22" x14ac:dyDescent="0.2">
      <c r="A531" t="s">
        <v>1628</v>
      </c>
      <c r="B531" t="s">
        <v>984</v>
      </c>
      <c r="C531" t="s">
        <v>99</v>
      </c>
      <c r="F531" t="s">
        <v>1688</v>
      </c>
      <c r="G531">
        <v>-0.11</v>
      </c>
      <c r="H531">
        <v>-0.17</v>
      </c>
      <c r="I531">
        <v>-0.14249999999999999</v>
      </c>
      <c r="J531">
        <v>-0.12</v>
      </c>
      <c r="K531">
        <v>-0.12875</v>
      </c>
      <c r="L531">
        <v>-0.13</v>
      </c>
      <c r="M531">
        <v>-0.13750000000000001</v>
      </c>
      <c r="N531">
        <v>-0.14249999999999999</v>
      </c>
      <c r="O531">
        <v>-0.13500000000000001</v>
      </c>
      <c r="P531">
        <v>-0.14124999999999999</v>
      </c>
      <c r="Q531">
        <v>-0.17249999999999999</v>
      </c>
      <c r="R531">
        <v>-0.1825</v>
      </c>
      <c r="S531">
        <v>-0.16</v>
      </c>
      <c r="T531">
        <v>-0.15</v>
      </c>
      <c r="U531">
        <v>-0.15</v>
      </c>
      <c r="V531">
        <v>-0.1925</v>
      </c>
    </row>
    <row r="532" spans="1:22" x14ac:dyDescent="0.2">
      <c r="A532" t="s">
        <v>1628</v>
      </c>
      <c r="B532" t="s">
        <v>984</v>
      </c>
      <c r="C532" t="s">
        <v>101</v>
      </c>
      <c r="F532" t="s">
        <v>1689</v>
      </c>
      <c r="G532">
        <v>-0.1</v>
      </c>
      <c r="H532">
        <v>-0.16250000000000001</v>
      </c>
      <c r="I532">
        <v>-0.13750000000000001</v>
      </c>
      <c r="J532">
        <v>-0.11125</v>
      </c>
      <c r="K532">
        <v>-0.12</v>
      </c>
      <c r="L532">
        <v>-0.12</v>
      </c>
      <c r="M532">
        <v>-0.1275</v>
      </c>
      <c r="N532">
        <v>-0.125</v>
      </c>
      <c r="O532">
        <v>-0.1125</v>
      </c>
      <c r="P532">
        <v>-0.12</v>
      </c>
      <c r="Q532">
        <v>-0.14374999999999999</v>
      </c>
      <c r="R532">
        <v>-0.1575</v>
      </c>
      <c r="S532">
        <v>-0.14000000000000001</v>
      </c>
      <c r="T532">
        <v>-0.13</v>
      </c>
      <c r="U532">
        <v>-0.13</v>
      </c>
      <c r="V532">
        <v>-0.16750000000000001</v>
      </c>
    </row>
    <row r="533" spans="1:22" x14ac:dyDescent="0.2">
      <c r="A533" t="s">
        <v>1628</v>
      </c>
      <c r="B533" t="s">
        <v>984</v>
      </c>
      <c r="C533" t="s">
        <v>102</v>
      </c>
      <c r="F533" t="s">
        <v>1690</v>
      </c>
      <c r="G533">
        <v>-0.09</v>
      </c>
      <c r="H533">
        <v>-0.15625</v>
      </c>
      <c r="I533">
        <v>-0.13250000000000001</v>
      </c>
      <c r="J533">
        <v>-0.1</v>
      </c>
      <c r="K533">
        <v>-0.11</v>
      </c>
      <c r="L533">
        <v>-0.11</v>
      </c>
      <c r="M533">
        <v>-0.11749999999999999</v>
      </c>
      <c r="N533">
        <v>-0.11375</v>
      </c>
      <c r="O533">
        <v>-9.5000000000000001E-2</v>
      </c>
      <c r="P533">
        <v>-0.1</v>
      </c>
      <c r="Q533">
        <v>-0.12</v>
      </c>
      <c r="R533">
        <v>-0.13500000000000001</v>
      </c>
      <c r="S533">
        <v>-0.11749999999999999</v>
      </c>
      <c r="T533">
        <v>-0.11</v>
      </c>
      <c r="U533">
        <v>-0.1125</v>
      </c>
      <c r="V533">
        <v>-0.14499999999999999</v>
      </c>
    </row>
    <row r="534" spans="1:22" x14ac:dyDescent="0.2">
      <c r="A534" t="s">
        <v>1628</v>
      </c>
      <c r="B534" t="s">
        <v>984</v>
      </c>
      <c r="C534" t="s">
        <v>104</v>
      </c>
      <c r="F534" t="s">
        <v>1691</v>
      </c>
      <c r="G534">
        <v>-0.09</v>
      </c>
      <c r="H534">
        <v>-0.15125</v>
      </c>
      <c r="I534">
        <v>-0.125</v>
      </c>
      <c r="J534">
        <v>-8.6249999999999993E-2</v>
      </c>
      <c r="K534">
        <v>-0.09</v>
      </c>
      <c r="L534">
        <v>-9.7500000000000003E-2</v>
      </c>
      <c r="M534">
        <v>-0.10249999999999999</v>
      </c>
      <c r="N534">
        <v>-0.10249999999999999</v>
      </c>
      <c r="O534">
        <v>-7.0999999999999994E-2</v>
      </c>
      <c r="P534">
        <v>-7.3749999999999996E-2</v>
      </c>
      <c r="Q534">
        <v>-8.6249999999999993E-2</v>
      </c>
      <c r="R534">
        <v>-9.7500000000000003E-2</v>
      </c>
      <c r="S534">
        <v>-8.7499999999999994E-2</v>
      </c>
      <c r="T534">
        <v>-7.7499999999999999E-2</v>
      </c>
      <c r="U534">
        <v>-0.08</v>
      </c>
      <c r="V534">
        <v>-0.11</v>
      </c>
    </row>
    <row r="535" spans="1:22" x14ac:dyDescent="0.2">
      <c r="A535" t="s">
        <v>1628</v>
      </c>
      <c r="B535" t="s">
        <v>984</v>
      </c>
      <c r="C535" t="s">
        <v>79</v>
      </c>
      <c r="F535" t="s">
        <v>1692</v>
      </c>
      <c r="G535">
        <v>-0.10249999999999999</v>
      </c>
      <c r="H535">
        <v>-0.1525</v>
      </c>
      <c r="I535">
        <v>-0.12125</v>
      </c>
      <c r="J535">
        <v>-7.4999999999999997E-2</v>
      </c>
      <c r="K535">
        <v>-7.4999999999999997E-2</v>
      </c>
      <c r="L535">
        <v>-8.2500000000000004E-2</v>
      </c>
      <c r="M535">
        <v>-0.09</v>
      </c>
      <c r="N535">
        <v>-8.8749999999999996E-2</v>
      </c>
      <c r="O535">
        <v>-6.0999999999999999E-2</v>
      </c>
      <c r="P535">
        <v>-0.06</v>
      </c>
      <c r="Q535">
        <v>-7.2499999999999995E-2</v>
      </c>
      <c r="R535">
        <v>-0.08</v>
      </c>
      <c r="S535">
        <v>-6.0999999999999999E-2</v>
      </c>
      <c r="T535">
        <v>-5.7500000000000002E-2</v>
      </c>
      <c r="U535">
        <v>-5.7500000000000002E-2</v>
      </c>
      <c r="V535">
        <v>-8.6249999999999993E-2</v>
      </c>
    </row>
    <row r="536" spans="1:22" x14ac:dyDescent="0.2">
      <c r="A536" t="s">
        <v>1628</v>
      </c>
      <c r="B536" t="s">
        <v>984</v>
      </c>
      <c r="C536" t="s">
        <v>107</v>
      </c>
      <c r="F536" t="s">
        <v>1693</v>
      </c>
      <c r="G536">
        <v>-0.14749999999999999</v>
      </c>
      <c r="H536">
        <v>-0.1925</v>
      </c>
      <c r="I536">
        <v>-0.1525</v>
      </c>
      <c r="J536">
        <v>-9.5000000000000001E-2</v>
      </c>
      <c r="K536">
        <v>-9.7500000000000003E-2</v>
      </c>
      <c r="L536">
        <v>-0.1</v>
      </c>
      <c r="M536">
        <v>-0.10875</v>
      </c>
      <c r="N536">
        <v>-0.10249999999999999</v>
      </c>
      <c r="O536">
        <v>-7.2499999999999995E-2</v>
      </c>
      <c r="P536">
        <v>-7.2499999999999995E-2</v>
      </c>
      <c r="Q536">
        <v>-8.5000000000000006E-2</v>
      </c>
      <c r="R536">
        <v>-9.2499999999999999E-2</v>
      </c>
      <c r="S536">
        <v>-8.2500000000000004E-2</v>
      </c>
      <c r="T536">
        <v>-7.8750000000000001E-2</v>
      </c>
      <c r="U536">
        <v>-0.08</v>
      </c>
      <c r="V536">
        <v>-0.1075</v>
      </c>
    </row>
    <row r="537" spans="1:22" x14ac:dyDescent="0.2">
      <c r="A537" t="s">
        <v>1628</v>
      </c>
      <c r="B537" t="s">
        <v>984</v>
      </c>
      <c r="C537" t="s">
        <v>108</v>
      </c>
      <c r="F537" t="s">
        <v>1694</v>
      </c>
      <c r="G537">
        <v>-0.1875</v>
      </c>
      <c r="H537">
        <v>-0.22625000000000001</v>
      </c>
      <c r="I537">
        <v>-0.185</v>
      </c>
      <c r="J537">
        <v>-0.11749999999999999</v>
      </c>
      <c r="K537">
        <v>-0.11749999999999999</v>
      </c>
      <c r="L537">
        <v>-0.12</v>
      </c>
      <c r="M537">
        <v>-0.13</v>
      </c>
      <c r="N537">
        <v>-0.1275</v>
      </c>
      <c r="O537">
        <v>-8.7499999999999994E-2</v>
      </c>
      <c r="P537">
        <v>-8.7499999999999994E-2</v>
      </c>
      <c r="Q537">
        <v>-9.7500000000000003E-2</v>
      </c>
      <c r="R537">
        <v>-0.105</v>
      </c>
      <c r="S537">
        <v>-9.5000000000000001E-2</v>
      </c>
      <c r="T537">
        <v>-9.375E-2</v>
      </c>
      <c r="U537">
        <v>-9.5000000000000001E-2</v>
      </c>
      <c r="V537">
        <v>-0.12</v>
      </c>
    </row>
    <row r="538" spans="1:22" x14ac:dyDescent="0.2">
      <c r="A538" t="s">
        <v>1628</v>
      </c>
      <c r="B538" t="s">
        <v>984</v>
      </c>
      <c r="C538" t="s">
        <v>110</v>
      </c>
      <c r="F538" t="s">
        <v>1695</v>
      </c>
      <c r="G538">
        <v>-0.17</v>
      </c>
      <c r="H538">
        <v>-0.20374999999999999</v>
      </c>
      <c r="I538">
        <v>-0.16250000000000001</v>
      </c>
      <c r="J538">
        <v>-9.5000000000000001E-2</v>
      </c>
      <c r="K538">
        <v>-9.2499999999999999E-2</v>
      </c>
      <c r="L538">
        <v>-9.7500000000000003E-2</v>
      </c>
      <c r="M538">
        <v>-0.1075</v>
      </c>
      <c r="N538">
        <v>-9.7500000000000003E-2</v>
      </c>
      <c r="O538">
        <v>-6.5000000000000002E-2</v>
      </c>
      <c r="P538">
        <v>-6.25E-2</v>
      </c>
      <c r="Q538">
        <v>-7.2499999999999995E-2</v>
      </c>
      <c r="R538">
        <v>-0.08</v>
      </c>
      <c r="S538">
        <v>-6.7500000000000004E-2</v>
      </c>
      <c r="T538">
        <v>-5.5E-2</v>
      </c>
      <c r="U538">
        <v>-5.7500000000000002E-2</v>
      </c>
      <c r="V538">
        <v>-8.5000000000000006E-2</v>
      </c>
    </row>
    <row r="539" spans="1:22" x14ac:dyDescent="0.2">
      <c r="A539" t="s">
        <v>1628</v>
      </c>
      <c r="B539" t="s">
        <v>984</v>
      </c>
      <c r="C539" t="s">
        <v>174</v>
      </c>
      <c r="F539" t="s">
        <v>1695</v>
      </c>
      <c r="G539">
        <v>-0.1125</v>
      </c>
      <c r="H539">
        <v>-0.15</v>
      </c>
      <c r="I539">
        <v>-0.1075</v>
      </c>
      <c r="J539">
        <v>-4.4999999999999998E-2</v>
      </c>
      <c r="K539">
        <v>-4.7500000000000001E-2</v>
      </c>
      <c r="L539">
        <v>-0.05</v>
      </c>
      <c r="M539">
        <v>-6.25E-2</v>
      </c>
      <c r="N539">
        <v>-5.5E-2</v>
      </c>
      <c r="O539">
        <v>-0.02</v>
      </c>
      <c r="P539">
        <v>-1.7500000000000002E-2</v>
      </c>
      <c r="Q539">
        <v>-2.75E-2</v>
      </c>
      <c r="R539">
        <v>-3.5000000000000003E-2</v>
      </c>
      <c r="S539">
        <v>-0.02</v>
      </c>
      <c r="T539">
        <v>-0.01</v>
      </c>
      <c r="U539">
        <v>-1.2500000000000001E-2</v>
      </c>
      <c r="V539">
        <v>-0.04</v>
      </c>
    </row>
    <row r="540" spans="1:22" x14ac:dyDescent="0.2">
      <c r="A540" t="s">
        <v>1628</v>
      </c>
      <c r="B540" t="s">
        <v>984</v>
      </c>
      <c r="C540" t="s">
        <v>175</v>
      </c>
      <c r="F540" t="s">
        <v>1695</v>
      </c>
      <c r="G540">
        <v>-7.4999999999999997E-2</v>
      </c>
      <c r="H540">
        <v>-0.1125</v>
      </c>
      <c r="I540">
        <v>-7.0000000000000007E-2</v>
      </c>
      <c r="J540">
        <v>-0.01</v>
      </c>
      <c r="K540">
        <v>-0.01</v>
      </c>
      <c r="L540">
        <v>-1.2500000000000001E-2</v>
      </c>
      <c r="M540">
        <v>-2.75E-2</v>
      </c>
      <c r="N540">
        <v>-0.02</v>
      </c>
      <c r="O540">
        <v>1.4999999999999999E-2</v>
      </c>
      <c r="P540">
        <v>1.7500000000000002E-2</v>
      </c>
      <c r="Q540">
        <v>7.4999999999999997E-3</v>
      </c>
      <c r="R540">
        <v>-1.25E-3</v>
      </c>
      <c r="S540">
        <v>1.4999999999999999E-2</v>
      </c>
      <c r="T540">
        <v>2.75E-2</v>
      </c>
      <c r="U540">
        <v>2.2499999999999999E-2</v>
      </c>
      <c r="V540">
        <v>-6.2500000000000003E-3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00B0F0"/>
  </sheetPr>
  <dimension ref="A3:N35"/>
  <sheetViews>
    <sheetView workbookViewId="0">
      <selection activeCell="N18" sqref="N18"/>
    </sheetView>
  </sheetViews>
  <sheetFormatPr defaultRowHeight="11.25" x14ac:dyDescent="0.2"/>
  <cols>
    <col min="1" max="1" width="15" customWidth="1"/>
    <col min="2" max="2" width="20.1640625" customWidth="1"/>
    <col min="4" max="4" width="15.1640625" customWidth="1"/>
    <col min="5" max="5" width="19" customWidth="1"/>
    <col min="7" max="7" width="23" customWidth="1"/>
    <col min="8" max="8" width="21.33203125" customWidth="1"/>
    <col min="10" max="10" width="23" customWidth="1"/>
    <col min="11" max="11" width="21.33203125" customWidth="1"/>
    <col min="13" max="13" width="23.1640625" customWidth="1"/>
    <col min="14" max="14" width="19.33203125" customWidth="1"/>
  </cols>
  <sheetData>
    <row r="3" spans="1:14" x14ac:dyDescent="0.2">
      <c r="A3" t="s">
        <v>202</v>
      </c>
    </row>
    <row r="7" spans="1:14" ht="12" thickBot="1" x14ac:dyDescent="0.25"/>
    <row r="8" spans="1:14" x14ac:dyDescent="0.2">
      <c r="A8" s="41" t="s">
        <v>41</v>
      </c>
      <c r="B8" s="42" t="str">
        <f>_xll.qlEuribor(B10,B11,B12,B13,B14)</f>
        <v>obj_0007d#0005</v>
      </c>
      <c r="G8" s="41" t="s">
        <v>41</v>
      </c>
      <c r="H8" s="42" t="str">
        <f>_xll.qlLibor(H10,H11,H12,H13,H14,H15)</f>
        <v>obj_00067#0005</v>
      </c>
      <c r="J8" s="41" t="s">
        <v>41</v>
      </c>
      <c r="K8" s="42" t="str">
        <f>_xll.qlLibor(K10,K11,K12,K13,K14,K15)</f>
        <v>obj_00063#0005</v>
      </c>
      <c r="M8" s="41" t="s">
        <v>41</v>
      </c>
      <c r="N8" s="42" t="str">
        <f>_xll.qlLibor(N10,N11,N12,N13,N14,N15)</f>
        <v>obj_00023#0007</v>
      </c>
    </row>
    <row r="9" spans="1:14" ht="12" thickBot="1" x14ac:dyDescent="0.25">
      <c r="A9" s="43" t="s">
        <v>7</v>
      </c>
      <c r="B9" s="44" t="str">
        <f>_xll.ohRangeRetrieveError(B8)</f>
        <v/>
      </c>
      <c r="G9" s="43" t="s">
        <v>7</v>
      </c>
      <c r="H9" s="44" t="str">
        <f>_xll.ohRangeRetrieveError(H8)</f>
        <v/>
      </c>
      <c r="J9" s="43" t="s">
        <v>7</v>
      </c>
      <c r="K9" s="44" t="str">
        <f>_xll.ohRangeRetrieveError(K8)</f>
        <v/>
      </c>
      <c r="M9" s="43" t="s">
        <v>7</v>
      </c>
      <c r="N9" s="44" t="str">
        <f>_xll.ohRangeRetrieveError(N8)</f>
        <v/>
      </c>
    </row>
    <row r="10" spans="1:14" x14ac:dyDescent="0.2">
      <c r="A10" s="41" t="s">
        <v>1</v>
      </c>
      <c r="B10" s="45"/>
      <c r="G10" s="41" t="s">
        <v>1</v>
      </c>
      <c r="H10" s="45"/>
      <c r="J10" s="41" t="s">
        <v>1</v>
      </c>
      <c r="K10" s="45"/>
      <c r="M10" s="41" t="s">
        <v>1</v>
      </c>
      <c r="N10" s="45"/>
    </row>
    <row r="11" spans="1:14" x14ac:dyDescent="0.2">
      <c r="A11" s="46" t="s">
        <v>30</v>
      </c>
      <c r="B11" s="47" t="s">
        <v>38</v>
      </c>
      <c r="G11" s="46" t="s">
        <v>200</v>
      </c>
      <c r="H11" s="47" t="s">
        <v>972</v>
      </c>
      <c r="J11" s="46" t="s">
        <v>200</v>
      </c>
      <c r="K11" s="47" t="s">
        <v>1034</v>
      </c>
      <c r="M11" s="46" t="s">
        <v>200</v>
      </c>
      <c r="N11" s="47" t="s">
        <v>1628</v>
      </c>
    </row>
    <row r="12" spans="1:14" x14ac:dyDescent="0.2">
      <c r="A12" s="46" t="s">
        <v>40</v>
      </c>
      <c r="B12" s="47"/>
      <c r="G12" s="46" t="s">
        <v>30</v>
      </c>
      <c r="H12" s="47" t="s">
        <v>1000</v>
      </c>
      <c r="J12" s="46" t="s">
        <v>30</v>
      </c>
      <c r="K12" s="47" t="s">
        <v>1000</v>
      </c>
      <c r="M12" s="46" t="s">
        <v>30</v>
      </c>
      <c r="N12" s="47" t="s">
        <v>1000</v>
      </c>
    </row>
    <row r="13" spans="1:14" x14ac:dyDescent="0.2">
      <c r="A13" s="46" t="s">
        <v>5</v>
      </c>
      <c r="B13" s="47"/>
      <c r="G13" s="46" t="s">
        <v>40</v>
      </c>
      <c r="H13" s="47"/>
      <c r="J13" s="46" t="s">
        <v>40</v>
      </c>
      <c r="K13" s="47"/>
      <c r="M13" s="46" t="s">
        <v>40</v>
      </c>
      <c r="N13" s="47"/>
    </row>
    <row r="14" spans="1:14" ht="12" thickBot="1" x14ac:dyDescent="0.25">
      <c r="A14" s="43" t="s">
        <v>6</v>
      </c>
      <c r="B14" s="48"/>
      <c r="G14" s="46" t="s">
        <v>5</v>
      </c>
      <c r="H14" s="47"/>
      <c r="J14" s="46" t="s">
        <v>5</v>
      </c>
      <c r="K14" s="47"/>
      <c r="M14" s="46" t="s">
        <v>5</v>
      </c>
      <c r="N14" s="47"/>
    </row>
    <row r="15" spans="1:14" ht="12" thickBot="1" x14ac:dyDescent="0.25">
      <c r="G15" s="43" t="s">
        <v>6</v>
      </c>
      <c r="H15" s="48"/>
      <c r="J15" s="43" t="s">
        <v>6</v>
      </c>
      <c r="K15" s="48"/>
      <c r="M15" s="43" t="s">
        <v>6</v>
      </c>
      <c r="N15" s="48"/>
    </row>
    <row r="17" spans="1:14" ht="12" thickBot="1" x14ac:dyDescent="0.25"/>
    <row r="18" spans="1:14" x14ac:dyDescent="0.2">
      <c r="A18" s="41" t="s">
        <v>41</v>
      </c>
      <c r="B18" s="42" t="str">
        <f>_xll.qlEuribor(B20,B21,B22,B23,B24)</f>
        <v>obj_000aa#0005</v>
      </c>
      <c r="D18" s="41" t="s">
        <v>997</v>
      </c>
      <c r="E18" s="42" t="str">
        <f>_xll.qlLibor(E20,E21,E22,E23,E24,E25)</f>
        <v>obj_000ab#0005</v>
      </c>
      <c r="G18" s="41" t="s">
        <v>41</v>
      </c>
      <c r="H18" s="42" t="str">
        <f>_xll.qlLibor(H20,H21,H22,H23,H24,H25)</f>
        <v>obj_00072#0005</v>
      </c>
      <c r="J18" s="41" t="s">
        <v>41</v>
      </c>
      <c r="K18" s="42" t="str">
        <f>_xll.qlLibor(K20,K21,K22,K23,K24,K25)</f>
        <v>obj_00064#0005</v>
      </c>
      <c r="M18" s="41" t="s">
        <v>41</v>
      </c>
      <c r="N18" s="42" t="str">
        <f>_xll.qlLibor(N20,N21,N22,N23,N24,N25)</f>
        <v>obj_00026#0007</v>
      </c>
    </row>
    <row r="19" spans="1:14" ht="12" thickBot="1" x14ac:dyDescent="0.25">
      <c r="A19" s="43" t="s">
        <v>7</v>
      </c>
      <c r="B19" s="44" t="str">
        <f>_xll.ohRangeRetrieveError(B18)</f>
        <v/>
      </c>
      <c r="D19" s="43" t="s">
        <v>7</v>
      </c>
      <c r="E19" s="44" t="str">
        <f>_xll.ohRangeRetrieveError(E18)</f>
        <v/>
      </c>
      <c r="G19" s="43" t="s">
        <v>7</v>
      </c>
      <c r="H19" s="44" t="str">
        <f>_xll.ohRangeRetrieveError(H18)</f>
        <v/>
      </c>
      <c r="J19" s="43" t="s">
        <v>7</v>
      </c>
      <c r="K19" s="44" t="str">
        <f>_xll.ohRangeRetrieveError(K18)</f>
        <v/>
      </c>
      <c r="M19" s="43" t="s">
        <v>7</v>
      </c>
      <c r="N19" s="44" t="str">
        <f>_xll.ohRangeRetrieveError(N18)</f>
        <v/>
      </c>
    </row>
    <row r="20" spans="1:14" x14ac:dyDescent="0.2">
      <c r="A20" s="41" t="s">
        <v>1</v>
      </c>
      <c r="B20" s="45"/>
      <c r="D20" s="41" t="s">
        <v>1</v>
      </c>
      <c r="E20" s="45"/>
      <c r="G20" s="41" t="s">
        <v>1</v>
      </c>
      <c r="H20" s="45"/>
      <c r="J20" s="41" t="s">
        <v>1</v>
      </c>
      <c r="K20" s="45"/>
      <c r="M20" s="41" t="s">
        <v>1</v>
      </c>
      <c r="N20" s="45"/>
    </row>
    <row r="21" spans="1:14" x14ac:dyDescent="0.2">
      <c r="A21" s="46" t="s">
        <v>30</v>
      </c>
      <c r="B21" s="47" t="s">
        <v>97</v>
      </c>
      <c r="D21" s="46" t="s">
        <v>200</v>
      </c>
      <c r="E21" s="47" t="s">
        <v>201</v>
      </c>
      <c r="G21" s="46" t="s">
        <v>200</v>
      </c>
      <c r="H21" s="47" t="s">
        <v>972</v>
      </c>
      <c r="J21" s="46" t="s">
        <v>200</v>
      </c>
      <c r="K21" s="47" t="s">
        <v>1034</v>
      </c>
      <c r="M21" s="46" t="s">
        <v>200</v>
      </c>
      <c r="N21" s="47" t="s">
        <v>1628</v>
      </c>
    </row>
    <row r="22" spans="1:14" x14ac:dyDescent="0.2">
      <c r="A22" s="46" t="s">
        <v>40</v>
      </c>
      <c r="B22" s="47"/>
      <c r="D22" s="46" t="s">
        <v>30</v>
      </c>
      <c r="E22" s="47" t="s">
        <v>97</v>
      </c>
      <c r="G22" s="46" t="s">
        <v>30</v>
      </c>
      <c r="H22" s="47" t="s">
        <v>1001</v>
      </c>
      <c r="J22" s="46" t="s">
        <v>30</v>
      </c>
      <c r="K22" s="47" t="s">
        <v>1001</v>
      </c>
      <c r="M22" s="46" t="s">
        <v>30</v>
      </c>
      <c r="N22" s="47" t="s">
        <v>1001</v>
      </c>
    </row>
    <row r="23" spans="1:14" x14ac:dyDescent="0.2">
      <c r="A23" s="46" t="s">
        <v>5</v>
      </c>
      <c r="B23" s="47"/>
      <c r="D23" s="46" t="s">
        <v>40</v>
      </c>
      <c r="E23" s="47"/>
      <c r="G23" s="46" t="s">
        <v>40</v>
      </c>
      <c r="H23" s="47"/>
      <c r="J23" s="46" t="s">
        <v>40</v>
      </c>
      <c r="K23" s="47"/>
      <c r="M23" s="46" t="s">
        <v>40</v>
      </c>
      <c r="N23" s="47"/>
    </row>
    <row r="24" spans="1:14" ht="12" thickBot="1" x14ac:dyDescent="0.25">
      <c r="A24" s="43" t="s">
        <v>6</v>
      </c>
      <c r="B24" s="48"/>
      <c r="D24" s="46" t="s">
        <v>5</v>
      </c>
      <c r="E24" s="47"/>
      <c r="G24" s="46" t="s">
        <v>5</v>
      </c>
      <c r="H24" s="47"/>
      <c r="J24" s="46" t="s">
        <v>5</v>
      </c>
      <c r="K24" s="47"/>
      <c r="M24" s="46" t="s">
        <v>5</v>
      </c>
      <c r="N24" s="47"/>
    </row>
    <row r="25" spans="1:14" ht="12" thickBot="1" x14ac:dyDescent="0.25">
      <c r="D25" s="43" t="s">
        <v>6</v>
      </c>
      <c r="E25" s="48"/>
      <c r="G25" s="43" t="s">
        <v>6</v>
      </c>
      <c r="H25" s="48"/>
      <c r="J25" s="43" t="s">
        <v>6</v>
      </c>
      <c r="K25" s="48"/>
      <c r="M25" s="43" t="s">
        <v>6</v>
      </c>
      <c r="N25" s="48"/>
    </row>
    <row r="27" spans="1:14" ht="12" thickBot="1" x14ac:dyDescent="0.25"/>
    <row r="28" spans="1:14" x14ac:dyDescent="0.2">
      <c r="D28" s="41" t="s">
        <v>997</v>
      </c>
      <c r="E28" s="42" t="str">
        <f>_xll.qlLibor(E30,E31,E32,E33,E34,E35)</f>
        <v>obj_000a9#0005</v>
      </c>
    </row>
    <row r="29" spans="1:14" ht="12" thickBot="1" x14ac:dyDescent="0.25">
      <c r="D29" s="43" t="s">
        <v>7</v>
      </c>
      <c r="E29" s="44" t="str">
        <f>_xll.ohRangeRetrieveError(E28)</f>
        <v/>
      </c>
    </row>
    <row r="30" spans="1:14" x14ac:dyDescent="0.2">
      <c r="D30" s="41" t="s">
        <v>1</v>
      </c>
      <c r="E30" s="45"/>
    </row>
    <row r="31" spans="1:14" x14ac:dyDescent="0.2">
      <c r="D31" s="46" t="s">
        <v>200</v>
      </c>
      <c r="E31" s="47" t="s">
        <v>201</v>
      </c>
    </row>
    <row r="32" spans="1:14" x14ac:dyDescent="0.2">
      <c r="B32" t="str">
        <f>B19</f>
        <v/>
      </c>
      <c r="D32" s="46" t="s">
        <v>30</v>
      </c>
      <c r="E32" s="47" t="s">
        <v>95</v>
      </c>
    </row>
    <row r="33" spans="4:5" x14ac:dyDescent="0.2">
      <c r="D33" s="46" t="s">
        <v>40</v>
      </c>
      <c r="E33" s="47"/>
    </row>
    <row r="34" spans="4:5" x14ac:dyDescent="0.2">
      <c r="D34" s="46" t="s">
        <v>5</v>
      </c>
      <c r="E34" s="47"/>
    </row>
    <row r="35" spans="4:5" ht="12" thickBot="1" x14ac:dyDescent="0.25">
      <c r="D35" s="43" t="s">
        <v>6</v>
      </c>
      <c r="E35" s="48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0"/>
  <dimension ref="A2:AQ101"/>
  <sheetViews>
    <sheetView topLeftCell="A21" workbookViewId="0">
      <selection activeCell="F58" sqref="F58"/>
    </sheetView>
  </sheetViews>
  <sheetFormatPr defaultRowHeight="11.25" x14ac:dyDescent="0.2"/>
  <cols>
    <col min="1" max="1" width="20.1640625" bestFit="1" customWidth="1"/>
    <col min="2" max="2" width="17.6640625" customWidth="1"/>
    <col min="3" max="3" width="19.6640625" customWidth="1"/>
    <col min="4" max="4" width="10.6640625" bestFit="1" customWidth="1"/>
    <col min="5" max="5" width="14.33203125" customWidth="1"/>
    <col min="6" max="6" width="17.33203125" customWidth="1"/>
    <col min="10" max="10" width="20.6640625" customWidth="1"/>
    <col min="19" max="19" width="12.5" customWidth="1"/>
    <col min="23" max="23" width="13.33203125" customWidth="1"/>
    <col min="24" max="24" width="17.5" customWidth="1"/>
    <col min="25" max="25" width="17" customWidth="1"/>
    <col min="26" max="26" width="9.5" bestFit="1" customWidth="1"/>
    <col min="27" max="28" width="10.6640625" bestFit="1" customWidth="1"/>
    <col min="29" max="29" width="16" customWidth="1"/>
    <col min="30" max="30" width="14.33203125" customWidth="1"/>
    <col min="31" max="31" width="9.5" bestFit="1" customWidth="1"/>
    <col min="32" max="32" width="10.6640625" bestFit="1" customWidth="1"/>
    <col min="34" max="35" width="9.5" bestFit="1" customWidth="1"/>
    <col min="37" max="38" width="9.5" bestFit="1" customWidth="1"/>
    <col min="39" max="39" width="13.5" bestFit="1" customWidth="1"/>
    <col min="40" max="40" width="9.5" bestFit="1" customWidth="1"/>
  </cols>
  <sheetData>
    <row r="2" spans="2:25" x14ac:dyDescent="0.2">
      <c r="C2" s="105" t="s">
        <v>1489</v>
      </c>
    </row>
    <row r="3" spans="2:25" ht="12" thickBot="1" x14ac:dyDescent="0.25"/>
    <row r="4" spans="2:25" x14ac:dyDescent="0.2">
      <c r="B4" s="3" t="s">
        <v>1474</v>
      </c>
      <c r="C4" s="178" t="str">
        <f>_xll.qlFixedRateBond(C6,C7,C8,C9,C10,C11,C12,C13,C14,C15,C16,C44,C17,C18)</f>
        <v>XS0748631164#0006</v>
      </c>
    </row>
    <row r="5" spans="2:25" ht="12" thickBot="1" x14ac:dyDescent="0.25">
      <c r="B5" s="5" t="s">
        <v>7</v>
      </c>
      <c r="C5" s="179" t="str">
        <f>_xll.ohRangeRetrieveError(C4)</f>
        <v/>
      </c>
    </row>
    <row r="6" spans="2:25" x14ac:dyDescent="0.2">
      <c r="B6" s="3" t="s">
        <v>1</v>
      </c>
      <c r="C6" s="104" t="s">
        <v>1490</v>
      </c>
    </row>
    <row r="7" spans="2:25" x14ac:dyDescent="0.2">
      <c r="B7" s="4" t="s">
        <v>1475</v>
      </c>
      <c r="C7" s="103" t="s">
        <v>1491</v>
      </c>
    </row>
    <row r="8" spans="2:25" ht="12" thickBot="1" x14ac:dyDescent="0.25">
      <c r="B8" s="4" t="s">
        <v>200</v>
      </c>
      <c r="C8" s="103" t="s">
        <v>1035</v>
      </c>
    </row>
    <row r="9" spans="2:25" x14ac:dyDescent="0.2">
      <c r="B9" s="4" t="s">
        <v>1476</v>
      </c>
      <c r="C9" s="180">
        <v>3</v>
      </c>
      <c r="X9" s="3" t="s">
        <v>37</v>
      </c>
      <c r="Y9" s="178" t="str">
        <f>_xll.qlSchedule(Y11,Y12,Y13,Y14,Y15,Y16,Y17,Y18,Y19,Y20,Y21,Y22,Y23)</f>
        <v>obj_00030#0006</v>
      </c>
    </row>
    <row r="10" spans="2:25" ht="12" thickBot="1" x14ac:dyDescent="0.25">
      <c r="B10" s="4" t="s">
        <v>1477</v>
      </c>
      <c r="C10" s="103">
        <v>100</v>
      </c>
      <c r="X10" s="5" t="s">
        <v>7</v>
      </c>
      <c r="Y10" s="11" t="str">
        <f>_xll.ohRangeRetrieveError(Y9)</f>
        <v/>
      </c>
    </row>
    <row r="11" spans="2:25" x14ac:dyDescent="0.2">
      <c r="B11" s="4" t="s">
        <v>12</v>
      </c>
      <c r="C11" s="103" t="str">
        <f>C38</f>
        <v>obj_00032#0006</v>
      </c>
      <c r="X11" s="3" t="s">
        <v>1</v>
      </c>
      <c r="Y11" s="104"/>
    </row>
    <row r="12" spans="2:25" x14ac:dyDescent="0.2">
      <c r="B12" s="4" t="s">
        <v>57</v>
      </c>
      <c r="C12" s="181">
        <v>2.6249999999999999E-2</v>
      </c>
      <c r="X12" s="4" t="s">
        <v>28</v>
      </c>
      <c r="Y12" s="124">
        <v>42616</v>
      </c>
    </row>
    <row r="13" spans="2:25" x14ac:dyDescent="0.2">
      <c r="B13" s="4" t="s">
        <v>4</v>
      </c>
      <c r="C13" s="103" t="s">
        <v>1478</v>
      </c>
      <c r="X13" s="4" t="s">
        <v>29</v>
      </c>
      <c r="Y13" s="124">
        <v>43845</v>
      </c>
    </row>
    <row r="14" spans="2:25" x14ac:dyDescent="0.2">
      <c r="B14" s="4" t="s">
        <v>47</v>
      </c>
      <c r="C14" s="103" t="s">
        <v>26</v>
      </c>
      <c r="X14" s="4" t="s">
        <v>30</v>
      </c>
      <c r="Y14" s="103" t="s">
        <v>97</v>
      </c>
    </row>
    <row r="15" spans="2:25" x14ac:dyDescent="0.2">
      <c r="B15" s="4" t="s">
        <v>1479</v>
      </c>
      <c r="C15" s="103">
        <v>100</v>
      </c>
      <c r="X15" s="4" t="s">
        <v>3</v>
      </c>
      <c r="Y15" s="103" t="s">
        <v>10</v>
      </c>
    </row>
    <row r="16" spans="2:25" x14ac:dyDescent="0.2">
      <c r="B16" s="4" t="s">
        <v>1480</v>
      </c>
      <c r="C16" s="124">
        <v>42445</v>
      </c>
      <c r="X16" s="4" t="s">
        <v>31</v>
      </c>
      <c r="Y16" s="103" t="s">
        <v>39</v>
      </c>
    </row>
    <row r="17" spans="2:30" x14ac:dyDescent="0.2">
      <c r="B17" s="4" t="s">
        <v>5</v>
      </c>
      <c r="C17" s="103"/>
      <c r="X17" s="4" t="s">
        <v>32</v>
      </c>
      <c r="Y17" s="103" t="s">
        <v>39</v>
      </c>
    </row>
    <row r="18" spans="2:30" ht="12" thickBot="1" x14ac:dyDescent="0.25">
      <c r="B18" s="5" t="s">
        <v>6</v>
      </c>
      <c r="C18" s="182"/>
      <c r="X18" s="4" t="s">
        <v>33</v>
      </c>
      <c r="Y18" s="103" t="s">
        <v>27</v>
      </c>
    </row>
    <row r="19" spans="2:30" ht="12" thickBot="1" x14ac:dyDescent="0.25">
      <c r="X19" s="4" t="s">
        <v>34</v>
      </c>
      <c r="Y19" s="103"/>
    </row>
    <row r="20" spans="2:30" x14ac:dyDescent="0.2">
      <c r="B20" s="3" t="s">
        <v>1487</v>
      </c>
      <c r="C20" s="178" t="str">
        <f>_xll.qlBondEngine(C22,C23,C24,C25)</f>
        <v>z-Spread#0004</v>
      </c>
      <c r="X20" s="4" t="s">
        <v>35</v>
      </c>
      <c r="Y20" s="124"/>
    </row>
    <row r="21" spans="2:30" ht="12" thickBot="1" x14ac:dyDescent="0.25">
      <c r="B21" s="5" t="s">
        <v>7</v>
      </c>
      <c r="C21" s="11" t="str">
        <f>_xll.ohRangeRetrieveError(C20)</f>
        <v/>
      </c>
      <c r="X21" s="4" t="s">
        <v>36</v>
      </c>
      <c r="Y21" s="124">
        <v>43802</v>
      </c>
    </row>
    <row r="22" spans="2:30" x14ac:dyDescent="0.2">
      <c r="B22" s="3" t="s">
        <v>1</v>
      </c>
      <c r="C22" s="104" t="s">
        <v>1488</v>
      </c>
      <c r="X22" s="4" t="s">
        <v>5</v>
      </c>
      <c r="Y22" s="103"/>
    </row>
    <row r="23" spans="2:30" ht="12" thickBot="1" x14ac:dyDescent="0.25">
      <c r="B23" s="4" t="s">
        <v>40</v>
      </c>
      <c r="C23" s="103" t="str">
        <f>C56</f>
        <v>obj_00278#0004</v>
      </c>
      <c r="X23" s="5" t="s">
        <v>6</v>
      </c>
      <c r="Y23" s="182"/>
    </row>
    <row r="24" spans="2:30" x14ac:dyDescent="0.2">
      <c r="B24" s="4" t="s">
        <v>5</v>
      </c>
      <c r="C24" s="103"/>
    </row>
    <row r="25" spans="2:30" ht="12" thickBot="1" x14ac:dyDescent="0.25">
      <c r="B25" s="5" t="s">
        <v>6</v>
      </c>
      <c r="C25" s="182"/>
    </row>
    <row r="26" spans="2:30" x14ac:dyDescent="0.2">
      <c r="J26" t="str">
        <f>_xll.qlAssetSwap(,,C4,C35,"EO6MProj",0,F38,"Actual/360")</f>
        <v>obj_0021b#0005</v>
      </c>
    </row>
    <row r="27" spans="2:30" x14ac:dyDescent="0.2">
      <c r="B27" s="183" t="s">
        <v>1481</v>
      </c>
      <c r="C27" t="b">
        <f>_xll.qlInstrumentSetPricingEngine(C4,C20)</f>
        <v>1</v>
      </c>
      <c r="E27" t="s">
        <v>68</v>
      </c>
      <c r="F27" t="b">
        <f>_xll.qlInstrumentSetPricingEngine(J26,"EoniaPricing")</f>
        <v>1</v>
      </c>
      <c r="J27" s="188" t="e">
        <f>_xll.qlAssetSwapFairSpread(J26)</f>
        <v>#NUM!</v>
      </c>
    </row>
    <row r="28" spans="2:30" ht="12" thickBot="1" x14ac:dyDescent="0.25">
      <c r="J28" s="11" t="str">
        <f ca="1">_xll.ohRangeRetrieveError(J27)</f>
        <v>qlAssetSwapFairSpread - 2nd leg: Missing Euribor6M Actual/360 fixing for December 14th, 2016</v>
      </c>
      <c r="AC28" s="105" t="s">
        <v>1492</v>
      </c>
      <c r="AD28" s="105" t="b">
        <f>_xll.qlIndexAddFixings(AD29,AD30,AD31)</f>
        <v>1</v>
      </c>
    </row>
    <row r="29" spans="2:30" x14ac:dyDescent="0.2">
      <c r="B29" s="184" t="s">
        <v>1482</v>
      </c>
      <c r="C29" s="185" t="str">
        <f>C4</f>
        <v>XS0748631164#0006</v>
      </c>
      <c r="J29" t="e">
        <f>_xll.qlAssetSwapFloatingLegBPS(J26)</f>
        <v>#NUM!</v>
      </c>
      <c r="X29" s="3" t="s">
        <v>1493</v>
      </c>
      <c r="Y29" s="178" t="str">
        <f>_xll.qlIborLeg(Y31,Y32,Y33,Y34,Y35,Y36,Y37,Y38,Y39,Y40,Y41,Y42,Y43,Y44)</f>
        <v>EIBFloater_01_15_2020#0005</v>
      </c>
      <c r="AD29" s="105" t="s">
        <v>1494</v>
      </c>
    </row>
    <row r="30" spans="2:30" ht="12" thickBot="1" x14ac:dyDescent="0.25">
      <c r="B30" s="184" t="s">
        <v>1475</v>
      </c>
      <c r="C30" s="185" t="str">
        <f>_xll.qlBondDescription(C29)</f>
        <v>EIB 2.625 03/06/2020</v>
      </c>
      <c r="J30" s="11" t="str">
        <f ca="1">_xll.ohRangeRetrieveError(J29)</f>
        <v>qlAssetSwapFloatingLegBPS - 2nd leg: Missing Euribor6M Actual/360 fixing for December 14th, 2016</v>
      </c>
      <c r="X30" s="5" t="s">
        <v>7</v>
      </c>
      <c r="Y30" s="11" t="str">
        <f>_xll.ohRangeRetrieveError(Y29)</f>
        <v/>
      </c>
      <c r="AC30" t="str">
        <f>Y30</f>
        <v/>
      </c>
      <c r="AD30" s="102">
        <v>42614</v>
      </c>
    </row>
    <row r="31" spans="2:30" x14ac:dyDescent="0.2">
      <c r="B31" s="184" t="s">
        <v>200</v>
      </c>
      <c r="C31" s="185" t="str">
        <f>_xll.qlBondCurrency(C29)</f>
        <v>EUR</v>
      </c>
      <c r="X31" s="3" t="s">
        <v>259</v>
      </c>
      <c r="Y31" s="104" t="s">
        <v>1495</v>
      </c>
      <c r="AD31" s="109">
        <v>-2.99E-3</v>
      </c>
    </row>
    <row r="32" spans="2:30" x14ac:dyDescent="0.2">
      <c r="B32" s="184" t="s">
        <v>1483</v>
      </c>
      <c r="C32" s="186">
        <f>_xll.qlBondSettlementDate(C29)</f>
        <v>42762</v>
      </c>
      <c r="X32" s="4" t="s">
        <v>47</v>
      </c>
      <c r="Y32" s="103" t="s">
        <v>26</v>
      </c>
    </row>
    <row r="33" spans="2:25" x14ac:dyDescent="0.2">
      <c r="B33" s="184" t="s">
        <v>1484</v>
      </c>
      <c r="C33" s="186">
        <f>_xll.qlBondMaturityDate(C29)</f>
        <v>43906</v>
      </c>
      <c r="J33" t="str">
        <f t="array" ref="J33:U60">_xll.qlAssetSwapFloatingLegAnalysis(J26)</f>
        <v>Payment Date</v>
      </c>
      <c r="K33" t="str">
        <v>Amount</v>
      </c>
      <c r="L33" t="str">
        <v>Nominal</v>
      </c>
      <c r="M33" t="str">
        <v>Accrual Start Date</v>
      </c>
      <c r="N33" t="str">
        <v>Accrual End Date</v>
      </c>
      <c r="O33" t="str">
        <v>Accrual Days</v>
      </c>
      <c r="P33" t="str">
        <v>Index</v>
      </c>
      <c r="Q33" t="str">
        <v>Fixing Days</v>
      </c>
      <c r="R33" t="str">
        <v>Fixing Dates</v>
      </c>
      <c r="S33" t="str">
        <v>Day Counter</v>
      </c>
      <c r="T33" t="str">
        <v>Accrual Period</v>
      </c>
      <c r="U33" t="str">
        <v>Effective Rate</v>
      </c>
      <c r="X33" s="4" t="s">
        <v>48</v>
      </c>
      <c r="Y33" s="189">
        <v>1000000</v>
      </c>
    </row>
    <row r="34" spans="2:25" x14ac:dyDescent="0.2">
      <c r="B34" s="184" t="s">
        <v>1485</v>
      </c>
      <c r="C34" s="185">
        <f>_xll.qlBondAccruedAmount(C29,C32,C20)</f>
        <v>2.2797945205479397</v>
      </c>
      <c r="J34">
        <v>42670</v>
      </c>
      <c r="K34">
        <v>12.002902045672499</v>
      </c>
      <c r="L34" t="str">
        <v>#N/A</v>
      </c>
      <c r="M34" t="str">
        <v>#N/A</v>
      </c>
      <c r="N34" t="str">
        <v>#N/A</v>
      </c>
      <c r="O34" t="str">
        <v>#N/A</v>
      </c>
      <c r="P34" t="str">
        <v>#N/A</v>
      </c>
      <c r="Q34" t="str">
        <v>#N/A</v>
      </c>
      <c r="R34" t="str">
        <v>#N/A</v>
      </c>
      <c r="S34" t="str">
        <v>#N/A</v>
      </c>
      <c r="T34" t="str">
        <v>#N/A</v>
      </c>
      <c r="U34" t="str">
        <v>#N/A</v>
      </c>
      <c r="X34" s="4" t="s">
        <v>12</v>
      </c>
      <c r="Y34" s="103" t="str">
        <f>Y9</f>
        <v>obj_00030#0006</v>
      </c>
    </row>
    <row r="35" spans="2:25" x14ac:dyDescent="0.2">
      <c r="B35" s="184" t="s">
        <v>1486</v>
      </c>
      <c r="C35" s="190">
        <v>110.38475136074101</v>
      </c>
      <c r="D35" s="30"/>
      <c r="J35">
        <v>42720</v>
      </c>
      <c r="K35" t="str">
        <v>#N/A</v>
      </c>
      <c r="L35">
        <v>100</v>
      </c>
      <c r="M35">
        <v>42670</v>
      </c>
      <c r="N35">
        <v>42720</v>
      </c>
      <c r="O35">
        <v>50</v>
      </c>
      <c r="P35" t="str">
        <v>Euribor6M Actual/360</v>
      </c>
      <c r="Q35">
        <v>2</v>
      </c>
      <c r="R35">
        <v>42668</v>
      </c>
      <c r="S35" t="str">
        <v>Actual/360</v>
      </c>
      <c r="T35">
        <v>0.1388888888888889</v>
      </c>
      <c r="U35" t="str">
        <v>#N/A</v>
      </c>
      <c r="X35" s="4" t="s">
        <v>49</v>
      </c>
      <c r="Y35" s="103"/>
    </row>
    <row r="36" spans="2:25" x14ac:dyDescent="0.2">
      <c r="J36">
        <v>42810</v>
      </c>
      <c r="K36" t="str">
        <v>#N/A</v>
      </c>
      <c r="L36">
        <v>100</v>
      </c>
      <c r="M36">
        <v>42720</v>
      </c>
      <c r="N36">
        <v>42810</v>
      </c>
      <c r="O36">
        <v>90</v>
      </c>
      <c r="P36" t="str">
        <v>Euribor6M Actual/360</v>
      </c>
      <c r="Q36">
        <v>2</v>
      </c>
      <c r="R36">
        <v>42718</v>
      </c>
      <c r="S36" t="str">
        <v>Actual/360</v>
      </c>
      <c r="T36">
        <v>0.25</v>
      </c>
      <c r="U36" t="str">
        <v>#N/A</v>
      </c>
      <c r="X36" s="4" t="s">
        <v>50</v>
      </c>
      <c r="Y36" s="103"/>
    </row>
    <row r="37" spans="2:25" ht="12" thickBot="1" x14ac:dyDescent="0.25">
      <c r="J37">
        <v>42902</v>
      </c>
      <c r="K37">
        <v>-5.8118584673927387E-2</v>
      </c>
      <c r="L37">
        <v>100</v>
      </c>
      <c r="M37">
        <v>42810</v>
      </c>
      <c r="N37">
        <v>42902</v>
      </c>
      <c r="O37">
        <v>92</v>
      </c>
      <c r="P37" t="str">
        <v>Euribor6M Actual/360</v>
      </c>
      <c r="Q37">
        <v>2</v>
      </c>
      <c r="R37">
        <v>42808</v>
      </c>
      <c r="S37" t="str">
        <v>Actual/360</v>
      </c>
      <c r="T37">
        <v>0.25555555555555554</v>
      </c>
      <c r="U37">
        <v>-2.2742054872406372E-3</v>
      </c>
      <c r="X37" s="4" t="s">
        <v>4</v>
      </c>
      <c r="Y37" s="103" t="s">
        <v>14</v>
      </c>
    </row>
    <row r="38" spans="2:25" x14ac:dyDescent="0.2">
      <c r="B38" s="3" t="s">
        <v>37</v>
      </c>
      <c r="C38" s="178" t="str">
        <f>_xll.qlSchedule(C40,C41,C42,C43,C44,C45,C46,C47,C48,C49,C50,C51,C52)</f>
        <v>obj_00032#0006</v>
      </c>
      <c r="E38" s="3" t="s">
        <v>37</v>
      </c>
      <c r="F38" s="178" t="str">
        <f>_xll.qlSchedule(F40,F41,F42,F43,F44,F45,F46,F47,F48,F49,F50,F51,F52)</f>
        <v>obj_00031#0006</v>
      </c>
      <c r="J38">
        <v>42996</v>
      </c>
      <c r="K38">
        <v>-6.3766722537195175E-2</v>
      </c>
      <c r="L38">
        <v>100</v>
      </c>
      <c r="M38">
        <v>42902</v>
      </c>
      <c r="N38">
        <v>42996</v>
      </c>
      <c r="O38">
        <v>94</v>
      </c>
      <c r="P38" t="str">
        <v>Euribor6M Actual/360</v>
      </c>
      <c r="Q38">
        <v>2</v>
      </c>
      <c r="R38">
        <v>42900</v>
      </c>
      <c r="S38" t="str">
        <v>Actual/360</v>
      </c>
      <c r="T38">
        <v>0.26111111111111113</v>
      </c>
      <c r="U38">
        <v>-2.4421297992968365E-3</v>
      </c>
      <c r="X38" s="4" t="s">
        <v>51</v>
      </c>
      <c r="Y38" s="181"/>
    </row>
    <row r="39" spans="2:25" ht="12" thickBot="1" x14ac:dyDescent="0.25">
      <c r="B39" s="5" t="s">
        <v>7</v>
      </c>
      <c r="C39" s="11" t="str">
        <f>_xll.ohRangeRetrieveError(C38)</f>
        <v/>
      </c>
      <c r="E39" s="5" t="s">
        <v>7</v>
      </c>
      <c r="F39" s="11" t="str">
        <f>_xll.ohRangeRetrieveError(F38)</f>
        <v/>
      </c>
      <c r="J39">
        <v>43087</v>
      </c>
      <c r="K39">
        <v>-4.4951009096738659E-2</v>
      </c>
      <c r="L39">
        <v>100</v>
      </c>
      <c r="M39">
        <v>42996</v>
      </c>
      <c r="N39">
        <v>43087</v>
      </c>
      <c r="O39">
        <v>91</v>
      </c>
      <c r="P39" t="str">
        <v>Euribor6M Actual/360</v>
      </c>
      <c r="Q39">
        <v>2</v>
      </c>
      <c r="R39">
        <v>42992</v>
      </c>
      <c r="S39" t="str">
        <v>Actual/360</v>
      </c>
      <c r="T39">
        <v>0.25277777777777777</v>
      </c>
      <c r="U39">
        <v>-1.7782816785522986E-3</v>
      </c>
      <c r="X39" s="4" t="s">
        <v>52</v>
      </c>
      <c r="Y39" s="103"/>
    </row>
    <row r="40" spans="2:25" x14ac:dyDescent="0.2">
      <c r="B40" s="3" t="s">
        <v>1</v>
      </c>
      <c r="C40" s="104"/>
      <c r="E40" s="3" t="s">
        <v>1</v>
      </c>
      <c r="F40" s="104"/>
      <c r="J40">
        <v>43175</v>
      </c>
      <c r="K40">
        <v>-2.9392549111628696E-2</v>
      </c>
      <c r="L40">
        <v>100</v>
      </c>
      <c r="M40">
        <v>43087</v>
      </c>
      <c r="N40">
        <v>43175</v>
      </c>
      <c r="O40">
        <v>88</v>
      </c>
      <c r="P40" t="str">
        <v>Euribor6M Actual/360</v>
      </c>
      <c r="Q40">
        <v>2</v>
      </c>
      <c r="R40">
        <v>43083</v>
      </c>
      <c r="S40" t="str">
        <v>Actual/360</v>
      </c>
      <c r="T40">
        <v>0.24444444444444444</v>
      </c>
      <c r="U40">
        <v>-1.2024224636575376E-3</v>
      </c>
      <c r="X40" s="4" t="s">
        <v>21</v>
      </c>
      <c r="Y40" s="103" t="s">
        <v>220</v>
      </c>
    </row>
    <row r="41" spans="2:25" x14ac:dyDescent="0.2">
      <c r="B41" s="4" t="s">
        <v>28</v>
      </c>
      <c r="C41" s="124">
        <v>42445</v>
      </c>
      <c r="E41" s="4" t="s">
        <v>28</v>
      </c>
      <c r="F41" s="124">
        <v>42670</v>
      </c>
      <c r="J41">
        <v>43269</v>
      </c>
      <c r="K41">
        <v>-3.6300542502409883E-2</v>
      </c>
      <c r="L41">
        <v>100</v>
      </c>
      <c r="M41">
        <v>43175</v>
      </c>
      <c r="N41">
        <v>43269</v>
      </c>
      <c r="O41">
        <v>94</v>
      </c>
      <c r="P41" t="str">
        <v>Euribor6M Actual/360</v>
      </c>
      <c r="Q41">
        <v>2</v>
      </c>
      <c r="R41">
        <v>43173</v>
      </c>
      <c r="S41" t="str">
        <v>Actual/360</v>
      </c>
      <c r="T41">
        <v>0.26111111111111113</v>
      </c>
      <c r="U41">
        <v>-1.3902335426454848E-3</v>
      </c>
      <c r="X41" s="4" t="s">
        <v>53</v>
      </c>
      <c r="Y41" s="191">
        <v>1.75E-3</v>
      </c>
    </row>
    <row r="42" spans="2:25" x14ac:dyDescent="0.2">
      <c r="B42" s="4" t="s">
        <v>29</v>
      </c>
      <c r="C42" s="124">
        <v>43906</v>
      </c>
      <c r="E42" s="4" t="s">
        <v>29</v>
      </c>
      <c r="F42" s="124">
        <f>C42</f>
        <v>43906</v>
      </c>
      <c r="J42">
        <v>43360</v>
      </c>
      <c r="K42">
        <v>-2.4967434318112769E-2</v>
      </c>
      <c r="L42">
        <v>100</v>
      </c>
      <c r="M42">
        <v>43269</v>
      </c>
      <c r="N42">
        <v>43360</v>
      </c>
      <c r="O42">
        <v>91</v>
      </c>
      <c r="P42" t="str">
        <v>Euribor6M Actual/360</v>
      </c>
      <c r="Q42">
        <v>2</v>
      </c>
      <c r="R42">
        <v>43265</v>
      </c>
      <c r="S42" t="str">
        <v>Actual/360</v>
      </c>
      <c r="T42">
        <v>0.25277777777777777</v>
      </c>
      <c r="U42">
        <v>-9.8772267632094468E-4</v>
      </c>
      <c r="X42" s="4" t="s">
        <v>54</v>
      </c>
      <c r="Y42" s="181"/>
    </row>
    <row r="43" spans="2:25" x14ac:dyDescent="0.2">
      <c r="B43" s="4" t="s">
        <v>30</v>
      </c>
      <c r="C43" s="103" t="s">
        <v>155</v>
      </c>
      <c r="E43" s="4" t="s">
        <v>30</v>
      </c>
      <c r="F43" s="103" t="s">
        <v>1001</v>
      </c>
      <c r="J43">
        <v>43451</v>
      </c>
      <c r="K43">
        <v>-1.7671668850294253E-2</v>
      </c>
      <c r="L43">
        <v>100</v>
      </c>
      <c r="M43">
        <v>43360</v>
      </c>
      <c r="N43">
        <v>43451</v>
      </c>
      <c r="O43">
        <v>91</v>
      </c>
      <c r="P43" t="str">
        <v>Euribor6M Actual/360</v>
      </c>
      <c r="Q43">
        <v>2</v>
      </c>
      <c r="R43">
        <v>43356</v>
      </c>
      <c r="S43" t="str">
        <v>Actual/360</v>
      </c>
      <c r="T43">
        <v>0.25277777777777777</v>
      </c>
      <c r="U43">
        <v>-6.9909898748416832E-4</v>
      </c>
      <c r="X43" s="4" t="s">
        <v>5</v>
      </c>
      <c r="Y43" s="103"/>
    </row>
    <row r="44" spans="2:25" ht="12" thickBot="1" x14ac:dyDescent="0.25">
      <c r="B44" s="4" t="s">
        <v>3</v>
      </c>
      <c r="C44" s="103" t="s">
        <v>10</v>
      </c>
      <c r="E44" s="4" t="s">
        <v>3</v>
      </c>
      <c r="F44" s="103" t="s">
        <v>10</v>
      </c>
      <c r="J44">
        <v>43542</v>
      </c>
      <c r="K44">
        <v>3.3172049941354587E-3</v>
      </c>
      <c r="L44">
        <v>100</v>
      </c>
      <c r="M44">
        <v>43451</v>
      </c>
      <c r="N44">
        <v>43542</v>
      </c>
      <c r="O44">
        <v>91</v>
      </c>
      <c r="P44" t="str">
        <v>Euribor6M Actual/360</v>
      </c>
      <c r="Q44">
        <v>2</v>
      </c>
      <c r="R44">
        <v>43447</v>
      </c>
      <c r="S44" t="str">
        <v>Actual/360</v>
      </c>
      <c r="T44">
        <v>0.25277777777777777</v>
      </c>
      <c r="U44">
        <v>1.3123008768008409E-4</v>
      </c>
      <c r="X44" s="4" t="s">
        <v>6</v>
      </c>
      <c r="Y44" s="182"/>
    </row>
    <row r="45" spans="2:25" ht="12" thickBot="1" x14ac:dyDescent="0.25">
      <c r="B45" s="4" t="s">
        <v>31</v>
      </c>
      <c r="C45" s="103" t="s">
        <v>39</v>
      </c>
      <c r="E45" s="4" t="s">
        <v>31</v>
      </c>
      <c r="F45" s="103" t="s">
        <v>39</v>
      </c>
      <c r="J45">
        <v>43633</v>
      </c>
      <c r="K45">
        <v>2.1311175155691586E-2</v>
      </c>
      <c r="L45">
        <v>100</v>
      </c>
      <c r="M45">
        <v>43542</v>
      </c>
      <c r="N45">
        <v>43633</v>
      </c>
      <c r="O45">
        <v>91</v>
      </c>
      <c r="P45" t="str">
        <v>Euribor6M Actual/360</v>
      </c>
      <c r="Q45">
        <v>2</v>
      </c>
      <c r="R45">
        <v>43538</v>
      </c>
      <c r="S45" t="str">
        <v>Actual/360</v>
      </c>
      <c r="T45">
        <v>0.25277777777777777</v>
      </c>
      <c r="U45">
        <v>8.430794567086782E-4</v>
      </c>
      <c r="X45" s="5" t="s">
        <v>260</v>
      </c>
    </row>
    <row r="46" spans="2:25" x14ac:dyDescent="0.2">
      <c r="B46" s="4" t="s">
        <v>32</v>
      </c>
      <c r="C46" s="103" t="s">
        <v>39</v>
      </c>
      <c r="E46" s="4" t="s">
        <v>32</v>
      </c>
      <c r="F46" s="103" t="s">
        <v>39</v>
      </c>
      <c r="J46">
        <v>43724</v>
      </c>
      <c r="K46">
        <v>2.1311175155713791E-2</v>
      </c>
      <c r="L46">
        <v>100</v>
      </c>
      <c r="M46">
        <v>43633</v>
      </c>
      <c r="N46">
        <v>43724</v>
      </c>
      <c r="O46">
        <v>91</v>
      </c>
      <c r="P46" t="str">
        <v>Euribor6M Actual/360</v>
      </c>
      <c r="Q46">
        <v>2</v>
      </c>
      <c r="R46">
        <v>43629</v>
      </c>
      <c r="S46" t="str">
        <v>Actual/360</v>
      </c>
      <c r="T46">
        <v>0.25277777777777777</v>
      </c>
      <c r="U46">
        <v>8.4307945670955662E-4</v>
      </c>
    </row>
    <row r="47" spans="2:25" x14ac:dyDescent="0.2">
      <c r="B47" s="4" t="s">
        <v>33</v>
      </c>
      <c r="C47" s="103" t="s">
        <v>27</v>
      </c>
      <c r="E47" s="4" t="s">
        <v>33</v>
      </c>
      <c r="F47" s="103" t="s">
        <v>27</v>
      </c>
      <c r="J47">
        <v>43815</v>
      </c>
      <c r="K47">
        <v>2.1311175155691586E-2</v>
      </c>
      <c r="L47">
        <v>100</v>
      </c>
      <c r="M47">
        <v>43724</v>
      </c>
      <c r="N47">
        <v>43815</v>
      </c>
      <c r="O47">
        <v>91</v>
      </c>
      <c r="P47" t="str">
        <v>Euribor6M Actual/360</v>
      </c>
      <c r="Q47">
        <v>2</v>
      </c>
      <c r="R47">
        <v>43720</v>
      </c>
      <c r="S47" t="str">
        <v>Actual/360</v>
      </c>
      <c r="T47">
        <v>0.25277777777777777</v>
      </c>
      <c r="U47">
        <v>8.430794567086782E-4</v>
      </c>
    </row>
    <row r="48" spans="2:25" x14ac:dyDescent="0.2">
      <c r="B48" s="4" t="s">
        <v>34</v>
      </c>
      <c r="C48" s="103"/>
      <c r="E48" s="4" t="s">
        <v>34</v>
      </c>
      <c r="F48" s="103"/>
      <c r="J48">
        <v>43906</v>
      </c>
      <c r="K48">
        <v>5.314929726472073E-2</v>
      </c>
      <c r="L48">
        <v>100</v>
      </c>
      <c r="M48">
        <v>43815</v>
      </c>
      <c r="N48">
        <v>43906</v>
      </c>
      <c r="O48">
        <v>91</v>
      </c>
      <c r="P48" t="str">
        <v>Euribor6M Actual/360</v>
      </c>
      <c r="Q48">
        <v>2</v>
      </c>
      <c r="R48">
        <v>43811</v>
      </c>
      <c r="S48" t="str">
        <v>Actual/360</v>
      </c>
      <c r="T48">
        <v>0.25277777777777777</v>
      </c>
      <c r="U48">
        <v>2.10260956212082E-3</v>
      </c>
    </row>
    <row r="49" spans="1:43" x14ac:dyDescent="0.2">
      <c r="B49" s="4" t="s">
        <v>35</v>
      </c>
      <c r="C49" s="124"/>
      <c r="E49" s="4" t="s">
        <v>35</v>
      </c>
      <c r="F49" s="124"/>
      <c r="J49">
        <v>43906</v>
      </c>
      <c r="K49">
        <v>100</v>
      </c>
      <c r="L49" t="str">
        <v>#N/A</v>
      </c>
      <c r="M49" t="str">
        <v>#N/A</v>
      </c>
      <c r="N49" t="str">
        <v>#N/A</v>
      </c>
      <c r="O49" t="str">
        <v>#N/A</v>
      </c>
      <c r="P49" t="str">
        <v>#N/A</v>
      </c>
      <c r="Q49" t="str">
        <v>#N/A</v>
      </c>
      <c r="R49" t="str">
        <v>#N/A</v>
      </c>
      <c r="S49" t="str">
        <v>#N/A</v>
      </c>
      <c r="T49" t="str">
        <v>#N/A</v>
      </c>
      <c r="U49" t="str">
        <v>#N/A</v>
      </c>
    </row>
    <row r="50" spans="1:43" x14ac:dyDescent="0.2">
      <c r="B50" s="4" t="s">
        <v>36</v>
      </c>
      <c r="C50" s="124"/>
      <c r="E50" s="4" t="s">
        <v>36</v>
      </c>
      <c r="F50" s="124"/>
      <c r="J50" t="e">
        <v>#N/A</v>
      </c>
      <c r="K50" t="e">
        <v>#N/A</v>
      </c>
      <c r="L50" t="e">
        <v>#N/A</v>
      </c>
      <c r="M50" t="e">
        <v>#N/A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</row>
    <row r="51" spans="1:43" x14ac:dyDescent="0.2">
      <c r="B51" s="4" t="s">
        <v>5</v>
      </c>
      <c r="C51" s="103"/>
      <c r="E51" s="4" t="s">
        <v>5</v>
      </c>
      <c r="F51" s="103"/>
      <c r="J51" t="e">
        <v>#N/A</v>
      </c>
      <c r="K51" t="e">
        <v>#N/A</v>
      </c>
      <c r="L51" t="e">
        <v>#N/A</v>
      </c>
      <c r="M51" t="e">
        <v>#N/A</v>
      </c>
      <c r="N51" t="e">
        <v>#N/A</v>
      </c>
      <c r="O51" t="e">
        <v>#N/A</v>
      </c>
      <c r="P51" t="e">
        <v>#N/A</v>
      </c>
      <c r="Q51" t="e">
        <v>#N/A</v>
      </c>
      <c r="R51" t="e">
        <v>#N/A</v>
      </c>
      <c r="S51" t="e">
        <v>#N/A</v>
      </c>
      <c r="T51" t="e">
        <v>#N/A</v>
      </c>
      <c r="U51" t="e">
        <v>#N/A</v>
      </c>
    </row>
    <row r="52" spans="1:43" ht="12" thickBot="1" x14ac:dyDescent="0.25">
      <c r="B52" s="5" t="s">
        <v>6</v>
      </c>
      <c r="C52" s="182"/>
      <c r="E52" s="5" t="s">
        <v>6</v>
      </c>
      <c r="F52" s="182"/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</row>
    <row r="53" spans="1:43" x14ac:dyDescent="0.2">
      <c r="J53" t="e">
        <v>#N/A</v>
      </c>
      <c r="K53" t="e">
        <v>#N/A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</row>
    <row r="54" spans="1:43" x14ac:dyDescent="0.2">
      <c r="J54" t="e">
        <v>#N/A</v>
      </c>
      <c r="K54" t="e">
        <v>#N/A</v>
      </c>
      <c r="L54" t="e">
        <v>#N/A</v>
      </c>
      <c r="M54" t="e">
        <v>#N/A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</row>
    <row r="55" spans="1:43" x14ac:dyDescent="0.2">
      <c r="J55" t="e">
        <v>#N/A</v>
      </c>
      <c r="K55" t="e">
        <v>#N/A</v>
      </c>
      <c r="L55" t="e">
        <v>#N/A</v>
      </c>
      <c r="M55" t="e">
        <v>#N/A</v>
      </c>
      <c r="N55" t="e">
        <v>#N/A</v>
      </c>
      <c r="O55" t="e">
        <v>#N/A</v>
      </c>
      <c r="P55" t="e">
        <v>#N/A</v>
      </c>
      <c r="Q55" t="e">
        <v>#N/A</v>
      </c>
      <c r="R55" t="e">
        <v>#N/A</v>
      </c>
      <c r="S55" t="e">
        <v>#N/A</v>
      </c>
      <c r="T55" t="e">
        <v>#N/A</v>
      </c>
      <c r="U55" t="e">
        <v>#N/A</v>
      </c>
    </row>
    <row r="56" spans="1:43" x14ac:dyDescent="0.2">
      <c r="C56" t="str">
        <f>_xll.qlDiscountCurve(,_xll.ohPack(A61:A101),_xll.ohPack(C61:C101))</f>
        <v>obj_00278#0004</v>
      </c>
      <c r="J56" t="e">
        <v>#N/A</v>
      </c>
      <c r="K56" t="e">
        <v>#N/A</v>
      </c>
      <c r="L56" t="e">
        <v>#N/A</v>
      </c>
      <c r="M56" t="e">
        <v>#N/A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</row>
    <row r="57" spans="1:43" x14ac:dyDescent="0.2">
      <c r="C57" s="105" t="s">
        <v>264</v>
      </c>
      <c r="J57" t="e">
        <v>#N/A</v>
      </c>
      <c r="K57" t="e">
        <v>#N/A</v>
      </c>
      <c r="L57" t="e">
        <v>#N/A</v>
      </c>
      <c r="M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</row>
    <row r="58" spans="1:43" x14ac:dyDescent="0.2">
      <c r="C58">
        <v>-4.5</v>
      </c>
      <c r="J58" t="e">
        <v>#N/A</v>
      </c>
      <c r="K58" t="e">
        <v>#N/A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</row>
    <row r="59" spans="1:43" ht="12" thickBot="1" x14ac:dyDescent="0.25"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</row>
    <row r="60" spans="1:43" x14ac:dyDescent="0.2">
      <c r="A60" s="80" t="s">
        <v>111</v>
      </c>
      <c r="B60" s="81" t="s">
        <v>112</v>
      </c>
      <c r="C60" s="81" t="s">
        <v>112</v>
      </c>
      <c r="J60" t="e">
        <v>#N/A</v>
      </c>
      <c r="K60" t="e">
        <v>#N/A</v>
      </c>
      <c r="L60" t="e">
        <v>#N/A</v>
      </c>
      <c r="M60" t="e">
        <v>#N/A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</row>
    <row r="61" spans="1:43" x14ac:dyDescent="0.2">
      <c r="A61" s="84">
        <f t="array" ref="A61:A101">_xll.qlPiecewiseYieldCurveDates(C57)</f>
        <v>42759</v>
      </c>
      <c r="B61" s="85">
        <f t="array" ref="B61:B101">_xll.qlPiecewiseYieldCurveData(C57)</f>
        <v>1</v>
      </c>
      <c r="C61" s="85">
        <f>B61*EXP(-C$58/10000*(A61-A$61)/365)</f>
        <v>1</v>
      </c>
      <c r="D61" s="187"/>
      <c r="S61" s="105" t="s">
        <v>1496</v>
      </c>
      <c r="W61" s="105" t="s">
        <v>1497</v>
      </c>
    </row>
    <row r="62" spans="1:43" x14ac:dyDescent="0.2">
      <c r="A62" s="84">
        <v>42821</v>
      </c>
      <c r="B62" s="85">
        <v>1.0006065840147114</v>
      </c>
      <c r="C62" s="85">
        <f t="shared" ref="C62:C101" si="0">B62*EXP(-C$58/10000*(A62-A$61)/365)</f>
        <v>1.0006830716604185</v>
      </c>
      <c r="D62" s="187"/>
      <c r="S62" s="106" t="e">
        <f>SUMPRODUCT(V65:V78,S65:S78)/Z65*100</f>
        <v>#NUM!</v>
      </c>
      <c r="W62" s="106" t="e">
        <f>SUMPRODUCT(V65:V78,W65:W78)/Z65*100</f>
        <v>#NUM!</v>
      </c>
      <c r="X62" s="102">
        <f>_xll.qlSettingsEvaluationDate()</f>
        <v>42759</v>
      </c>
    </row>
    <row r="63" spans="1:43" x14ac:dyDescent="0.2">
      <c r="A63" s="84">
        <v>42851</v>
      </c>
      <c r="B63" s="85">
        <v>1.0009028582578325</v>
      </c>
      <c r="C63" s="85">
        <f t="shared" si="0"/>
        <v>1.0010163917603832</v>
      </c>
      <c r="D63" s="187"/>
    </row>
    <row r="64" spans="1:43" x14ac:dyDescent="0.2">
      <c r="A64" s="84">
        <v>42881</v>
      </c>
      <c r="B64" s="85">
        <v>1.0011976373720641</v>
      </c>
      <c r="C64" s="85">
        <f t="shared" si="0"/>
        <v>1.0013482397945972</v>
      </c>
      <c r="D64" s="187"/>
      <c r="X64" t="str">
        <f t="array" ref="X64:AQ78">_xll.qlLegFlowAnalysis(Y31)</f>
        <v>Payment Date</v>
      </c>
      <c r="Y64" t="str">
        <v>Amount</v>
      </c>
      <c r="Z64" t="str">
        <v>Nominal</v>
      </c>
      <c r="AA64" t="str">
        <v>Accrual Start Date</v>
      </c>
      <c r="AB64" t="str">
        <v>Accrual End Date</v>
      </c>
      <c r="AC64" t="str">
        <v>Accrual Days</v>
      </c>
      <c r="AD64" t="str">
        <v>Index</v>
      </c>
      <c r="AE64" t="str">
        <v>Fixing Days</v>
      </c>
      <c r="AF64" t="str">
        <v>Fixing Dates</v>
      </c>
      <c r="AG64" t="str">
        <v>Day Counter</v>
      </c>
      <c r="AH64" t="str">
        <v>Accrual Period</v>
      </c>
      <c r="AI64" t="str">
        <v>Effective Rate</v>
      </c>
      <c r="AJ64" t="str">
        <v>Floor</v>
      </c>
      <c r="AK64" t="str">
        <v>Gearing</v>
      </c>
      <c r="AL64" t="str">
        <v>Index Fixing</v>
      </c>
      <c r="AM64" t="str">
        <v>Conv. Adj.</v>
      </c>
      <c r="AN64" t="str">
        <v>Spread</v>
      </c>
      <c r="AO64" t="str">
        <v>Cap</v>
      </c>
      <c r="AP64" t="str">
        <v>Call Digital Payoff</v>
      </c>
      <c r="AQ64" t="str">
        <v>Put Digital Payoff</v>
      </c>
    </row>
    <row r="65" spans="1:43" x14ac:dyDescent="0.2">
      <c r="A65" s="84">
        <v>42912</v>
      </c>
      <c r="B65" s="85">
        <v>1.0015066319160433</v>
      </c>
      <c r="C65" s="85">
        <f t="shared" si="0"/>
        <v>1.0016955640678029</v>
      </c>
      <c r="D65" s="187"/>
      <c r="S65" s="108">
        <f>W65+T65</f>
        <v>0</v>
      </c>
      <c r="U65" s="13" t="e">
        <v>#VALUE!</v>
      </c>
      <c r="V65" t="e">
        <f t="array" ref="V65:V78">_xll.qlYieldTSDiscount(C56,X65:X78)</f>
        <v>#NUM!</v>
      </c>
      <c r="W65" s="108">
        <f>MAX(Y65,0)+Z65-Z66</f>
        <v>0</v>
      </c>
      <c r="X65" s="102">
        <v>42709</v>
      </c>
      <c r="Y65" s="108">
        <v>-313.4444444444444</v>
      </c>
      <c r="Z65">
        <v>1000000</v>
      </c>
      <c r="AA65" s="102">
        <v>42618</v>
      </c>
      <c r="AB65" s="102">
        <v>42709</v>
      </c>
      <c r="AC65">
        <v>91</v>
      </c>
      <c r="AD65" t="str">
        <v>Euribor3M Actual/360</v>
      </c>
      <c r="AE65">
        <v>2</v>
      </c>
      <c r="AF65" s="102">
        <v>42614</v>
      </c>
      <c r="AG65" t="str">
        <v>Actual/360</v>
      </c>
      <c r="AH65">
        <v>0.25277777777777777</v>
      </c>
      <c r="AI65">
        <v>-1.24E-3</v>
      </c>
      <c r="AJ65" t="str">
        <v>#N/A</v>
      </c>
      <c r="AK65">
        <v>1</v>
      </c>
      <c r="AL65" s="13">
        <v>-2.99E-3</v>
      </c>
      <c r="AM65">
        <v>0</v>
      </c>
      <c r="AN65" s="13">
        <v>1.75E-3</v>
      </c>
      <c r="AO65" t="str">
        <v>#N/A</v>
      </c>
      <c r="AP65" t="str">
        <v>#N/A</v>
      </c>
      <c r="AQ65" t="str">
        <v>#N/A</v>
      </c>
    </row>
    <row r="66" spans="1:43" x14ac:dyDescent="0.2">
      <c r="A66" s="84">
        <v>42942</v>
      </c>
      <c r="B66" s="85">
        <v>1.0018026031519369</v>
      </c>
      <c r="C66" s="85">
        <f t="shared" si="0"/>
        <v>1.002028651786381</v>
      </c>
      <c r="D66" s="187"/>
      <c r="S66" s="108" t="e">
        <f t="shared" ref="S66:S78" si="1">W66+T66</f>
        <v>#VALUE!</v>
      </c>
      <c r="T66" t="e">
        <f>NFloor(AL66,-Y42,U66,(AF66-X$62)/365)*Z66*AC66/360</f>
        <v>#VALUE!</v>
      </c>
      <c r="U66" s="13" t="e">
        <v>#VALUE!</v>
      </c>
      <c r="V66">
        <v>1.0004186014920635</v>
      </c>
      <c r="W66" s="108">
        <f t="shared" ref="W66:W78" si="2">MAX(Y66,0)+Z66-Z67</f>
        <v>0</v>
      </c>
      <c r="X66" s="102">
        <v>42797</v>
      </c>
      <c r="Y66" s="108" t="str">
        <v>#N/A</v>
      </c>
      <c r="Z66">
        <v>1000000</v>
      </c>
      <c r="AA66" s="102">
        <v>42709</v>
      </c>
      <c r="AB66" s="102">
        <v>42797</v>
      </c>
      <c r="AC66">
        <v>88</v>
      </c>
      <c r="AD66" t="str">
        <v>Euribor3M Actual/360</v>
      </c>
      <c r="AE66">
        <v>2</v>
      </c>
      <c r="AF66" s="102">
        <v>42705</v>
      </c>
      <c r="AG66" t="str">
        <v>Actual/360</v>
      </c>
      <c r="AH66">
        <v>0.24444444444444444</v>
      </c>
      <c r="AI66" t="str">
        <v>#N/A</v>
      </c>
      <c r="AJ66" t="str">
        <v>#N/A</v>
      </c>
      <c r="AK66">
        <v>1</v>
      </c>
      <c r="AL66" s="13" t="str">
        <v>#N/A</v>
      </c>
      <c r="AM66" t="str">
        <v>#N/A</v>
      </c>
      <c r="AN66" s="13">
        <v>1.75E-3</v>
      </c>
      <c r="AO66" t="str">
        <v>#N/A</v>
      </c>
      <c r="AP66" t="str">
        <v>#N/A</v>
      </c>
      <c r="AQ66" t="str">
        <v>#N/A</v>
      </c>
    </row>
    <row r="67" spans="1:43" x14ac:dyDescent="0.2">
      <c r="A67" s="84">
        <v>43004</v>
      </c>
      <c r="B67" s="85">
        <v>1.0024080492648058</v>
      </c>
      <c r="C67" s="85">
        <f t="shared" si="0"/>
        <v>1.0027108771551581</v>
      </c>
      <c r="D67" s="187"/>
      <c r="S67" s="108" t="e">
        <f t="shared" si="1"/>
        <v>#VALUE!</v>
      </c>
      <c r="T67" t="e">
        <f t="shared" ref="T67:T78" si="3">NFloor(AL67,-Y43,U67,(AF67-X$62)/365)*Z67*AC67/360</f>
        <v>#VALUE!</v>
      </c>
      <c r="U67" s="13" t="e">
        <v>#VALUE!</v>
      </c>
      <c r="V67">
        <v>1.0014602667223966</v>
      </c>
      <c r="W67" s="108">
        <f t="shared" si="2"/>
        <v>0</v>
      </c>
      <c r="X67" s="102">
        <v>42891</v>
      </c>
      <c r="Y67" s="108">
        <v>-402.54211686374259</v>
      </c>
      <c r="Z67">
        <v>1000000</v>
      </c>
      <c r="AA67" s="102">
        <v>42797</v>
      </c>
      <c r="AB67" s="102">
        <v>42891</v>
      </c>
      <c r="AC67">
        <v>94</v>
      </c>
      <c r="AD67" t="str">
        <v>Euribor3M Actual/360</v>
      </c>
      <c r="AE67">
        <v>2</v>
      </c>
      <c r="AF67" s="102">
        <v>42795</v>
      </c>
      <c r="AG67" t="str">
        <v>Actual/360</v>
      </c>
      <c r="AH67">
        <v>0.26111111111111113</v>
      </c>
      <c r="AI67">
        <v>-1.5416506603292267E-3</v>
      </c>
      <c r="AJ67" t="str">
        <v>#N/A</v>
      </c>
      <c r="AK67">
        <v>1</v>
      </c>
      <c r="AL67" s="13">
        <v>-3.2916506603292268E-3</v>
      </c>
      <c r="AM67">
        <v>0</v>
      </c>
      <c r="AN67" s="13">
        <v>1.75E-3</v>
      </c>
      <c r="AO67" t="str">
        <v>#N/A</v>
      </c>
      <c r="AP67" t="str">
        <v>#N/A</v>
      </c>
      <c r="AQ67" t="str">
        <v>#N/A</v>
      </c>
    </row>
    <row r="68" spans="1:43" x14ac:dyDescent="0.2">
      <c r="A68" s="84">
        <v>43034</v>
      </c>
      <c r="B68" s="85">
        <v>1.0026960915860679</v>
      </c>
      <c r="C68" s="85">
        <f t="shared" si="0"/>
        <v>1.0030361044037064</v>
      </c>
      <c r="D68" s="187"/>
      <c r="S68" s="108" t="e">
        <f t="shared" si="1"/>
        <v>#VALUE!</v>
      </c>
      <c r="T68" t="e">
        <f t="shared" si="3"/>
        <v>#VALUE!</v>
      </c>
      <c r="U68" s="13" t="e">
        <v>#VALUE!</v>
      </c>
      <c r="V68">
        <v>1.0024687440345987</v>
      </c>
      <c r="W68" s="108">
        <f t="shared" si="2"/>
        <v>0</v>
      </c>
      <c r="X68" s="102">
        <v>42982</v>
      </c>
      <c r="Y68" s="108">
        <v>-360.13339264546778</v>
      </c>
      <c r="Z68">
        <v>1000000</v>
      </c>
      <c r="AA68" s="102">
        <v>42891</v>
      </c>
      <c r="AB68" s="102">
        <v>42982</v>
      </c>
      <c r="AC68">
        <v>91</v>
      </c>
      <c r="AD68" t="str">
        <v>Euribor3M Actual/360</v>
      </c>
      <c r="AE68">
        <v>2</v>
      </c>
      <c r="AF68" s="102">
        <v>42887</v>
      </c>
      <c r="AG68" t="str">
        <v>Actual/360</v>
      </c>
      <c r="AH68">
        <v>0.25277777777777777</v>
      </c>
      <c r="AI68">
        <v>-1.4247035313447079E-3</v>
      </c>
      <c r="AJ68" t="str">
        <v>#N/A</v>
      </c>
      <c r="AK68">
        <v>1</v>
      </c>
      <c r="AL68" s="13">
        <v>-3.1747035313447079E-3</v>
      </c>
      <c r="AM68">
        <v>0</v>
      </c>
      <c r="AN68" s="13">
        <v>1.75E-3</v>
      </c>
      <c r="AO68" t="str">
        <v>#N/A</v>
      </c>
      <c r="AP68" t="str">
        <v>#N/A</v>
      </c>
      <c r="AQ68" t="str">
        <v>#N/A</v>
      </c>
    </row>
    <row r="69" spans="1:43" x14ac:dyDescent="0.2">
      <c r="A69" s="84">
        <v>43066</v>
      </c>
      <c r="B69" s="85">
        <v>1.0030022393948623</v>
      </c>
      <c r="C69" s="85">
        <f t="shared" si="0"/>
        <v>1.0033819407252385</v>
      </c>
      <c r="D69" s="187"/>
      <c r="S69" s="108" t="e">
        <f t="shared" si="1"/>
        <v>#VALUE!</v>
      </c>
      <c r="T69" t="e">
        <f t="shared" si="3"/>
        <v>#VALUE!</v>
      </c>
      <c r="U69" s="13" t="e">
        <v>#VALUE!</v>
      </c>
      <c r="V69">
        <v>1.0034549263332033</v>
      </c>
      <c r="W69" s="108">
        <f t="shared" si="2"/>
        <v>0</v>
      </c>
      <c r="X69" s="102">
        <v>43073</v>
      </c>
      <c r="Y69" s="108">
        <v>-284.66731495431247</v>
      </c>
      <c r="Z69">
        <v>1000000</v>
      </c>
      <c r="AA69" s="102">
        <v>42982</v>
      </c>
      <c r="AB69" s="102">
        <v>43073</v>
      </c>
      <c r="AC69">
        <v>91</v>
      </c>
      <c r="AD69" t="str">
        <v>Euribor3M Actual/360</v>
      </c>
      <c r="AE69">
        <v>2</v>
      </c>
      <c r="AF69" s="102">
        <v>42978</v>
      </c>
      <c r="AG69" t="str">
        <v>Actual/360</v>
      </c>
      <c r="AH69">
        <v>0.25277777777777777</v>
      </c>
      <c r="AI69">
        <v>-1.1261564108082692E-3</v>
      </c>
      <c r="AJ69" t="str">
        <v>#N/A</v>
      </c>
      <c r="AK69">
        <v>1</v>
      </c>
      <c r="AL69" s="13">
        <v>-2.8761564108082693E-3</v>
      </c>
      <c r="AM69">
        <v>0</v>
      </c>
      <c r="AN69" s="13">
        <v>1.75E-3</v>
      </c>
      <c r="AO69" t="str">
        <v>#N/A</v>
      </c>
      <c r="AP69" t="str">
        <v>#N/A</v>
      </c>
      <c r="AQ69" t="str">
        <v>#N/A</v>
      </c>
    </row>
    <row r="70" spans="1:43" x14ac:dyDescent="0.2">
      <c r="A70" s="84">
        <v>43096</v>
      </c>
      <c r="B70" s="85">
        <v>1.0032778456332592</v>
      </c>
      <c r="C70" s="85">
        <f t="shared" si="0"/>
        <v>1.0036947735693191</v>
      </c>
      <c r="D70" s="187"/>
      <c r="S70" s="108" t="e">
        <f t="shared" si="1"/>
        <v>#VALUE!</v>
      </c>
      <c r="T70" t="e">
        <f t="shared" si="3"/>
        <v>#VALUE!</v>
      </c>
      <c r="U70" s="13" t="e">
        <v>#VALUE!</v>
      </c>
      <c r="V70">
        <v>1.0044391450725776</v>
      </c>
      <c r="W70" s="108">
        <f t="shared" si="2"/>
        <v>0</v>
      </c>
      <c r="X70" s="102">
        <v>43164</v>
      </c>
      <c r="Y70" s="108">
        <v>-240.50118715985863</v>
      </c>
      <c r="Z70">
        <v>1000000</v>
      </c>
      <c r="AA70" s="102">
        <v>43073</v>
      </c>
      <c r="AB70" s="102">
        <v>43164</v>
      </c>
      <c r="AC70">
        <v>91</v>
      </c>
      <c r="AD70" t="str">
        <v>Euribor3M Actual/360</v>
      </c>
      <c r="AE70">
        <v>2</v>
      </c>
      <c r="AF70" s="102">
        <v>43069</v>
      </c>
      <c r="AG70" t="str">
        <v>Actual/360</v>
      </c>
      <c r="AH70">
        <v>0.25277777777777777</v>
      </c>
      <c r="AI70">
        <v>-9.5143326788515504E-4</v>
      </c>
      <c r="AJ70" t="str">
        <v>#N/A</v>
      </c>
      <c r="AK70">
        <v>1</v>
      </c>
      <c r="AL70" s="13">
        <v>-2.7014332678851551E-3</v>
      </c>
      <c r="AM70">
        <v>0</v>
      </c>
      <c r="AN70" s="13">
        <v>1.75E-3</v>
      </c>
      <c r="AO70" t="str">
        <v>#N/A</v>
      </c>
      <c r="AP70" t="str">
        <v>#N/A</v>
      </c>
      <c r="AQ70" t="str">
        <v>#N/A</v>
      </c>
    </row>
    <row r="71" spans="1:43" x14ac:dyDescent="0.2">
      <c r="A71" s="84">
        <v>43185</v>
      </c>
      <c r="B71" s="85">
        <v>1.0041416168610784</v>
      </c>
      <c r="C71" s="85">
        <f t="shared" si="0"/>
        <v>1.0046691360562596</v>
      </c>
      <c r="D71" s="187"/>
      <c r="S71" s="108" t="e">
        <f t="shared" si="1"/>
        <v>#VALUE!</v>
      </c>
      <c r="T71" t="e">
        <f t="shared" si="3"/>
        <v>#VALUE!</v>
      </c>
      <c r="U71" s="13" t="e">
        <v>#VALUE!</v>
      </c>
      <c r="V71">
        <v>1.00529283201072</v>
      </c>
      <c r="W71" s="108">
        <f t="shared" si="2"/>
        <v>0</v>
      </c>
      <c r="X71" s="102">
        <v>43255</v>
      </c>
      <c r="Y71" s="108">
        <v>-139.06567136130511</v>
      </c>
      <c r="Z71">
        <v>1000000</v>
      </c>
      <c r="AA71" s="102">
        <v>43164</v>
      </c>
      <c r="AB71" s="102">
        <v>43255</v>
      </c>
      <c r="AC71">
        <v>91</v>
      </c>
      <c r="AD71" t="str">
        <v>Euribor3M Actual/360</v>
      </c>
      <c r="AE71">
        <v>2</v>
      </c>
      <c r="AF71" s="102">
        <v>43160</v>
      </c>
      <c r="AG71" t="str">
        <v>Actual/360</v>
      </c>
      <c r="AH71">
        <v>0.25277777777777777</v>
      </c>
      <c r="AI71">
        <v>-5.5014990868208617E-4</v>
      </c>
      <c r="AJ71" t="str">
        <v>#N/A</v>
      </c>
      <c r="AK71">
        <v>1</v>
      </c>
      <c r="AL71" s="13">
        <v>-2.3001499086820862E-3</v>
      </c>
      <c r="AM71">
        <v>0</v>
      </c>
      <c r="AN71" s="13">
        <v>1.75E-3</v>
      </c>
      <c r="AO71" t="str">
        <v>#N/A</v>
      </c>
      <c r="AP71" t="str">
        <v>#N/A</v>
      </c>
      <c r="AQ71" t="str">
        <v>#N/A</v>
      </c>
    </row>
    <row r="72" spans="1:43" x14ac:dyDescent="0.2">
      <c r="A72" s="84">
        <v>43216</v>
      </c>
      <c r="B72" s="85">
        <v>1.0043579446021385</v>
      </c>
      <c r="C72" s="85">
        <f t="shared" si="0"/>
        <v>1.0049239840784427</v>
      </c>
      <c r="D72" s="187"/>
      <c r="S72" s="108" t="e">
        <f t="shared" si="1"/>
        <v>#VALUE!</v>
      </c>
      <c r="T72" t="e">
        <f t="shared" si="3"/>
        <v>#VALUE!</v>
      </c>
      <c r="U72" s="13" t="e">
        <v>#VALUE!</v>
      </c>
      <c r="V72">
        <v>1.0061298889739783</v>
      </c>
      <c r="W72" s="108">
        <f t="shared" si="2"/>
        <v>0</v>
      </c>
      <c r="X72" s="102">
        <v>43346</v>
      </c>
      <c r="Y72" s="108">
        <v>-54.853773028895965</v>
      </c>
      <c r="Z72">
        <v>1000000</v>
      </c>
      <c r="AA72" s="102">
        <v>43255</v>
      </c>
      <c r="AB72" s="102">
        <v>43346</v>
      </c>
      <c r="AC72">
        <v>91</v>
      </c>
      <c r="AD72" t="str">
        <v>Euribor3M Actual/360</v>
      </c>
      <c r="AE72">
        <v>2</v>
      </c>
      <c r="AF72" s="102">
        <v>43251</v>
      </c>
      <c r="AG72" t="str">
        <v>Actual/360</v>
      </c>
      <c r="AH72">
        <v>0.25277777777777777</v>
      </c>
      <c r="AI72">
        <v>-2.1700393725717086E-4</v>
      </c>
      <c r="AJ72" t="str">
        <v>#N/A</v>
      </c>
      <c r="AK72">
        <v>1</v>
      </c>
      <c r="AL72" s="13">
        <v>-1.9670039372571709E-3</v>
      </c>
      <c r="AM72">
        <v>0</v>
      </c>
      <c r="AN72" s="13">
        <v>1.75E-3</v>
      </c>
      <c r="AO72" t="str">
        <v>#N/A</v>
      </c>
      <c r="AP72" t="str">
        <v>#N/A</v>
      </c>
      <c r="AQ72" t="str">
        <v>#N/A</v>
      </c>
    </row>
    <row r="73" spans="1:43" x14ac:dyDescent="0.2">
      <c r="A73" s="84">
        <v>43307</v>
      </c>
      <c r="B73" s="85">
        <v>1.0051055445829518</v>
      </c>
      <c r="C73" s="85">
        <f t="shared" si="0"/>
        <v>1.0057848398568425</v>
      </c>
      <c r="D73" s="187"/>
      <c r="S73" s="108" t="e">
        <f t="shared" si="1"/>
        <v>#VALUE!</v>
      </c>
      <c r="T73" t="e">
        <f t="shared" si="3"/>
        <v>#VALUE!</v>
      </c>
      <c r="U73" s="13" t="e">
        <v>#VALUE!</v>
      </c>
      <c r="V73">
        <v>1.0069014568943861</v>
      </c>
      <c r="W73" s="108">
        <f t="shared" si="2"/>
        <v>0</v>
      </c>
      <c r="X73" s="102">
        <v>43437</v>
      </c>
      <c r="Y73" s="108">
        <v>-54.853773028673864</v>
      </c>
      <c r="Z73">
        <v>1000000</v>
      </c>
      <c r="AA73" s="102">
        <v>43346</v>
      </c>
      <c r="AB73" s="102">
        <v>43437</v>
      </c>
      <c r="AC73">
        <v>91</v>
      </c>
      <c r="AD73" t="str">
        <v>Euribor3M Actual/360</v>
      </c>
      <c r="AE73">
        <v>2</v>
      </c>
      <c r="AF73" s="102">
        <v>43342</v>
      </c>
      <c r="AG73" t="str">
        <v>Actual/360</v>
      </c>
      <c r="AH73">
        <v>0.25277777777777777</v>
      </c>
      <c r="AI73">
        <v>-2.1700393725629223E-4</v>
      </c>
      <c r="AJ73" t="str">
        <v>#N/A</v>
      </c>
      <c r="AK73">
        <v>1</v>
      </c>
      <c r="AL73" s="13">
        <v>-1.9670039372562923E-3</v>
      </c>
      <c r="AM73">
        <v>0</v>
      </c>
      <c r="AN73" s="13">
        <v>1.75E-3</v>
      </c>
      <c r="AO73" t="str">
        <v>#N/A</v>
      </c>
      <c r="AP73" t="str">
        <v>#N/A</v>
      </c>
      <c r="AQ73" t="str">
        <v>#N/A</v>
      </c>
    </row>
    <row r="74" spans="1:43" x14ac:dyDescent="0.2">
      <c r="A74" s="84">
        <v>43399</v>
      </c>
      <c r="B74" s="85">
        <v>1.0058050569188386</v>
      </c>
      <c r="C74" s="85">
        <f t="shared" si="0"/>
        <v>1.0065989916255664</v>
      </c>
      <c r="D74" s="187"/>
      <c r="S74" s="108" t="e">
        <f t="shared" si="1"/>
        <v>#VALUE!</v>
      </c>
      <c r="T74" t="e">
        <f t="shared" si="3"/>
        <v>#VALUE!</v>
      </c>
      <c r="U74" s="13" t="e">
        <v>#VALUE!</v>
      </c>
      <c r="V74">
        <v>1.0075218488439834</v>
      </c>
      <c r="W74" s="108">
        <f t="shared" si="2"/>
        <v>94.063862204551697</v>
      </c>
      <c r="X74" s="102">
        <v>43528</v>
      </c>
      <c r="Y74" s="108">
        <v>94.06386220460719</v>
      </c>
      <c r="Z74">
        <v>1000000</v>
      </c>
      <c r="AA74" s="102">
        <v>43437</v>
      </c>
      <c r="AB74" s="102">
        <v>43528</v>
      </c>
      <c r="AC74">
        <v>91</v>
      </c>
      <c r="AD74" t="str">
        <v>Euribor3M Actual/360</v>
      </c>
      <c r="AE74">
        <v>2</v>
      </c>
      <c r="AF74" s="102">
        <v>43433</v>
      </c>
      <c r="AG74" t="str">
        <v>Actual/360</v>
      </c>
      <c r="AH74">
        <v>0.25277777777777777</v>
      </c>
      <c r="AI74">
        <v>3.7212077355668776E-4</v>
      </c>
      <c r="AJ74" t="str">
        <v>#N/A</v>
      </c>
      <c r="AK74">
        <v>1</v>
      </c>
      <c r="AL74" s="13">
        <v>-1.3778792264433123E-3</v>
      </c>
      <c r="AM74">
        <v>0</v>
      </c>
      <c r="AN74" s="13">
        <v>1.75E-3</v>
      </c>
      <c r="AO74" t="str">
        <v>#N/A</v>
      </c>
      <c r="AP74" t="str">
        <v>#N/A</v>
      </c>
      <c r="AQ74" t="str">
        <v>#N/A</v>
      </c>
    </row>
    <row r="75" spans="1:43" x14ac:dyDescent="0.2">
      <c r="A75" s="84">
        <v>43493</v>
      </c>
      <c r="B75" s="85">
        <v>1.0064361928207812</v>
      </c>
      <c r="C75" s="85">
        <f t="shared" si="0"/>
        <v>1.007347360851448</v>
      </c>
      <c r="D75" s="187"/>
      <c r="S75" s="108" t="e">
        <f t="shared" si="1"/>
        <v>#VALUE!</v>
      </c>
      <c r="T75" t="e">
        <f t="shared" si="3"/>
        <v>#VALUE!</v>
      </c>
      <c r="U75" s="13" t="e">
        <v>#VALUE!</v>
      </c>
      <c r="V75">
        <v>1.0079756590859299</v>
      </c>
      <c r="W75" s="108">
        <f t="shared" si="2"/>
        <v>332.37822994100861</v>
      </c>
      <c r="X75" s="102">
        <v>43619</v>
      </c>
      <c r="Y75" s="108">
        <v>332.37822994096581</v>
      </c>
      <c r="Z75">
        <v>1000000</v>
      </c>
      <c r="AA75" s="102">
        <v>43528</v>
      </c>
      <c r="AB75" s="102">
        <v>43619</v>
      </c>
      <c r="AC75">
        <v>91</v>
      </c>
      <c r="AD75" t="str">
        <v>Euribor3M Actual/360</v>
      </c>
      <c r="AE75">
        <v>2</v>
      </c>
      <c r="AF75" s="102">
        <v>43524</v>
      </c>
      <c r="AG75" t="str">
        <v>Actual/360</v>
      </c>
      <c r="AH75">
        <v>0.25277777777777777</v>
      </c>
      <c r="AI75">
        <v>1.3149028876785461E-3</v>
      </c>
      <c r="AJ75" t="str">
        <v>#N/A</v>
      </c>
      <c r="AK75">
        <v>1</v>
      </c>
      <c r="AL75" s="13">
        <v>-4.3509711232145402E-4</v>
      </c>
      <c r="AM75">
        <v>5.4210108624275222E-20</v>
      </c>
      <c r="AN75" s="13">
        <v>1.75E-3</v>
      </c>
      <c r="AO75" t="str">
        <v>#N/A</v>
      </c>
      <c r="AP75" t="str">
        <v>#N/A</v>
      </c>
      <c r="AQ75" t="str">
        <v>#N/A</v>
      </c>
    </row>
    <row r="76" spans="1:43" x14ac:dyDescent="0.2">
      <c r="A76" s="84">
        <v>43857</v>
      </c>
      <c r="B76" s="85">
        <v>1.0077983350017712</v>
      </c>
      <c r="C76" s="85">
        <f t="shared" si="0"/>
        <v>1.0091635140393396</v>
      </c>
      <c r="D76" s="187"/>
      <c r="S76" s="108" t="e">
        <f t="shared" si="1"/>
        <v>#VALUE!</v>
      </c>
      <c r="T76" t="e">
        <f t="shared" si="3"/>
        <v>#VALUE!</v>
      </c>
      <c r="U76" s="13" t="e">
        <v>#VALUE!</v>
      </c>
      <c r="V76">
        <v>1.0084346640418531</v>
      </c>
      <c r="W76" s="108">
        <f t="shared" si="2"/>
        <v>336.0308051580796</v>
      </c>
      <c r="X76" s="102">
        <v>43711</v>
      </c>
      <c r="Y76" s="108">
        <v>336.03080515805078</v>
      </c>
      <c r="Z76">
        <v>1000000</v>
      </c>
      <c r="AA76" s="102">
        <v>43619</v>
      </c>
      <c r="AB76" s="102">
        <v>43711</v>
      </c>
      <c r="AC76">
        <v>92</v>
      </c>
      <c r="AD76" t="str">
        <v>Euribor3M Actual/360</v>
      </c>
      <c r="AE76">
        <v>2</v>
      </c>
      <c r="AF76" s="102">
        <v>43615</v>
      </c>
      <c r="AG76" t="str">
        <v>Actual/360</v>
      </c>
      <c r="AH76">
        <v>0.25555555555555554</v>
      </c>
      <c r="AI76">
        <v>1.3149031506184596E-3</v>
      </c>
      <c r="AJ76" t="str">
        <v>#N/A</v>
      </c>
      <c r="AK76">
        <v>1</v>
      </c>
      <c r="AL76" s="13">
        <v>-4.3509684938154052E-4</v>
      </c>
      <c r="AM76">
        <v>1.0842021724855044E-19</v>
      </c>
      <c r="AN76" s="13">
        <v>1.75E-3</v>
      </c>
      <c r="AO76" t="str">
        <v>#N/A</v>
      </c>
      <c r="AP76" t="str">
        <v>#N/A</v>
      </c>
      <c r="AQ76" t="str">
        <v>#N/A</v>
      </c>
    </row>
    <row r="77" spans="1:43" x14ac:dyDescent="0.2">
      <c r="A77" s="84">
        <v>44222</v>
      </c>
      <c r="B77" s="85">
        <v>1.0071659728686577</v>
      </c>
      <c r="C77" s="85">
        <f t="shared" si="0"/>
        <v>1.0089842360607053</v>
      </c>
      <c r="D77" s="187"/>
      <c r="S77" s="108" t="e">
        <f t="shared" si="1"/>
        <v>#VALUE!</v>
      </c>
      <c r="T77" t="e">
        <f t="shared" si="3"/>
        <v>#VALUE!</v>
      </c>
      <c r="U77" s="13" t="e">
        <v>#VALUE!</v>
      </c>
      <c r="V77">
        <v>1.0088888854360603</v>
      </c>
      <c r="W77" s="108">
        <f t="shared" si="2"/>
        <v>332.37822994100861</v>
      </c>
      <c r="X77" s="102">
        <v>43802</v>
      </c>
      <c r="Y77" s="108">
        <v>332.37822994096581</v>
      </c>
      <c r="Z77">
        <v>1000000</v>
      </c>
      <c r="AA77" s="102">
        <v>43711</v>
      </c>
      <c r="AB77" s="102">
        <v>43802</v>
      </c>
      <c r="AC77">
        <v>91</v>
      </c>
      <c r="AD77" t="str">
        <v>Euribor3M Actual/360</v>
      </c>
      <c r="AE77">
        <v>2</v>
      </c>
      <c r="AF77" s="102">
        <v>43707</v>
      </c>
      <c r="AG77" t="str">
        <v>Actual/360</v>
      </c>
      <c r="AH77">
        <v>0.25277777777777777</v>
      </c>
      <c r="AI77">
        <v>1.3149028876785461E-3</v>
      </c>
      <c r="AJ77" t="str">
        <v>#N/A</v>
      </c>
      <c r="AK77">
        <v>1</v>
      </c>
      <c r="AL77" s="13">
        <v>-4.3509711232145402E-4</v>
      </c>
      <c r="AM77">
        <v>5.4210108624275222E-20</v>
      </c>
      <c r="AN77" s="13">
        <v>1.75E-3</v>
      </c>
      <c r="AO77" t="str">
        <v>#N/A</v>
      </c>
      <c r="AP77" t="str">
        <v>#N/A</v>
      </c>
      <c r="AQ77" t="str">
        <v>#N/A</v>
      </c>
    </row>
    <row r="78" spans="1:43" x14ac:dyDescent="0.2">
      <c r="A78" s="84">
        <v>44587</v>
      </c>
      <c r="B78" s="85">
        <v>1.0038967040400708</v>
      </c>
      <c r="C78" s="85">
        <f t="shared" si="0"/>
        <v>1.0061617360578383</v>
      </c>
      <c r="D78" s="187"/>
      <c r="S78" s="108" t="e">
        <f t="shared" si="1"/>
        <v>#VALUE!</v>
      </c>
      <c r="T78" t="e">
        <f t="shared" si="3"/>
        <v>#VALUE!</v>
      </c>
      <c r="U78" s="13" t="e">
        <v>#VALUE!</v>
      </c>
      <c r="V78">
        <v>1.0091035886961408</v>
      </c>
      <c r="W78" s="108">
        <f t="shared" si="2"/>
        <v>1000157.0563373681</v>
      </c>
      <c r="X78" s="102">
        <v>43845</v>
      </c>
      <c r="Y78" s="108">
        <v>157.05633736808508</v>
      </c>
      <c r="Z78">
        <v>1000000</v>
      </c>
      <c r="AA78" s="102">
        <v>43802</v>
      </c>
      <c r="AB78" s="102">
        <v>43845</v>
      </c>
      <c r="AC78">
        <v>43</v>
      </c>
      <c r="AD78" t="str">
        <v>Euribor3M Actual/360</v>
      </c>
      <c r="AE78">
        <v>2</v>
      </c>
      <c r="AF78" s="102">
        <v>43798</v>
      </c>
      <c r="AG78" t="str">
        <v>Actual/360</v>
      </c>
      <c r="AH78">
        <v>0.11944444444444445</v>
      </c>
      <c r="AI78">
        <v>1.3148902663374564E-3</v>
      </c>
      <c r="AJ78" t="str">
        <v>#N/A</v>
      </c>
      <c r="AK78">
        <v>1</v>
      </c>
      <c r="AL78" s="13">
        <v>-4.3510973366254357E-4</v>
      </c>
      <c r="AM78">
        <v>-5.4210108624275222E-20</v>
      </c>
      <c r="AN78" s="13">
        <v>1.75E-3</v>
      </c>
      <c r="AO78" t="str">
        <v>#N/A</v>
      </c>
      <c r="AP78" t="str">
        <v>#N/A</v>
      </c>
      <c r="AQ78" t="str">
        <v>#N/A</v>
      </c>
    </row>
    <row r="79" spans="1:43" x14ac:dyDescent="0.2">
      <c r="A79" s="84">
        <v>44952</v>
      </c>
      <c r="B79" s="85">
        <v>0.99745218168627081</v>
      </c>
      <c r="C79" s="85">
        <f t="shared" si="0"/>
        <v>1.0001526407522354</v>
      </c>
      <c r="D79" s="187"/>
    </row>
    <row r="80" spans="1:43" x14ac:dyDescent="0.2">
      <c r="A80" s="84">
        <v>45317</v>
      </c>
      <c r="B80" s="85">
        <v>0.98785396620355104</v>
      </c>
      <c r="C80" s="85">
        <f t="shared" si="0"/>
        <v>0.99097427757822698</v>
      </c>
      <c r="D80" s="187"/>
    </row>
    <row r="81" spans="1:4" x14ac:dyDescent="0.2">
      <c r="A81" s="84">
        <v>45684</v>
      </c>
      <c r="B81" s="85">
        <v>0.97544989692781425</v>
      </c>
      <c r="C81" s="85">
        <f t="shared" si="0"/>
        <v>0.97897387981590811</v>
      </c>
      <c r="D81" s="187"/>
    </row>
    <row r="82" spans="1:4" x14ac:dyDescent="0.2">
      <c r="A82" s="84">
        <v>46048</v>
      </c>
      <c r="B82" s="85">
        <v>0.96052158657328524</v>
      </c>
      <c r="C82" s="85">
        <f t="shared" si="0"/>
        <v>0.96442434317546688</v>
      </c>
      <c r="D82" s="187"/>
    </row>
    <row r="83" spans="1:4" x14ac:dyDescent="0.2">
      <c r="A83" s="84">
        <v>46413</v>
      </c>
      <c r="B83" s="85">
        <v>0.94431187189824839</v>
      </c>
      <c r="C83" s="85">
        <f t="shared" si="0"/>
        <v>0.94857552873256157</v>
      </c>
      <c r="D83" s="187"/>
    </row>
    <row r="84" spans="1:4" x14ac:dyDescent="0.2">
      <c r="A84" s="84">
        <v>46778</v>
      </c>
      <c r="B84" s="85">
        <v>0.92734752576904911</v>
      </c>
      <c r="C84" s="85">
        <f t="shared" si="0"/>
        <v>0.93195387188269663</v>
      </c>
      <c r="D84" s="187"/>
    </row>
    <row r="85" spans="1:4" x14ac:dyDescent="0.2">
      <c r="A85" s="84">
        <v>47144</v>
      </c>
      <c r="B85" s="85">
        <v>0.91003401436884146</v>
      </c>
      <c r="C85" s="85">
        <f t="shared" si="0"/>
        <v>0.9149671304485264</v>
      </c>
      <c r="D85" s="187"/>
    </row>
    <row r="86" spans="1:4" x14ac:dyDescent="0.2">
      <c r="A86" s="84">
        <v>48239</v>
      </c>
      <c r="B86" s="85">
        <v>0.85858499524404963</v>
      </c>
      <c r="C86" s="85">
        <f t="shared" si="0"/>
        <v>0.86440537619479263</v>
      </c>
      <c r="D86" s="187"/>
    </row>
    <row r="87" spans="1:4" x14ac:dyDescent="0.2">
      <c r="A87" s="84">
        <v>50066</v>
      </c>
      <c r="B87" s="85">
        <v>0.78302541022796968</v>
      </c>
      <c r="C87" s="85">
        <f t="shared" si="0"/>
        <v>0.79011126554020106</v>
      </c>
      <c r="D87" s="187"/>
    </row>
    <row r="88" spans="1:4" x14ac:dyDescent="0.2">
      <c r="A88" s="84">
        <v>51893</v>
      </c>
      <c r="B88" s="85">
        <v>0.72112255650042156</v>
      </c>
      <c r="C88" s="85">
        <f t="shared" si="0"/>
        <v>0.72928908247281155</v>
      </c>
      <c r="D88" s="187"/>
    </row>
    <row r="89" spans="1:4" x14ac:dyDescent="0.2">
      <c r="A89" s="84">
        <v>53720</v>
      </c>
      <c r="B89" s="85">
        <v>0.66811998679639428</v>
      </c>
      <c r="C89" s="85">
        <f t="shared" si="0"/>
        <v>0.67720994796788958</v>
      </c>
      <c r="D89" s="187"/>
    </row>
    <row r="90" spans="1:4" x14ac:dyDescent="0.2">
      <c r="A90" s="84">
        <v>57371</v>
      </c>
      <c r="B90" s="85">
        <v>0.57779009064750653</v>
      </c>
      <c r="C90" s="85">
        <f t="shared" si="0"/>
        <v>0.58829318187337953</v>
      </c>
      <c r="D90" s="187"/>
    </row>
    <row r="91" spans="1:4" x14ac:dyDescent="0.2">
      <c r="A91" s="84">
        <v>61023</v>
      </c>
      <c r="B91" s="85">
        <v>0.51720988091736475</v>
      </c>
      <c r="C91" s="85">
        <f t="shared" si="0"/>
        <v>0.52898813982925319</v>
      </c>
      <c r="D91" s="187"/>
    </row>
    <row r="92" spans="1:4" x14ac:dyDescent="0.2">
      <c r="A92" s="84">
        <v>68329</v>
      </c>
      <c r="B92" s="85">
        <v>0.39963545115651999</v>
      </c>
      <c r="C92" s="85">
        <f t="shared" si="0"/>
        <v>0.41243450482286453</v>
      </c>
      <c r="D92" s="187"/>
    </row>
    <row r="93" spans="1:4" x14ac:dyDescent="0.2">
      <c r="A93" s="84" t="e">
        <v>#N/A</v>
      </c>
      <c r="B93" s="85" t="e">
        <v>#N/A</v>
      </c>
      <c r="C93" s="85" t="e">
        <f t="shared" si="0"/>
        <v>#N/A</v>
      </c>
      <c r="D93" s="187"/>
    </row>
    <row r="94" spans="1:4" x14ac:dyDescent="0.2">
      <c r="A94" s="84" t="e">
        <v>#N/A</v>
      </c>
      <c r="B94" s="85" t="e">
        <v>#N/A</v>
      </c>
      <c r="C94" s="85" t="e">
        <f t="shared" si="0"/>
        <v>#N/A</v>
      </c>
      <c r="D94" s="187"/>
    </row>
    <row r="95" spans="1:4" x14ac:dyDescent="0.2">
      <c r="A95" s="84" t="e">
        <v>#N/A</v>
      </c>
      <c r="B95" s="85" t="e">
        <v>#N/A</v>
      </c>
      <c r="C95" s="85" t="e">
        <f t="shared" si="0"/>
        <v>#N/A</v>
      </c>
      <c r="D95" s="187"/>
    </row>
    <row r="96" spans="1:4" x14ac:dyDescent="0.2">
      <c r="A96" s="84" t="e">
        <v>#N/A</v>
      </c>
      <c r="B96" s="85" t="e">
        <v>#N/A</v>
      </c>
      <c r="C96" s="85" t="e">
        <f t="shared" si="0"/>
        <v>#N/A</v>
      </c>
      <c r="D96" s="187"/>
    </row>
    <row r="97" spans="1:4" x14ac:dyDescent="0.2">
      <c r="A97" s="84" t="e">
        <v>#N/A</v>
      </c>
      <c r="B97" s="85" t="e">
        <v>#N/A</v>
      </c>
      <c r="C97" s="85" t="e">
        <f t="shared" si="0"/>
        <v>#N/A</v>
      </c>
      <c r="D97" s="187"/>
    </row>
    <row r="98" spans="1:4" x14ac:dyDescent="0.2">
      <c r="A98" s="84" t="e">
        <v>#N/A</v>
      </c>
      <c r="B98" s="85" t="e">
        <v>#N/A</v>
      </c>
      <c r="C98" s="85" t="e">
        <f t="shared" si="0"/>
        <v>#N/A</v>
      </c>
      <c r="D98" s="187"/>
    </row>
    <row r="99" spans="1:4" x14ac:dyDescent="0.2">
      <c r="A99" s="84" t="e">
        <v>#N/A</v>
      </c>
      <c r="B99" s="85" t="e">
        <v>#N/A</v>
      </c>
      <c r="C99" s="85" t="e">
        <f t="shared" si="0"/>
        <v>#N/A</v>
      </c>
      <c r="D99" s="187"/>
    </row>
    <row r="100" spans="1:4" x14ac:dyDescent="0.2">
      <c r="A100" s="84" t="e">
        <v>#N/A</v>
      </c>
      <c r="B100" s="85" t="e">
        <v>#N/A</v>
      </c>
      <c r="C100" s="85" t="e">
        <f t="shared" si="0"/>
        <v>#N/A</v>
      </c>
      <c r="D100" s="187"/>
    </row>
    <row r="101" spans="1:4" x14ac:dyDescent="0.2">
      <c r="A101" s="84" t="e">
        <v>#N/A</v>
      </c>
      <c r="B101" s="85" t="e">
        <v>#N/A</v>
      </c>
      <c r="C101" s="85" t="e">
        <f t="shared" si="0"/>
        <v>#N/A</v>
      </c>
      <c r="D101" s="187"/>
    </row>
  </sheetData>
  <dataValidations count="4">
    <dataValidation type="list" allowBlank="1" showInputMessage="1" showErrorMessage="1" sqref="C13 Y37" xr:uid="{00000000-0002-0000-0F00-000000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C14 C45:C46 F45:F46 Y16:Y17 Y32" xr:uid="{00000000-0002-0000-0F00-000001000000}">
      <formula1>"Following,Modified Following,Preceding,Modified Preceding,Unadjusted"</formula1>
    </dataValidation>
    <dataValidation type="list" allowBlank="1" showInputMessage="1" showErrorMessage="1" sqref="C8" xr:uid="{00000000-0002-0000-0F00-000002000000}">
      <formula1>"EUR,USD,GBP,JPY,CHF"</formula1>
    </dataValidation>
    <dataValidation type="list" allowBlank="1" showInputMessage="1" showErrorMessage="1" sqref="C44 F44 Y15" xr:uid="{00000000-0002-0000-0F00-000003000000}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">
    <tabColor rgb="FF00B0F0"/>
  </sheetPr>
  <dimension ref="A1:Q36"/>
  <sheetViews>
    <sheetView topLeftCell="B1" workbookViewId="0">
      <selection activeCell="Q23" sqref="Q23"/>
    </sheetView>
  </sheetViews>
  <sheetFormatPr defaultRowHeight="11.25" x14ac:dyDescent="0.2"/>
  <cols>
    <col min="1" max="1" width="15" customWidth="1"/>
    <col min="2" max="2" width="20.1640625" customWidth="1"/>
    <col min="4" max="4" width="15.1640625" customWidth="1"/>
    <col min="5" max="5" width="19" customWidth="1"/>
    <col min="7" max="7" width="23" customWidth="1"/>
    <col min="8" max="8" width="21.33203125" customWidth="1"/>
    <col min="10" max="10" width="21.6640625" customWidth="1"/>
    <col min="11" max="11" width="29.1640625" customWidth="1"/>
    <col min="13" max="13" width="23" customWidth="1"/>
    <col min="14" max="14" width="21.33203125" customWidth="1"/>
    <col min="16" max="17" width="22.33203125" customWidth="1"/>
  </cols>
  <sheetData>
    <row r="1" spans="1:17" x14ac:dyDescent="0.2">
      <c r="P1" s="105"/>
    </row>
    <row r="2" spans="1:17" x14ac:dyDescent="0.2">
      <c r="J2" s="106"/>
    </row>
    <row r="3" spans="1:17" x14ac:dyDescent="0.2">
      <c r="A3" t="s">
        <v>202</v>
      </c>
    </row>
    <row r="7" spans="1:17" ht="12" thickBot="1" x14ac:dyDescent="0.25"/>
    <row r="8" spans="1:17" x14ac:dyDescent="0.2">
      <c r="A8" s="41" t="s">
        <v>41</v>
      </c>
      <c r="B8" s="42" t="str">
        <f ca="1">_xll.qlEuribor(B10,B11,B12,B13,B14)</f>
        <v>eo6mproj#0028</v>
      </c>
      <c r="D8" s="41" t="s">
        <v>997</v>
      </c>
      <c r="E8" s="42" t="e">
        <f>_xll.qlLibor(E10,E11,E12,E13,E14,E15)</f>
        <v>#NUM!</v>
      </c>
      <c r="G8" s="41" t="s">
        <v>41</v>
      </c>
      <c r="H8" s="42" t="e">
        <f>_xll.qlLibor(H10,H11,H12,H13,H14,H15)</f>
        <v>#NUM!</v>
      </c>
      <c r="J8" s="41" t="s">
        <v>41</v>
      </c>
      <c r="K8" s="42" t="e">
        <f>_xll.qlLibor(K10,K11,K12,K13,K14,K15)</f>
        <v>#NUM!</v>
      </c>
      <c r="M8" s="41" t="s">
        <v>41</v>
      </c>
      <c r="N8" s="42" t="e">
        <f>_xll.qlLibor(N10,N11,N12,N13,N14,N15)</f>
        <v>#NUM!</v>
      </c>
      <c r="P8" s="41" t="s">
        <v>41</v>
      </c>
      <c r="Q8" s="42" t="e">
        <f>_xll.qlLibor(Q10,Q11,Q12,Q13,Q14,Q15)</f>
        <v>#NUM!</v>
      </c>
    </row>
    <row r="9" spans="1:17" ht="12" thickBot="1" x14ac:dyDescent="0.25">
      <c r="A9" s="43" t="s">
        <v>7</v>
      </c>
      <c r="B9" s="44" t="str">
        <f ca="1">_xll.ohRangeRetrieveError(B8)</f>
        <v/>
      </c>
      <c r="D9" s="43" t="s">
        <v>7</v>
      </c>
      <c r="E9" s="44" t="str">
        <f ca="1">_xll.ohRangeRetrieveError(E8)</f>
        <v>qlLibor - Parameter 'Trigger' has error value</v>
      </c>
      <c r="G9" s="43" t="s">
        <v>7</v>
      </c>
      <c r="H9" s="44" t="str">
        <f ca="1">_xll.ohRangeRetrieveError(H8)</f>
        <v>qlLibor - Parameter 'Trigger' has error value</v>
      </c>
      <c r="J9" s="43" t="s">
        <v>7</v>
      </c>
      <c r="K9" s="44" t="str">
        <f ca="1">_xll.ohRangeRetrieveError(K8)</f>
        <v>qlLibor - Parameter 'Trigger' has error value</v>
      </c>
      <c r="M9" s="43" t="s">
        <v>7</v>
      </c>
      <c r="N9" s="44" t="str">
        <f ca="1">_xll.ohRangeRetrieveError(N8)</f>
        <v>qlLibor - Parameter 'Trigger' has error value</v>
      </c>
      <c r="P9" s="43" t="s">
        <v>7</v>
      </c>
      <c r="Q9" s="44" t="str">
        <f ca="1">_xll.ohRangeRetrieveError(Q8)</f>
        <v>qlLibor - Parameter 'Trigger' has error value</v>
      </c>
    </row>
    <row r="10" spans="1:17" x14ac:dyDescent="0.2">
      <c r="A10" s="41" t="s">
        <v>1</v>
      </c>
      <c r="B10" s="45" t="s">
        <v>992</v>
      </c>
      <c r="D10" s="41" t="s">
        <v>1</v>
      </c>
      <c r="E10" s="45" t="s">
        <v>991</v>
      </c>
      <c r="G10" s="41" t="s">
        <v>1</v>
      </c>
      <c r="H10" s="45" t="s">
        <v>988</v>
      </c>
      <c r="J10" s="41" t="s">
        <v>1</v>
      </c>
      <c r="K10" s="45" t="s">
        <v>1006</v>
      </c>
      <c r="M10" s="41" t="s">
        <v>1</v>
      </c>
      <c r="N10" s="45" t="s">
        <v>1023</v>
      </c>
      <c r="P10" s="41" t="s">
        <v>1</v>
      </c>
      <c r="Q10" s="45" t="s">
        <v>1621</v>
      </c>
    </row>
    <row r="11" spans="1:17" x14ac:dyDescent="0.2">
      <c r="A11" s="46" t="s">
        <v>30</v>
      </c>
      <c r="B11" s="47" t="s">
        <v>38</v>
      </c>
      <c r="D11" s="46" t="s">
        <v>200</v>
      </c>
      <c r="E11" s="47" t="s">
        <v>201</v>
      </c>
      <c r="G11" s="46" t="s">
        <v>200</v>
      </c>
      <c r="H11" s="47" t="s">
        <v>972</v>
      </c>
      <c r="J11" s="46" t="s">
        <v>200</v>
      </c>
      <c r="K11" s="47" t="s">
        <v>972</v>
      </c>
      <c r="M11" s="46" t="s">
        <v>200</v>
      </c>
      <c r="N11" s="47" t="s">
        <v>1024</v>
      </c>
      <c r="P11" s="46" t="s">
        <v>200</v>
      </c>
      <c r="Q11" s="47" t="s">
        <v>1625</v>
      </c>
    </row>
    <row r="12" spans="1:17" x14ac:dyDescent="0.2">
      <c r="A12" s="46" t="s">
        <v>40</v>
      </c>
      <c r="B12" s="47" t="s">
        <v>994</v>
      </c>
      <c r="D12" s="46" t="s">
        <v>30</v>
      </c>
      <c r="E12" s="47" t="s">
        <v>97</v>
      </c>
      <c r="G12" s="46" t="s">
        <v>30</v>
      </c>
      <c r="H12" s="47" t="s">
        <v>97</v>
      </c>
      <c r="J12" s="46" t="s">
        <v>30</v>
      </c>
      <c r="K12" s="47" t="s">
        <v>97</v>
      </c>
      <c r="M12" s="46" t="s">
        <v>30</v>
      </c>
      <c r="N12" s="47" t="s">
        <v>97</v>
      </c>
      <c r="P12" s="46" t="s">
        <v>30</v>
      </c>
      <c r="Q12" s="47" t="s">
        <v>97</v>
      </c>
    </row>
    <row r="13" spans="1:17" x14ac:dyDescent="0.2">
      <c r="A13" s="46" t="s">
        <v>5</v>
      </c>
      <c r="B13" s="47"/>
      <c r="D13" s="46" t="s">
        <v>40</v>
      </c>
      <c r="E13" s="47" t="s">
        <v>996</v>
      </c>
      <c r="G13" s="46" t="s">
        <v>40</v>
      </c>
      <c r="H13" s="47" t="s">
        <v>971</v>
      </c>
      <c r="J13" s="46" t="s">
        <v>40</v>
      </c>
      <c r="K13" s="47" t="s">
        <v>1004</v>
      </c>
      <c r="M13" s="46" t="s">
        <v>40</v>
      </c>
      <c r="N13" s="47" t="s">
        <v>1025</v>
      </c>
      <c r="P13" s="46" t="s">
        <v>40</v>
      </c>
      <c r="Q13" s="47" t="s">
        <v>1622</v>
      </c>
    </row>
    <row r="14" spans="1:17" ht="12" thickBot="1" x14ac:dyDescent="0.25">
      <c r="A14" s="43" t="s">
        <v>6</v>
      </c>
      <c r="B14" s="48" t="str">
        <f ca="1">'Bootstrapping EO6M'!F8</f>
        <v>EO6M#0039</v>
      </c>
      <c r="D14" s="46" t="s">
        <v>5</v>
      </c>
      <c r="E14" s="47"/>
      <c r="G14" s="46" t="s">
        <v>5</v>
      </c>
      <c r="H14" s="47"/>
      <c r="J14" s="46" t="s">
        <v>5</v>
      </c>
      <c r="K14" s="47"/>
      <c r="M14" s="46" t="s">
        <v>5</v>
      </c>
      <c r="N14" s="47"/>
      <c r="P14" s="46" t="s">
        <v>5</v>
      </c>
      <c r="Q14" s="47"/>
    </row>
    <row r="15" spans="1:17" ht="12" thickBot="1" x14ac:dyDescent="0.25">
      <c r="D15" s="43" t="s">
        <v>6</v>
      </c>
      <c r="E15" s="48" t="e">
        <f>#REF!</f>
        <v>#REF!</v>
      </c>
      <c r="G15" s="43" t="s">
        <v>6</v>
      </c>
      <c r="H15" s="48" t="e">
        <f>#REF!</f>
        <v>#REF!</v>
      </c>
      <c r="J15" s="43" t="s">
        <v>6</v>
      </c>
      <c r="K15" s="48" t="e">
        <f>#REF!</f>
        <v>#REF!</v>
      </c>
      <c r="M15" s="43" t="s">
        <v>6</v>
      </c>
      <c r="N15" s="48" t="e">
        <f>#REF!</f>
        <v>#REF!</v>
      </c>
      <c r="P15" s="43" t="s">
        <v>6</v>
      </c>
      <c r="Q15" s="48" t="e">
        <f>#REF!</f>
        <v>#REF!</v>
      </c>
    </row>
    <row r="17" spans="1:17" ht="12" thickBot="1" x14ac:dyDescent="0.25"/>
    <row r="18" spans="1:17" x14ac:dyDescent="0.2">
      <c r="A18" s="41" t="s">
        <v>41</v>
      </c>
      <c r="B18" s="42" t="str">
        <f ca="1">_xll.qlEuribor(B20,B21,B22,B23,B24)</f>
        <v>eo3mproj#0040</v>
      </c>
      <c r="D18" s="41" t="s">
        <v>997</v>
      </c>
      <c r="E18" s="42" t="e">
        <f>_xll.qlLibor(E20,E21,E22,E23,E24,E25)</f>
        <v>#NUM!</v>
      </c>
      <c r="G18" s="41" t="s">
        <v>41</v>
      </c>
      <c r="H18" s="42" t="e">
        <f>_xll.qlLibor(H20,H21,H22,H23,H24,H25)</f>
        <v>#NUM!</v>
      </c>
      <c r="M18" s="41" t="s">
        <v>41</v>
      </c>
      <c r="N18" s="42" t="e">
        <f>_xll.qlLibor(N20,N21,N22,N23,N24,N25)</f>
        <v>#NUM!</v>
      </c>
      <c r="P18" s="41" t="s">
        <v>41</v>
      </c>
      <c r="Q18" s="42" t="e">
        <f>_xll.qlLibor(Q20,Q21,Q22,Q23,Q24,Q25)</f>
        <v>#NUM!</v>
      </c>
    </row>
    <row r="19" spans="1:17" ht="12" thickBot="1" x14ac:dyDescent="0.25">
      <c r="A19" s="43" t="s">
        <v>7</v>
      </c>
      <c r="B19" s="44" t="str">
        <f ca="1">_xll.ohRangeRetrieveError(B18)</f>
        <v/>
      </c>
      <c r="D19" s="43" t="s">
        <v>7</v>
      </c>
      <c r="E19" s="44" t="str">
        <f ca="1">_xll.ohRangeRetrieveError(E18)</f>
        <v>qlLibor - Parameter 'Trigger' has error value</v>
      </c>
      <c r="G19" s="43" t="s">
        <v>7</v>
      </c>
      <c r="H19" s="44" t="str">
        <f ca="1">_xll.ohRangeRetrieveError(H18)</f>
        <v>qlLibor - Parameter 'Trigger' has error value</v>
      </c>
      <c r="M19" s="43" t="s">
        <v>7</v>
      </c>
      <c r="N19" s="44" t="str">
        <f ca="1">_xll.ohRangeRetrieveError(N18)</f>
        <v>qlLibor - Parameter 'Trigger' has error value</v>
      </c>
      <c r="P19" s="43" t="s">
        <v>7</v>
      </c>
      <c r="Q19" s="44" t="str">
        <f ca="1">_xll.ohRangeRetrieveError(Q18)</f>
        <v>qlLibor - Parameter 'Trigger' has error value</v>
      </c>
    </row>
    <row r="20" spans="1:17" x14ac:dyDescent="0.2">
      <c r="A20" s="41" t="s">
        <v>1</v>
      </c>
      <c r="B20" s="45" t="s">
        <v>993</v>
      </c>
      <c r="D20" s="41" t="s">
        <v>1</v>
      </c>
      <c r="E20" s="45" t="s">
        <v>990</v>
      </c>
      <c r="G20" s="41" t="s">
        <v>1</v>
      </c>
      <c r="H20" s="45" t="s">
        <v>989</v>
      </c>
      <c r="M20" s="41" t="s">
        <v>1</v>
      </c>
      <c r="N20" s="45" t="s">
        <v>1026</v>
      </c>
      <c r="P20" s="41" t="s">
        <v>1</v>
      </c>
      <c r="Q20" s="45" t="s">
        <v>1623</v>
      </c>
    </row>
    <row r="21" spans="1:17" x14ac:dyDescent="0.2">
      <c r="A21" s="46" t="s">
        <v>30</v>
      </c>
      <c r="B21" s="47" t="s">
        <v>97</v>
      </c>
      <c r="D21" s="46" t="s">
        <v>200</v>
      </c>
      <c r="E21" s="47" t="s">
        <v>201</v>
      </c>
      <c r="G21" s="46" t="s">
        <v>200</v>
      </c>
      <c r="H21" s="47" t="s">
        <v>972</v>
      </c>
      <c r="M21" s="46" t="s">
        <v>200</v>
      </c>
      <c r="N21" s="47" t="s">
        <v>1024</v>
      </c>
      <c r="P21" s="46" t="s">
        <v>200</v>
      </c>
      <c r="Q21" s="47" t="s">
        <v>1625</v>
      </c>
    </row>
    <row r="22" spans="1:17" x14ac:dyDescent="0.2">
      <c r="A22" s="46" t="s">
        <v>40</v>
      </c>
      <c r="B22" s="47" t="s">
        <v>995</v>
      </c>
      <c r="D22" s="46" t="s">
        <v>30</v>
      </c>
      <c r="E22" s="47" t="s">
        <v>95</v>
      </c>
      <c r="G22" s="46" t="s">
        <v>30</v>
      </c>
      <c r="H22" s="47" t="s">
        <v>38</v>
      </c>
      <c r="M22" s="46" t="s">
        <v>30</v>
      </c>
      <c r="N22" s="47" t="s">
        <v>38</v>
      </c>
      <c r="P22" s="46" t="s">
        <v>30</v>
      </c>
      <c r="Q22" s="47" t="s">
        <v>38</v>
      </c>
    </row>
    <row r="23" spans="1:17" x14ac:dyDescent="0.2">
      <c r="A23" s="46" t="s">
        <v>5</v>
      </c>
      <c r="B23" s="47"/>
      <c r="D23" s="46" t="s">
        <v>40</v>
      </c>
      <c r="E23" s="47" t="s">
        <v>1002</v>
      </c>
      <c r="G23" s="46" t="s">
        <v>40</v>
      </c>
      <c r="H23" s="47" t="s">
        <v>970</v>
      </c>
      <c r="M23" s="46" t="s">
        <v>40</v>
      </c>
      <c r="N23" s="47" t="s">
        <v>1027</v>
      </c>
      <c r="P23" s="46" t="s">
        <v>40</v>
      </c>
      <c r="Q23" s="47" t="s">
        <v>1624</v>
      </c>
    </row>
    <row r="24" spans="1:17" ht="12" thickBot="1" x14ac:dyDescent="0.25">
      <c r="A24" s="43" t="s">
        <v>6</v>
      </c>
      <c r="B24" s="48" t="str">
        <f ca="1">'Bootstrapping EO3M'!F8</f>
        <v>EO3M#0040</v>
      </c>
      <c r="D24" s="46" t="s">
        <v>5</v>
      </c>
      <c r="E24" s="47"/>
      <c r="G24" s="46" t="s">
        <v>5</v>
      </c>
      <c r="H24" s="47"/>
      <c r="M24" s="46" t="s">
        <v>5</v>
      </c>
      <c r="N24" s="47"/>
      <c r="P24" s="46" t="s">
        <v>5</v>
      </c>
      <c r="Q24" s="47"/>
    </row>
    <row r="25" spans="1:17" ht="12" thickBot="1" x14ac:dyDescent="0.25">
      <c r="D25" s="43" t="s">
        <v>6</v>
      </c>
      <c r="E25" s="48" t="e">
        <f>#REF!</f>
        <v>#REF!</v>
      </c>
      <c r="G25" s="43" t="s">
        <v>6</v>
      </c>
      <c r="H25" s="48" t="e">
        <f>#REF!</f>
        <v>#REF!</v>
      </c>
      <c r="M25" s="43" t="s">
        <v>6</v>
      </c>
      <c r="N25" s="48" t="e">
        <f>#REF!</f>
        <v>#REF!</v>
      </c>
      <c r="P25" s="43" t="s">
        <v>6</v>
      </c>
      <c r="Q25" s="48" t="e">
        <f>#REF!</f>
        <v>#REF!</v>
      </c>
    </row>
    <row r="28" spans="1:17" ht="12" thickBot="1" x14ac:dyDescent="0.25"/>
    <row r="29" spans="1:17" x14ac:dyDescent="0.2">
      <c r="A29" s="41" t="s">
        <v>41</v>
      </c>
      <c r="B29" s="42" t="str">
        <f ca="1">_xll.qlEuribor(B31,B32,B33,B34,B35)</f>
        <v>euribproj#0046</v>
      </c>
      <c r="D29" s="41" t="s">
        <v>997</v>
      </c>
      <c r="E29" s="10" t="e">
        <f>_xll.qlLibor(E31,E32,E33,E34,E35,E36)</f>
        <v>#NUM!</v>
      </c>
    </row>
    <row r="30" spans="1:17" ht="12" thickBot="1" x14ac:dyDescent="0.25">
      <c r="A30" s="43" t="s">
        <v>7</v>
      </c>
      <c r="B30" s="44" t="str">
        <f ca="1">_xll.ohRangeRetrieveError(B29)</f>
        <v/>
      </c>
      <c r="D30" s="5" t="s">
        <v>7</v>
      </c>
      <c r="E30" s="11" t="str">
        <f ca="1">_xll.ohRangeRetrieveError(E29)</f>
        <v>qlLibor - Parameter 'Trigger' has error value</v>
      </c>
    </row>
    <row r="31" spans="1:17" x14ac:dyDescent="0.2">
      <c r="A31" s="41" t="s">
        <v>1</v>
      </c>
      <c r="B31" s="45" t="s">
        <v>999</v>
      </c>
      <c r="D31" s="3" t="s">
        <v>1</v>
      </c>
      <c r="E31" s="104" t="s">
        <v>195</v>
      </c>
    </row>
    <row r="32" spans="1:17" x14ac:dyDescent="0.2">
      <c r="A32" s="46" t="s">
        <v>30</v>
      </c>
      <c r="B32" s="47" t="s">
        <v>38</v>
      </c>
      <c r="D32" s="4" t="s">
        <v>200</v>
      </c>
      <c r="E32" s="103" t="s">
        <v>201</v>
      </c>
    </row>
    <row r="33" spans="1:5" x14ac:dyDescent="0.2">
      <c r="A33" s="46" t="s">
        <v>40</v>
      </c>
      <c r="B33" s="47" t="s">
        <v>998</v>
      </c>
      <c r="D33" s="4" t="s">
        <v>30</v>
      </c>
      <c r="E33" s="103" t="s">
        <v>97</v>
      </c>
    </row>
    <row r="34" spans="1:5" x14ac:dyDescent="0.2">
      <c r="A34" s="46" t="s">
        <v>5</v>
      </c>
      <c r="B34" s="47"/>
      <c r="D34" s="4" t="s">
        <v>40</v>
      </c>
      <c r="E34" s="103" t="s">
        <v>985</v>
      </c>
    </row>
    <row r="35" spans="1:5" ht="12" thickBot="1" x14ac:dyDescent="0.25">
      <c r="A35" s="43" t="s">
        <v>6</v>
      </c>
      <c r="B35" s="48" t="str">
        <f ca="1">'Bootstrapping EURIB'!F8</f>
        <v>EURIB#0046</v>
      </c>
      <c r="D35" s="4" t="s">
        <v>5</v>
      </c>
      <c r="E35" s="7"/>
    </row>
    <row r="36" spans="1:5" ht="12" thickBot="1" x14ac:dyDescent="0.25">
      <c r="D36" s="5" t="s">
        <v>6</v>
      </c>
      <c r="E36" s="48" t="e">
        <f>#REF!</f>
        <v>#REF!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00B0F0"/>
  </sheetPr>
  <dimension ref="A1:R39"/>
  <sheetViews>
    <sheetView topLeftCell="E1" workbookViewId="0">
      <selection activeCell="R3" sqref="R3"/>
    </sheetView>
  </sheetViews>
  <sheetFormatPr defaultRowHeight="11.25" x14ac:dyDescent="0.2"/>
  <cols>
    <col min="1" max="1" width="23.6640625" bestFit="1" customWidth="1"/>
    <col min="2" max="2" width="26.33203125" bestFit="1" customWidth="1"/>
    <col min="3" max="3" width="15.83203125" customWidth="1"/>
    <col min="5" max="5" width="28.1640625" customWidth="1"/>
    <col min="6" max="6" width="21.6640625" customWidth="1"/>
    <col min="8" max="8" width="24.83203125" customWidth="1"/>
    <col min="9" max="9" width="22" customWidth="1"/>
    <col min="11" max="11" width="24.83203125" customWidth="1"/>
    <col min="12" max="12" width="22" customWidth="1"/>
    <col min="14" max="14" width="24.83203125" customWidth="1"/>
    <col min="15" max="15" width="22" customWidth="1"/>
    <col min="17" max="17" width="24.83203125" customWidth="1"/>
    <col min="18" max="18" width="22" customWidth="1"/>
  </cols>
  <sheetData>
    <row r="1" spans="1:18" x14ac:dyDescent="0.2">
      <c r="A1" s="3" t="s">
        <v>69</v>
      </c>
      <c r="B1" s="10" t="str">
        <f ca="1">_xll.qlDiscountingSwapEngine(B3,B4,B5,B6,,,'Bootstrapping EURIB'!F8)</f>
        <v>obj_00196#0046</v>
      </c>
      <c r="C1" s="10" t="str">
        <f ca="1">_xll.qlDiscountingSwapEngine(C3,C4,C5,,,, C6)</f>
        <v>eoniaPricing#0040</v>
      </c>
      <c r="E1" s="3" t="s">
        <v>69</v>
      </c>
      <c r="F1" s="10" t="e">
        <f>_xll.qlDiscountingSwapEngine(F3,F4,F5,F6,,,#REF!)</f>
        <v>#NUM!</v>
      </c>
      <c r="H1" s="3" t="s">
        <v>69</v>
      </c>
      <c r="I1" s="10" t="e">
        <f>_xll.qlDiscountingSwapEngine(I3,I4,I5,I6,,,#REF!)</f>
        <v>#NUM!</v>
      </c>
      <c r="K1" s="3" t="s">
        <v>69</v>
      </c>
      <c r="L1" s="10" t="e">
        <f>_xll.qlDiscountingSwapEngine(L3,L4,L5,L6,,,#REF!)</f>
        <v>#NUM!</v>
      </c>
      <c r="N1" s="3" t="s">
        <v>69</v>
      </c>
      <c r="O1" s="10" t="e">
        <f>_xll.qlDiscountingSwapEngine(O3,O4,O5,O6,,,#REF!)</f>
        <v>#NUM!</v>
      </c>
      <c r="Q1" s="3" t="s">
        <v>69</v>
      </c>
      <c r="R1" s="10" t="e">
        <f>_xll.qlDiscountingSwapEngine(R3,R4,R5,R6,,,#REF!)</f>
        <v>#NUM!</v>
      </c>
    </row>
    <row r="2" spans="1:18" ht="12" thickBot="1" x14ac:dyDescent="0.25">
      <c r="A2" s="5" t="s">
        <v>7</v>
      </c>
      <c r="B2" s="11" t="str">
        <f ca="1">_xll.ohRangeRetrieveError(B1)</f>
        <v/>
      </c>
      <c r="C2" s="11" t="str">
        <f ca="1">_xll.ohRangeRetrieveError(C1)</f>
        <v/>
      </c>
      <c r="E2" s="5" t="s">
        <v>7</v>
      </c>
      <c r="F2" s="11" t="str">
        <f ca="1">_xll.ohRangeRetrieveError(F1)</f>
        <v>qlDiscountingSwapEngine - Parameter 'Trigger' has error value</v>
      </c>
      <c r="H2" s="5" t="s">
        <v>7</v>
      </c>
      <c r="I2" s="11" t="str">
        <f ca="1">_xll.ohRangeRetrieveError(I1)</f>
        <v>qlDiscountingSwapEngine - Parameter 'Trigger' has error value</v>
      </c>
      <c r="K2" s="5" t="s">
        <v>7</v>
      </c>
      <c r="L2" s="11" t="str">
        <f ca="1">_xll.ohRangeRetrieveError(L1)</f>
        <v>qlDiscountingSwapEngine - Parameter 'Trigger' has error value</v>
      </c>
      <c r="N2" s="5" t="s">
        <v>7</v>
      </c>
      <c r="O2" s="11" t="str">
        <f ca="1">_xll.ohRangeRetrieveError(O1)</f>
        <v>qlDiscountingSwapEngine - Parameter 'Trigger' has error value</v>
      </c>
      <c r="Q2" s="5" t="s">
        <v>7</v>
      </c>
      <c r="R2" s="11" t="str">
        <f ca="1">_xll.ohRangeRetrieveError(R1)</f>
        <v>qlDiscountingSwapEngine - Parameter 'Trigger' has error value</v>
      </c>
    </row>
    <row r="3" spans="1:18" x14ac:dyDescent="0.2">
      <c r="A3" s="3" t="s">
        <v>1</v>
      </c>
      <c r="B3" s="6"/>
      <c r="C3" s="104" t="s">
        <v>1044</v>
      </c>
      <c r="E3" s="3" t="s">
        <v>1</v>
      </c>
      <c r="F3" s="104" t="s">
        <v>953</v>
      </c>
      <c r="H3" s="3" t="s">
        <v>1</v>
      </c>
      <c r="I3" s="104" t="s">
        <v>981</v>
      </c>
      <c r="K3" s="3" t="s">
        <v>1</v>
      </c>
      <c r="L3" s="104" t="s">
        <v>1008</v>
      </c>
      <c r="N3" s="3" t="s">
        <v>1</v>
      </c>
      <c r="O3" s="104" t="s">
        <v>1029</v>
      </c>
      <c r="Q3" s="3" t="s">
        <v>1</v>
      </c>
      <c r="R3" s="104" t="s">
        <v>1626</v>
      </c>
    </row>
    <row r="4" spans="1:18" x14ac:dyDescent="0.2">
      <c r="A4" s="4" t="s">
        <v>40</v>
      </c>
      <c r="B4" s="103" t="s">
        <v>191</v>
      </c>
      <c r="C4" s="103" t="s">
        <v>179</v>
      </c>
      <c r="E4" s="4" t="s">
        <v>40</v>
      </c>
      <c r="F4" s="103" t="s">
        <v>985</v>
      </c>
      <c r="H4" s="4" t="s">
        <v>40</v>
      </c>
      <c r="I4" s="103" t="s">
        <v>969</v>
      </c>
      <c r="K4" s="4" t="s">
        <v>40</v>
      </c>
      <c r="L4" s="103" t="s">
        <v>1004</v>
      </c>
      <c r="N4" s="4" t="s">
        <v>40</v>
      </c>
      <c r="O4" s="103" t="s">
        <v>1028</v>
      </c>
      <c r="Q4" s="4" t="s">
        <v>40</v>
      </c>
      <c r="R4" s="103" t="s">
        <v>1627</v>
      </c>
    </row>
    <row r="5" spans="1:18" x14ac:dyDescent="0.2">
      <c r="A5" s="4" t="s">
        <v>5</v>
      </c>
      <c r="B5" s="7"/>
      <c r="C5" s="7"/>
      <c r="E5" s="4" t="s">
        <v>5</v>
      </c>
      <c r="F5" s="7"/>
      <c r="H5" s="4" t="s">
        <v>5</v>
      </c>
      <c r="I5" s="7"/>
      <c r="K5" s="4" t="s">
        <v>5</v>
      </c>
      <c r="L5" s="7"/>
      <c r="N5" s="4" t="s">
        <v>5</v>
      </c>
      <c r="O5" s="7"/>
      <c r="Q5" s="4" t="s">
        <v>5</v>
      </c>
      <c r="R5" s="7"/>
    </row>
    <row r="6" spans="1:18" ht="12" thickBot="1" x14ac:dyDescent="0.25">
      <c r="A6" s="5" t="s">
        <v>6</v>
      </c>
      <c r="B6" s="9"/>
      <c r="C6" s="9" t="str">
        <f ca="1">'Bootstrapping EONIA'!F8</f>
        <v>EONIA#0046</v>
      </c>
      <c r="E6" s="5" t="s">
        <v>6</v>
      </c>
      <c r="F6" s="9"/>
      <c r="H6" s="5" t="s">
        <v>6</v>
      </c>
      <c r="I6" s="9"/>
      <c r="K6" s="5" t="s">
        <v>6</v>
      </c>
      <c r="L6" s="9"/>
      <c r="N6" s="5" t="s">
        <v>6</v>
      </c>
      <c r="O6" s="9"/>
      <c r="Q6" s="5" t="s">
        <v>6</v>
      </c>
      <c r="R6" s="9"/>
    </row>
    <row r="7" spans="1:18" ht="12" thickBot="1" x14ac:dyDescent="0.25"/>
    <row r="8" spans="1:18" x14ac:dyDescent="0.2">
      <c r="A8" s="3" t="s">
        <v>65</v>
      </c>
      <c r="B8" s="10" t="e">
        <f>_xll.qlBlackCapFloorEngine(B10,B11,B12,B13,B14,B15)</f>
        <v>#VALUE!</v>
      </c>
      <c r="E8" s="3" t="s">
        <v>69</v>
      </c>
      <c r="F8" s="10" t="e">
        <f>_xll.qlDiscountingSwapEngine(F10,F11,F12,F13,,,#REF!)</f>
        <v>#NUM!</v>
      </c>
      <c r="H8" s="3" t="s">
        <v>69</v>
      </c>
      <c r="I8" s="10" t="e">
        <f>_xll.qlDiscountingSwapEngine(I10,I11,I12,I13,,,#REF!)</f>
        <v>#NUM!</v>
      </c>
      <c r="K8" s="3"/>
      <c r="L8" s="10"/>
      <c r="N8" s="3"/>
      <c r="O8" s="10"/>
      <c r="Q8" s="3"/>
      <c r="R8" s="10"/>
    </row>
    <row r="9" spans="1:18" ht="12" thickBot="1" x14ac:dyDescent="0.25">
      <c r="A9" s="5" t="s">
        <v>7</v>
      </c>
      <c r="B9" s="11" t="str">
        <f ca="1">_xll.ohRangeRetrieveError(B8)</f>
        <v/>
      </c>
      <c r="E9" s="5" t="s">
        <v>7</v>
      </c>
      <c r="F9" s="11" t="str">
        <f ca="1">_xll.ohRangeRetrieveError(F8)</f>
        <v>qlDiscountingSwapEngine - Parameter 'Trigger' has error value</v>
      </c>
      <c r="H9" s="5" t="s">
        <v>7</v>
      </c>
      <c r="I9" s="11" t="str">
        <f ca="1">_xll.ohRangeRetrieveError(I8)</f>
        <v>qlDiscountingSwapEngine - Parameter 'Trigger' has error value</v>
      </c>
      <c r="K9" s="5"/>
      <c r="L9" s="11"/>
      <c r="N9" s="5"/>
      <c r="O9" s="11"/>
      <c r="Q9" s="5"/>
      <c r="R9" s="11"/>
    </row>
    <row r="10" spans="1:18" x14ac:dyDescent="0.2">
      <c r="A10" s="3" t="s">
        <v>1</v>
      </c>
      <c r="B10" s="6"/>
      <c r="E10" s="3" t="s">
        <v>1</v>
      </c>
      <c r="F10" s="104" t="s">
        <v>938</v>
      </c>
      <c r="H10" s="3" t="s">
        <v>1</v>
      </c>
      <c r="I10" s="104" t="s">
        <v>982</v>
      </c>
      <c r="K10" s="3"/>
      <c r="L10" s="104"/>
      <c r="N10" s="3"/>
      <c r="O10" s="104"/>
      <c r="Q10" s="3"/>
      <c r="R10" s="104"/>
    </row>
    <row r="11" spans="1:18" x14ac:dyDescent="0.2">
      <c r="A11" s="4" t="s">
        <v>40</v>
      </c>
      <c r="B11" s="103" t="s">
        <v>264</v>
      </c>
      <c r="E11" s="4" t="s">
        <v>40</v>
      </c>
      <c r="F11" s="103" t="s">
        <v>248</v>
      </c>
      <c r="H11" s="4" t="s">
        <v>40</v>
      </c>
      <c r="I11" s="103" t="s">
        <v>968</v>
      </c>
      <c r="K11" s="4"/>
      <c r="L11" s="103"/>
      <c r="N11" s="4"/>
      <c r="O11" s="103"/>
      <c r="Q11" s="4"/>
      <c r="R11" s="103"/>
    </row>
    <row r="12" spans="1:18" x14ac:dyDescent="0.2">
      <c r="A12" s="4" t="s">
        <v>64</v>
      </c>
      <c r="B12" s="7" t="e">
        <f>'EUR TermStructures'!#REF!</f>
        <v>#REF!</v>
      </c>
      <c r="E12" s="4" t="s">
        <v>5</v>
      </c>
      <c r="F12" s="7"/>
      <c r="H12" s="4" t="s">
        <v>5</v>
      </c>
      <c r="I12" s="7"/>
      <c r="K12" s="4"/>
      <c r="L12" s="7"/>
      <c r="N12" s="4"/>
      <c r="O12" s="7"/>
      <c r="Q12" s="4"/>
      <c r="R12" s="7"/>
    </row>
    <row r="13" spans="1:18" ht="12" thickBot="1" x14ac:dyDescent="0.25">
      <c r="A13" s="4" t="s">
        <v>262</v>
      </c>
      <c r="B13" s="15">
        <v>0.02</v>
      </c>
      <c r="E13" s="5" t="s">
        <v>6</v>
      </c>
      <c r="F13" s="9"/>
      <c r="H13" s="5" t="s">
        <v>6</v>
      </c>
      <c r="I13" s="9"/>
      <c r="K13" s="5"/>
      <c r="L13" s="9"/>
      <c r="N13" s="5"/>
      <c r="O13" s="9"/>
      <c r="Q13" s="5"/>
      <c r="R13" s="9"/>
    </row>
    <row r="14" spans="1:18" x14ac:dyDescent="0.2">
      <c r="A14" s="4" t="s">
        <v>5</v>
      </c>
      <c r="B14" s="7"/>
    </row>
    <row r="15" spans="1:18" ht="12" thickBot="1" x14ac:dyDescent="0.25">
      <c r="A15" s="5" t="s">
        <v>6</v>
      </c>
      <c r="B15" s="9"/>
    </row>
    <row r="16" spans="1:18" ht="12" thickBot="1" x14ac:dyDescent="0.25"/>
    <row r="17" spans="1:18" ht="12" thickBot="1" x14ac:dyDescent="0.25">
      <c r="A17" s="3" t="s">
        <v>67</v>
      </c>
      <c r="B17" s="10" t="e">
        <f ca="1">_xll.qlBlackSwaptionEngine(B19,B20,B21,B22,B23)</f>
        <v>#VALUE!</v>
      </c>
    </row>
    <row r="18" spans="1:18" ht="12" thickBot="1" x14ac:dyDescent="0.25">
      <c r="A18" s="5" t="s">
        <v>7</v>
      </c>
      <c r="B18" s="11" t="str">
        <f ca="1">_xll.ohRangeRetrieveError(B17)</f>
        <v/>
      </c>
      <c r="E18" s="3" t="s">
        <v>69</v>
      </c>
      <c r="F18" s="10" t="e">
        <f ca="1">_xll.qlDiscountingSwapEngine(F20,F21,F22,F23,,,'EUR RateHelpers'!AV19)</f>
        <v>#NUM!</v>
      </c>
      <c r="H18" s="3" t="s">
        <v>69</v>
      </c>
      <c r="I18" s="10" t="e">
        <f>_xll.qlDiscountingSwapEngine(I20,I21,I22,I23,,,#REF!)</f>
        <v>#NUM!</v>
      </c>
      <c r="K18" s="3" t="s">
        <v>69</v>
      </c>
      <c r="L18" s="10" t="e">
        <f>_xll.qlDiscountingSwapEngine(L20,L21,L22,L23,,,#REF!)</f>
        <v>#NUM!</v>
      </c>
      <c r="N18" s="3" t="s">
        <v>69</v>
      </c>
      <c r="O18" s="10" t="e">
        <f>_xll.qlDiscountingSwapEngine(O20,O21,O22,O23,,,#REF!)</f>
        <v>#NUM!</v>
      </c>
      <c r="Q18" s="3" t="s">
        <v>69</v>
      </c>
      <c r="R18" s="10"/>
    </row>
    <row r="19" spans="1:18" ht="12" thickBot="1" x14ac:dyDescent="0.25">
      <c r="A19" s="3" t="s">
        <v>1</v>
      </c>
      <c r="B19" s="6"/>
      <c r="E19" s="5" t="s">
        <v>7</v>
      </c>
      <c r="F19" s="11" t="str">
        <f ca="1">_xll.ohRangeRetrieveError(F18)</f>
        <v>qlDiscountingSwapEngine - Parameter 'Trigger' has error value</v>
      </c>
      <c r="H19" s="5" t="s">
        <v>7</v>
      </c>
      <c r="I19" s="11" t="str">
        <f ca="1">_xll.ohRangeRetrieveError(I18)</f>
        <v>qlDiscountingSwapEngine - Parameter 'Trigger' has error value</v>
      </c>
      <c r="K19" s="5" t="s">
        <v>7</v>
      </c>
      <c r="L19" s="11" t="str">
        <f ca="1">_xll.ohRangeRetrieveError(L18)</f>
        <v>qlDiscountingSwapEngine - Parameter 'Trigger' has error value</v>
      </c>
      <c r="N19" s="5" t="s">
        <v>7</v>
      </c>
      <c r="O19" s="11" t="str">
        <f ca="1">_xll.ohRangeRetrieveError(O18)</f>
        <v>qlDiscountingSwapEngine - Parameter 'Trigger' has error value</v>
      </c>
      <c r="Q19" s="5" t="s">
        <v>7</v>
      </c>
      <c r="R19" s="11"/>
    </row>
    <row r="20" spans="1:18" x14ac:dyDescent="0.2">
      <c r="A20" s="4" t="s">
        <v>40</v>
      </c>
      <c r="B20" s="7" t="str">
        <f ca="1">'Bootstrapping EO6M'!F$8</f>
        <v>EO6M#0039</v>
      </c>
      <c r="E20" s="3" t="s">
        <v>1</v>
      </c>
      <c r="F20" s="104" t="s">
        <v>939</v>
      </c>
      <c r="H20" s="3" t="s">
        <v>1</v>
      </c>
      <c r="I20" s="104" t="s">
        <v>983</v>
      </c>
      <c r="K20" s="3" t="s">
        <v>1</v>
      </c>
      <c r="L20" s="104" t="s">
        <v>1009</v>
      </c>
      <c r="N20" s="3" t="s">
        <v>1</v>
      </c>
      <c r="O20" s="104" t="s">
        <v>1031</v>
      </c>
      <c r="Q20" s="3" t="s">
        <v>1</v>
      </c>
      <c r="R20" s="104"/>
    </row>
    <row r="21" spans="1:18" x14ac:dyDescent="0.2">
      <c r="A21" s="4" t="s">
        <v>66</v>
      </c>
      <c r="B21" s="7" t="e">
        <f>'EUR TermStructures'!#REF!</f>
        <v>#REF!</v>
      </c>
      <c r="E21" s="4" t="s">
        <v>40</v>
      </c>
      <c r="F21" s="103" t="s">
        <v>249</v>
      </c>
      <c r="H21" s="4" t="s">
        <v>40</v>
      </c>
      <c r="I21" s="103" t="s">
        <v>980</v>
      </c>
      <c r="K21" s="4" t="s">
        <v>40</v>
      </c>
      <c r="L21" s="103" t="s">
        <v>1007</v>
      </c>
      <c r="N21" s="4" t="s">
        <v>40</v>
      </c>
      <c r="O21" s="103" t="s">
        <v>1030</v>
      </c>
      <c r="Q21" s="4" t="s">
        <v>40</v>
      </c>
      <c r="R21" s="103"/>
    </row>
    <row r="22" spans="1:18" x14ac:dyDescent="0.2">
      <c r="A22" s="4" t="s">
        <v>5</v>
      </c>
      <c r="B22" s="7"/>
      <c r="E22" s="4" t="s">
        <v>5</v>
      </c>
      <c r="F22" s="7"/>
      <c r="H22" s="4" t="s">
        <v>5</v>
      </c>
      <c r="I22" s="7"/>
      <c r="K22" s="4" t="s">
        <v>5</v>
      </c>
      <c r="L22" s="7"/>
      <c r="N22" s="4" t="s">
        <v>5</v>
      </c>
      <c r="O22" s="7"/>
      <c r="Q22" s="4" t="s">
        <v>5</v>
      </c>
      <c r="R22" s="7"/>
    </row>
    <row r="23" spans="1:18" ht="12" thickBot="1" x14ac:dyDescent="0.25">
      <c r="A23" s="5" t="s">
        <v>6</v>
      </c>
      <c r="B23" s="9"/>
      <c r="E23" s="5" t="s">
        <v>6</v>
      </c>
      <c r="F23" s="9"/>
      <c r="H23" s="5" t="s">
        <v>6</v>
      </c>
      <c r="I23" s="9"/>
      <c r="K23" s="5" t="s">
        <v>6</v>
      </c>
      <c r="L23" s="9"/>
      <c r="N23" s="5" t="s">
        <v>6</v>
      </c>
      <c r="O23" s="9"/>
      <c r="Q23" s="5" t="s">
        <v>6</v>
      </c>
      <c r="R23" s="9"/>
    </row>
    <row r="25" spans="1:18" ht="12" thickBot="1" x14ac:dyDescent="0.25">
      <c r="F25" t="str">
        <f ca="1">F19</f>
        <v>qlDiscountingSwapEngine - Parameter 'Trigger' has error value</v>
      </c>
    </row>
    <row r="26" spans="1:18" x14ac:dyDescent="0.2">
      <c r="A26" s="3" t="s">
        <v>69</v>
      </c>
      <c r="B26" s="10" t="e">
        <f>_xll.qlDiscountingSwapEngine(B28,B29,B30,B31,,,#REF!)</f>
        <v>#NUM!</v>
      </c>
      <c r="C26" s="10" t="e">
        <f>_xll.qlDiscountingSwapEngine(C28,C29,C30,C31,,,#REF!)</f>
        <v>#NUM!</v>
      </c>
      <c r="H26" s="3" t="s">
        <v>69</v>
      </c>
      <c r="I26" s="10" t="e">
        <f>_xll.qlDiscountingSwapEngine(I28,I29,I30,I31,,,#REF!)</f>
        <v>#NUM!</v>
      </c>
      <c r="K26" s="3" t="s">
        <v>69</v>
      </c>
      <c r="L26" s="10" t="e">
        <f>_xll.qlDiscountingSwapEngine(L28,L29,L30,L31,,,#REF!)</f>
        <v>#NUM!</v>
      </c>
      <c r="N26" s="3" t="s">
        <v>69</v>
      </c>
      <c r="O26" s="10" t="e">
        <f>_xll.qlDiscountingSwapEngine(O28,O29,O30,O31,,,#REF!)</f>
        <v>#NUM!</v>
      </c>
      <c r="Q26" s="3" t="s">
        <v>69</v>
      </c>
      <c r="R26" s="10"/>
    </row>
    <row r="27" spans="1:18" ht="12" thickBot="1" x14ac:dyDescent="0.25">
      <c r="A27" s="5" t="s">
        <v>7</v>
      </c>
      <c r="B27" s="11" t="str">
        <f ca="1">_xll.ohRangeRetrieveError(B26)</f>
        <v>qlDiscountingSwapEngine - Parameter 'Trigger' has error value</v>
      </c>
      <c r="C27" s="11" t="str">
        <f ca="1">_xll.ohRangeRetrieveError(C26)</f>
        <v>qlDiscountingSwapEngine - Parameter 'Trigger' has error value</v>
      </c>
      <c r="H27" s="5" t="s">
        <v>7</v>
      </c>
      <c r="I27" s="11" t="str">
        <f ca="1">_xll.ohRangeRetrieveError(I26)</f>
        <v>qlDiscountingSwapEngine - Parameter 'Trigger' has error value</v>
      </c>
      <c r="K27" s="5" t="s">
        <v>7</v>
      </c>
      <c r="L27" s="11" t="str">
        <f ca="1">_xll.ohRangeRetrieveError(L26)</f>
        <v>qlDiscountingSwapEngine - Parameter 'Trigger' has error value</v>
      </c>
      <c r="N27" s="5" t="s">
        <v>7</v>
      </c>
      <c r="O27" s="11" t="str">
        <f ca="1">_xll.ohRangeRetrieveError(O26)</f>
        <v>qlDiscountingSwapEngine - Parameter 'Trigger' has error value</v>
      </c>
      <c r="Q27" s="5" t="s">
        <v>7</v>
      </c>
      <c r="R27" s="11"/>
    </row>
    <row r="28" spans="1:18" x14ac:dyDescent="0.2">
      <c r="A28" s="3" t="s">
        <v>1</v>
      </c>
      <c r="B28" s="104" t="s">
        <v>1012</v>
      </c>
      <c r="C28" s="104" t="s">
        <v>1611</v>
      </c>
      <c r="H28" s="3" t="s">
        <v>1</v>
      </c>
      <c r="I28" s="104" t="s">
        <v>1010</v>
      </c>
      <c r="K28" s="3" t="s">
        <v>1</v>
      </c>
      <c r="L28" s="104" t="s">
        <v>1011</v>
      </c>
      <c r="N28" s="3" t="s">
        <v>1</v>
      </c>
      <c r="O28" s="104" t="s">
        <v>1033</v>
      </c>
      <c r="Q28" s="3" t="s">
        <v>1</v>
      </c>
      <c r="R28" s="104"/>
    </row>
    <row r="29" spans="1:18" x14ac:dyDescent="0.2">
      <c r="A29" s="4" t="s">
        <v>40</v>
      </c>
      <c r="B29" s="103" t="s">
        <v>223</v>
      </c>
      <c r="C29" s="103" t="s">
        <v>1610</v>
      </c>
      <c r="H29" s="4" t="s">
        <v>40</v>
      </c>
      <c r="I29" s="103" t="s">
        <v>979</v>
      </c>
      <c r="K29" s="4" t="s">
        <v>40</v>
      </c>
      <c r="L29" s="103" t="s">
        <v>1005</v>
      </c>
      <c r="N29" s="4" t="s">
        <v>40</v>
      </c>
      <c r="O29" s="103" t="s">
        <v>1032</v>
      </c>
      <c r="Q29" s="4" t="s">
        <v>40</v>
      </c>
      <c r="R29" s="103"/>
    </row>
    <row r="30" spans="1:18" x14ac:dyDescent="0.2">
      <c r="A30" s="4" t="s">
        <v>5</v>
      </c>
      <c r="B30" s="7"/>
      <c r="C30" s="7"/>
      <c r="H30" s="4" t="s">
        <v>5</v>
      </c>
      <c r="I30" s="7"/>
      <c r="K30" s="4" t="s">
        <v>5</v>
      </c>
      <c r="L30" s="7"/>
      <c r="N30" s="4" t="s">
        <v>5</v>
      </c>
      <c r="O30" s="7"/>
      <c r="Q30" s="4" t="s">
        <v>5</v>
      </c>
      <c r="R30" s="7"/>
    </row>
    <row r="31" spans="1:18" ht="12" thickBot="1" x14ac:dyDescent="0.25">
      <c r="A31" s="5" t="s">
        <v>6</v>
      </c>
      <c r="B31" s="9"/>
      <c r="C31" s="9"/>
      <c r="H31" s="5" t="s">
        <v>6</v>
      </c>
      <c r="I31" s="9"/>
      <c r="K31" s="5" t="s">
        <v>6</v>
      </c>
      <c r="L31" s="9"/>
      <c r="N31" s="5" t="s">
        <v>6</v>
      </c>
      <c r="O31" s="9"/>
      <c r="Q31" s="5" t="s">
        <v>6</v>
      </c>
      <c r="R31" s="9"/>
    </row>
    <row r="33" spans="1:12" ht="12" thickBot="1" x14ac:dyDescent="0.25"/>
    <row r="34" spans="1:12" x14ac:dyDescent="0.2">
      <c r="A34" s="3" t="s">
        <v>69</v>
      </c>
      <c r="B34" s="10" t="e">
        <f>_xll.qlDiscountingSwapEngine(B36,B37,B38,B39,,,#REF!)</f>
        <v>#NUM!</v>
      </c>
      <c r="E34" s="3" t="s">
        <v>69</v>
      </c>
      <c r="F34" s="10" t="e">
        <f>_xll.qlDiscountingSwapEngine(F36,F37,F38,F39,,,#REF!)</f>
        <v>#NUM!</v>
      </c>
      <c r="H34" s="3" t="s">
        <v>69</v>
      </c>
      <c r="I34" s="10" t="e">
        <f>_xll.qlDiscountingSwapEngine(I36,I37,I38,I39,,,#REF!)</f>
        <v>#NUM!</v>
      </c>
      <c r="K34" s="3" t="s">
        <v>69</v>
      </c>
      <c r="L34" s="10" t="e">
        <f>_xll.qlDiscountingSwapEngine(L36,L37,L38,L39,,,#REF!)</f>
        <v>#NUM!</v>
      </c>
    </row>
    <row r="35" spans="1:12" ht="12" thickBot="1" x14ac:dyDescent="0.25">
      <c r="A35" s="5" t="s">
        <v>7</v>
      </c>
      <c r="B35" s="11" t="str">
        <f ca="1">_xll.ohRangeRetrieveError(B34)</f>
        <v>qlDiscountingSwapEngine - Parameter 'Trigger' has error value</v>
      </c>
      <c r="E35" s="5" t="s">
        <v>7</v>
      </c>
      <c r="F35" s="11" t="str">
        <f ca="1">_xll.ohRangeRetrieveError(F34)</f>
        <v>qlDiscountingSwapEngine - Parameter 'Trigger' has error value</v>
      </c>
      <c r="H35" s="5" t="s">
        <v>7</v>
      </c>
      <c r="I35" s="11" t="str">
        <f ca="1">_xll.ohRangeRetrieveError(I34)</f>
        <v>qlDiscountingSwapEngine - Parameter 'Trigger' has error value</v>
      </c>
      <c r="K35" s="5" t="s">
        <v>7</v>
      </c>
      <c r="L35" s="11" t="str">
        <f ca="1">_xll.ohRangeRetrieveError(L34)</f>
        <v>qlDiscountingSwapEngine - Parameter 'Trigger' has error value</v>
      </c>
    </row>
    <row r="36" spans="1:12" x14ac:dyDescent="0.2">
      <c r="A36" s="3" t="s">
        <v>1</v>
      </c>
      <c r="B36" s="104" t="s">
        <v>1040</v>
      </c>
      <c r="E36" s="3" t="s">
        <v>1</v>
      </c>
      <c r="F36" s="104" t="s">
        <v>1041</v>
      </c>
      <c r="H36" s="3" t="s">
        <v>1</v>
      </c>
      <c r="I36" s="104" t="s">
        <v>1042</v>
      </c>
      <c r="K36" s="3" t="s">
        <v>1</v>
      </c>
      <c r="L36" s="104" t="s">
        <v>1043</v>
      </c>
    </row>
    <row r="37" spans="1:12" x14ac:dyDescent="0.2">
      <c r="A37" s="4" t="s">
        <v>40</v>
      </c>
      <c r="B37" s="103" t="s">
        <v>1036</v>
      </c>
      <c r="E37" s="4" t="s">
        <v>40</v>
      </c>
      <c r="F37" s="103" t="s">
        <v>1037</v>
      </c>
      <c r="H37" s="4" t="s">
        <v>40</v>
      </c>
      <c r="I37" s="103" t="s">
        <v>1038</v>
      </c>
      <c r="K37" s="4" t="s">
        <v>40</v>
      </c>
      <c r="L37" s="103" t="s">
        <v>1039</v>
      </c>
    </row>
    <row r="38" spans="1:12" x14ac:dyDescent="0.2">
      <c r="A38" s="4" t="s">
        <v>5</v>
      </c>
      <c r="B38" s="7"/>
      <c r="E38" s="4" t="s">
        <v>5</v>
      </c>
      <c r="F38" s="7"/>
      <c r="H38" s="4" t="s">
        <v>5</v>
      </c>
      <c r="I38" s="7"/>
      <c r="K38" s="4" t="s">
        <v>5</v>
      </c>
      <c r="L38" s="7"/>
    </row>
    <row r="39" spans="1:12" ht="12" thickBot="1" x14ac:dyDescent="0.25">
      <c r="A39" s="5" t="s">
        <v>6</v>
      </c>
      <c r="B39" s="9"/>
      <c r="E39" s="5" t="s">
        <v>6</v>
      </c>
      <c r="F39" s="9"/>
      <c r="H39" s="5" t="s">
        <v>6</v>
      </c>
      <c r="I39" s="9"/>
      <c r="K39" s="5" t="s">
        <v>6</v>
      </c>
      <c r="L39" s="9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"/>
  <dimension ref="A1:Q88"/>
  <sheetViews>
    <sheetView topLeftCell="A13" workbookViewId="0">
      <selection activeCell="A38" sqref="A38:B52"/>
    </sheetView>
  </sheetViews>
  <sheetFormatPr defaultRowHeight="11.25" x14ac:dyDescent="0.2"/>
  <cols>
    <col min="1" max="1" width="23" bestFit="1" customWidth="1"/>
    <col min="2" max="2" width="23.33203125" bestFit="1" customWidth="1"/>
    <col min="3" max="3" width="19.5" customWidth="1"/>
    <col min="5" max="5" width="23" bestFit="1" customWidth="1"/>
    <col min="6" max="6" width="51.33203125" customWidth="1"/>
    <col min="8" max="8" width="20.6640625" customWidth="1"/>
    <col min="9" max="9" width="36.83203125" customWidth="1"/>
    <col min="12" max="12" width="20.33203125" customWidth="1"/>
    <col min="13" max="13" width="24.33203125" customWidth="1"/>
    <col min="16" max="16" width="16.33203125" customWidth="1"/>
    <col min="17" max="17" width="21.83203125" customWidth="1"/>
  </cols>
  <sheetData>
    <row r="1" spans="1:17" x14ac:dyDescent="0.2">
      <c r="A1" s="3" t="s">
        <v>3</v>
      </c>
      <c r="B1" s="6" t="s">
        <v>10</v>
      </c>
    </row>
    <row r="2" spans="1:17" x14ac:dyDescent="0.2">
      <c r="A2" s="4" t="s">
        <v>28</v>
      </c>
      <c r="B2" s="14" t="e">
        <f>F2</f>
        <v>#NUM!</v>
      </c>
      <c r="F2" s="14" t="e">
        <f>_xll.qlCalendarAdvance(Calendar,ReferenceDate,"3d")</f>
        <v>#NUM!</v>
      </c>
      <c r="Q2" s="14" t="e">
        <f>_xll.qlCalendarAdvance(Calendar,ReferenceDate,"2d")</f>
        <v>#NUM!</v>
      </c>
    </row>
    <row r="3" spans="1:17" ht="12" thickBot="1" x14ac:dyDescent="0.25">
      <c r="A3" s="5" t="s">
        <v>29</v>
      </c>
      <c r="B3" s="28">
        <f>F3</f>
        <v>50115</v>
      </c>
      <c r="E3" s="105" t="s">
        <v>102</v>
      </c>
      <c r="F3" s="28">
        <v>50115</v>
      </c>
      <c r="G3" s="2" t="e">
        <f>'EUR Swaps'!I3</f>
        <v>#VALUE!</v>
      </c>
      <c r="I3" s="2" t="e">
        <f>#REF!</f>
        <v>#REF!</v>
      </c>
      <c r="P3" s="105" t="s">
        <v>952</v>
      </c>
      <c r="Q3" s="28" t="e">
        <f>_xll.qlCalendarAdvance(Calendar,Q2,P3)</f>
        <v>#NUM!</v>
      </c>
    </row>
    <row r="4" spans="1:17" ht="12" thickBot="1" x14ac:dyDescent="0.25"/>
    <row r="5" spans="1:17" x14ac:dyDescent="0.2">
      <c r="A5" s="3" t="s">
        <v>37</v>
      </c>
      <c r="B5" s="10" t="e">
        <f>_xll.qlSchedule(B7,B8,B9,B10,B11,B12,B13,B14,B15,B16,B17,B18,B19)</f>
        <v>#NUM!</v>
      </c>
      <c r="C5" s="10" t="e">
        <f>_xll.qlSchedule(C7,C8,C9,C10,C11,C12,C13,C14,C15,C16,C17,C18,C19)</f>
        <v>#NUM!</v>
      </c>
      <c r="E5" s="3" t="s">
        <v>37</v>
      </c>
      <c r="F5" s="10" t="e">
        <f>_xll.qlSchedule(F7,F8,F9,F10,F11,F12,F13,F14,F15,F16,F17,F18,F19)</f>
        <v>#NUM!</v>
      </c>
      <c r="H5" s="3" t="s">
        <v>37</v>
      </c>
      <c r="I5" s="10" t="e">
        <f>_xll.qlSchedule(I7,I8,I9,I10,I11,I12,I13,I14,I15,I16,I17,I18,I19)</f>
        <v>#NUM!</v>
      </c>
      <c r="L5" s="3" t="s">
        <v>37</v>
      </c>
      <c r="M5" s="10" t="str">
        <f>_xll.qlSchedule(M7,M8,M9,M10,M11,M12,M13,M14,M15,M16,M17,M18,M19)</f>
        <v>237239DEFixed#0005</v>
      </c>
      <c r="P5" s="3" t="s">
        <v>37</v>
      </c>
      <c r="Q5" s="10" t="e">
        <f>_xll.qlSchedule(Q7,Q8,Q9,Q10,Q11,Q12,Q13,Q14,Q15,Q16,Q17,Q18,Q19)</f>
        <v>#NUM!</v>
      </c>
    </row>
    <row r="6" spans="1:17" ht="12" thickBot="1" x14ac:dyDescent="0.25">
      <c r="A6" s="5" t="s">
        <v>7</v>
      </c>
      <c r="B6" s="11" t="str">
        <f ca="1">_xll.ohRangeRetrieveError(B5)</f>
        <v>qlSchedule - Error converting parameter 'EffectiveDate' : 'unable to convert type 'struct ObjectHandler::empty_property_tag' to type 'QuantLib::Date'</v>
      </c>
      <c r="C6" s="11" t="str">
        <f ca="1">_xll.ohRangeRetrieveError(C5)</f>
        <v>qlSchedule - Error converting parameter 'EffectiveDate' : 'unable to convert type 'struct ObjectHandler::empty_property_tag' to type 'QuantLib::Date'</v>
      </c>
      <c r="E6" s="5" t="s">
        <v>7</v>
      </c>
      <c r="F6" s="11" t="str">
        <f ca="1">_xll.ohRangeRetrieveError(F5)</f>
        <v>qlSchedule - Error converting parameter 'EffectiveDate' : 'unable to convert type 'struct ObjectHandler::empty_property_tag' to type 'QuantLib::Date'</v>
      </c>
      <c r="H6" s="5" t="s">
        <v>7</v>
      </c>
      <c r="I6" s="11" t="str">
        <f ca="1">_xll.ohRangeRetrieveError(I5)</f>
        <v>qlSchedule - Error converting parameter 'EffectiveDate' : 'unable to convert type 'struct ObjectHandler::empty_property_tag' to type 'QuantLib::Date'</v>
      </c>
      <c r="L6" s="5" t="s">
        <v>7</v>
      </c>
      <c r="M6" s="11" t="str">
        <f>_xll.ohRangeRetrieveError(M5)</f>
        <v/>
      </c>
      <c r="P6" s="5" t="s">
        <v>7</v>
      </c>
      <c r="Q6" s="11" t="str">
        <f ca="1">_xll.ohRangeRetrieveError(Q5)</f>
        <v>qlSchedule - Error converting parameter 'EffectiveDate' : 'unable to convert type 'struct ObjectHandler::empty_property_tag' to type 'QuantLib::Date'</v>
      </c>
    </row>
    <row r="7" spans="1:17" x14ac:dyDescent="0.2">
      <c r="A7" s="3" t="s">
        <v>1</v>
      </c>
      <c r="B7" s="104" t="s">
        <v>193</v>
      </c>
      <c r="C7" s="104" t="s">
        <v>263</v>
      </c>
      <c r="E7" s="3" t="s">
        <v>1</v>
      </c>
      <c r="F7" s="104" t="s">
        <v>208</v>
      </c>
      <c r="H7" s="3" t="s">
        <v>1</v>
      </c>
      <c r="I7" s="104" t="s">
        <v>209</v>
      </c>
      <c r="L7" s="3" t="s">
        <v>1</v>
      </c>
      <c r="M7" s="104" t="s">
        <v>948</v>
      </c>
      <c r="P7" s="3" t="s">
        <v>1</v>
      </c>
      <c r="Q7" s="104" t="s">
        <v>950</v>
      </c>
    </row>
    <row r="8" spans="1:17" x14ac:dyDescent="0.2">
      <c r="A8" s="4" t="s">
        <v>28</v>
      </c>
      <c r="B8" s="14" t="e">
        <f>EffectiveDate</f>
        <v>#NUM!</v>
      </c>
      <c r="C8" s="14" t="e">
        <f>EffectiveDate</f>
        <v>#NUM!</v>
      </c>
      <c r="E8" s="4" t="s">
        <v>28</v>
      </c>
      <c r="F8" s="14" t="e">
        <f>EffectiveDate</f>
        <v>#NUM!</v>
      </c>
      <c r="H8" s="4" t="s">
        <v>28</v>
      </c>
      <c r="I8" s="14" t="e">
        <f>EffectiveDate</f>
        <v>#NUM!</v>
      </c>
      <c r="L8" s="4" t="s">
        <v>28</v>
      </c>
      <c r="M8" s="14">
        <v>42583</v>
      </c>
      <c r="P8" s="4" t="s">
        <v>28</v>
      </c>
      <c r="Q8" s="14" t="e">
        <f>Q2</f>
        <v>#NUM!</v>
      </c>
    </row>
    <row r="9" spans="1:17" x14ac:dyDescent="0.2">
      <c r="A9" s="4" t="s">
        <v>29</v>
      </c>
      <c r="B9" s="14">
        <f>TerminationDate</f>
        <v>50115</v>
      </c>
      <c r="C9" s="14">
        <f>TerminationDate</f>
        <v>50115</v>
      </c>
      <c r="E9" s="4" t="s">
        <v>29</v>
      </c>
      <c r="F9" s="14">
        <f>TerminationDate</f>
        <v>50115</v>
      </c>
      <c r="H9" s="4" t="s">
        <v>29</v>
      </c>
      <c r="I9" s="14">
        <f>TerminationDate</f>
        <v>50115</v>
      </c>
      <c r="L9" s="4" t="s">
        <v>29</v>
      </c>
      <c r="M9" s="14">
        <v>49157</v>
      </c>
      <c r="P9" s="4" t="s">
        <v>29</v>
      </c>
      <c r="Q9" s="14" t="e">
        <f>Q3</f>
        <v>#NUM!</v>
      </c>
    </row>
    <row r="10" spans="1:17" x14ac:dyDescent="0.2">
      <c r="A10" s="4" t="s">
        <v>30</v>
      </c>
      <c r="B10" s="7" t="s">
        <v>25</v>
      </c>
      <c r="C10" s="103" t="s">
        <v>38</v>
      </c>
      <c r="E10" s="4" t="s">
        <v>30</v>
      </c>
      <c r="F10" s="103" t="s">
        <v>38</v>
      </c>
      <c r="H10" s="4" t="s">
        <v>30</v>
      </c>
      <c r="I10" s="103" t="s">
        <v>25</v>
      </c>
      <c r="L10" s="4" t="s">
        <v>30</v>
      </c>
      <c r="M10" s="7" t="s">
        <v>25</v>
      </c>
      <c r="P10" s="4" t="s">
        <v>30</v>
      </c>
      <c r="Q10" s="103" t="s">
        <v>38</v>
      </c>
    </row>
    <row r="11" spans="1:17" x14ac:dyDescent="0.2">
      <c r="A11" s="4" t="s">
        <v>3</v>
      </c>
      <c r="B11" s="7" t="s">
        <v>10</v>
      </c>
      <c r="C11" s="7" t="s">
        <v>10</v>
      </c>
      <c r="E11" s="4" t="s">
        <v>3</v>
      </c>
      <c r="F11" s="7" t="s">
        <v>192</v>
      </c>
      <c r="H11" s="4" t="s">
        <v>3</v>
      </c>
      <c r="I11" s="7" t="s">
        <v>192</v>
      </c>
      <c r="L11" s="4" t="s">
        <v>3</v>
      </c>
      <c r="M11" s="7" t="s">
        <v>10</v>
      </c>
      <c r="P11" s="4" t="s">
        <v>3</v>
      </c>
      <c r="Q11" s="7" t="s">
        <v>192</v>
      </c>
    </row>
    <row r="12" spans="1:17" x14ac:dyDescent="0.2">
      <c r="A12" s="4" t="s">
        <v>31</v>
      </c>
      <c r="B12" s="7" t="s">
        <v>39</v>
      </c>
      <c r="C12" s="7" t="s">
        <v>39</v>
      </c>
      <c r="E12" s="4" t="s">
        <v>31</v>
      </c>
      <c r="F12" s="7" t="s">
        <v>941</v>
      </c>
      <c r="H12" s="4" t="s">
        <v>31</v>
      </c>
      <c r="I12" s="7" t="s">
        <v>39</v>
      </c>
      <c r="L12" s="4" t="s">
        <v>31</v>
      </c>
      <c r="M12" s="7" t="s">
        <v>941</v>
      </c>
      <c r="P12" s="4" t="s">
        <v>31</v>
      </c>
      <c r="Q12" s="7" t="s">
        <v>26</v>
      </c>
    </row>
    <row r="13" spans="1:17" x14ac:dyDescent="0.2">
      <c r="A13" s="4" t="s">
        <v>32</v>
      </c>
      <c r="B13" s="7" t="s">
        <v>39</v>
      </c>
      <c r="C13" s="7" t="s">
        <v>39</v>
      </c>
      <c r="E13" s="4" t="s">
        <v>32</v>
      </c>
      <c r="F13" s="7" t="s">
        <v>39</v>
      </c>
      <c r="H13" s="4" t="s">
        <v>32</v>
      </c>
      <c r="I13" s="7" t="s">
        <v>39</v>
      </c>
      <c r="L13" s="4" t="s">
        <v>32</v>
      </c>
      <c r="M13" s="7" t="s">
        <v>39</v>
      </c>
      <c r="P13" s="4" t="s">
        <v>32</v>
      </c>
      <c r="Q13" s="7" t="s">
        <v>39</v>
      </c>
    </row>
    <row r="14" spans="1:17" x14ac:dyDescent="0.2">
      <c r="A14" s="4" t="s">
        <v>33</v>
      </c>
      <c r="B14" s="7" t="s">
        <v>27</v>
      </c>
      <c r="C14" s="7" t="s">
        <v>27</v>
      </c>
      <c r="E14" s="4" t="s">
        <v>33</v>
      </c>
      <c r="F14" s="7" t="s">
        <v>27</v>
      </c>
      <c r="H14" s="4" t="s">
        <v>33</v>
      </c>
      <c r="I14" s="7" t="s">
        <v>27</v>
      </c>
      <c r="L14" s="4" t="s">
        <v>33</v>
      </c>
      <c r="M14" s="7" t="s">
        <v>27</v>
      </c>
      <c r="P14" s="4" t="s">
        <v>33</v>
      </c>
      <c r="Q14" s="7" t="s">
        <v>27</v>
      </c>
    </row>
    <row r="15" spans="1:17" x14ac:dyDescent="0.2">
      <c r="A15" s="4" t="s">
        <v>34</v>
      </c>
      <c r="B15" s="7"/>
      <c r="C15" s="7"/>
      <c r="E15" s="4" t="s">
        <v>34</v>
      </c>
      <c r="F15" s="7"/>
      <c r="H15" s="4" t="s">
        <v>34</v>
      </c>
      <c r="I15" s="7"/>
      <c r="L15" s="4" t="s">
        <v>34</v>
      </c>
      <c r="M15" s="7"/>
      <c r="P15" s="4" t="s">
        <v>34</v>
      </c>
      <c r="Q15" s="7"/>
    </row>
    <row r="16" spans="1:17" x14ac:dyDescent="0.2">
      <c r="A16" s="4" t="s">
        <v>35</v>
      </c>
      <c r="B16" s="14"/>
      <c r="C16" s="14"/>
      <c r="E16" s="4" t="s">
        <v>35</v>
      </c>
      <c r="F16" s="14"/>
      <c r="H16" s="4" t="s">
        <v>35</v>
      </c>
      <c r="I16" s="14"/>
      <c r="L16" s="4" t="s">
        <v>35</v>
      </c>
      <c r="M16" s="14"/>
      <c r="P16" s="4" t="s">
        <v>35</v>
      </c>
      <c r="Q16" s="14"/>
    </row>
    <row r="17" spans="1:17" x14ac:dyDescent="0.2">
      <c r="A17" s="4" t="s">
        <v>36</v>
      </c>
      <c r="B17" s="14"/>
      <c r="C17" s="14"/>
      <c r="E17" s="4" t="s">
        <v>36</v>
      </c>
      <c r="F17" s="14"/>
      <c r="H17" s="4" t="s">
        <v>36</v>
      </c>
      <c r="I17" s="14"/>
      <c r="L17" s="4" t="s">
        <v>36</v>
      </c>
      <c r="M17" s="14"/>
      <c r="P17" s="4" t="s">
        <v>36</v>
      </c>
      <c r="Q17" s="14"/>
    </row>
    <row r="18" spans="1:17" x14ac:dyDescent="0.2">
      <c r="A18" s="4" t="s">
        <v>5</v>
      </c>
      <c r="B18" s="7"/>
      <c r="C18" s="7"/>
      <c r="E18" s="4" t="s">
        <v>5</v>
      </c>
      <c r="F18" s="7"/>
      <c r="H18" s="4" t="s">
        <v>5</v>
      </c>
      <c r="I18" s="7"/>
      <c r="L18" s="4" t="s">
        <v>5</v>
      </c>
      <c r="M18" s="7"/>
      <c r="P18" s="4" t="s">
        <v>5</v>
      </c>
      <c r="Q18" s="7"/>
    </row>
    <row r="19" spans="1:17" ht="12" thickBot="1" x14ac:dyDescent="0.25">
      <c r="A19" s="5" t="s">
        <v>6</v>
      </c>
      <c r="B19" s="9"/>
      <c r="C19" s="9"/>
      <c r="E19" s="5" t="s">
        <v>6</v>
      </c>
      <c r="F19" s="9"/>
      <c r="H19" s="5" t="s">
        <v>6</v>
      </c>
      <c r="I19" s="9"/>
      <c r="L19" s="5" t="s">
        <v>6</v>
      </c>
      <c r="M19" s="9"/>
      <c r="P19" s="5" t="s">
        <v>6</v>
      </c>
      <c r="Q19" s="9"/>
    </row>
    <row r="20" spans="1:17" ht="12" thickBot="1" x14ac:dyDescent="0.25"/>
    <row r="21" spans="1:17" x14ac:dyDescent="0.2">
      <c r="A21" s="3" t="s">
        <v>37</v>
      </c>
      <c r="B21" s="10" t="e">
        <f>_xll.qlSchedule(B23,B24,B25,B26,B27,B28,B29,B30,B31,B32,B33,B34,B35)</f>
        <v>#NUM!</v>
      </c>
      <c r="E21" s="3" t="s">
        <v>37</v>
      </c>
      <c r="F21" s="10" t="e">
        <f>_xll.qlSchedule(F23,F24,F25,F26,F27,F28,F29,F30,F31,F32,F33,F34,F35)</f>
        <v>#NUM!</v>
      </c>
      <c r="H21" s="3" t="s">
        <v>37</v>
      </c>
      <c r="I21" s="10" t="e">
        <f>_xll.qlSchedule(I23,I24,I25,I26,I27,I28,I29,I30,I31,I32,I33,I34,I35)</f>
        <v>#NUM!</v>
      </c>
      <c r="L21" s="3" t="s">
        <v>37</v>
      </c>
      <c r="M21" s="10" t="str">
        <f>_xll.qlSchedule(M23,M24,M25,M26,M27,M28,M29,M30,M31,M32,M33,M34,M35)</f>
        <v>237239DEFloat#0005</v>
      </c>
      <c r="P21" s="3" t="s">
        <v>37</v>
      </c>
      <c r="Q21" s="10" t="e">
        <f>_xll.qlSchedule(Q23,Q24,Q25,Q26,Q27,Q28,Q29,Q30,Q31,Q32,Q33,Q34,Q35)</f>
        <v>#NUM!</v>
      </c>
    </row>
    <row r="22" spans="1:17" ht="12" thickBot="1" x14ac:dyDescent="0.25">
      <c r="A22" s="5" t="s">
        <v>7</v>
      </c>
      <c r="B22" s="11" t="str">
        <f ca="1">_xll.ohRangeRetrieveError(B21)</f>
        <v>qlSchedule - Error converting parameter 'EffectiveDate' : 'unable to convert type 'struct ObjectHandler::empty_property_tag' to type 'QuantLib::Date'</v>
      </c>
      <c r="E22" s="5" t="s">
        <v>7</v>
      </c>
      <c r="F22" s="11" t="str">
        <f ca="1">_xll.ohRangeRetrieveError(F21)</f>
        <v>qlSchedule - Error converting parameter 'EffectiveDate' : 'unable to convert type 'struct ObjectHandler::empty_property_tag' to type 'QuantLib::Date'</v>
      </c>
      <c r="H22" s="5" t="s">
        <v>7</v>
      </c>
      <c r="I22" s="11" t="str">
        <f ca="1">_xll.ohRangeRetrieveError(I21)</f>
        <v>qlSchedule - Error converting parameter 'EffectiveDate' : 'unable to convert type 'struct ObjectHandler::empty_property_tag' to type 'QuantLib::Date'</v>
      </c>
      <c r="L22" s="5" t="s">
        <v>7</v>
      </c>
      <c r="M22" s="11" t="str">
        <f>_xll.ohRangeRetrieveError(M21)</f>
        <v/>
      </c>
      <c r="P22" s="5" t="s">
        <v>7</v>
      </c>
      <c r="Q22" s="11" t="str">
        <f ca="1">_xll.ohRangeRetrieveError(Q21)</f>
        <v>qlSchedule - Error converting parameter 'EffectiveDate' : 'unable to convert type 'struct ObjectHandler::empty_property_tag' to type 'QuantLib::Date'</v>
      </c>
    </row>
    <row r="23" spans="1:17" x14ac:dyDescent="0.2">
      <c r="A23" s="3" t="s">
        <v>1</v>
      </c>
      <c r="B23" s="104" t="s">
        <v>194</v>
      </c>
      <c r="E23" s="3" t="s">
        <v>1</v>
      </c>
      <c r="F23" s="104" t="s">
        <v>955</v>
      </c>
      <c r="H23" s="3" t="s">
        <v>1</v>
      </c>
      <c r="I23" s="104" t="s">
        <v>207</v>
      </c>
      <c r="L23" s="3" t="s">
        <v>1</v>
      </c>
      <c r="M23" s="104" t="s">
        <v>949</v>
      </c>
      <c r="P23" s="3" t="s">
        <v>1</v>
      </c>
      <c r="Q23" s="104" t="s">
        <v>951</v>
      </c>
    </row>
    <row r="24" spans="1:17" x14ac:dyDescent="0.2">
      <c r="A24" s="4" t="s">
        <v>28</v>
      </c>
      <c r="B24" s="14" t="e">
        <f>EffectiveDate</f>
        <v>#NUM!</v>
      </c>
      <c r="E24" s="4" t="s">
        <v>28</v>
      </c>
      <c r="F24" s="14" t="e">
        <f>EffectiveDate</f>
        <v>#NUM!</v>
      </c>
      <c r="H24" s="4" t="s">
        <v>28</v>
      </c>
      <c r="I24" s="14" t="e">
        <f>EffectiveDate</f>
        <v>#NUM!</v>
      </c>
      <c r="L24" s="4" t="s">
        <v>28</v>
      </c>
      <c r="M24" s="14">
        <v>42583</v>
      </c>
      <c r="P24" s="4" t="s">
        <v>28</v>
      </c>
      <c r="Q24" s="14" t="e">
        <f>Q8</f>
        <v>#NUM!</v>
      </c>
    </row>
    <row r="25" spans="1:17" x14ac:dyDescent="0.2">
      <c r="A25" s="4" t="s">
        <v>29</v>
      </c>
      <c r="B25" s="14">
        <f>TerminationDate</f>
        <v>50115</v>
      </c>
      <c r="E25" s="4" t="s">
        <v>29</v>
      </c>
      <c r="F25" s="14">
        <f>TerminationDate</f>
        <v>50115</v>
      </c>
      <c r="H25" s="4" t="s">
        <v>29</v>
      </c>
      <c r="I25" s="14">
        <f>TerminationDate</f>
        <v>50115</v>
      </c>
      <c r="L25" s="4" t="s">
        <v>29</v>
      </c>
      <c r="M25" s="14">
        <v>49157</v>
      </c>
      <c r="P25" s="4" t="s">
        <v>29</v>
      </c>
      <c r="Q25" s="14" t="e">
        <f>Q9</f>
        <v>#NUM!</v>
      </c>
    </row>
    <row r="26" spans="1:17" x14ac:dyDescent="0.2">
      <c r="A26" s="4" t="s">
        <v>30</v>
      </c>
      <c r="B26" s="7" t="s">
        <v>38</v>
      </c>
      <c r="E26" s="4" t="s">
        <v>30</v>
      </c>
      <c r="F26" s="103" t="s">
        <v>97</v>
      </c>
      <c r="H26" s="4" t="s">
        <v>30</v>
      </c>
      <c r="I26" s="103" t="s">
        <v>95</v>
      </c>
      <c r="L26" s="4" t="s">
        <v>30</v>
      </c>
      <c r="M26" s="103" t="s">
        <v>97</v>
      </c>
      <c r="P26" s="4" t="s">
        <v>30</v>
      </c>
      <c r="Q26" s="103" t="s">
        <v>97</v>
      </c>
    </row>
    <row r="27" spans="1:17" x14ac:dyDescent="0.2">
      <c r="A27" s="4" t="s">
        <v>3</v>
      </c>
      <c r="B27" s="7" t="s">
        <v>10</v>
      </c>
      <c r="E27" s="4" t="s">
        <v>3</v>
      </c>
      <c r="F27" s="7" t="s">
        <v>192</v>
      </c>
      <c r="H27" s="4" t="s">
        <v>3</v>
      </c>
      <c r="I27" s="7" t="s">
        <v>192</v>
      </c>
      <c r="L27" s="4" t="s">
        <v>3</v>
      </c>
      <c r="M27" s="7" t="s">
        <v>10</v>
      </c>
      <c r="P27" s="4" t="s">
        <v>3</v>
      </c>
      <c r="Q27" s="7" t="s">
        <v>192</v>
      </c>
    </row>
    <row r="28" spans="1:17" x14ac:dyDescent="0.2">
      <c r="A28" s="4" t="s">
        <v>31</v>
      </c>
      <c r="B28" s="7" t="s">
        <v>39</v>
      </c>
      <c r="E28" s="4" t="s">
        <v>31</v>
      </c>
      <c r="F28" s="7" t="s">
        <v>39</v>
      </c>
      <c r="H28" s="4" t="s">
        <v>31</v>
      </c>
      <c r="I28" s="7" t="s">
        <v>39</v>
      </c>
      <c r="L28" s="4" t="s">
        <v>31</v>
      </c>
      <c r="M28" s="7" t="s">
        <v>39</v>
      </c>
      <c r="P28" s="4" t="s">
        <v>31</v>
      </c>
      <c r="Q28" s="7" t="s">
        <v>39</v>
      </c>
    </row>
    <row r="29" spans="1:17" x14ac:dyDescent="0.2">
      <c r="A29" s="4" t="s">
        <v>32</v>
      </c>
      <c r="B29" s="7" t="s">
        <v>39</v>
      </c>
      <c r="E29" s="4" t="s">
        <v>32</v>
      </c>
      <c r="F29" s="7" t="s">
        <v>39</v>
      </c>
      <c r="H29" s="4" t="s">
        <v>32</v>
      </c>
      <c r="I29" s="7" t="s">
        <v>39</v>
      </c>
      <c r="L29" s="4" t="s">
        <v>32</v>
      </c>
      <c r="M29" s="7" t="s">
        <v>39</v>
      </c>
      <c r="P29" s="4" t="s">
        <v>32</v>
      </c>
      <c r="Q29" s="7" t="s">
        <v>39</v>
      </c>
    </row>
    <row r="30" spans="1:17" x14ac:dyDescent="0.2">
      <c r="A30" s="4" t="s">
        <v>33</v>
      </c>
      <c r="B30" s="7" t="s">
        <v>27</v>
      </c>
      <c r="E30" s="4" t="s">
        <v>33</v>
      </c>
      <c r="F30" s="7" t="s">
        <v>27</v>
      </c>
      <c r="H30" s="4" t="s">
        <v>33</v>
      </c>
      <c r="I30" s="7" t="s">
        <v>27</v>
      </c>
      <c r="L30" s="4" t="s">
        <v>33</v>
      </c>
      <c r="M30" s="7" t="s">
        <v>27</v>
      </c>
      <c r="P30" s="4" t="s">
        <v>33</v>
      </c>
      <c r="Q30" s="7" t="s">
        <v>27</v>
      </c>
    </row>
    <row r="31" spans="1:17" x14ac:dyDescent="0.2">
      <c r="A31" s="4" t="s">
        <v>34</v>
      </c>
      <c r="B31" s="7"/>
      <c r="E31" s="4" t="s">
        <v>34</v>
      </c>
      <c r="F31" s="7"/>
      <c r="H31" s="4" t="s">
        <v>34</v>
      </c>
      <c r="I31" s="7"/>
      <c r="L31" s="4" t="s">
        <v>34</v>
      </c>
      <c r="M31" s="7"/>
      <c r="P31" s="4" t="s">
        <v>34</v>
      </c>
      <c r="Q31" s="7"/>
    </row>
    <row r="32" spans="1:17" x14ac:dyDescent="0.2">
      <c r="A32" s="4" t="s">
        <v>35</v>
      </c>
      <c r="B32" s="14"/>
      <c r="E32" s="4" t="s">
        <v>35</v>
      </c>
      <c r="F32" s="14"/>
      <c r="H32" s="4" t="s">
        <v>35</v>
      </c>
      <c r="I32" s="14"/>
      <c r="L32" s="4" t="s">
        <v>35</v>
      </c>
      <c r="M32" s="14"/>
      <c r="P32" s="4" t="s">
        <v>35</v>
      </c>
      <c r="Q32" s="14"/>
    </row>
    <row r="33" spans="1:17" x14ac:dyDescent="0.2">
      <c r="A33" s="4" t="s">
        <v>36</v>
      </c>
      <c r="B33" s="14"/>
      <c r="E33" s="4" t="s">
        <v>36</v>
      </c>
      <c r="F33" s="14"/>
      <c r="H33" s="4" t="s">
        <v>36</v>
      </c>
      <c r="I33" s="14"/>
      <c r="L33" s="4" t="s">
        <v>36</v>
      </c>
      <c r="M33" s="14"/>
      <c r="P33" s="4" t="s">
        <v>36</v>
      </c>
      <c r="Q33" s="14"/>
    </row>
    <row r="34" spans="1:17" x14ac:dyDescent="0.2">
      <c r="A34" s="4" t="s">
        <v>5</v>
      </c>
      <c r="B34" s="7"/>
      <c r="E34" s="4" t="s">
        <v>5</v>
      </c>
      <c r="F34" s="7"/>
      <c r="H34" s="4" t="s">
        <v>5</v>
      </c>
      <c r="I34" s="7"/>
      <c r="L34" s="4" t="s">
        <v>5</v>
      </c>
      <c r="M34" s="7"/>
      <c r="P34" s="4" t="s">
        <v>5</v>
      </c>
      <c r="Q34" s="7"/>
    </row>
    <row r="35" spans="1:17" ht="12" thickBot="1" x14ac:dyDescent="0.25">
      <c r="A35" s="5" t="s">
        <v>6</v>
      </c>
      <c r="B35" s="9"/>
      <c r="E35" s="5" t="s">
        <v>6</v>
      </c>
      <c r="F35" s="9"/>
      <c r="H35" s="5" t="s">
        <v>6</v>
      </c>
      <c r="I35" s="9"/>
      <c r="L35" s="5" t="s">
        <v>6</v>
      </c>
      <c r="M35" s="9"/>
      <c r="P35" s="5" t="s">
        <v>6</v>
      </c>
      <c r="Q35" s="9"/>
    </row>
    <row r="37" spans="1:17" ht="12" thickBot="1" x14ac:dyDescent="0.25"/>
    <row r="38" spans="1:17" x14ac:dyDescent="0.2">
      <c r="A38" s="3" t="s">
        <v>37</v>
      </c>
      <c r="B38" s="10" t="e">
        <f>_xll.qlSchedule(B40,B41,B42,B43,B44,B45,B46,B47,B48,B49,B50,B51,B52)</f>
        <v>#NUM!</v>
      </c>
      <c r="E38" s="3" t="s">
        <v>37</v>
      </c>
      <c r="F38" s="10" t="str">
        <f>_xll.qlSchedule(F40,F41,F42,F43,F44,F45,F46,F47,F48,F49,F50,F51,F52)</f>
        <v>DEPFA2037Fixed#0005</v>
      </c>
    </row>
    <row r="39" spans="1:17" ht="12" thickBot="1" x14ac:dyDescent="0.25">
      <c r="A39" s="5" t="s">
        <v>7</v>
      </c>
      <c r="B39" s="11" t="str">
        <f ca="1">_xll.ohRangeRetrieveError(B38)</f>
        <v>qlSchedule - Error converting parameter 'EffectiveDate' : 'unable to convert type 'struct ObjectHandler::empty_property_tag' to type 'QuantLib::Date'</v>
      </c>
      <c r="E39" s="5" t="s">
        <v>7</v>
      </c>
      <c r="F39" s="11" t="str">
        <f>_xll.ohRangeRetrieveError(F38)</f>
        <v/>
      </c>
    </row>
    <row r="40" spans="1:17" x14ac:dyDescent="0.2">
      <c r="A40" s="3" t="s">
        <v>1</v>
      </c>
      <c r="B40" s="104" t="s">
        <v>219</v>
      </c>
      <c r="E40" s="3" t="s">
        <v>1</v>
      </c>
      <c r="F40" s="104" t="s">
        <v>954</v>
      </c>
    </row>
    <row r="41" spans="1:17" x14ac:dyDescent="0.2">
      <c r="A41" s="4" t="s">
        <v>28</v>
      </c>
      <c r="B41" s="14" t="e">
        <f>EffectiveDate</f>
        <v>#NUM!</v>
      </c>
      <c r="E41" s="4" t="s">
        <v>28</v>
      </c>
      <c r="F41" s="14">
        <v>42445</v>
      </c>
    </row>
    <row r="42" spans="1:17" x14ac:dyDescent="0.2">
      <c r="A42" s="4" t="s">
        <v>29</v>
      </c>
      <c r="B42" s="14">
        <f>TerminationDate</f>
        <v>50115</v>
      </c>
      <c r="E42" s="4" t="s">
        <v>29</v>
      </c>
      <c r="F42" s="14">
        <v>50115</v>
      </c>
    </row>
    <row r="43" spans="1:17" x14ac:dyDescent="0.2">
      <c r="A43" s="4" t="s">
        <v>30</v>
      </c>
      <c r="B43" s="103" t="s">
        <v>97</v>
      </c>
      <c r="E43" s="4" t="s">
        <v>30</v>
      </c>
      <c r="F43" s="103" t="s">
        <v>38</v>
      </c>
    </row>
    <row r="44" spans="1:17" x14ac:dyDescent="0.2">
      <c r="A44" s="4" t="s">
        <v>3</v>
      </c>
      <c r="B44" s="7" t="s">
        <v>10</v>
      </c>
      <c r="E44" s="4" t="s">
        <v>3</v>
      </c>
      <c r="F44" s="7" t="s">
        <v>192</v>
      </c>
    </row>
    <row r="45" spans="1:17" x14ac:dyDescent="0.2">
      <c r="A45" s="4" t="s">
        <v>31</v>
      </c>
      <c r="B45" s="7" t="s">
        <v>39</v>
      </c>
      <c r="E45" s="4" t="s">
        <v>31</v>
      </c>
      <c r="F45" s="7" t="s">
        <v>941</v>
      </c>
    </row>
    <row r="46" spans="1:17" x14ac:dyDescent="0.2">
      <c r="A46" s="4" t="s">
        <v>32</v>
      </c>
      <c r="B46" s="7" t="s">
        <v>39</v>
      </c>
      <c r="E46" s="4" t="s">
        <v>32</v>
      </c>
      <c r="F46" s="7" t="s">
        <v>39</v>
      </c>
    </row>
    <row r="47" spans="1:17" x14ac:dyDescent="0.2">
      <c r="A47" s="4" t="s">
        <v>33</v>
      </c>
      <c r="B47" s="7" t="s">
        <v>27</v>
      </c>
      <c r="E47" s="4" t="s">
        <v>33</v>
      </c>
      <c r="F47" s="7" t="s">
        <v>27</v>
      </c>
    </row>
    <row r="48" spans="1:17" x14ac:dyDescent="0.2">
      <c r="A48" s="4" t="s">
        <v>34</v>
      </c>
      <c r="B48" s="7"/>
      <c r="E48" s="4" t="s">
        <v>34</v>
      </c>
      <c r="F48" s="7"/>
    </row>
    <row r="49" spans="1:6" x14ac:dyDescent="0.2">
      <c r="A49" s="4" t="s">
        <v>35</v>
      </c>
      <c r="B49" s="14"/>
      <c r="E49" s="4" t="s">
        <v>35</v>
      </c>
      <c r="F49" s="14"/>
    </row>
    <row r="50" spans="1:6" x14ac:dyDescent="0.2">
      <c r="A50" s="4" t="s">
        <v>36</v>
      </c>
      <c r="B50" s="14"/>
      <c r="E50" s="4" t="s">
        <v>36</v>
      </c>
      <c r="F50" s="14"/>
    </row>
    <row r="51" spans="1:6" x14ac:dyDescent="0.2">
      <c r="A51" s="4" t="s">
        <v>5</v>
      </c>
      <c r="B51" s="7"/>
      <c r="E51" s="4" t="s">
        <v>5</v>
      </c>
      <c r="F51" s="7"/>
    </row>
    <row r="52" spans="1:6" ht="12" thickBot="1" x14ac:dyDescent="0.25">
      <c r="A52" s="5" t="s">
        <v>6</v>
      </c>
      <c r="B52" s="9"/>
      <c r="E52" s="5" t="s">
        <v>6</v>
      </c>
      <c r="F52" s="9"/>
    </row>
    <row r="56" spans="1:6" ht="12" thickBot="1" x14ac:dyDescent="0.25"/>
    <row r="57" spans="1:6" x14ac:dyDescent="0.2">
      <c r="E57" s="3" t="s">
        <v>37</v>
      </c>
      <c r="F57" s="10" t="str">
        <f>_xll.qlSchedule(F59,F60,F61,F62,F63,F64,F65,F66,F67,F68,F69,F70,F71)</f>
        <v>305067DEFloat#0005</v>
      </c>
    </row>
    <row r="58" spans="1:6" ht="12" thickBot="1" x14ac:dyDescent="0.25">
      <c r="E58" s="5" t="s">
        <v>7</v>
      </c>
      <c r="F58" s="11" t="str">
        <f>_xll.ohRangeRetrieveError(F57)</f>
        <v/>
      </c>
    </row>
    <row r="59" spans="1:6" x14ac:dyDescent="0.2">
      <c r="E59" s="3" t="s">
        <v>1</v>
      </c>
      <c r="F59" s="104" t="s">
        <v>936</v>
      </c>
    </row>
    <row r="60" spans="1:6" x14ac:dyDescent="0.2">
      <c r="E60" s="4" t="s">
        <v>28</v>
      </c>
      <c r="F60" s="14">
        <v>42546</v>
      </c>
    </row>
    <row r="61" spans="1:6" x14ac:dyDescent="0.2">
      <c r="E61" s="4" t="s">
        <v>29</v>
      </c>
      <c r="F61" s="14">
        <f>TerminationDate</f>
        <v>50115</v>
      </c>
    </row>
    <row r="62" spans="1:6" x14ac:dyDescent="0.2">
      <c r="E62" s="4" t="s">
        <v>30</v>
      </c>
      <c r="F62" s="103" t="s">
        <v>97</v>
      </c>
    </row>
    <row r="63" spans="1:6" x14ac:dyDescent="0.2">
      <c r="E63" s="4" t="s">
        <v>3</v>
      </c>
      <c r="F63" s="7" t="s">
        <v>192</v>
      </c>
    </row>
    <row r="64" spans="1:6" x14ac:dyDescent="0.2">
      <c r="E64" s="4" t="s">
        <v>31</v>
      </c>
      <c r="F64" s="7" t="s">
        <v>39</v>
      </c>
    </row>
    <row r="65" spans="5:6" x14ac:dyDescent="0.2">
      <c r="E65" s="4" t="s">
        <v>32</v>
      </c>
      <c r="F65" s="7" t="s">
        <v>39</v>
      </c>
    </row>
    <row r="66" spans="5:6" x14ac:dyDescent="0.2">
      <c r="E66" s="4" t="s">
        <v>33</v>
      </c>
      <c r="F66" s="7" t="s">
        <v>27</v>
      </c>
    </row>
    <row r="67" spans="5:6" x14ac:dyDescent="0.2">
      <c r="E67" s="4" t="s">
        <v>34</v>
      </c>
      <c r="F67" s="7"/>
    </row>
    <row r="68" spans="5:6" x14ac:dyDescent="0.2">
      <c r="E68" s="4" t="s">
        <v>35</v>
      </c>
      <c r="F68" s="14"/>
    </row>
    <row r="69" spans="5:6" x14ac:dyDescent="0.2">
      <c r="E69" s="4" t="s">
        <v>36</v>
      </c>
      <c r="F69" s="14">
        <v>50034</v>
      </c>
    </row>
    <row r="70" spans="5:6" x14ac:dyDescent="0.2">
      <c r="E70" s="4" t="s">
        <v>5</v>
      </c>
      <c r="F70" s="7"/>
    </row>
    <row r="71" spans="5:6" ht="12" thickBot="1" x14ac:dyDescent="0.25">
      <c r="E71" s="5" t="s">
        <v>6</v>
      </c>
      <c r="F71" s="9"/>
    </row>
    <row r="73" spans="5:6" ht="12" thickBot="1" x14ac:dyDescent="0.25"/>
    <row r="74" spans="5:6" x14ac:dyDescent="0.2">
      <c r="E74" s="3" t="s">
        <v>37</v>
      </c>
      <c r="F74" s="10" t="str">
        <f>_xll.qlSchedule(F76,F77,F78,F79,F80,F81,F82,F83,F84,F85,F86,F87,F88)</f>
        <v>305067DEFixed#0005</v>
      </c>
    </row>
    <row r="75" spans="5:6" ht="12" thickBot="1" x14ac:dyDescent="0.25">
      <c r="E75" s="5" t="s">
        <v>7</v>
      </c>
      <c r="F75" s="11" t="str">
        <f>_xll.ohRangeRetrieveError(F74)</f>
        <v/>
      </c>
    </row>
    <row r="76" spans="5:6" x14ac:dyDescent="0.2">
      <c r="E76" s="3" t="s">
        <v>1</v>
      </c>
      <c r="F76" s="104" t="s">
        <v>937</v>
      </c>
    </row>
    <row r="77" spans="5:6" x14ac:dyDescent="0.2">
      <c r="E77" s="4" t="s">
        <v>28</v>
      </c>
      <c r="F77" s="14">
        <v>42445</v>
      </c>
    </row>
    <row r="78" spans="5:6" x14ac:dyDescent="0.2">
      <c r="E78" s="4" t="s">
        <v>29</v>
      </c>
      <c r="F78" s="14">
        <v>50115</v>
      </c>
    </row>
    <row r="79" spans="5:6" x14ac:dyDescent="0.2">
      <c r="E79" s="4" t="s">
        <v>30</v>
      </c>
      <c r="F79" s="103" t="s">
        <v>38</v>
      </c>
    </row>
    <row r="80" spans="5:6" x14ac:dyDescent="0.2">
      <c r="E80" s="4" t="s">
        <v>3</v>
      </c>
      <c r="F80" s="7" t="s">
        <v>192</v>
      </c>
    </row>
    <row r="81" spans="5:6" x14ac:dyDescent="0.2">
      <c r="E81" s="4" t="s">
        <v>31</v>
      </c>
      <c r="F81" s="7" t="s">
        <v>39</v>
      </c>
    </row>
    <row r="82" spans="5:6" x14ac:dyDescent="0.2">
      <c r="E82" s="4" t="s">
        <v>32</v>
      </c>
      <c r="F82" s="7" t="s">
        <v>39</v>
      </c>
    </row>
    <row r="83" spans="5:6" x14ac:dyDescent="0.2">
      <c r="E83" s="4" t="s">
        <v>33</v>
      </c>
      <c r="F83" s="7" t="s">
        <v>27</v>
      </c>
    </row>
    <row r="84" spans="5:6" x14ac:dyDescent="0.2">
      <c r="E84" s="4" t="s">
        <v>34</v>
      </c>
      <c r="F84" s="7"/>
    </row>
    <row r="85" spans="5:6" x14ac:dyDescent="0.2">
      <c r="E85" s="4" t="s">
        <v>35</v>
      </c>
      <c r="F85" s="14"/>
    </row>
    <row r="86" spans="5:6" x14ac:dyDescent="0.2">
      <c r="E86" s="4" t="s">
        <v>36</v>
      </c>
      <c r="F86" s="14"/>
    </row>
    <row r="87" spans="5:6" x14ac:dyDescent="0.2">
      <c r="E87" s="4" t="s">
        <v>5</v>
      </c>
      <c r="F87" s="7"/>
    </row>
    <row r="88" spans="5:6" ht="12" thickBot="1" x14ac:dyDescent="0.25">
      <c r="E88" s="5" t="s">
        <v>6</v>
      </c>
      <c r="F88" s="9"/>
    </row>
  </sheetData>
  <phoneticPr fontId="0" type="noConversion"/>
  <dataValidations disablePrompts="1" count="2">
    <dataValidation type="list" allowBlank="1" showInputMessage="1" showErrorMessage="1" sqref="B11:C11 B27 B1 F11 F27 I27 I11 B44 F44 F63 F80 M11 M27 Q11 Q27" xr:uid="{00000000-0002-0000-1200-000000000000}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B12:C13 B28:B29 F12:F13 F28:F29 I28:I29 I12:I13 B45:B46 F45:F46 F64:F65 F81:F82 M12:M13 M28:M29 Q12:Q13 Q28:Q29" xr:uid="{00000000-0002-0000-1200-000001000000}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T48"/>
  <sheetViews>
    <sheetView workbookViewId="0">
      <selection activeCell="F15" sqref="F15"/>
    </sheetView>
  </sheetViews>
  <sheetFormatPr defaultRowHeight="11.25" x14ac:dyDescent="0.2"/>
  <cols>
    <col min="1" max="1" width="27.1640625" customWidth="1"/>
    <col min="3" max="3" width="24.1640625" customWidth="1"/>
    <col min="5" max="5" width="46.1640625" customWidth="1"/>
    <col min="6" max="6" width="19.83203125" customWidth="1"/>
    <col min="8" max="8" width="20.83203125" customWidth="1"/>
    <col min="9" max="9" width="15.5" customWidth="1"/>
    <col min="10" max="10" width="14.1640625" bestFit="1" customWidth="1"/>
    <col min="11" max="15" width="10.1640625" customWidth="1"/>
  </cols>
  <sheetData>
    <row r="1" spans="1:20" ht="12" thickBot="1" x14ac:dyDescent="0.25">
      <c r="A1" s="79"/>
      <c r="B1" s="79"/>
      <c r="C1" s="79"/>
      <c r="D1" s="79"/>
      <c r="E1" s="79"/>
      <c r="F1" s="79"/>
      <c r="G1" s="79"/>
      <c r="H1" s="80" t="s">
        <v>111</v>
      </c>
      <c r="I1" s="81" t="s">
        <v>112</v>
      </c>
      <c r="J1" s="81" t="s">
        <v>112</v>
      </c>
    </row>
    <row r="2" spans="1:20" x14ac:dyDescent="0.2">
      <c r="A2" s="80" t="s">
        <v>113</v>
      </c>
      <c r="B2" s="82" t="s">
        <v>114</v>
      </c>
      <c r="C2" s="81" t="s">
        <v>115</v>
      </c>
      <c r="D2" s="79"/>
      <c r="E2" s="41" t="s">
        <v>116</v>
      </c>
      <c r="F2" s="83">
        <v>0</v>
      </c>
      <c r="G2" s="79"/>
      <c r="H2" s="84">
        <f t="array" aca="1" ref="H2:H42" ca="1">_xll.qlPiecewiseYieldCurveDates(F8)</f>
        <v>42759</v>
      </c>
      <c r="I2" s="85">
        <f t="array" aca="1" ref="I2:I42" ca="1">_xll.qlPiecewiseYieldCurveData(F8)</f>
        <v>1</v>
      </c>
      <c r="J2" s="85">
        <f t="array" aca="1" ref="J2:J42" ca="1">_xll.qlPiecewiseYieldCurveData(F8,"ZeroYield")</f>
        <v>1</v>
      </c>
      <c r="K2">
        <f ca="1">_xll.qlYieldTSDiscount($F$8,H2)</f>
        <v>1</v>
      </c>
      <c r="L2" s="101">
        <f ca="1">_xll.qlYieldTSZeroRate($F$8,H2,$F$21)</f>
        <v>-3.3909580364207392E-3</v>
      </c>
      <c r="R2" s="86" t="s">
        <v>138</v>
      </c>
      <c r="S2" t="e">
        <f>_xll.qlRateHelperImpliedQuote(R2)</f>
        <v>#NUM!</v>
      </c>
      <c r="T2" t="e">
        <f>_xll.qlSwapRateHelperForwardStart(R2)</f>
        <v>#NUM!</v>
      </c>
    </row>
    <row r="3" spans="1:20" x14ac:dyDescent="0.2">
      <c r="A3" s="86" t="str">
        <f t="array" ref="A3:A48">'EUR RateHelpers'!A111:A141</f>
        <v>EO3M_DepoON#0005</v>
      </c>
      <c r="B3" s="87">
        <v>1</v>
      </c>
      <c r="C3" s="88" t="str">
        <f t="array" aca="1" ref="C3:C48" ca="1">_xll.qlRateHelperSelection(A3:A32,B3:B32,F2,F3,F4,F5,F6,"ofTrigger('EUR RateHelpers'!A125:A140)")</f>
        <v>EO3M_Depo2M</v>
      </c>
      <c r="D3" s="79"/>
      <c r="E3" s="46" t="s">
        <v>117</v>
      </c>
      <c r="F3" s="89">
        <v>0</v>
      </c>
      <c r="G3" s="79"/>
      <c r="H3" s="84">
        <f ca="1"/>
        <v>42821</v>
      </c>
      <c r="I3" s="85">
        <f ca="1"/>
        <v>1.000584168888629</v>
      </c>
      <c r="J3" s="85">
        <f ca="1"/>
        <v>1.000584168888629</v>
      </c>
      <c r="K3">
        <f ca="1">_xll.qlYieldTSDiscount($F$8,H3)</f>
        <v>1.000584168888629</v>
      </c>
      <c r="L3" s="101">
        <f ca="1">_xll.qlYieldTSZeroRate($F$8,H3,$F$21)</f>
        <v>-3.3909580358975912E-3</v>
      </c>
      <c r="R3" s="86" t="s">
        <v>139</v>
      </c>
      <c r="S3" t="e">
        <f>_xll.qlRateHelperImpliedQuote(R3)</f>
        <v>#NUM!</v>
      </c>
      <c r="T3" t="e">
        <f>_xll.qlSwapRateHelperForwardStart(R3)</f>
        <v>#NUM!</v>
      </c>
    </row>
    <row r="4" spans="1:20" x14ac:dyDescent="0.2">
      <c r="A4" s="86" t="str">
        <v>EO3M_DepoTN#0005</v>
      </c>
      <c r="B4" s="87">
        <f>B3+1</f>
        <v>2</v>
      </c>
      <c r="C4" s="88" t="str">
        <f ca="1"/>
        <v>EO3M_Depo3M</v>
      </c>
      <c r="D4" s="79"/>
      <c r="E4" s="46" t="s">
        <v>118</v>
      </c>
      <c r="F4" s="89">
        <v>3</v>
      </c>
      <c r="G4" s="79"/>
      <c r="H4" s="84">
        <f ca="1"/>
        <v>42851</v>
      </c>
      <c r="I4" s="85">
        <f ca="1"/>
        <v>1.000839527245545</v>
      </c>
      <c r="J4" s="85">
        <f ca="1"/>
        <v>1.000839527245545</v>
      </c>
      <c r="K4">
        <f ca="1">_xll.qlYieldTSDiscount($F$8,H4)</f>
        <v>1.000839527245545</v>
      </c>
      <c r="L4" s="101">
        <f ca="1">_xll.qlYieldTSZeroRate($F$8,H4,$F$21)</f>
        <v>-3.2837284160513406E-3</v>
      </c>
      <c r="R4" s="86" t="s">
        <v>140</v>
      </c>
      <c r="S4" t="e">
        <f>_xll.qlRateHelperImpliedQuote(R4)</f>
        <v>#NUM!</v>
      </c>
      <c r="T4" t="e">
        <f>_xll.qlSwapRateHelperForwardStart(R4)</f>
        <v>#NUM!</v>
      </c>
    </row>
    <row r="5" spans="1:20" x14ac:dyDescent="0.2">
      <c r="A5" s="86" t="str">
        <v>EO3M_Depo1W#0005</v>
      </c>
      <c r="B5" s="87">
        <f t="shared" ref="B5:B48" si="0">B4+1</f>
        <v>3</v>
      </c>
      <c r="C5" s="88" t="str">
        <f ca="1"/>
        <v>EO3M_FRA1x4</v>
      </c>
      <c r="D5" s="79"/>
      <c r="E5" s="46" t="s">
        <v>119</v>
      </c>
      <c r="F5" s="47" t="s">
        <v>120</v>
      </c>
      <c r="G5" s="79"/>
      <c r="H5" s="84">
        <f ca="1"/>
        <v>42881</v>
      </c>
      <c r="I5" s="85">
        <f ca="1"/>
        <v>1.0011247818973552</v>
      </c>
      <c r="J5" s="85">
        <f ca="1"/>
        <v>1.0011247818973552</v>
      </c>
      <c r="K5">
        <f ca="1">_xll.qlYieldTSDiscount($F$8,H5)</f>
        <v>1.0011247818973552</v>
      </c>
      <c r="L5" s="101">
        <f ca="1">_xll.qlYieldTSZeroRate($F$8,H5,$F$21)</f>
        <v>-3.3171633564507098E-3</v>
      </c>
      <c r="R5" s="86" t="s">
        <v>141</v>
      </c>
      <c r="S5" t="e">
        <f>_xll.qlRateHelperImpliedQuote(R5)</f>
        <v>#NUM!</v>
      </c>
      <c r="T5" t="e">
        <f>_xll.qlSwapRateHelperForwardStart(R5)</f>
        <v>#NUM!</v>
      </c>
    </row>
    <row r="6" spans="1:20" ht="12" thickBot="1" x14ac:dyDescent="0.25">
      <c r="A6" s="86" t="str">
        <v>EO3M_Depo1M#0005</v>
      </c>
      <c r="B6" s="87">
        <f t="shared" si="0"/>
        <v>4</v>
      </c>
      <c r="C6" s="88" t="str">
        <f ca="1"/>
        <v>EO3M_FRA2x5</v>
      </c>
      <c r="D6" s="79"/>
      <c r="E6" s="43" t="s">
        <v>6</v>
      </c>
      <c r="F6" s="48">
        <v>30</v>
      </c>
      <c r="G6" s="79"/>
      <c r="H6" s="84">
        <f ca="1"/>
        <v>42912</v>
      </c>
      <c r="I6" s="85">
        <f ca="1"/>
        <v>1.0014154370301731</v>
      </c>
      <c r="J6" s="85">
        <f ca="1"/>
        <v>1.0014154370301731</v>
      </c>
      <c r="K6">
        <f ca="1">_xll.qlYieldTSDiscount($F$8,H6)</f>
        <v>1.0014154370301731</v>
      </c>
      <c r="L6" s="101">
        <f ca="1">_xll.qlYieldTSZeroRate($F$8,H6,$F$21)</f>
        <v>-3.3280852786722317E-3</v>
      </c>
      <c r="R6" s="86" t="s">
        <v>142</v>
      </c>
      <c r="S6" t="e">
        <f>_xll.qlRateHelperImpliedQuote(R6)</f>
        <v>#NUM!</v>
      </c>
      <c r="T6" t="e">
        <f>_xll.qlSwapRateHelperForwardStart(R6)</f>
        <v>#NUM!</v>
      </c>
    </row>
    <row r="7" spans="1:20" ht="12" thickBot="1" x14ac:dyDescent="0.25">
      <c r="A7" s="86" t="str">
        <v>EO3M_Depo2M#0005</v>
      </c>
      <c r="B7" s="87">
        <f t="shared" si="0"/>
        <v>5</v>
      </c>
      <c r="C7" s="88" t="str">
        <f ca="1"/>
        <v>EO3M_FRA3x6</v>
      </c>
      <c r="D7" s="79"/>
      <c r="E7" s="79"/>
      <c r="F7" s="79"/>
      <c r="G7" s="79"/>
      <c r="H7" s="84">
        <f ca="1"/>
        <v>42942</v>
      </c>
      <c r="I7" s="85">
        <f ca="1"/>
        <v>1.0016598866927464</v>
      </c>
      <c r="J7" s="85">
        <f ca="1"/>
        <v>1.0016598866927464</v>
      </c>
      <c r="K7">
        <f ca="1">_xll.qlYieldTSDiscount($F$8,H7)</f>
        <v>1.0016598866927464</v>
      </c>
      <c r="L7" s="101">
        <f ca="1">_xll.qlYieldTSZeroRate($F$8,H7,$F$21)</f>
        <v>-3.2626438099432426E-3</v>
      </c>
      <c r="R7" s="86" t="s">
        <v>143</v>
      </c>
      <c r="S7" t="e">
        <f>_xll.qlRateHelperImpliedQuote(R7)</f>
        <v>#NUM!</v>
      </c>
      <c r="T7" t="e">
        <f>_xll.qlSwapRateHelperForwardStart(R7)</f>
        <v>#NUM!</v>
      </c>
    </row>
    <row r="8" spans="1:20" x14ac:dyDescent="0.2">
      <c r="A8" s="86" t="str">
        <v>EO3M_Depo3M#0005</v>
      </c>
      <c r="B8" s="87">
        <f t="shared" si="0"/>
        <v>6</v>
      </c>
      <c r="C8" s="88" t="str">
        <f ca="1"/>
        <v>EO3M_FRA5x8</v>
      </c>
      <c r="D8" s="79"/>
      <c r="E8" s="41" t="s">
        <v>121</v>
      </c>
      <c r="F8" s="42" t="str">
        <f ca="1">_xll.qlPiecewiseYieldCurve(F10,F11,F12,_xll.ohPack(C3:C48),F13,,,F16,F14,F15,F17,F18)</f>
        <v>EO3M#0040</v>
      </c>
      <c r="G8" s="79"/>
      <c r="H8" s="84">
        <f ca="1"/>
        <v>43004</v>
      </c>
      <c r="I8" s="85">
        <f ca="1"/>
        <v>1.0022222259223112</v>
      </c>
      <c r="J8" s="85">
        <f ca="1"/>
        <v>1.0022222259223112</v>
      </c>
      <c r="K8">
        <f ca="1">_xll.qlYieldTSDiscount($F$8,H8)</f>
        <v>1.0022222259223112</v>
      </c>
      <c r="L8" s="101">
        <f ca="1">_xll.qlYieldTSZeroRate($F$8,H8,$F$21)</f>
        <v>-3.2616887953925136E-3</v>
      </c>
      <c r="R8" s="86" t="s">
        <v>144</v>
      </c>
      <c r="S8" t="e">
        <f>_xll.qlRateHelperImpliedQuote(R8)</f>
        <v>#NUM!</v>
      </c>
      <c r="T8" t="e">
        <f>_xll.qlSwapRateHelperForwardStart(R8)</f>
        <v>#NUM!</v>
      </c>
    </row>
    <row r="9" spans="1:20" ht="12" thickBot="1" x14ac:dyDescent="0.25">
      <c r="A9" s="86" t="str">
        <v>EO3M_FRA1x4#0005</v>
      </c>
      <c r="B9" s="87">
        <f t="shared" si="0"/>
        <v>7</v>
      </c>
      <c r="C9" s="88" t="str">
        <f ca="1"/>
        <v>EO3M_FRA6x9</v>
      </c>
      <c r="D9" s="79"/>
      <c r="E9" s="43" t="s">
        <v>7</v>
      </c>
      <c r="F9" s="44" t="str">
        <f ca="1">_xll.ohRangeRetrieveError(F8)</f>
        <v/>
      </c>
      <c r="G9" s="79"/>
      <c r="H9" s="84">
        <f ca="1"/>
        <v>43034</v>
      </c>
      <c r="I9" s="85">
        <f ca="1"/>
        <v>1.0024463615548507</v>
      </c>
      <c r="J9" s="85">
        <f ca="1"/>
        <v>1.0024463615548507</v>
      </c>
      <c r="K9">
        <f ca="1">_xll.qlYieldTSDiscount($F$8,H9)</f>
        <v>1.0024463615548507</v>
      </c>
      <c r="L9" s="101">
        <f ca="1">_xll.qlYieldTSZeroRate($F$8,H9,$F$21)</f>
        <v>-3.1985988005060043E-3</v>
      </c>
      <c r="Q9" t="str">
        <f ca="1">F9</f>
        <v/>
      </c>
      <c r="R9" s="86" t="s">
        <v>145</v>
      </c>
      <c r="S9" t="e">
        <f>_xll.qlRateHelperImpliedQuote(R9)</f>
        <v>#NUM!</v>
      </c>
      <c r="T9" t="e">
        <f>_xll.qlSwapRateHelperForwardStart(R9)</f>
        <v>#NUM!</v>
      </c>
    </row>
    <row r="10" spans="1:20" x14ac:dyDescent="0.2">
      <c r="A10" s="86" t="str">
        <v>EO3M_FRA2x5#0005</v>
      </c>
      <c r="B10" s="87">
        <f t="shared" si="0"/>
        <v>8</v>
      </c>
      <c r="C10" s="88" t="str">
        <f ca="1"/>
        <v>EO3M_FRA9x12</v>
      </c>
      <c r="D10" s="79"/>
      <c r="E10" s="41" t="s">
        <v>1</v>
      </c>
      <c r="F10" s="45" t="s">
        <v>218</v>
      </c>
      <c r="G10" s="79"/>
      <c r="H10" s="84">
        <f ca="1"/>
        <v>43126</v>
      </c>
      <c r="I10" s="85">
        <f ca="1"/>
        <v>1.0031667467419945</v>
      </c>
      <c r="J10" s="85">
        <f ca="1"/>
        <v>1.0031667467419945</v>
      </c>
      <c r="K10">
        <f ca="1">_xll.qlYieldTSDiscount($F$8,H10)</f>
        <v>1.0031667467419945</v>
      </c>
      <c r="L10" s="101">
        <f ca="1">_xll.qlYieldTSZeroRate($F$8,H10,$F$21)</f>
        <v>-3.1014374322819709E-3</v>
      </c>
      <c r="R10" s="86" t="s">
        <v>146</v>
      </c>
      <c r="S10" t="e">
        <f>_xll.qlRateHelperImpliedQuote(R10)</f>
        <v>#NUM!</v>
      </c>
      <c r="T10" t="e">
        <f>_xll.qlSwapRateHelperForwardStart(R10)</f>
        <v>#NUM!</v>
      </c>
    </row>
    <row r="11" spans="1:20" x14ac:dyDescent="0.2">
      <c r="A11" s="86" t="str">
        <v>EO3M_FRA3x6#0005</v>
      </c>
      <c r="B11" s="87">
        <f t="shared" si="0"/>
        <v>9</v>
      </c>
      <c r="C11" s="88" t="str">
        <f ca="1"/>
        <v>EO3M_FRA12x15</v>
      </c>
      <c r="D11" s="79"/>
      <c r="E11" s="46" t="s">
        <v>2</v>
      </c>
      <c r="F11" s="47">
        <v>0</v>
      </c>
      <c r="G11" s="79"/>
      <c r="H11" s="84">
        <f ca="1"/>
        <v>43216</v>
      </c>
      <c r="I11" s="85">
        <f ca="1"/>
        <v>1.0038066734963769</v>
      </c>
      <c r="J11" s="85">
        <f ca="1"/>
        <v>1.0038066734963769</v>
      </c>
      <c r="K11">
        <f ca="1">_xll.qlYieldTSDiscount($F$8,H11)</f>
        <v>1.0038066734963769</v>
      </c>
      <c r="L11" s="101">
        <f ca="1">_xll.qlYieldTSZeroRate($F$8,H11,$F$21)</f>
        <v>-2.9929993914391008E-3</v>
      </c>
      <c r="R11" s="86" t="s">
        <v>147</v>
      </c>
      <c r="S11" t="e">
        <f>_xll.qlRateHelperImpliedQuote(R11)</f>
        <v>#NUM!</v>
      </c>
      <c r="T11" t="e">
        <f>_xll.qlSwapRateHelperForwardStart(R11)</f>
        <v>#NUM!</v>
      </c>
    </row>
    <row r="12" spans="1:20" x14ac:dyDescent="0.2">
      <c r="A12" s="86" t="str">
        <v>EO3M_FRA4x7#0005</v>
      </c>
      <c r="B12" s="87">
        <f t="shared" si="0"/>
        <v>10</v>
      </c>
      <c r="C12" s="88" t="str">
        <f ca="1"/>
        <v>EO3M_SWAP2Y</v>
      </c>
      <c r="D12" s="79"/>
      <c r="E12" s="46" t="s">
        <v>3</v>
      </c>
      <c r="F12" s="47" t="s">
        <v>98</v>
      </c>
      <c r="G12" s="79"/>
      <c r="H12" s="84">
        <f ca="1"/>
        <v>43493</v>
      </c>
      <c r="I12" s="85">
        <f ca="1"/>
        <v>1.0053274638284269</v>
      </c>
      <c r="J12" s="85">
        <f ca="1"/>
        <v>1.0053274638284269</v>
      </c>
      <c r="K12">
        <f ca="1">_xll.qlYieldTSDiscount($F$8,H12)</f>
        <v>1.0053274638284269</v>
      </c>
      <c r="L12" s="101">
        <f ca="1">_xll.qlYieldTSZeroRate($F$8,H12,$F$21)</f>
        <v>-2.6059895281997283E-3</v>
      </c>
      <c r="R12" s="86" t="s">
        <v>148</v>
      </c>
      <c r="S12" t="e">
        <f>_xll.qlRateHelperImpliedQuote(R12)</f>
        <v>#NUM!</v>
      </c>
      <c r="T12" t="e">
        <f>_xll.qlSwapRateHelperForwardStart(R12)</f>
        <v>#NUM!</v>
      </c>
    </row>
    <row r="13" spans="1:20" x14ac:dyDescent="0.2">
      <c r="A13" s="86" t="str">
        <v>EO3M_FRA5x8#0005</v>
      </c>
      <c r="B13" s="87">
        <f t="shared" si="0"/>
        <v>11</v>
      </c>
      <c r="C13" s="88" t="str">
        <f ca="1"/>
        <v>EO3M_SWAP3Y</v>
      </c>
      <c r="D13" s="79"/>
      <c r="E13" s="46" t="s">
        <v>4</v>
      </c>
      <c r="F13" s="47" t="s">
        <v>14</v>
      </c>
      <c r="G13" s="79"/>
      <c r="H13" s="84">
        <f ca="1"/>
        <v>43857</v>
      </c>
      <c r="I13" s="85">
        <f ca="1"/>
        <v>1.0057698607059105</v>
      </c>
      <c r="J13" s="85">
        <f ca="1"/>
        <v>1.0057698607059105</v>
      </c>
      <c r="K13">
        <f ca="1">_xll.qlYieldTSDiscount($F$8,H13)</f>
        <v>1.0057698607059105</v>
      </c>
      <c r="L13" s="101">
        <f ca="1">_xll.qlYieldTSZeroRate($F$8,H13,$F$21)</f>
        <v>-1.8863209221409373E-3</v>
      </c>
      <c r="R13" s="86" t="s">
        <v>149</v>
      </c>
      <c r="S13" t="e">
        <f>_xll.qlRateHelperImpliedQuote(R13)</f>
        <v>#NUM!</v>
      </c>
      <c r="T13" t="e">
        <f>_xll.qlSwapRateHelperForwardStart(R13)</f>
        <v>#NUM!</v>
      </c>
    </row>
    <row r="14" spans="1:20" x14ac:dyDescent="0.2">
      <c r="A14" s="86" t="str">
        <v>EO3M_FRA6x9#0005</v>
      </c>
      <c r="B14" s="87">
        <f t="shared" si="0"/>
        <v>12</v>
      </c>
      <c r="C14" s="88" t="str">
        <f ca="1"/>
        <v>EO3M_SWAP4Y</v>
      </c>
      <c r="D14" s="79"/>
      <c r="E14" s="46" t="s">
        <v>122</v>
      </c>
      <c r="F14" s="47" t="str">
        <f>'EUR RateHelpers'!Y3</f>
        <v>Discount</v>
      </c>
      <c r="G14" s="79"/>
      <c r="H14" s="84">
        <f ca="1"/>
        <v>44222</v>
      </c>
      <c r="I14" s="85">
        <f ca="1"/>
        <v>1.0040051471393723</v>
      </c>
      <c r="J14" s="85">
        <f ca="1"/>
        <v>1.0040051471393723</v>
      </c>
      <c r="K14">
        <f ca="1">_xll.qlYieldTSDiscount($F$8,H14)</f>
        <v>1.0040051471393723</v>
      </c>
      <c r="L14" s="101">
        <f ca="1">_xll.qlYieldTSZeroRate($F$8,H14,$F$21)</f>
        <v>-9.8357706091961854E-4</v>
      </c>
    </row>
    <row r="15" spans="1:20" x14ac:dyDescent="0.2">
      <c r="A15" s="86" t="str">
        <v>EO3M_FRA9x12#0005</v>
      </c>
      <c r="B15" s="87">
        <f t="shared" si="0"/>
        <v>13</v>
      </c>
      <c r="C15" s="88" t="str">
        <f ca="1"/>
        <v>EO3M_SWAP5Y</v>
      </c>
      <c r="D15" s="79"/>
      <c r="E15" s="46" t="s">
        <v>124</v>
      </c>
      <c r="F15" s="47" t="str">
        <f>'EUR RateHelpers'!Y4</f>
        <v>LogLinear</v>
      </c>
      <c r="G15" s="79"/>
      <c r="H15" s="84">
        <f ca="1"/>
        <v>44587</v>
      </c>
      <c r="I15" s="85">
        <f ca="1"/>
        <v>0.9996099471285701</v>
      </c>
      <c r="J15" s="85">
        <f ca="1"/>
        <v>0.9996099471285701</v>
      </c>
      <c r="K15">
        <f ca="1">_xll.qlYieldTSDiscount($F$8,H15)</f>
        <v>0.9996099471285701</v>
      </c>
      <c r="L15" s="101">
        <f ca="1">_xll.qlYieldTSZeroRate($F$8,H15,$F$21)</f>
        <v>7.6830648939667161E-5</v>
      </c>
    </row>
    <row r="16" spans="1:20" x14ac:dyDescent="0.2">
      <c r="A16" s="86" t="str">
        <v>EO3M_FRA12x15#0005</v>
      </c>
      <c r="B16" s="87">
        <f t="shared" si="0"/>
        <v>14</v>
      </c>
      <c r="C16" s="88" t="str">
        <f ca="1"/>
        <v>EO3M_SWAP6Y</v>
      </c>
      <c r="D16" s="79"/>
      <c r="E16" s="46" t="s">
        <v>126</v>
      </c>
      <c r="F16" s="47"/>
      <c r="G16" s="79"/>
      <c r="H16" s="84">
        <f ca="1"/>
        <v>44952</v>
      </c>
      <c r="I16" s="85">
        <f ca="1"/>
        <v>0.99211986803762453</v>
      </c>
      <c r="J16" s="85">
        <f ca="1"/>
        <v>0.99211986803762453</v>
      </c>
      <c r="K16">
        <f ca="1">_xll.qlYieldTSDiscount($F$8,H16)</f>
        <v>0.99211986803762453</v>
      </c>
      <c r="L16" s="101">
        <f ca="1">_xll.qlYieldTSZeroRate($F$8,H16,$F$21)</f>
        <v>1.2987158875802547E-3</v>
      </c>
    </row>
    <row r="17" spans="1:12" x14ac:dyDescent="0.2">
      <c r="A17" s="86" t="str">
        <f ca="1"/>
        <v>EO3M_SWAP2Y#0046</v>
      </c>
      <c r="B17" s="87">
        <f t="shared" si="0"/>
        <v>15</v>
      </c>
      <c r="C17" s="88" t="str">
        <f ca="1"/>
        <v>EO3M_SWAP7Y</v>
      </c>
      <c r="D17" s="79"/>
      <c r="E17" s="46" t="s">
        <v>5</v>
      </c>
      <c r="F17" s="47"/>
      <c r="G17" s="79"/>
      <c r="H17" s="84">
        <f ca="1"/>
        <v>45317</v>
      </c>
      <c r="I17" s="85">
        <f ca="1"/>
        <v>0.98151614368538065</v>
      </c>
      <c r="J17" s="85">
        <f ca="1"/>
        <v>0.98151614368538065</v>
      </c>
      <c r="K17">
        <f ca="1">_xll.qlYieldTSDiscount($F$8,H17)</f>
        <v>0.98151614368538065</v>
      </c>
      <c r="L17" s="101">
        <f ca="1">_xll.qlYieldTSZeroRate($F$8,H17,$F$21)</f>
        <v>2.6256662525735558E-3</v>
      </c>
    </row>
    <row r="18" spans="1:12" ht="12" thickBot="1" x14ac:dyDescent="0.25">
      <c r="A18" s="86" t="str">
        <f ca="1"/>
        <v>EO3M_SWAP3Y#0046</v>
      </c>
      <c r="B18" s="87">
        <f t="shared" si="0"/>
        <v>16</v>
      </c>
      <c r="C18" s="88" t="str">
        <f ca="1"/>
        <v>EO3M_SWAP8Y</v>
      </c>
      <c r="D18" s="79"/>
      <c r="E18" s="43" t="s">
        <v>6</v>
      </c>
      <c r="F18" s="48" t="b">
        <f ca="1">'EUR RateHelpers'!$X$1</f>
        <v>1</v>
      </c>
      <c r="G18" s="79"/>
      <c r="H18" s="84">
        <f ca="1"/>
        <v>45684</v>
      </c>
      <c r="I18" s="85">
        <f ca="1"/>
        <v>0.96834170596137237</v>
      </c>
      <c r="J18" s="85">
        <f ca="1"/>
        <v>0.96834170596137237</v>
      </c>
      <c r="K18">
        <f ca="1">_xll.qlYieldTSDiscount($F$8,H18)</f>
        <v>0.96834170596137237</v>
      </c>
      <c r="L18" s="101">
        <f ca="1">_xll.qlYieldTSZeroRate($F$8,H18,$F$21)</f>
        <v>3.9594156270652756E-3</v>
      </c>
    </row>
    <row r="19" spans="1:12" ht="12" thickBot="1" x14ac:dyDescent="0.25">
      <c r="A19" s="86" t="str">
        <f ca="1"/>
        <v>EO3M_SWAP4Y#0046</v>
      </c>
      <c r="B19" s="87">
        <f t="shared" si="0"/>
        <v>17</v>
      </c>
      <c r="C19" s="88" t="str">
        <f ca="1"/>
        <v>EO3M_SWAP9Y</v>
      </c>
      <c r="D19" s="79"/>
      <c r="E19" s="79"/>
      <c r="F19" s="79"/>
      <c r="G19" s="79"/>
      <c r="H19" s="84">
        <f ca="1"/>
        <v>46048</v>
      </c>
      <c r="I19" s="85">
        <f ca="1"/>
        <v>0.95309043317364173</v>
      </c>
      <c r="J19" s="85">
        <f ca="1"/>
        <v>0.95309043317364173</v>
      </c>
      <c r="K19">
        <f ca="1">_xll.qlYieldTSDiscount($F$8,H19)</f>
        <v>0.95309043317364173</v>
      </c>
      <c r="L19" s="101">
        <f ca="1">_xll.qlYieldTSZeroRate($F$8,H19,$F$21)</f>
        <v>5.258855337234066E-3</v>
      </c>
    </row>
    <row r="20" spans="1:12" x14ac:dyDescent="0.2">
      <c r="A20" s="86" t="str">
        <f ca="1"/>
        <v>EO3M_SWAP5Y#0046</v>
      </c>
      <c r="B20" s="87">
        <f t="shared" si="0"/>
        <v>18</v>
      </c>
      <c r="C20" s="88" t="str">
        <f ca="1"/>
        <v>EO3M_SWAP10Y</v>
      </c>
      <c r="D20" s="79"/>
      <c r="E20" s="49" t="s">
        <v>127</v>
      </c>
      <c r="F20" s="90" t="str">
        <f ca="1">_xll.qlTermStructureCalendar($F$8)</f>
        <v>TARGET</v>
      </c>
      <c r="G20" s="79"/>
      <c r="H20" s="84">
        <f ca="1"/>
        <v>46413</v>
      </c>
      <c r="I20" s="85">
        <f ca="1"/>
        <v>0.93646567308024353</v>
      </c>
      <c r="J20" s="85">
        <f ca="1"/>
        <v>0.93646567308024353</v>
      </c>
      <c r="K20">
        <f ca="1">_xll.qlYieldTSDiscount($F$8,H20)</f>
        <v>0.93646567308024353</v>
      </c>
      <c r="L20" s="101">
        <f ca="1">_xll.qlYieldTSZeroRate($F$8,H20,$F$21)</f>
        <v>6.4672327338887144E-3</v>
      </c>
    </row>
    <row r="21" spans="1:12" x14ac:dyDescent="0.2">
      <c r="A21" s="86" t="str">
        <f ca="1"/>
        <v>EO3M_SWAP6Y#0046</v>
      </c>
      <c r="B21" s="87">
        <f t="shared" si="0"/>
        <v>19</v>
      </c>
      <c r="C21" s="88" t="str">
        <f ca="1"/>
        <v>EO3M_SWAP12Y</v>
      </c>
      <c r="D21" s="79"/>
      <c r="E21" s="91" t="s">
        <v>128</v>
      </c>
      <c r="F21" s="92" t="str">
        <f ca="1">_xll.qlTermStructureDayCounter($F$8)</f>
        <v>Actual/360</v>
      </c>
      <c r="G21" s="79"/>
      <c r="H21" s="84">
        <f ca="1"/>
        <v>47144</v>
      </c>
      <c r="I21" s="85">
        <f ca="1"/>
        <v>0.90126554408840687</v>
      </c>
      <c r="J21" s="85">
        <f ca="1"/>
        <v>0.90126554408840687</v>
      </c>
      <c r="K21">
        <f ca="1">_xll.qlYieldTSDiscount($F$8,H21)</f>
        <v>0.90126554408840687</v>
      </c>
      <c r="L21" s="101">
        <f ca="1">_xll.qlYieldTSZeroRate($F$8,H21,$F$21)</f>
        <v>8.5345321732452541E-3</v>
      </c>
    </row>
    <row r="22" spans="1:12" x14ac:dyDescent="0.2">
      <c r="A22" s="86" t="str">
        <f ca="1"/>
        <v>EO3M_SWAP7Y#0046</v>
      </c>
      <c r="B22" s="87">
        <f t="shared" si="0"/>
        <v>20</v>
      </c>
      <c r="C22" s="88" t="str">
        <f ca="1"/>
        <v>EO3M_SWAP15Y</v>
      </c>
      <c r="D22" s="79"/>
      <c r="E22" s="91" t="s">
        <v>129</v>
      </c>
      <c r="F22" s="93">
        <f ca="1">_xll.qlTermStructureReferenceDate($F$8)</f>
        <v>42759</v>
      </c>
      <c r="G22" s="79"/>
      <c r="H22" s="84">
        <f ca="1"/>
        <v>48239</v>
      </c>
      <c r="I22" s="85">
        <f ca="1"/>
        <v>0.84908793451531528</v>
      </c>
      <c r="J22" s="85">
        <f ca="1"/>
        <v>0.84908793451531528</v>
      </c>
      <c r="K22">
        <f ca="1">_xll.qlYieldTSDiscount($F$8,H22)</f>
        <v>0.84908793451531528</v>
      </c>
      <c r="L22" s="101">
        <f ca="1">_xll.qlYieldTSZeroRate($F$8,H22,$F$21)</f>
        <v>1.0746954118986771E-2</v>
      </c>
    </row>
    <row r="23" spans="1:12" x14ac:dyDescent="0.2">
      <c r="A23" s="86" t="str">
        <f ca="1"/>
        <v>EO3M_SWAP8Y#0046</v>
      </c>
      <c r="B23" s="87">
        <f t="shared" si="0"/>
        <v>21</v>
      </c>
      <c r="C23" s="88" t="str">
        <f ca="1"/>
        <v>EO3M_SWAP20Y</v>
      </c>
      <c r="D23" s="79"/>
      <c r="E23" s="91" t="s">
        <v>130</v>
      </c>
      <c r="F23" s="93">
        <f ca="1">_xll.qlTermStructureMaxDate($F$8)</f>
        <v>61023</v>
      </c>
      <c r="G23" s="79"/>
      <c r="H23" s="84">
        <f ca="1"/>
        <v>50066</v>
      </c>
      <c r="I23" s="85">
        <f ca="1"/>
        <v>0.77284555883917883</v>
      </c>
      <c r="J23" s="85">
        <f ca="1"/>
        <v>0.77284555883917883</v>
      </c>
      <c r="K23">
        <f ca="1">_xll.qlYieldTSDiscount($F$8,H23)</f>
        <v>0.77284555883917883</v>
      </c>
      <c r="L23" s="101">
        <f ca="1">_xll.qlYieldTSZeroRate($F$8,H23,$F$21)</f>
        <v>1.2695138381552696E-2</v>
      </c>
    </row>
    <row r="24" spans="1:12" x14ac:dyDescent="0.2">
      <c r="A24" s="86" t="str">
        <f ca="1"/>
        <v>EO3M_SWAP9Y#0046</v>
      </c>
      <c r="B24" s="87">
        <f t="shared" si="0"/>
        <v>22</v>
      </c>
      <c r="C24" s="88" t="str">
        <f ca="1"/>
        <v>EO3M_SWAP25Y</v>
      </c>
      <c r="D24" s="79"/>
      <c r="E24" s="94" t="s">
        <v>131</v>
      </c>
      <c r="F24" s="95">
        <f ca="1">_xll.qlTermStructureSettlementDays($F$8)</f>
        <v>0</v>
      </c>
      <c r="G24" s="79"/>
      <c r="H24" s="84">
        <f ca="1"/>
        <v>51893</v>
      </c>
      <c r="I24" s="85">
        <f ca="1"/>
        <v>0.71106899464373519</v>
      </c>
      <c r="J24" s="85">
        <f ca="1"/>
        <v>0.71106899464373519</v>
      </c>
      <c r="K24">
        <f ca="1">_xll.qlYieldTSDiscount($F$8,H24)</f>
        <v>0.71106899464373519</v>
      </c>
      <c r="L24" s="101">
        <f ca="1">_xll.qlYieldTSZeroRate($F$8,H24,$F$21)</f>
        <v>1.3439335822470222E-2</v>
      </c>
    </row>
    <row r="25" spans="1:12" x14ac:dyDescent="0.2">
      <c r="A25" s="86" t="str">
        <f ca="1"/>
        <v>EO3M_SWAP10Y#0046</v>
      </c>
      <c r="B25" s="87">
        <f t="shared" si="0"/>
        <v>23</v>
      </c>
      <c r="C25" s="88" t="str">
        <f ca="1"/>
        <v>EO3M_SWAP30Y</v>
      </c>
      <c r="D25" s="79"/>
      <c r="E25" s="96" t="s">
        <v>132</v>
      </c>
      <c r="F25" s="97">
        <f ca="1">_xll.qlYieldTSDiscount($F$8,$F$22)</f>
        <v>1</v>
      </c>
      <c r="G25" s="79"/>
      <c r="H25" s="84">
        <f ca="1"/>
        <v>53720</v>
      </c>
      <c r="I25" s="85">
        <f ca="1"/>
        <v>0.65759784871997917</v>
      </c>
      <c r="J25" s="85">
        <f ca="1"/>
        <v>0.65759784871997917</v>
      </c>
      <c r="K25">
        <f ca="1">_xll.qlYieldTSDiscount($F$8,H25)</f>
        <v>0.65759784871997917</v>
      </c>
      <c r="L25" s="101">
        <f ca="1">_xll.qlYieldTSZeroRate($F$8,H25,$F$21)</f>
        <v>1.3766829157597579E-2</v>
      </c>
    </row>
    <row r="26" spans="1:12" x14ac:dyDescent="0.2">
      <c r="A26" s="86" t="str">
        <f ca="1"/>
        <v>EO3M_SWAP12Y#0046</v>
      </c>
      <c r="B26" s="87">
        <f t="shared" si="0"/>
        <v>24</v>
      </c>
      <c r="C26" s="88" t="str">
        <f ca="1"/>
        <v>EO3M_SWAP40Y</v>
      </c>
      <c r="D26" s="79"/>
      <c r="E26" s="91" t="s">
        <v>133</v>
      </c>
      <c r="F26" s="98">
        <f ca="1">_xll.qlYieldTSForwardRate($F$8,$F$22,$F$22+90,$F$21,"simple","annual")</f>
        <v>-3.2873015011998241E-3</v>
      </c>
      <c r="G26" s="79"/>
      <c r="H26" s="84">
        <f ca="1"/>
        <v>57371</v>
      </c>
      <c r="I26" s="85">
        <f ca="1"/>
        <v>0.56798180607812365</v>
      </c>
      <c r="J26" s="85">
        <f ca="1"/>
        <v>0.56798180607812365</v>
      </c>
      <c r="K26">
        <f ca="1">_xll.qlYieldTSDiscount($F$8,H26)</f>
        <v>0.56798180607812365</v>
      </c>
      <c r="L26" s="101">
        <f ca="1">_xll.qlYieldTSZeroRate($F$8,H26,$F$21)</f>
        <v>1.3936471478071323E-2</v>
      </c>
    </row>
    <row r="27" spans="1:12" ht="12" thickBot="1" x14ac:dyDescent="0.25">
      <c r="A27" s="86" t="str">
        <f ca="1"/>
        <v>EO3M_SWAP15Y#0046</v>
      </c>
      <c r="B27" s="87">
        <f t="shared" si="0"/>
        <v>25</v>
      </c>
      <c r="C27" s="88" t="str">
        <f ca="1"/>
        <v>EO3M_SWAP50Y</v>
      </c>
      <c r="D27" s="79"/>
      <c r="E27" s="99" t="s">
        <v>134</v>
      </c>
      <c r="F27" s="100">
        <f ca="1">_xll.qlYieldTSZeroRate($F$8,$F$22,F21,"simple","annual")</f>
        <v>-3.3909574614909843E-3</v>
      </c>
      <c r="G27" s="79"/>
      <c r="H27" s="84">
        <f ca="1"/>
        <v>61023</v>
      </c>
      <c r="I27" s="85">
        <f ca="1"/>
        <v>0.50791906244261087</v>
      </c>
      <c r="J27" s="85">
        <f ca="1"/>
        <v>0.50791906244261087</v>
      </c>
      <c r="K27">
        <f ca="1">_xll.qlYieldTSDiscount($F$8,H27)</f>
        <v>0.50791906244261087</v>
      </c>
      <c r="L27" s="101">
        <f ca="1">_xll.qlYieldTSZeroRate($F$8,H27,$F$21)</f>
        <v>1.3352822010468076E-2</v>
      </c>
    </row>
    <row r="28" spans="1:12" x14ac:dyDescent="0.2">
      <c r="A28" s="86" t="str">
        <f ca="1"/>
        <v>EO3M_SWAP20Y#0046</v>
      </c>
      <c r="B28" s="87">
        <f t="shared" si="0"/>
        <v>26</v>
      </c>
      <c r="C28" s="88" t="e">
        <f ca="1"/>
        <v>#N/A</v>
      </c>
      <c r="D28" s="79"/>
      <c r="E28" s="79"/>
      <c r="F28" s="79"/>
      <c r="G28" s="79"/>
      <c r="H28" s="84" t="e">
        <f ca="1"/>
        <v>#N/A</v>
      </c>
      <c r="I28" s="85" t="e">
        <f ca="1"/>
        <v>#N/A</v>
      </c>
      <c r="J28" s="85" t="e">
        <f ca="1"/>
        <v>#N/A</v>
      </c>
      <c r="K28" t="e">
        <f ca="1">_xll.qlYieldTSDiscount($F$8,H28)</f>
        <v>#NUM!</v>
      </c>
      <c r="L28" s="101" t="e">
        <f ca="1">_xll.qlYieldTSZeroRate($F$8,H28,$F$21)</f>
        <v>#NUM!</v>
      </c>
    </row>
    <row r="29" spans="1:12" x14ac:dyDescent="0.2">
      <c r="A29" s="86" t="str">
        <f ca="1"/>
        <v>EO3M_SWAP25Y#0046</v>
      </c>
      <c r="B29" s="87">
        <f t="shared" si="0"/>
        <v>27</v>
      </c>
      <c r="C29" s="88" t="e">
        <f ca="1"/>
        <v>#N/A</v>
      </c>
      <c r="D29" s="79"/>
      <c r="E29" s="79"/>
      <c r="F29" s="79"/>
      <c r="G29" s="79"/>
      <c r="H29" s="84" t="e">
        <f ca="1"/>
        <v>#N/A</v>
      </c>
      <c r="I29" s="85" t="e">
        <f ca="1"/>
        <v>#N/A</v>
      </c>
      <c r="J29" s="85" t="e">
        <f ca="1"/>
        <v>#N/A</v>
      </c>
      <c r="K29" t="e">
        <f ca="1">_xll.qlYieldTSDiscount($F$8,H29)</f>
        <v>#NUM!</v>
      </c>
      <c r="L29" s="101" t="e">
        <f ca="1">_xll.qlYieldTSZeroRate($F$8,H29,$F$21)</f>
        <v>#NUM!</v>
      </c>
    </row>
    <row r="30" spans="1:12" x14ac:dyDescent="0.2">
      <c r="A30" s="86" t="str">
        <f ca="1"/>
        <v>EO3M_SWAP30Y#0046</v>
      </c>
      <c r="B30" s="87">
        <f t="shared" si="0"/>
        <v>28</v>
      </c>
      <c r="C30" s="88" t="e">
        <f ca="1"/>
        <v>#N/A</v>
      </c>
      <c r="D30" s="79"/>
      <c r="E30" s="79"/>
      <c r="F30" s="79"/>
      <c r="G30" s="79"/>
      <c r="H30" s="84" t="e">
        <f ca="1"/>
        <v>#N/A</v>
      </c>
      <c r="I30" s="85" t="e">
        <f ca="1"/>
        <v>#N/A</v>
      </c>
      <c r="J30" s="85" t="e">
        <f ca="1"/>
        <v>#N/A</v>
      </c>
      <c r="K30" t="e">
        <f ca="1">_xll.qlYieldTSDiscount($F$8,H30)</f>
        <v>#NUM!</v>
      </c>
      <c r="L30" s="101" t="e">
        <f ca="1">_xll.qlYieldTSZeroRate($F$8,H30,$F$21)</f>
        <v>#NUM!</v>
      </c>
    </row>
    <row r="31" spans="1:12" x14ac:dyDescent="0.2">
      <c r="A31" s="86" t="str">
        <f ca="1"/>
        <v>EO3M_SWAP40Y#0046</v>
      </c>
      <c r="B31" s="87">
        <f t="shared" si="0"/>
        <v>29</v>
      </c>
      <c r="C31" s="88" t="e">
        <f ca="1"/>
        <v>#N/A</v>
      </c>
      <c r="D31" s="79"/>
      <c r="E31" s="79"/>
      <c r="F31" s="79"/>
      <c r="G31" s="79"/>
      <c r="H31" s="84" t="e">
        <f ca="1"/>
        <v>#N/A</v>
      </c>
      <c r="I31" s="85" t="e">
        <f ca="1"/>
        <v>#N/A</v>
      </c>
      <c r="J31" s="85" t="e">
        <f ca="1"/>
        <v>#N/A</v>
      </c>
      <c r="K31" t="e">
        <f ca="1">_xll.qlYieldTSDiscount($F$8,H31)</f>
        <v>#NUM!</v>
      </c>
      <c r="L31" s="101" t="e">
        <f ca="1">_xll.qlYieldTSZeroRate($F$8,H31,$F$21)</f>
        <v>#NUM!</v>
      </c>
    </row>
    <row r="32" spans="1:12" x14ac:dyDescent="0.2">
      <c r="A32" s="86" t="str">
        <f ca="1"/>
        <v>EO3M_SWAP50Y#0046</v>
      </c>
      <c r="B32" s="87">
        <f t="shared" si="0"/>
        <v>30</v>
      </c>
      <c r="C32" s="88" t="e">
        <f ca="1"/>
        <v>#N/A</v>
      </c>
      <c r="D32" s="79"/>
      <c r="E32" s="79"/>
      <c r="F32" s="79"/>
      <c r="G32" s="79"/>
      <c r="H32" s="84" t="e">
        <f ca="1"/>
        <v>#N/A</v>
      </c>
      <c r="I32" s="85" t="e">
        <f ca="1"/>
        <v>#N/A</v>
      </c>
      <c r="J32" s="85" t="e">
        <f ca="1"/>
        <v>#N/A</v>
      </c>
      <c r="K32" t="e">
        <f ca="1">_xll.qlYieldTSDiscount($F$8,H32)</f>
        <v>#NUM!</v>
      </c>
      <c r="L32" s="101" t="e">
        <f ca="1">_xll.qlYieldTSZeroRate($F$8,H32,$F$21)</f>
        <v>#NUM!</v>
      </c>
    </row>
    <row r="33" spans="1:12" x14ac:dyDescent="0.2">
      <c r="A33" s="86">
        <v>0</v>
      </c>
      <c r="B33" s="87">
        <f t="shared" si="0"/>
        <v>31</v>
      </c>
      <c r="C33" s="88" t="e">
        <f ca="1"/>
        <v>#N/A</v>
      </c>
      <c r="D33" s="79"/>
      <c r="E33" s="79"/>
      <c r="F33" s="79"/>
      <c r="G33" s="79"/>
      <c r="H33" s="84" t="e">
        <f ca="1"/>
        <v>#N/A</v>
      </c>
      <c r="I33" s="85" t="e">
        <f ca="1"/>
        <v>#N/A</v>
      </c>
      <c r="J33" s="85" t="e">
        <f ca="1"/>
        <v>#N/A</v>
      </c>
      <c r="K33" t="e">
        <f ca="1">_xll.qlYieldTSDiscount($F$8,H33)</f>
        <v>#NUM!</v>
      </c>
      <c r="L33" s="101" t="e">
        <f ca="1">_xll.qlYieldTSZeroRate($F$8,H33,$F$21)</f>
        <v>#NUM!</v>
      </c>
    </row>
    <row r="34" spans="1:12" x14ac:dyDescent="0.2">
      <c r="A34" s="86" t="e">
        <v>#N/A</v>
      </c>
      <c r="B34" s="87">
        <f t="shared" si="0"/>
        <v>32</v>
      </c>
      <c r="C34" s="88" t="e">
        <f ca="1"/>
        <v>#N/A</v>
      </c>
      <c r="H34" s="84" t="e">
        <f ca="1"/>
        <v>#N/A</v>
      </c>
      <c r="I34" s="85" t="e">
        <f ca="1"/>
        <v>#N/A</v>
      </c>
      <c r="J34" s="85" t="e">
        <f ca="1"/>
        <v>#N/A</v>
      </c>
      <c r="K34" t="e">
        <f ca="1">_xll.qlYieldTSDiscount($F$8,H34)</f>
        <v>#NUM!</v>
      </c>
      <c r="L34" s="101" t="e">
        <f ca="1">_xll.qlYieldTSZeroRate($F$8,H34,$F$21)</f>
        <v>#NUM!</v>
      </c>
    </row>
    <row r="35" spans="1:12" x14ac:dyDescent="0.2">
      <c r="A35" s="86" t="e">
        <v>#N/A</v>
      </c>
      <c r="B35" s="87">
        <f t="shared" si="0"/>
        <v>33</v>
      </c>
      <c r="C35" s="88" t="e">
        <f ca="1"/>
        <v>#N/A</v>
      </c>
      <c r="H35" s="84" t="e">
        <f ca="1"/>
        <v>#N/A</v>
      </c>
      <c r="I35" s="85" t="e">
        <f ca="1"/>
        <v>#N/A</v>
      </c>
      <c r="J35" s="85" t="e">
        <f ca="1"/>
        <v>#N/A</v>
      </c>
      <c r="K35" t="e">
        <f ca="1">_xll.qlYieldTSDiscount($F$8,H35)</f>
        <v>#NUM!</v>
      </c>
      <c r="L35" s="101" t="e">
        <f ca="1">_xll.qlYieldTSZeroRate($F$8,H35,$F$21)</f>
        <v>#NUM!</v>
      </c>
    </row>
    <row r="36" spans="1:12" x14ac:dyDescent="0.2">
      <c r="A36" s="86" t="e">
        <v>#N/A</v>
      </c>
      <c r="B36" s="87">
        <f t="shared" si="0"/>
        <v>34</v>
      </c>
      <c r="C36" s="88" t="e">
        <f ca="1"/>
        <v>#N/A</v>
      </c>
      <c r="H36" s="84" t="e">
        <f ca="1"/>
        <v>#N/A</v>
      </c>
      <c r="I36" s="85" t="e">
        <f ca="1"/>
        <v>#N/A</v>
      </c>
      <c r="J36" s="85" t="e">
        <f ca="1"/>
        <v>#N/A</v>
      </c>
      <c r="K36" t="e">
        <f ca="1">_xll.qlYieldTSDiscount($F$8,H36)</f>
        <v>#NUM!</v>
      </c>
      <c r="L36" s="101" t="e">
        <f ca="1">_xll.qlYieldTSZeroRate($F$8,H36,$F$21)</f>
        <v>#NUM!</v>
      </c>
    </row>
    <row r="37" spans="1:12" x14ac:dyDescent="0.2">
      <c r="A37" s="86" t="e">
        <v>#N/A</v>
      </c>
      <c r="B37" s="87">
        <f t="shared" si="0"/>
        <v>35</v>
      </c>
      <c r="C37" s="88" t="e">
        <f ca="1"/>
        <v>#N/A</v>
      </c>
      <c r="H37" s="84" t="e">
        <f ca="1"/>
        <v>#N/A</v>
      </c>
      <c r="I37" s="85" t="e">
        <f ca="1"/>
        <v>#N/A</v>
      </c>
      <c r="J37" s="85" t="e">
        <f ca="1"/>
        <v>#N/A</v>
      </c>
      <c r="K37" t="e">
        <f ca="1">_xll.qlYieldTSDiscount($F$8,H37)</f>
        <v>#NUM!</v>
      </c>
      <c r="L37" s="101" t="e">
        <f ca="1">_xll.qlYieldTSZeroRate($F$8,H37,$F$21)</f>
        <v>#NUM!</v>
      </c>
    </row>
    <row r="38" spans="1:12" x14ac:dyDescent="0.2">
      <c r="A38" s="86" t="e">
        <v>#N/A</v>
      </c>
      <c r="B38" s="87">
        <f t="shared" si="0"/>
        <v>36</v>
      </c>
      <c r="C38" s="88" t="e">
        <f ca="1"/>
        <v>#N/A</v>
      </c>
      <c r="H38" s="84" t="e">
        <f ca="1"/>
        <v>#N/A</v>
      </c>
      <c r="I38" s="85" t="e">
        <f ca="1"/>
        <v>#N/A</v>
      </c>
      <c r="J38" s="85" t="e">
        <f ca="1"/>
        <v>#N/A</v>
      </c>
      <c r="K38" t="e">
        <f ca="1">_xll.qlYieldTSDiscount($F$8,H38)</f>
        <v>#NUM!</v>
      </c>
      <c r="L38" s="101" t="e">
        <f ca="1">_xll.qlYieldTSZeroRate($F$8,H38,$F$21)</f>
        <v>#NUM!</v>
      </c>
    </row>
    <row r="39" spans="1:12" x14ac:dyDescent="0.2">
      <c r="A39" s="86" t="e">
        <v>#N/A</v>
      </c>
      <c r="B39" s="87">
        <f t="shared" si="0"/>
        <v>37</v>
      </c>
      <c r="C39" s="88" t="e">
        <f ca="1"/>
        <v>#N/A</v>
      </c>
      <c r="H39" s="84" t="e">
        <f ca="1"/>
        <v>#N/A</v>
      </c>
      <c r="I39" s="85" t="e">
        <f ca="1"/>
        <v>#N/A</v>
      </c>
      <c r="J39" s="85" t="e">
        <f ca="1"/>
        <v>#N/A</v>
      </c>
      <c r="K39" t="e">
        <f ca="1">_xll.qlYieldTSDiscount($F$8,H39)</f>
        <v>#NUM!</v>
      </c>
      <c r="L39" s="101" t="e">
        <f ca="1">_xll.qlYieldTSZeroRate($F$8,H39,$F$21)</f>
        <v>#NUM!</v>
      </c>
    </row>
    <row r="40" spans="1:12" x14ac:dyDescent="0.2">
      <c r="A40" s="86" t="e">
        <v>#N/A</v>
      </c>
      <c r="B40" s="87">
        <f t="shared" si="0"/>
        <v>38</v>
      </c>
      <c r="C40" s="88" t="e">
        <f ca="1"/>
        <v>#N/A</v>
      </c>
      <c r="H40" s="84" t="e">
        <f ca="1"/>
        <v>#N/A</v>
      </c>
      <c r="I40" s="85" t="e">
        <f ca="1"/>
        <v>#N/A</v>
      </c>
      <c r="J40" s="85" t="e">
        <f ca="1"/>
        <v>#N/A</v>
      </c>
      <c r="K40" t="e">
        <f ca="1">_xll.qlYieldTSDiscount($F$8,H40)</f>
        <v>#NUM!</v>
      </c>
      <c r="L40" s="101" t="e">
        <f ca="1">_xll.qlYieldTSZeroRate($F$8,H40,$F$21)</f>
        <v>#NUM!</v>
      </c>
    </row>
    <row r="41" spans="1:12" x14ac:dyDescent="0.2">
      <c r="A41" s="86" t="e">
        <v>#N/A</v>
      </c>
      <c r="B41" s="87">
        <f t="shared" si="0"/>
        <v>39</v>
      </c>
      <c r="C41" s="88" t="e">
        <f ca="1"/>
        <v>#N/A</v>
      </c>
      <c r="H41" s="84" t="e">
        <f ca="1"/>
        <v>#N/A</v>
      </c>
      <c r="I41" s="85" t="e">
        <f ca="1"/>
        <v>#N/A</v>
      </c>
      <c r="J41" s="85" t="e">
        <f ca="1"/>
        <v>#N/A</v>
      </c>
      <c r="K41" t="e">
        <f ca="1">_xll.qlYieldTSDiscount($F$8,H41)</f>
        <v>#NUM!</v>
      </c>
      <c r="L41" s="101" t="e">
        <f ca="1">_xll.qlYieldTSZeroRate($F$8,H41,$F$21)</f>
        <v>#NUM!</v>
      </c>
    </row>
    <row r="42" spans="1:12" x14ac:dyDescent="0.2">
      <c r="A42" s="86" t="e">
        <v>#N/A</v>
      </c>
      <c r="B42" s="87">
        <f t="shared" si="0"/>
        <v>40</v>
      </c>
      <c r="C42" s="88" t="e">
        <f ca="1"/>
        <v>#N/A</v>
      </c>
      <c r="H42" s="84" t="e">
        <f ca="1"/>
        <v>#N/A</v>
      </c>
      <c r="I42" s="85" t="e">
        <f ca="1"/>
        <v>#N/A</v>
      </c>
      <c r="J42" s="85" t="e">
        <f ca="1"/>
        <v>#N/A</v>
      </c>
      <c r="K42" t="e">
        <f ca="1">_xll.qlYieldTSDiscount($F$8,H42)</f>
        <v>#NUM!</v>
      </c>
      <c r="L42" s="101" t="e">
        <f ca="1">_xll.qlYieldTSZeroRate($F$8,H42,$F$21)</f>
        <v>#NUM!</v>
      </c>
    </row>
    <row r="43" spans="1:12" x14ac:dyDescent="0.2">
      <c r="A43" s="86" t="e">
        <v>#N/A</v>
      </c>
      <c r="B43" s="87">
        <f t="shared" si="0"/>
        <v>41</v>
      </c>
      <c r="C43" s="88" t="e">
        <f ca="1"/>
        <v>#N/A</v>
      </c>
    </row>
    <row r="44" spans="1:12" x14ac:dyDescent="0.2">
      <c r="A44" s="86" t="e">
        <v>#N/A</v>
      </c>
      <c r="B44" s="87">
        <f t="shared" si="0"/>
        <v>42</v>
      </c>
      <c r="C44" s="88" t="e">
        <f ca="1"/>
        <v>#N/A</v>
      </c>
    </row>
    <row r="45" spans="1:12" x14ac:dyDescent="0.2">
      <c r="A45" s="86" t="e">
        <v>#N/A</v>
      </c>
      <c r="B45" s="87">
        <f t="shared" si="0"/>
        <v>43</v>
      </c>
      <c r="C45" s="88" t="e">
        <f ca="1"/>
        <v>#N/A</v>
      </c>
    </row>
    <row r="46" spans="1:12" x14ac:dyDescent="0.2">
      <c r="A46" s="86" t="e">
        <v>#N/A</v>
      </c>
      <c r="B46" s="87">
        <f t="shared" si="0"/>
        <v>44</v>
      </c>
      <c r="C46" s="88" t="e">
        <f ca="1"/>
        <v>#N/A</v>
      </c>
    </row>
    <row r="47" spans="1:12" x14ac:dyDescent="0.2">
      <c r="A47" s="86" t="e">
        <v>#N/A</v>
      </c>
      <c r="B47" s="87">
        <f t="shared" si="0"/>
        <v>45</v>
      </c>
      <c r="C47" s="88" t="e">
        <f ca="1"/>
        <v>#N/A</v>
      </c>
    </row>
    <row r="48" spans="1:12" x14ac:dyDescent="0.2">
      <c r="A48" s="86" t="e">
        <v>#N/A</v>
      </c>
      <c r="B48" s="87">
        <f t="shared" si="0"/>
        <v>46</v>
      </c>
      <c r="C48" s="88" t="e">
        <f ca="1"/>
        <v>#N/A</v>
      </c>
    </row>
  </sheetData>
  <dataValidations count="5">
    <dataValidation type="list" allowBlank="1" showInputMessage="1" showErrorMessage="1" sqref="F12" xr:uid="{00000000-0002-0000-1300-000000000000}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F13" xr:uid="{00000000-0002-0000-1300-000001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5" xr:uid="{00000000-0002-0000-1300-000002000000}">
      <formula1>"AllDepos,DeposBeforeFirstFuturesStartDate,DeposBeforeFirstFuturesStartDatePlusOne,DeposBeforeFirstFuturesExpiryDate"</formula1>
    </dataValidation>
    <dataValidation type="list" allowBlank="1" showInputMessage="1" showErrorMessage="1" sqref="F15" xr:uid="{00000000-0002-0000-1300-000003000000}">
      <formula1>"BackwardFlat,ForwardFlat,Linear,LogLinear,Cubic,LogCubic"</formula1>
    </dataValidation>
    <dataValidation type="list" allowBlank="1" showInputMessage="1" showErrorMessage="1" sqref="F14" xr:uid="{00000000-0002-0000-1300-000004000000}">
      <formula1>"Discount,ZeroYield,ForwardRate"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1:T48"/>
  <sheetViews>
    <sheetView workbookViewId="0">
      <selection activeCell="F14" sqref="F14:F15"/>
    </sheetView>
  </sheetViews>
  <sheetFormatPr defaultRowHeight="11.25" x14ac:dyDescent="0.2"/>
  <cols>
    <col min="1" max="1" width="32.33203125" customWidth="1"/>
    <col min="3" max="3" width="20.1640625" customWidth="1"/>
    <col min="5" max="5" width="46.1640625" customWidth="1"/>
    <col min="6" max="6" width="19.83203125" customWidth="1"/>
    <col min="8" max="8" width="20.83203125" customWidth="1"/>
    <col min="9" max="9" width="15.5" customWidth="1"/>
    <col min="10" max="10" width="14.1640625" bestFit="1" customWidth="1"/>
    <col min="11" max="15" width="10.1640625" customWidth="1"/>
  </cols>
  <sheetData>
    <row r="1" spans="1:20" ht="12" thickBot="1" x14ac:dyDescent="0.25">
      <c r="A1" s="79"/>
      <c r="B1" s="79"/>
      <c r="C1" s="79"/>
      <c r="D1" s="79"/>
      <c r="E1" s="79"/>
      <c r="F1" s="79"/>
      <c r="G1" s="79"/>
      <c r="H1" s="80" t="s">
        <v>111</v>
      </c>
      <c r="I1" s="81" t="s">
        <v>112</v>
      </c>
      <c r="J1" s="81" t="s">
        <v>112</v>
      </c>
    </row>
    <row r="2" spans="1:20" x14ac:dyDescent="0.2">
      <c r="A2" s="80" t="s">
        <v>113</v>
      </c>
      <c r="B2" s="82" t="s">
        <v>114</v>
      </c>
      <c r="C2" s="81" t="s">
        <v>115</v>
      </c>
      <c r="D2" s="79"/>
      <c r="E2" s="41" t="s">
        <v>116</v>
      </c>
      <c r="F2" s="83">
        <v>0</v>
      </c>
      <c r="G2" s="79"/>
      <c r="H2" s="84">
        <f t="array" aca="1" ref="H2:H42" ca="1">_xll.qlPiecewiseYieldCurveDates(F8)</f>
        <v>42759</v>
      </c>
      <c r="I2" s="85">
        <f t="array" aca="1" ref="I2:I42" ca="1">_xll.qlPiecewiseYieldCurveData(F8)</f>
        <v>1</v>
      </c>
      <c r="J2" s="85">
        <f t="array" aca="1" ref="J2:J42" ca="1">_xll.qlPiecewiseYieldCurveData(F8,"ZeroYield")</f>
        <v>1</v>
      </c>
      <c r="K2">
        <f ca="1">_xll.qlYieldTSDiscount($F$8,H2)</f>
        <v>1</v>
      </c>
      <c r="L2" s="101">
        <f ca="1">_xll.qlYieldTSZeroRate($F$8,H2,$F$21)</f>
        <v>-3.4380546757698757E-3</v>
      </c>
      <c r="R2" s="86" t="s">
        <v>138</v>
      </c>
      <c r="S2" t="e">
        <f>_xll.qlRateHelperImpliedQuote(R2)</f>
        <v>#NUM!</v>
      </c>
      <c r="T2" t="e">
        <f>_xll.qlSwapRateHelperForwardStart(R2)</f>
        <v>#NUM!</v>
      </c>
    </row>
    <row r="3" spans="1:20" x14ac:dyDescent="0.2">
      <c r="A3" s="86" t="str">
        <f t="array" ref="A3:A48">'EUR RateHelpers'!O2:O47</f>
        <v>EURIB_DepoON</v>
      </c>
      <c r="B3" s="87">
        <v>1</v>
      </c>
      <c r="C3" s="88" t="str">
        <f t="array" ref="C3:C48">_xll.qlRateHelperSelection(A3:A48,B3:B48,F2,F3,F4,F5,F6)</f>
        <v>EURIB_Depo2M</v>
      </c>
      <c r="D3" s="79"/>
      <c r="E3" s="46" t="s">
        <v>117</v>
      </c>
      <c r="F3" s="89">
        <v>0</v>
      </c>
      <c r="G3" s="79"/>
      <c r="H3" s="84">
        <f ca="1"/>
        <v>42821</v>
      </c>
      <c r="I3" s="85">
        <f ca="1"/>
        <v>1.0005841688886283</v>
      </c>
      <c r="J3" s="85">
        <f ca="1"/>
        <v>1.0005841688886283</v>
      </c>
      <c r="K3">
        <f ca="1">_xll.qlYieldTSDiscount($F$8,H3)</f>
        <v>1.0005841688886283</v>
      </c>
      <c r="L3" s="101">
        <f ca="1">_xll.qlYieldTSZeroRate($F$8,H3,$F$21)</f>
        <v>-3.4380546752811342E-3</v>
      </c>
      <c r="R3" s="86" t="s">
        <v>139</v>
      </c>
      <c r="S3" t="e">
        <f>_xll.qlRateHelperImpliedQuote(R3)</f>
        <v>#NUM!</v>
      </c>
      <c r="T3" t="e">
        <f>_xll.qlSwapRateHelperForwardStart(R3)</f>
        <v>#NUM!</v>
      </c>
    </row>
    <row r="4" spans="1:20" x14ac:dyDescent="0.2">
      <c r="A4" s="86" t="str">
        <v>EURIB_DepoTN</v>
      </c>
      <c r="B4" s="87">
        <v>2</v>
      </c>
      <c r="C4" s="88" t="str">
        <v>EURIB_Depo3M</v>
      </c>
      <c r="D4" s="79"/>
      <c r="E4" s="46" t="s">
        <v>118</v>
      </c>
      <c r="F4" s="89">
        <v>3</v>
      </c>
      <c r="G4" s="79"/>
      <c r="H4" s="84">
        <f ca="1"/>
        <v>42851</v>
      </c>
      <c r="I4" s="85">
        <f ca="1"/>
        <v>1.000839527245545</v>
      </c>
      <c r="J4" s="85">
        <f ca="1"/>
        <v>1.000839527245545</v>
      </c>
      <c r="K4">
        <f ca="1">_xll.qlYieldTSDiscount($F$8,H4)</f>
        <v>1.000839527245545</v>
      </c>
      <c r="L4" s="101">
        <f ca="1">_xll.qlYieldTSZeroRate($F$8,H4,$F$21)</f>
        <v>-3.3293357551631643E-3</v>
      </c>
      <c r="R4" s="86" t="s">
        <v>140</v>
      </c>
      <c r="S4" t="e">
        <f>_xll.qlRateHelperImpliedQuote(R4)</f>
        <v>#NUM!</v>
      </c>
      <c r="T4" t="e">
        <f>_xll.qlSwapRateHelperForwardStart(R4)</f>
        <v>#NUM!</v>
      </c>
    </row>
    <row r="5" spans="1:20" x14ac:dyDescent="0.2">
      <c r="A5" s="86" t="str">
        <v>EURIB_Depo1W</v>
      </c>
      <c r="B5" s="87">
        <v>3</v>
      </c>
      <c r="C5" s="88" t="str">
        <v>EURIB_Depo6M</v>
      </c>
      <c r="D5" s="79"/>
      <c r="E5" s="46" t="s">
        <v>119</v>
      </c>
      <c r="F5" s="47" t="s">
        <v>120</v>
      </c>
      <c r="G5" s="79"/>
      <c r="H5" s="84">
        <f ca="1"/>
        <v>42942</v>
      </c>
      <c r="I5" s="85">
        <f ca="1"/>
        <v>1.0012370662213879</v>
      </c>
      <c r="J5" s="85">
        <f ca="1"/>
        <v>1.0012370662213879</v>
      </c>
      <c r="K5">
        <f ca="1">_xll.qlYieldTSDiscount($F$8,H5)</f>
        <v>1.0012370662213879</v>
      </c>
      <c r="L5" s="101">
        <f ca="1">_xll.qlYieldTSZeroRate($F$8,H5,$F$21)</f>
        <v>-2.4658476239370264E-3</v>
      </c>
      <c r="R5" s="86" t="s">
        <v>141</v>
      </c>
      <c r="S5" t="e">
        <f>_xll.qlRateHelperImpliedQuote(R5)</f>
        <v>#NUM!</v>
      </c>
      <c r="T5" t="e">
        <f>_xll.qlSwapRateHelperForwardStart(R5)</f>
        <v>#NUM!</v>
      </c>
    </row>
    <row r="6" spans="1:20" ht="12" thickBot="1" x14ac:dyDescent="0.25">
      <c r="A6" s="86" t="str">
        <v>EURIB_Depo2W</v>
      </c>
      <c r="B6" s="87">
        <v>4</v>
      </c>
      <c r="C6" s="88" t="str">
        <v>EURIB_FRA2x8</v>
      </c>
      <c r="D6" s="79"/>
      <c r="E6" s="43" t="s">
        <v>6</v>
      </c>
      <c r="F6" s="48">
        <v>30</v>
      </c>
      <c r="G6" s="79"/>
      <c r="H6" s="84">
        <f ca="1"/>
        <v>43004</v>
      </c>
      <c r="I6" s="85">
        <f ca="1"/>
        <v>1.001769813857518</v>
      </c>
      <c r="J6" s="85">
        <f ca="1"/>
        <v>1.001769813857518</v>
      </c>
      <c r="K6">
        <f ca="1">_xll.qlYieldTSDiscount($F$8,H6)</f>
        <v>1.001769813857518</v>
      </c>
      <c r="L6" s="101">
        <f ca="1">_xll.qlYieldTSZeroRate($F$8,H6,$F$21)</f>
        <v>-2.6343310104419058E-3</v>
      </c>
      <c r="R6" s="86" t="s">
        <v>142</v>
      </c>
      <c r="S6" t="e">
        <f>_xll.qlRateHelperImpliedQuote(R6)</f>
        <v>#NUM!</v>
      </c>
      <c r="T6" t="e">
        <f>_xll.qlSwapRateHelperForwardStart(R6)</f>
        <v>#NUM!</v>
      </c>
    </row>
    <row r="7" spans="1:20" ht="12" thickBot="1" x14ac:dyDescent="0.25">
      <c r="A7" s="86" t="str">
        <v>EURIB_Depo1M</v>
      </c>
      <c r="B7" s="87">
        <v>5</v>
      </c>
      <c r="C7" s="88" t="str">
        <v>EURIB_FRA3x9</v>
      </c>
      <c r="D7" s="79"/>
      <c r="E7" s="79"/>
      <c r="F7" s="79"/>
      <c r="G7" s="79"/>
      <c r="H7" s="84">
        <f ca="1"/>
        <v>43034</v>
      </c>
      <c r="I7" s="85">
        <f ca="1"/>
        <v>1.0019906475010825</v>
      </c>
      <c r="J7" s="85">
        <f ca="1"/>
        <v>1.0019906475010825</v>
      </c>
      <c r="K7">
        <f ca="1">_xll.qlYieldTSDiscount($F$8,H7)</f>
        <v>1.0019906475010825</v>
      </c>
      <c r="L7" s="101">
        <f ca="1">_xll.qlYieldTSZeroRate($F$8,H7,$F$21)</f>
        <v>-2.6395058457018665E-3</v>
      </c>
      <c r="R7" s="86" t="s">
        <v>143</v>
      </c>
      <c r="S7" t="e">
        <f>_xll.qlRateHelperImpliedQuote(R7)</f>
        <v>#NUM!</v>
      </c>
      <c r="T7" t="e">
        <f>_xll.qlSwapRateHelperForwardStart(R7)</f>
        <v>#NUM!</v>
      </c>
    </row>
    <row r="8" spans="1:20" x14ac:dyDescent="0.2">
      <c r="A8" s="86" t="str">
        <v>EURIB_Depo2M</v>
      </c>
      <c r="B8" s="87">
        <v>6</v>
      </c>
      <c r="C8" s="88" t="str">
        <v>EURIB_FRA4x10</v>
      </c>
      <c r="D8" s="79"/>
      <c r="E8" s="41" t="s">
        <v>121</v>
      </c>
      <c r="F8" s="42" t="str">
        <f ca="1">_xll.qlPiecewiseYieldCurve(F10,F11,F12,_xll.ohPack(C3:C48),F13,,,F16,F14,F15,F17,F18)</f>
        <v>EURIB#0046</v>
      </c>
      <c r="G8" s="79"/>
      <c r="H8" s="84">
        <f ca="1"/>
        <v>43066</v>
      </c>
      <c r="I8" s="85">
        <f ca="1"/>
        <v>1.0020931893384017</v>
      </c>
      <c r="J8" s="85">
        <f ca="1"/>
        <v>1.0020931893384017</v>
      </c>
      <c r="K8">
        <f ca="1">_xll.qlYieldTSDiscount($F$8,H8)</f>
        <v>1.0020931893384017</v>
      </c>
      <c r="L8" s="101">
        <f ca="1">_xll.qlYieldTSZeroRate($F$8,H8,$F$21)</f>
        <v>-2.4860443306266833E-3</v>
      </c>
      <c r="R8" s="86" t="s">
        <v>144</v>
      </c>
      <c r="S8" t="e">
        <f>_xll.qlRateHelperImpliedQuote(R8)</f>
        <v>#NUM!</v>
      </c>
      <c r="T8" t="e">
        <f>_xll.qlSwapRateHelperForwardStart(R8)</f>
        <v>#NUM!</v>
      </c>
    </row>
    <row r="9" spans="1:20" ht="12" thickBot="1" x14ac:dyDescent="0.25">
      <c r="A9" s="86" t="str">
        <v>EURIB_Depo3M</v>
      </c>
      <c r="B9" s="87">
        <v>7</v>
      </c>
      <c r="C9" s="88" t="str">
        <v>EURIB_FRA5x11</v>
      </c>
      <c r="D9" s="79"/>
      <c r="E9" s="43" t="s">
        <v>7</v>
      </c>
      <c r="F9" s="44" t="str">
        <f ca="1">_xll.ohRangeRetrieveError(F8)</f>
        <v/>
      </c>
      <c r="G9" s="79"/>
      <c r="H9" s="84">
        <f ca="1"/>
        <v>43096</v>
      </c>
      <c r="I9" s="85">
        <f ca="1"/>
        <v>1.0021765392215198</v>
      </c>
      <c r="J9" s="85">
        <f ca="1"/>
        <v>1.0021765392215198</v>
      </c>
      <c r="K9">
        <f ca="1">_xll.qlYieldTSDiscount($F$8,H9)</f>
        <v>1.0021765392215198</v>
      </c>
      <c r="L9" s="101">
        <f ca="1">_xll.qlYieldTSZeroRate($F$8,H9,$F$21)</f>
        <v>-2.3548175277962853E-3</v>
      </c>
      <c r="Q9" t="str">
        <f ca="1">F9</f>
        <v/>
      </c>
      <c r="R9" s="86" t="s">
        <v>145</v>
      </c>
      <c r="S9" t="e">
        <f>_xll.qlRateHelperImpliedQuote(R9)</f>
        <v>#NUM!</v>
      </c>
      <c r="T9" t="e">
        <f>_xll.qlSwapRateHelperForwardStart(R9)</f>
        <v>#NUM!</v>
      </c>
    </row>
    <row r="10" spans="1:20" x14ac:dyDescent="0.2">
      <c r="A10" s="86" t="str">
        <v>EURIB_Depo6M</v>
      </c>
      <c r="B10" s="87">
        <v>8</v>
      </c>
      <c r="C10" s="88" t="str">
        <v>EURIB_FRA6x12</v>
      </c>
      <c r="D10" s="79"/>
      <c r="E10" s="41" t="s">
        <v>1</v>
      </c>
      <c r="F10" s="45" t="s">
        <v>191</v>
      </c>
      <c r="G10" s="79"/>
      <c r="H10" s="84">
        <f ca="1"/>
        <v>43126</v>
      </c>
      <c r="I10" s="85">
        <f ca="1"/>
        <v>1.0022564724156657</v>
      </c>
      <c r="J10" s="85">
        <f ca="1"/>
        <v>1.0022564724156657</v>
      </c>
      <c r="K10">
        <f ca="1">_xll.qlYieldTSDiscount($F$8,H10)</f>
        <v>1.0022564724156657</v>
      </c>
      <c r="L10" s="101">
        <f ca="1">_xll.qlYieldTSZeroRate($F$8,H10,$F$21)</f>
        <v>-2.2416474055682446E-3</v>
      </c>
      <c r="R10" s="86" t="s">
        <v>146</v>
      </c>
      <c r="S10" t="e">
        <f>_xll.qlRateHelperImpliedQuote(R10)</f>
        <v>#NUM!</v>
      </c>
      <c r="T10" t="e">
        <f>_xll.qlSwapRateHelperForwardStart(R10)</f>
        <v>#NUM!</v>
      </c>
    </row>
    <row r="11" spans="1:20" x14ac:dyDescent="0.2">
      <c r="A11" s="86" t="str">
        <v>EURIB_FRA1x7</v>
      </c>
      <c r="B11" s="87">
        <v>9</v>
      </c>
      <c r="C11" s="88" t="str">
        <v>EURIB_FRA12x18</v>
      </c>
      <c r="D11" s="79"/>
      <c r="E11" s="46" t="s">
        <v>2</v>
      </c>
      <c r="F11" s="47">
        <v>0</v>
      </c>
      <c r="G11" s="79"/>
      <c r="H11" s="84">
        <f ca="1"/>
        <v>43307</v>
      </c>
      <c r="I11" s="85">
        <f ca="1"/>
        <v>1.0029574003388637</v>
      </c>
      <c r="J11" s="85">
        <f ca="1"/>
        <v>1.0029574003388637</v>
      </c>
      <c r="K11">
        <f ca="1">_xll.qlYieldTSDiscount($F$8,H11)</f>
        <v>1.0029574003388637</v>
      </c>
      <c r="L11" s="101">
        <f ca="1">_xll.qlYieldTSZeroRate($F$8,H11,$F$21)</f>
        <v>-1.9668943051091045E-3</v>
      </c>
      <c r="R11" s="86" t="s">
        <v>147</v>
      </c>
      <c r="S11" t="e">
        <f>_xll.qlRateHelperImpliedQuote(R11)</f>
        <v>#NUM!</v>
      </c>
      <c r="T11" t="e">
        <f>_xll.qlSwapRateHelperForwardStart(R11)</f>
        <v>#NUM!</v>
      </c>
    </row>
    <row r="12" spans="1:20" x14ac:dyDescent="0.2">
      <c r="A12" s="86" t="str">
        <v>EURIB_FRA2x8</v>
      </c>
      <c r="B12" s="87">
        <v>10</v>
      </c>
      <c r="C12" s="88" t="str">
        <v>EURIB_SWAP2Y</v>
      </c>
      <c r="D12" s="79"/>
      <c r="E12" s="46" t="s">
        <v>3</v>
      </c>
      <c r="F12" s="47" t="s">
        <v>98</v>
      </c>
      <c r="G12" s="79"/>
      <c r="H12" s="84">
        <f ca="1"/>
        <v>43493</v>
      </c>
      <c r="I12" s="85">
        <f ca="1"/>
        <v>1.0033171208599434</v>
      </c>
      <c r="J12" s="85">
        <f ca="1"/>
        <v>1.0033171208599434</v>
      </c>
      <c r="K12">
        <f ca="1">_xll.qlYieldTSDiscount($F$8,H12)</f>
        <v>1.0033171208599434</v>
      </c>
      <c r="L12" s="101">
        <f ca="1">_xll.qlYieldTSZeroRate($F$8,H12,$F$21)</f>
        <v>-1.6467921567184687E-3</v>
      </c>
      <c r="R12" s="86" t="s">
        <v>148</v>
      </c>
      <c r="S12" t="e">
        <f>_xll.qlRateHelperImpliedQuote(R12)</f>
        <v>#NUM!</v>
      </c>
      <c r="T12" t="e">
        <f>_xll.qlSwapRateHelperForwardStart(R12)</f>
        <v>#NUM!</v>
      </c>
    </row>
    <row r="13" spans="1:20" x14ac:dyDescent="0.2">
      <c r="A13" s="86" t="str">
        <v>EURIB_FRA3x9</v>
      </c>
      <c r="B13" s="87">
        <v>11</v>
      </c>
      <c r="C13" s="88" t="str">
        <v>EURIB_SWAP3Y</v>
      </c>
      <c r="D13" s="79"/>
      <c r="E13" s="46" t="s">
        <v>4</v>
      </c>
      <c r="F13" s="47"/>
      <c r="G13" s="79"/>
      <c r="H13" s="84">
        <f ca="1"/>
        <v>43857</v>
      </c>
      <c r="I13" s="85">
        <f ca="1"/>
        <v>1.0024576035000279</v>
      </c>
      <c r="J13" s="85">
        <f ca="1"/>
        <v>1.0024576035000279</v>
      </c>
      <c r="K13">
        <f ca="1">_xll.qlYieldTSDiscount($F$8,H13)</f>
        <v>1.0024576035000279</v>
      </c>
      <c r="L13" s="101">
        <f ca="1">_xll.qlYieldTSZeroRate($F$8,H13,$F$21)</f>
        <v>-8.1596066840865396E-4</v>
      </c>
      <c r="R13" s="86" t="s">
        <v>149</v>
      </c>
      <c r="S13" t="e">
        <f>_xll.qlRateHelperImpliedQuote(R13)</f>
        <v>#NUM!</v>
      </c>
      <c r="T13" t="e">
        <f>_xll.qlSwapRateHelperForwardStart(R13)</f>
        <v>#NUM!</v>
      </c>
    </row>
    <row r="14" spans="1:20" x14ac:dyDescent="0.2">
      <c r="A14" s="86" t="str">
        <v>EURIB_FRA4x10</v>
      </c>
      <c r="B14" s="87">
        <v>12</v>
      </c>
      <c r="C14" s="88" t="str">
        <v>EURIB_SWAP4Y</v>
      </c>
      <c r="D14" s="79"/>
      <c r="E14" s="46" t="s">
        <v>122</v>
      </c>
      <c r="F14" s="47" t="str">
        <f>'EUR RateHelpers'!Y3</f>
        <v>Discount</v>
      </c>
      <c r="G14" s="79"/>
      <c r="H14" s="84">
        <f ca="1"/>
        <v>44222</v>
      </c>
      <c r="I14" s="85">
        <f ca="1"/>
        <v>0.99921738636143609</v>
      </c>
      <c r="J14" s="85">
        <f ca="1"/>
        <v>0.99921738636143609</v>
      </c>
      <c r="K14">
        <f ca="1">_xll.qlYieldTSDiscount($F$8,H14)</f>
        <v>0.99921738636143609</v>
      </c>
      <c r="L14" s="101">
        <f ca="1">_xll.qlYieldTSZeroRate($F$8,H14,$F$21)</f>
        <v>1.9532864988323686E-4</v>
      </c>
    </row>
    <row r="15" spans="1:20" x14ac:dyDescent="0.2">
      <c r="A15" s="86" t="str">
        <v>EURIB_FRA5x11</v>
      </c>
      <c r="B15" s="87">
        <v>13</v>
      </c>
      <c r="C15" s="88" t="str">
        <v>EURIB_SWAP5Y</v>
      </c>
      <c r="D15" s="79"/>
      <c r="E15" s="46" t="s">
        <v>124</v>
      </c>
      <c r="F15" s="47" t="str">
        <f>'EUR RateHelpers'!Y4</f>
        <v>LogLinear</v>
      </c>
      <c r="G15" s="79"/>
      <c r="H15" s="84">
        <f ca="1"/>
        <v>44587</v>
      </c>
      <c r="I15" s="85">
        <f ca="1"/>
        <v>0.99326812268315179</v>
      </c>
      <c r="J15" s="85">
        <f ca="1"/>
        <v>0.99326812268315179</v>
      </c>
      <c r="K15">
        <f ca="1">_xll.qlYieldTSDiscount($F$8,H15)</f>
        <v>0.99326812268315179</v>
      </c>
      <c r="L15" s="101">
        <f ca="1">_xll.qlYieldTSZeroRate($F$8,H15,$F$21)</f>
        <v>1.3487106636334053E-3</v>
      </c>
    </row>
    <row r="16" spans="1:20" x14ac:dyDescent="0.2">
      <c r="A16" s="86" t="str">
        <v>EURIB_FRA6x12</v>
      </c>
      <c r="B16" s="87">
        <v>14</v>
      </c>
      <c r="C16" s="88" t="str">
        <v>EURIB_SWAP6Y</v>
      </c>
      <c r="D16" s="79"/>
      <c r="E16" s="46" t="s">
        <v>126</v>
      </c>
      <c r="F16" s="47"/>
      <c r="G16" s="79"/>
      <c r="H16" s="84">
        <f ca="1"/>
        <v>44952</v>
      </c>
      <c r="I16" s="85">
        <f ca="1"/>
        <v>0.98445786912153588</v>
      </c>
      <c r="J16" s="85">
        <f ca="1"/>
        <v>0.98445786912153588</v>
      </c>
      <c r="K16">
        <f ca="1">_xll.qlYieldTSDiscount($F$8,H16)</f>
        <v>0.98445786912153588</v>
      </c>
      <c r="L16" s="101">
        <f ca="1">_xll.qlYieldTSZeroRate($F$8,H16,$F$21)</f>
        <v>2.6071245976146806E-3</v>
      </c>
    </row>
    <row r="17" spans="1:12" x14ac:dyDescent="0.2">
      <c r="A17" s="86" t="str">
        <v>EURIB_FRA12x18</v>
      </c>
      <c r="B17" s="87">
        <v>15</v>
      </c>
      <c r="C17" s="88" t="str">
        <v>EURIB_SWAP7Y</v>
      </c>
      <c r="D17" s="79"/>
      <c r="E17" s="46" t="s">
        <v>5</v>
      </c>
      <c r="F17" s="47"/>
      <c r="G17" s="79"/>
      <c r="H17" s="84">
        <f ca="1"/>
        <v>45317</v>
      </c>
      <c r="I17" s="85">
        <f ca="1"/>
        <v>0.97274452595693783</v>
      </c>
      <c r="J17" s="85">
        <f ca="1"/>
        <v>0.97274452595693783</v>
      </c>
      <c r="K17">
        <f ca="1">_xll.qlYieldTSDiscount($F$8,H17)</f>
        <v>0.97274452595693783</v>
      </c>
      <c r="L17" s="101">
        <f ca="1">_xll.qlYieldTSZeroRate($F$8,H17,$F$21)</f>
        <v>3.9430551215000565E-3</v>
      </c>
    </row>
    <row r="18" spans="1:12" ht="12" thickBot="1" x14ac:dyDescent="0.25">
      <c r="A18" s="86" t="str">
        <v>EURIB_SWAP2Y</v>
      </c>
      <c r="B18" s="87">
        <v>16</v>
      </c>
      <c r="C18" s="88" t="str">
        <v>EURIB_SWAP8Y</v>
      </c>
      <c r="D18" s="79"/>
      <c r="E18" s="43" t="s">
        <v>6</v>
      </c>
      <c r="F18" s="48" t="b">
        <f ca="1">'EUR RateHelpers'!$X$1</f>
        <v>1</v>
      </c>
      <c r="G18" s="79"/>
      <c r="H18" s="84">
        <f ca="1"/>
        <v>45684</v>
      </c>
      <c r="I18" s="85">
        <f ca="1"/>
        <v>0.95868125618187638</v>
      </c>
      <c r="J18" s="85">
        <f ca="1"/>
        <v>0.95868125618187638</v>
      </c>
      <c r="K18">
        <f ca="1">_xll.qlYieldTSDiscount($F$8,H18)</f>
        <v>0.95868125618187638</v>
      </c>
      <c r="L18" s="101">
        <f ca="1">_xll.qlYieldTSZeroRate($F$8,H18,$F$21)</f>
        <v>5.2655624230579781E-3</v>
      </c>
    </row>
    <row r="19" spans="1:12" ht="12" thickBot="1" x14ac:dyDescent="0.25">
      <c r="A19" s="86" t="str">
        <v>EURIB_SWAP3Y</v>
      </c>
      <c r="B19" s="87">
        <v>17</v>
      </c>
      <c r="C19" s="88" t="str">
        <v>EURIB_SWAP9Y</v>
      </c>
      <c r="D19" s="79"/>
      <c r="E19" s="79"/>
      <c r="F19" s="79"/>
      <c r="G19" s="79"/>
      <c r="H19" s="84">
        <f ca="1"/>
        <v>46048</v>
      </c>
      <c r="I19" s="85">
        <f ca="1"/>
        <v>0.94278810716939943</v>
      </c>
      <c r="J19" s="85">
        <f ca="1"/>
        <v>0.94278810716939943</v>
      </c>
      <c r="K19">
        <f ca="1">_xll.qlYieldTSDiscount($F$8,H19)</f>
        <v>0.94278810716939943</v>
      </c>
      <c r="L19" s="101">
        <f ca="1">_xll.qlYieldTSZeroRate($F$8,H19,$F$21)</f>
        <v>6.5380081076137648E-3</v>
      </c>
    </row>
    <row r="20" spans="1:12" x14ac:dyDescent="0.2">
      <c r="A20" s="86" t="str">
        <v>EURIB_SWAP4Y</v>
      </c>
      <c r="B20" s="87">
        <v>18</v>
      </c>
      <c r="C20" s="88" t="str">
        <v>EURIB_SWAP10Y</v>
      </c>
      <c r="D20" s="79"/>
      <c r="E20" s="49" t="s">
        <v>127</v>
      </c>
      <c r="F20" s="90" t="str">
        <f ca="1">_xll.qlTermStructureCalendar($F$8)</f>
        <v>TARGET</v>
      </c>
      <c r="G20" s="79"/>
      <c r="H20" s="84">
        <f ca="1"/>
        <v>46413</v>
      </c>
      <c r="I20" s="85">
        <f ca="1"/>
        <v>0.92575071085603045</v>
      </c>
      <c r="J20" s="85">
        <f ca="1"/>
        <v>0.92575071085603045</v>
      </c>
      <c r="K20">
        <f ca="1">_xll.qlYieldTSDiscount($F$8,H20)</f>
        <v>0.92575071085603045</v>
      </c>
      <c r="L20" s="101">
        <f ca="1">_xll.qlYieldTSZeroRate($F$8,H20,$F$21)</f>
        <v>7.706583560804621E-3</v>
      </c>
    </row>
    <row r="21" spans="1:12" x14ac:dyDescent="0.2">
      <c r="A21" s="86" t="str">
        <v>EURIB_SWAP5Y</v>
      </c>
      <c r="B21" s="87">
        <v>19</v>
      </c>
      <c r="C21" s="88" t="str">
        <v>EURIB_SWAP11Y</v>
      </c>
      <c r="D21" s="79"/>
      <c r="E21" s="91" t="s">
        <v>128</v>
      </c>
      <c r="F21" s="92" t="str">
        <f ca="1">_xll.qlTermStructureDayCounter($F$8)</f>
        <v>Actual/365 (Fixed)</v>
      </c>
      <c r="G21" s="79"/>
      <c r="H21" s="84">
        <f ca="1"/>
        <v>46778</v>
      </c>
      <c r="I21" s="85">
        <f ca="1"/>
        <v>0.90805856016914932</v>
      </c>
      <c r="J21" s="85">
        <f ca="1"/>
        <v>0.90805856016914932</v>
      </c>
      <c r="K21">
        <f ca="1">_xll.qlYieldTSDiscount($F$8,H21)</f>
        <v>0.90805856016914932</v>
      </c>
      <c r="L21" s="101">
        <f ca="1">_xll.qlYieldTSZeroRate($F$8,H21,$F$21)</f>
        <v>8.7591289479893048E-3</v>
      </c>
    </row>
    <row r="22" spans="1:12" x14ac:dyDescent="0.2">
      <c r="A22" s="86" t="str">
        <v>EURIB_SWAP6Y</v>
      </c>
      <c r="B22" s="87">
        <v>20</v>
      </c>
      <c r="C22" s="88" t="str">
        <v>EURIB_SWAP12Y</v>
      </c>
      <c r="D22" s="79"/>
      <c r="E22" s="91" t="s">
        <v>129</v>
      </c>
      <c r="F22" s="93">
        <f ca="1">_xll.qlTermStructureReferenceDate($F$8)</f>
        <v>42759</v>
      </c>
      <c r="G22" s="79"/>
      <c r="H22" s="84">
        <f ca="1"/>
        <v>47144</v>
      </c>
      <c r="I22" s="85">
        <f ca="1"/>
        <v>0.89009474153581103</v>
      </c>
      <c r="J22" s="85">
        <f ca="1"/>
        <v>0.89009474153581103</v>
      </c>
      <c r="K22">
        <f ca="1">_xll.qlYieldTSDiscount($F$8,H22)</f>
        <v>0.89009474153581103</v>
      </c>
      <c r="L22" s="101">
        <f ca="1">_xll.qlYieldTSZeroRate($F$8,H22,$F$21)</f>
        <v>9.6912178623806914E-3</v>
      </c>
    </row>
    <row r="23" spans="1:12" x14ac:dyDescent="0.2">
      <c r="A23" s="86" t="str">
        <v>EURIB_SWAP7Y</v>
      </c>
      <c r="B23" s="87">
        <v>21</v>
      </c>
      <c r="C23" s="88" t="str">
        <v>EURIB_SWAP13Y</v>
      </c>
      <c r="D23" s="79"/>
      <c r="E23" s="91" t="s">
        <v>130</v>
      </c>
      <c r="F23" s="93">
        <f ca="1">_xll.qlTermStructureMaxDate($F$8)</f>
        <v>61023</v>
      </c>
      <c r="G23" s="79"/>
      <c r="H23" s="84">
        <f ca="1"/>
        <v>47511</v>
      </c>
      <c r="I23" s="85">
        <f ca="1"/>
        <v>0.87230079143545847</v>
      </c>
      <c r="J23" s="85">
        <f ca="1"/>
        <v>0.87230079143545847</v>
      </c>
      <c r="K23">
        <f ca="1">_xll.qlYieldTSDiscount($F$8,H23)</f>
        <v>0.87230079143545847</v>
      </c>
      <c r="L23" s="101">
        <f ca="1">_xll.qlYieldTSZeroRate($F$8,H23,$F$21)</f>
        <v>1.0493824524370319E-2</v>
      </c>
    </row>
    <row r="24" spans="1:12" x14ac:dyDescent="0.2">
      <c r="A24" s="86" t="str">
        <v>EURIB_SWAP8Y</v>
      </c>
      <c r="B24" s="87">
        <v>22</v>
      </c>
      <c r="C24" s="88" t="str">
        <v>EURIB_SWAP14Y</v>
      </c>
      <c r="D24" s="79"/>
      <c r="E24" s="94" t="s">
        <v>131</v>
      </c>
      <c r="F24" s="95">
        <f ca="1">_xll.qlTermStructureSettlementDays($F$8)</f>
        <v>0</v>
      </c>
      <c r="G24" s="79"/>
      <c r="H24" s="84">
        <f ca="1"/>
        <v>47875</v>
      </c>
      <c r="I24" s="85">
        <f ca="1"/>
        <v>0.85477727959304139</v>
      </c>
      <c r="J24" s="85">
        <f ca="1"/>
        <v>0.85477727959304139</v>
      </c>
      <c r="K24">
        <f ca="1">_xll.qlYieldTSDiscount($F$8,H24)</f>
        <v>0.85477727959304139</v>
      </c>
      <c r="L24" s="101">
        <f ca="1">_xll.qlYieldTSZeroRate($F$8,H24,$F$21)</f>
        <v>1.1195021994604542E-2</v>
      </c>
    </row>
    <row r="25" spans="1:12" x14ac:dyDescent="0.2">
      <c r="A25" s="86" t="str">
        <v>EURIB_SWAP9Y</v>
      </c>
      <c r="B25" s="87">
        <v>23</v>
      </c>
      <c r="C25" s="88" t="str">
        <v>EURIB_SWAP15Y</v>
      </c>
      <c r="D25" s="79"/>
      <c r="E25" s="96" t="s">
        <v>132</v>
      </c>
      <c r="F25" s="97">
        <f ca="1">_xll.qlYieldTSDiscount($F$8,$F$22)</f>
        <v>1</v>
      </c>
      <c r="G25" s="79"/>
      <c r="H25" s="84">
        <f ca="1"/>
        <v>48239</v>
      </c>
      <c r="I25" s="85">
        <f ca="1"/>
        <v>0.83773998121996629</v>
      </c>
      <c r="J25" s="85">
        <f ca="1"/>
        <v>0.83773998121996629</v>
      </c>
      <c r="K25">
        <f ca="1">_xll.qlYieldTSDiscount($F$8,H25)</f>
        <v>0.83773998121996629</v>
      </c>
      <c r="L25" s="101">
        <f ca="1">_xll.qlYieldTSZeroRate($F$8,H25,$F$21)</f>
        <v>1.179239812589372E-2</v>
      </c>
    </row>
    <row r="26" spans="1:12" x14ac:dyDescent="0.2">
      <c r="A26" s="86" t="str">
        <v>EURIB_SWAP10Y</v>
      </c>
      <c r="B26" s="87">
        <v>24</v>
      </c>
      <c r="C26" s="88" t="str">
        <v>EURIB_SWAP16Y</v>
      </c>
      <c r="D26" s="79"/>
      <c r="E26" s="91" t="s">
        <v>133</v>
      </c>
      <c r="F26" s="98">
        <f ca="1">_xll.qlYieldTSForwardRate($F$8,$F$22,$F$22+90,$F$21,"simple","annual")</f>
        <v>-3.3329584664942664E-3</v>
      </c>
      <c r="G26" s="79"/>
      <c r="H26" s="84">
        <f ca="1"/>
        <v>48605</v>
      </c>
      <c r="I26" s="85">
        <f ca="1"/>
        <v>0.82128423429087638</v>
      </c>
      <c r="J26" s="85">
        <f ca="1"/>
        <v>0.82128423429087638</v>
      </c>
      <c r="K26">
        <f ca="1">_xll.qlYieldTSDiscount($F$8,H26)</f>
        <v>0.82128423429087638</v>
      </c>
      <c r="L26" s="101">
        <f ca="1">_xll.qlYieldTSZeroRate($F$8,H26,$F$21)</f>
        <v>1.2292746994293606E-2</v>
      </c>
    </row>
    <row r="27" spans="1:12" ht="12" thickBot="1" x14ac:dyDescent="0.25">
      <c r="A27" s="86" t="str">
        <v>EURIB_SWAP11Y</v>
      </c>
      <c r="B27" s="87">
        <v>25</v>
      </c>
      <c r="C27" s="88" t="str">
        <v>EURIB_SWAP17Y</v>
      </c>
      <c r="D27" s="79"/>
      <c r="E27" s="99" t="s">
        <v>134</v>
      </c>
      <c r="F27" s="100">
        <f ca="1">_xll.qlYieldTSZeroRate($F$8,$F$22,F21,"simple","annual")</f>
        <v>-3.4380540847589458E-3</v>
      </c>
      <c r="G27" s="79"/>
      <c r="H27" s="84">
        <f ca="1"/>
        <v>48970</v>
      </c>
      <c r="I27" s="85">
        <f ca="1"/>
        <v>0.80551417948530502</v>
      </c>
      <c r="J27" s="85">
        <f ca="1"/>
        <v>0.80551417948530502</v>
      </c>
      <c r="K27">
        <f ca="1">_xll.qlYieldTSDiscount($F$8,H27)</f>
        <v>0.80551417948530502</v>
      </c>
      <c r="L27" s="101">
        <f ca="1">_xll.qlYieldTSZeroRate($F$8,H27,$F$21)</f>
        <v>1.2709737999196826E-2</v>
      </c>
    </row>
    <row r="28" spans="1:12" x14ac:dyDescent="0.2">
      <c r="A28" s="86" t="str">
        <v>EURIB_SWAP12Y</v>
      </c>
      <c r="B28" s="87">
        <v>26</v>
      </c>
      <c r="C28" s="88" t="str">
        <v>EURIB_SWAP18Y</v>
      </c>
      <c r="D28" s="79"/>
      <c r="E28" s="79"/>
      <c r="F28" s="79"/>
      <c r="G28" s="79"/>
      <c r="H28" s="84">
        <f ca="1"/>
        <v>49335</v>
      </c>
      <c r="I28" s="85">
        <f ca="1"/>
        <v>0.79046680273632697</v>
      </c>
      <c r="J28" s="85">
        <f ca="1"/>
        <v>0.79046680273632697</v>
      </c>
      <c r="K28">
        <f ca="1">_xll.qlYieldTSDiscount($F$8,H28)</f>
        <v>0.79046680273632697</v>
      </c>
      <c r="L28" s="101">
        <f ca="1">_xll.qlYieldTSZeroRate($F$8,H28,$F$21)</f>
        <v>1.3050949018869155E-2</v>
      </c>
    </row>
    <row r="29" spans="1:12" x14ac:dyDescent="0.2">
      <c r="A29" s="86" t="str">
        <v>EURIB_SWAP13Y</v>
      </c>
      <c r="B29" s="87">
        <v>27</v>
      </c>
      <c r="C29" s="88" t="str">
        <v>EURIB_SWAP19Y</v>
      </c>
      <c r="D29" s="79"/>
      <c r="E29" s="79"/>
      <c r="F29" s="79"/>
      <c r="G29" s="79"/>
      <c r="H29" s="84">
        <f ca="1"/>
        <v>49702</v>
      </c>
      <c r="I29" s="85">
        <f ca="1"/>
        <v>0.77591365283016156</v>
      </c>
      <c r="J29" s="85">
        <f ca="1"/>
        <v>0.77591365283016156</v>
      </c>
      <c r="K29">
        <f ca="1">_xll.qlYieldTSDiscount($F$8,H29)</f>
        <v>0.77591365283016156</v>
      </c>
      <c r="L29" s="101">
        <f ca="1">_xll.qlYieldTSZeroRate($F$8,H29,$F$21)</f>
        <v>1.3337984091518568E-2</v>
      </c>
    </row>
    <row r="30" spans="1:12" x14ac:dyDescent="0.2">
      <c r="A30" s="86" t="str">
        <v>EURIB_SWAP14Y</v>
      </c>
      <c r="B30" s="87">
        <v>28</v>
      </c>
      <c r="C30" s="88" t="str">
        <v>EURIB_SWAP20Y</v>
      </c>
      <c r="D30" s="79"/>
      <c r="E30" s="79"/>
      <c r="F30" s="79"/>
      <c r="G30" s="79"/>
      <c r="H30" s="84">
        <f ca="1"/>
        <v>50066</v>
      </c>
      <c r="I30" s="85">
        <f ca="1"/>
        <v>0.76231745491764735</v>
      </c>
      <c r="J30" s="85">
        <f ca="1"/>
        <v>0.76231745491764735</v>
      </c>
      <c r="K30">
        <f ca="1">_xll.qlYieldTSDiscount($F$8,H30)</f>
        <v>0.76231745491764735</v>
      </c>
      <c r="L30" s="101">
        <f ca="1">_xll.qlYieldTSZeroRate($F$8,H30,$F$21)</f>
        <v>1.3556610637788714E-2</v>
      </c>
    </row>
    <row r="31" spans="1:12" x14ac:dyDescent="0.2">
      <c r="A31" s="86" t="str">
        <v>EURIB_SWAP15Y</v>
      </c>
      <c r="B31" s="87">
        <v>29</v>
      </c>
      <c r="C31" s="88" t="str">
        <v>EURIB_SWAP21Y</v>
      </c>
      <c r="D31" s="79"/>
      <c r="E31" s="79"/>
      <c r="F31" s="79"/>
      <c r="G31" s="79"/>
      <c r="H31" s="84">
        <f ca="1"/>
        <v>50431</v>
      </c>
      <c r="I31" s="85">
        <f ca="1"/>
        <v>0.74908842468690673</v>
      </c>
      <c r="J31" s="85">
        <f ca="1"/>
        <v>0.74908842468690673</v>
      </c>
      <c r="K31">
        <f ca="1">_xll.qlYieldTSDiscount($F$8,H31)</f>
        <v>0.74908842468690673</v>
      </c>
      <c r="L31" s="101">
        <f ca="1">_xll.qlYieldTSZeroRate($F$8,H31,$F$21)</f>
        <v>1.3744507245314041E-2</v>
      </c>
    </row>
    <row r="32" spans="1:12" x14ac:dyDescent="0.2">
      <c r="A32" s="86" t="str">
        <v>EURIB_SWAP16Y</v>
      </c>
      <c r="B32" s="87">
        <v>30</v>
      </c>
      <c r="C32" s="88" t="str">
        <v>EURIB_SWAP22Y</v>
      </c>
      <c r="D32" s="79"/>
      <c r="E32" s="79"/>
      <c r="F32" s="79"/>
      <c r="G32" s="79"/>
      <c r="H32" s="84">
        <f ca="1"/>
        <v>50796</v>
      </c>
      <c r="I32" s="85">
        <f ca="1"/>
        <v>0.73634924779935962</v>
      </c>
      <c r="J32" s="85">
        <f ca="1"/>
        <v>0.73634924779935962</v>
      </c>
      <c r="K32">
        <f ca="1">_xll.qlYieldTSDiscount($F$8,H32)</f>
        <v>0.73634924779935962</v>
      </c>
      <c r="L32" s="101">
        <f ca="1">_xll.qlYieldTSZeroRate($F$8,H32,$F$21)</f>
        <v>1.3899281353465624E-2</v>
      </c>
    </row>
    <row r="33" spans="1:12" x14ac:dyDescent="0.2">
      <c r="A33" s="86" t="str">
        <v>EURIB_SWAP17Y</v>
      </c>
      <c r="B33" s="87">
        <v>31</v>
      </c>
      <c r="C33" s="88" t="str">
        <v>EURIB_SWAP23Y</v>
      </c>
      <c r="D33" s="79"/>
      <c r="E33" s="79"/>
      <c r="F33" s="79"/>
      <c r="G33" s="79"/>
      <c r="H33" s="84">
        <f ca="1"/>
        <v>51161</v>
      </c>
      <c r="I33" s="85">
        <f ca="1"/>
        <v>0.72456523100076409</v>
      </c>
      <c r="J33" s="85">
        <f ca="1"/>
        <v>0.72456523100076409</v>
      </c>
      <c r="K33">
        <f ca="1">_xll.qlYieldTSDiscount($F$8,H33)</f>
        <v>0.72456523100076409</v>
      </c>
      <c r="L33" s="101">
        <f ca="1">_xll.qlYieldTSZeroRate($F$8,H33,$F$21)</f>
        <v>1.399630708951174E-2</v>
      </c>
    </row>
    <row r="34" spans="1:12" x14ac:dyDescent="0.2">
      <c r="A34" s="86" t="str">
        <v>EURIB_SWAP18Y</v>
      </c>
      <c r="B34" s="87">
        <v>32</v>
      </c>
      <c r="C34" s="88" t="str">
        <v>EURIB_SWAP24Y</v>
      </c>
      <c r="H34" s="84">
        <f ca="1"/>
        <v>51529</v>
      </c>
      <c r="I34" s="85">
        <f ca="1"/>
        <v>0.71274369402406823</v>
      </c>
      <c r="J34" s="85">
        <f ca="1"/>
        <v>0.71274369402406823</v>
      </c>
      <c r="K34">
        <f ca="1">_xll.qlYieldTSDiscount($F$8,H34)</f>
        <v>0.71274369402406823</v>
      </c>
      <c r="L34" s="101">
        <f ca="1">_xll.qlYieldTSZeroRate($F$8,H34,$F$21)</f>
        <v>1.4093636316429802E-2</v>
      </c>
    </row>
    <row r="35" spans="1:12" x14ac:dyDescent="0.2">
      <c r="A35" s="86" t="str">
        <v>EURIB_SWAP19Y</v>
      </c>
      <c r="B35" s="87">
        <v>33</v>
      </c>
      <c r="C35" s="88" t="str">
        <v>EURIB_SWAP25Y</v>
      </c>
      <c r="H35" s="84">
        <f ca="1"/>
        <v>51893</v>
      </c>
      <c r="I35" s="85">
        <f ca="1"/>
        <v>0.70145011022022563</v>
      </c>
      <c r="J35" s="85">
        <f ca="1"/>
        <v>0.70145011022022563</v>
      </c>
      <c r="K35">
        <f ca="1">_xll.qlYieldTSDiscount($F$8,H35)</f>
        <v>0.70145011022022563</v>
      </c>
      <c r="L35" s="101">
        <f ca="1">_xll.qlYieldTSZeroRate($F$8,H35,$F$21)</f>
        <v>1.4170243896449261E-2</v>
      </c>
    </row>
    <row r="36" spans="1:12" x14ac:dyDescent="0.2">
      <c r="A36" s="86" t="str">
        <v>EURIB_SWAP20Y</v>
      </c>
      <c r="B36" s="87">
        <v>34</v>
      </c>
      <c r="C36" s="88" t="str">
        <v>EURIB_SWAP26Y</v>
      </c>
      <c r="H36" s="84">
        <f ca="1"/>
        <v>52257</v>
      </c>
      <c r="I36" s="85">
        <f ca="1"/>
        <v>0.69042079188909766</v>
      </c>
      <c r="J36" s="85">
        <f ca="1"/>
        <v>0.69042079188909766</v>
      </c>
      <c r="K36">
        <f ca="1">_xll.qlYieldTSDiscount($F$8,H36)</f>
        <v>0.69042079188909766</v>
      </c>
      <c r="L36" s="101">
        <f ca="1">_xll.qlYieldTSZeroRate($F$8,H36,$F$21)</f>
        <v>1.4236230653036551E-2</v>
      </c>
    </row>
    <row r="37" spans="1:12" x14ac:dyDescent="0.2">
      <c r="A37" s="86" t="str">
        <v>EURIB_SWAP21Y</v>
      </c>
      <c r="B37" s="87">
        <v>35</v>
      </c>
      <c r="C37" s="88" t="str">
        <v>EURIB_SWAP27Y</v>
      </c>
      <c r="H37" s="84">
        <f ca="1"/>
        <v>52622</v>
      </c>
      <c r="I37" s="85">
        <f ca="1"/>
        <v>0.6796489571019827</v>
      </c>
      <c r="J37" s="85">
        <f ca="1"/>
        <v>0.6796489571019827</v>
      </c>
      <c r="K37">
        <f ca="1">_xll.qlYieldTSDiscount($F$8,H37)</f>
        <v>0.6796489571019827</v>
      </c>
      <c r="L37" s="101">
        <f ca="1">_xll.qlYieldTSZeroRate($F$8,H37,$F$21)</f>
        <v>1.4291319232269542E-2</v>
      </c>
    </row>
    <row r="38" spans="1:12" x14ac:dyDescent="0.2">
      <c r="A38" s="86" t="str">
        <v>EURIB_SWAP22Y</v>
      </c>
      <c r="B38" s="87">
        <v>36</v>
      </c>
      <c r="C38" s="88" t="str">
        <v>EURIB_SWAP28Y</v>
      </c>
      <c r="H38" s="84">
        <f ca="1"/>
        <v>52988</v>
      </c>
      <c r="I38" s="85">
        <f ca="1"/>
        <v>0.66917908203872312</v>
      </c>
      <c r="J38" s="85">
        <f ca="1"/>
        <v>0.66917908203872312</v>
      </c>
      <c r="K38">
        <f ca="1">_xll.qlYieldTSDiscount($F$8,H38)</f>
        <v>0.66917908203872312</v>
      </c>
      <c r="L38" s="101">
        <f ca="1">_xll.qlYieldTSZeroRate($F$8,H38,$F$21)</f>
        <v>1.4333933181093486E-2</v>
      </c>
    </row>
    <row r="39" spans="1:12" x14ac:dyDescent="0.2">
      <c r="A39" s="86" t="str">
        <v>EURIB_SWAP23Y</v>
      </c>
      <c r="B39" s="87">
        <v>37</v>
      </c>
      <c r="C39" s="88" t="str">
        <v>EURIB_SWAP29Y</v>
      </c>
      <c r="H39" s="84">
        <f ca="1"/>
        <v>53353</v>
      </c>
      <c r="I39" s="85">
        <f ca="1"/>
        <v>0.65902835721568598</v>
      </c>
      <c r="J39" s="85">
        <f ca="1"/>
        <v>0.65902835721568598</v>
      </c>
      <c r="K39">
        <f ca="1">_xll.qlYieldTSDiscount($F$8,H39)</f>
        <v>0.65902835721568598</v>
      </c>
      <c r="L39" s="101">
        <f ca="1">_xll.qlYieldTSZeroRate($F$8,H39,$F$21)</f>
        <v>1.4366705765162113E-2</v>
      </c>
    </row>
    <row r="40" spans="1:12" x14ac:dyDescent="0.2">
      <c r="A40" s="86" t="str">
        <v>EURIB_SWAP24Y</v>
      </c>
      <c r="B40" s="87">
        <v>38</v>
      </c>
      <c r="C40" s="88" t="str">
        <v>EURIB_SWAP30Y</v>
      </c>
      <c r="H40" s="84">
        <f ca="1"/>
        <v>53720</v>
      </c>
      <c r="I40" s="85">
        <f ca="1"/>
        <v>0.64891601171571578</v>
      </c>
      <c r="J40" s="85">
        <f ca="1"/>
        <v>0.64891601171571578</v>
      </c>
      <c r="K40">
        <f ca="1">_xll.qlYieldTSDiscount($F$8,H40)</f>
        <v>0.64891601171571578</v>
      </c>
      <c r="L40" s="101">
        <f ca="1">_xll.qlYieldTSZeroRate($F$8,H40,$F$21)</f>
        <v>1.440059972719877E-2</v>
      </c>
    </row>
    <row r="41" spans="1:12" x14ac:dyDescent="0.2">
      <c r="A41" s="86" t="str">
        <v>EURIB_SWAP25Y</v>
      </c>
      <c r="B41" s="87">
        <v>39</v>
      </c>
      <c r="C41" s="88" t="str">
        <v>EURIB_SWAP40Y</v>
      </c>
      <c r="H41" s="84">
        <f ca="1"/>
        <v>57371</v>
      </c>
      <c r="I41" s="85">
        <f ca="1"/>
        <v>0.56128005673687786</v>
      </c>
      <c r="J41" s="85">
        <f ca="1"/>
        <v>0.56128005673687786</v>
      </c>
      <c r="K41">
        <f ca="1">_xll.qlYieldTSDiscount($F$8,H41)</f>
        <v>0.56128005673687786</v>
      </c>
      <c r="L41" s="101">
        <f ca="1">_xll.qlYieldTSZeroRate($F$8,H41,$F$21)</f>
        <v>1.4426524786206908E-2</v>
      </c>
    </row>
    <row r="42" spans="1:12" x14ac:dyDescent="0.2">
      <c r="A42" s="86" t="str">
        <v>EURIB_SWAP26Y</v>
      </c>
      <c r="B42" s="87">
        <v>40</v>
      </c>
      <c r="C42" s="88" t="str">
        <v>EURIB_SWAP50Y</v>
      </c>
      <c r="H42" s="84">
        <f ca="1"/>
        <v>61023</v>
      </c>
      <c r="I42" s="85">
        <f ca="1"/>
        <v>0.50231526082925104</v>
      </c>
      <c r="J42" s="85">
        <f ca="1"/>
        <v>0.50231526082925104</v>
      </c>
      <c r="K42">
        <f ca="1">_xll.qlYieldTSDiscount($F$8,H42)</f>
        <v>0.50231526082925104</v>
      </c>
      <c r="L42" s="101">
        <f ca="1">_xll.qlYieldTSZeroRate($F$8,H42,$F$21)</f>
        <v>1.3759991325933812E-2</v>
      </c>
    </row>
    <row r="43" spans="1:12" x14ac:dyDescent="0.2">
      <c r="A43" s="86" t="str">
        <v>EURIB_SWAP27Y</v>
      </c>
      <c r="B43" s="87">
        <v>41</v>
      </c>
      <c r="C43" s="88" t="e">
        <v>#N/A</v>
      </c>
    </row>
    <row r="44" spans="1:12" x14ac:dyDescent="0.2">
      <c r="A44" s="86" t="str">
        <v>EURIB_SWAP28Y</v>
      </c>
      <c r="B44" s="87">
        <v>42</v>
      </c>
      <c r="C44" s="88" t="e">
        <v>#N/A</v>
      </c>
    </row>
    <row r="45" spans="1:12" x14ac:dyDescent="0.2">
      <c r="A45" s="86" t="str">
        <v>EURIB_SWAP29Y</v>
      </c>
      <c r="B45" s="87">
        <v>43</v>
      </c>
      <c r="C45" s="88" t="e">
        <v>#N/A</v>
      </c>
    </row>
    <row r="46" spans="1:12" x14ac:dyDescent="0.2">
      <c r="A46" s="86" t="str">
        <v>EURIB_SWAP30Y</v>
      </c>
      <c r="B46" s="87">
        <v>44</v>
      </c>
      <c r="C46" s="88" t="e">
        <v>#N/A</v>
      </c>
    </row>
    <row r="47" spans="1:12" x14ac:dyDescent="0.2">
      <c r="A47" s="86" t="str">
        <v>EURIB_SWAP40Y</v>
      </c>
      <c r="B47" s="87">
        <v>45</v>
      </c>
      <c r="C47" s="88" t="e">
        <v>#N/A</v>
      </c>
    </row>
    <row r="48" spans="1:12" x14ac:dyDescent="0.2">
      <c r="A48" s="86" t="str">
        <v>EURIB_SWAP50Y</v>
      </c>
      <c r="B48" s="87">
        <v>46</v>
      </c>
      <c r="C48" s="88" t="e">
        <v>#N/A</v>
      </c>
    </row>
  </sheetData>
  <dataValidations count="5">
    <dataValidation type="list" allowBlank="1" showInputMessage="1" showErrorMessage="1" sqref="F14" xr:uid="{00000000-0002-0000-1400-000000000000}">
      <formula1>"Discount,ZeroYield,ForwardRate"</formula1>
    </dataValidation>
    <dataValidation type="list" allowBlank="1" showInputMessage="1" showErrorMessage="1" sqref="F15" xr:uid="{00000000-0002-0000-1400-000001000000}">
      <formula1>"BackwardFlat,ForwardFlat,Linear,LogLinear,Cubic,LogCubic"</formula1>
    </dataValidation>
    <dataValidation type="list" allowBlank="1" showInputMessage="1" showErrorMessage="1" sqref="F5" xr:uid="{00000000-0002-0000-1400-000002000000}">
      <formula1>"AllDepos,DeposBeforeFirstFuturesStartDate,DeposBeforeFirstFuturesStartDatePlusOne,DeposBeforeFirstFuturesExpiryDate"</formula1>
    </dataValidation>
    <dataValidation type="list" allowBlank="1" showInputMessage="1" showErrorMessage="1" sqref="F13" xr:uid="{00000000-0002-0000-1400-000003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12" xr:uid="{00000000-0002-0000-1400-000004000000}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/>
  <dimension ref="A1:I35"/>
  <sheetViews>
    <sheetView workbookViewId="0">
      <selection activeCell="B24" sqref="A1:B24"/>
    </sheetView>
  </sheetViews>
  <sheetFormatPr defaultRowHeight="11.25" x14ac:dyDescent="0.2"/>
  <cols>
    <col min="1" max="1" width="13.6640625" bestFit="1" customWidth="1"/>
    <col min="2" max="2" width="22.1640625" bestFit="1" customWidth="1"/>
    <col min="3" max="3" width="10.83203125" customWidth="1"/>
    <col min="4" max="4" width="23" bestFit="1" customWidth="1"/>
    <col min="5" max="5" width="18.1640625" bestFit="1" customWidth="1"/>
    <col min="6" max="6" width="14.6640625" bestFit="1" customWidth="1"/>
    <col min="7" max="7" width="4.1640625" customWidth="1"/>
    <col min="8" max="8" width="14.6640625" bestFit="1" customWidth="1"/>
    <col min="9" max="9" width="12.1640625" bestFit="1" customWidth="1"/>
  </cols>
  <sheetData>
    <row r="1" spans="1:9" x14ac:dyDescent="0.2">
      <c r="A1" s="3"/>
      <c r="B1" s="10"/>
      <c r="D1" s="3" t="s">
        <v>24</v>
      </c>
      <c r="E1" s="10" t="e">
        <f>_xll.qlVanillaSwap(E3,E4,E5,E6,E7,E8,E9,E10,E11,E12,E13,E14)</f>
        <v>#VALUE!</v>
      </c>
      <c r="H1" t="s">
        <v>68</v>
      </c>
      <c r="I1" t="e">
        <f>_xll.qlInstrumentSetPricingEngine(E1,PricingEngines!$C$1)</f>
        <v>#VALUE!</v>
      </c>
    </row>
    <row r="2" spans="1:9" ht="12" thickBot="1" x14ac:dyDescent="0.25">
      <c r="A2" s="5"/>
      <c r="B2" s="11"/>
      <c r="D2" s="5" t="s">
        <v>7</v>
      </c>
      <c r="E2" s="11" t="str">
        <f ca="1">_xll.ohRangeRetrieveError(E1)</f>
        <v/>
      </c>
      <c r="H2" t="s">
        <v>63</v>
      </c>
      <c r="I2" s="26" t="e">
        <f>_xll.qlInstrumentNPV(E1,I1)</f>
        <v>#VALUE!</v>
      </c>
    </row>
    <row r="3" spans="1:9" x14ac:dyDescent="0.2">
      <c r="A3" s="3"/>
      <c r="B3" s="104"/>
      <c r="D3" s="3" t="s">
        <v>1</v>
      </c>
      <c r="E3" s="6"/>
      <c r="H3" t="s">
        <v>70</v>
      </c>
      <c r="I3" s="27" t="e">
        <f>_xll.qlVanillaSwapFairRate($E$1,$I$1)</f>
        <v>#VALUE!</v>
      </c>
    </row>
    <row r="4" spans="1:9" x14ac:dyDescent="0.2">
      <c r="A4" s="4"/>
      <c r="B4" s="7"/>
      <c r="D4" s="4" t="s">
        <v>15</v>
      </c>
      <c r="E4" s="7" t="s">
        <v>11</v>
      </c>
      <c r="H4" t="s">
        <v>88</v>
      </c>
      <c r="I4" s="27" t="e">
        <f>_xll.qlVanillaSwapFairSpread($E$1,$I$1)</f>
        <v>#VALUE!</v>
      </c>
    </row>
    <row r="5" spans="1:9" x14ac:dyDescent="0.2">
      <c r="A5" s="4"/>
      <c r="B5" s="103"/>
      <c r="D5" s="4" t="s">
        <v>16</v>
      </c>
      <c r="E5" s="25">
        <f>Nominal</f>
        <v>1000000</v>
      </c>
    </row>
    <row r="6" spans="1:9" x14ac:dyDescent="0.2">
      <c r="A6" s="4"/>
      <c r="B6" s="7"/>
      <c r="D6" s="4" t="s">
        <v>17</v>
      </c>
      <c r="E6" s="7" t="e">
        <f>DateCalc!$B$5</f>
        <v>#NUM!</v>
      </c>
    </row>
    <row r="7" spans="1:9" ht="12" thickBot="1" x14ac:dyDescent="0.25">
      <c r="A7" s="5"/>
      <c r="B7" s="9"/>
      <c r="D7" s="4" t="s">
        <v>18</v>
      </c>
      <c r="E7" s="8">
        <v>7.0000000000000007E-2</v>
      </c>
    </row>
    <row r="8" spans="1:9" ht="12" thickBot="1" x14ac:dyDescent="0.25">
      <c r="D8" s="4" t="s">
        <v>19</v>
      </c>
      <c r="E8" s="7" t="s">
        <v>13</v>
      </c>
    </row>
    <row r="9" spans="1:9" x14ac:dyDescent="0.2">
      <c r="A9" s="3" t="s">
        <v>55</v>
      </c>
      <c r="B9" s="10" t="e">
        <f>_xll.qlIborLeg(B11,B12,B13,B14,B15,B16,B17,B18,B19,B20,B21,B22,B23,B24)</f>
        <v>#NUM!</v>
      </c>
      <c r="D9" s="4" t="s">
        <v>20</v>
      </c>
      <c r="E9" s="7" t="str">
        <f>DateCalc!B40</f>
        <v>EO3MFloat</v>
      </c>
    </row>
    <row r="10" spans="1:9" ht="12" thickBot="1" x14ac:dyDescent="0.25">
      <c r="A10" s="5" t="s">
        <v>7</v>
      </c>
      <c r="B10" s="11" t="str">
        <f ca="1">_xll.ohRangeRetrieveError(B9)</f>
        <v>qlIborLeg - ObjectHandler error: attempt to retrieve object with unknown ID 'EO3MFloat'</v>
      </c>
      <c r="D10" s="4" t="s">
        <v>21</v>
      </c>
      <c r="E10" s="103" t="s">
        <v>993</v>
      </c>
    </row>
    <row r="11" spans="1:9" x14ac:dyDescent="0.2">
      <c r="A11" s="3" t="s">
        <v>1</v>
      </c>
      <c r="B11" s="6"/>
      <c r="D11" s="4" t="s">
        <v>22</v>
      </c>
      <c r="E11" s="8">
        <f>B21</f>
        <v>0</v>
      </c>
    </row>
    <row r="12" spans="1:9" x14ac:dyDescent="0.2">
      <c r="A12" s="4" t="s">
        <v>47</v>
      </c>
      <c r="B12" s="7" t="s">
        <v>26</v>
      </c>
      <c r="D12" s="4" t="s">
        <v>23</v>
      </c>
      <c r="E12" s="7" t="str">
        <f>B17</f>
        <v>Actual/360</v>
      </c>
    </row>
    <row r="13" spans="1:9" x14ac:dyDescent="0.2">
      <c r="A13" s="4" t="s">
        <v>48</v>
      </c>
      <c r="B13" s="25">
        <v>1000000</v>
      </c>
      <c r="D13" s="4" t="s">
        <v>5</v>
      </c>
      <c r="E13" s="7"/>
    </row>
    <row r="14" spans="1:9" ht="12" thickBot="1" x14ac:dyDescent="0.25">
      <c r="A14" s="4" t="s">
        <v>12</v>
      </c>
      <c r="B14" s="7" t="str">
        <f>DateCalc!B40</f>
        <v>EO3MFloat</v>
      </c>
      <c r="D14" s="5" t="s">
        <v>6</v>
      </c>
      <c r="E14" s="9"/>
    </row>
    <row r="15" spans="1:9" ht="12" thickBot="1" x14ac:dyDescent="0.25">
      <c r="A15" s="4" t="s">
        <v>49</v>
      </c>
      <c r="B15" s="7"/>
    </row>
    <row r="16" spans="1:9" x14ac:dyDescent="0.2">
      <c r="A16" s="4" t="s">
        <v>50</v>
      </c>
      <c r="B16" s="7"/>
      <c r="D16" s="3" t="s">
        <v>60</v>
      </c>
      <c r="E16" s="10" t="e">
        <f>_xll.qlSwap(E18,E19:F19,E20:F20,E21,E22)</f>
        <v>#NUM!</v>
      </c>
      <c r="H16" t="s">
        <v>68</v>
      </c>
      <c r="I16" t="e">
        <f>_xll.qlInstrumentSetPricingEngine(E16,PricingEngines!$B$1)</f>
        <v>#VALUE!</v>
      </c>
    </row>
    <row r="17" spans="1:9" ht="12" thickBot="1" x14ac:dyDescent="0.25">
      <c r="A17" s="4" t="s">
        <v>4</v>
      </c>
      <c r="B17" s="7" t="s">
        <v>14</v>
      </c>
      <c r="D17" s="5" t="s">
        <v>7</v>
      </c>
      <c r="E17" s="11" t="str">
        <f ca="1">_xll.ohRangeRetrieveError(E16)</f>
        <v>qlSwap - operToVectorImpl: error converting parameter 'LegIDs' to type 'class std::basic_string&lt;char,struct std::char_traits&lt;char&gt;,class std::allocator&lt;char&gt; &gt;' : Unable to convert type 'struct ObjectHandler::empty_property_tag' to type 'class std::basic_</v>
      </c>
      <c r="H17" t="s">
        <v>63</v>
      </c>
      <c r="I17" s="26" t="e">
        <f>_xll.qlInstrumentNPV(E16,I16)</f>
        <v>#VALUE!</v>
      </c>
    </row>
    <row r="18" spans="1:9" ht="12" thickBot="1" x14ac:dyDescent="0.25">
      <c r="A18" s="4" t="s">
        <v>51</v>
      </c>
      <c r="B18" s="8"/>
      <c r="D18" s="22" t="s">
        <v>1</v>
      </c>
      <c r="E18" s="19"/>
      <c r="I18" s="27"/>
    </row>
    <row r="19" spans="1:9" x14ac:dyDescent="0.2">
      <c r="A19" s="4" t="s">
        <v>52</v>
      </c>
      <c r="B19" s="7"/>
      <c r="D19" s="23" t="s">
        <v>59</v>
      </c>
      <c r="E19" s="16" t="e">
        <f>B26</f>
        <v>#VALUE!</v>
      </c>
      <c r="F19" s="17" t="e">
        <f>B9</f>
        <v>#NUM!</v>
      </c>
    </row>
    <row r="20" spans="1:9" ht="12" thickBot="1" x14ac:dyDescent="0.25">
      <c r="A20" s="4" t="s">
        <v>21</v>
      </c>
      <c r="B20" s="103" t="s">
        <v>993</v>
      </c>
      <c r="D20" s="23" t="s">
        <v>11</v>
      </c>
      <c r="E20" s="16" t="b">
        <v>1</v>
      </c>
      <c r="F20" s="18" t="b">
        <v>0</v>
      </c>
    </row>
    <row r="21" spans="1:9" x14ac:dyDescent="0.2">
      <c r="A21" s="4" t="s">
        <v>53</v>
      </c>
      <c r="B21" s="8"/>
      <c r="D21" s="23" t="s">
        <v>5</v>
      </c>
      <c r="E21" s="20"/>
    </row>
    <row r="22" spans="1:9" ht="12" thickBot="1" x14ac:dyDescent="0.25">
      <c r="A22" s="4" t="s">
        <v>54</v>
      </c>
      <c r="B22" s="8"/>
      <c r="D22" s="24" t="s">
        <v>6</v>
      </c>
      <c r="E22" s="21"/>
    </row>
    <row r="23" spans="1:9" x14ac:dyDescent="0.2">
      <c r="A23" s="4" t="s">
        <v>5</v>
      </c>
      <c r="B23" s="7"/>
    </row>
    <row r="24" spans="1:9" ht="12" thickBot="1" x14ac:dyDescent="0.25">
      <c r="A24" s="5" t="s">
        <v>6</v>
      </c>
      <c r="B24" s="9"/>
    </row>
    <row r="25" spans="1:9" ht="12" thickBot="1" x14ac:dyDescent="0.25"/>
    <row r="26" spans="1:9" x14ac:dyDescent="0.2">
      <c r="A26" s="3" t="s">
        <v>58</v>
      </c>
      <c r="B26" s="10" t="e">
        <f>_xll.qlFixedRateLeg(B28,B29,B30,B31,B32,B33,B34,B35)</f>
        <v>#VALUE!</v>
      </c>
    </row>
    <row r="27" spans="1:9" ht="12" thickBot="1" x14ac:dyDescent="0.25">
      <c r="A27" s="5" t="s">
        <v>7</v>
      </c>
      <c r="B27" s="11" t="str">
        <f ca="1">_xll.ohRangeRetrieveError(B26)</f>
        <v/>
      </c>
    </row>
    <row r="28" spans="1:9" x14ac:dyDescent="0.2">
      <c r="A28" s="3" t="s">
        <v>1</v>
      </c>
      <c r="B28" s="6"/>
    </row>
    <row r="29" spans="1:9" x14ac:dyDescent="0.2">
      <c r="A29" s="4" t="s">
        <v>47</v>
      </c>
      <c r="B29" s="7" t="s">
        <v>26</v>
      </c>
    </row>
    <row r="30" spans="1:9" x14ac:dyDescent="0.2">
      <c r="A30" s="4" t="s">
        <v>48</v>
      </c>
      <c r="B30" s="25">
        <f>Nominal</f>
        <v>1000000</v>
      </c>
    </row>
    <row r="31" spans="1:9" x14ac:dyDescent="0.2">
      <c r="A31" s="4" t="s">
        <v>12</v>
      </c>
      <c r="B31" s="7" t="e">
        <f>DateCalc!$B$5</f>
        <v>#NUM!</v>
      </c>
    </row>
    <row r="32" spans="1:9" x14ac:dyDescent="0.2">
      <c r="A32" s="4" t="s">
        <v>57</v>
      </c>
      <c r="B32" s="8">
        <v>0.05</v>
      </c>
    </row>
    <row r="33" spans="1:2" x14ac:dyDescent="0.2">
      <c r="A33" s="4" t="s">
        <v>4</v>
      </c>
      <c r="B33" s="7" t="s">
        <v>13</v>
      </c>
    </row>
    <row r="34" spans="1:2" x14ac:dyDescent="0.2">
      <c r="A34" s="4" t="s">
        <v>5</v>
      </c>
      <c r="B34" s="7"/>
    </row>
    <row r="35" spans="1:2" ht="12" thickBot="1" x14ac:dyDescent="0.25">
      <c r="A35" s="5" t="s">
        <v>6</v>
      </c>
      <c r="B35" s="9"/>
    </row>
  </sheetData>
  <dataValidations count="3">
    <dataValidation type="list" allowBlank="1" showInputMessage="1" showErrorMessage="1" sqref="E4" xr:uid="{00000000-0002-0000-1500-000000000000}">
      <formula1>"Payer,Receiver"</formula1>
    </dataValidation>
    <dataValidation type="list" allowBlank="1" showInputMessage="1" showErrorMessage="1" sqref="E8 E12 B33 B17" xr:uid="{00000000-0002-0000-1500-000001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B29 B12" xr:uid="{00000000-0002-0000-1500-000002000000}">
      <formula1>"Following,Modified Following,Preceding,Modified Preceding,Unadjusted"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"/>
  <dimension ref="A1:E15"/>
  <sheetViews>
    <sheetView workbookViewId="0">
      <selection activeCell="B11" sqref="B11"/>
    </sheetView>
  </sheetViews>
  <sheetFormatPr defaultRowHeight="11.25" x14ac:dyDescent="0.2"/>
  <cols>
    <col min="1" max="1" width="18" bestFit="1" customWidth="1"/>
    <col min="2" max="2" width="14.6640625" bestFit="1" customWidth="1"/>
    <col min="4" max="4" width="14.6640625" bestFit="1" customWidth="1"/>
    <col min="5" max="5" width="9.5" bestFit="1" customWidth="1"/>
  </cols>
  <sheetData>
    <row r="1" spans="1:5" x14ac:dyDescent="0.2">
      <c r="A1" s="3" t="s">
        <v>76</v>
      </c>
      <c r="B1" s="10" t="str">
        <f>_xll.qlEuropeanExercise(B3,B4,B5,B6)</f>
        <v>obj_0012b#0005</v>
      </c>
    </row>
    <row r="2" spans="1:5" ht="12" thickBot="1" x14ac:dyDescent="0.25">
      <c r="A2" s="5" t="s">
        <v>7</v>
      </c>
      <c r="B2" s="11" t="str">
        <f>_xll.ohRangeRetrieveError(B1)</f>
        <v/>
      </c>
    </row>
    <row r="3" spans="1:5" x14ac:dyDescent="0.2">
      <c r="A3" s="3" t="s">
        <v>1</v>
      </c>
      <c r="B3" s="6"/>
    </row>
    <row r="4" spans="1:5" x14ac:dyDescent="0.2">
      <c r="A4" s="4" t="s">
        <v>75</v>
      </c>
      <c r="B4" s="124" t="s">
        <v>154</v>
      </c>
    </row>
    <row r="5" spans="1:5" x14ac:dyDescent="0.2">
      <c r="A5" s="4" t="s">
        <v>5</v>
      </c>
      <c r="B5" s="7"/>
    </row>
    <row r="6" spans="1:5" ht="12" thickBot="1" x14ac:dyDescent="0.25">
      <c r="A6" s="5" t="s">
        <v>6</v>
      </c>
      <c r="B6" s="9"/>
    </row>
    <row r="7" spans="1:5" ht="12" thickBot="1" x14ac:dyDescent="0.25"/>
    <row r="8" spans="1:5" x14ac:dyDescent="0.2">
      <c r="A8" s="3" t="s">
        <v>74</v>
      </c>
      <c r="B8" s="10" t="e">
        <f>_xll.qlSwaption(B10,B11,B12,B13,B14,B15)</f>
        <v>#VALUE!</v>
      </c>
      <c r="D8" t="s">
        <v>68</v>
      </c>
      <c r="E8" t="e">
        <f>_xll.qlInstrumentSetPricingEngine(B8,PricingEngines!$B$17)</f>
        <v>#VALUE!</v>
      </c>
    </row>
    <row r="9" spans="1:5" ht="12" thickBot="1" x14ac:dyDescent="0.25">
      <c r="A9" s="5" t="s">
        <v>7</v>
      </c>
      <c r="B9" s="11" t="str">
        <f ca="1">_xll.ohRangeRetrieveError(B8)</f>
        <v/>
      </c>
      <c r="D9" t="s">
        <v>63</v>
      </c>
      <c r="E9" s="26" t="e">
        <f>_xll.qlInstrumentNPV(B8,E8)</f>
        <v>#VALUE!</v>
      </c>
    </row>
    <row r="10" spans="1:5" x14ac:dyDescent="0.2">
      <c r="A10" s="3" t="s">
        <v>1</v>
      </c>
      <c r="B10" s="6"/>
      <c r="D10" t="s">
        <v>61</v>
      </c>
      <c r="E10" s="13" t="e">
        <f>_xll.qlSwaptionImpliedVolatility(B8,E9,'EUR TermStructures'!#REF!,0.000001,100)</f>
        <v>#VALUE!</v>
      </c>
    </row>
    <row r="11" spans="1:5" x14ac:dyDescent="0.2">
      <c r="A11" s="4" t="s">
        <v>24</v>
      </c>
      <c r="B11" s="7" t="e">
        <f>'EUR Swaps'!E1</f>
        <v>#VALUE!</v>
      </c>
    </row>
    <row r="12" spans="1:5" x14ac:dyDescent="0.2">
      <c r="A12" s="4" t="s">
        <v>72</v>
      </c>
      <c r="B12" s="7" t="str">
        <f>B1</f>
        <v>obj_0012b#0005</v>
      </c>
    </row>
    <row r="13" spans="1:5" x14ac:dyDescent="0.2">
      <c r="A13" s="4" t="s">
        <v>73</v>
      </c>
      <c r="B13" s="7" t="s">
        <v>71</v>
      </c>
    </row>
    <row r="14" spans="1:5" x14ac:dyDescent="0.2">
      <c r="A14" s="4" t="s">
        <v>5</v>
      </c>
      <c r="B14" s="7"/>
    </row>
    <row r="15" spans="1:5" ht="12" thickBot="1" x14ac:dyDescent="0.25">
      <c r="A15" s="5" t="s">
        <v>6</v>
      </c>
      <c r="B15" s="9"/>
    </row>
  </sheetData>
  <phoneticPr fontId="0" type="noConversion"/>
  <dataValidations disablePrompts="1" count="1">
    <dataValidation type="list" allowBlank="1" showInputMessage="1" showErrorMessage="1" sqref="B13" xr:uid="{00000000-0002-0000-1600-000000000000}">
      <formula1>"Physical,Cash"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"/>
  <dimension ref="A1:I71"/>
  <sheetViews>
    <sheetView workbookViewId="0">
      <selection activeCell="D1" sqref="D1:E22"/>
    </sheetView>
  </sheetViews>
  <sheetFormatPr defaultRowHeight="11.25" x14ac:dyDescent="0.2"/>
  <cols>
    <col min="1" max="1" width="27" customWidth="1"/>
    <col min="2" max="2" width="22.1640625" bestFit="1" customWidth="1"/>
    <col min="3" max="3" width="10.83203125" customWidth="1"/>
    <col min="4" max="4" width="23" bestFit="1" customWidth="1"/>
    <col min="5" max="5" width="18.1640625" bestFit="1" customWidth="1"/>
    <col min="6" max="6" width="14.6640625" bestFit="1" customWidth="1"/>
    <col min="7" max="7" width="4.1640625" customWidth="1"/>
    <col min="8" max="8" width="14.6640625" bestFit="1" customWidth="1"/>
    <col min="9" max="9" width="13.83203125" bestFit="1" customWidth="1"/>
    <col min="11" max="11" width="9.6640625" customWidth="1"/>
    <col min="13" max="13" width="23.1640625" customWidth="1"/>
  </cols>
  <sheetData>
    <row r="1" spans="1:9" x14ac:dyDescent="0.2">
      <c r="D1" s="3" t="s">
        <v>24</v>
      </c>
      <c r="E1" s="10" t="e">
        <f>_xll.qlVanillaSwap(E3,E4,E5,E6,E7,E8,E9,E10,E11,E12,E13,E14)</f>
        <v>#VALUE!</v>
      </c>
      <c r="H1" t="s">
        <v>68</v>
      </c>
      <c r="I1" t="e">
        <f>_xll.qlInstrumentSetPricingEngine(E1,PricingEngines!$B$1)</f>
        <v>#VALUE!</v>
      </c>
    </row>
    <row r="2" spans="1:9" ht="12" thickBot="1" x14ac:dyDescent="0.25">
      <c r="D2" s="5" t="s">
        <v>7</v>
      </c>
      <c r="E2" s="11" t="str">
        <f ca="1">_xll.ohRangeRetrieveError(E1)</f>
        <v/>
      </c>
      <c r="H2" t="s">
        <v>63</v>
      </c>
      <c r="I2" s="26" t="e">
        <f>_xll.qlInstrumentNPV(E1,I1)</f>
        <v>#VALUE!</v>
      </c>
    </row>
    <row r="3" spans="1:9" x14ac:dyDescent="0.2">
      <c r="D3" s="3" t="s">
        <v>1</v>
      </c>
      <c r="E3" s="6"/>
      <c r="H3" t="s">
        <v>70</v>
      </c>
      <c r="I3" s="27" t="e">
        <f>_xll.qlVanillaSwapFairRate($E$1,$I$1)</f>
        <v>#VALUE!</v>
      </c>
    </row>
    <row r="4" spans="1:9" x14ac:dyDescent="0.2">
      <c r="D4" s="4" t="s">
        <v>15</v>
      </c>
      <c r="E4" s="7" t="s">
        <v>11</v>
      </c>
      <c r="H4" t="s">
        <v>88</v>
      </c>
      <c r="I4" s="27" t="e">
        <f>_xll.qlVanillaSwapFairSpread($E$1,$I$1)</f>
        <v>#VALUE!</v>
      </c>
    </row>
    <row r="5" spans="1:9" x14ac:dyDescent="0.2">
      <c r="D5" s="4" t="s">
        <v>16</v>
      </c>
      <c r="E5" s="25">
        <f>Nominal</f>
        <v>1000000</v>
      </c>
    </row>
    <row r="6" spans="1:9" x14ac:dyDescent="0.2">
      <c r="D6" s="4" t="s">
        <v>17</v>
      </c>
      <c r="E6" s="7" t="e">
        <f>DateCalc!$B$5</f>
        <v>#NUM!</v>
      </c>
    </row>
    <row r="7" spans="1:9" x14ac:dyDescent="0.2">
      <c r="D7" s="4" t="s">
        <v>18</v>
      </c>
      <c r="E7" s="8">
        <v>7.0000000000000007E-2</v>
      </c>
    </row>
    <row r="8" spans="1:9" ht="12" thickBot="1" x14ac:dyDescent="0.25">
      <c r="D8" s="4" t="s">
        <v>19</v>
      </c>
      <c r="E8" s="7" t="s">
        <v>13</v>
      </c>
    </row>
    <row r="9" spans="1:9" x14ac:dyDescent="0.2">
      <c r="A9" s="3" t="s">
        <v>55</v>
      </c>
      <c r="B9" s="10" t="e">
        <f>_xll.qlIborLeg(B11,B12,B13,B14,B15,B16,B17,B18,B19,B20,B21,B22,B23,B24)</f>
        <v>#VALUE!</v>
      </c>
      <c r="D9" s="4" t="s">
        <v>20</v>
      </c>
      <c r="E9" s="7" t="e">
        <f>DateCalc!B21</f>
        <v>#NUM!</v>
      </c>
    </row>
    <row r="10" spans="1:9" ht="12" thickBot="1" x14ac:dyDescent="0.25">
      <c r="A10" s="5" t="s">
        <v>7</v>
      </c>
      <c r="B10" s="11" t="str">
        <f ca="1">_xll.ohRangeRetrieveError(B9)</f>
        <v/>
      </c>
      <c r="D10" s="4" t="s">
        <v>21</v>
      </c>
      <c r="E10" s="103" t="s">
        <v>999</v>
      </c>
    </row>
    <row r="11" spans="1:9" x14ac:dyDescent="0.2">
      <c r="A11" s="3" t="s">
        <v>1</v>
      </c>
      <c r="B11" s="6"/>
      <c r="D11" s="4" t="s">
        <v>22</v>
      </c>
      <c r="E11" s="8">
        <f>B21</f>
        <v>0</v>
      </c>
    </row>
    <row r="12" spans="1:9" x14ac:dyDescent="0.2">
      <c r="A12" s="4" t="s">
        <v>47</v>
      </c>
      <c r="B12" s="7" t="s">
        <v>26</v>
      </c>
      <c r="D12" s="4" t="s">
        <v>23</v>
      </c>
      <c r="E12" s="7" t="str">
        <f>B17</f>
        <v>Actual/360</v>
      </c>
    </row>
    <row r="13" spans="1:9" x14ac:dyDescent="0.2">
      <c r="A13" s="4" t="s">
        <v>48</v>
      </c>
      <c r="B13" s="25">
        <v>1000000</v>
      </c>
      <c r="D13" s="4" t="s">
        <v>5</v>
      </c>
      <c r="E13" s="7"/>
    </row>
    <row r="14" spans="1:9" ht="12" thickBot="1" x14ac:dyDescent="0.25">
      <c r="A14" s="4" t="s">
        <v>12</v>
      </c>
      <c r="B14" s="7" t="e">
        <f>DateCalc!B21</f>
        <v>#NUM!</v>
      </c>
      <c r="D14" s="5" t="s">
        <v>6</v>
      </c>
      <c r="E14" s="9"/>
    </row>
    <row r="15" spans="1:9" ht="12" thickBot="1" x14ac:dyDescent="0.25">
      <c r="A15" s="4" t="s">
        <v>49</v>
      </c>
      <c r="B15" s="7"/>
    </row>
    <row r="16" spans="1:9" x14ac:dyDescent="0.2">
      <c r="A16" s="4" t="s">
        <v>50</v>
      </c>
      <c r="B16" s="7"/>
      <c r="D16" s="3" t="s">
        <v>60</v>
      </c>
      <c r="E16" s="10" t="e">
        <f>_xll.qlSwap(E18,E19:F19,E20:F20,E21,E22)</f>
        <v>#NUM!</v>
      </c>
      <c r="H16" t="s">
        <v>68</v>
      </c>
      <c r="I16" t="e">
        <f>_xll.qlInstrumentSetPricingEngine(E16,PricingEngines!$B$1)</f>
        <v>#VALUE!</v>
      </c>
    </row>
    <row r="17" spans="1:9" ht="12" thickBot="1" x14ac:dyDescent="0.25">
      <c r="A17" s="4" t="s">
        <v>4</v>
      </c>
      <c r="B17" s="7" t="s">
        <v>14</v>
      </c>
      <c r="D17" s="5" t="s">
        <v>7</v>
      </c>
      <c r="E17" s="11" t="str">
        <f ca="1">_xll.ohRangeRetrieveError(E16)</f>
        <v>qlSwap - operToVectorImpl: error converting parameter 'LegIDs' to type 'class std::basic_string&lt;char,struct std::char_traits&lt;char&gt;,class std::allocator&lt;char&gt; &gt;' : Unable to convert type 'struct ObjectHandler::empty_property_tag' to type 'class std::basic_</v>
      </c>
      <c r="H17" t="s">
        <v>63</v>
      </c>
      <c r="I17" s="26" t="e">
        <f>_xll.qlInstrumentNPV(E16,I16)</f>
        <v>#VALUE!</v>
      </c>
    </row>
    <row r="18" spans="1:9" ht="12" thickBot="1" x14ac:dyDescent="0.25">
      <c r="A18" s="4" t="s">
        <v>51</v>
      </c>
      <c r="B18" s="8"/>
      <c r="D18" s="22" t="s">
        <v>1</v>
      </c>
      <c r="E18" s="19"/>
      <c r="I18" s="27"/>
    </row>
    <row r="19" spans="1:9" x14ac:dyDescent="0.2">
      <c r="A19" s="4" t="s">
        <v>52</v>
      </c>
      <c r="B19" s="7"/>
      <c r="D19" s="23" t="s">
        <v>59</v>
      </c>
      <c r="E19" s="16" t="e">
        <f>B26</f>
        <v>#VALUE!</v>
      </c>
      <c r="F19" s="17" t="e">
        <f>B9</f>
        <v>#VALUE!</v>
      </c>
    </row>
    <row r="20" spans="1:9" ht="12" thickBot="1" x14ac:dyDescent="0.25">
      <c r="A20" s="4" t="s">
        <v>21</v>
      </c>
      <c r="B20" s="103" t="s">
        <v>999</v>
      </c>
      <c r="D20" s="23" t="s">
        <v>11</v>
      </c>
      <c r="E20" s="16" t="b">
        <v>1</v>
      </c>
      <c r="F20" s="18" t="b">
        <v>0</v>
      </c>
    </row>
    <row r="21" spans="1:9" x14ac:dyDescent="0.2">
      <c r="A21" s="4" t="s">
        <v>53</v>
      </c>
      <c r="B21" s="8"/>
      <c r="D21" s="23" t="s">
        <v>5</v>
      </c>
      <c r="E21" s="20"/>
    </row>
    <row r="22" spans="1:9" ht="12" thickBot="1" x14ac:dyDescent="0.25">
      <c r="A22" s="4" t="s">
        <v>54</v>
      </c>
      <c r="B22" s="8"/>
      <c r="D22" s="24" t="s">
        <v>6</v>
      </c>
      <c r="E22" s="21"/>
    </row>
    <row r="23" spans="1:9" x14ac:dyDescent="0.2">
      <c r="A23" s="4" t="s">
        <v>5</v>
      </c>
      <c r="B23" s="7"/>
    </row>
    <row r="24" spans="1:9" ht="12" thickBot="1" x14ac:dyDescent="0.25">
      <c r="A24" s="5" t="s">
        <v>6</v>
      </c>
      <c r="B24" s="9"/>
    </row>
    <row r="25" spans="1:9" ht="12" thickBot="1" x14ac:dyDescent="0.25"/>
    <row r="26" spans="1:9" x14ac:dyDescent="0.2">
      <c r="A26" s="3" t="s">
        <v>58</v>
      </c>
      <c r="B26" s="10" t="e">
        <f>_xll.qlFixedRateLeg(B28,B29,B30,B31,B32,B33,B34,B35)</f>
        <v>#VALUE!</v>
      </c>
    </row>
    <row r="27" spans="1:9" ht="12" thickBot="1" x14ac:dyDescent="0.25">
      <c r="A27" s="5" t="s">
        <v>7</v>
      </c>
      <c r="B27" s="11" t="str">
        <f ca="1">_xll.ohRangeRetrieveError(B26)</f>
        <v/>
      </c>
    </row>
    <row r="28" spans="1:9" x14ac:dyDescent="0.2">
      <c r="A28" s="3" t="s">
        <v>1</v>
      </c>
      <c r="B28" s="6"/>
    </row>
    <row r="29" spans="1:9" x14ac:dyDescent="0.2">
      <c r="A29" s="4" t="s">
        <v>47</v>
      </c>
      <c r="B29" s="7" t="s">
        <v>26</v>
      </c>
    </row>
    <row r="30" spans="1:9" x14ac:dyDescent="0.2">
      <c r="A30" s="4" t="s">
        <v>48</v>
      </c>
      <c r="B30" s="25">
        <f>Nominal</f>
        <v>1000000</v>
      </c>
    </row>
    <row r="31" spans="1:9" x14ac:dyDescent="0.2">
      <c r="A31" s="4" t="s">
        <v>12</v>
      </c>
      <c r="B31" s="7" t="e">
        <f>DateCalc!$B$5</f>
        <v>#NUM!</v>
      </c>
    </row>
    <row r="32" spans="1:9" x14ac:dyDescent="0.2">
      <c r="A32" s="4" t="s">
        <v>57</v>
      </c>
      <c r="B32" s="8">
        <v>0.05</v>
      </c>
    </row>
    <row r="33" spans="1:3" x14ac:dyDescent="0.2">
      <c r="A33" s="4" t="s">
        <v>4</v>
      </c>
      <c r="B33" s="7" t="s">
        <v>13</v>
      </c>
    </row>
    <row r="34" spans="1:3" x14ac:dyDescent="0.2">
      <c r="A34" s="4" t="s">
        <v>5</v>
      </c>
      <c r="B34" s="7"/>
    </row>
    <row r="35" spans="1:3" ht="12" thickBot="1" x14ac:dyDescent="0.25">
      <c r="A35" s="5" t="s">
        <v>6</v>
      </c>
      <c r="B35" s="9"/>
    </row>
    <row r="41" spans="1:3" x14ac:dyDescent="0.2">
      <c r="A41" s="105"/>
      <c r="C41" s="108"/>
    </row>
    <row r="42" spans="1:3" x14ac:dyDescent="0.2">
      <c r="C42" s="1"/>
    </row>
    <row r="46" spans="1:3" x14ac:dyDescent="0.2">
      <c r="B46" t="e">
        <f>_xll.qlBucketAnalysis('EUR RateHelpers'!T17,E$1)</f>
        <v>#NUM!</v>
      </c>
      <c r="C46" t="str">
        <f ca="1">_xll.ohRangeRetrieveError(B46)</f>
        <v>qlBucketAnalysis - operToVectorImpl: error converting parameter 'Instruments' to type 'class std::basic_string&lt;char,struct std::char_traits&lt;char&gt;,class std::allocator&lt;char&gt; &gt;' : input value has type=error</v>
      </c>
    </row>
    <row r="47" spans="1:3" x14ac:dyDescent="0.2">
      <c r="B47" t="e">
        <f>_xll.qlBucketAnalysis('EUR RateHelpers'!T18,E$1)</f>
        <v>#NUM!</v>
      </c>
      <c r="C47" t="str">
        <f ca="1">_xll.ohRangeRetrieveError(B47)</f>
        <v>qlBucketAnalysis - operToVectorImpl: error converting parameter 'Instruments' to type 'class std::basic_string&lt;char,struct std::char_traits&lt;char&gt;,class std::allocator&lt;char&gt; &gt;' : input value has type=error</v>
      </c>
    </row>
    <row r="48" spans="1:3" x14ac:dyDescent="0.2">
      <c r="B48" t="e">
        <f>_xll.qlBucketAnalysis('EUR RateHelpers'!T21,E$1)</f>
        <v>#NUM!</v>
      </c>
      <c r="C48" t="str">
        <f ca="1">_xll.ohRangeRetrieveError(B48)</f>
        <v>qlBucketAnalysis - operToVectorImpl: error converting parameter 'Instruments' to type 'class std::basic_string&lt;char,struct std::char_traits&lt;char&gt;,class std::allocator&lt;char&gt; &gt;' : input value has type=error</v>
      </c>
    </row>
    <row r="49" spans="1:6" x14ac:dyDescent="0.2">
      <c r="A49" t="str">
        <f>'EUR RateHelpers'!T20</f>
        <v>EURIB_SWAP5Y_Quote#0005</v>
      </c>
      <c r="B49" t="e">
        <f t="array" ref="B49:B71">_xll.qlBucketAnalysis('EUR RateHelpers'!T21,E$1)</f>
        <v>#NUM!</v>
      </c>
      <c r="C49" t="str">
        <f ca="1">_xll.ohRangeRetrieveError(B49)</f>
        <v>qlBucketAnalysis - operToVectorImpl: error converting parameter 'Instruments' to type 'class std::basic_string&lt;char,struct std::char_traits&lt;char&gt;,class std::allocator&lt;char&gt; &gt;' : input value has type=error</v>
      </c>
    </row>
    <row r="50" spans="1:6" x14ac:dyDescent="0.2">
      <c r="B50" t="e">
        <v>#NUM!</v>
      </c>
      <c r="D50" t="e">
        <f t="array" ref="D50:F54">_xll.qlBucketAnalysis('EUR RateHelpers'!T21,E$1)</f>
        <v>#NUM!</v>
      </c>
      <c r="E50" t="e">
        <v>#NUM!</v>
      </c>
      <c r="F50" t="e">
        <v>#NUM!</v>
      </c>
    </row>
    <row r="51" spans="1:6" x14ac:dyDescent="0.2">
      <c r="B51" t="e">
        <v>#NUM!</v>
      </c>
      <c r="D51" t="e">
        <v>#NUM!</v>
      </c>
      <c r="E51" t="e">
        <v>#NUM!</v>
      </c>
      <c r="F51" t="e">
        <v>#NUM!</v>
      </c>
    </row>
    <row r="52" spans="1:6" x14ac:dyDescent="0.2">
      <c r="B52" t="e">
        <v>#NUM!</v>
      </c>
      <c r="D52" t="e">
        <v>#NUM!</v>
      </c>
      <c r="E52" t="e">
        <v>#NUM!</v>
      </c>
      <c r="F52" t="e">
        <v>#NUM!</v>
      </c>
    </row>
    <row r="53" spans="1:6" x14ac:dyDescent="0.2">
      <c r="B53" t="e">
        <v>#NUM!</v>
      </c>
      <c r="D53" t="e">
        <v>#NUM!</v>
      </c>
      <c r="E53" t="e">
        <v>#NUM!</v>
      </c>
      <c r="F53" t="e">
        <v>#NUM!</v>
      </c>
    </row>
    <row r="54" spans="1:6" x14ac:dyDescent="0.2">
      <c r="B54" t="e">
        <v>#NUM!</v>
      </c>
      <c r="D54" t="e">
        <v>#NUM!</v>
      </c>
      <c r="E54" t="e">
        <v>#NUM!</v>
      </c>
      <c r="F54" t="e">
        <v>#NUM!</v>
      </c>
    </row>
    <row r="55" spans="1:6" x14ac:dyDescent="0.2">
      <c r="B55" t="e">
        <v>#NUM!</v>
      </c>
    </row>
    <row r="56" spans="1:6" x14ac:dyDescent="0.2">
      <c r="B56" t="e">
        <v>#NUM!</v>
      </c>
    </row>
    <row r="57" spans="1:6" x14ac:dyDescent="0.2">
      <c r="B57" t="e">
        <v>#NUM!</v>
      </c>
    </row>
    <row r="58" spans="1:6" x14ac:dyDescent="0.2">
      <c r="B58" t="e">
        <v>#NUM!</v>
      </c>
    </row>
    <row r="59" spans="1:6" x14ac:dyDescent="0.2">
      <c r="B59" t="e">
        <v>#NUM!</v>
      </c>
    </row>
    <row r="60" spans="1:6" x14ac:dyDescent="0.2">
      <c r="B60" t="e">
        <v>#NUM!</v>
      </c>
    </row>
    <row r="61" spans="1:6" x14ac:dyDescent="0.2">
      <c r="B61" t="e">
        <v>#NUM!</v>
      </c>
    </row>
    <row r="62" spans="1:6" x14ac:dyDescent="0.2">
      <c r="B62" t="e">
        <v>#NUM!</v>
      </c>
    </row>
    <row r="63" spans="1:6" x14ac:dyDescent="0.2">
      <c r="B63" t="e">
        <v>#NUM!</v>
      </c>
    </row>
    <row r="64" spans="1:6" x14ac:dyDescent="0.2">
      <c r="B64" t="e">
        <v>#NUM!</v>
      </c>
    </row>
    <row r="65" spans="2:2" x14ac:dyDescent="0.2">
      <c r="B65" t="e">
        <v>#NUM!</v>
      </c>
    </row>
    <row r="66" spans="2:2" x14ac:dyDescent="0.2">
      <c r="B66" t="e">
        <v>#NUM!</v>
      </c>
    </row>
    <row r="67" spans="2:2" x14ac:dyDescent="0.2">
      <c r="B67" t="e">
        <v>#NUM!</v>
      </c>
    </row>
    <row r="68" spans="2:2" x14ac:dyDescent="0.2">
      <c r="B68" t="e">
        <v>#NUM!</v>
      </c>
    </row>
    <row r="69" spans="2:2" x14ac:dyDescent="0.2">
      <c r="B69" t="e">
        <v>#NUM!</v>
      </c>
    </row>
    <row r="70" spans="2:2" x14ac:dyDescent="0.2">
      <c r="B70" t="e">
        <v>#NUM!</v>
      </c>
    </row>
    <row r="71" spans="2:2" x14ac:dyDescent="0.2">
      <c r="B71" t="e">
        <v>#NUM!</v>
      </c>
    </row>
  </sheetData>
  <phoneticPr fontId="0" type="noConversion"/>
  <dataValidations count="3">
    <dataValidation type="list" allowBlank="1" showInputMessage="1" showErrorMessage="1" sqref="E4" xr:uid="{00000000-0002-0000-1700-000000000000}">
      <formula1>"Payer,Receiver"</formula1>
    </dataValidation>
    <dataValidation type="list" allowBlank="1" showInputMessage="1" showErrorMessage="1" sqref="E8 E12 B33 B17" xr:uid="{00000000-0002-0000-1700-000001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B29 B12" xr:uid="{00000000-0002-0000-1700-000002000000}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"/>
  <dimension ref="A1:G17"/>
  <sheetViews>
    <sheetView workbookViewId="0">
      <selection activeCell="B5" sqref="B5"/>
    </sheetView>
  </sheetViews>
  <sheetFormatPr defaultRowHeight="11.25" x14ac:dyDescent="0.2"/>
  <cols>
    <col min="1" max="1" width="11.6640625" bestFit="1" customWidth="1"/>
    <col min="2" max="2" width="14.6640625" bestFit="1" customWidth="1"/>
    <col min="3" max="3" width="6.33203125" customWidth="1"/>
    <col min="4" max="4" width="14.6640625" bestFit="1" customWidth="1"/>
    <col min="5" max="5" width="16" customWidth="1"/>
  </cols>
  <sheetData>
    <row r="1" spans="1:7" x14ac:dyDescent="0.2">
      <c r="A1" s="3" t="s">
        <v>46</v>
      </c>
      <c r="B1" s="10" t="e">
        <f>_xll.qlCapFloor(B3,B4,B5,B6,B7,B8)</f>
        <v>#VALUE!</v>
      </c>
      <c r="D1" t="s">
        <v>68</v>
      </c>
      <c r="E1" t="e">
        <f>_xll.qlInstrumentSetPricingEngine(B1,PricingEngines!$B$8)</f>
        <v>#VALUE!</v>
      </c>
    </row>
    <row r="2" spans="1:7" ht="12" thickBot="1" x14ac:dyDescent="0.25">
      <c r="A2" s="5" t="s">
        <v>7</v>
      </c>
      <c r="B2" s="11" t="str">
        <f ca="1">_xll.ohRangeRetrieveError(B1)</f>
        <v/>
      </c>
      <c r="D2" t="s">
        <v>63</v>
      </c>
      <c r="E2" s="26" t="e">
        <f>_xll.qlInstrumentNPV(B1,E1)</f>
        <v>#VALUE!</v>
      </c>
    </row>
    <row r="3" spans="1:7" x14ac:dyDescent="0.2">
      <c r="A3" s="3" t="s">
        <v>1</v>
      </c>
      <c r="B3" s="6"/>
      <c r="D3" t="s">
        <v>62</v>
      </c>
      <c r="E3" s="2" t="e">
        <f>_xll.qlCapFloorAtmRate(B1,'EUR TermStructures'!#REF!)</f>
        <v>#VALUE!</v>
      </c>
    </row>
    <row r="4" spans="1:7" x14ac:dyDescent="0.2">
      <c r="A4" s="4" t="s">
        <v>43</v>
      </c>
      <c r="B4" s="7" t="s">
        <v>56</v>
      </c>
      <c r="D4" t="s">
        <v>61</v>
      </c>
      <c r="E4" s="13" t="e">
        <f>_xll.qlCapFloorImpliedVolatility(B1,E2,'EUR TermStructures'!#REF!,0.000001,100)</f>
        <v>#VALUE!</v>
      </c>
    </row>
    <row r="5" spans="1:7" x14ac:dyDescent="0.2">
      <c r="A5" s="4" t="s">
        <v>44</v>
      </c>
      <c r="B5" s="7" t="e">
        <f>'EUR Swaps'!B9</f>
        <v>#VALUE!</v>
      </c>
    </row>
    <row r="6" spans="1:7" x14ac:dyDescent="0.2">
      <c r="A6" s="4" t="s">
        <v>45</v>
      </c>
      <c r="B6" s="8">
        <v>0.03</v>
      </c>
    </row>
    <row r="7" spans="1:7" x14ac:dyDescent="0.2">
      <c r="A7" s="4" t="s">
        <v>5</v>
      </c>
      <c r="B7" s="7"/>
    </row>
    <row r="8" spans="1:7" ht="12" thickBot="1" x14ac:dyDescent="0.25">
      <c r="A8" s="5" t="s">
        <v>6</v>
      </c>
      <c r="B8" s="9"/>
    </row>
    <row r="9" spans="1:7" ht="12" thickBot="1" x14ac:dyDescent="0.25"/>
    <row r="10" spans="1:7" x14ac:dyDescent="0.2">
      <c r="A10" s="3" t="s">
        <v>46</v>
      </c>
      <c r="B10" s="10" t="e">
        <f>_xll.qlCapFloor(B12,B13,B14,B15,B16,B17)</f>
        <v>#VALUE!</v>
      </c>
      <c r="D10" t="s">
        <v>68</v>
      </c>
      <c r="E10" t="e">
        <f>_xll.qlInstrumentSetPricingEngine(B10,PricingEngines!$B$8)</f>
        <v>#VALUE!</v>
      </c>
    </row>
    <row r="11" spans="1:7" ht="12" thickBot="1" x14ac:dyDescent="0.25">
      <c r="A11" s="5" t="s">
        <v>7</v>
      </c>
      <c r="B11" s="11" t="str">
        <f ca="1">_xll.ohRangeRetrieveError(B10)</f>
        <v/>
      </c>
      <c r="D11" t="s">
        <v>63</v>
      </c>
      <c r="E11" s="26" t="e">
        <f>_xll.qlInstrumentNPV(B10,E10)</f>
        <v>#VALUE!</v>
      </c>
      <c r="G11" t="e">
        <f>_xll.qlInstrumentNPV(B10,#REF!)</f>
        <v>#VALUE!</v>
      </c>
    </row>
    <row r="12" spans="1:7" x14ac:dyDescent="0.2">
      <c r="A12" s="3" t="s">
        <v>1</v>
      </c>
      <c r="B12" s="6"/>
      <c r="D12" t="s">
        <v>62</v>
      </c>
      <c r="E12" s="2" t="e">
        <f>_xll.qlCapFloorAtmRate(B10,'EUR TermStructures'!#REF!)</f>
        <v>#VALUE!</v>
      </c>
    </row>
    <row r="13" spans="1:7" x14ac:dyDescent="0.2">
      <c r="A13" s="4" t="s">
        <v>43</v>
      </c>
      <c r="B13" s="103" t="s">
        <v>42</v>
      </c>
      <c r="D13" t="s">
        <v>61</v>
      </c>
      <c r="E13" s="13" t="e">
        <f>_xll.qlCapFloorImpliedVolatility(B10,E11,'EUR TermStructures'!#REF!,0.000001,100)</f>
        <v>#VALUE!</v>
      </c>
    </row>
    <row r="14" spans="1:7" x14ac:dyDescent="0.2">
      <c r="A14" s="4" t="s">
        <v>44</v>
      </c>
      <c r="B14" s="7" t="e">
        <f>'EUR Swaps'!B9</f>
        <v>#VALUE!</v>
      </c>
    </row>
    <row r="15" spans="1:7" x14ac:dyDescent="0.2">
      <c r="A15" s="4" t="s">
        <v>45</v>
      </c>
      <c r="B15" s="8">
        <v>0.01</v>
      </c>
    </row>
    <row r="16" spans="1:7" x14ac:dyDescent="0.2">
      <c r="A16" s="4" t="s">
        <v>5</v>
      </c>
      <c r="B16" s="7"/>
    </row>
    <row r="17" spans="1:2" ht="12" thickBot="1" x14ac:dyDescent="0.25">
      <c r="A17" s="5" t="s">
        <v>6</v>
      </c>
      <c r="B17" s="9"/>
    </row>
  </sheetData>
  <phoneticPr fontId="0" type="noConversion"/>
  <dataValidations disablePrompts="1" count="1">
    <dataValidation type="list" allowBlank="1" showInputMessage="1" showErrorMessage="1" sqref="B13 B4" xr:uid="{00000000-0002-0000-1800-000000000000}">
      <formula1>"Cap,Floor"</formula1>
    </dataValidation>
  </dataValidations>
  <pageMargins left="0.75" right="0.75" top="1" bottom="1" header="0.5" footer="0.5"/>
  <headerFooter alignWithMargins="0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/>
  <dimension ref="A1:I37"/>
  <sheetViews>
    <sheetView workbookViewId="0">
      <selection activeCell="C1" sqref="C1"/>
    </sheetView>
  </sheetViews>
  <sheetFormatPr defaultRowHeight="11.25" x14ac:dyDescent="0.2"/>
  <cols>
    <col min="1" max="1" width="23.1640625" bestFit="1" customWidth="1"/>
    <col min="2" max="2" width="29.33203125" bestFit="1" customWidth="1"/>
    <col min="4" max="4" width="11.33203125" bestFit="1" customWidth="1"/>
    <col min="5" max="6" width="14.6640625" bestFit="1" customWidth="1"/>
    <col min="7" max="7" width="5.6640625" customWidth="1"/>
    <col min="8" max="8" width="14.6640625" bestFit="1" customWidth="1"/>
    <col min="9" max="9" width="11.1640625" bestFit="1" customWidth="1"/>
  </cols>
  <sheetData>
    <row r="1" spans="1:9" x14ac:dyDescent="0.2">
      <c r="A1" s="3" t="s">
        <v>80</v>
      </c>
      <c r="B1" s="10" t="e">
        <f>_xll.qlEuriborSwapIsdaFixA(B3,B4,B5,B6,B7,B8)</f>
        <v>#NUM!</v>
      </c>
      <c r="D1" s="3" t="s">
        <v>60</v>
      </c>
      <c r="E1" s="10" t="e">
        <f>_xll.qlSwap(E3,E4:F4,E5:F5,E6,E7)</f>
        <v>#NUM!</v>
      </c>
      <c r="H1" t="s">
        <v>68</v>
      </c>
      <c r="I1" t="e">
        <f>_xll.qlInstrumentSetPricingEngine(E1,PricingEngines!$B$1,B37)</f>
        <v>#VALUE!</v>
      </c>
    </row>
    <row r="2" spans="1:9" ht="12" thickBot="1" x14ac:dyDescent="0.25">
      <c r="A2" s="5" t="s">
        <v>7</v>
      </c>
      <c r="B2" s="11" t="str">
        <f ca="1">_xll.ohRangeRetrieveError(B1)</f>
        <v xml:space="preserve">qlEuriborSwapIsdaFixA - Error converting parameter 'FwdCurve' : 'Unable to convert type 'struct ObjectHandler::empty_property_tag' to type 'class std::basic_string&lt;char,struct std::char_traits&lt;char&gt;,class std::allocator&lt;char&gt; &gt;' - Error in call to Excel: </v>
      </c>
      <c r="D2" s="5" t="s">
        <v>7</v>
      </c>
      <c r="E2" s="11" t="str">
        <f ca="1">_xll.ohRangeRetrieveError(E1)</f>
        <v>qlSwap - operToVectorImpl: error converting parameter 'LegIDs' to type 'class std::basic_string&lt;char,struct std::char_traits&lt;char&gt;,class std::allocator&lt;char&gt; &gt;' : Unable to convert type 'struct ObjectHandler::empty_property_tag' to type 'class std::basic_</v>
      </c>
      <c r="H2" t="s">
        <v>63</v>
      </c>
      <c r="I2" s="26" t="e">
        <f>_xll.qlInstrumentNPV(E1,I1)</f>
        <v>#VALUE!</v>
      </c>
    </row>
    <row r="3" spans="1:9" ht="12" thickBot="1" x14ac:dyDescent="0.25">
      <c r="A3" s="3" t="s">
        <v>1</v>
      </c>
      <c r="B3" s="6"/>
      <c r="D3" s="22" t="s">
        <v>1</v>
      </c>
      <c r="E3" s="19"/>
      <c r="I3" s="27"/>
    </row>
    <row r="4" spans="1:9" x14ac:dyDescent="0.2">
      <c r="A4" s="4" t="s">
        <v>30</v>
      </c>
      <c r="B4" s="7" t="s">
        <v>79</v>
      </c>
      <c r="D4" s="23" t="s">
        <v>59</v>
      </c>
      <c r="E4" s="16" t="e">
        <f>B20</f>
        <v>#VALUE!</v>
      </c>
      <c r="F4" s="17" t="e">
        <f>'EUR Swaps'!B9</f>
        <v>#VALUE!</v>
      </c>
    </row>
    <row r="5" spans="1:9" ht="12" thickBot="1" x14ac:dyDescent="0.25">
      <c r="A5" s="4" t="s">
        <v>90</v>
      </c>
      <c r="B5" s="7" t="e">
        <f>'EUR TermStructures'!#REF!</f>
        <v>#REF!</v>
      </c>
      <c r="D5" s="23" t="s">
        <v>11</v>
      </c>
      <c r="E5" s="16" t="b">
        <v>1</v>
      </c>
      <c r="F5" s="18" t="b">
        <v>0</v>
      </c>
    </row>
    <row r="6" spans="1:9" x14ac:dyDescent="0.2">
      <c r="A6" s="4" t="s">
        <v>89</v>
      </c>
      <c r="B6" s="7" t="e">
        <f>'EUR TermStructures'!#REF!</f>
        <v>#REF!</v>
      </c>
      <c r="D6" s="23" t="s">
        <v>5</v>
      </c>
      <c r="E6" s="20"/>
    </row>
    <row r="7" spans="1:9" ht="12" thickBot="1" x14ac:dyDescent="0.25">
      <c r="A7" s="4" t="s">
        <v>5</v>
      </c>
      <c r="B7" s="7"/>
      <c r="D7" s="24" t="s">
        <v>6</v>
      </c>
      <c r="E7" s="21"/>
    </row>
    <row r="8" spans="1:9" ht="12" thickBot="1" x14ac:dyDescent="0.25">
      <c r="A8" s="5" t="s">
        <v>6</v>
      </c>
      <c r="B8" s="9"/>
    </row>
    <row r="9" spans="1:9" ht="12" thickBot="1" x14ac:dyDescent="0.25"/>
    <row r="10" spans="1:9" x14ac:dyDescent="0.2">
      <c r="A10" s="3" t="s">
        <v>86</v>
      </c>
      <c r="B10" s="10" t="e">
        <f>_xll.qlCmsCouponPricer(B12,B13,B14,B15,B16,B17,B18)</f>
        <v>#VALUE!</v>
      </c>
    </row>
    <row r="11" spans="1:9" ht="12" thickBot="1" x14ac:dyDescent="0.25">
      <c r="A11" s="5" t="s">
        <v>7</v>
      </c>
      <c r="B11" s="11" t="str">
        <f ca="1">_xll.ohRangeRetrieveError(B10)</f>
        <v/>
      </c>
    </row>
    <row r="12" spans="1:9" x14ac:dyDescent="0.2">
      <c r="A12" s="3" t="s">
        <v>1</v>
      </c>
      <c r="B12" s="6"/>
    </row>
    <row r="13" spans="1:9" x14ac:dyDescent="0.2">
      <c r="A13" s="4" t="s">
        <v>9</v>
      </c>
      <c r="B13" s="7" t="e">
        <f>'EUR TermStructures'!#REF!</f>
        <v>#REF!</v>
      </c>
    </row>
    <row r="14" spans="1:9" x14ac:dyDescent="0.2">
      <c r="A14" s="4" t="s">
        <v>83</v>
      </c>
      <c r="B14" s="7" t="s">
        <v>81</v>
      </c>
    </row>
    <row r="15" spans="1:9" x14ac:dyDescent="0.2">
      <c r="A15" s="4" t="s">
        <v>84</v>
      </c>
      <c r="B15" s="7" t="s">
        <v>82</v>
      </c>
    </row>
    <row r="16" spans="1:9" x14ac:dyDescent="0.2">
      <c r="A16" s="4" t="s">
        <v>85</v>
      </c>
      <c r="B16" s="7">
        <v>0.1</v>
      </c>
    </row>
    <row r="17" spans="1:2" x14ac:dyDescent="0.2">
      <c r="A17" s="4" t="s">
        <v>5</v>
      </c>
      <c r="B17" s="7"/>
    </row>
    <row r="18" spans="1:2" ht="12" thickBot="1" x14ac:dyDescent="0.25">
      <c r="A18" s="5" t="s">
        <v>6</v>
      </c>
      <c r="B18" s="9"/>
    </row>
    <row r="19" spans="1:2" ht="12" thickBot="1" x14ac:dyDescent="0.25"/>
    <row r="20" spans="1:2" x14ac:dyDescent="0.2">
      <c r="A20" s="3" t="s">
        <v>78</v>
      </c>
      <c r="B20" s="10" t="e">
        <f>_xll.qlCmsLeg(B22,B23,B24,B25,B26,B27,B28,B29,B30,B31,B32,B33,B34,B35)</f>
        <v>#VALUE!</v>
      </c>
    </row>
    <row r="21" spans="1:2" ht="12" thickBot="1" x14ac:dyDescent="0.25">
      <c r="A21" s="5" t="s">
        <v>7</v>
      </c>
      <c r="B21" s="11" t="str">
        <f ca="1">_xll.ohRangeRetrieveError(B20)</f>
        <v/>
      </c>
    </row>
    <row r="22" spans="1:2" x14ac:dyDescent="0.2">
      <c r="A22" s="3" t="s">
        <v>1</v>
      </c>
      <c r="B22" s="6"/>
    </row>
    <row r="23" spans="1:2" x14ac:dyDescent="0.2">
      <c r="A23" s="4" t="s">
        <v>47</v>
      </c>
      <c r="B23" s="7" t="s">
        <v>26</v>
      </c>
    </row>
    <row r="24" spans="1:2" x14ac:dyDescent="0.2">
      <c r="A24" s="4" t="s">
        <v>48</v>
      </c>
      <c r="B24" s="7">
        <f>Nominal</f>
        <v>1000000</v>
      </c>
    </row>
    <row r="25" spans="1:2" x14ac:dyDescent="0.2">
      <c r="A25" s="4" t="s">
        <v>12</v>
      </c>
      <c r="B25" s="7" t="e">
        <f>DateCalc!B5</f>
        <v>#NUM!</v>
      </c>
    </row>
    <row r="26" spans="1:2" x14ac:dyDescent="0.2">
      <c r="A26" s="4" t="s">
        <v>49</v>
      </c>
      <c r="B26" s="7"/>
    </row>
    <row r="27" spans="1:2" x14ac:dyDescent="0.2">
      <c r="A27" s="4" t="s">
        <v>50</v>
      </c>
      <c r="B27" s="7"/>
    </row>
    <row r="28" spans="1:2" x14ac:dyDescent="0.2">
      <c r="A28" s="4" t="s">
        <v>4</v>
      </c>
      <c r="B28" s="7" t="s">
        <v>14</v>
      </c>
    </row>
    <row r="29" spans="1:2" x14ac:dyDescent="0.2">
      <c r="A29" s="4" t="s">
        <v>51</v>
      </c>
      <c r="B29" s="8"/>
    </row>
    <row r="30" spans="1:2" x14ac:dyDescent="0.2">
      <c r="A30" s="4" t="s">
        <v>52</v>
      </c>
      <c r="B30" s="7"/>
    </row>
    <row r="31" spans="1:2" x14ac:dyDescent="0.2">
      <c r="A31" s="4" t="s">
        <v>77</v>
      </c>
      <c r="B31" s="7" t="e">
        <f>B1</f>
        <v>#NUM!</v>
      </c>
    </row>
    <row r="32" spans="1:2" x14ac:dyDescent="0.2">
      <c r="A32" s="4" t="s">
        <v>53</v>
      </c>
      <c r="B32" s="8"/>
    </row>
    <row r="33" spans="1:2" x14ac:dyDescent="0.2">
      <c r="A33" s="4" t="s">
        <v>54</v>
      </c>
      <c r="B33" s="8"/>
    </row>
    <row r="34" spans="1:2" x14ac:dyDescent="0.2">
      <c r="A34" s="4" t="s">
        <v>5</v>
      </c>
      <c r="B34" s="7"/>
    </row>
    <row r="35" spans="1:2" ht="12" thickBot="1" x14ac:dyDescent="0.25">
      <c r="A35" s="5" t="s">
        <v>6</v>
      </c>
      <c r="B35" s="9"/>
    </row>
    <row r="37" spans="1:2" x14ac:dyDescent="0.2">
      <c r="A37" t="s">
        <v>87</v>
      </c>
      <c r="B37" t="e">
        <f>_xll.qlLegSetCouponPricers(B20,B10)</f>
        <v>#VALUE!</v>
      </c>
    </row>
  </sheetData>
  <phoneticPr fontId="0" type="noConversion"/>
  <dataValidations disablePrompts="1" count="4">
    <dataValidation type="list" allowBlank="1" showInputMessage="1" showErrorMessage="1" sqref="B23" xr:uid="{00000000-0002-0000-1900-000000000000}">
      <formula1>"Following,Modified Following,Preceding,Modified Preceding,Unadjusted"</formula1>
    </dataValidation>
    <dataValidation type="list" allowBlank="1" showInputMessage="1" showErrorMessage="1" sqref="B28" xr:uid="{00000000-0002-0000-1900-000001000000}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B15" xr:uid="{00000000-0002-0000-1900-000002000000}">
      <formula1>"Standard, ExactYield, ParallelShifts, NonParallelShifts"</formula1>
    </dataValidation>
    <dataValidation type="list" allowBlank="1" showInputMessage="1" showErrorMessage="1" sqref="B14" xr:uid="{00000000-0002-0000-1900-000003000000}">
      <formula1>"ConundrumByBlack,ConundrumByNumericalIntegration"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8"/>
  <dimension ref="A1:AN25"/>
  <sheetViews>
    <sheetView workbookViewId="0">
      <selection activeCell="A7" sqref="A7"/>
    </sheetView>
  </sheetViews>
  <sheetFormatPr defaultRowHeight="11.25" x14ac:dyDescent="0.2"/>
  <cols>
    <col min="1" max="1" width="16.5" bestFit="1" customWidth="1"/>
    <col min="2" max="2" width="10.1640625" bestFit="1" customWidth="1"/>
    <col min="3" max="3" width="12.6640625" bestFit="1" customWidth="1"/>
    <col min="4" max="5" width="16.5" bestFit="1" customWidth="1"/>
    <col min="6" max="6" width="7.5" bestFit="1" customWidth="1"/>
    <col min="7" max="7" width="5.5" bestFit="1" customWidth="1"/>
    <col min="8" max="9" width="5.83203125" bestFit="1" customWidth="1"/>
    <col min="10" max="10" width="18" bestFit="1" customWidth="1"/>
    <col min="11" max="11" width="7.5" bestFit="1" customWidth="1"/>
    <col min="12" max="12" width="8.33203125" bestFit="1" customWidth="1"/>
    <col min="13" max="13" width="5.1640625" bestFit="1" customWidth="1"/>
    <col min="14" max="14" width="7.5" bestFit="1" customWidth="1"/>
    <col min="15" max="16" width="5.83203125" bestFit="1" customWidth="1"/>
    <col min="17" max="17" width="7" bestFit="1" customWidth="1"/>
    <col min="18" max="18" width="5.1640625" bestFit="1" customWidth="1"/>
    <col min="19" max="19" width="9.1640625" bestFit="1" customWidth="1"/>
    <col min="20" max="20" width="8.83203125" bestFit="1" customWidth="1"/>
    <col min="21" max="21" width="5.1640625" bestFit="1" customWidth="1"/>
  </cols>
  <sheetData>
    <row r="1" spans="1:40" x14ac:dyDescent="0.2">
      <c r="A1" s="32" t="e">
        <f t="array" ref="A1:U24">_xll.qlSwapLegAnalysis('EUR Swaps'!E1,0)</f>
        <v>#VALUE!</v>
      </c>
      <c r="B1" s="32" t="e">
        <v>#VALUE!</v>
      </c>
      <c r="C1" s="32" t="e">
        <v>#VALUE!</v>
      </c>
      <c r="D1" s="32" t="e">
        <v>#VALUE!</v>
      </c>
      <c r="E1" s="32" t="e">
        <v>#VALUE!</v>
      </c>
      <c r="F1" s="32" t="e">
        <v>#VALUE!</v>
      </c>
      <c r="G1" s="32" t="e">
        <v>#VALUE!</v>
      </c>
      <c r="H1" s="32" t="e">
        <v>#VALUE!</v>
      </c>
      <c r="I1" s="32" t="e">
        <v>#VALUE!</v>
      </c>
      <c r="J1" s="32" t="e">
        <v>#VALUE!</v>
      </c>
      <c r="K1" s="32" t="e">
        <v>#VALUE!</v>
      </c>
      <c r="L1" s="32" t="e">
        <v>#VALUE!</v>
      </c>
      <c r="M1" s="32" t="e">
        <v>#VALUE!</v>
      </c>
      <c r="N1" s="32" t="e">
        <v>#VALUE!</v>
      </c>
      <c r="O1" s="32" t="e">
        <v>#VALUE!</v>
      </c>
      <c r="P1" s="32" t="e">
        <v>#VALUE!</v>
      </c>
      <c r="Q1" s="32" t="e">
        <v>#VALUE!</v>
      </c>
      <c r="R1" s="32" t="e">
        <v>#VALUE!</v>
      </c>
      <c r="S1" s="32" t="e">
        <v>#VALUE!</v>
      </c>
      <c r="T1" s="32" t="e">
        <v>#VALUE!</v>
      </c>
      <c r="U1" s="32" t="e">
        <v>#VALUE!</v>
      </c>
    </row>
    <row r="2" spans="1:40" x14ac:dyDescent="0.2">
      <c r="A2" s="33" t="e">
        <v>#VALUE!</v>
      </c>
      <c r="B2" s="34" t="e">
        <v>#VALUE!</v>
      </c>
      <c r="C2" s="34" t="e">
        <v>#VALUE!</v>
      </c>
      <c r="D2" s="40" t="e">
        <v>#VALUE!</v>
      </c>
      <c r="E2" s="40" t="e">
        <v>#VALUE!</v>
      </c>
      <c r="F2" s="35" t="e">
        <v>#VALUE!</v>
      </c>
      <c r="G2" s="36" t="e">
        <v>#VALUE!</v>
      </c>
      <c r="H2" s="35" t="e">
        <v>#VALUE!</v>
      </c>
      <c r="I2" s="40" t="e">
        <v>#VALUE!</v>
      </c>
      <c r="J2" s="35" t="e">
        <v>#VALUE!</v>
      </c>
      <c r="K2" s="37" t="e">
        <v>#VALUE!</v>
      </c>
      <c r="L2" s="38" t="e">
        <v>#VALUE!</v>
      </c>
      <c r="M2" s="38" t="e">
        <v>#VALUE!</v>
      </c>
      <c r="N2" s="39" t="e">
        <v>#VALUE!</v>
      </c>
      <c r="O2" s="38" t="e">
        <v>#VALUE!</v>
      </c>
      <c r="P2" s="38" t="e">
        <v>#VALUE!</v>
      </c>
      <c r="Q2" s="38" t="e">
        <v>#VALUE!</v>
      </c>
      <c r="R2" s="38" t="e">
        <v>#VALUE!</v>
      </c>
      <c r="S2" s="38" t="e">
        <v>#VALUE!</v>
      </c>
      <c r="T2" s="36" t="e">
        <v>#VALUE!</v>
      </c>
      <c r="U2" s="36" t="e">
        <v>#VALUE!</v>
      </c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</row>
    <row r="3" spans="1:40" x14ac:dyDescent="0.2">
      <c r="A3" s="33" t="e">
        <v>#VALUE!</v>
      </c>
      <c r="B3" s="34" t="e">
        <v>#VALUE!</v>
      </c>
      <c r="C3" s="34" t="e">
        <v>#VALUE!</v>
      </c>
      <c r="D3" s="40" t="e">
        <v>#VALUE!</v>
      </c>
      <c r="E3" s="40" t="e">
        <v>#VALUE!</v>
      </c>
      <c r="F3" s="35" t="e">
        <v>#VALUE!</v>
      </c>
      <c r="G3" s="36" t="e">
        <v>#VALUE!</v>
      </c>
      <c r="H3" s="35" t="e">
        <v>#VALUE!</v>
      </c>
      <c r="I3" s="40" t="e">
        <v>#VALUE!</v>
      </c>
      <c r="J3" s="35" t="e">
        <v>#VALUE!</v>
      </c>
      <c r="K3" s="37" t="e">
        <v>#VALUE!</v>
      </c>
      <c r="L3" s="38" t="e">
        <v>#VALUE!</v>
      </c>
      <c r="M3" s="38" t="e">
        <v>#VALUE!</v>
      </c>
      <c r="N3" s="39" t="e">
        <v>#VALUE!</v>
      </c>
      <c r="O3" s="38" t="e">
        <v>#VALUE!</v>
      </c>
      <c r="P3" s="38" t="e">
        <v>#VALUE!</v>
      </c>
      <c r="Q3" s="38" t="e">
        <v>#VALUE!</v>
      </c>
      <c r="R3" s="38" t="e">
        <v>#VALUE!</v>
      </c>
      <c r="S3" s="38" t="e">
        <v>#VALUE!</v>
      </c>
      <c r="T3" s="36" t="e">
        <v>#VALUE!</v>
      </c>
      <c r="U3" s="36" t="e">
        <v>#VALUE!</v>
      </c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</row>
    <row r="4" spans="1:40" x14ac:dyDescent="0.2">
      <c r="A4" s="33" t="e">
        <v>#VALUE!</v>
      </c>
      <c r="B4" s="34" t="e">
        <v>#VALUE!</v>
      </c>
      <c r="C4" s="34" t="e">
        <v>#VALUE!</v>
      </c>
      <c r="D4" s="40" t="e">
        <v>#VALUE!</v>
      </c>
      <c r="E4" s="40" t="e">
        <v>#VALUE!</v>
      </c>
      <c r="F4" s="35" t="e">
        <v>#VALUE!</v>
      </c>
      <c r="G4" s="36" t="e">
        <v>#VALUE!</v>
      </c>
      <c r="H4" s="35" t="e">
        <v>#VALUE!</v>
      </c>
      <c r="I4" s="40" t="e">
        <v>#VALUE!</v>
      </c>
      <c r="J4" s="35" t="e">
        <v>#VALUE!</v>
      </c>
      <c r="K4" s="37" t="e">
        <v>#VALUE!</v>
      </c>
      <c r="L4" s="38" t="e">
        <v>#VALUE!</v>
      </c>
      <c r="M4" s="38" t="e">
        <v>#VALUE!</v>
      </c>
      <c r="N4" s="39" t="e">
        <v>#VALUE!</v>
      </c>
      <c r="O4" s="38" t="e">
        <v>#VALUE!</v>
      </c>
      <c r="P4" s="38" t="e">
        <v>#VALUE!</v>
      </c>
      <c r="Q4" s="38" t="e">
        <v>#VALUE!</v>
      </c>
      <c r="R4" s="38" t="e">
        <v>#VALUE!</v>
      </c>
      <c r="S4" s="38" t="e">
        <v>#VALUE!</v>
      </c>
      <c r="T4" s="36" t="e">
        <v>#VALUE!</v>
      </c>
      <c r="U4" s="36" t="e">
        <v>#VALUE!</v>
      </c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</row>
    <row r="5" spans="1:40" x14ac:dyDescent="0.2">
      <c r="A5" s="33" t="e">
        <v>#VALUE!</v>
      </c>
      <c r="B5" s="34" t="e">
        <v>#VALUE!</v>
      </c>
      <c r="C5" s="34" t="e">
        <v>#VALUE!</v>
      </c>
      <c r="D5" s="40" t="e">
        <v>#VALUE!</v>
      </c>
      <c r="E5" s="40" t="e">
        <v>#VALUE!</v>
      </c>
      <c r="F5" s="35" t="e">
        <v>#VALUE!</v>
      </c>
      <c r="G5" s="36" t="e">
        <v>#VALUE!</v>
      </c>
      <c r="H5" s="35" t="e">
        <v>#VALUE!</v>
      </c>
      <c r="I5" s="40" t="e">
        <v>#VALUE!</v>
      </c>
      <c r="J5" s="35" t="e">
        <v>#VALUE!</v>
      </c>
      <c r="K5" s="37" t="e">
        <v>#VALUE!</v>
      </c>
      <c r="L5" s="38" t="e">
        <v>#VALUE!</v>
      </c>
      <c r="M5" s="38" t="e">
        <v>#VALUE!</v>
      </c>
      <c r="N5" s="39" t="e">
        <v>#VALUE!</v>
      </c>
      <c r="O5" s="38" t="e">
        <v>#VALUE!</v>
      </c>
      <c r="P5" s="38" t="e">
        <v>#VALUE!</v>
      </c>
      <c r="Q5" s="38" t="e">
        <v>#VALUE!</v>
      </c>
      <c r="R5" s="38" t="e">
        <v>#VALUE!</v>
      </c>
      <c r="S5" s="38" t="e">
        <v>#VALUE!</v>
      </c>
      <c r="T5" s="36" t="e">
        <v>#VALUE!</v>
      </c>
      <c r="U5" s="36" t="e">
        <v>#VALUE!</v>
      </c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</row>
    <row r="6" spans="1:40" x14ac:dyDescent="0.2">
      <c r="A6" s="33" t="e">
        <v>#VALUE!</v>
      </c>
      <c r="B6" s="34" t="e">
        <v>#VALUE!</v>
      </c>
      <c r="C6" s="34" t="e">
        <v>#VALUE!</v>
      </c>
      <c r="D6" s="40" t="e">
        <v>#VALUE!</v>
      </c>
      <c r="E6" s="40" t="e">
        <v>#VALUE!</v>
      </c>
      <c r="F6" s="35" t="e">
        <v>#VALUE!</v>
      </c>
      <c r="G6" s="36" t="e">
        <v>#VALUE!</v>
      </c>
      <c r="H6" s="35" t="e">
        <v>#VALUE!</v>
      </c>
      <c r="I6" s="40" t="e">
        <v>#VALUE!</v>
      </c>
      <c r="J6" s="35" t="e">
        <v>#VALUE!</v>
      </c>
      <c r="K6" s="37" t="e">
        <v>#VALUE!</v>
      </c>
      <c r="L6" s="38" t="e">
        <v>#VALUE!</v>
      </c>
      <c r="M6" s="38" t="e">
        <v>#VALUE!</v>
      </c>
      <c r="N6" s="39" t="e">
        <v>#VALUE!</v>
      </c>
      <c r="O6" s="38" t="e">
        <v>#VALUE!</v>
      </c>
      <c r="P6" s="38" t="e">
        <v>#VALUE!</v>
      </c>
      <c r="Q6" s="38" t="e">
        <v>#VALUE!</v>
      </c>
      <c r="R6" s="38" t="e">
        <v>#VALUE!</v>
      </c>
      <c r="S6" s="38" t="e">
        <v>#VALUE!</v>
      </c>
      <c r="T6" s="36" t="e">
        <v>#VALUE!</v>
      </c>
      <c r="U6" s="36" t="e">
        <v>#VALUE!</v>
      </c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</row>
    <row r="7" spans="1:40" x14ac:dyDescent="0.2">
      <c r="A7" s="33" t="e">
        <v>#VALUE!</v>
      </c>
      <c r="B7" s="34" t="e">
        <v>#VALUE!</v>
      </c>
      <c r="C7" s="34" t="e">
        <v>#VALUE!</v>
      </c>
      <c r="D7" s="40" t="e">
        <v>#VALUE!</v>
      </c>
      <c r="E7" s="40" t="e">
        <v>#VALUE!</v>
      </c>
      <c r="F7" s="35" t="e">
        <v>#VALUE!</v>
      </c>
      <c r="G7" s="36" t="e">
        <v>#VALUE!</v>
      </c>
      <c r="H7" s="35" t="e">
        <v>#VALUE!</v>
      </c>
      <c r="I7" s="40" t="e">
        <v>#VALUE!</v>
      </c>
      <c r="J7" s="35" t="e">
        <v>#VALUE!</v>
      </c>
      <c r="K7" s="37" t="e">
        <v>#VALUE!</v>
      </c>
      <c r="L7" s="38" t="e">
        <v>#VALUE!</v>
      </c>
      <c r="M7" s="38" t="e">
        <v>#VALUE!</v>
      </c>
      <c r="N7" s="39" t="e">
        <v>#VALUE!</v>
      </c>
      <c r="O7" s="38" t="e">
        <v>#VALUE!</v>
      </c>
      <c r="P7" s="38" t="e">
        <v>#VALUE!</v>
      </c>
      <c r="Q7" s="38" t="e">
        <v>#VALUE!</v>
      </c>
      <c r="R7" s="38" t="e">
        <v>#VALUE!</v>
      </c>
      <c r="S7" s="38" t="e">
        <v>#VALUE!</v>
      </c>
      <c r="T7" s="36" t="e">
        <v>#VALUE!</v>
      </c>
      <c r="U7" s="36" t="e">
        <v>#VALUE!</v>
      </c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</row>
    <row r="8" spans="1:40" x14ac:dyDescent="0.2">
      <c r="A8" s="33" t="e">
        <v>#VALUE!</v>
      </c>
      <c r="B8" s="34" t="e">
        <v>#VALUE!</v>
      </c>
      <c r="C8" s="34" t="e">
        <v>#VALUE!</v>
      </c>
      <c r="D8" s="40" t="e">
        <v>#VALUE!</v>
      </c>
      <c r="E8" s="40" t="e">
        <v>#VALUE!</v>
      </c>
      <c r="F8" s="35" t="e">
        <v>#VALUE!</v>
      </c>
      <c r="G8" s="36" t="e">
        <v>#VALUE!</v>
      </c>
      <c r="H8" s="35" t="e">
        <v>#VALUE!</v>
      </c>
      <c r="I8" s="40" t="e">
        <v>#VALUE!</v>
      </c>
      <c r="J8" s="35" t="e">
        <v>#VALUE!</v>
      </c>
      <c r="K8" s="37" t="e">
        <v>#VALUE!</v>
      </c>
      <c r="L8" s="38" t="e">
        <v>#VALUE!</v>
      </c>
      <c r="M8" s="38" t="e">
        <v>#VALUE!</v>
      </c>
      <c r="N8" s="39" t="e">
        <v>#VALUE!</v>
      </c>
      <c r="O8" s="38" t="e">
        <v>#VALUE!</v>
      </c>
      <c r="P8" s="38" t="e">
        <v>#VALUE!</v>
      </c>
      <c r="Q8" s="38" t="e">
        <v>#VALUE!</v>
      </c>
      <c r="R8" s="38" t="e">
        <v>#VALUE!</v>
      </c>
      <c r="S8" s="38" t="e">
        <v>#VALUE!</v>
      </c>
      <c r="T8" s="36" t="e">
        <v>#VALUE!</v>
      </c>
      <c r="U8" s="36" t="e">
        <v>#VALUE!</v>
      </c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</row>
    <row r="9" spans="1:40" x14ac:dyDescent="0.2">
      <c r="A9" s="33" t="e">
        <v>#VALUE!</v>
      </c>
      <c r="B9" s="34" t="e">
        <v>#VALUE!</v>
      </c>
      <c r="C9" s="34" t="e">
        <v>#VALUE!</v>
      </c>
      <c r="D9" s="40" t="e">
        <v>#VALUE!</v>
      </c>
      <c r="E9" s="40" t="e">
        <v>#VALUE!</v>
      </c>
      <c r="F9" s="35" t="e">
        <v>#VALUE!</v>
      </c>
      <c r="G9" s="36" t="e">
        <v>#VALUE!</v>
      </c>
      <c r="H9" s="35" t="e">
        <v>#VALUE!</v>
      </c>
      <c r="I9" s="40" t="e">
        <v>#VALUE!</v>
      </c>
      <c r="J9" s="35" t="e">
        <v>#VALUE!</v>
      </c>
      <c r="K9" s="37" t="e">
        <v>#VALUE!</v>
      </c>
      <c r="L9" s="38" t="e">
        <v>#VALUE!</v>
      </c>
      <c r="M9" s="38" t="e">
        <v>#VALUE!</v>
      </c>
      <c r="N9" s="39" t="e">
        <v>#VALUE!</v>
      </c>
      <c r="O9" s="38" t="e">
        <v>#VALUE!</v>
      </c>
      <c r="P9" s="38" t="e">
        <v>#VALUE!</v>
      </c>
      <c r="Q9" s="38" t="e">
        <v>#VALUE!</v>
      </c>
      <c r="R9" s="38" t="e">
        <v>#VALUE!</v>
      </c>
      <c r="S9" s="38" t="e">
        <v>#VALUE!</v>
      </c>
      <c r="T9" s="36" t="e">
        <v>#VALUE!</v>
      </c>
      <c r="U9" s="36" t="e">
        <v>#VALUE!</v>
      </c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</row>
    <row r="10" spans="1:40" x14ac:dyDescent="0.2">
      <c r="A10" s="33" t="e">
        <v>#VALUE!</v>
      </c>
      <c r="B10" s="34" t="e">
        <v>#VALUE!</v>
      </c>
      <c r="C10" s="34" t="e">
        <v>#VALUE!</v>
      </c>
      <c r="D10" s="40" t="e">
        <v>#VALUE!</v>
      </c>
      <c r="E10" s="40" t="e">
        <v>#VALUE!</v>
      </c>
      <c r="F10" s="35" t="e">
        <v>#VALUE!</v>
      </c>
      <c r="G10" s="36" t="e">
        <v>#VALUE!</v>
      </c>
      <c r="H10" s="35" t="e">
        <v>#VALUE!</v>
      </c>
      <c r="I10" s="40" t="e">
        <v>#VALUE!</v>
      </c>
      <c r="J10" s="35" t="e">
        <v>#VALUE!</v>
      </c>
      <c r="K10" s="37" t="e">
        <v>#VALUE!</v>
      </c>
      <c r="L10" s="38" t="e">
        <v>#VALUE!</v>
      </c>
      <c r="M10" s="38" t="e">
        <v>#VALUE!</v>
      </c>
      <c r="N10" s="39" t="e">
        <v>#VALUE!</v>
      </c>
      <c r="O10" s="38" t="e">
        <v>#VALUE!</v>
      </c>
      <c r="P10" s="38" t="e">
        <v>#VALUE!</v>
      </c>
      <c r="Q10" s="38" t="e">
        <v>#VALUE!</v>
      </c>
      <c r="R10" s="38" t="e">
        <v>#VALUE!</v>
      </c>
      <c r="S10" s="38" t="e">
        <v>#VALUE!</v>
      </c>
      <c r="T10" s="36" t="e">
        <v>#VALUE!</v>
      </c>
      <c r="U10" s="36" t="e">
        <v>#VALUE!</v>
      </c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33" t="e">
        <v>#VALUE!</v>
      </c>
      <c r="B11" s="34" t="e">
        <v>#VALUE!</v>
      </c>
      <c r="C11" s="34" t="e">
        <v>#VALUE!</v>
      </c>
      <c r="D11" s="40" t="e">
        <v>#VALUE!</v>
      </c>
      <c r="E11" s="40" t="e">
        <v>#VALUE!</v>
      </c>
      <c r="F11" s="35" t="e">
        <v>#VALUE!</v>
      </c>
      <c r="G11" s="36" t="e">
        <v>#VALUE!</v>
      </c>
      <c r="H11" s="35" t="e">
        <v>#VALUE!</v>
      </c>
      <c r="I11" s="40" t="e">
        <v>#VALUE!</v>
      </c>
      <c r="J11" s="35" t="e">
        <v>#VALUE!</v>
      </c>
      <c r="K11" s="37" t="e">
        <v>#VALUE!</v>
      </c>
      <c r="L11" s="38" t="e">
        <v>#VALUE!</v>
      </c>
      <c r="M11" s="38" t="e">
        <v>#VALUE!</v>
      </c>
      <c r="N11" s="39" t="e">
        <v>#VALUE!</v>
      </c>
      <c r="O11" s="38" t="e">
        <v>#VALUE!</v>
      </c>
      <c r="P11" s="38" t="e">
        <v>#VALUE!</v>
      </c>
      <c r="Q11" s="38" t="e">
        <v>#VALUE!</v>
      </c>
      <c r="R11" s="38" t="e">
        <v>#VALUE!</v>
      </c>
      <c r="S11" s="38" t="e">
        <v>#VALUE!</v>
      </c>
      <c r="T11" s="36" t="e">
        <v>#VALUE!</v>
      </c>
      <c r="U11" s="36" t="e">
        <v>#VALUE!</v>
      </c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</row>
    <row r="12" spans="1:40" x14ac:dyDescent="0.2">
      <c r="A12" s="33" t="e">
        <v>#VALUE!</v>
      </c>
      <c r="B12" s="34" t="e">
        <v>#VALUE!</v>
      </c>
      <c r="C12" s="34" t="e">
        <v>#VALUE!</v>
      </c>
      <c r="D12" s="40" t="e">
        <v>#VALUE!</v>
      </c>
      <c r="E12" s="40" t="e">
        <v>#VALUE!</v>
      </c>
      <c r="F12" s="35" t="e">
        <v>#VALUE!</v>
      </c>
      <c r="G12" s="36" t="e">
        <v>#VALUE!</v>
      </c>
      <c r="H12" s="35" t="e">
        <v>#VALUE!</v>
      </c>
      <c r="I12" s="40" t="e">
        <v>#VALUE!</v>
      </c>
      <c r="J12" s="35" t="e">
        <v>#VALUE!</v>
      </c>
      <c r="K12" s="37" t="e">
        <v>#VALUE!</v>
      </c>
      <c r="L12" s="38" t="e">
        <v>#VALUE!</v>
      </c>
      <c r="M12" s="38" t="e">
        <v>#VALUE!</v>
      </c>
      <c r="N12" s="39" t="e">
        <v>#VALUE!</v>
      </c>
      <c r="O12" s="38" t="e">
        <v>#VALUE!</v>
      </c>
      <c r="P12" s="38" t="e">
        <v>#VALUE!</v>
      </c>
      <c r="Q12" s="38" t="e">
        <v>#VALUE!</v>
      </c>
      <c r="R12" s="38" t="e">
        <v>#VALUE!</v>
      </c>
      <c r="S12" s="38" t="e">
        <v>#VALUE!</v>
      </c>
      <c r="T12" s="36" t="e">
        <v>#VALUE!</v>
      </c>
      <c r="U12" s="36" t="e">
        <v>#VALUE!</v>
      </c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</row>
    <row r="13" spans="1:40" x14ac:dyDescent="0.2">
      <c r="A13" s="33" t="e">
        <v>#VALUE!</v>
      </c>
      <c r="B13" s="34" t="e">
        <v>#VALUE!</v>
      </c>
      <c r="C13" s="34" t="e">
        <v>#VALUE!</v>
      </c>
      <c r="D13" s="40" t="e">
        <v>#VALUE!</v>
      </c>
      <c r="E13" s="40" t="e">
        <v>#VALUE!</v>
      </c>
      <c r="F13" s="35" t="e">
        <v>#VALUE!</v>
      </c>
      <c r="G13" s="36" t="e">
        <v>#VALUE!</v>
      </c>
      <c r="H13" s="35" t="e">
        <v>#VALUE!</v>
      </c>
      <c r="I13" s="40" t="e">
        <v>#VALUE!</v>
      </c>
      <c r="J13" s="35" t="e">
        <v>#VALUE!</v>
      </c>
      <c r="K13" s="37" t="e">
        <v>#VALUE!</v>
      </c>
      <c r="L13" s="38" t="e">
        <v>#VALUE!</v>
      </c>
      <c r="M13" s="38" t="e">
        <v>#VALUE!</v>
      </c>
      <c r="N13" s="39" t="e">
        <v>#VALUE!</v>
      </c>
      <c r="O13" s="38" t="e">
        <v>#VALUE!</v>
      </c>
      <c r="P13" s="38" t="e">
        <v>#VALUE!</v>
      </c>
      <c r="Q13" s="38" t="e">
        <v>#VALUE!</v>
      </c>
      <c r="R13" s="38" t="e">
        <v>#VALUE!</v>
      </c>
      <c r="S13" s="38" t="e">
        <v>#VALUE!</v>
      </c>
      <c r="T13" s="36" t="e">
        <v>#VALUE!</v>
      </c>
      <c r="U13" s="36" t="e">
        <v>#VALUE!</v>
      </c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</row>
    <row r="14" spans="1:40" x14ac:dyDescent="0.2">
      <c r="A14" s="33" t="e">
        <v>#VALUE!</v>
      </c>
      <c r="B14" s="34" t="e">
        <v>#VALUE!</v>
      </c>
      <c r="C14" s="34" t="e">
        <v>#VALUE!</v>
      </c>
      <c r="D14" s="40" t="e">
        <v>#VALUE!</v>
      </c>
      <c r="E14" s="40" t="e">
        <v>#VALUE!</v>
      </c>
      <c r="F14" s="35" t="e">
        <v>#VALUE!</v>
      </c>
      <c r="G14" s="36" t="e">
        <v>#VALUE!</v>
      </c>
      <c r="H14" s="35" t="e">
        <v>#VALUE!</v>
      </c>
      <c r="I14" s="40" t="e">
        <v>#VALUE!</v>
      </c>
      <c r="J14" s="35" t="e">
        <v>#VALUE!</v>
      </c>
      <c r="K14" s="37" t="e">
        <v>#VALUE!</v>
      </c>
      <c r="L14" s="38" t="e">
        <v>#VALUE!</v>
      </c>
      <c r="M14" s="38" t="e">
        <v>#VALUE!</v>
      </c>
      <c r="N14" s="39" t="e">
        <v>#VALUE!</v>
      </c>
      <c r="O14" s="38" t="e">
        <v>#VALUE!</v>
      </c>
      <c r="P14" s="38" t="e">
        <v>#VALUE!</v>
      </c>
      <c r="Q14" s="38" t="e">
        <v>#VALUE!</v>
      </c>
      <c r="R14" s="38" t="e">
        <v>#VALUE!</v>
      </c>
      <c r="S14" s="38" t="e">
        <v>#VALUE!</v>
      </c>
      <c r="T14" s="36" t="e">
        <v>#VALUE!</v>
      </c>
      <c r="U14" s="36" t="e">
        <v>#VALUE!</v>
      </c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</row>
    <row r="15" spans="1:40" x14ac:dyDescent="0.2">
      <c r="A15" s="33" t="e">
        <v>#VALUE!</v>
      </c>
      <c r="B15" s="34" t="e">
        <v>#VALUE!</v>
      </c>
      <c r="C15" s="34" t="e">
        <v>#VALUE!</v>
      </c>
      <c r="D15" s="40" t="e">
        <v>#VALUE!</v>
      </c>
      <c r="E15" s="40" t="e">
        <v>#VALUE!</v>
      </c>
      <c r="F15" s="35" t="e">
        <v>#VALUE!</v>
      </c>
      <c r="G15" s="36" t="e">
        <v>#VALUE!</v>
      </c>
      <c r="H15" s="35" t="e">
        <v>#VALUE!</v>
      </c>
      <c r="I15" s="40" t="e">
        <v>#VALUE!</v>
      </c>
      <c r="J15" s="35" t="e">
        <v>#VALUE!</v>
      </c>
      <c r="K15" s="37" t="e">
        <v>#VALUE!</v>
      </c>
      <c r="L15" s="38" t="e">
        <v>#VALUE!</v>
      </c>
      <c r="M15" s="38" t="e">
        <v>#VALUE!</v>
      </c>
      <c r="N15" s="39" t="e">
        <v>#VALUE!</v>
      </c>
      <c r="O15" s="38" t="e">
        <v>#VALUE!</v>
      </c>
      <c r="P15" s="38" t="e">
        <v>#VALUE!</v>
      </c>
      <c r="Q15" s="38" t="e">
        <v>#VALUE!</v>
      </c>
      <c r="R15" s="38" t="e">
        <v>#VALUE!</v>
      </c>
      <c r="S15" s="38" t="e">
        <v>#VALUE!</v>
      </c>
      <c r="T15" s="36" t="e">
        <v>#VALUE!</v>
      </c>
      <c r="U15" s="36" t="e">
        <v>#VALUE!</v>
      </c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</row>
    <row r="16" spans="1:40" x14ac:dyDescent="0.2">
      <c r="A16" s="33" t="e">
        <v>#VALUE!</v>
      </c>
      <c r="B16" s="34" t="e">
        <v>#VALUE!</v>
      </c>
      <c r="C16" s="34" t="e">
        <v>#VALUE!</v>
      </c>
      <c r="D16" s="40" t="e">
        <v>#VALUE!</v>
      </c>
      <c r="E16" s="40" t="e">
        <v>#VALUE!</v>
      </c>
      <c r="F16" s="35" t="e">
        <v>#VALUE!</v>
      </c>
      <c r="G16" s="36" t="e">
        <v>#VALUE!</v>
      </c>
      <c r="H16" s="35" t="e">
        <v>#VALUE!</v>
      </c>
      <c r="I16" s="40" t="e">
        <v>#VALUE!</v>
      </c>
      <c r="J16" s="35" t="e">
        <v>#VALUE!</v>
      </c>
      <c r="K16" s="37" t="e">
        <v>#VALUE!</v>
      </c>
      <c r="L16" s="38" t="e">
        <v>#VALUE!</v>
      </c>
      <c r="M16" s="38" t="e">
        <v>#VALUE!</v>
      </c>
      <c r="N16" s="39" t="e">
        <v>#VALUE!</v>
      </c>
      <c r="O16" s="38" t="e">
        <v>#VALUE!</v>
      </c>
      <c r="P16" s="38" t="e">
        <v>#VALUE!</v>
      </c>
      <c r="Q16" s="38" t="e">
        <v>#VALUE!</v>
      </c>
      <c r="R16" s="38" t="e">
        <v>#VALUE!</v>
      </c>
      <c r="S16" s="38" t="e">
        <v>#VALUE!</v>
      </c>
      <c r="T16" s="36" t="e">
        <v>#VALUE!</v>
      </c>
      <c r="U16" s="36" t="e">
        <v>#VALUE!</v>
      </c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</row>
    <row r="17" spans="1:40" x14ac:dyDescent="0.2">
      <c r="A17" s="33" t="e">
        <v>#VALUE!</v>
      </c>
      <c r="B17" s="34" t="e">
        <v>#VALUE!</v>
      </c>
      <c r="C17" s="34" t="e">
        <v>#VALUE!</v>
      </c>
      <c r="D17" s="40" t="e">
        <v>#VALUE!</v>
      </c>
      <c r="E17" s="40" t="e">
        <v>#VALUE!</v>
      </c>
      <c r="F17" s="35" t="e">
        <v>#VALUE!</v>
      </c>
      <c r="G17" s="36" t="e">
        <v>#VALUE!</v>
      </c>
      <c r="H17" s="35" t="e">
        <v>#VALUE!</v>
      </c>
      <c r="I17" s="40" t="e">
        <v>#VALUE!</v>
      </c>
      <c r="J17" s="35" t="e">
        <v>#VALUE!</v>
      </c>
      <c r="K17" s="37" t="e">
        <v>#VALUE!</v>
      </c>
      <c r="L17" s="38" t="e">
        <v>#VALUE!</v>
      </c>
      <c r="M17" s="38" t="e">
        <v>#VALUE!</v>
      </c>
      <c r="N17" s="39" t="e">
        <v>#VALUE!</v>
      </c>
      <c r="O17" s="38" t="e">
        <v>#VALUE!</v>
      </c>
      <c r="P17" s="38" t="e">
        <v>#VALUE!</v>
      </c>
      <c r="Q17" s="38" t="e">
        <v>#VALUE!</v>
      </c>
      <c r="R17" s="38" t="e">
        <v>#VALUE!</v>
      </c>
      <c r="S17" s="38" t="e">
        <v>#VALUE!</v>
      </c>
      <c r="T17" s="36" t="e">
        <v>#VALUE!</v>
      </c>
      <c r="U17" s="36" t="e">
        <v>#VALUE!</v>
      </c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</row>
    <row r="18" spans="1:40" x14ac:dyDescent="0.2">
      <c r="A18" s="33" t="e">
        <v>#VALUE!</v>
      </c>
      <c r="B18" s="34" t="e">
        <v>#VALUE!</v>
      </c>
      <c r="C18" s="34" t="e">
        <v>#VALUE!</v>
      </c>
      <c r="D18" s="40" t="e">
        <v>#VALUE!</v>
      </c>
      <c r="E18" s="40" t="e">
        <v>#VALUE!</v>
      </c>
      <c r="F18" s="35" t="e">
        <v>#VALUE!</v>
      </c>
      <c r="G18" s="36" t="e">
        <v>#VALUE!</v>
      </c>
      <c r="H18" s="35" t="e">
        <v>#VALUE!</v>
      </c>
      <c r="I18" s="40" t="e">
        <v>#VALUE!</v>
      </c>
      <c r="J18" s="35" t="e">
        <v>#VALUE!</v>
      </c>
      <c r="K18" s="37" t="e">
        <v>#VALUE!</v>
      </c>
      <c r="L18" s="38" t="e">
        <v>#VALUE!</v>
      </c>
      <c r="M18" s="38" t="e">
        <v>#VALUE!</v>
      </c>
      <c r="N18" s="39" t="e">
        <v>#VALUE!</v>
      </c>
      <c r="O18" s="38" t="e">
        <v>#VALUE!</v>
      </c>
      <c r="P18" s="38" t="e">
        <v>#VALUE!</v>
      </c>
      <c r="Q18" s="38" t="e">
        <v>#VALUE!</v>
      </c>
      <c r="R18" s="38" t="e">
        <v>#VALUE!</v>
      </c>
      <c r="S18" s="38" t="e">
        <v>#VALUE!</v>
      </c>
      <c r="T18" s="36" t="e">
        <v>#VALUE!</v>
      </c>
      <c r="U18" s="36" t="e">
        <v>#VALUE!</v>
      </c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</row>
    <row r="19" spans="1:40" x14ac:dyDescent="0.2">
      <c r="A19" s="33" t="e">
        <v>#VALUE!</v>
      </c>
      <c r="B19" s="34" t="e">
        <v>#VALUE!</v>
      </c>
      <c r="C19" s="34" t="e">
        <v>#VALUE!</v>
      </c>
      <c r="D19" s="40" t="e">
        <v>#VALUE!</v>
      </c>
      <c r="E19" s="40" t="e">
        <v>#VALUE!</v>
      </c>
      <c r="F19" s="35" t="e">
        <v>#VALUE!</v>
      </c>
      <c r="G19" s="36" t="e">
        <v>#VALUE!</v>
      </c>
      <c r="H19" s="35" t="e">
        <v>#VALUE!</v>
      </c>
      <c r="I19" s="40" t="e">
        <v>#VALUE!</v>
      </c>
      <c r="J19" s="35" t="e">
        <v>#VALUE!</v>
      </c>
      <c r="K19" s="37" t="e">
        <v>#VALUE!</v>
      </c>
      <c r="L19" s="38" t="e">
        <v>#VALUE!</v>
      </c>
      <c r="M19" s="38" t="e">
        <v>#VALUE!</v>
      </c>
      <c r="N19" s="39" t="e">
        <v>#VALUE!</v>
      </c>
      <c r="O19" s="38" t="e">
        <v>#VALUE!</v>
      </c>
      <c r="P19" s="38" t="e">
        <v>#VALUE!</v>
      </c>
      <c r="Q19" s="38" t="e">
        <v>#VALUE!</v>
      </c>
      <c r="R19" s="38" t="e">
        <v>#VALUE!</v>
      </c>
      <c r="S19" s="38" t="e">
        <v>#VALUE!</v>
      </c>
      <c r="T19" s="36" t="e">
        <v>#VALUE!</v>
      </c>
      <c r="U19" s="36" t="e">
        <v>#VALUE!</v>
      </c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</row>
    <row r="20" spans="1:40" x14ac:dyDescent="0.2">
      <c r="A20" s="33" t="e">
        <v>#VALUE!</v>
      </c>
      <c r="B20" s="34" t="e">
        <v>#VALUE!</v>
      </c>
      <c r="C20" s="34" t="e">
        <v>#VALUE!</v>
      </c>
      <c r="D20" s="40" t="e">
        <v>#VALUE!</v>
      </c>
      <c r="E20" s="40" t="e">
        <v>#VALUE!</v>
      </c>
      <c r="F20" s="35" t="e">
        <v>#VALUE!</v>
      </c>
      <c r="G20" s="36" t="e">
        <v>#VALUE!</v>
      </c>
      <c r="H20" s="35" t="e">
        <v>#VALUE!</v>
      </c>
      <c r="I20" s="40" t="e">
        <v>#VALUE!</v>
      </c>
      <c r="J20" s="35" t="e">
        <v>#VALUE!</v>
      </c>
      <c r="K20" s="37" t="e">
        <v>#VALUE!</v>
      </c>
      <c r="L20" s="38" t="e">
        <v>#VALUE!</v>
      </c>
      <c r="M20" s="38" t="e">
        <v>#VALUE!</v>
      </c>
      <c r="N20" s="39" t="e">
        <v>#VALUE!</v>
      </c>
      <c r="O20" s="38" t="e">
        <v>#VALUE!</v>
      </c>
      <c r="P20" s="38" t="e">
        <v>#VALUE!</v>
      </c>
      <c r="Q20" s="38" t="e">
        <v>#VALUE!</v>
      </c>
      <c r="R20" s="38" t="e">
        <v>#VALUE!</v>
      </c>
      <c r="S20" s="38" t="e">
        <v>#VALUE!</v>
      </c>
      <c r="T20" s="36" t="e">
        <v>#VALUE!</v>
      </c>
      <c r="U20" s="36" t="e">
        <v>#VALUE!</v>
      </c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</row>
    <row r="21" spans="1:40" x14ac:dyDescent="0.2">
      <c r="A21" s="33" t="e">
        <v>#VALUE!</v>
      </c>
      <c r="B21" s="34" t="e">
        <v>#VALUE!</v>
      </c>
      <c r="C21" s="34" t="e">
        <v>#VALUE!</v>
      </c>
      <c r="D21" s="40" t="e">
        <v>#VALUE!</v>
      </c>
      <c r="E21" s="40" t="e">
        <v>#VALUE!</v>
      </c>
      <c r="F21" s="35" t="e">
        <v>#VALUE!</v>
      </c>
      <c r="G21" s="36" t="e">
        <v>#VALUE!</v>
      </c>
      <c r="H21" s="35" t="e">
        <v>#VALUE!</v>
      </c>
      <c r="I21" s="40" t="e">
        <v>#VALUE!</v>
      </c>
      <c r="J21" s="35" t="e">
        <v>#VALUE!</v>
      </c>
      <c r="K21" s="37" t="e">
        <v>#VALUE!</v>
      </c>
      <c r="L21" s="38" t="e">
        <v>#VALUE!</v>
      </c>
      <c r="M21" s="38" t="e">
        <v>#VALUE!</v>
      </c>
      <c r="N21" s="39" t="e">
        <v>#VALUE!</v>
      </c>
      <c r="O21" s="38" t="e">
        <v>#VALUE!</v>
      </c>
      <c r="P21" s="38" t="e">
        <v>#VALUE!</v>
      </c>
      <c r="Q21" s="38" t="e">
        <v>#VALUE!</v>
      </c>
      <c r="R21" s="38" t="e">
        <v>#VALUE!</v>
      </c>
      <c r="S21" s="38" t="e">
        <v>#VALUE!</v>
      </c>
      <c r="T21" s="36" t="e">
        <v>#VALUE!</v>
      </c>
      <c r="U21" s="36" t="e">
        <v>#VALUE!</v>
      </c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</row>
    <row r="22" spans="1:40" x14ac:dyDescent="0.2">
      <c r="A22" s="33" t="e">
        <v>#VALUE!</v>
      </c>
      <c r="B22" s="34" t="e">
        <v>#VALUE!</v>
      </c>
      <c r="C22" s="34" t="e">
        <v>#VALUE!</v>
      </c>
      <c r="D22" s="40" t="e">
        <v>#VALUE!</v>
      </c>
      <c r="E22" s="40" t="e">
        <v>#VALUE!</v>
      </c>
      <c r="F22" s="35" t="e">
        <v>#VALUE!</v>
      </c>
      <c r="G22" s="36" t="e">
        <v>#VALUE!</v>
      </c>
      <c r="H22" s="35" t="e">
        <v>#VALUE!</v>
      </c>
      <c r="I22" s="40" t="e">
        <v>#VALUE!</v>
      </c>
      <c r="J22" s="35" t="e">
        <v>#VALUE!</v>
      </c>
      <c r="K22" s="37" t="e">
        <v>#VALUE!</v>
      </c>
      <c r="L22" s="38" t="e">
        <v>#VALUE!</v>
      </c>
      <c r="M22" s="38" t="e">
        <v>#VALUE!</v>
      </c>
      <c r="N22" s="39" t="e">
        <v>#VALUE!</v>
      </c>
      <c r="O22" s="38" t="e">
        <v>#VALUE!</v>
      </c>
      <c r="P22" s="38" t="e">
        <v>#VALUE!</v>
      </c>
      <c r="Q22" s="38" t="e">
        <v>#VALUE!</v>
      </c>
      <c r="R22" s="38" t="e">
        <v>#VALUE!</v>
      </c>
      <c r="S22" s="38" t="e">
        <v>#VALUE!</v>
      </c>
      <c r="T22" s="36" t="e">
        <v>#VALUE!</v>
      </c>
      <c r="U22" s="36" t="e">
        <v>#VALUE!</v>
      </c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</row>
    <row r="23" spans="1:40" x14ac:dyDescent="0.2">
      <c r="A23" s="33" t="e">
        <v>#VALUE!</v>
      </c>
      <c r="B23" s="34" t="e">
        <v>#VALUE!</v>
      </c>
      <c r="C23" s="34" t="e">
        <v>#VALUE!</v>
      </c>
      <c r="D23" s="40" t="e">
        <v>#VALUE!</v>
      </c>
      <c r="E23" s="40" t="e">
        <v>#VALUE!</v>
      </c>
      <c r="F23" s="35" t="e">
        <v>#VALUE!</v>
      </c>
      <c r="G23" s="36" t="e">
        <v>#VALUE!</v>
      </c>
      <c r="H23" s="35" t="e">
        <v>#VALUE!</v>
      </c>
      <c r="I23" s="40" t="e">
        <v>#VALUE!</v>
      </c>
      <c r="J23" s="35" t="e">
        <v>#VALUE!</v>
      </c>
      <c r="K23" s="37" t="e">
        <v>#VALUE!</v>
      </c>
      <c r="L23" s="38" t="e">
        <v>#VALUE!</v>
      </c>
      <c r="M23" s="38" t="e">
        <v>#VALUE!</v>
      </c>
      <c r="N23" s="39" t="e">
        <v>#VALUE!</v>
      </c>
      <c r="O23" s="38" t="e">
        <v>#VALUE!</v>
      </c>
      <c r="P23" s="38" t="e">
        <v>#VALUE!</v>
      </c>
      <c r="Q23" s="38" t="e">
        <v>#VALUE!</v>
      </c>
      <c r="R23" s="38" t="e">
        <v>#VALUE!</v>
      </c>
      <c r="S23" s="38" t="e">
        <v>#VALUE!</v>
      </c>
      <c r="T23" s="36" t="e">
        <v>#VALUE!</v>
      </c>
      <c r="U23" s="36" t="e">
        <v>#VALUE!</v>
      </c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</row>
    <row r="24" spans="1:40" x14ac:dyDescent="0.2">
      <c r="A24" s="33" t="e">
        <v>#VALUE!</v>
      </c>
      <c r="B24" s="34" t="e">
        <v>#VALUE!</v>
      </c>
      <c r="C24" s="34" t="e">
        <v>#VALUE!</v>
      </c>
      <c r="D24" s="40" t="e">
        <v>#VALUE!</v>
      </c>
      <c r="E24" s="40" t="e">
        <v>#VALUE!</v>
      </c>
      <c r="F24" s="35" t="e">
        <v>#VALUE!</v>
      </c>
      <c r="G24" s="36" t="e">
        <v>#VALUE!</v>
      </c>
      <c r="H24" s="35" t="e">
        <v>#VALUE!</v>
      </c>
      <c r="I24" s="40" t="e">
        <v>#VALUE!</v>
      </c>
      <c r="J24" s="35" t="e">
        <v>#VALUE!</v>
      </c>
      <c r="K24" s="37" t="e">
        <v>#VALUE!</v>
      </c>
      <c r="L24" s="38" t="e">
        <v>#VALUE!</v>
      </c>
      <c r="M24" s="38" t="e">
        <v>#VALUE!</v>
      </c>
      <c r="N24" s="39" t="e">
        <v>#VALUE!</v>
      </c>
      <c r="O24" s="38" t="e">
        <v>#VALUE!</v>
      </c>
      <c r="P24" s="38" t="e">
        <v>#VALUE!</v>
      </c>
      <c r="Q24" s="38" t="e">
        <v>#VALUE!</v>
      </c>
      <c r="R24" s="38" t="e">
        <v>#VALUE!</v>
      </c>
      <c r="S24" s="38" t="e">
        <v>#VALUE!</v>
      </c>
      <c r="T24" s="36" t="e">
        <v>#VALUE!</v>
      </c>
      <c r="U24" s="36" t="e">
        <v>#VALUE!</v>
      </c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</row>
    <row r="25" spans="1:40" x14ac:dyDescent="0.2">
      <c r="A25" s="12"/>
      <c r="B25" s="26"/>
      <c r="C25" s="26"/>
      <c r="D25" s="12"/>
      <c r="E25" s="12"/>
      <c r="F25" s="1"/>
      <c r="G25" s="29"/>
      <c r="H25" s="1"/>
      <c r="I25" s="12"/>
      <c r="J25" s="1"/>
      <c r="K25" s="30"/>
      <c r="L25" s="2"/>
      <c r="M25" s="2"/>
      <c r="N25" s="31"/>
      <c r="O25" s="2"/>
      <c r="P25" s="2"/>
      <c r="Q25" s="2"/>
      <c r="R25" s="2"/>
      <c r="S25" s="2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</row>
  </sheetData>
  <phoneticPr fontId="0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"/>
  <dimension ref="A1:U24"/>
  <sheetViews>
    <sheetView workbookViewId="0">
      <selection activeCell="J33" sqref="J33"/>
    </sheetView>
  </sheetViews>
  <sheetFormatPr defaultRowHeight="11.25" x14ac:dyDescent="0.2"/>
  <cols>
    <col min="1" max="1" width="16.5" bestFit="1" customWidth="1"/>
    <col min="2" max="2" width="7.33203125" bestFit="1" customWidth="1"/>
    <col min="3" max="3" width="12.6640625" bestFit="1" customWidth="1"/>
    <col min="4" max="5" width="16.5" bestFit="1" customWidth="1"/>
    <col min="6" max="6" width="7.5" bestFit="1" customWidth="1"/>
    <col min="7" max="7" width="40.1640625" bestFit="1" customWidth="1"/>
    <col min="8" max="8" width="5.83203125" bestFit="1" customWidth="1"/>
    <col min="9" max="9" width="16.6640625" bestFit="1" customWidth="1"/>
    <col min="10" max="10" width="9.83203125" bestFit="1" customWidth="1"/>
    <col min="11" max="11" width="7.5" bestFit="1" customWidth="1"/>
    <col min="12" max="12" width="8.33203125" bestFit="1" customWidth="1"/>
    <col min="13" max="13" width="5.1640625" bestFit="1" customWidth="1"/>
    <col min="14" max="14" width="7.5" bestFit="1" customWidth="1"/>
    <col min="15" max="15" width="8.33203125" bestFit="1" customWidth="1"/>
    <col min="16" max="16" width="5.83203125" bestFit="1" customWidth="1"/>
    <col min="17" max="17" width="8.33203125" bestFit="1" customWidth="1"/>
    <col min="18" max="18" width="5.1640625" bestFit="1" customWidth="1"/>
    <col min="19" max="19" width="9.1640625" bestFit="1" customWidth="1"/>
    <col min="20" max="20" width="8.83203125" bestFit="1" customWidth="1"/>
    <col min="21" max="21" width="5.1640625" bestFit="1" customWidth="1"/>
  </cols>
  <sheetData>
    <row r="1" spans="1:21" x14ac:dyDescent="0.2">
      <c r="A1" s="32" t="e">
        <f t="array" ref="A1:U24">_xll.qlSwapLegAnalysis(CMS!E1,0)</f>
        <v>#VALUE!</v>
      </c>
      <c r="B1" s="32" t="e">
        <v>#VALUE!</v>
      </c>
      <c r="C1" s="32" t="e">
        <v>#VALUE!</v>
      </c>
      <c r="D1" s="32" t="e">
        <v>#VALUE!</v>
      </c>
      <c r="E1" s="32" t="e">
        <v>#VALUE!</v>
      </c>
      <c r="F1" s="32" t="e">
        <v>#VALUE!</v>
      </c>
      <c r="G1" s="32" t="e">
        <v>#VALUE!</v>
      </c>
      <c r="H1" s="32" t="e">
        <v>#VALUE!</v>
      </c>
      <c r="I1" s="32" t="e">
        <v>#VALUE!</v>
      </c>
      <c r="J1" s="32" t="e">
        <v>#VALUE!</v>
      </c>
      <c r="K1" s="32" t="e">
        <v>#VALUE!</v>
      </c>
      <c r="L1" s="32" t="e">
        <v>#VALUE!</v>
      </c>
      <c r="M1" s="32" t="e">
        <v>#VALUE!</v>
      </c>
      <c r="N1" s="32" t="e">
        <v>#VALUE!</v>
      </c>
      <c r="O1" s="32" t="e">
        <v>#VALUE!</v>
      </c>
      <c r="P1" s="32" t="e">
        <v>#VALUE!</v>
      </c>
      <c r="Q1" s="32" t="e">
        <v>#VALUE!</v>
      </c>
      <c r="R1" s="32" t="e">
        <v>#VALUE!</v>
      </c>
      <c r="S1" s="32" t="e">
        <v>#VALUE!</v>
      </c>
      <c r="T1" s="32" t="e">
        <v>#VALUE!</v>
      </c>
      <c r="U1" s="32" t="e">
        <v>#VALUE!</v>
      </c>
    </row>
    <row r="2" spans="1:21" x14ac:dyDescent="0.2">
      <c r="A2" s="33" t="e">
        <v>#VALUE!</v>
      </c>
      <c r="B2" s="34" t="e">
        <v>#VALUE!</v>
      </c>
      <c r="C2" s="34" t="e">
        <v>#VALUE!</v>
      </c>
      <c r="D2" s="40" t="e">
        <v>#VALUE!</v>
      </c>
      <c r="E2" s="40" t="e">
        <v>#VALUE!</v>
      </c>
      <c r="F2" s="35" t="e">
        <v>#VALUE!</v>
      </c>
      <c r="G2" s="36" t="e">
        <v>#VALUE!</v>
      </c>
      <c r="H2" s="35" t="e">
        <v>#VALUE!</v>
      </c>
      <c r="I2" s="40" t="e">
        <v>#VALUE!</v>
      </c>
      <c r="J2" s="35" t="e">
        <v>#VALUE!</v>
      </c>
      <c r="K2" s="37" t="e">
        <v>#VALUE!</v>
      </c>
      <c r="L2" s="38" t="e">
        <v>#VALUE!</v>
      </c>
      <c r="M2" s="38" t="e">
        <v>#VALUE!</v>
      </c>
      <c r="N2" s="39" t="e">
        <v>#VALUE!</v>
      </c>
      <c r="O2" s="38" t="e">
        <v>#VALUE!</v>
      </c>
      <c r="P2" s="38" t="e">
        <v>#VALUE!</v>
      </c>
      <c r="Q2" s="38" t="e">
        <v>#VALUE!</v>
      </c>
      <c r="R2" s="38" t="e">
        <v>#VALUE!</v>
      </c>
      <c r="S2" s="38" t="e">
        <v>#VALUE!</v>
      </c>
      <c r="T2" s="36" t="e">
        <v>#VALUE!</v>
      </c>
      <c r="U2" s="36" t="e">
        <v>#VALUE!</v>
      </c>
    </row>
    <row r="3" spans="1:21" x14ac:dyDescent="0.2">
      <c r="A3" s="33" t="e">
        <v>#VALUE!</v>
      </c>
      <c r="B3" s="34" t="e">
        <v>#VALUE!</v>
      </c>
      <c r="C3" s="34" t="e">
        <v>#VALUE!</v>
      </c>
      <c r="D3" s="40" t="e">
        <v>#VALUE!</v>
      </c>
      <c r="E3" s="40" t="e">
        <v>#VALUE!</v>
      </c>
      <c r="F3" s="35" t="e">
        <v>#VALUE!</v>
      </c>
      <c r="G3" s="36" t="e">
        <v>#VALUE!</v>
      </c>
      <c r="H3" s="35" t="e">
        <v>#VALUE!</v>
      </c>
      <c r="I3" s="40" t="e">
        <v>#VALUE!</v>
      </c>
      <c r="J3" s="35" t="e">
        <v>#VALUE!</v>
      </c>
      <c r="K3" s="37" t="e">
        <v>#VALUE!</v>
      </c>
      <c r="L3" s="38" t="e">
        <v>#VALUE!</v>
      </c>
      <c r="M3" s="38" t="e">
        <v>#VALUE!</v>
      </c>
      <c r="N3" s="39" t="e">
        <v>#VALUE!</v>
      </c>
      <c r="O3" s="38" t="e">
        <v>#VALUE!</v>
      </c>
      <c r="P3" s="38" t="e">
        <v>#VALUE!</v>
      </c>
      <c r="Q3" s="38" t="e">
        <v>#VALUE!</v>
      </c>
      <c r="R3" s="38" t="e">
        <v>#VALUE!</v>
      </c>
      <c r="S3" s="38" t="e">
        <v>#VALUE!</v>
      </c>
      <c r="T3" s="36" t="e">
        <v>#VALUE!</v>
      </c>
      <c r="U3" s="36" t="e">
        <v>#VALUE!</v>
      </c>
    </row>
    <row r="4" spans="1:21" x14ac:dyDescent="0.2">
      <c r="A4" s="33" t="e">
        <v>#VALUE!</v>
      </c>
      <c r="B4" s="34" t="e">
        <v>#VALUE!</v>
      </c>
      <c r="C4" s="34" t="e">
        <v>#VALUE!</v>
      </c>
      <c r="D4" s="40" t="e">
        <v>#VALUE!</v>
      </c>
      <c r="E4" s="40" t="e">
        <v>#VALUE!</v>
      </c>
      <c r="F4" s="35" t="e">
        <v>#VALUE!</v>
      </c>
      <c r="G4" s="36" t="e">
        <v>#VALUE!</v>
      </c>
      <c r="H4" s="35" t="e">
        <v>#VALUE!</v>
      </c>
      <c r="I4" s="40" t="e">
        <v>#VALUE!</v>
      </c>
      <c r="J4" s="35" t="e">
        <v>#VALUE!</v>
      </c>
      <c r="K4" s="37" t="e">
        <v>#VALUE!</v>
      </c>
      <c r="L4" s="38" t="e">
        <v>#VALUE!</v>
      </c>
      <c r="M4" s="38" t="e">
        <v>#VALUE!</v>
      </c>
      <c r="N4" s="39" t="e">
        <v>#VALUE!</v>
      </c>
      <c r="O4" s="38" t="e">
        <v>#VALUE!</v>
      </c>
      <c r="P4" s="38" t="e">
        <v>#VALUE!</v>
      </c>
      <c r="Q4" s="38" t="e">
        <v>#VALUE!</v>
      </c>
      <c r="R4" s="38" t="e">
        <v>#VALUE!</v>
      </c>
      <c r="S4" s="38" t="e">
        <v>#VALUE!</v>
      </c>
      <c r="T4" s="36" t="e">
        <v>#VALUE!</v>
      </c>
      <c r="U4" s="36" t="e">
        <v>#VALUE!</v>
      </c>
    </row>
    <row r="5" spans="1:21" x14ac:dyDescent="0.2">
      <c r="A5" s="33" t="e">
        <v>#VALUE!</v>
      </c>
      <c r="B5" s="34" t="e">
        <v>#VALUE!</v>
      </c>
      <c r="C5" s="34" t="e">
        <v>#VALUE!</v>
      </c>
      <c r="D5" s="40" t="e">
        <v>#VALUE!</v>
      </c>
      <c r="E5" s="40" t="e">
        <v>#VALUE!</v>
      </c>
      <c r="F5" s="35" t="e">
        <v>#VALUE!</v>
      </c>
      <c r="G5" s="36" t="e">
        <v>#VALUE!</v>
      </c>
      <c r="H5" s="35" t="e">
        <v>#VALUE!</v>
      </c>
      <c r="I5" s="40" t="e">
        <v>#VALUE!</v>
      </c>
      <c r="J5" s="35" t="e">
        <v>#VALUE!</v>
      </c>
      <c r="K5" s="37" t="e">
        <v>#VALUE!</v>
      </c>
      <c r="L5" s="38" t="e">
        <v>#VALUE!</v>
      </c>
      <c r="M5" s="38" t="e">
        <v>#VALUE!</v>
      </c>
      <c r="N5" s="39" t="e">
        <v>#VALUE!</v>
      </c>
      <c r="O5" s="38" t="e">
        <v>#VALUE!</v>
      </c>
      <c r="P5" s="38" t="e">
        <v>#VALUE!</v>
      </c>
      <c r="Q5" s="38" t="e">
        <v>#VALUE!</v>
      </c>
      <c r="R5" s="38" t="e">
        <v>#VALUE!</v>
      </c>
      <c r="S5" s="38" t="e">
        <v>#VALUE!</v>
      </c>
      <c r="T5" s="36" t="e">
        <v>#VALUE!</v>
      </c>
      <c r="U5" s="36" t="e">
        <v>#VALUE!</v>
      </c>
    </row>
    <row r="6" spans="1:21" x14ac:dyDescent="0.2">
      <c r="A6" s="33" t="e">
        <v>#VALUE!</v>
      </c>
      <c r="B6" s="34" t="e">
        <v>#VALUE!</v>
      </c>
      <c r="C6" s="34" t="e">
        <v>#VALUE!</v>
      </c>
      <c r="D6" s="40" t="e">
        <v>#VALUE!</v>
      </c>
      <c r="E6" s="40" t="e">
        <v>#VALUE!</v>
      </c>
      <c r="F6" s="35" t="e">
        <v>#VALUE!</v>
      </c>
      <c r="G6" s="36" t="e">
        <v>#VALUE!</v>
      </c>
      <c r="H6" s="35" t="e">
        <v>#VALUE!</v>
      </c>
      <c r="I6" s="40" t="e">
        <v>#VALUE!</v>
      </c>
      <c r="J6" s="35" t="e">
        <v>#VALUE!</v>
      </c>
      <c r="K6" s="37" t="e">
        <v>#VALUE!</v>
      </c>
      <c r="L6" s="38" t="e">
        <v>#VALUE!</v>
      </c>
      <c r="M6" s="38" t="e">
        <v>#VALUE!</v>
      </c>
      <c r="N6" s="39" t="e">
        <v>#VALUE!</v>
      </c>
      <c r="O6" s="38" t="e">
        <v>#VALUE!</v>
      </c>
      <c r="P6" s="38" t="e">
        <v>#VALUE!</v>
      </c>
      <c r="Q6" s="38" t="e">
        <v>#VALUE!</v>
      </c>
      <c r="R6" s="38" t="e">
        <v>#VALUE!</v>
      </c>
      <c r="S6" s="38" t="e">
        <v>#VALUE!</v>
      </c>
      <c r="T6" s="36" t="e">
        <v>#VALUE!</v>
      </c>
      <c r="U6" s="36" t="e">
        <v>#VALUE!</v>
      </c>
    </row>
    <row r="7" spans="1:21" x14ac:dyDescent="0.2">
      <c r="A7" s="33" t="e">
        <v>#VALUE!</v>
      </c>
      <c r="B7" s="34" t="e">
        <v>#VALUE!</v>
      </c>
      <c r="C7" s="34" t="e">
        <v>#VALUE!</v>
      </c>
      <c r="D7" s="40" t="e">
        <v>#VALUE!</v>
      </c>
      <c r="E7" s="40" t="e">
        <v>#VALUE!</v>
      </c>
      <c r="F7" s="35" t="e">
        <v>#VALUE!</v>
      </c>
      <c r="G7" s="36" t="e">
        <v>#VALUE!</v>
      </c>
      <c r="H7" s="35" t="e">
        <v>#VALUE!</v>
      </c>
      <c r="I7" s="40" t="e">
        <v>#VALUE!</v>
      </c>
      <c r="J7" s="35" t="e">
        <v>#VALUE!</v>
      </c>
      <c r="K7" s="37" t="e">
        <v>#VALUE!</v>
      </c>
      <c r="L7" s="38" t="e">
        <v>#VALUE!</v>
      </c>
      <c r="M7" s="38" t="e">
        <v>#VALUE!</v>
      </c>
      <c r="N7" s="39" t="e">
        <v>#VALUE!</v>
      </c>
      <c r="O7" s="38" t="e">
        <v>#VALUE!</v>
      </c>
      <c r="P7" s="38" t="e">
        <v>#VALUE!</v>
      </c>
      <c r="Q7" s="38" t="e">
        <v>#VALUE!</v>
      </c>
      <c r="R7" s="38" t="e">
        <v>#VALUE!</v>
      </c>
      <c r="S7" s="38" t="e">
        <v>#VALUE!</v>
      </c>
      <c r="T7" s="36" t="e">
        <v>#VALUE!</v>
      </c>
      <c r="U7" s="36" t="e">
        <v>#VALUE!</v>
      </c>
    </row>
    <row r="8" spans="1:21" x14ac:dyDescent="0.2">
      <c r="A8" s="33" t="e">
        <v>#VALUE!</v>
      </c>
      <c r="B8" s="34" t="e">
        <v>#VALUE!</v>
      </c>
      <c r="C8" s="34" t="e">
        <v>#VALUE!</v>
      </c>
      <c r="D8" s="40" t="e">
        <v>#VALUE!</v>
      </c>
      <c r="E8" s="40" t="e">
        <v>#VALUE!</v>
      </c>
      <c r="F8" s="35" t="e">
        <v>#VALUE!</v>
      </c>
      <c r="G8" s="36" t="e">
        <v>#VALUE!</v>
      </c>
      <c r="H8" s="35" t="e">
        <v>#VALUE!</v>
      </c>
      <c r="I8" s="40" t="e">
        <v>#VALUE!</v>
      </c>
      <c r="J8" s="35" t="e">
        <v>#VALUE!</v>
      </c>
      <c r="K8" s="37" t="e">
        <v>#VALUE!</v>
      </c>
      <c r="L8" s="38" t="e">
        <v>#VALUE!</v>
      </c>
      <c r="M8" s="38" t="e">
        <v>#VALUE!</v>
      </c>
      <c r="N8" s="39" t="e">
        <v>#VALUE!</v>
      </c>
      <c r="O8" s="38" t="e">
        <v>#VALUE!</v>
      </c>
      <c r="P8" s="38" t="e">
        <v>#VALUE!</v>
      </c>
      <c r="Q8" s="38" t="e">
        <v>#VALUE!</v>
      </c>
      <c r="R8" s="38" t="e">
        <v>#VALUE!</v>
      </c>
      <c r="S8" s="38" t="e">
        <v>#VALUE!</v>
      </c>
      <c r="T8" s="36" t="e">
        <v>#VALUE!</v>
      </c>
      <c r="U8" s="36" t="e">
        <v>#VALUE!</v>
      </c>
    </row>
    <row r="9" spans="1:21" x14ac:dyDescent="0.2">
      <c r="A9" s="33" t="e">
        <v>#VALUE!</v>
      </c>
      <c r="B9" s="34" t="e">
        <v>#VALUE!</v>
      </c>
      <c r="C9" s="34" t="e">
        <v>#VALUE!</v>
      </c>
      <c r="D9" s="40" t="e">
        <v>#VALUE!</v>
      </c>
      <c r="E9" s="40" t="e">
        <v>#VALUE!</v>
      </c>
      <c r="F9" s="35" t="e">
        <v>#VALUE!</v>
      </c>
      <c r="G9" s="36" t="e">
        <v>#VALUE!</v>
      </c>
      <c r="H9" s="35" t="e">
        <v>#VALUE!</v>
      </c>
      <c r="I9" s="40" t="e">
        <v>#VALUE!</v>
      </c>
      <c r="J9" s="35" t="e">
        <v>#VALUE!</v>
      </c>
      <c r="K9" s="37" t="e">
        <v>#VALUE!</v>
      </c>
      <c r="L9" s="38" t="e">
        <v>#VALUE!</v>
      </c>
      <c r="M9" s="38" t="e">
        <v>#VALUE!</v>
      </c>
      <c r="N9" s="39" t="e">
        <v>#VALUE!</v>
      </c>
      <c r="O9" s="38" t="e">
        <v>#VALUE!</v>
      </c>
      <c r="P9" s="38" t="e">
        <v>#VALUE!</v>
      </c>
      <c r="Q9" s="38" t="e">
        <v>#VALUE!</v>
      </c>
      <c r="R9" s="38" t="e">
        <v>#VALUE!</v>
      </c>
      <c r="S9" s="38" t="e">
        <v>#VALUE!</v>
      </c>
      <c r="T9" s="36" t="e">
        <v>#VALUE!</v>
      </c>
      <c r="U9" s="36" t="e">
        <v>#VALUE!</v>
      </c>
    </row>
    <row r="10" spans="1:21" x14ac:dyDescent="0.2">
      <c r="A10" s="33" t="e">
        <v>#VALUE!</v>
      </c>
      <c r="B10" s="34" t="e">
        <v>#VALUE!</v>
      </c>
      <c r="C10" s="34" t="e">
        <v>#VALUE!</v>
      </c>
      <c r="D10" s="40" t="e">
        <v>#VALUE!</v>
      </c>
      <c r="E10" s="40" t="e">
        <v>#VALUE!</v>
      </c>
      <c r="F10" s="35" t="e">
        <v>#VALUE!</v>
      </c>
      <c r="G10" s="36" t="e">
        <v>#VALUE!</v>
      </c>
      <c r="H10" s="35" t="e">
        <v>#VALUE!</v>
      </c>
      <c r="I10" s="40" t="e">
        <v>#VALUE!</v>
      </c>
      <c r="J10" s="35" t="e">
        <v>#VALUE!</v>
      </c>
      <c r="K10" s="37" t="e">
        <v>#VALUE!</v>
      </c>
      <c r="L10" s="38" t="e">
        <v>#VALUE!</v>
      </c>
      <c r="M10" s="38" t="e">
        <v>#VALUE!</v>
      </c>
      <c r="N10" s="39" t="e">
        <v>#VALUE!</v>
      </c>
      <c r="O10" s="38" t="e">
        <v>#VALUE!</v>
      </c>
      <c r="P10" s="38" t="e">
        <v>#VALUE!</v>
      </c>
      <c r="Q10" s="38" t="e">
        <v>#VALUE!</v>
      </c>
      <c r="R10" s="38" t="e">
        <v>#VALUE!</v>
      </c>
      <c r="S10" s="38" t="e">
        <v>#VALUE!</v>
      </c>
      <c r="T10" s="36" t="e">
        <v>#VALUE!</v>
      </c>
      <c r="U10" s="36" t="e">
        <v>#VALUE!</v>
      </c>
    </row>
    <row r="11" spans="1:21" x14ac:dyDescent="0.2">
      <c r="A11" s="33" t="e">
        <v>#VALUE!</v>
      </c>
      <c r="B11" s="34" t="e">
        <v>#VALUE!</v>
      </c>
      <c r="C11" s="34" t="e">
        <v>#VALUE!</v>
      </c>
      <c r="D11" s="40" t="e">
        <v>#VALUE!</v>
      </c>
      <c r="E11" s="40" t="e">
        <v>#VALUE!</v>
      </c>
      <c r="F11" s="35" t="e">
        <v>#VALUE!</v>
      </c>
      <c r="G11" s="36" t="e">
        <v>#VALUE!</v>
      </c>
      <c r="H11" s="35" t="e">
        <v>#VALUE!</v>
      </c>
      <c r="I11" s="40" t="e">
        <v>#VALUE!</v>
      </c>
      <c r="J11" s="35" t="e">
        <v>#VALUE!</v>
      </c>
      <c r="K11" s="37" t="e">
        <v>#VALUE!</v>
      </c>
      <c r="L11" s="38" t="e">
        <v>#VALUE!</v>
      </c>
      <c r="M11" s="38" t="e">
        <v>#VALUE!</v>
      </c>
      <c r="N11" s="39" t="e">
        <v>#VALUE!</v>
      </c>
      <c r="O11" s="38" t="e">
        <v>#VALUE!</v>
      </c>
      <c r="P11" s="38" t="e">
        <v>#VALUE!</v>
      </c>
      <c r="Q11" s="38" t="e">
        <v>#VALUE!</v>
      </c>
      <c r="R11" s="38" t="e">
        <v>#VALUE!</v>
      </c>
      <c r="S11" s="38" t="e">
        <v>#VALUE!</v>
      </c>
      <c r="T11" s="36" t="e">
        <v>#VALUE!</v>
      </c>
      <c r="U11" s="36" t="e">
        <v>#VALUE!</v>
      </c>
    </row>
    <row r="12" spans="1:21" x14ac:dyDescent="0.2">
      <c r="A12" s="33" t="e">
        <v>#VALUE!</v>
      </c>
      <c r="B12" s="34" t="e">
        <v>#VALUE!</v>
      </c>
      <c r="C12" s="34" t="e">
        <v>#VALUE!</v>
      </c>
      <c r="D12" s="40" t="e">
        <v>#VALUE!</v>
      </c>
      <c r="E12" s="40" t="e">
        <v>#VALUE!</v>
      </c>
      <c r="F12" s="35" t="e">
        <v>#VALUE!</v>
      </c>
      <c r="G12" s="36" t="e">
        <v>#VALUE!</v>
      </c>
      <c r="H12" s="35" t="e">
        <v>#VALUE!</v>
      </c>
      <c r="I12" s="40" t="e">
        <v>#VALUE!</v>
      </c>
      <c r="J12" s="35" t="e">
        <v>#VALUE!</v>
      </c>
      <c r="K12" s="37" t="e">
        <v>#VALUE!</v>
      </c>
      <c r="L12" s="38" t="e">
        <v>#VALUE!</v>
      </c>
      <c r="M12" s="38" t="e">
        <v>#VALUE!</v>
      </c>
      <c r="N12" s="39" t="e">
        <v>#VALUE!</v>
      </c>
      <c r="O12" s="38" t="e">
        <v>#VALUE!</v>
      </c>
      <c r="P12" s="38" t="e">
        <v>#VALUE!</v>
      </c>
      <c r="Q12" s="38" t="e">
        <v>#VALUE!</v>
      </c>
      <c r="R12" s="38" t="e">
        <v>#VALUE!</v>
      </c>
      <c r="S12" s="38" t="e">
        <v>#VALUE!</v>
      </c>
      <c r="T12" s="36" t="e">
        <v>#VALUE!</v>
      </c>
      <c r="U12" s="36" t="e">
        <v>#VALUE!</v>
      </c>
    </row>
    <row r="13" spans="1:21" x14ac:dyDescent="0.2">
      <c r="A13" s="33" t="e">
        <v>#VALUE!</v>
      </c>
      <c r="B13" s="34" t="e">
        <v>#VALUE!</v>
      </c>
      <c r="C13" s="34" t="e">
        <v>#VALUE!</v>
      </c>
      <c r="D13" s="40" t="e">
        <v>#VALUE!</v>
      </c>
      <c r="E13" s="40" t="e">
        <v>#VALUE!</v>
      </c>
      <c r="F13" s="35" t="e">
        <v>#VALUE!</v>
      </c>
      <c r="G13" s="36" t="e">
        <v>#VALUE!</v>
      </c>
      <c r="H13" s="35" t="e">
        <v>#VALUE!</v>
      </c>
      <c r="I13" s="40" t="e">
        <v>#VALUE!</v>
      </c>
      <c r="J13" s="35" t="e">
        <v>#VALUE!</v>
      </c>
      <c r="K13" s="37" t="e">
        <v>#VALUE!</v>
      </c>
      <c r="L13" s="38" t="e">
        <v>#VALUE!</v>
      </c>
      <c r="M13" s="38" t="e">
        <v>#VALUE!</v>
      </c>
      <c r="N13" s="39" t="e">
        <v>#VALUE!</v>
      </c>
      <c r="O13" s="38" t="e">
        <v>#VALUE!</v>
      </c>
      <c r="P13" s="38" t="e">
        <v>#VALUE!</v>
      </c>
      <c r="Q13" s="38" t="e">
        <v>#VALUE!</v>
      </c>
      <c r="R13" s="38" t="e">
        <v>#VALUE!</v>
      </c>
      <c r="S13" s="38" t="e">
        <v>#VALUE!</v>
      </c>
      <c r="T13" s="36" t="e">
        <v>#VALUE!</v>
      </c>
      <c r="U13" s="36" t="e">
        <v>#VALUE!</v>
      </c>
    </row>
    <row r="14" spans="1:21" x14ac:dyDescent="0.2">
      <c r="A14" s="33" t="e">
        <v>#VALUE!</v>
      </c>
      <c r="B14" s="34" t="e">
        <v>#VALUE!</v>
      </c>
      <c r="C14" s="34" t="e">
        <v>#VALUE!</v>
      </c>
      <c r="D14" s="40" t="e">
        <v>#VALUE!</v>
      </c>
      <c r="E14" s="40" t="e">
        <v>#VALUE!</v>
      </c>
      <c r="F14" s="35" t="e">
        <v>#VALUE!</v>
      </c>
      <c r="G14" s="36" t="e">
        <v>#VALUE!</v>
      </c>
      <c r="H14" s="35" t="e">
        <v>#VALUE!</v>
      </c>
      <c r="I14" s="40" t="e">
        <v>#VALUE!</v>
      </c>
      <c r="J14" s="35" t="e">
        <v>#VALUE!</v>
      </c>
      <c r="K14" s="37" t="e">
        <v>#VALUE!</v>
      </c>
      <c r="L14" s="38" t="e">
        <v>#VALUE!</v>
      </c>
      <c r="M14" s="38" t="e">
        <v>#VALUE!</v>
      </c>
      <c r="N14" s="39" t="e">
        <v>#VALUE!</v>
      </c>
      <c r="O14" s="38" t="e">
        <v>#VALUE!</v>
      </c>
      <c r="P14" s="38" t="e">
        <v>#VALUE!</v>
      </c>
      <c r="Q14" s="38" t="e">
        <v>#VALUE!</v>
      </c>
      <c r="R14" s="38" t="e">
        <v>#VALUE!</v>
      </c>
      <c r="S14" s="38" t="e">
        <v>#VALUE!</v>
      </c>
      <c r="T14" s="36" t="e">
        <v>#VALUE!</v>
      </c>
      <c r="U14" s="36" t="e">
        <v>#VALUE!</v>
      </c>
    </row>
    <row r="15" spans="1:21" x14ac:dyDescent="0.2">
      <c r="A15" s="33" t="e">
        <v>#VALUE!</v>
      </c>
      <c r="B15" s="34" t="e">
        <v>#VALUE!</v>
      </c>
      <c r="C15" s="34" t="e">
        <v>#VALUE!</v>
      </c>
      <c r="D15" s="40" t="e">
        <v>#VALUE!</v>
      </c>
      <c r="E15" s="40" t="e">
        <v>#VALUE!</v>
      </c>
      <c r="F15" s="35" t="e">
        <v>#VALUE!</v>
      </c>
      <c r="G15" s="36" t="e">
        <v>#VALUE!</v>
      </c>
      <c r="H15" s="35" t="e">
        <v>#VALUE!</v>
      </c>
      <c r="I15" s="40" t="e">
        <v>#VALUE!</v>
      </c>
      <c r="J15" s="35" t="e">
        <v>#VALUE!</v>
      </c>
      <c r="K15" s="37" t="e">
        <v>#VALUE!</v>
      </c>
      <c r="L15" s="38" t="e">
        <v>#VALUE!</v>
      </c>
      <c r="M15" s="38" t="e">
        <v>#VALUE!</v>
      </c>
      <c r="N15" s="39" t="e">
        <v>#VALUE!</v>
      </c>
      <c r="O15" s="38" t="e">
        <v>#VALUE!</v>
      </c>
      <c r="P15" s="38" t="e">
        <v>#VALUE!</v>
      </c>
      <c r="Q15" s="38" t="e">
        <v>#VALUE!</v>
      </c>
      <c r="R15" s="38" t="e">
        <v>#VALUE!</v>
      </c>
      <c r="S15" s="38" t="e">
        <v>#VALUE!</v>
      </c>
      <c r="T15" s="36" t="e">
        <v>#VALUE!</v>
      </c>
      <c r="U15" s="36" t="e">
        <v>#VALUE!</v>
      </c>
    </row>
    <row r="16" spans="1:21" x14ac:dyDescent="0.2">
      <c r="A16" s="33" t="e">
        <v>#VALUE!</v>
      </c>
      <c r="B16" s="34" t="e">
        <v>#VALUE!</v>
      </c>
      <c r="C16" s="34" t="e">
        <v>#VALUE!</v>
      </c>
      <c r="D16" s="40" t="e">
        <v>#VALUE!</v>
      </c>
      <c r="E16" s="40" t="e">
        <v>#VALUE!</v>
      </c>
      <c r="F16" s="35" t="e">
        <v>#VALUE!</v>
      </c>
      <c r="G16" s="36" t="e">
        <v>#VALUE!</v>
      </c>
      <c r="H16" s="35" t="e">
        <v>#VALUE!</v>
      </c>
      <c r="I16" s="40" t="e">
        <v>#VALUE!</v>
      </c>
      <c r="J16" s="35" t="e">
        <v>#VALUE!</v>
      </c>
      <c r="K16" s="37" t="e">
        <v>#VALUE!</v>
      </c>
      <c r="L16" s="38" t="e">
        <v>#VALUE!</v>
      </c>
      <c r="M16" s="38" t="e">
        <v>#VALUE!</v>
      </c>
      <c r="N16" s="39" t="e">
        <v>#VALUE!</v>
      </c>
      <c r="O16" s="38" t="e">
        <v>#VALUE!</v>
      </c>
      <c r="P16" s="38" t="e">
        <v>#VALUE!</v>
      </c>
      <c r="Q16" s="38" t="e">
        <v>#VALUE!</v>
      </c>
      <c r="R16" s="38" t="e">
        <v>#VALUE!</v>
      </c>
      <c r="S16" s="38" t="e">
        <v>#VALUE!</v>
      </c>
      <c r="T16" s="36" t="e">
        <v>#VALUE!</v>
      </c>
      <c r="U16" s="36" t="e">
        <v>#VALUE!</v>
      </c>
    </row>
    <row r="17" spans="1:21" x14ac:dyDescent="0.2">
      <c r="A17" s="33" t="e">
        <v>#VALUE!</v>
      </c>
      <c r="B17" s="34" t="e">
        <v>#VALUE!</v>
      </c>
      <c r="C17" s="34" t="e">
        <v>#VALUE!</v>
      </c>
      <c r="D17" s="40" t="e">
        <v>#VALUE!</v>
      </c>
      <c r="E17" s="40" t="e">
        <v>#VALUE!</v>
      </c>
      <c r="F17" s="35" t="e">
        <v>#VALUE!</v>
      </c>
      <c r="G17" s="36" t="e">
        <v>#VALUE!</v>
      </c>
      <c r="H17" s="35" t="e">
        <v>#VALUE!</v>
      </c>
      <c r="I17" s="40" t="e">
        <v>#VALUE!</v>
      </c>
      <c r="J17" s="35" t="e">
        <v>#VALUE!</v>
      </c>
      <c r="K17" s="37" t="e">
        <v>#VALUE!</v>
      </c>
      <c r="L17" s="38" t="e">
        <v>#VALUE!</v>
      </c>
      <c r="M17" s="38" t="e">
        <v>#VALUE!</v>
      </c>
      <c r="N17" s="39" t="e">
        <v>#VALUE!</v>
      </c>
      <c r="O17" s="38" t="e">
        <v>#VALUE!</v>
      </c>
      <c r="P17" s="38" t="e">
        <v>#VALUE!</v>
      </c>
      <c r="Q17" s="38" t="e">
        <v>#VALUE!</v>
      </c>
      <c r="R17" s="38" t="e">
        <v>#VALUE!</v>
      </c>
      <c r="S17" s="38" t="e">
        <v>#VALUE!</v>
      </c>
      <c r="T17" s="36" t="e">
        <v>#VALUE!</v>
      </c>
      <c r="U17" s="36" t="e">
        <v>#VALUE!</v>
      </c>
    </row>
    <row r="18" spans="1:21" x14ac:dyDescent="0.2">
      <c r="A18" s="33" t="e">
        <v>#VALUE!</v>
      </c>
      <c r="B18" s="34" t="e">
        <v>#VALUE!</v>
      </c>
      <c r="C18" s="34" t="e">
        <v>#VALUE!</v>
      </c>
      <c r="D18" s="40" t="e">
        <v>#VALUE!</v>
      </c>
      <c r="E18" s="40" t="e">
        <v>#VALUE!</v>
      </c>
      <c r="F18" s="35" t="e">
        <v>#VALUE!</v>
      </c>
      <c r="G18" s="36" t="e">
        <v>#VALUE!</v>
      </c>
      <c r="H18" s="35" t="e">
        <v>#VALUE!</v>
      </c>
      <c r="I18" s="40" t="e">
        <v>#VALUE!</v>
      </c>
      <c r="J18" s="35" t="e">
        <v>#VALUE!</v>
      </c>
      <c r="K18" s="37" t="e">
        <v>#VALUE!</v>
      </c>
      <c r="L18" s="38" t="e">
        <v>#VALUE!</v>
      </c>
      <c r="M18" s="38" t="e">
        <v>#VALUE!</v>
      </c>
      <c r="N18" s="39" t="e">
        <v>#VALUE!</v>
      </c>
      <c r="O18" s="38" t="e">
        <v>#VALUE!</v>
      </c>
      <c r="P18" s="38" t="e">
        <v>#VALUE!</v>
      </c>
      <c r="Q18" s="38" t="e">
        <v>#VALUE!</v>
      </c>
      <c r="R18" s="38" t="e">
        <v>#VALUE!</v>
      </c>
      <c r="S18" s="38" t="e">
        <v>#VALUE!</v>
      </c>
      <c r="T18" s="36" t="e">
        <v>#VALUE!</v>
      </c>
      <c r="U18" s="36" t="e">
        <v>#VALUE!</v>
      </c>
    </row>
    <row r="19" spans="1:21" x14ac:dyDescent="0.2">
      <c r="A19" s="33" t="e">
        <v>#VALUE!</v>
      </c>
      <c r="B19" s="34" t="e">
        <v>#VALUE!</v>
      </c>
      <c r="C19" s="34" t="e">
        <v>#VALUE!</v>
      </c>
      <c r="D19" s="40" t="e">
        <v>#VALUE!</v>
      </c>
      <c r="E19" s="40" t="e">
        <v>#VALUE!</v>
      </c>
      <c r="F19" s="35" t="e">
        <v>#VALUE!</v>
      </c>
      <c r="G19" s="36" t="e">
        <v>#VALUE!</v>
      </c>
      <c r="H19" s="35" t="e">
        <v>#VALUE!</v>
      </c>
      <c r="I19" s="40" t="e">
        <v>#VALUE!</v>
      </c>
      <c r="J19" s="35" t="e">
        <v>#VALUE!</v>
      </c>
      <c r="K19" s="37" t="e">
        <v>#VALUE!</v>
      </c>
      <c r="L19" s="38" t="e">
        <v>#VALUE!</v>
      </c>
      <c r="M19" s="38" t="e">
        <v>#VALUE!</v>
      </c>
      <c r="N19" s="39" t="e">
        <v>#VALUE!</v>
      </c>
      <c r="O19" s="38" t="e">
        <v>#VALUE!</v>
      </c>
      <c r="P19" s="38" t="e">
        <v>#VALUE!</v>
      </c>
      <c r="Q19" s="38" t="e">
        <v>#VALUE!</v>
      </c>
      <c r="R19" s="38" t="e">
        <v>#VALUE!</v>
      </c>
      <c r="S19" s="38" t="e">
        <v>#VALUE!</v>
      </c>
      <c r="T19" s="36" t="e">
        <v>#VALUE!</v>
      </c>
      <c r="U19" s="36" t="e">
        <v>#VALUE!</v>
      </c>
    </row>
    <row r="20" spans="1:21" x14ac:dyDescent="0.2">
      <c r="A20" s="33" t="e">
        <v>#VALUE!</v>
      </c>
      <c r="B20" s="34" t="e">
        <v>#VALUE!</v>
      </c>
      <c r="C20" s="34" t="e">
        <v>#VALUE!</v>
      </c>
      <c r="D20" s="40" t="e">
        <v>#VALUE!</v>
      </c>
      <c r="E20" s="40" t="e">
        <v>#VALUE!</v>
      </c>
      <c r="F20" s="35" t="e">
        <v>#VALUE!</v>
      </c>
      <c r="G20" s="36" t="e">
        <v>#VALUE!</v>
      </c>
      <c r="H20" s="35" t="e">
        <v>#VALUE!</v>
      </c>
      <c r="I20" s="40" t="e">
        <v>#VALUE!</v>
      </c>
      <c r="J20" s="35" t="e">
        <v>#VALUE!</v>
      </c>
      <c r="K20" s="37" t="e">
        <v>#VALUE!</v>
      </c>
      <c r="L20" s="38" t="e">
        <v>#VALUE!</v>
      </c>
      <c r="M20" s="38" t="e">
        <v>#VALUE!</v>
      </c>
      <c r="N20" s="39" t="e">
        <v>#VALUE!</v>
      </c>
      <c r="O20" s="38" t="e">
        <v>#VALUE!</v>
      </c>
      <c r="P20" s="38" t="e">
        <v>#VALUE!</v>
      </c>
      <c r="Q20" s="38" t="e">
        <v>#VALUE!</v>
      </c>
      <c r="R20" s="38" t="e">
        <v>#VALUE!</v>
      </c>
      <c r="S20" s="38" t="e">
        <v>#VALUE!</v>
      </c>
      <c r="T20" s="36" t="e">
        <v>#VALUE!</v>
      </c>
      <c r="U20" s="36" t="e">
        <v>#VALUE!</v>
      </c>
    </row>
    <row r="21" spans="1:21" x14ac:dyDescent="0.2">
      <c r="A21" s="33" t="e">
        <v>#VALUE!</v>
      </c>
      <c r="B21" s="34" t="e">
        <v>#VALUE!</v>
      </c>
      <c r="C21" s="34" t="e">
        <v>#VALUE!</v>
      </c>
      <c r="D21" s="40" t="e">
        <v>#VALUE!</v>
      </c>
      <c r="E21" s="40" t="e">
        <v>#VALUE!</v>
      </c>
      <c r="F21" s="35" t="e">
        <v>#VALUE!</v>
      </c>
      <c r="G21" s="36" t="e">
        <v>#VALUE!</v>
      </c>
      <c r="H21" s="35" t="e">
        <v>#VALUE!</v>
      </c>
      <c r="I21" s="40" t="e">
        <v>#VALUE!</v>
      </c>
      <c r="J21" s="35" t="e">
        <v>#VALUE!</v>
      </c>
      <c r="K21" s="37" t="e">
        <v>#VALUE!</v>
      </c>
      <c r="L21" s="38" t="e">
        <v>#VALUE!</v>
      </c>
      <c r="M21" s="38" t="e">
        <v>#VALUE!</v>
      </c>
      <c r="N21" s="39" t="e">
        <v>#VALUE!</v>
      </c>
      <c r="O21" s="38" t="e">
        <v>#VALUE!</v>
      </c>
      <c r="P21" s="38" t="e">
        <v>#VALUE!</v>
      </c>
      <c r="Q21" s="38" t="e">
        <v>#VALUE!</v>
      </c>
      <c r="R21" s="38" t="e">
        <v>#VALUE!</v>
      </c>
      <c r="S21" s="38" t="e">
        <v>#VALUE!</v>
      </c>
      <c r="T21" s="36" t="e">
        <v>#VALUE!</v>
      </c>
      <c r="U21" s="36" t="e">
        <v>#VALUE!</v>
      </c>
    </row>
    <row r="22" spans="1:21" x14ac:dyDescent="0.2">
      <c r="A22" s="33" t="e">
        <v>#VALUE!</v>
      </c>
      <c r="B22" s="34" t="e">
        <v>#VALUE!</v>
      </c>
      <c r="C22" s="34" t="e">
        <v>#VALUE!</v>
      </c>
      <c r="D22" s="40" t="e">
        <v>#VALUE!</v>
      </c>
      <c r="E22" s="40" t="e">
        <v>#VALUE!</v>
      </c>
      <c r="F22" s="35" t="e">
        <v>#VALUE!</v>
      </c>
      <c r="G22" s="36" t="e">
        <v>#VALUE!</v>
      </c>
      <c r="H22" s="35" t="e">
        <v>#VALUE!</v>
      </c>
      <c r="I22" s="40" t="e">
        <v>#VALUE!</v>
      </c>
      <c r="J22" s="35" t="e">
        <v>#VALUE!</v>
      </c>
      <c r="K22" s="37" t="e">
        <v>#VALUE!</v>
      </c>
      <c r="L22" s="38" t="e">
        <v>#VALUE!</v>
      </c>
      <c r="M22" s="38" t="e">
        <v>#VALUE!</v>
      </c>
      <c r="N22" s="39" t="e">
        <v>#VALUE!</v>
      </c>
      <c r="O22" s="38" t="e">
        <v>#VALUE!</v>
      </c>
      <c r="P22" s="38" t="e">
        <v>#VALUE!</v>
      </c>
      <c r="Q22" s="38" t="e">
        <v>#VALUE!</v>
      </c>
      <c r="R22" s="38" t="e">
        <v>#VALUE!</v>
      </c>
      <c r="S22" s="38" t="e">
        <v>#VALUE!</v>
      </c>
      <c r="T22" s="36" t="e">
        <v>#VALUE!</v>
      </c>
      <c r="U22" s="36" t="e">
        <v>#VALUE!</v>
      </c>
    </row>
    <row r="23" spans="1:21" x14ac:dyDescent="0.2">
      <c r="A23" s="33" t="e">
        <v>#VALUE!</v>
      </c>
      <c r="B23" s="34" t="e">
        <v>#VALUE!</v>
      </c>
      <c r="C23" s="34" t="e">
        <v>#VALUE!</v>
      </c>
      <c r="D23" s="40" t="e">
        <v>#VALUE!</v>
      </c>
      <c r="E23" s="40" t="e">
        <v>#VALUE!</v>
      </c>
      <c r="F23" s="35" t="e">
        <v>#VALUE!</v>
      </c>
      <c r="G23" s="36" t="e">
        <v>#VALUE!</v>
      </c>
      <c r="H23" s="35" t="e">
        <v>#VALUE!</v>
      </c>
      <c r="I23" s="40" t="e">
        <v>#VALUE!</v>
      </c>
      <c r="J23" s="35" t="e">
        <v>#VALUE!</v>
      </c>
      <c r="K23" s="37" t="e">
        <v>#VALUE!</v>
      </c>
      <c r="L23" s="38" t="e">
        <v>#VALUE!</v>
      </c>
      <c r="M23" s="38" t="e">
        <v>#VALUE!</v>
      </c>
      <c r="N23" s="39" t="e">
        <v>#VALUE!</v>
      </c>
      <c r="O23" s="38" t="e">
        <v>#VALUE!</v>
      </c>
      <c r="P23" s="38" t="e">
        <v>#VALUE!</v>
      </c>
      <c r="Q23" s="38" t="e">
        <v>#VALUE!</v>
      </c>
      <c r="R23" s="38" t="e">
        <v>#VALUE!</v>
      </c>
      <c r="S23" s="38" t="e">
        <v>#VALUE!</v>
      </c>
      <c r="T23" s="36" t="e">
        <v>#VALUE!</v>
      </c>
      <c r="U23" s="36" t="e">
        <v>#VALUE!</v>
      </c>
    </row>
    <row r="24" spans="1:21" x14ac:dyDescent="0.2">
      <c r="A24" s="33" t="e">
        <v>#VALUE!</v>
      </c>
      <c r="B24" s="34" t="e">
        <v>#VALUE!</v>
      </c>
      <c r="C24" s="34" t="e">
        <v>#VALUE!</v>
      </c>
      <c r="D24" s="40" t="e">
        <v>#VALUE!</v>
      </c>
      <c r="E24" s="40" t="e">
        <v>#VALUE!</v>
      </c>
      <c r="F24" s="35" t="e">
        <v>#VALUE!</v>
      </c>
      <c r="G24" s="36" t="e">
        <v>#VALUE!</v>
      </c>
      <c r="H24" s="35" t="e">
        <v>#VALUE!</v>
      </c>
      <c r="I24" s="40" t="e">
        <v>#VALUE!</v>
      </c>
      <c r="J24" s="35" t="e">
        <v>#VALUE!</v>
      </c>
      <c r="K24" s="37" t="e">
        <v>#VALUE!</v>
      </c>
      <c r="L24" s="38" t="e">
        <v>#VALUE!</v>
      </c>
      <c r="M24" s="38" t="e">
        <v>#VALUE!</v>
      </c>
      <c r="N24" s="39" t="e">
        <v>#VALUE!</v>
      </c>
      <c r="O24" s="38" t="e">
        <v>#VALUE!</v>
      </c>
      <c r="P24" s="38" t="e">
        <v>#VALUE!</v>
      </c>
      <c r="Q24" s="38" t="e">
        <v>#VALUE!</v>
      </c>
      <c r="R24" s="38" t="e">
        <v>#VALUE!</v>
      </c>
      <c r="S24" s="38" t="e">
        <v>#VALUE!</v>
      </c>
      <c r="T24" s="36" t="e">
        <v>#VALUE!</v>
      </c>
      <c r="U24" s="36" t="e">
        <v>#VALUE!</v>
      </c>
    </row>
  </sheetData>
  <phoneticPr fontId="0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0"/>
  <dimension ref="A1:AP35"/>
  <sheetViews>
    <sheetView workbookViewId="0">
      <selection activeCell="U42" sqref="U42"/>
    </sheetView>
  </sheetViews>
  <sheetFormatPr defaultRowHeight="11.25" x14ac:dyDescent="0.2"/>
  <cols>
    <col min="1" max="1" width="18" customWidth="1"/>
    <col min="2" max="2" width="10.1640625" bestFit="1" customWidth="1"/>
    <col min="3" max="3" width="12.6640625" bestFit="1" customWidth="1"/>
    <col min="4" max="5" width="16.5" bestFit="1" customWidth="1"/>
    <col min="6" max="6" width="7.5" bestFit="1" customWidth="1"/>
    <col min="7" max="7" width="18.6640625" bestFit="1" customWidth="1"/>
    <col min="8" max="8" width="5.83203125" bestFit="1" customWidth="1"/>
    <col min="9" max="9" width="16.6640625" bestFit="1" customWidth="1"/>
    <col min="10" max="10" width="9.83203125" bestFit="1" customWidth="1"/>
    <col min="11" max="11" width="7.5" bestFit="1" customWidth="1"/>
    <col min="12" max="12" width="8.33203125" bestFit="1" customWidth="1"/>
    <col min="13" max="13" width="5.1640625" bestFit="1" customWidth="1"/>
    <col min="14" max="14" width="7.5" bestFit="1" customWidth="1"/>
    <col min="15" max="17" width="8.33203125" bestFit="1" customWidth="1"/>
    <col min="18" max="18" width="5.1640625" bestFit="1" customWidth="1"/>
    <col min="19" max="19" width="9.1640625" bestFit="1" customWidth="1"/>
    <col min="20" max="20" width="8.83203125" bestFit="1" customWidth="1"/>
    <col min="21" max="21" width="5.1640625" bestFit="1" customWidth="1"/>
    <col min="23" max="23" width="12.83203125" bestFit="1" customWidth="1"/>
    <col min="24" max="25" width="12.83203125" customWidth="1"/>
    <col min="26" max="26" width="20.33203125" bestFit="1" customWidth="1"/>
    <col min="27" max="27" width="13" customWidth="1"/>
    <col min="28" max="28" width="12.83203125" bestFit="1" customWidth="1"/>
  </cols>
  <sheetData>
    <row r="1" spans="1:42" x14ac:dyDescent="0.2">
      <c r="A1" s="14">
        <f>_xll.qlSettingsEvaluationDate()</f>
        <v>42759</v>
      </c>
    </row>
    <row r="4" spans="1:42" x14ac:dyDescent="0.2"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</row>
    <row r="5" spans="1:42" x14ac:dyDescent="0.2">
      <c r="V5" t="s">
        <v>257</v>
      </c>
      <c r="W5" s="13">
        <v>0.03</v>
      </c>
      <c r="X5" s="13"/>
      <c r="Y5" s="13"/>
      <c r="Z5" s="13">
        <v>0</v>
      </c>
      <c r="AA5" s="13"/>
      <c r="AC5" s="13">
        <v>0.03</v>
      </c>
      <c r="AD5" s="13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</row>
    <row r="6" spans="1:42" x14ac:dyDescent="0.2">
      <c r="V6" t="s">
        <v>64</v>
      </c>
      <c r="W6" s="31">
        <v>0.66500000000000004</v>
      </c>
      <c r="X6" s="31"/>
      <c r="Y6" s="31"/>
      <c r="Z6" s="31">
        <v>0.05</v>
      </c>
      <c r="AA6" s="31"/>
      <c r="AC6" s="31">
        <v>0.2</v>
      </c>
      <c r="AD6" s="31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</row>
    <row r="7" spans="1:42" x14ac:dyDescent="0.2">
      <c r="V7" t="s">
        <v>258</v>
      </c>
      <c r="X7" s="112" t="e">
        <f>SUM(X14:X22)</f>
        <v>#VALUE!</v>
      </c>
      <c r="Z7" s="13">
        <v>-0.03</v>
      </c>
      <c r="AA7" s="112" t="e">
        <f>SUM(AA14:AA22)</f>
        <v>#VALUE!</v>
      </c>
      <c r="AD7" s="112">
        <f>SUM(AD14:AD22)</f>
        <v>0</v>
      </c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</row>
    <row r="8" spans="1:42" x14ac:dyDescent="0.2"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</row>
    <row r="9" spans="1:42" x14ac:dyDescent="0.2">
      <c r="I9" s="40" t="e">
        <f t="array" ref="I9">_xll.qlSwapLegAnalysis('EUR Swaps'!#REF!,1)</f>
        <v>#VALUE!</v>
      </c>
      <c r="L9">
        <v>0.03</v>
      </c>
      <c r="W9" s="13" t="e">
        <f>lncap(L9,W$5,W$6,(I9-$A$1)/365)</f>
        <v>#VALUE!</v>
      </c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</row>
    <row r="10" spans="1:42" x14ac:dyDescent="0.2"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</row>
    <row r="11" spans="1:42" x14ac:dyDescent="0.2">
      <c r="AG11" s="29"/>
      <c r="AH11" s="29"/>
      <c r="AI11" s="29"/>
      <c r="AJ11" s="29"/>
      <c r="AK11" s="29"/>
      <c r="AL11" s="29"/>
      <c r="AM11" s="29"/>
      <c r="AN11" s="29"/>
      <c r="AO11" s="29"/>
      <c r="AP11" s="29"/>
    </row>
    <row r="12" spans="1:42" x14ac:dyDescent="0.2">
      <c r="A12" s="32" t="e">
        <f t="array" ref="A12:U35">_xll.qlSwapLegAnalysis('EUR Swaps'!E1,1)</f>
        <v>#VALUE!</v>
      </c>
      <c r="B12" s="32" t="e">
        <v>#VALUE!</v>
      </c>
      <c r="C12" s="32" t="e">
        <v>#VALUE!</v>
      </c>
      <c r="D12" s="32" t="e">
        <v>#VALUE!</v>
      </c>
      <c r="E12" s="32" t="e">
        <v>#VALUE!</v>
      </c>
      <c r="F12" s="32" t="e">
        <v>#VALUE!</v>
      </c>
      <c r="G12" s="32" t="e">
        <v>#VALUE!</v>
      </c>
      <c r="H12" s="32" t="e">
        <v>#VALUE!</v>
      </c>
      <c r="I12" s="32" t="e">
        <v>#VALUE!</v>
      </c>
      <c r="J12" s="32" t="e">
        <v>#VALUE!</v>
      </c>
      <c r="K12" s="32" t="e">
        <v>#VALUE!</v>
      </c>
      <c r="L12" s="32" t="e">
        <v>#VALUE!</v>
      </c>
      <c r="M12" s="32" t="e">
        <v>#VALUE!</v>
      </c>
      <c r="N12" s="32" t="e">
        <v>#VALUE!</v>
      </c>
      <c r="O12" s="32" t="e">
        <v>#VALUE!</v>
      </c>
      <c r="P12" s="32" t="e">
        <v>#VALUE!</v>
      </c>
      <c r="Q12" s="32" t="e">
        <v>#VALUE!</v>
      </c>
      <c r="R12" s="32" t="e">
        <v>#VALUE!</v>
      </c>
      <c r="S12" s="32" t="e">
        <v>#VALUE!</v>
      </c>
      <c r="T12" s="32" t="e">
        <v>#VALUE!</v>
      </c>
      <c r="U12" s="32" t="e">
        <v>#VALUE!</v>
      </c>
      <c r="W12" t="s">
        <v>254</v>
      </c>
      <c r="Z12" t="s">
        <v>255</v>
      </c>
      <c r="AA12" t="s">
        <v>256</v>
      </c>
      <c r="AC12" t="s">
        <v>255</v>
      </c>
      <c r="AD12" t="s">
        <v>256</v>
      </c>
      <c r="AG12" s="29"/>
      <c r="AH12" s="29"/>
      <c r="AI12" s="29"/>
      <c r="AJ12" s="29"/>
      <c r="AK12" s="29"/>
      <c r="AL12" s="29"/>
      <c r="AM12" s="29"/>
      <c r="AN12" s="29"/>
      <c r="AO12" s="29"/>
      <c r="AP12" s="29"/>
    </row>
    <row r="13" spans="1:42" x14ac:dyDescent="0.2">
      <c r="A13" s="33" t="e">
        <v>#VALUE!</v>
      </c>
      <c r="B13" s="34" t="e">
        <v>#VALUE!</v>
      </c>
      <c r="C13" s="34" t="e">
        <v>#VALUE!</v>
      </c>
      <c r="D13" s="40" t="e">
        <v>#VALUE!</v>
      </c>
      <c r="E13" s="40" t="e">
        <v>#VALUE!</v>
      </c>
      <c r="F13" s="35" t="e">
        <v>#VALUE!</v>
      </c>
      <c r="G13" s="36" t="e">
        <v>#VALUE!</v>
      </c>
      <c r="H13" s="35" t="e">
        <v>#VALUE!</v>
      </c>
      <c r="I13" s="40" t="e">
        <v>#VALUE!</v>
      </c>
      <c r="J13" s="35" t="e">
        <v>#VALUE!</v>
      </c>
      <c r="K13" s="37" t="e">
        <v>#VALUE!</v>
      </c>
      <c r="L13" s="38" t="e">
        <v>#VALUE!</v>
      </c>
      <c r="M13" s="38" t="e">
        <v>#VALUE!</v>
      </c>
      <c r="N13" s="39" t="e">
        <v>#VALUE!</v>
      </c>
      <c r="O13" s="38" t="e">
        <v>#VALUE!</v>
      </c>
      <c r="P13" s="38" t="e">
        <v>#VALUE!</v>
      </c>
      <c r="Q13" s="38" t="e">
        <v>#VALUE!</v>
      </c>
      <c r="R13" s="38" t="e">
        <v>#VALUE!</v>
      </c>
      <c r="S13" s="38" t="e">
        <v>#VALUE!</v>
      </c>
      <c r="T13" s="36" t="e">
        <v>#VALUE!</v>
      </c>
      <c r="U13" s="36" t="e">
        <v>#VALUE!</v>
      </c>
      <c r="V13" s="29"/>
      <c r="W13" s="13" t="e">
        <f>lncap($L13,W$5,W$6,($I13-$A$1)/365)</f>
        <v>#VALUE!</v>
      </c>
      <c r="X13" s="29"/>
      <c r="Y13" s="29"/>
      <c r="Z13" s="13" t="e">
        <f t="shared" ref="Z13:Z22" si="0">slncap($L13,Z$5,Z$6,($I13-$A$1)/365,Z$7)</f>
        <v>#VALUE!</v>
      </c>
      <c r="AC13" s="13" t="e">
        <f>ncap($L13,AC$5,AC$6,($I13-$A$1)/365)</f>
        <v>#VALUE!</v>
      </c>
      <c r="AG13" s="29"/>
      <c r="AH13" s="29"/>
      <c r="AI13" s="29"/>
      <c r="AJ13" s="29"/>
      <c r="AK13" s="29"/>
      <c r="AL13" s="29"/>
      <c r="AM13" s="29"/>
      <c r="AN13" s="29"/>
      <c r="AO13" s="29"/>
      <c r="AP13" s="29"/>
    </row>
    <row r="14" spans="1:42" x14ac:dyDescent="0.2">
      <c r="A14" s="33" t="e">
        <v>#VALUE!</v>
      </c>
      <c r="B14" s="34" t="e">
        <v>#VALUE!</v>
      </c>
      <c r="C14" s="34" t="e">
        <v>#VALUE!</v>
      </c>
      <c r="D14" s="40" t="e">
        <v>#VALUE!</v>
      </c>
      <c r="E14" s="40" t="e">
        <v>#VALUE!</v>
      </c>
      <c r="F14" s="35" t="e">
        <v>#VALUE!</v>
      </c>
      <c r="G14" s="36" t="e">
        <v>#VALUE!</v>
      </c>
      <c r="H14" s="35" t="e">
        <v>#VALUE!</v>
      </c>
      <c r="I14" s="40" t="e">
        <v>#VALUE!</v>
      </c>
      <c r="J14" s="35" t="e">
        <v>#VALUE!</v>
      </c>
      <c r="K14" s="37" t="e">
        <v>#VALUE!</v>
      </c>
      <c r="L14" s="38" t="e">
        <v>#VALUE!</v>
      </c>
      <c r="M14" s="38" t="e">
        <v>#VALUE!</v>
      </c>
      <c r="N14" s="39" t="e">
        <v>#VALUE!</v>
      </c>
      <c r="O14" s="38" t="e">
        <v>#VALUE!</v>
      </c>
      <c r="P14" s="38" t="e">
        <v>#VALUE!</v>
      </c>
      <c r="Q14" s="38" t="e">
        <v>#VALUE!</v>
      </c>
      <c r="R14" s="38" t="e">
        <v>#VALUE!</v>
      </c>
      <c r="S14" s="38" t="e">
        <v>#VALUE!</v>
      </c>
      <c r="T14" s="36" t="e">
        <v>#VALUE!</v>
      </c>
      <c r="U14" s="36" t="e">
        <v>#VALUE!</v>
      </c>
      <c r="V14" s="29"/>
      <c r="W14" s="13" t="e">
        <f t="shared" ref="W14:W22" si="1">lncap($L14,W$5,W$6,($I14-$A$1)/365)</f>
        <v>#VALUE!</v>
      </c>
      <c r="X14" s="112" t="e">
        <f>$C14*$K14*W14</f>
        <v>#VALUE!</v>
      </c>
      <c r="Y14" s="29"/>
      <c r="Z14" s="13" t="e">
        <f t="shared" si="0"/>
        <v>#VALUE!</v>
      </c>
      <c r="AA14" s="112" t="e">
        <f t="shared" ref="AA14:AA18" si="2">$C14*$K14*Z14</f>
        <v>#VALUE!</v>
      </c>
      <c r="AC14" s="13" t="e">
        <f t="shared" ref="AC14:AC22" si="3">ncap($L14,AC$5,AC$6,($I14-$A$1)/365)</f>
        <v>#VALUE!</v>
      </c>
      <c r="AG14" s="29"/>
      <c r="AH14" s="29"/>
      <c r="AI14" s="29"/>
      <c r="AJ14" s="29"/>
      <c r="AK14" s="29"/>
      <c r="AL14" s="29"/>
      <c r="AM14" s="29"/>
      <c r="AN14" s="29"/>
      <c r="AO14" s="29"/>
      <c r="AP14" s="29"/>
    </row>
    <row r="15" spans="1:42" x14ac:dyDescent="0.2">
      <c r="A15" s="33" t="e">
        <v>#VALUE!</v>
      </c>
      <c r="B15" s="34" t="e">
        <v>#VALUE!</v>
      </c>
      <c r="C15" s="34" t="e">
        <v>#VALUE!</v>
      </c>
      <c r="D15" s="40" t="e">
        <v>#VALUE!</v>
      </c>
      <c r="E15" s="40" t="e">
        <v>#VALUE!</v>
      </c>
      <c r="F15" s="35" t="e">
        <v>#VALUE!</v>
      </c>
      <c r="G15" s="36" t="e">
        <v>#VALUE!</v>
      </c>
      <c r="H15" s="35" t="e">
        <v>#VALUE!</v>
      </c>
      <c r="I15" s="40" t="e">
        <v>#VALUE!</v>
      </c>
      <c r="J15" s="35" t="e">
        <v>#VALUE!</v>
      </c>
      <c r="K15" s="37" t="e">
        <v>#VALUE!</v>
      </c>
      <c r="L15" s="38" t="e">
        <v>#VALUE!</v>
      </c>
      <c r="M15" s="38" t="e">
        <v>#VALUE!</v>
      </c>
      <c r="N15" s="39" t="e">
        <v>#VALUE!</v>
      </c>
      <c r="O15" s="38" t="e">
        <v>#VALUE!</v>
      </c>
      <c r="P15" s="38" t="e">
        <v>#VALUE!</v>
      </c>
      <c r="Q15" s="38" t="e">
        <v>#VALUE!</v>
      </c>
      <c r="R15" s="38" t="e">
        <v>#VALUE!</v>
      </c>
      <c r="S15" s="38" t="e">
        <v>#VALUE!</v>
      </c>
      <c r="T15" s="36" t="e">
        <v>#VALUE!</v>
      </c>
      <c r="U15" s="36" t="e">
        <v>#VALUE!</v>
      </c>
      <c r="V15" s="29"/>
      <c r="W15" s="13" t="e">
        <f t="shared" si="1"/>
        <v>#VALUE!</v>
      </c>
      <c r="X15" s="112" t="e">
        <f t="shared" ref="X15:X22" si="4">C15*K15*W15</f>
        <v>#VALUE!</v>
      </c>
      <c r="Y15" s="29"/>
      <c r="Z15" s="13" t="e">
        <f t="shared" si="0"/>
        <v>#VALUE!</v>
      </c>
      <c r="AA15" s="112" t="e">
        <f t="shared" si="2"/>
        <v>#VALUE!</v>
      </c>
      <c r="AC15" s="13" t="e">
        <f t="shared" si="3"/>
        <v>#VALUE!</v>
      </c>
      <c r="AG15" s="29"/>
      <c r="AH15" s="29"/>
      <c r="AI15" s="29"/>
      <c r="AJ15" s="29"/>
      <c r="AK15" s="29"/>
      <c r="AL15" s="29"/>
      <c r="AM15" s="29"/>
      <c r="AN15" s="29"/>
      <c r="AO15" s="29"/>
      <c r="AP15" s="29"/>
    </row>
    <row r="16" spans="1:42" x14ac:dyDescent="0.2">
      <c r="A16" s="33" t="e">
        <v>#VALUE!</v>
      </c>
      <c r="B16" s="34" t="e">
        <v>#VALUE!</v>
      </c>
      <c r="C16" s="34" t="e">
        <v>#VALUE!</v>
      </c>
      <c r="D16" s="40" t="e">
        <v>#VALUE!</v>
      </c>
      <c r="E16" s="40" t="e">
        <v>#VALUE!</v>
      </c>
      <c r="F16" s="35" t="e">
        <v>#VALUE!</v>
      </c>
      <c r="G16" s="36" t="e">
        <v>#VALUE!</v>
      </c>
      <c r="H16" s="35" t="e">
        <v>#VALUE!</v>
      </c>
      <c r="I16" s="40" t="e">
        <v>#VALUE!</v>
      </c>
      <c r="J16" s="35" t="e">
        <v>#VALUE!</v>
      </c>
      <c r="K16" s="37" t="e">
        <v>#VALUE!</v>
      </c>
      <c r="L16" s="38" t="e">
        <v>#VALUE!</v>
      </c>
      <c r="M16" s="38" t="e">
        <v>#VALUE!</v>
      </c>
      <c r="N16" s="39" t="e">
        <v>#VALUE!</v>
      </c>
      <c r="O16" s="38" t="e">
        <v>#VALUE!</v>
      </c>
      <c r="P16" s="38" t="e">
        <v>#VALUE!</v>
      </c>
      <c r="Q16" s="38" t="e">
        <v>#VALUE!</v>
      </c>
      <c r="R16" s="38" t="e">
        <v>#VALUE!</v>
      </c>
      <c r="S16" s="38" t="e">
        <v>#VALUE!</v>
      </c>
      <c r="T16" s="36" t="e">
        <v>#VALUE!</v>
      </c>
      <c r="U16" s="36" t="e">
        <v>#VALUE!</v>
      </c>
      <c r="V16" s="29"/>
      <c r="W16" s="13" t="e">
        <f t="shared" si="1"/>
        <v>#VALUE!</v>
      </c>
      <c r="X16" s="112" t="e">
        <f t="shared" si="4"/>
        <v>#VALUE!</v>
      </c>
      <c r="Y16" s="29"/>
      <c r="Z16" s="13" t="e">
        <f t="shared" si="0"/>
        <v>#VALUE!</v>
      </c>
      <c r="AA16" s="112" t="e">
        <f t="shared" si="2"/>
        <v>#VALUE!</v>
      </c>
      <c r="AC16" s="13" t="e">
        <f t="shared" si="3"/>
        <v>#VALUE!</v>
      </c>
      <c r="AG16" s="29"/>
      <c r="AH16" s="29"/>
      <c r="AI16" s="29"/>
      <c r="AJ16" s="29"/>
      <c r="AK16" s="29"/>
      <c r="AL16" s="29"/>
      <c r="AM16" s="29"/>
      <c r="AN16" s="29"/>
      <c r="AO16" s="29"/>
      <c r="AP16" s="29"/>
    </row>
    <row r="17" spans="1:42" x14ac:dyDescent="0.2">
      <c r="A17" s="33" t="e">
        <v>#VALUE!</v>
      </c>
      <c r="B17" s="34" t="e">
        <v>#VALUE!</v>
      </c>
      <c r="C17" s="34" t="e">
        <v>#VALUE!</v>
      </c>
      <c r="D17" s="40" t="e">
        <v>#VALUE!</v>
      </c>
      <c r="E17" s="40" t="e">
        <v>#VALUE!</v>
      </c>
      <c r="F17" s="35" t="e">
        <v>#VALUE!</v>
      </c>
      <c r="G17" s="36" t="e">
        <v>#VALUE!</v>
      </c>
      <c r="H17" s="35" t="e">
        <v>#VALUE!</v>
      </c>
      <c r="I17" s="40" t="e">
        <v>#VALUE!</v>
      </c>
      <c r="J17" s="35" t="e">
        <v>#VALUE!</v>
      </c>
      <c r="K17" s="37" t="e">
        <v>#VALUE!</v>
      </c>
      <c r="L17" s="38" t="e">
        <v>#VALUE!</v>
      </c>
      <c r="M17" s="38" t="e">
        <v>#VALUE!</v>
      </c>
      <c r="N17" s="39" t="e">
        <v>#VALUE!</v>
      </c>
      <c r="O17" s="38" t="e">
        <v>#VALUE!</v>
      </c>
      <c r="P17" s="38" t="e">
        <v>#VALUE!</v>
      </c>
      <c r="Q17" s="38" t="e">
        <v>#VALUE!</v>
      </c>
      <c r="R17" s="38" t="e">
        <v>#VALUE!</v>
      </c>
      <c r="S17" s="38" t="e">
        <v>#VALUE!</v>
      </c>
      <c r="T17" s="36" t="e">
        <v>#VALUE!</v>
      </c>
      <c r="U17" s="36" t="e">
        <v>#VALUE!</v>
      </c>
      <c r="V17" s="29"/>
      <c r="W17" s="13" t="e">
        <f t="shared" si="1"/>
        <v>#VALUE!</v>
      </c>
      <c r="X17" s="112" t="e">
        <f t="shared" si="4"/>
        <v>#VALUE!</v>
      </c>
      <c r="Y17" s="29"/>
      <c r="Z17" s="13" t="e">
        <f t="shared" si="0"/>
        <v>#VALUE!</v>
      </c>
      <c r="AA17" s="112" t="e">
        <f t="shared" si="2"/>
        <v>#VALUE!</v>
      </c>
      <c r="AC17" s="13" t="e">
        <f t="shared" si="3"/>
        <v>#VALUE!</v>
      </c>
      <c r="AG17" s="29"/>
      <c r="AH17" s="29"/>
      <c r="AI17" s="29"/>
      <c r="AJ17" s="29"/>
      <c r="AK17" s="29"/>
      <c r="AL17" s="29"/>
      <c r="AM17" s="29"/>
      <c r="AN17" s="29"/>
      <c r="AO17" s="29"/>
      <c r="AP17" s="29"/>
    </row>
    <row r="18" spans="1:42" x14ac:dyDescent="0.2">
      <c r="A18" s="33" t="e">
        <v>#VALUE!</v>
      </c>
      <c r="B18" s="34" t="e">
        <v>#VALUE!</v>
      </c>
      <c r="C18" s="34" t="e">
        <v>#VALUE!</v>
      </c>
      <c r="D18" s="40" t="e">
        <v>#VALUE!</v>
      </c>
      <c r="E18" s="40" t="e">
        <v>#VALUE!</v>
      </c>
      <c r="F18" s="35" t="e">
        <v>#VALUE!</v>
      </c>
      <c r="G18" s="36" t="e">
        <v>#VALUE!</v>
      </c>
      <c r="H18" s="35" t="e">
        <v>#VALUE!</v>
      </c>
      <c r="I18" s="40" t="e">
        <v>#VALUE!</v>
      </c>
      <c r="J18" s="35" t="e">
        <v>#VALUE!</v>
      </c>
      <c r="K18" s="37" t="e">
        <v>#VALUE!</v>
      </c>
      <c r="L18" s="38" t="e">
        <v>#VALUE!</v>
      </c>
      <c r="M18" s="38" t="e">
        <v>#VALUE!</v>
      </c>
      <c r="N18" s="39" t="e">
        <v>#VALUE!</v>
      </c>
      <c r="O18" s="38" t="e">
        <v>#VALUE!</v>
      </c>
      <c r="P18" s="38" t="e">
        <v>#VALUE!</v>
      </c>
      <c r="Q18" s="38" t="e">
        <v>#VALUE!</v>
      </c>
      <c r="R18" s="38" t="e">
        <v>#VALUE!</v>
      </c>
      <c r="S18" s="38" t="e">
        <v>#VALUE!</v>
      </c>
      <c r="T18" s="36" t="e">
        <v>#VALUE!</v>
      </c>
      <c r="U18" s="36" t="e">
        <v>#VALUE!</v>
      </c>
      <c r="V18" s="29"/>
      <c r="W18" s="13" t="e">
        <f t="shared" si="1"/>
        <v>#VALUE!</v>
      </c>
      <c r="X18" s="112" t="e">
        <f t="shared" si="4"/>
        <v>#VALUE!</v>
      </c>
      <c r="Y18" s="29"/>
      <c r="Z18" s="13" t="e">
        <f t="shared" si="0"/>
        <v>#VALUE!</v>
      </c>
      <c r="AA18" s="112" t="e">
        <f t="shared" si="2"/>
        <v>#VALUE!</v>
      </c>
      <c r="AC18" s="13" t="e">
        <f t="shared" si="3"/>
        <v>#VALUE!</v>
      </c>
      <c r="AG18" s="29"/>
      <c r="AH18" s="29"/>
      <c r="AI18" s="29"/>
      <c r="AJ18" s="29"/>
      <c r="AK18" s="29"/>
      <c r="AL18" s="29"/>
      <c r="AM18" s="29"/>
      <c r="AN18" s="29"/>
      <c r="AO18" s="29"/>
      <c r="AP18" s="29"/>
    </row>
    <row r="19" spans="1:42" x14ac:dyDescent="0.2">
      <c r="A19" s="33" t="e">
        <v>#VALUE!</v>
      </c>
      <c r="B19" s="34" t="e">
        <v>#VALUE!</v>
      </c>
      <c r="C19" s="34" t="e">
        <v>#VALUE!</v>
      </c>
      <c r="D19" s="40" t="e">
        <v>#VALUE!</v>
      </c>
      <c r="E19" s="40" t="e">
        <v>#VALUE!</v>
      </c>
      <c r="F19" s="35" t="e">
        <v>#VALUE!</v>
      </c>
      <c r="G19" s="36" t="e">
        <v>#VALUE!</v>
      </c>
      <c r="H19" s="35" t="e">
        <v>#VALUE!</v>
      </c>
      <c r="I19" s="40" t="e">
        <v>#VALUE!</v>
      </c>
      <c r="J19" s="35" t="e">
        <v>#VALUE!</v>
      </c>
      <c r="K19" s="37" t="e">
        <v>#VALUE!</v>
      </c>
      <c r="L19" s="38" t="e">
        <v>#VALUE!</v>
      </c>
      <c r="M19" s="38" t="e">
        <v>#VALUE!</v>
      </c>
      <c r="N19" s="39" t="e">
        <v>#VALUE!</v>
      </c>
      <c r="O19" s="38" t="e">
        <v>#VALUE!</v>
      </c>
      <c r="P19" s="38" t="e">
        <v>#VALUE!</v>
      </c>
      <c r="Q19" s="38" t="e">
        <v>#VALUE!</v>
      </c>
      <c r="R19" s="38" t="e">
        <v>#VALUE!</v>
      </c>
      <c r="S19" s="38" t="e">
        <v>#VALUE!</v>
      </c>
      <c r="T19" s="36" t="e">
        <v>#VALUE!</v>
      </c>
      <c r="U19" s="36" t="e">
        <v>#VALUE!</v>
      </c>
      <c r="V19" s="29"/>
      <c r="W19" s="13" t="e">
        <f t="shared" si="1"/>
        <v>#VALUE!</v>
      </c>
      <c r="X19" s="112" t="e">
        <f t="shared" si="4"/>
        <v>#VALUE!</v>
      </c>
      <c r="Y19" s="29"/>
      <c r="Z19" s="13" t="e">
        <f t="shared" si="0"/>
        <v>#VALUE!</v>
      </c>
      <c r="AA19" s="112"/>
      <c r="AC19" s="13" t="e">
        <f t="shared" si="3"/>
        <v>#VALUE!</v>
      </c>
      <c r="AG19" s="29"/>
      <c r="AH19" s="29"/>
      <c r="AI19" s="29"/>
      <c r="AJ19" s="29"/>
      <c r="AK19" s="29"/>
      <c r="AL19" s="29"/>
      <c r="AM19" s="29"/>
      <c r="AN19" s="29"/>
      <c r="AO19" s="29"/>
      <c r="AP19" s="29"/>
    </row>
    <row r="20" spans="1:42" x14ac:dyDescent="0.2">
      <c r="A20" s="33" t="e">
        <v>#VALUE!</v>
      </c>
      <c r="B20" s="34" t="e">
        <v>#VALUE!</v>
      </c>
      <c r="C20" s="34" t="e">
        <v>#VALUE!</v>
      </c>
      <c r="D20" s="40" t="e">
        <v>#VALUE!</v>
      </c>
      <c r="E20" s="40" t="e">
        <v>#VALUE!</v>
      </c>
      <c r="F20" s="35" t="e">
        <v>#VALUE!</v>
      </c>
      <c r="G20" s="36" t="e">
        <v>#VALUE!</v>
      </c>
      <c r="H20" s="35" t="e">
        <v>#VALUE!</v>
      </c>
      <c r="I20" s="40" t="e">
        <v>#VALUE!</v>
      </c>
      <c r="J20" s="35" t="e">
        <v>#VALUE!</v>
      </c>
      <c r="K20" s="37" t="e">
        <v>#VALUE!</v>
      </c>
      <c r="L20" s="38" t="e">
        <v>#VALUE!</v>
      </c>
      <c r="M20" s="38" t="e">
        <v>#VALUE!</v>
      </c>
      <c r="N20" s="39" t="e">
        <v>#VALUE!</v>
      </c>
      <c r="O20" s="38" t="e">
        <v>#VALUE!</v>
      </c>
      <c r="P20" s="38" t="e">
        <v>#VALUE!</v>
      </c>
      <c r="Q20" s="38" t="e">
        <v>#VALUE!</v>
      </c>
      <c r="R20" s="38" t="e">
        <v>#VALUE!</v>
      </c>
      <c r="S20" s="38" t="e">
        <v>#VALUE!</v>
      </c>
      <c r="T20" s="36" t="e">
        <v>#VALUE!</v>
      </c>
      <c r="U20" s="36" t="e">
        <v>#VALUE!</v>
      </c>
      <c r="V20" s="29"/>
      <c r="W20" s="13" t="e">
        <f t="shared" si="1"/>
        <v>#VALUE!</v>
      </c>
      <c r="X20" s="112" t="e">
        <f t="shared" si="4"/>
        <v>#VALUE!</v>
      </c>
      <c r="Y20" s="29"/>
      <c r="Z20" s="13" t="e">
        <f t="shared" si="0"/>
        <v>#VALUE!</v>
      </c>
      <c r="AA20" s="112"/>
      <c r="AC20" s="13" t="e">
        <f t="shared" si="3"/>
        <v>#VALUE!</v>
      </c>
      <c r="AG20" s="29"/>
      <c r="AH20" s="29"/>
      <c r="AI20" s="29"/>
      <c r="AJ20" s="29"/>
      <c r="AK20" s="29"/>
      <c r="AL20" s="29"/>
      <c r="AM20" s="29"/>
      <c r="AN20" s="29"/>
      <c r="AO20" s="29"/>
      <c r="AP20" s="29"/>
    </row>
    <row r="21" spans="1:42" x14ac:dyDescent="0.2">
      <c r="A21" s="33" t="e">
        <v>#VALUE!</v>
      </c>
      <c r="B21" s="34" t="e">
        <v>#VALUE!</v>
      </c>
      <c r="C21" s="34" t="e">
        <v>#VALUE!</v>
      </c>
      <c r="D21" s="40" t="e">
        <v>#VALUE!</v>
      </c>
      <c r="E21" s="40" t="e">
        <v>#VALUE!</v>
      </c>
      <c r="F21" s="35" t="e">
        <v>#VALUE!</v>
      </c>
      <c r="G21" s="36" t="e">
        <v>#VALUE!</v>
      </c>
      <c r="H21" s="35" t="e">
        <v>#VALUE!</v>
      </c>
      <c r="I21" s="40" t="e">
        <v>#VALUE!</v>
      </c>
      <c r="J21" s="35" t="e">
        <v>#VALUE!</v>
      </c>
      <c r="K21" s="37" t="e">
        <v>#VALUE!</v>
      </c>
      <c r="L21" s="38" t="e">
        <v>#VALUE!</v>
      </c>
      <c r="M21" s="38" t="e">
        <v>#VALUE!</v>
      </c>
      <c r="N21" s="39" t="e">
        <v>#VALUE!</v>
      </c>
      <c r="O21" s="38" t="e">
        <v>#VALUE!</v>
      </c>
      <c r="P21" s="38" t="e">
        <v>#VALUE!</v>
      </c>
      <c r="Q21" s="38" t="e">
        <v>#VALUE!</v>
      </c>
      <c r="R21" s="38" t="e">
        <v>#VALUE!</v>
      </c>
      <c r="S21" s="38" t="e">
        <v>#VALUE!</v>
      </c>
      <c r="T21" s="36" t="e">
        <v>#VALUE!</v>
      </c>
      <c r="U21" s="36" t="e">
        <v>#VALUE!</v>
      </c>
      <c r="V21" s="29"/>
      <c r="W21" s="13" t="e">
        <f t="shared" si="1"/>
        <v>#VALUE!</v>
      </c>
      <c r="X21" s="112" t="e">
        <f t="shared" si="4"/>
        <v>#VALUE!</v>
      </c>
      <c r="Y21" s="29"/>
      <c r="Z21" s="13" t="e">
        <f t="shared" si="0"/>
        <v>#VALUE!</v>
      </c>
      <c r="AA21" s="112"/>
      <c r="AC21" s="13" t="e">
        <f t="shared" si="3"/>
        <v>#VALUE!</v>
      </c>
      <c r="AG21" s="29"/>
      <c r="AH21" s="29"/>
      <c r="AI21" s="29"/>
      <c r="AJ21" s="29"/>
      <c r="AK21" s="29"/>
      <c r="AL21" s="29"/>
      <c r="AM21" s="29"/>
      <c r="AN21" s="29"/>
      <c r="AO21" s="29"/>
      <c r="AP21" s="29"/>
    </row>
    <row r="22" spans="1:42" x14ac:dyDescent="0.2">
      <c r="A22" s="33" t="e">
        <v>#VALUE!</v>
      </c>
      <c r="B22" s="34" t="e">
        <v>#VALUE!</v>
      </c>
      <c r="C22" s="34" t="e">
        <v>#VALUE!</v>
      </c>
      <c r="D22" s="40" t="e">
        <v>#VALUE!</v>
      </c>
      <c r="E22" s="40" t="e">
        <v>#VALUE!</v>
      </c>
      <c r="F22" s="35" t="e">
        <v>#VALUE!</v>
      </c>
      <c r="G22" s="36" t="e">
        <v>#VALUE!</v>
      </c>
      <c r="H22" s="35" t="e">
        <v>#VALUE!</v>
      </c>
      <c r="I22" s="40" t="e">
        <v>#VALUE!</v>
      </c>
      <c r="J22" s="35" t="e">
        <v>#VALUE!</v>
      </c>
      <c r="K22" s="37" t="e">
        <v>#VALUE!</v>
      </c>
      <c r="L22" s="38" t="e">
        <v>#VALUE!</v>
      </c>
      <c r="M22" s="38" t="e">
        <v>#VALUE!</v>
      </c>
      <c r="N22" s="39" t="e">
        <v>#VALUE!</v>
      </c>
      <c r="O22" s="38" t="e">
        <v>#VALUE!</v>
      </c>
      <c r="P22" s="38" t="e">
        <v>#VALUE!</v>
      </c>
      <c r="Q22" s="38" t="e">
        <v>#VALUE!</v>
      </c>
      <c r="R22" s="38" t="e">
        <v>#VALUE!</v>
      </c>
      <c r="S22" s="38" t="e">
        <v>#VALUE!</v>
      </c>
      <c r="T22" s="36" t="e">
        <v>#VALUE!</v>
      </c>
      <c r="U22" s="36" t="e">
        <v>#VALUE!</v>
      </c>
      <c r="V22" s="29"/>
      <c r="W22" s="13" t="e">
        <f t="shared" si="1"/>
        <v>#VALUE!</v>
      </c>
      <c r="X22" s="112" t="e">
        <f t="shared" si="4"/>
        <v>#VALUE!</v>
      </c>
      <c r="Y22" s="29"/>
      <c r="Z22" s="13" t="e">
        <f t="shared" si="0"/>
        <v>#VALUE!</v>
      </c>
      <c r="AA22" s="112"/>
      <c r="AC22" s="13" t="e">
        <f t="shared" si="3"/>
        <v>#VALUE!</v>
      </c>
      <c r="AG22" s="29"/>
      <c r="AH22" s="29"/>
      <c r="AI22" s="29"/>
      <c r="AJ22" s="29"/>
      <c r="AK22" s="29"/>
      <c r="AL22" s="29"/>
      <c r="AM22" s="29"/>
      <c r="AN22" s="29"/>
      <c r="AO22" s="29"/>
      <c r="AP22" s="29"/>
    </row>
    <row r="23" spans="1:42" x14ac:dyDescent="0.2">
      <c r="A23" s="33" t="e">
        <v>#VALUE!</v>
      </c>
      <c r="B23" s="34" t="e">
        <v>#VALUE!</v>
      </c>
      <c r="C23" s="34" t="e">
        <v>#VALUE!</v>
      </c>
      <c r="D23" s="40" t="e">
        <v>#VALUE!</v>
      </c>
      <c r="E23" s="40" t="e">
        <v>#VALUE!</v>
      </c>
      <c r="F23" s="35" t="e">
        <v>#VALUE!</v>
      </c>
      <c r="G23" s="36" t="e">
        <v>#VALUE!</v>
      </c>
      <c r="H23" s="35" t="e">
        <v>#VALUE!</v>
      </c>
      <c r="I23" s="40" t="e">
        <v>#VALUE!</v>
      </c>
      <c r="J23" s="35" t="e">
        <v>#VALUE!</v>
      </c>
      <c r="K23" s="37" t="e">
        <v>#VALUE!</v>
      </c>
      <c r="L23" s="38" t="e">
        <v>#VALUE!</v>
      </c>
      <c r="M23" s="38" t="e">
        <v>#VALUE!</v>
      </c>
      <c r="N23" s="39" t="e">
        <v>#VALUE!</v>
      </c>
      <c r="O23" s="38" t="e">
        <v>#VALUE!</v>
      </c>
      <c r="P23" s="38" t="e">
        <v>#VALUE!</v>
      </c>
      <c r="Q23" s="38" t="e">
        <v>#VALUE!</v>
      </c>
      <c r="R23" s="38" t="e">
        <v>#VALUE!</v>
      </c>
      <c r="S23" s="38" t="e">
        <v>#VALUE!</v>
      </c>
      <c r="T23" s="36" t="e">
        <v>#VALUE!</v>
      </c>
      <c r="U23" s="36" t="e">
        <v>#VALUE!</v>
      </c>
      <c r="V23" s="29"/>
      <c r="W23" s="13"/>
      <c r="X23" s="112"/>
      <c r="Y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</row>
    <row r="24" spans="1:42" x14ac:dyDescent="0.2">
      <c r="A24" s="33" t="e">
        <v>#VALUE!</v>
      </c>
      <c r="B24" s="34" t="e">
        <v>#VALUE!</v>
      </c>
      <c r="C24" s="34" t="e">
        <v>#VALUE!</v>
      </c>
      <c r="D24" s="40" t="e">
        <v>#VALUE!</v>
      </c>
      <c r="E24" s="40" t="e">
        <v>#VALUE!</v>
      </c>
      <c r="F24" s="35" t="e">
        <v>#VALUE!</v>
      </c>
      <c r="G24" s="36" t="e">
        <v>#VALUE!</v>
      </c>
      <c r="H24" s="35" t="e">
        <v>#VALUE!</v>
      </c>
      <c r="I24" s="40" t="e">
        <v>#VALUE!</v>
      </c>
      <c r="J24" s="35" t="e">
        <v>#VALUE!</v>
      </c>
      <c r="K24" s="37" t="e">
        <v>#VALUE!</v>
      </c>
      <c r="L24" s="38" t="e">
        <v>#VALUE!</v>
      </c>
      <c r="M24" s="38" t="e">
        <v>#VALUE!</v>
      </c>
      <c r="N24" s="39" t="e">
        <v>#VALUE!</v>
      </c>
      <c r="O24" s="38" t="e">
        <v>#VALUE!</v>
      </c>
      <c r="P24" s="38" t="e">
        <v>#VALUE!</v>
      </c>
      <c r="Q24" s="38" t="e">
        <v>#VALUE!</v>
      </c>
      <c r="R24" s="38" t="e">
        <v>#VALUE!</v>
      </c>
      <c r="S24" s="38" t="e">
        <v>#VALUE!</v>
      </c>
      <c r="T24" s="36" t="e">
        <v>#VALUE!</v>
      </c>
      <c r="U24" s="36" t="e">
        <v>#VALUE!</v>
      </c>
      <c r="V24" s="29"/>
      <c r="W24" s="13"/>
      <c r="X24" s="29"/>
      <c r="Y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</row>
    <row r="25" spans="1:42" x14ac:dyDescent="0.2">
      <c r="A25" s="33" t="e">
        <v>#VALUE!</v>
      </c>
      <c r="B25" s="34" t="e">
        <v>#VALUE!</v>
      </c>
      <c r="C25" s="34" t="e">
        <v>#VALUE!</v>
      </c>
      <c r="D25" s="40" t="e">
        <v>#VALUE!</v>
      </c>
      <c r="E25" s="40" t="e">
        <v>#VALUE!</v>
      </c>
      <c r="F25" s="35" t="e">
        <v>#VALUE!</v>
      </c>
      <c r="G25" s="36" t="e">
        <v>#VALUE!</v>
      </c>
      <c r="H25" s="35" t="e">
        <v>#VALUE!</v>
      </c>
      <c r="I25" s="40" t="e">
        <v>#VALUE!</v>
      </c>
      <c r="J25" s="35" t="e">
        <v>#VALUE!</v>
      </c>
      <c r="K25" s="37" t="e">
        <v>#VALUE!</v>
      </c>
      <c r="L25" s="38" t="e">
        <v>#VALUE!</v>
      </c>
      <c r="M25" s="38" t="e">
        <v>#VALUE!</v>
      </c>
      <c r="N25" s="39" t="e">
        <v>#VALUE!</v>
      </c>
      <c r="O25" s="38" t="e">
        <v>#VALUE!</v>
      </c>
      <c r="P25" s="38" t="e">
        <v>#VALUE!</v>
      </c>
      <c r="Q25" s="38" t="e">
        <v>#VALUE!</v>
      </c>
      <c r="R25" s="38" t="e">
        <v>#VALUE!</v>
      </c>
      <c r="S25" s="38" t="e">
        <v>#VALUE!</v>
      </c>
      <c r="T25" s="36" t="e">
        <v>#VALUE!</v>
      </c>
      <c r="U25" s="36" t="e">
        <v>#VALUE!</v>
      </c>
      <c r="V25" s="29"/>
      <c r="W25" s="29"/>
      <c r="X25" s="29"/>
      <c r="Y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</row>
    <row r="26" spans="1:42" x14ac:dyDescent="0.2">
      <c r="A26" s="33" t="e">
        <v>#VALUE!</v>
      </c>
      <c r="B26" s="34" t="e">
        <v>#VALUE!</v>
      </c>
      <c r="C26" s="34" t="e">
        <v>#VALUE!</v>
      </c>
      <c r="D26" s="40" t="e">
        <v>#VALUE!</v>
      </c>
      <c r="E26" s="40" t="e">
        <v>#VALUE!</v>
      </c>
      <c r="F26" s="35" t="e">
        <v>#VALUE!</v>
      </c>
      <c r="G26" s="36" t="e">
        <v>#VALUE!</v>
      </c>
      <c r="H26" s="35" t="e">
        <v>#VALUE!</v>
      </c>
      <c r="I26" s="40" t="e">
        <v>#VALUE!</v>
      </c>
      <c r="J26" s="35" t="e">
        <v>#VALUE!</v>
      </c>
      <c r="K26" s="37" t="e">
        <v>#VALUE!</v>
      </c>
      <c r="L26" s="38" t="e">
        <v>#VALUE!</v>
      </c>
      <c r="M26" s="38" t="e">
        <v>#VALUE!</v>
      </c>
      <c r="N26" s="39" t="e">
        <v>#VALUE!</v>
      </c>
      <c r="O26" s="38" t="e">
        <v>#VALUE!</v>
      </c>
      <c r="P26" s="38" t="e">
        <v>#VALUE!</v>
      </c>
      <c r="Q26" s="38" t="e">
        <v>#VALUE!</v>
      </c>
      <c r="R26" s="38" t="e">
        <v>#VALUE!</v>
      </c>
      <c r="S26" s="38" t="e">
        <v>#VALUE!</v>
      </c>
      <c r="T26" s="36" t="e">
        <v>#VALUE!</v>
      </c>
      <c r="U26" s="36" t="e">
        <v>#VALUE!</v>
      </c>
      <c r="V26" s="29"/>
      <c r="W26" s="29"/>
      <c r="X26" s="29"/>
      <c r="Y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</row>
    <row r="27" spans="1:42" x14ac:dyDescent="0.2">
      <c r="A27" s="33" t="e">
        <v>#VALUE!</v>
      </c>
      <c r="B27" s="34" t="e">
        <v>#VALUE!</v>
      </c>
      <c r="C27" s="34" t="e">
        <v>#VALUE!</v>
      </c>
      <c r="D27" s="40" t="e">
        <v>#VALUE!</v>
      </c>
      <c r="E27" s="40" t="e">
        <v>#VALUE!</v>
      </c>
      <c r="F27" s="35" t="e">
        <v>#VALUE!</v>
      </c>
      <c r="G27" s="36" t="e">
        <v>#VALUE!</v>
      </c>
      <c r="H27" s="35" t="e">
        <v>#VALUE!</v>
      </c>
      <c r="I27" s="40" t="e">
        <v>#VALUE!</v>
      </c>
      <c r="J27" s="35" t="e">
        <v>#VALUE!</v>
      </c>
      <c r="K27" s="37" t="e">
        <v>#VALUE!</v>
      </c>
      <c r="L27" s="38" t="e">
        <v>#VALUE!</v>
      </c>
      <c r="M27" s="38" t="e">
        <v>#VALUE!</v>
      </c>
      <c r="N27" s="39" t="e">
        <v>#VALUE!</v>
      </c>
      <c r="O27" s="38" t="e">
        <v>#VALUE!</v>
      </c>
      <c r="P27" s="38" t="e">
        <v>#VALUE!</v>
      </c>
      <c r="Q27" s="38" t="e">
        <v>#VALUE!</v>
      </c>
      <c r="R27" s="38" t="e">
        <v>#VALUE!</v>
      </c>
      <c r="S27" s="38" t="e">
        <v>#VALUE!</v>
      </c>
      <c r="T27" s="36" t="e">
        <v>#VALUE!</v>
      </c>
      <c r="U27" s="36" t="e">
        <v>#VALUE!</v>
      </c>
      <c r="V27" s="29"/>
      <c r="W27" s="29"/>
      <c r="X27" s="29"/>
      <c r="Y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</row>
    <row r="28" spans="1:42" x14ac:dyDescent="0.2">
      <c r="A28" s="33" t="e">
        <v>#VALUE!</v>
      </c>
      <c r="B28" s="34" t="e">
        <v>#VALUE!</v>
      </c>
      <c r="C28" s="34" t="e">
        <v>#VALUE!</v>
      </c>
      <c r="D28" s="40" t="e">
        <v>#VALUE!</v>
      </c>
      <c r="E28" s="40" t="e">
        <v>#VALUE!</v>
      </c>
      <c r="F28" s="35" t="e">
        <v>#VALUE!</v>
      </c>
      <c r="G28" s="36" t="e">
        <v>#VALUE!</v>
      </c>
      <c r="H28" s="35" t="e">
        <v>#VALUE!</v>
      </c>
      <c r="I28" s="40" t="e">
        <v>#VALUE!</v>
      </c>
      <c r="J28" s="35" t="e">
        <v>#VALUE!</v>
      </c>
      <c r="K28" s="37" t="e">
        <v>#VALUE!</v>
      </c>
      <c r="L28" s="38" t="e">
        <v>#VALUE!</v>
      </c>
      <c r="M28" s="38" t="e">
        <v>#VALUE!</v>
      </c>
      <c r="N28" s="39" t="e">
        <v>#VALUE!</v>
      </c>
      <c r="O28" s="38" t="e">
        <v>#VALUE!</v>
      </c>
      <c r="P28" s="38" t="e">
        <v>#VALUE!</v>
      </c>
      <c r="Q28" s="38" t="e">
        <v>#VALUE!</v>
      </c>
      <c r="R28" s="38" t="e">
        <v>#VALUE!</v>
      </c>
      <c r="S28" s="38" t="e">
        <v>#VALUE!</v>
      </c>
      <c r="T28" s="36" t="e">
        <v>#VALUE!</v>
      </c>
      <c r="U28" s="36" t="e">
        <v>#VALUE!</v>
      </c>
      <c r="V28" s="29"/>
      <c r="W28" s="29"/>
      <c r="X28" s="29"/>
      <c r="Y28" s="29"/>
    </row>
    <row r="29" spans="1:42" x14ac:dyDescent="0.2">
      <c r="A29" s="33" t="e">
        <v>#VALUE!</v>
      </c>
      <c r="B29" s="34" t="e">
        <v>#VALUE!</v>
      </c>
      <c r="C29" s="34" t="e">
        <v>#VALUE!</v>
      </c>
      <c r="D29" s="40" t="e">
        <v>#VALUE!</v>
      </c>
      <c r="E29" s="40" t="e">
        <v>#VALUE!</v>
      </c>
      <c r="F29" s="35" t="e">
        <v>#VALUE!</v>
      </c>
      <c r="G29" s="36" t="e">
        <v>#VALUE!</v>
      </c>
      <c r="H29" s="35" t="e">
        <v>#VALUE!</v>
      </c>
      <c r="I29" s="40" t="e">
        <v>#VALUE!</v>
      </c>
      <c r="J29" s="35" t="e">
        <v>#VALUE!</v>
      </c>
      <c r="K29" s="37" t="e">
        <v>#VALUE!</v>
      </c>
      <c r="L29" s="38" t="e">
        <v>#VALUE!</v>
      </c>
      <c r="M29" s="38" t="e">
        <v>#VALUE!</v>
      </c>
      <c r="N29" s="39" t="e">
        <v>#VALUE!</v>
      </c>
      <c r="O29" s="38" t="e">
        <v>#VALUE!</v>
      </c>
      <c r="P29" s="38" t="e">
        <v>#VALUE!</v>
      </c>
      <c r="Q29" s="38" t="e">
        <v>#VALUE!</v>
      </c>
      <c r="R29" s="38" t="e">
        <v>#VALUE!</v>
      </c>
      <c r="S29" s="38" t="e">
        <v>#VALUE!</v>
      </c>
      <c r="T29" s="36" t="e">
        <v>#VALUE!</v>
      </c>
      <c r="U29" s="36" t="e">
        <v>#VALUE!</v>
      </c>
      <c r="V29" s="29"/>
      <c r="W29" s="29"/>
      <c r="X29" s="29"/>
      <c r="Y29" s="29"/>
    </row>
    <row r="30" spans="1:42" x14ac:dyDescent="0.2">
      <c r="A30" s="33" t="e">
        <v>#VALUE!</v>
      </c>
      <c r="B30" s="34" t="e">
        <v>#VALUE!</v>
      </c>
      <c r="C30" s="34" t="e">
        <v>#VALUE!</v>
      </c>
      <c r="D30" s="40" t="e">
        <v>#VALUE!</v>
      </c>
      <c r="E30" s="40" t="e">
        <v>#VALUE!</v>
      </c>
      <c r="F30" s="35" t="e">
        <v>#VALUE!</v>
      </c>
      <c r="G30" s="36" t="e">
        <v>#VALUE!</v>
      </c>
      <c r="H30" s="35" t="e">
        <v>#VALUE!</v>
      </c>
      <c r="I30" s="40" t="e">
        <v>#VALUE!</v>
      </c>
      <c r="J30" s="35" t="e">
        <v>#VALUE!</v>
      </c>
      <c r="K30" s="37" t="e">
        <v>#VALUE!</v>
      </c>
      <c r="L30" s="38" t="e">
        <v>#VALUE!</v>
      </c>
      <c r="M30" s="38" t="e">
        <v>#VALUE!</v>
      </c>
      <c r="N30" s="39" t="e">
        <v>#VALUE!</v>
      </c>
      <c r="O30" s="38" t="e">
        <v>#VALUE!</v>
      </c>
      <c r="P30" s="38" t="e">
        <v>#VALUE!</v>
      </c>
      <c r="Q30" s="38" t="e">
        <v>#VALUE!</v>
      </c>
      <c r="R30" s="38" t="e">
        <v>#VALUE!</v>
      </c>
      <c r="S30" s="38" t="e">
        <v>#VALUE!</v>
      </c>
      <c r="T30" s="36" t="e">
        <v>#VALUE!</v>
      </c>
      <c r="U30" s="36" t="e">
        <v>#VALUE!</v>
      </c>
      <c r="V30" s="29"/>
      <c r="W30" s="29"/>
      <c r="X30" s="29"/>
      <c r="Y30" s="29"/>
    </row>
    <row r="31" spans="1:42" x14ac:dyDescent="0.2">
      <c r="A31" s="33" t="e">
        <v>#VALUE!</v>
      </c>
      <c r="B31" s="34" t="e">
        <v>#VALUE!</v>
      </c>
      <c r="C31" s="34" t="e">
        <v>#VALUE!</v>
      </c>
      <c r="D31" s="40" t="e">
        <v>#VALUE!</v>
      </c>
      <c r="E31" s="40" t="e">
        <v>#VALUE!</v>
      </c>
      <c r="F31" s="35" t="e">
        <v>#VALUE!</v>
      </c>
      <c r="G31" s="36" t="e">
        <v>#VALUE!</v>
      </c>
      <c r="H31" s="35" t="e">
        <v>#VALUE!</v>
      </c>
      <c r="I31" s="40" t="e">
        <v>#VALUE!</v>
      </c>
      <c r="J31" s="35" t="e">
        <v>#VALUE!</v>
      </c>
      <c r="K31" s="37" t="e">
        <v>#VALUE!</v>
      </c>
      <c r="L31" s="38" t="e">
        <v>#VALUE!</v>
      </c>
      <c r="M31" s="38" t="e">
        <v>#VALUE!</v>
      </c>
      <c r="N31" s="39" t="e">
        <v>#VALUE!</v>
      </c>
      <c r="O31" s="38" t="e">
        <v>#VALUE!</v>
      </c>
      <c r="P31" s="38" t="e">
        <v>#VALUE!</v>
      </c>
      <c r="Q31" s="38" t="e">
        <v>#VALUE!</v>
      </c>
      <c r="R31" s="38" t="e">
        <v>#VALUE!</v>
      </c>
      <c r="S31" s="38" t="e">
        <v>#VALUE!</v>
      </c>
      <c r="T31" s="36" t="e">
        <v>#VALUE!</v>
      </c>
      <c r="U31" s="36" t="e">
        <v>#VALUE!</v>
      </c>
      <c r="V31" s="29"/>
      <c r="W31" s="29"/>
      <c r="X31" s="29"/>
      <c r="Y31" s="29"/>
    </row>
    <row r="32" spans="1:42" x14ac:dyDescent="0.2">
      <c r="A32" s="33" t="e">
        <v>#VALUE!</v>
      </c>
      <c r="B32" s="34" t="e">
        <v>#VALUE!</v>
      </c>
      <c r="C32" s="34" t="e">
        <v>#VALUE!</v>
      </c>
      <c r="D32" s="40" t="e">
        <v>#VALUE!</v>
      </c>
      <c r="E32" s="40" t="e">
        <v>#VALUE!</v>
      </c>
      <c r="F32" s="35" t="e">
        <v>#VALUE!</v>
      </c>
      <c r="G32" s="36" t="e">
        <v>#VALUE!</v>
      </c>
      <c r="H32" s="35" t="e">
        <v>#VALUE!</v>
      </c>
      <c r="I32" s="40" t="e">
        <v>#VALUE!</v>
      </c>
      <c r="J32" s="35" t="e">
        <v>#VALUE!</v>
      </c>
      <c r="K32" s="37" t="e">
        <v>#VALUE!</v>
      </c>
      <c r="L32" s="38" t="e">
        <v>#VALUE!</v>
      </c>
      <c r="M32" s="38" t="e">
        <v>#VALUE!</v>
      </c>
      <c r="N32" s="39" t="e">
        <v>#VALUE!</v>
      </c>
      <c r="O32" s="38" t="e">
        <v>#VALUE!</v>
      </c>
      <c r="P32" s="38" t="e">
        <v>#VALUE!</v>
      </c>
      <c r="Q32" s="38" t="e">
        <v>#VALUE!</v>
      </c>
      <c r="R32" s="38" t="e">
        <v>#VALUE!</v>
      </c>
      <c r="S32" s="38" t="e">
        <v>#VALUE!</v>
      </c>
      <c r="T32" s="36" t="e">
        <v>#VALUE!</v>
      </c>
      <c r="U32" s="36" t="e">
        <v>#VALUE!</v>
      </c>
      <c r="V32" s="29"/>
      <c r="W32" s="29"/>
      <c r="X32" s="29"/>
      <c r="Y32" s="29"/>
    </row>
    <row r="33" spans="1:25" x14ac:dyDescent="0.2">
      <c r="A33" s="33" t="e">
        <v>#VALUE!</v>
      </c>
      <c r="B33" s="34" t="e">
        <v>#VALUE!</v>
      </c>
      <c r="C33" s="34" t="e">
        <v>#VALUE!</v>
      </c>
      <c r="D33" s="40" t="e">
        <v>#VALUE!</v>
      </c>
      <c r="E33" s="40" t="e">
        <v>#VALUE!</v>
      </c>
      <c r="F33" s="35" t="e">
        <v>#VALUE!</v>
      </c>
      <c r="G33" s="36" t="e">
        <v>#VALUE!</v>
      </c>
      <c r="H33" s="35" t="e">
        <v>#VALUE!</v>
      </c>
      <c r="I33" s="40" t="e">
        <v>#VALUE!</v>
      </c>
      <c r="J33" s="35" t="e">
        <v>#VALUE!</v>
      </c>
      <c r="K33" s="37" t="e">
        <v>#VALUE!</v>
      </c>
      <c r="L33" s="38" t="e">
        <v>#VALUE!</v>
      </c>
      <c r="M33" s="38" t="e">
        <v>#VALUE!</v>
      </c>
      <c r="N33" s="39" t="e">
        <v>#VALUE!</v>
      </c>
      <c r="O33" s="38" t="e">
        <v>#VALUE!</v>
      </c>
      <c r="P33" s="38" t="e">
        <v>#VALUE!</v>
      </c>
      <c r="Q33" s="38" t="e">
        <v>#VALUE!</v>
      </c>
      <c r="R33" s="38" t="e">
        <v>#VALUE!</v>
      </c>
      <c r="S33" s="38" t="e">
        <v>#VALUE!</v>
      </c>
      <c r="T33" s="36" t="e">
        <v>#VALUE!</v>
      </c>
      <c r="U33" s="36" t="e">
        <v>#VALUE!</v>
      </c>
      <c r="V33" s="29"/>
      <c r="W33" s="29"/>
      <c r="X33" s="29"/>
      <c r="Y33" s="29"/>
    </row>
    <row r="34" spans="1:25" x14ac:dyDescent="0.2">
      <c r="A34" s="33" t="e">
        <v>#VALUE!</v>
      </c>
      <c r="B34" s="34" t="e">
        <v>#VALUE!</v>
      </c>
      <c r="C34" s="34" t="e">
        <v>#VALUE!</v>
      </c>
      <c r="D34" s="40" t="e">
        <v>#VALUE!</v>
      </c>
      <c r="E34" s="40" t="e">
        <v>#VALUE!</v>
      </c>
      <c r="F34" s="35" t="e">
        <v>#VALUE!</v>
      </c>
      <c r="G34" s="36" t="e">
        <v>#VALUE!</v>
      </c>
      <c r="H34" s="35" t="e">
        <v>#VALUE!</v>
      </c>
      <c r="I34" s="40" t="e">
        <v>#VALUE!</v>
      </c>
      <c r="J34" s="35" t="e">
        <v>#VALUE!</v>
      </c>
      <c r="K34" s="37" t="e">
        <v>#VALUE!</v>
      </c>
      <c r="L34" s="38" t="e">
        <v>#VALUE!</v>
      </c>
      <c r="M34" s="38" t="e">
        <v>#VALUE!</v>
      </c>
      <c r="N34" s="39" t="e">
        <v>#VALUE!</v>
      </c>
      <c r="O34" s="38" t="e">
        <v>#VALUE!</v>
      </c>
      <c r="P34" s="38" t="e">
        <v>#VALUE!</v>
      </c>
      <c r="Q34" s="38" t="e">
        <v>#VALUE!</v>
      </c>
      <c r="R34" s="38" t="e">
        <v>#VALUE!</v>
      </c>
      <c r="S34" s="38" t="e">
        <v>#VALUE!</v>
      </c>
      <c r="T34" s="36" t="e">
        <v>#VALUE!</v>
      </c>
      <c r="U34" s="36" t="e">
        <v>#VALUE!</v>
      </c>
      <c r="V34" s="29"/>
      <c r="W34" s="29"/>
      <c r="X34" s="29"/>
      <c r="Y34" s="29"/>
    </row>
    <row r="35" spans="1:25" x14ac:dyDescent="0.2">
      <c r="A35" s="33" t="e">
        <v>#VALUE!</v>
      </c>
      <c r="B35" s="34" t="e">
        <v>#VALUE!</v>
      </c>
      <c r="C35" s="34" t="e">
        <v>#VALUE!</v>
      </c>
      <c r="D35" s="40" t="e">
        <v>#VALUE!</v>
      </c>
      <c r="E35" s="40" t="e">
        <v>#VALUE!</v>
      </c>
      <c r="F35" s="35" t="e">
        <v>#VALUE!</v>
      </c>
      <c r="G35" s="36" t="e">
        <v>#VALUE!</v>
      </c>
      <c r="H35" s="35" t="e">
        <v>#VALUE!</v>
      </c>
      <c r="I35" s="40" t="e">
        <v>#VALUE!</v>
      </c>
      <c r="J35" s="35" t="e">
        <v>#VALUE!</v>
      </c>
      <c r="K35" s="37" t="e">
        <v>#VALUE!</v>
      </c>
      <c r="L35" s="38" t="e">
        <v>#VALUE!</v>
      </c>
      <c r="M35" s="38" t="e">
        <v>#VALUE!</v>
      </c>
      <c r="N35" s="39" t="e">
        <v>#VALUE!</v>
      </c>
      <c r="O35" s="38" t="e">
        <v>#VALUE!</v>
      </c>
      <c r="P35" s="38" t="e">
        <v>#VALUE!</v>
      </c>
      <c r="Q35" s="38" t="e">
        <v>#VALUE!</v>
      </c>
      <c r="R35" s="38" t="e">
        <v>#VALUE!</v>
      </c>
      <c r="S35" s="38" t="e">
        <v>#VALUE!</v>
      </c>
      <c r="T35" s="36" t="e">
        <v>#VALUE!</v>
      </c>
      <c r="U35" s="36" t="e">
        <v>#VALUE!</v>
      </c>
      <c r="V35" s="29"/>
      <c r="W35" s="29"/>
      <c r="X35" s="29"/>
      <c r="Y35" s="29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4</vt:i4>
      </vt:variant>
    </vt:vector>
  </HeadingPairs>
  <TitlesOfParts>
    <vt:vector size="33" baseType="lpstr">
      <vt:lpstr>Sheet12</vt:lpstr>
      <vt:lpstr>EUR TermStructures</vt:lpstr>
      <vt:lpstr>EO6M Swaps</vt:lpstr>
      <vt:lpstr>Sheet6</vt:lpstr>
      <vt:lpstr>For Code</vt:lpstr>
      <vt:lpstr>2016 Mkt Data</vt:lpstr>
      <vt:lpstr>2015 Mkt Data</vt:lpstr>
      <vt:lpstr>EURSwaptionVol</vt:lpstr>
      <vt:lpstr>EUR Bermudan HW</vt:lpstr>
      <vt:lpstr>Sheet1</vt:lpstr>
      <vt:lpstr>EUR RateHelpers</vt:lpstr>
      <vt:lpstr>Bootstrapping EONIA</vt:lpstr>
      <vt:lpstr>Bootstrapping EO6M</vt:lpstr>
      <vt:lpstr>Sheet9</vt:lpstr>
      <vt:lpstr>Passive Indexes</vt:lpstr>
      <vt:lpstr>BOND</vt:lpstr>
      <vt:lpstr>Active Indexes</vt:lpstr>
      <vt:lpstr>PricingEngines</vt:lpstr>
      <vt:lpstr>DateCalc</vt:lpstr>
      <vt:lpstr>Bootstrapping EO3M</vt:lpstr>
      <vt:lpstr>Bootstrapping EURIB</vt:lpstr>
      <vt:lpstr>EO3M Swaps</vt:lpstr>
      <vt:lpstr>Swaption</vt:lpstr>
      <vt:lpstr>EUR Swaps</vt:lpstr>
      <vt:lpstr>CapFloor</vt:lpstr>
      <vt:lpstr>CMS</vt:lpstr>
      <vt:lpstr>FixedLegFlowAnalysis</vt:lpstr>
      <vt:lpstr>CmsLegFlowAnalysis</vt:lpstr>
      <vt:lpstr>FloatingLegFlowAnalysis</vt:lpstr>
      <vt:lpstr>Calendar</vt:lpstr>
      <vt:lpstr>EffectiveDate</vt:lpstr>
      <vt:lpstr>Nominal</vt:lpstr>
      <vt:lpstr>TerminationDate</vt:lpstr>
    </vt:vector>
  </TitlesOfParts>
  <Company>QuantLib -- http://quantlib.org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shane</cp:lastModifiedBy>
  <cp:lastPrinted>2016-07-04T14:31:58Z</cp:lastPrinted>
  <dcterms:created xsi:type="dcterms:W3CDTF">2008-01-16T11:04:29Z</dcterms:created>
  <dcterms:modified xsi:type="dcterms:W3CDTF">2020-08-15T12:47:36Z</dcterms:modified>
</cp:coreProperties>
</file>